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76ee48b16f9106f/Documents/"/>
    </mc:Choice>
  </mc:AlternateContent>
  <xr:revisionPtr revIDLastSave="24" documentId="8_{A4CFAC3F-4C06-4E4E-914D-179DD48493DA}" xr6:coauthVersionLast="47" xr6:coauthVersionMax="47" xr10:uidLastSave="{7C172F90-A899-463C-9F74-D8D9D00F753B}"/>
  <bookViews>
    <workbookView xWindow="30660" yWindow="0" windowWidth="38610" windowHeight="21600" activeTab="1" xr2:uid="{00000000-000D-0000-FFFF-FFFF00000000}"/>
  </bookViews>
  <sheets>
    <sheet name="Index" sheetId="1" r:id="rId1"/>
    <sheet name="Dashboard" sheetId="2" r:id="rId2"/>
    <sheet name="Pop Estimates (Non-#d)" sheetId="3" r:id="rId3"/>
    <sheet name="Odds &amp; Rarity" sheetId="4" r:id="rId4"/>
    <sheet name="Char Popularity" sheetId="5" r:id="rId5"/>
    <sheet name="Base S1" sheetId="6" r:id="rId6"/>
    <sheet name="Base S2" sheetId="7" r:id="rId7"/>
    <sheet name="Characters" sheetId="8" r:id="rId8"/>
    <sheet name="Achievements" sheetId="9" r:id="rId9"/>
    <sheet name="Inserts - Story" sheetId="10" r:id="rId10"/>
    <sheet name="Team Ups" sheetId="11" r:id="rId11"/>
    <sheet name="A View From Home" sheetId="12" r:id="rId12"/>
    <sheet name="Retro" sheetId="13" r:id="rId13"/>
    <sheet name="Inserts - General" sheetId="14" r:id="rId14"/>
    <sheet name="Supes &amp; Supes SPs" sheetId="15" r:id="rId15"/>
    <sheet name="Supes Suits" sheetId="16" r:id="rId16"/>
    <sheet name="Autos - Singles" sheetId="17" r:id="rId17"/>
    <sheet name="Autos - Multi" sheetId="18" r:id="rId18"/>
    <sheet name="Action Figures" sheetId="19" r:id="rId19"/>
    <sheet name="Data" sheetId="20" state="hidden" r:id="rId20"/>
    <sheet name="Odds &amp; Rarity (Legacy)" sheetId="21" state="hidden" r:id="rId21"/>
  </sheets>
  <definedNames>
    <definedName name="_xlnm._FilterDatabase" localSheetId="11" hidden="1">'A View From Home'!$A$1:$E$41</definedName>
    <definedName name="_xlnm._FilterDatabase" localSheetId="8" hidden="1">Achievements!$A$1:$D$24</definedName>
    <definedName name="_xlnm._FilterDatabase" localSheetId="18" hidden="1">'Action Figures'!$A$1:$E$34</definedName>
    <definedName name="_xlnm._FilterDatabase" localSheetId="17" hidden="1">'Autos - Multi'!$A$1:$I$17</definedName>
    <definedName name="_xlnm._FilterDatabase" localSheetId="16" hidden="1">'Autos - Singles'!$A$1:$J$68</definedName>
    <definedName name="_xlnm._FilterDatabase" localSheetId="5" hidden="1">'Base S1'!$A$1:$J$101</definedName>
    <definedName name="_xlnm._FilterDatabase" localSheetId="6" hidden="1">'Base S2'!$A$1:$J$101</definedName>
    <definedName name="_xlnm._FilterDatabase" localSheetId="7" hidden="1">Characters!$A$1:$L$51</definedName>
    <definedName name="_xlnm._FilterDatabase" localSheetId="19" hidden="1">Data!$A$1:$Q$2843</definedName>
    <definedName name="_xlnm._FilterDatabase" localSheetId="13" hidden="1">'Inserts - General'!$A$1:$E$36</definedName>
    <definedName name="_xlnm._FilterDatabase" localSheetId="9" hidden="1">'Inserts - Story'!$A$1:$F$46</definedName>
    <definedName name="_xlnm._FilterDatabase" localSheetId="3" hidden="1">'Odds &amp; Rarity'!$A$23:$M$95</definedName>
    <definedName name="_xlnm._FilterDatabase" localSheetId="2" hidden="1">'Pop Estimates (Non-#d)'!$A$1:$M$394</definedName>
    <definedName name="_xlnm._FilterDatabase" localSheetId="12" hidden="1">Retro!$A$1:$F$16</definedName>
    <definedName name="_xlnm._FilterDatabase" localSheetId="14" hidden="1">'Supes &amp; Supes SPs'!$A$1:$F$41</definedName>
    <definedName name="_xlnm._FilterDatabase" localSheetId="15" hidden="1">'Supes Suits'!$A$1:$F$36</definedName>
    <definedName name="_xlnm._FilterDatabase" localSheetId="10" hidden="1">'Team Ups'!$A$1:$E$26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21" l="1"/>
  <c r="B104" i="21"/>
  <c r="B103" i="21"/>
  <c r="B102" i="21"/>
  <c r="D98" i="21"/>
  <c r="B98" i="21"/>
  <c r="D97" i="21"/>
  <c r="B97" i="21"/>
  <c r="D96" i="21"/>
  <c r="B96" i="21"/>
  <c r="D95" i="21"/>
  <c r="B95" i="21"/>
  <c r="D94" i="21"/>
  <c r="B94" i="21"/>
  <c r="D93" i="21"/>
  <c r="B93" i="21"/>
  <c r="D92" i="21"/>
  <c r="B92" i="21"/>
  <c r="D91" i="21"/>
  <c r="B91" i="21"/>
  <c r="D90" i="21"/>
  <c r="B90" i="21"/>
  <c r="D89" i="21"/>
  <c r="B89" i="21"/>
  <c r="D88" i="21"/>
  <c r="B88" i="21"/>
  <c r="D87" i="21"/>
  <c r="B87" i="21"/>
  <c r="D86" i="21"/>
  <c r="B86" i="21"/>
  <c r="D85" i="21"/>
  <c r="B85" i="21"/>
  <c r="D84" i="21"/>
  <c r="B84" i="21"/>
  <c r="D83" i="21"/>
  <c r="B83" i="21"/>
  <c r="D82" i="21"/>
  <c r="B82" i="21"/>
  <c r="D81" i="21"/>
  <c r="B81" i="21"/>
  <c r="D80" i="21"/>
  <c r="B80" i="21"/>
  <c r="D79" i="21"/>
  <c r="B79" i="21"/>
  <c r="D78" i="21"/>
  <c r="B78" i="21"/>
  <c r="D77" i="21"/>
  <c r="B77" i="21"/>
  <c r="D76" i="21"/>
  <c r="B76" i="21"/>
  <c r="D75" i="21"/>
  <c r="B75" i="21"/>
  <c r="D74" i="21"/>
  <c r="B74" i="21"/>
  <c r="D73" i="21"/>
  <c r="B73" i="21"/>
  <c r="D72" i="21"/>
  <c r="B72" i="21"/>
  <c r="D71" i="21"/>
  <c r="B71" i="21"/>
  <c r="D70" i="21"/>
  <c r="B70" i="21"/>
  <c r="D69" i="21"/>
  <c r="B69" i="21"/>
  <c r="D68" i="21"/>
  <c r="B68" i="21"/>
  <c r="D67" i="21"/>
  <c r="B67" i="21"/>
  <c r="D66" i="21"/>
  <c r="B66" i="21"/>
  <c r="D65" i="21"/>
  <c r="B65" i="21"/>
  <c r="D64" i="21"/>
  <c r="B64" i="21"/>
  <c r="D63" i="21"/>
  <c r="B63" i="21"/>
  <c r="D62" i="21"/>
  <c r="B62" i="21"/>
  <c r="D61" i="21"/>
  <c r="B61" i="21"/>
  <c r="D60" i="21"/>
  <c r="B60" i="21"/>
  <c r="D59" i="21"/>
  <c r="B59" i="21"/>
  <c r="D58" i="21"/>
  <c r="B58" i="21"/>
  <c r="D57" i="21"/>
  <c r="B57" i="21"/>
  <c r="D56" i="21"/>
  <c r="B56" i="21"/>
  <c r="I52" i="21"/>
  <c r="H52" i="21"/>
  <c r="G52" i="21"/>
  <c r="F52" i="21"/>
  <c r="D52" i="21"/>
  <c r="B52" i="21"/>
  <c r="I51" i="21"/>
  <c r="F51" i="21"/>
  <c r="D51" i="21"/>
  <c r="B51" i="21"/>
  <c r="H50" i="21"/>
  <c r="G50" i="21"/>
  <c r="F50" i="21"/>
  <c r="E50" i="21"/>
  <c r="D50" i="21"/>
  <c r="B50" i="21"/>
  <c r="I50" i="21" s="1"/>
  <c r="F49" i="21"/>
  <c r="E49" i="21"/>
  <c r="D49" i="21"/>
  <c r="B49" i="21"/>
  <c r="F48" i="21"/>
  <c r="E48" i="21"/>
  <c r="D48" i="21"/>
  <c r="B48" i="21"/>
  <c r="I48" i="21" s="1"/>
  <c r="H47" i="21"/>
  <c r="F47" i="21"/>
  <c r="E47" i="21"/>
  <c r="D47" i="21"/>
  <c r="B47" i="21"/>
  <c r="I47" i="21" s="1"/>
  <c r="H46" i="21"/>
  <c r="F46" i="21"/>
  <c r="E46" i="21"/>
  <c r="D46" i="21"/>
  <c r="B46" i="21"/>
  <c r="G45" i="21"/>
  <c r="F45" i="21"/>
  <c r="D45" i="21"/>
  <c r="B45" i="21"/>
  <c r="I45" i="21" s="1"/>
  <c r="I44" i="21"/>
  <c r="H44" i="21"/>
  <c r="G44" i="21"/>
  <c r="F44" i="21"/>
  <c r="D44" i="21"/>
  <c r="B44" i="21"/>
  <c r="F43" i="21"/>
  <c r="E43" i="21"/>
  <c r="D43" i="21"/>
  <c r="B43" i="21"/>
  <c r="H42" i="21"/>
  <c r="G42" i="21"/>
  <c r="F42" i="21"/>
  <c r="D42" i="21"/>
  <c r="B42" i="21"/>
  <c r="I42" i="21" s="1"/>
  <c r="H41" i="21"/>
  <c r="G41" i="21"/>
  <c r="F41" i="21"/>
  <c r="D41" i="21"/>
  <c r="B41" i="21"/>
  <c r="I41" i="21" s="1"/>
  <c r="F40" i="21"/>
  <c r="E40" i="21"/>
  <c r="D40" i="21"/>
  <c r="B40" i="21"/>
  <c r="I40" i="21" s="1"/>
  <c r="I39" i="21"/>
  <c r="F39" i="21"/>
  <c r="D39" i="21"/>
  <c r="B39" i="21"/>
  <c r="I38" i="21"/>
  <c r="H38" i="21"/>
  <c r="F38" i="21"/>
  <c r="D38" i="21"/>
  <c r="B38" i="21"/>
  <c r="F37" i="21"/>
  <c r="D37" i="21"/>
  <c r="B37" i="21"/>
  <c r="I37" i="21" s="1"/>
  <c r="I36" i="21"/>
  <c r="G36" i="21"/>
  <c r="F36" i="21"/>
  <c r="E36" i="21"/>
  <c r="D36" i="21"/>
  <c r="B36" i="21"/>
  <c r="I35" i="21"/>
  <c r="H35" i="21"/>
  <c r="G35" i="21"/>
  <c r="F35" i="21"/>
  <c r="E35" i="21"/>
  <c r="D35" i="21"/>
  <c r="B35" i="21"/>
  <c r="H34" i="21"/>
  <c r="F34" i="21"/>
  <c r="E34" i="21"/>
  <c r="D34" i="21"/>
  <c r="B34" i="21"/>
  <c r="I34" i="21" s="1"/>
  <c r="H33" i="21"/>
  <c r="F33" i="21"/>
  <c r="D33" i="21"/>
  <c r="B33" i="21"/>
  <c r="I33" i="21" s="1"/>
  <c r="G32" i="21"/>
  <c r="F32" i="21"/>
  <c r="D32" i="21"/>
  <c r="B32" i="21"/>
  <c r="H31" i="21"/>
  <c r="G31" i="21"/>
  <c r="F31" i="21"/>
  <c r="E31" i="21"/>
  <c r="D31" i="21"/>
  <c r="B31" i="21"/>
  <c r="I31" i="21" s="1"/>
  <c r="H30" i="21"/>
  <c r="F30" i="21"/>
  <c r="E30" i="21"/>
  <c r="D30" i="21"/>
  <c r="B30" i="21"/>
  <c r="I30" i="21" s="1"/>
  <c r="F29" i="21"/>
  <c r="D29" i="21"/>
  <c r="B29" i="21"/>
  <c r="I29" i="21" s="1"/>
  <c r="I28" i="21"/>
  <c r="F28" i="21"/>
  <c r="D28" i="21"/>
  <c r="B28" i="21"/>
  <c r="F27" i="21"/>
  <c r="E27" i="21"/>
  <c r="D27" i="21"/>
  <c r="B27" i="21"/>
  <c r="I27" i="21" s="1"/>
  <c r="I26" i="21"/>
  <c r="H26" i="21"/>
  <c r="G26" i="21"/>
  <c r="F26" i="21"/>
  <c r="D26" i="21"/>
  <c r="B26" i="21"/>
  <c r="G25" i="21"/>
  <c r="F25" i="21"/>
  <c r="E25" i="21"/>
  <c r="D25" i="21"/>
  <c r="B25" i="21"/>
  <c r="I25" i="21" s="1"/>
  <c r="I24" i="21"/>
  <c r="G24" i="21"/>
  <c r="F24" i="21"/>
  <c r="E24" i="21"/>
  <c r="D24" i="21"/>
  <c r="B24" i="21"/>
  <c r="H17" i="21"/>
  <c r="G17" i="21"/>
  <c r="F17" i="21"/>
  <c r="E17" i="21"/>
  <c r="D17" i="21"/>
  <c r="C17" i="21"/>
  <c r="K7" i="21"/>
  <c r="K6" i="21"/>
  <c r="B6" i="21"/>
  <c r="K5" i="21"/>
  <c r="K4" i="21"/>
  <c r="AA2845" i="20"/>
  <c r="V2845" i="20"/>
  <c r="W2845" i="20" s="1"/>
  <c r="X2845" i="20" s="1"/>
  <c r="U2845" i="20"/>
  <c r="S2845" i="20"/>
  <c r="P2845" i="20"/>
  <c r="K2845" i="20"/>
  <c r="L2845" i="20" s="1"/>
  <c r="AC2844" i="20"/>
  <c r="AA2844" i="20"/>
  <c r="X2844" i="20"/>
  <c r="V2844" i="20"/>
  <c r="W2844" i="20" s="1"/>
  <c r="U2844" i="20"/>
  <c r="S2844" i="20"/>
  <c r="Q2844" i="20"/>
  <c r="K2844" i="20"/>
  <c r="M2844" i="20" s="1"/>
  <c r="AA2843" i="20"/>
  <c r="W2843" i="20"/>
  <c r="X2843" i="20" s="1"/>
  <c r="V2843" i="20"/>
  <c r="U2843" i="20"/>
  <c r="S2843" i="20"/>
  <c r="O2843" i="20"/>
  <c r="K2843" i="20"/>
  <c r="J2843" i="20"/>
  <c r="AB2842" i="20"/>
  <c r="AA2842" i="20"/>
  <c r="Z2842" i="20"/>
  <c r="W2842" i="20"/>
  <c r="X2842" i="20" s="1"/>
  <c r="Y2842" i="20" s="1"/>
  <c r="V2842" i="20"/>
  <c r="U2842" i="20"/>
  <c r="S2842" i="20"/>
  <c r="O2842" i="20"/>
  <c r="M2842" i="20"/>
  <c r="L2842" i="20"/>
  <c r="K2842" i="20"/>
  <c r="J2842" i="20"/>
  <c r="AA2841" i="20"/>
  <c r="Z2841" i="20"/>
  <c r="V2841" i="20"/>
  <c r="W2841" i="20" s="1"/>
  <c r="X2841" i="20" s="1"/>
  <c r="Y2841" i="20" s="1"/>
  <c r="U2841" i="20"/>
  <c r="S2841" i="20"/>
  <c r="O2841" i="20"/>
  <c r="M2841" i="20"/>
  <c r="K2841" i="20"/>
  <c r="L2841" i="20" s="1"/>
  <c r="J2841" i="20"/>
  <c r="AC2840" i="20"/>
  <c r="AB2840" i="20"/>
  <c r="AA2840" i="20"/>
  <c r="Y2840" i="20"/>
  <c r="X2840" i="20"/>
  <c r="Z2840" i="20" s="1"/>
  <c r="W2840" i="20"/>
  <c r="V2840" i="20"/>
  <c r="U2840" i="20"/>
  <c r="S2840" i="20"/>
  <c r="Q2840" i="20"/>
  <c r="O2840" i="20"/>
  <c r="N2840" i="20"/>
  <c r="L2840" i="20"/>
  <c r="P2840" i="20" s="1"/>
  <c r="K2840" i="20"/>
  <c r="M2840" i="20" s="1"/>
  <c r="J2840" i="20"/>
  <c r="AA2839" i="20"/>
  <c r="Z2839" i="20"/>
  <c r="V2839" i="20"/>
  <c r="W2839" i="20" s="1"/>
  <c r="X2839" i="20" s="1"/>
  <c r="Y2839" i="20" s="1"/>
  <c r="U2839" i="20"/>
  <c r="S2839" i="20"/>
  <c r="O2839" i="20"/>
  <c r="M2839" i="20"/>
  <c r="K2839" i="20"/>
  <c r="L2839" i="20" s="1"/>
  <c r="J2839" i="20"/>
  <c r="AA2838" i="20"/>
  <c r="W2838" i="20"/>
  <c r="X2838" i="20" s="1"/>
  <c r="V2838" i="20"/>
  <c r="U2838" i="20"/>
  <c r="S2838" i="20"/>
  <c r="O2838" i="20"/>
  <c r="M2838" i="20"/>
  <c r="K2838" i="20"/>
  <c r="L2838" i="20" s="1"/>
  <c r="J2838" i="20"/>
  <c r="AC2837" i="20"/>
  <c r="AB2837" i="20"/>
  <c r="AA2837" i="20"/>
  <c r="W2837" i="20"/>
  <c r="X2837" i="20" s="1"/>
  <c r="V2837" i="20"/>
  <c r="U2837" i="20"/>
  <c r="S2837" i="20"/>
  <c r="Q2837" i="20"/>
  <c r="O2837" i="20"/>
  <c r="N2837" i="20"/>
  <c r="M2837" i="20"/>
  <c r="L2837" i="20"/>
  <c r="P2837" i="20" s="1"/>
  <c r="K2837" i="20"/>
  <c r="J2837" i="20"/>
  <c r="AA2836" i="20"/>
  <c r="X2836" i="20"/>
  <c r="W2836" i="20"/>
  <c r="V2836" i="20"/>
  <c r="U2836" i="20"/>
  <c r="S2836" i="20"/>
  <c r="O2836" i="20"/>
  <c r="L2836" i="20"/>
  <c r="K2836" i="20"/>
  <c r="M2836" i="20" s="1"/>
  <c r="J2836" i="20"/>
  <c r="AA2835" i="20"/>
  <c r="Z2835" i="20"/>
  <c r="V2835" i="20"/>
  <c r="W2835" i="20" s="1"/>
  <c r="X2835" i="20" s="1"/>
  <c r="Y2835" i="20" s="1"/>
  <c r="U2835" i="20"/>
  <c r="S2835" i="20"/>
  <c r="O2835" i="20"/>
  <c r="K2835" i="20"/>
  <c r="J2835" i="20"/>
  <c r="AB2834" i="20"/>
  <c r="AA2834" i="20"/>
  <c r="Z2834" i="20"/>
  <c r="W2834" i="20"/>
  <c r="X2834" i="20" s="1"/>
  <c r="Y2834" i="20" s="1"/>
  <c r="V2834" i="20"/>
  <c r="U2834" i="20"/>
  <c r="S2834" i="20"/>
  <c r="Q2834" i="20"/>
  <c r="O2834" i="20"/>
  <c r="M2834" i="20"/>
  <c r="AC2834" i="20" s="1"/>
  <c r="L2834" i="20"/>
  <c r="K2834" i="20"/>
  <c r="J2834" i="20"/>
  <c r="AA2833" i="20"/>
  <c r="Z2833" i="20"/>
  <c r="V2833" i="20"/>
  <c r="W2833" i="20" s="1"/>
  <c r="X2833" i="20" s="1"/>
  <c r="Y2833" i="20" s="1"/>
  <c r="U2833" i="20"/>
  <c r="S2833" i="20"/>
  <c r="O2833" i="20"/>
  <c r="M2833" i="20"/>
  <c r="K2833" i="20"/>
  <c r="L2833" i="20" s="1"/>
  <c r="J2833" i="20"/>
  <c r="AB2832" i="20"/>
  <c r="AA2832" i="20"/>
  <c r="Z2832" i="20"/>
  <c r="Y2832" i="20"/>
  <c r="X2832" i="20"/>
  <c r="W2832" i="20"/>
  <c r="V2832" i="20"/>
  <c r="U2832" i="20"/>
  <c r="S2832" i="20"/>
  <c r="O2832" i="20"/>
  <c r="K2832" i="20"/>
  <c r="L2832" i="20" s="1"/>
  <c r="J2832" i="20"/>
  <c r="AA2831" i="20"/>
  <c r="V2831" i="20"/>
  <c r="W2831" i="20" s="1"/>
  <c r="X2831" i="20" s="1"/>
  <c r="U2831" i="20"/>
  <c r="S2831" i="20"/>
  <c r="O2831" i="20"/>
  <c r="K2831" i="20"/>
  <c r="M2831" i="20" s="1"/>
  <c r="J2831" i="20"/>
  <c r="AC2830" i="20"/>
  <c r="AB2830" i="20"/>
  <c r="AA2830" i="20"/>
  <c r="V2830" i="20"/>
  <c r="W2830" i="20" s="1"/>
  <c r="X2830" i="20" s="1"/>
  <c r="U2830" i="20"/>
  <c r="S2830" i="20"/>
  <c r="O2830" i="20"/>
  <c r="N2830" i="20"/>
  <c r="M2830" i="20"/>
  <c r="Q2830" i="20" s="1"/>
  <c r="L2830" i="20"/>
  <c r="P2830" i="20" s="1"/>
  <c r="K2830" i="20"/>
  <c r="J2830" i="20"/>
  <c r="AA2829" i="20"/>
  <c r="Z2829" i="20"/>
  <c r="X2829" i="20"/>
  <c r="Y2829" i="20" s="1"/>
  <c r="V2829" i="20"/>
  <c r="W2829" i="20" s="1"/>
  <c r="U2829" i="20"/>
  <c r="S2829" i="20"/>
  <c r="O2829" i="20"/>
  <c r="K2829" i="20"/>
  <c r="M2829" i="20" s="1"/>
  <c r="J2829" i="20"/>
  <c r="AA2828" i="20"/>
  <c r="Y2828" i="20"/>
  <c r="W2828" i="20"/>
  <c r="X2828" i="20" s="1"/>
  <c r="V2828" i="20"/>
  <c r="U2828" i="20"/>
  <c r="S2828" i="20"/>
  <c r="K2828" i="20"/>
  <c r="AA2827" i="20"/>
  <c r="X2827" i="20"/>
  <c r="W2827" i="20"/>
  <c r="V2827" i="20"/>
  <c r="S2827" i="20"/>
  <c r="K2827" i="20"/>
  <c r="AC2826" i="20"/>
  <c r="AB2826" i="20"/>
  <c r="AA2826" i="20"/>
  <c r="W2826" i="20"/>
  <c r="X2826" i="20" s="1"/>
  <c r="V2826" i="20"/>
  <c r="S2826" i="20"/>
  <c r="L2826" i="20"/>
  <c r="P2826" i="20" s="1"/>
  <c r="K2826" i="20"/>
  <c r="M2826" i="20" s="1"/>
  <c r="Q2826" i="20" s="1"/>
  <c r="AA2825" i="20"/>
  <c r="AB2825" i="20" s="1"/>
  <c r="W2825" i="20"/>
  <c r="X2825" i="20" s="1"/>
  <c r="V2825" i="20"/>
  <c r="S2825" i="20"/>
  <c r="P2825" i="20"/>
  <c r="N2825" i="20"/>
  <c r="O2825" i="20" s="1"/>
  <c r="M2825" i="20"/>
  <c r="L2825" i="20"/>
  <c r="K2825" i="20"/>
  <c r="AA2824" i="20"/>
  <c r="V2824" i="20"/>
  <c r="W2824" i="20" s="1"/>
  <c r="X2824" i="20" s="1"/>
  <c r="S2824" i="20"/>
  <c r="K2824" i="20"/>
  <c r="M2824" i="20" s="1"/>
  <c r="AA2823" i="20"/>
  <c r="W2823" i="20"/>
  <c r="X2823" i="20" s="1"/>
  <c r="V2823" i="20"/>
  <c r="S2823" i="20"/>
  <c r="Q2823" i="20"/>
  <c r="M2823" i="20"/>
  <c r="AC2823" i="20" s="1"/>
  <c r="L2823" i="20"/>
  <c r="K2823" i="20"/>
  <c r="AC2822" i="20"/>
  <c r="AA2822" i="20"/>
  <c r="Y2822" i="20"/>
  <c r="V2822" i="20"/>
  <c r="W2822" i="20" s="1"/>
  <c r="X2822" i="20" s="1"/>
  <c r="S2822" i="20"/>
  <c r="K2822" i="20"/>
  <c r="M2822" i="20" s="1"/>
  <c r="Q2822" i="20" s="1"/>
  <c r="AA2821" i="20"/>
  <c r="V2821" i="20"/>
  <c r="W2821" i="20" s="1"/>
  <c r="X2821" i="20" s="1"/>
  <c r="S2821" i="20"/>
  <c r="Q2821" i="20"/>
  <c r="M2821" i="20"/>
  <c r="AC2821" i="20" s="1"/>
  <c r="L2821" i="20"/>
  <c r="K2821" i="20"/>
  <c r="AC2820" i="20"/>
  <c r="AA2820" i="20"/>
  <c r="W2820" i="20"/>
  <c r="X2820" i="20" s="1"/>
  <c r="V2820" i="20"/>
  <c r="S2820" i="20"/>
  <c r="L2820" i="20"/>
  <c r="K2820" i="20"/>
  <c r="M2820" i="20" s="1"/>
  <c r="Q2820" i="20" s="1"/>
  <c r="AC2819" i="20"/>
  <c r="AA2819" i="20"/>
  <c r="AB2819" i="20" s="1"/>
  <c r="V2819" i="20"/>
  <c r="W2819" i="20" s="1"/>
  <c r="X2819" i="20" s="1"/>
  <c r="S2819" i="20"/>
  <c r="L2819" i="20"/>
  <c r="K2819" i="20"/>
  <c r="M2819" i="20" s="1"/>
  <c r="Q2819" i="20" s="1"/>
  <c r="AA2818" i="20"/>
  <c r="W2818" i="20"/>
  <c r="X2818" i="20" s="1"/>
  <c r="V2818" i="20"/>
  <c r="S2818" i="20"/>
  <c r="K2818" i="20"/>
  <c r="M2818" i="20" s="1"/>
  <c r="AC2817" i="20"/>
  <c r="AB2817" i="20"/>
  <c r="AA2817" i="20"/>
  <c r="V2817" i="20"/>
  <c r="W2817" i="20" s="1"/>
  <c r="X2817" i="20" s="1"/>
  <c r="S2817" i="20"/>
  <c r="M2817" i="20"/>
  <c r="Q2817" i="20" s="1"/>
  <c r="L2817" i="20"/>
  <c r="K2817" i="20"/>
  <c r="AA2816" i="20"/>
  <c r="V2816" i="20"/>
  <c r="W2816" i="20" s="1"/>
  <c r="X2816" i="20" s="1"/>
  <c r="S2816" i="20"/>
  <c r="K2816" i="20"/>
  <c r="AA2815" i="20"/>
  <c r="V2815" i="20"/>
  <c r="W2815" i="20" s="1"/>
  <c r="X2815" i="20" s="1"/>
  <c r="S2815" i="20"/>
  <c r="M2815" i="20"/>
  <c r="AC2815" i="20" s="1"/>
  <c r="K2815" i="20"/>
  <c r="L2815" i="20" s="1"/>
  <c r="AB2815" i="20" s="1"/>
  <c r="AC2814" i="20"/>
  <c r="AB2814" i="20"/>
  <c r="AA2814" i="20"/>
  <c r="W2814" i="20"/>
  <c r="X2814" i="20" s="1"/>
  <c r="V2814" i="20"/>
  <c r="S2814" i="20"/>
  <c r="N2814" i="20"/>
  <c r="O2814" i="20" s="1"/>
  <c r="M2814" i="20"/>
  <c r="Q2814" i="20" s="1"/>
  <c r="L2814" i="20"/>
  <c r="K2814" i="20"/>
  <c r="AA2813" i="20"/>
  <c r="Y2813" i="20"/>
  <c r="V2813" i="20"/>
  <c r="W2813" i="20" s="1"/>
  <c r="X2813" i="20" s="1"/>
  <c r="Z2813" i="20" s="1"/>
  <c r="S2813" i="20"/>
  <c r="M2813" i="20"/>
  <c r="K2813" i="20"/>
  <c r="L2813" i="20" s="1"/>
  <c r="AA2812" i="20"/>
  <c r="X2812" i="20"/>
  <c r="V2812" i="20"/>
  <c r="W2812" i="20" s="1"/>
  <c r="S2812" i="20"/>
  <c r="M2812" i="20"/>
  <c r="K2812" i="20"/>
  <c r="L2812" i="20" s="1"/>
  <c r="AA2811" i="20"/>
  <c r="W2811" i="20"/>
  <c r="X2811" i="20" s="1"/>
  <c r="V2811" i="20"/>
  <c r="S2811" i="20"/>
  <c r="K2811" i="20"/>
  <c r="L2811" i="20" s="1"/>
  <c r="AC2810" i="20"/>
  <c r="AA2810" i="20"/>
  <c r="AB2810" i="20" s="1"/>
  <c r="W2810" i="20"/>
  <c r="X2810" i="20" s="1"/>
  <c r="V2810" i="20"/>
  <c r="S2810" i="20"/>
  <c r="Q2810" i="20"/>
  <c r="O2810" i="20"/>
  <c r="N2810" i="20"/>
  <c r="M2810" i="20"/>
  <c r="L2810" i="20"/>
  <c r="K2810" i="20"/>
  <c r="AB2809" i="20"/>
  <c r="AA2809" i="20"/>
  <c r="V2809" i="20"/>
  <c r="W2809" i="20" s="1"/>
  <c r="X2809" i="20" s="1"/>
  <c r="S2809" i="20"/>
  <c r="L2809" i="20"/>
  <c r="K2809" i="20"/>
  <c r="M2809" i="20" s="1"/>
  <c r="AA2808" i="20"/>
  <c r="V2808" i="20"/>
  <c r="W2808" i="20" s="1"/>
  <c r="X2808" i="20" s="1"/>
  <c r="S2808" i="20"/>
  <c r="M2808" i="20"/>
  <c r="Q2808" i="20" s="1"/>
  <c r="L2808" i="20"/>
  <c r="K2808" i="20"/>
  <c r="AA2807" i="20"/>
  <c r="W2807" i="20"/>
  <c r="X2807" i="20" s="1"/>
  <c r="V2807" i="20"/>
  <c r="S2807" i="20"/>
  <c r="M2807" i="20"/>
  <c r="K2807" i="20"/>
  <c r="L2807" i="20" s="1"/>
  <c r="AA2806" i="20"/>
  <c r="V2806" i="20"/>
  <c r="W2806" i="20" s="1"/>
  <c r="X2806" i="20" s="1"/>
  <c r="S2806" i="20"/>
  <c r="M2806" i="20"/>
  <c r="L2806" i="20"/>
  <c r="K2806" i="20"/>
  <c r="AA2805" i="20"/>
  <c r="Y2805" i="20"/>
  <c r="W2805" i="20"/>
  <c r="X2805" i="20" s="1"/>
  <c r="V2805" i="20"/>
  <c r="S2805" i="20"/>
  <c r="M2805" i="20"/>
  <c r="K2805" i="20"/>
  <c r="L2805" i="20" s="1"/>
  <c r="AC2804" i="20"/>
  <c r="AA2804" i="20"/>
  <c r="V2804" i="20"/>
  <c r="W2804" i="20" s="1"/>
  <c r="X2804" i="20" s="1"/>
  <c r="Y2804" i="20" s="1"/>
  <c r="S2804" i="20"/>
  <c r="M2804" i="20"/>
  <c r="Q2804" i="20" s="1"/>
  <c r="L2804" i="20"/>
  <c r="AB2804" i="20" s="1"/>
  <c r="K2804" i="20"/>
  <c r="AA2803" i="20"/>
  <c r="X2803" i="20"/>
  <c r="V2803" i="20"/>
  <c r="W2803" i="20" s="1"/>
  <c r="S2803" i="20"/>
  <c r="M2803" i="20"/>
  <c r="K2803" i="20"/>
  <c r="L2803" i="20" s="1"/>
  <c r="AC2802" i="20"/>
  <c r="AA2802" i="20"/>
  <c r="Z2802" i="20"/>
  <c r="W2802" i="20"/>
  <c r="X2802" i="20" s="1"/>
  <c r="Y2802" i="20" s="1"/>
  <c r="V2802" i="20"/>
  <c r="S2802" i="20"/>
  <c r="M2802" i="20"/>
  <c r="Q2802" i="20" s="1"/>
  <c r="K2802" i="20"/>
  <c r="L2802" i="20" s="1"/>
  <c r="AA2801" i="20"/>
  <c r="Y2801" i="20"/>
  <c r="X2801" i="20"/>
  <c r="V2801" i="20"/>
  <c r="W2801" i="20" s="1"/>
  <c r="S2801" i="20"/>
  <c r="Q2801" i="20"/>
  <c r="N2801" i="20"/>
  <c r="O2801" i="20" s="1"/>
  <c r="M2801" i="20"/>
  <c r="AC2801" i="20" s="1"/>
  <c r="L2801" i="20"/>
  <c r="K2801" i="20"/>
  <c r="AA2800" i="20"/>
  <c r="X2800" i="20"/>
  <c r="V2800" i="20"/>
  <c r="W2800" i="20" s="1"/>
  <c r="S2800" i="20"/>
  <c r="Q2800" i="20"/>
  <c r="M2800" i="20"/>
  <c r="AC2800" i="20" s="1"/>
  <c r="K2800" i="20"/>
  <c r="L2800" i="20" s="1"/>
  <c r="AA2799" i="20"/>
  <c r="W2799" i="20"/>
  <c r="X2799" i="20" s="1"/>
  <c r="V2799" i="20"/>
  <c r="S2799" i="20"/>
  <c r="N2799" i="20"/>
  <c r="O2799" i="20" s="1"/>
  <c r="M2799" i="20"/>
  <c r="L2799" i="20"/>
  <c r="K2799" i="20"/>
  <c r="AB2798" i="20"/>
  <c r="AA2798" i="20"/>
  <c r="W2798" i="20"/>
  <c r="X2798" i="20" s="1"/>
  <c r="V2798" i="20"/>
  <c r="S2798" i="20"/>
  <c r="Q2798" i="20"/>
  <c r="N2798" i="20"/>
  <c r="O2798" i="20" s="1"/>
  <c r="L2798" i="20"/>
  <c r="K2798" i="20"/>
  <c r="M2798" i="20" s="1"/>
  <c r="AC2798" i="20" s="1"/>
  <c r="AA2797" i="20"/>
  <c r="V2797" i="20"/>
  <c r="W2797" i="20" s="1"/>
  <c r="X2797" i="20" s="1"/>
  <c r="S2797" i="20"/>
  <c r="M2797" i="20"/>
  <c r="AC2797" i="20" s="1"/>
  <c r="L2797" i="20"/>
  <c r="AB2797" i="20" s="1"/>
  <c r="K2797" i="20"/>
  <c r="AA2796" i="20"/>
  <c r="W2796" i="20"/>
  <c r="X2796" i="20" s="1"/>
  <c r="Y2796" i="20" s="1"/>
  <c r="V2796" i="20"/>
  <c r="S2796" i="20"/>
  <c r="M2796" i="20"/>
  <c r="L2796" i="20"/>
  <c r="K2796" i="20"/>
  <c r="AA2795" i="20"/>
  <c r="V2795" i="20"/>
  <c r="W2795" i="20" s="1"/>
  <c r="X2795" i="20" s="1"/>
  <c r="S2795" i="20"/>
  <c r="K2795" i="20"/>
  <c r="AA2794" i="20"/>
  <c r="X2794" i="20"/>
  <c r="V2794" i="20"/>
  <c r="W2794" i="20" s="1"/>
  <c r="S2794" i="20"/>
  <c r="K2794" i="20"/>
  <c r="AA2793" i="20"/>
  <c r="V2793" i="20"/>
  <c r="W2793" i="20" s="1"/>
  <c r="X2793" i="20" s="1"/>
  <c r="S2793" i="20"/>
  <c r="M2793" i="20"/>
  <c r="L2793" i="20"/>
  <c r="K2793" i="20"/>
  <c r="AA2792" i="20"/>
  <c r="AB2792" i="20" s="1"/>
  <c r="W2792" i="20"/>
  <c r="X2792" i="20" s="1"/>
  <c r="V2792" i="20"/>
  <c r="S2792" i="20"/>
  <c r="M2792" i="20"/>
  <c r="L2792" i="20"/>
  <c r="K2792" i="20"/>
  <c r="AA2791" i="20"/>
  <c r="V2791" i="20"/>
  <c r="W2791" i="20" s="1"/>
  <c r="X2791" i="20" s="1"/>
  <c r="S2791" i="20"/>
  <c r="Q2791" i="20"/>
  <c r="K2791" i="20"/>
  <c r="M2791" i="20" s="1"/>
  <c r="AC2791" i="20" s="1"/>
  <c r="AA2790" i="20"/>
  <c r="Y2790" i="20"/>
  <c r="V2790" i="20"/>
  <c r="W2790" i="20" s="1"/>
  <c r="X2790" i="20" s="1"/>
  <c r="S2790" i="20"/>
  <c r="L2790" i="20"/>
  <c r="K2790" i="20"/>
  <c r="M2790" i="20" s="1"/>
  <c r="AA2789" i="20"/>
  <c r="Y2789" i="20"/>
  <c r="X2789" i="20"/>
  <c r="W2789" i="20"/>
  <c r="V2789" i="20"/>
  <c r="S2789" i="20"/>
  <c r="M2789" i="20"/>
  <c r="K2789" i="20"/>
  <c r="L2789" i="20" s="1"/>
  <c r="AA2788" i="20"/>
  <c r="W2788" i="20"/>
  <c r="X2788" i="20" s="1"/>
  <c r="V2788" i="20"/>
  <c r="S2788" i="20"/>
  <c r="K2788" i="20"/>
  <c r="AA2787" i="20"/>
  <c r="W2787" i="20"/>
  <c r="X2787" i="20" s="1"/>
  <c r="Y2787" i="20" s="1"/>
  <c r="V2787" i="20"/>
  <c r="S2787" i="20"/>
  <c r="M2787" i="20"/>
  <c r="K2787" i="20"/>
  <c r="L2787" i="20" s="1"/>
  <c r="AA2786" i="20"/>
  <c r="V2786" i="20"/>
  <c r="W2786" i="20" s="1"/>
  <c r="X2786" i="20" s="1"/>
  <c r="S2786" i="20"/>
  <c r="Q2786" i="20"/>
  <c r="K2786" i="20"/>
  <c r="M2786" i="20" s="1"/>
  <c r="AC2786" i="20" s="1"/>
  <c r="AB2785" i="20"/>
  <c r="AA2785" i="20"/>
  <c r="X2785" i="20"/>
  <c r="W2785" i="20"/>
  <c r="V2785" i="20"/>
  <c r="S2785" i="20"/>
  <c r="L2785" i="20"/>
  <c r="K2785" i="20"/>
  <c r="M2785" i="20" s="1"/>
  <c r="AC2784" i="20"/>
  <c r="AA2784" i="20"/>
  <c r="W2784" i="20"/>
  <c r="X2784" i="20" s="1"/>
  <c r="V2784" i="20"/>
  <c r="S2784" i="20"/>
  <c r="Q2784" i="20"/>
  <c r="L2784" i="20"/>
  <c r="K2784" i="20"/>
  <c r="M2784" i="20" s="1"/>
  <c r="AA2783" i="20"/>
  <c r="W2783" i="20"/>
  <c r="X2783" i="20" s="1"/>
  <c r="V2783" i="20"/>
  <c r="S2783" i="20"/>
  <c r="K2783" i="20"/>
  <c r="AA2782" i="20"/>
  <c r="W2782" i="20"/>
  <c r="X2782" i="20" s="1"/>
  <c r="V2782" i="20"/>
  <c r="S2782" i="20"/>
  <c r="Q2782" i="20"/>
  <c r="O2782" i="20"/>
  <c r="N2782" i="20"/>
  <c r="M2782" i="20"/>
  <c r="AC2782" i="20" s="1"/>
  <c r="L2782" i="20"/>
  <c r="AB2782" i="20" s="1"/>
  <c r="K2782" i="20"/>
  <c r="AA2781" i="20"/>
  <c r="W2781" i="20"/>
  <c r="X2781" i="20" s="1"/>
  <c r="V2781" i="20"/>
  <c r="S2781" i="20"/>
  <c r="K2781" i="20"/>
  <c r="AC2780" i="20"/>
  <c r="AA2780" i="20"/>
  <c r="AB2780" i="20" s="1"/>
  <c r="X2780" i="20"/>
  <c r="W2780" i="20"/>
  <c r="V2780" i="20"/>
  <c r="S2780" i="20"/>
  <c r="Q2780" i="20"/>
  <c r="N2780" i="20"/>
  <c r="O2780" i="20" s="1"/>
  <c r="M2780" i="20"/>
  <c r="L2780" i="20"/>
  <c r="K2780" i="20"/>
  <c r="AA2779" i="20"/>
  <c r="W2779" i="20"/>
  <c r="X2779" i="20" s="1"/>
  <c r="V2779" i="20"/>
  <c r="S2779" i="20"/>
  <c r="Q2779" i="20"/>
  <c r="O2779" i="20"/>
  <c r="N2779" i="20"/>
  <c r="M2779" i="20"/>
  <c r="AC2779" i="20" s="1"/>
  <c r="K2779" i="20"/>
  <c r="L2779" i="20" s="1"/>
  <c r="AA2778" i="20"/>
  <c r="X2778" i="20"/>
  <c r="W2778" i="20"/>
  <c r="V2778" i="20"/>
  <c r="S2778" i="20"/>
  <c r="M2778" i="20"/>
  <c r="L2778" i="20"/>
  <c r="K2778" i="20"/>
  <c r="AA2777" i="20"/>
  <c r="V2777" i="20"/>
  <c r="W2777" i="20" s="1"/>
  <c r="X2777" i="20" s="1"/>
  <c r="S2777" i="20"/>
  <c r="Q2777" i="20"/>
  <c r="M2777" i="20"/>
  <c r="AC2777" i="20" s="1"/>
  <c r="K2777" i="20"/>
  <c r="L2777" i="20" s="1"/>
  <c r="AA2776" i="20"/>
  <c r="W2776" i="20"/>
  <c r="X2776" i="20" s="1"/>
  <c r="V2776" i="20"/>
  <c r="S2776" i="20"/>
  <c r="M2776" i="20"/>
  <c r="K2776" i="20"/>
  <c r="L2776" i="20" s="1"/>
  <c r="AA2775" i="20"/>
  <c r="V2775" i="20"/>
  <c r="W2775" i="20" s="1"/>
  <c r="X2775" i="20" s="1"/>
  <c r="S2775" i="20"/>
  <c r="K2775" i="20"/>
  <c r="AC2774" i="20"/>
  <c r="AB2774" i="20"/>
  <c r="AA2774" i="20"/>
  <c r="V2774" i="20"/>
  <c r="W2774" i="20" s="1"/>
  <c r="X2774" i="20" s="1"/>
  <c r="S2774" i="20"/>
  <c r="Q2774" i="20"/>
  <c r="O2774" i="20"/>
  <c r="N2774" i="20"/>
  <c r="M2774" i="20"/>
  <c r="L2774" i="20"/>
  <c r="K2774" i="20"/>
  <c r="AA2773" i="20"/>
  <c r="V2773" i="20"/>
  <c r="W2773" i="20" s="1"/>
  <c r="X2773" i="20" s="1"/>
  <c r="S2773" i="20"/>
  <c r="N2773" i="20"/>
  <c r="O2773" i="20" s="1"/>
  <c r="M2773" i="20"/>
  <c r="L2773" i="20"/>
  <c r="AB2773" i="20" s="1"/>
  <c r="K2773" i="20"/>
  <c r="AA2772" i="20"/>
  <c r="W2772" i="20"/>
  <c r="X2772" i="20" s="1"/>
  <c r="V2772" i="20"/>
  <c r="S2772" i="20"/>
  <c r="K2772" i="20"/>
  <c r="AA2771" i="20"/>
  <c r="Y2771" i="20"/>
  <c r="V2771" i="20"/>
  <c r="W2771" i="20" s="1"/>
  <c r="X2771" i="20" s="1"/>
  <c r="S2771" i="20"/>
  <c r="L2771" i="20"/>
  <c r="K2771" i="20"/>
  <c r="M2771" i="20" s="1"/>
  <c r="AC2770" i="20"/>
  <c r="AA2770" i="20"/>
  <c r="Y2770" i="20"/>
  <c r="V2770" i="20"/>
  <c r="W2770" i="20" s="1"/>
  <c r="X2770" i="20" s="1"/>
  <c r="Z2770" i="20" s="1"/>
  <c r="S2770" i="20"/>
  <c r="K2770" i="20"/>
  <c r="M2770" i="20" s="1"/>
  <c r="Q2770" i="20" s="1"/>
  <c r="AA2769" i="20"/>
  <c r="X2769" i="20"/>
  <c r="Z2769" i="20" s="1"/>
  <c r="V2769" i="20"/>
  <c r="W2769" i="20" s="1"/>
  <c r="S2769" i="20"/>
  <c r="K2769" i="20"/>
  <c r="AA2768" i="20"/>
  <c r="V2768" i="20"/>
  <c r="W2768" i="20" s="1"/>
  <c r="X2768" i="20" s="1"/>
  <c r="S2768" i="20"/>
  <c r="K2768" i="20"/>
  <c r="AA2767" i="20"/>
  <c r="V2767" i="20"/>
  <c r="W2767" i="20" s="1"/>
  <c r="X2767" i="20" s="1"/>
  <c r="S2767" i="20"/>
  <c r="N2767" i="20"/>
  <c r="O2767" i="20" s="1"/>
  <c r="L2767" i="20"/>
  <c r="K2767" i="20"/>
  <c r="M2767" i="20" s="1"/>
  <c r="AA2766" i="20"/>
  <c r="AB2766" i="20" s="1"/>
  <c r="X2766" i="20"/>
  <c r="Z2766" i="20" s="1"/>
  <c r="V2766" i="20"/>
  <c r="W2766" i="20" s="1"/>
  <c r="S2766" i="20"/>
  <c r="Q2766" i="20"/>
  <c r="M2766" i="20"/>
  <c r="AC2766" i="20" s="1"/>
  <c r="L2766" i="20"/>
  <c r="K2766" i="20"/>
  <c r="AA2765" i="20"/>
  <c r="V2765" i="20"/>
  <c r="W2765" i="20" s="1"/>
  <c r="X2765" i="20" s="1"/>
  <c r="Z2765" i="20" s="1"/>
  <c r="S2765" i="20"/>
  <c r="L2765" i="20"/>
  <c r="K2765" i="20"/>
  <c r="M2765" i="20" s="1"/>
  <c r="AA2764" i="20"/>
  <c r="W2764" i="20"/>
  <c r="X2764" i="20" s="1"/>
  <c r="V2764" i="20"/>
  <c r="S2764" i="20"/>
  <c r="Q2764" i="20"/>
  <c r="M2764" i="20"/>
  <c r="AC2764" i="20" s="1"/>
  <c r="K2764" i="20"/>
  <c r="L2764" i="20" s="1"/>
  <c r="AB2764" i="20" s="1"/>
  <c r="AA2763" i="20"/>
  <c r="W2763" i="20"/>
  <c r="X2763" i="20" s="1"/>
  <c r="V2763" i="20"/>
  <c r="S2763" i="20"/>
  <c r="L2763" i="20"/>
  <c r="K2763" i="20"/>
  <c r="M2763" i="20" s="1"/>
  <c r="AA2762" i="20"/>
  <c r="V2762" i="20"/>
  <c r="W2762" i="20" s="1"/>
  <c r="X2762" i="20" s="1"/>
  <c r="S2762" i="20"/>
  <c r="K2762" i="20"/>
  <c r="AA2761" i="20"/>
  <c r="X2761" i="20"/>
  <c r="W2761" i="20"/>
  <c r="V2761" i="20"/>
  <c r="S2761" i="20"/>
  <c r="M2761" i="20"/>
  <c r="AC2761" i="20" s="1"/>
  <c r="K2761" i="20"/>
  <c r="L2761" i="20" s="1"/>
  <c r="AA2760" i="20"/>
  <c r="X2760" i="20"/>
  <c r="Z2760" i="20" s="1"/>
  <c r="W2760" i="20"/>
  <c r="V2760" i="20"/>
  <c r="S2760" i="20"/>
  <c r="M2760" i="20"/>
  <c r="K2760" i="20"/>
  <c r="L2760" i="20" s="1"/>
  <c r="AA2759" i="20"/>
  <c r="AB2759" i="20" s="1"/>
  <c r="Z2759" i="20"/>
  <c r="Y2759" i="20"/>
  <c r="X2759" i="20"/>
  <c r="W2759" i="20"/>
  <c r="V2759" i="20"/>
  <c r="S2759" i="20"/>
  <c r="M2759" i="20"/>
  <c r="K2759" i="20"/>
  <c r="L2759" i="20" s="1"/>
  <c r="AC2758" i="20"/>
  <c r="AA2758" i="20"/>
  <c r="W2758" i="20"/>
  <c r="X2758" i="20" s="1"/>
  <c r="V2758" i="20"/>
  <c r="S2758" i="20"/>
  <c r="Q2758" i="20"/>
  <c r="N2758" i="20"/>
  <c r="O2758" i="20" s="1"/>
  <c r="M2758" i="20"/>
  <c r="K2758" i="20"/>
  <c r="L2758" i="20" s="1"/>
  <c r="AA2757" i="20"/>
  <c r="Z2757" i="20"/>
  <c r="X2757" i="20"/>
  <c r="Y2757" i="20" s="1"/>
  <c r="W2757" i="20"/>
  <c r="V2757" i="20"/>
  <c r="S2757" i="20"/>
  <c r="M2757" i="20"/>
  <c r="AC2757" i="20" s="1"/>
  <c r="L2757" i="20"/>
  <c r="K2757" i="20"/>
  <c r="AC2756" i="20"/>
  <c r="AB2756" i="20"/>
  <c r="AA2756" i="20"/>
  <c r="W2756" i="20"/>
  <c r="X2756" i="20" s="1"/>
  <c r="V2756" i="20"/>
  <c r="S2756" i="20"/>
  <c r="Q2756" i="20"/>
  <c r="L2756" i="20"/>
  <c r="N2756" i="20" s="1"/>
  <c r="O2756" i="20" s="1"/>
  <c r="K2756" i="20"/>
  <c r="M2756" i="20" s="1"/>
  <c r="AA2755" i="20"/>
  <c r="W2755" i="20"/>
  <c r="X2755" i="20" s="1"/>
  <c r="Z2755" i="20" s="1"/>
  <c r="V2755" i="20"/>
  <c r="S2755" i="20"/>
  <c r="Q2755" i="20"/>
  <c r="M2755" i="20"/>
  <c r="AC2755" i="20" s="1"/>
  <c r="L2755" i="20"/>
  <c r="K2755" i="20"/>
  <c r="AC2754" i="20"/>
  <c r="AA2754" i="20"/>
  <c r="V2754" i="20"/>
  <c r="W2754" i="20" s="1"/>
  <c r="X2754" i="20" s="1"/>
  <c r="S2754" i="20"/>
  <c r="Q2754" i="20"/>
  <c r="L2754" i="20"/>
  <c r="K2754" i="20"/>
  <c r="M2754" i="20" s="1"/>
  <c r="AA2753" i="20"/>
  <c r="X2753" i="20"/>
  <c r="W2753" i="20"/>
  <c r="V2753" i="20"/>
  <c r="S2753" i="20"/>
  <c r="K2753" i="20"/>
  <c r="AA2752" i="20"/>
  <c r="V2752" i="20"/>
  <c r="W2752" i="20" s="1"/>
  <c r="X2752" i="20" s="1"/>
  <c r="S2752" i="20"/>
  <c r="M2752" i="20"/>
  <c r="K2752" i="20"/>
  <c r="L2752" i="20" s="1"/>
  <c r="AC2751" i="20"/>
  <c r="AB2751" i="20"/>
  <c r="AA2751" i="20"/>
  <c r="W2751" i="20"/>
  <c r="X2751" i="20" s="1"/>
  <c r="V2751" i="20"/>
  <c r="S2751" i="20"/>
  <c r="M2751" i="20"/>
  <c r="K2751" i="20"/>
  <c r="L2751" i="20" s="1"/>
  <c r="AC2750" i="20"/>
  <c r="AB2750" i="20"/>
  <c r="AA2750" i="20"/>
  <c r="V2750" i="20"/>
  <c r="W2750" i="20" s="1"/>
  <c r="X2750" i="20" s="1"/>
  <c r="S2750" i="20"/>
  <c r="M2750" i="20"/>
  <c r="Q2750" i="20" s="1"/>
  <c r="L2750" i="20"/>
  <c r="K2750" i="20"/>
  <c r="AC2749" i="20"/>
  <c r="AB2749" i="20"/>
  <c r="AA2749" i="20"/>
  <c r="V2749" i="20"/>
  <c r="W2749" i="20" s="1"/>
  <c r="X2749" i="20" s="1"/>
  <c r="S2749" i="20"/>
  <c r="Q2749" i="20"/>
  <c r="M2749" i="20"/>
  <c r="L2749" i="20"/>
  <c r="N2749" i="20" s="1"/>
  <c r="O2749" i="20" s="1"/>
  <c r="K2749" i="20"/>
  <c r="AA2748" i="20"/>
  <c r="V2748" i="20"/>
  <c r="W2748" i="20" s="1"/>
  <c r="X2748" i="20" s="1"/>
  <c r="Z2748" i="20" s="1"/>
  <c r="S2748" i="20"/>
  <c r="O2748" i="20"/>
  <c r="N2748" i="20"/>
  <c r="M2748" i="20"/>
  <c r="K2748" i="20"/>
  <c r="L2748" i="20" s="1"/>
  <c r="AC2747" i="20"/>
  <c r="AA2747" i="20"/>
  <c r="AB2747" i="20" s="1"/>
  <c r="W2747" i="20"/>
  <c r="X2747" i="20" s="1"/>
  <c r="V2747" i="20"/>
  <c r="S2747" i="20"/>
  <c r="Q2747" i="20"/>
  <c r="O2747" i="20"/>
  <c r="M2747" i="20"/>
  <c r="L2747" i="20"/>
  <c r="N2747" i="20" s="1"/>
  <c r="K2747" i="20"/>
  <c r="AA2746" i="20"/>
  <c r="V2746" i="20"/>
  <c r="W2746" i="20" s="1"/>
  <c r="X2746" i="20" s="1"/>
  <c r="S2746" i="20"/>
  <c r="N2746" i="20"/>
  <c r="O2746" i="20" s="1"/>
  <c r="M2746" i="20"/>
  <c r="L2746" i="20"/>
  <c r="K2746" i="20"/>
  <c r="AC2745" i="20"/>
  <c r="AA2745" i="20"/>
  <c r="AB2745" i="20" s="1"/>
  <c r="X2745" i="20"/>
  <c r="W2745" i="20"/>
  <c r="V2745" i="20"/>
  <c r="S2745" i="20"/>
  <c r="Q2745" i="20"/>
  <c r="O2745" i="20"/>
  <c r="N2745" i="20"/>
  <c r="M2745" i="20"/>
  <c r="K2745" i="20"/>
  <c r="L2745" i="20" s="1"/>
  <c r="AA2744" i="20"/>
  <c r="V2744" i="20"/>
  <c r="W2744" i="20" s="1"/>
  <c r="X2744" i="20" s="1"/>
  <c r="S2744" i="20"/>
  <c r="L2744" i="20"/>
  <c r="K2744" i="20"/>
  <c r="M2744" i="20" s="1"/>
  <c r="AC2743" i="20"/>
  <c r="AA2743" i="20"/>
  <c r="W2743" i="20"/>
  <c r="X2743" i="20" s="1"/>
  <c r="Z2743" i="20" s="1"/>
  <c r="V2743" i="20"/>
  <c r="S2743" i="20"/>
  <c r="K2743" i="20"/>
  <c r="M2743" i="20" s="1"/>
  <c r="Q2743" i="20" s="1"/>
  <c r="AB2742" i="20"/>
  <c r="AA2742" i="20"/>
  <c r="V2742" i="20"/>
  <c r="W2742" i="20" s="1"/>
  <c r="X2742" i="20" s="1"/>
  <c r="S2742" i="20"/>
  <c r="M2742" i="20"/>
  <c r="L2742" i="20"/>
  <c r="K2742" i="20"/>
  <c r="AA2741" i="20"/>
  <c r="Z2741" i="20"/>
  <c r="Y2741" i="20"/>
  <c r="X2741" i="20"/>
  <c r="V2741" i="20"/>
  <c r="W2741" i="20" s="1"/>
  <c r="S2741" i="20"/>
  <c r="K2741" i="20"/>
  <c r="M2741" i="20" s="1"/>
  <c r="AA2740" i="20"/>
  <c r="V2740" i="20"/>
  <c r="W2740" i="20" s="1"/>
  <c r="X2740" i="20" s="1"/>
  <c r="S2740" i="20"/>
  <c r="M2740" i="20"/>
  <c r="L2740" i="20"/>
  <c r="K2740" i="20"/>
  <c r="AA2739" i="20"/>
  <c r="Z2739" i="20"/>
  <c r="W2739" i="20"/>
  <c r="X2739" i="20" s="1"/>
  <c r="Y2739" i="20" s="1"/>
  <c r="V2739" i="20"/>
  <c r="S2739" i="20"/>
  <c r="Q2739" i="20"/>
  <c r="M2739" i="20"/>
  <c r="AC2739" i="20" s="1"/>
  <c r="L2739" i="20"/>
  <c r="K2739" i="20"/>
  <c r="AA2738" i="20"/>
  <c r="W2738" i="20"/>
  <c r="X2738" i="20" s="1"/>
  <c r="V2738" i="20"/>
  <c r="S2738" i="20"/>
  <c r="K2738" i="20"/>
  <c r="AC2737" i="20"/>
  <c r="AA2737" i="20"/>
  <c r="V2737" i="20"/>
  <c r="W2737" i="20" s="1"/>
  <c r="X2737" i="20" s="1"/>
  <c r="S2737" i="20"/>
  <c r="Q2737" i="20"/>
  <c r="N2737" i="20"/>
  <c r="O2737" i="20" s="1"/>
  <c r="L2737" i="20"/>
  <c r="AB2737" i="20" s="1"/>
  <c r="K2737" i="20"/>
  <c r="M2737" i="20" s="1"/>
  <c r="AC2736" i="20"/>
  <c r="AA2736" i="20"/>
  <c r="AB2736" i="20" s="1"/>
  <c r="X2736" i="20"/>
  <c r="Z2736" i="20" s="1"/>
  <c r="V2736" i="20"/>
  <c r="W2736" i="20" s="1"/>
  <c r="S2736" i="20"/>
  <c r="Q2736" i="20"/>
  <c r="M2736" i="20"/>
  <c r="K2736" i="20"/>
  <c r="L2736" i="20" s="1"/>
  <c r="N2736" i="20" s="1"/>
  <c r="O2736" i="20" s="1"/>
  <c r="AA2735" i="20"/>
  <c r="V2735" i="20"/>
  <c r="W2735" i="20" s="1"/>
  <c r="X2735" i="20" s="1"/>
  <c r="S2735" i="20"/>
  <c r="K2735" i="20"/>
  <c r="AC2734" i="20"/>
  <c r="AB2734" i="20"/>
  <c r="AA2734" i="20"/>
  <c r="V2734" i="20"/>
  <c r="W2734" i="20" s="1"/>
  <c r="X2734" i="20" s="1"/>
  <c r="S2734" i="20"/>
  <c r="Q2734" i="20"/>
  <c r="L2734" i="20"/>
  <c r="K2734" i="20"/>
  <c r="M2734" i="20" s="1"/>
  <c r="AA2733" i="20"/>
  <c r="W2733" i="20"/>
  <c r="X2733" i="20" s="1"/>
  <c r="V2733" i="20"/>
  <c r="S2733" i="20"/>
  <c r="Q2733" i="20"/>
  <c r="L2733" i="20"/>
  <c r="K2733" i="20"/>
  <c r="M2733" i="20" s="1"/>
  <c r="AC2733" i="20" s="1"/>
  <c r="AC2732" i="20"/>
  <c r="AB2732" i="20"/>
  <c r="AA2732" i="20"/>
  <c r="Y2732" i="20"/>
  <c r="X2732" i="20"/>
  <c r="Z2732" i="20" s="1"/>
  <c r="W2732" i="20"/>
  <c r="V2732" i="20"/>
  <c r="S2732" i="20"/>
  <c r="Q2732" i="20"/>
  <c r="M2732" i="20"/>
  <c r="L2732" i="20"/>
  <c r="K2732" i="20"/>
  <c r="AA2731" i="20"/>
  <c r="V2731" i="20"/>
  <c r="W2731" i="20" s="1"/>
  <c r="X2731" i="20" s="1"/>
  <c r="S2731" i="20"/>
  <c r="N2731" i="20"/>
  <c r="O2731" i="20" s="1"/>
  <c r="M2731" i="20"/>
  <c r="K2731" i="20"/>
  <c r="L2731" i="20" s="1"/>
  <c r="AA2730" i="20"/>
  <c r="Z2730" i="20"/>
  <c r="V2730" i="20"/>
  <c r="W2730" i="20" s="1"/>
  <c r="X2730" i="20" s="1"/>
  <c r="Y2730" i="20" s="1"/>
  <c r="S2730" i="20"/>
  <c r="L2730" i="20"/>
  <c r="K2730" i="20"/>
  <c r="M2730" i="20" s="1"/>
  <c r="AA2729" i="20"/>
  <c r="Z2729" i="20"/>
  <c r="X2729" i="20"/>
  <c r="Y2729" i="20" s="1"/>
  <c r="W2729" i="20"/>
  <c r="V2729" i="20"/>
  <c r="S2729" i="20"/>
  <c r="L2729" i="20"/>
  <c r="K2729" i="20"/>
  <c r="M2729" i="20" s="1"/>
  <c r="AA2728" i="20"/>
  <c r="Z2728" i="20"/>
  <c r="Y2728" i="20"/>
  <c r="W2728" i="20"/>
  <c r="X2728" i="20" s="1"/>
  <c r="V2728" i="20"/>
  <c r="S2728" i="20"/>
  <c r="K2728" i="20"/>
  <c r="AC2727" i="20"/>
  <c r="AA2727" i="20"/>
  <c r="AB2727" i="20" s="1"/>
  <c r="Y2727" i="20"/>
  <c r="X2727" i="20"/>
  <c r="Z2727" i="20" s="1"/>
  <c r="V2727" i="20"/>
  <c r="W2727" i="20" s="1"/>
  <c r="S2727" i="20"/>
  <c r="L2727" i="20"/>
  <c r="K2727" i="20"/>
  <c r="M2727" i="20" s="1"/>
  <c r="Q2727" i="20" s="1"/>
  <c r="AA2726" i="20"/>
  <c r="AB2726" i="20" s="1"/>
  <c r="V2726" i="20"/>
  <c r="W2726" i="20" s="1"/>
  <c r="X2726" i="20" s="1"/>
  <c r="S2726" i="20"/>
  <c r="M2726" i="20"/>
  <c r="K2726" i="20"/>
  <c r="L2726" i="20" s="1"/>
  <c r="AA2725" i="20"/>
  <c r="Z2725" i="20"/>
  <c r="X2725" i="20"/>
  <c r="Y2725" i="20" s="1"/>
  <c r="W2725" i="20"/>
  <c r="V2725" i="20"/>
  <c r="S2725" i="20"/>
  <c r="K2725" i="20"/>
  <c r="AA2724" i="20"/>
  <c r="V2724" i="20"/>
  <c r="W2724" i="20" s="1"/>
  <c r="X2724" i="20" s="1"/>
  <c r="S2724" i="20"/>
  <c r="Q2724" i="20"/>
  <c r="K2724" i="20"/>
  <c r="M2724" i="20" s="1"/>
  <c r="AC2724" i="20" s="1"/>
  <c r="AA2723" i="20"/>
  <c r="V2723" i="20"/>
  <c r="W2723" i="20" s="1"/>
  <c r="X2723" i="20" s="1"/>
  <c r="S2723" i="20"/>
  <c r="Q2723" i="20"/>
  <c r="O2723" i="20"/>
  <c r="N2723" i="20"/>
  <c r="M2723" i="20"/>
  <c r="AC2723" i="20" s="1"/>
  <c r="L2723" i="20"/>
  <c r="AB2723" i="20" s="1"/>
  <c r="K2723" i="20"/>
  <c r="AA2722" i="20"/>
  <c r="V2722" i="20"/>
  <c r="W2722" i="20" s="1"/>
  <c r="X2722" i="20" s="1"/>
  <c r="S2722" i="20"/>
  <c r="M2722" i="20"/>
  <c r="K2722" i="20"/>
  <c r="L2722" i="20" s="1"/>
  <c r="AA2721" i="20"/>
  <c r="V2721" i="20"/>
  <c r="W2721" i="20" s="1"/>
  <c r="X2721" i="20" s="1"/>
  <c r="S2721" i="20"/>
  <c r="L2721" i="20"/>
  <c r="K2721" i="20"/>
  <c r="M2721" i="20" s="1"/>
  <c r="AA2720" i="20"/>
  <c r="AB2720" i="20" s="1"/>
  <c r="W2720" i="20"/>
  <c r="X2720" i="20" s="1"/>
  <c r="V2720" i="20"/>
  <c r="S2720" i="20"/>
  <c r="Q2720" i="20"/>
  <c r="M2720" i="20"/>
  <c r="AC2720" i="20" s="1"/>
  <c r="K2720" i="20"/>
  <c r="L2720" i="20" s="1"/>
  <c r="AA2719" i="20"/>
  <c r="V2719" i="20"/>
  <c r="W2719" i="20" s="1"/>
  <c r="X2719" i="20" s="1"/>
  <c r="S2719" i="20"/>
  <c r="K2719" i="20"/>
  <c r="L2719" i="20" s="1"/>
  <c r="AB2719" i="20" s="1"/>
  <c r="AA2718" i="20"/>
  <c r="V2718" i="20"/>
  <c r="W2718" i="20" s="1"/>
  <c r="X2718" i="20" s="1"/>
  <c r="S2718" i="20"/>
  <c r="Q2718" i="20"/>
  <c r="M2718" i="20"/>
  <c r="AC2718" i="20" s="1"/>
  <c r="L2718" i="20"/>
  <c r="K2718" i="20"/>
  <c r="AA2717" i="20"/>
  <c r="Z2717" i="20"/>
  <c r="Y2717" i="20"/>
  <c r="X2717" i="20"/>
  <c r="W2717" i="20"/>
  <c r="V2717" i="20"/>
  <c r="S2717" i="20"/>
  <c r="M2717" i="20"/>
  <c r="K2717" i="20"/>
  <c r="L2717" i="20" s="1"/>
  <c r="AC2716" i="20"/>
  <c r="AB2716" i="20"/>
  <c r="AA2716" i="20"/>
  <c r="Z2716" i="20"/>
  <c r="Y2716" i="20"/>
  <c r="X2716" i="20"/>
  <c r="W2716" i="20"/>
  <c r="V2716" i="20"/>
  <c r="S2716" i="20"/>
  <c r="Q2716" i="20"/>
  <c r="M2716" i="20"/>
  <c r="K2716" i="20"/>
  <c r="L2716" i="20" s="1"/>
  <c r="AA2715" i="20"/>
  <c r="Z2715" i="20"/>
  <c r="X2715" i="20"/>
  <c r="Y2715" i="20" s="1"/>
  <c r="W2715" i="20"/>
  <c r="V2715" i="20"/>
  <c r="S2715" i="20"/>
  <c r="K2715" i="20"/>
  <c r="L2715" i="20" s="1"/>
  <c r="AC2714" i="20"/>
  <c r="AA2714" i="20"/>
  <c r="AB2714" i="20" s="1"/>
  <c r="W2714" i="20"/>
  <c r="X2714" i="20" s="1"/>
  <c r="V2714" i="20"/>
  <c r="S2714" i="20"/>
  <c r="Q2714" i="20"/>
  <c r="N2714" i="20"/>
  <c r="O2714" i="20" s="1"/>
  <c r="M2714" i="20"/>
  <c r="L2714" i="20"/>
  <c r="K2714" i="20"/>
  <c r="AC2713" i="20"/>
  <c r="AA2713" i="20"/>
  <c r="X2713" i="20"/>
  <c r="V2713" i="20"/>
  <c r="W2713" i="20" s="1"/>
  <c r="S2713" i="20"/>
  <c r="M2713" i="20"/>
  <c r="Q2713" i="20" s="1"/>
  <c r="K2713" i="20"/>
  <c r="L2713" i="20" s="1"/>
  <c r="AA2712" i="20"/>
  <c r="X2712" i="20"/>
  <c r="W2712" i="20"/>
  <c r="V2712" i="20"/>
  <c r="S2712" i="20"/>
  <c r="M2712" i="20"/>
  <c r="K2712" i="20"/>
  <c r="L2712" i="20" s="1"/>
  <c r="AC2711" i="20"/>
  <c r="AA2711" i="20"/>
  <c r="Y2711" i="20"/>
  <c r="X2711" i="20"/>
  <c r="Z2711" i="20" s="1"/>
  <c r="W2711" i="20"/>
  <c r="V2711" i="20"/>
  <c r="S2711" i="20"/>
  <c r="L2711" i="20"/>
  <c r="K2711" i="20"/>
  <c r="M2711" i="20" s="1"/>
  <c r="Q2711" i="20" s="1"/>
  <c r="AA2710" i="20"/>
  <c r="W2710" i="20"/>
  <c r="X2710" i="20" s="1"/>
  <c r="Z2710" i="20" s="1"/>
  <c r="V2710" i="20"/>
  <c r="S2710" i="20"/>
  <c r="K2710" i="20"/>
  <c r="M2710" i="20" s="1"/>
  <c r="AA2709" i="20"/>
  <c r="W2709" i="20"/>
  <c r="X2709" i="20" s="1"/>
  <c r="V2709" i="20"/>
  <c r="S2709" i="20"/>
  <c r="K2709" i="20"/>
  <c r="AC2708" i="20"/>
  <c r="AB2708" i="20"/>
  <c r="AA2708" i="20"/>
  <c r="Y2708" i="20"/>
  <c r="V2708" i="20"/>
  <c r="W2708" i="20" s="1"/>
  <c r="X2708" i="20" s="1"/>
  <c r="Z2708" i="20" s="1"/>
  <c r="S2708" i="20"/>
  <c r="M2708" i="20"/>
  <c r="Q2708" i="20" s="1"/>
  <c r="L2708" i="20"/>
  <c r="K2708" i="20"/>
  <c r="AA2707" i="20"/>
  <c r="Z2707" i="20"/>
  <c r="V2707" i="20"/>
  <c r="W2707" i="20" s="1"/>
  <c r="X2707" i="20" s="1"/>
  <c r="Y2707" i="20" s="1"/>
  <c r="S2707" i="20"/>
  <c r="L2707" i="20"/>
  <c r="K2707" i="20"/>
  <c r="M2707" i="20" s="1"/>
  <c r="AC2706" i="20"/>
  <c r="AA2706" i="20"/>
  <c r="W2706" i="20"/>
  <c r="X2706" i="20" s="1"/>
  <c r="V2706" i="20"/>
  <c r="S2706" i="20"/>
  <c r="Q2706" i="20"/>
  <c r="N2706" i="20"/>
  <c r="O2706" i="20" s="1"/>
  <c r="M2706" i="20"/>
  <c r="K2706" i="20"/>
  <c r="L2706" i="20" s="1"/>
  <c r="AB2706" i="20" s="1"/>
  <c r="AA2705" i="20"/>
  <c r="V2705" i="20"/>
  <c r="W2705" i="20" s="1"/>
  <c r="X2705" i="20" s="1"/>
  <c r="S2705" i="20"/>
  <c r="L2705" i="20"/>
  <c r="K2705" i="20"/>
  <c r="M2705" i="20" s="1"/>
  <c r="AC2704" i="20"/>
  <c r="AB2704" i="20"/>
  <c r="AA2704" i="20"/>
  <c r="Y2704" i="20"/>
  <c r="W2704" i="20"/>
  <c r="X2704" i="20" s="1"/>
  <c r="Z2704" i="20" s="1"/>
  <c r="V2704" i="20"/>
  <c r="S2704" i="20"/>
  <c r="Q2704" i="20"/>
  <c r="N2704" i="20"/>
  <c r="O2704" i="20" s="1"/>
  <c r="L2704" i="20"/>
  <c r="K2704" i="20"/>
  <c r="M2704" i="20" s="1"/>
  <c r="AA2703" i="20"/>
  <c r="Z2703" i="20"/>
  <c r="V2703" i="20"/>
  <c r="W2703" i="20" s="1"/>
  <c r="X2703" i="20" s="1"/>
  <c r="Y2703" i="20" s="1"/>
  <c r="S2703" i="20"/>
  <c r="M2703" i="20"/>
  <c r="K2703" i="20"/>
  <c r="L2703" i="20" s="1"/>
  <c r="AA2702" i="20"/>
  <c r="X2702" i="20"/>
  <c r="V2702" i="20"/>
  <c r="W2702" i="20" s="1"/>
  <c r="S2702" i="20"/>
  <c r="M2702" i="20"/>
  <c r="L2702" i="20"/>
  <c r="K2702" i="20"/>
  <c r="AC2701" i="20"/>
  <c r="AA2701" i="20"/>
  <c r="Y2701" i="20"/>
  <c r="W2701" i="20"/>
  <c r="X2701" i="20" s="1"/>
  <c r="Z2701" i="20" s="1"/>
  <c r="V2701" i="20"/>
  <c r="S2701" i="20"/>
  <c r="Q2701" i="20"/>
  <c r="N2701" i="20"/>
  <c r="O2701" i="20" s="1"/>
  <c r="M2701" i="20"/>
  <c r="K2701" i="20"/>
  <c r="L2701" i="20" s="1"/>
  <c r="AA2700" i="20"/>
  <c r="Z2700" i="20"/>
  <c r="X2700" i="20"/>
  <c r="Y2700" i="20" s="1"/>
  <c r="W2700" i="20"/>
  <c r="V2700" i="20"/>
  <c r="S2700" i="20"/>
  <c r="L2700" i="20"/>
  <c r="K2700" i="20"/>
  <c r="M2700" i="20" s="1"/>
  <c r="AA2699" i="20"/>
  <c r="W2699" i="20"/>
  <c r="X2699" i="20" s="1"/>
  <c r="Y2699" i="20" s="1"/>
  <c r="V2699" i="20"/>
  <c r="S2699" i="20"/>
  <c r="M2699" i="20"/>
  <c r="K2699" i="20"/>
  <c r="L2699" i="20" s="1"/>
  <c r="AA2698" i="20"/>
  <c r="V2698" i="20"/>
  <c r="W2698" i="20" s="1"/>
  <c r="X2698" i="20" s="1"/>
  <c r="S2698" i="20"/>
  <c r="N2698" i="20"/>
  <c r="O2698" i="20" s="1"/>
  <c r="M2698" i="20"/>
  <c r="L2698" i="20"/>
  <c r="AB2698" i="20" s="1"/>
  <c r="K2698" i="20"/>
  <c r="AC2697" i="20"/>
  <c r="AA2697" i="20"/>
  <c r="Y2697" i="20"/>
  <c r="X2697" i="20"/>
  <c r="Z2697" i="20" s="1"/>
  <c r="W2697" i="20"/>
  <c r="V2697" i="20"/>
  <c r="S2697" i="20"/>
  <c r="M2697" i="20"/>
  <c r="Q2697" i="20" s="1"/>
  <c r="L2697" i="20"/>
  <c r="K2697" i="20"/>
  <c r="AA2696" i="20"/>
  <c r="V2696" i="20"/>
  <c r="W2696" i="20" s="1"/>
  <c r="X2696" i="20" s="1"/>
  <c r="Z2696" i="20" s="1"/>
  <c r="S2696" i="20"/>
  <c r="M2696" i="20"/>
  <c r="L2696" i="20"/>
  <c r="K2696" i="20"/>
  <c r="AC2695" i="20"/>
  <c r="AA2695" i="20"/>
  <c r="W2695" i="20"/>
  <c r="X2695" i="20" s="1"/>
  <c r="V2695" i="20"/>
  <c r="S2695" i="20"/>
  <c r="K2695" i="20"/>
  <c r="M2695" i="20" s="1"/>
  <c r="Q2695" i="20" s="1"/>
  <c r="AA2694" i="20"/>
  <c r="X2694" i="20"/>
  <c r="W2694" i="20"/>
  <c r="V2694" i="20"/>
  <c r="S2694" i="20"/>
  <c r="M2694" i="20"/>
  <c r="K2694" i="20"/>
  <c r="L2694" i="20" s="1"/>
  <c r="AB2693" i="20"/>
  <c r="AA2693" i="20"/>
  <c r="V2693" i="20"/>
  <c r="W2693" i="20" s="1"/>
  <c r="X2693" i="20" s="1"/>
  <c r="S2693" i="20"/>
  <c r="K2693" i="20"/>
  <c r="L2693" i="20" s="1"/>
  <c r="AC2692" i="20"/>
  <c r="AA2692" i="20"/>
  <c r="V2692" i="20"/>
  <c r="W2692" i="20" s="1"/>
  <c r="X2692" i="20" s="1"/>
  <c r="S2692" i="20"/>
  <c r="Q2692" i="20"/>
  <c r="K2692" i="20"/>
  <c r="M2692" i="20" s="1"/>
  <c r="AA2691" i="20"/>
  <c r="X2691" i="20"/>
  <c r="V2691" i="20"/>
  <c r="W2691" i="20" s="1"/>
  <c r="S2691" i="20"/>
  <c r="M2691" i="20"/>
  <c r="L2691" i="20"/>
  <c r="K2691" i="20"/>
  <c r="AA2690" i="20"/>
  <c r="Z2690" i="20"/>
  <c r="X2690" i="20"/>
  <c r="Y2690" i="20" s="1"/>
  <c r="W2690" i="20"/>
  <c r="V2690" i="20"/>
  <c r="S2690" i="20"/>
  <c r="L2690" i="20"/>
  <c r="K2690" i="20"/>
  <c r="M2690" i="20" s="1"/>
  <c r="AA2689" i="20"/>
  <c r="V2689" i="20"/>
  <c r="W2689" i="20" s="1"/>
  <c r="X2689" i="20" s="1"/>
  <c r="Y2689" i="20" s="1"/>
  <c r="S2689" i="20"/>
  <c r="N2689" i="20"/>
  <c r="O2689" i="20" s="1"/>
  <c r="M2689" i="20"/>
  <c r="K2689" i="20"/>
  <c r="L2689" i="20" s="1"/>
  <c r="AA2688" i="20"/>
  <c r="Y2688" i="20"/>
  <c r="W2688" i="20"/>
  <c r="X2688" i="20" s="1"/>
  <c r="Z2688" i="20" s="1"/>
  <c r="V2688" i="20"/>
  <c r="S2688" i="20"/>
  <c r="Q2688" i="20"/>
  <c r="L2688" i="20"/>
  <c r="K2688" i="20"/>
  <c r="M2688" i="20" s="1"/>
  <c r="AC2688" i="20" s="1"/>
  <c r="AA2687" i="20"/>
  <c r="V2687" i="20"/>
  <c r="W2687" i="20" s="1"/>
  <c r="X2687" i="20" s="1"/>
  <c r="S2687" i="20"/>
  <c r="L2687" i="20"/>
  <c r="K2687" i="20"/>
  <c r="M2687" i="20" s="1"/>
  <c r="AA2686" i="20"/>
  <c r="Z2686" i="20"/>
  <c r="V2686" i="20"/>
  <c r="W2686" i="20" s="1"/>
  <c r="X2686" i="20" s="1"/>
  <c r="Y2686" i="20" s="1"/>
  <c r="S2686" i="20"/>
  <c r="Q2686" i="20"/>
  <c r="L2686" i="20"/>
  <c r="K2686" i="20"/>
  <c r="M2686" i="20" s="1"/>
  <c r="AC2686" i="20" s="1"/>
  <c r="AC2685" i="20"/>
  <c r="AA2685" i="20"/>
  <c r="W2685" i="20"/>
  <c r="X2685" i="20" s="1"/>
  <c r="V2685" i="20"/>
  <c r="S2685" i="20"/>
  <c r="Q2685" i="20"/>
  <c r="K2685" i="20"/>
  <c r="M2685" i="20" s="1"/>
  <c r="AA2684" i="20"/>
  <c r="W2684" i="20"/>
  <c r="X2684" i="20" s="1"/>
  <c r="Z2684" i="20" s="1"/>
  <c r="V2684" i="20"/>
  <c r="S2684" i="20"/>
  <c r="K2684" i="20"/>
  <c r="M2684" i="20" s="1"/>
  <c r="AC2683" i="20"/>
  <c r="AA2683" i="20"/>
  <c r="V2683" i="20"/>
  <c r="W2683" i="20" s="1"/>
  <c r="X2683" i="20" s="1"/>
  <c r="S2683" i="20"/>
  <c r="Q2683" i="20"/>
  <c r="N2683" i="20"/>
  <c r="O2683" i="20" s="1"/>
  <c r="M2683" i="20"/>
  <c r="L2683" i="20"/>
  <c r="K2683" i="20"/>
  <c r="AA2682" i="20"/>
  <c r="V2682" i="20"/>
  <c r="W2682" i="20" s="1"/>
  <c r="X2682" i="20" s="1"/>
  <c r="S2682" i="20"/>
  <c r="M2682" i="20"/>
  <c r="K2682" i="20"/>
  <c r="L2682" i="20" s="1"/>
  <c r="AA2681" i="20"/>
  <c r="X2681" i="20"/>
  <c r="Z2681" i="20" s="1"/>
  <c r="V2681" i="20"/>
  <c r="W2681" i="20" s="1"/>
  <c r="S2681" i="20"/>
  <c r="K2681" i="20"/>
  <c r="M2681" i="20" s="1"/>
  <c r="AC2680" i="20"/>
  <c r="AA2680" i="20"/>
  <c r="W2680" i="20"/>
  <c r="X2680" i="20" s="1"/>
  <c r="V2680" i="20"/>
  <c r="S2680" i="20"/>
  <c r="M2680" i="20"/>
  <c r="Q2680" i="20" s="1"/>
  <c r="K2680" i="20"/>
  <c r="L2680" i="20" s="1"/>
  <c r="AB2680" i="20" s="1"/>
  <c r="AA2679" i="20"/>
  <c r="W2679" i="20"/>
  <c r="X2679" i="20" s="1"/>
  <c r="V2679" i="20"/>
  <c r="S2679" i="20"/>
  <c r="K2679" i="20"/>
  <c r="AA2678" i="20"/>
  <c r="V2678" i="20"/>
  <c r="W2678" i="20" s="1"/>
  <c r="X2678" i="20" s="1"/>
  <c r="S2678" i="20"/>
  <c r="K2678" i="20"/>
  <c r="AA2677" i="20"/>
  <c r="V2677" i="20"/>
  <c r="W2677" i="20" s="1"/>
  <c r="X2677" i="20" s="1"/>
  <c r="S2677" i="20"/>
  <c r="Q2677" i="20"/>
  <c r="K2677" i="20"/>
  <c r="M2677" i="20" s="1"/>
  <c r="AC2677" i="20" s="1"/>
  <c r="AB2676" i="20"/>
  <c r="AA2676" i="20"/>
  <c r="Z2676" i="20"/>
  <c r="V2676" i="20"/>
  <c r="W2676" i="20" s="1"/>
  <c r="X2676" i="20" s="1"/>
  <c r="Y2676" i="20" s="1"/>
  <c r="S2676" i="20"/>
  <c r="Q2676" i="20"/>
  <c r="M2676" i="20"/>
  <c r="AC2676" i="20" s="1"/>
  <c r="K2676" i="20"/>
  <c r="L2676" i="20" s="1"/>
  <c r="AA2675" i="20"/>
  <c r="V2675" i="20"/>
  <c r="W2675" i="20" s="1"/>
  <c r="X2675" i="20" s="1"/>
  <c r="S2675" i="20"/>
  <c r="M2675" i="20"/>
  <c r="L2675" i="20"/>
  <c r="K2675" i="20"/>
  <c r="AC2674" i="20"/>
  <c r="AA2674" i="20"/>
  <c r="AB2674" i="20" s="1"/>
  <c r="V2674" i="20"/>
  <c r="W2674" i="20" s="1"/>
  <c r="X2674" i="20" s="1"/>
  <c r="Y2674" i="20" s="1"/>
  <c r="S2674" i="20"/>
  <c r="M2674" i="20"/>
  <c r="Q2674" i="20" s="1"/>
  <c r="L2674" i="20"/>
  <c r="K2674" i="20"/>
  <c r="AA2673" i="20"/>
  <c r="Y2673" i="20"/>
  <c r="V2673" i="20"/>
  <c r="W2673" i="20" s="1"/>
  <c r="X2673" i="20" s="1"/>
  <c r="Z2673" i="20" s="1"/>
  <c r="S2673" i="20"/>
  <c r="O2673" i="20"/>
  <c r="N2673" i="20"/>
  <c r="M2673" i="20"/>
  <c r="L2673" i="20"/>
  <c r="K2673" i="20"/>
  <c r="AC2672" i="20"/>
  <c r="AA2672" i="20"/>
  <c r="Z2672" i="20"/>
  <c r="V2672" i="20"/>
  <c r="W2672" i="20" s="1"/>
  <c r="X2672" i="20" s="1"/>
  <c r="Y2672" i="20" s="1"/>
  <c r="S2672" i="20"/>
  <c r="Q2672" i="20"/>
  <c r="M2672" i="20"/>
  <c r="L2672" i="20"/>
  <c r="K2672" i="20"/>
  <c r="AA2671" i="20"/>
  <c r="Z2671" i="20"/>
  <c r="W2671" i="20"/>
  <c r="X2671" i="20" s="1"/>
  <c r="Y2671" i="20" s="1"/>
  <c r="V2671" i="20"/>
  <c r="S2671" i="20"/>
  <c r="N2671" i="20"/>
  <c r="O2671" i="20" s="1"/>
  <c r="L2671" i="20"/>
  <c r="K2671" i="20"/>
  <c r="M2671" i="20" s="1"/>
  <c r="AC2670" i="20"/>
  <c r="AA2670" i="20"/>
  <c r="AB2670" i="20" s="1"/>
  <c r="W2670" i="20"/>
  <c r="X2670" i="20" s="1"/>
  <c r="V2670" i="20"/>
  <c r="S2670" i="20"/>
  <c r="Q2670" i="20"/>
  <c r="L2670" i="20"/>
  <c r="K2670" i="20"/>
  <c r="M2670" i="20" s="1"/>
  <c r="AA2669" i="20"/>
  <c r="V2669" i="20"/>
  <c r="W2669" i="20" s="1"/>
  <c r="X2669" i="20" s="1"/>
  <c r="S2669" i="20"/>
  <c r="K2669" i="20"/>
  <c r="M2669" i="20" s="1"/>
  <c r="Q2669" i="20" s="1"/>
  <c r="AA2668" i="20"/>
  <c r="W2668" i="20"/>
  <c r="X2668" i="20" s="1"/>
  <c r="V2668" i="20"/>
  <c r="S2668" i="20"/>
  <c r="K2668" i="20"/>
  <c r="AC2667" i="20"/>
  <c r="AB2667" i="20"/>
  <c r="AA2667" i="20"/>
  <c r="V2667" i="20"/>
  <c r="W2667" i="20" s="1"/>
  <c r="X2667" i="20" s="1"/>
  <c r="Z2667" i="20" s="1"/>
  <c r="S2667" i="20"/>
  <c r="Q2667" i="20"/>
  <c r="M2667" i="20"/>
  <c r="N2667" i="20" s="1"/>
  <c r="O2667" i="20" s="1"/>
  <c r="L2667" i="20"/>
  <c r="K2667" i="20"/>
  <c r="AA2666" i="20"/>
  <c r="Z2666" i="20"/>
  <c r="X2666" i="20"/>
  <c r="Y2666" i="20" s="1"/>
  <c r="W2666" i="20"/>
  <c r="V2666" i="20"/>
  <c r="S2666" i="20"/>
  <c r="K2666" i="20"/>
  <c r="AB2665" i="20"/>
  <c r="AA2665" i="20"/>
  <c r="V2665" i="20"/>
  <c r="W2665" i="20" s="1"/>
  <c r="X2665" i="20" s="1"/>
  <c r="S2665" i="20"/>
  <c r="M2665" i="20"/>
  <c r="N2665" i="20" s="1"/>
  <c r="O2665" i="20" s="1"/>
  <c r="L2665" i="20"/>
  <c r="K2665" i="20"/>
  <c r="AA2664" i="20"/>
  <c r="V2664" i="20"/>
  <c r="W2664" i="20" s="1"/>
  <c r="X2664" i="20" s="1"/>
  <c r="S2664" i="20"/>
  <c r="M2664" i="20"/>
  <c r="L2664" i="20"/>
  <c r="K2664" i="20"/>
  <c r="AA2663" i="20"/>
  <c r="V2663" i="20"/>
  <c r="W2663" i="20" s="1"/>
  <c r="X2663" i="20" s="1"/>
  <c r="S2663" i="20"/>
  <c r="Q2663" i="20"/>
  <c r="M2663" i="20"/>
  <c r="AC2663" i="20" s="1"/>
  <c r="L2663" i="20"/>
  <c r="K2663" i="20"/>
  <c r="AA2662" i="20"/>
  <c r="V2662" i="20"/>
  <c r="W2662" i="20" s="1"/>
  <c r="X2662" i="20" s="1"/>
  <c r="S2662" i="20"/>
  <c r="M2662" i="20"/>
  <c r="K2662" i="20"/>
  <c r="L2662" i="20" s="1"/>
  <c r="AA2661" i="20"/>
  <c r="W2661" i="20"/>
  <c r="X2661" i="20" s="1"/>
  <c r="Z2661" i="20" s="1"/>
  <c r="V2661" i="20"/>
  <c r="S2661" i="20"/>
  <c r="M2661" i="20"/>
  <c r="Q2661" i="20" s="1"/>
  <c r="L2661" i="20"/>
  <c r="K2661" i="20"/>
  <c r="AA2660" i="20"/>
  <c r="W2660" i="20"/>
  <c r="X2660" i="20" s="1"/>
  <c r="V2660" i="20"/>
  <c r="S2660" i="20"/>
  <c r="M2660" i="20"/>
  <c r="K2660" i="20"/>
  <c r="L2660" i="20" s="1"/>
  <c r="AA2659" i="20"/>
  <c r="V2659" i="20"/>
  <c r="W2659" i="20" s="1"/>
  <c r="X2659" i="20" s="1"/>
  <c r="S2659" i="20"/>
  <c r="K2659" i="20"/>
  <c r="M2659" i="20" s="1"/>
  <c r="AA2658" i="20"/>
  <c r="V2658" i="20"/>
  <c r="W2658" i="20" s="1"/>
  <c r="X2658" i="20" s="1"/>
  <c r="S2658" i="20"/>
  <c r="M2658" i="20"/>
  <c r="K2658" i="20"/>
  <c r="L2658" i="20" s="1"/>
  <c r="AA2657" i="20"/>
  <c r="W2657" i="20"/>
  <c r="X2657" i="20" s="1"/>
  <c r="Y2657" i="20" s="1"/>
  <c r="V2657" i="20"/>
  <c r="S2657" i="20"/>
  <c r="M2657" i="20"/>
  <c r="AC2657" i="20" s="1"/>
  <c r="L2657" i="20"/>
  <c r="K2657" i="20"/>
  <c r="AA2656" i="20"/>
  <c r="X2656" i="20"/>
  <c r="W2656" i="20"/>
  <c r="V2656" i="20"/>
  <c r="S2656" i="20"/>
  <c r="K2656" i="20"/>
  <c r="AA2655" i="20"/>
  <c r="W2655" i="20"/>
  <c r="X2655" i="20" s="1"/>
  <c r="V2655" i="20"/>
  <c r="S2655" i="20"/>
  <c r="Q2655" i="20"/>
  <c r="M2655" i="20"/>
  <c r="AC2655" i="20" s="1"/>
  <c r="K2655" i="20"/>
  <c r="L2655" i="20" s="1"/>
  <c r="AA2654" i="20"/>
  <c r="V2654" i="20"/>
  <c r="W2654" i="20" s="1"/>
  <c r="X2654" i="20" s="1"/>
  <c r="S2654" i="20"/>
  <c r="M2654" i="20"/>
  <c r="K2654" i="20"/>
  <c r="L2654" i="20" s="1"/>
  <c r="AA2653" i="20"/>
  <c r="Z2653" i="20"/>
  <c r="W2653" i="20"/>
  <c r="X2653" i="20" s="1"/>
  <c r="Y2653" i="20" s="1"/>
  <c r="V2653" i="20"/>
  <c r="S2653" i="20"/>
  <c r="K2653" i="20"/>
  <c r="M2653" i="20" s="1"/>
  <c r="AC2653" i="20" s="1"/>
  <c r="AA2652" i="20"/>
  <c r="X2652" i="20"/>
  <c r="V2652" i="20"/>
  <c r="W2652" i="20" s="1"/>
  <c r="S2652" i="20"/>
  <c r="M2652" i="20"/>
  <c r="L2652" i="20"/>
  <c r="K2652" i="20"/>
  <c r="AA2651" i="20"/>
  <c r="V2651" i="20"/>
  <c r="W2651" i="20" s="1"/>
  <c r="X2651" i="20" s="1"/>
  <c r="S2651" i="20"/>
  <c r="K2651" i="20"/>
  <c r="M2651" i="20" s="1"/>
  <c r="AA2650" i="20"/>
  <c r="V2650" i="20"/>
  <c r="W2650" i="20" s="1"/>
  <c r="X2650" i="20" s="1"/>
  <c r="S2650" i="20"/>
  <c r="M2650" i="20"/>
  <c r="K2650" i="20"/>
  <c r="L2650" i="20" s="1"/>
  <c r="AA2649" i="20"/>
  <c r="V2649" i="20"/>
  <c r="W2649" i="20" s="1"/>
  <c r="X2649" i="20" s="1"/>
  <c r="S2649" i="20"/>
  <c r="M2649" i="20"/>
  <c r="L2649" i="20"/>
  <c r="K2649" i="20"/>
  <c r="AA2648" i="20"/>
  <c r="V2648" i="20"/>
  <c r="W2648" i="20" s="1"/>
  <c r="X2648" i="20" s="1"/>
  <c r="S2648" i="20"/>
  <c r="K2648" i="20"/>
  <c r="L2648" i="20" s="1"/>
  <c r="AB2648" i="20" s="1"/>
  <c r="AA2647" i="20"/>
  <c r="AB2647" i="20" s="1"/>
  <c r="Z2647" i="20"/>
  <c r="W2647" i="20"/>
  <c r="X2647" i="20" s="1"/>
  <c r="Y2647" i="20" s="1"/>
  <c r="V2647" i="20"/>
  <c r="S2647" i="20"/>
  <c r="M2647" i="20"/>
  <c r="L2647" i="20"/>
  <c r="K2647" i="20"/>
  <c r="AA2646" i="20"/>
  <c r="V2646" i="20"/>
  <c r="W2646" i="20" s="1"/>
  <c r="X2646" i="20" s="1"/>
  <c r="S2646" i="20"/>
  <c r="K2646" i="20"/>
  <c r="AA2645" i="20"/>
  <c r="Z2645" i="20"/>
  <c r="X2645" i="20"/>
  <c r="Y2645" i="20" s="1"/>
  <c r="V2645" i="20"/>
  <c r="W2645" i="20" s="1"/>
  <c r="S2645" i="20"/>
  <c r="K2645" i="20"/>
  <c r="AC2644" i="20"/>
  <c r="AB2644" i="20"/>
  <c r="AA2644" i="20"/>
  <c r="Z2644" i="20"/>
  <c r="Y2644" i="20"/>
  <c r="X2644" i="20"/>
  <c r="W2644" i="20"/>
  <c r="V2644" i="20"/>
  <c r="S2644" i="20"/>
  <c r="M2644" i="20"/>
  <c r="Q2644" i="20" s="1"/>
  <c r="K2644" i="20"/>
  <c r="L2644" i="20" s="1"/>
  <c r="AC2643" i="20"/>
  <c r="AA2643" i="20"/>
  <c r="W2643" i="20"/>
  <c r="X2643" i="20" s="1"/>
  <c r="V2643" i="20"/>
  <c r="S2643" i="20"/>
  <c r="K2643" i="20"/>
  <c r="M2643" i="20" s="1"/>
  <c r="Q2643" i="20" s="1"/>
  <c r="AC2642" i="20"/>
  <c r="AA2642" i="20"/>
  <c r="Z2642" i="20"/>
  <c r="V2642" i="20"/>
  <c r="W2642" i="20" s="1"/>
  <c r="X2642" i="20" s="1"/>
  <c r="Y2642" i="20" s="1"/>
  <c r="S2642" i="20"/>
  <c r="Q2642" i="20"/>
  <c r="K2642" i="20"/>
  <c r="M2642" i="20" s="1"/>
  <c r="AA2641" i="20"/>
  <c r="V2641" i="20"/>
  <c r="W2641" i="20" s="1"/>
  <c r="X2641" i="20" s="1"/>
  <c r="S2641" i="20"/>
  <c r="K2641" i="20"/>
  <c r="AA2640" i="20"/>
  <c r="X2640" i="20"/>
  <c r="W2640" i="20"/>
  <c r="V2640" i="20"/>
  <c r="S2640" i="20"/>
  <c r="K2640" i="20"/>
  <c r="AC2639" i="20"/>
  <c r="AA2639" i="20"/>
  <c r="AB2639" i="20" s="1"/>
  <c r="Z2639" i="20"/>
  <c r="Y2639" i="20"/>
  <c r="V2639" i="20"/>
  <c r="W2639" i="20" s="1"/>
  <c r="X2639" i="20" s="1"/>
  <c r="S2639" i="20"/>
  <c r="L2639" i="20"/>
  <c r="K2639" i="20"/>
  <c r="M2639" i="20" s="1"/>
  <c r="Q2639" i="20" s="1"/>
  <c r="AB2638" i="20"/>
  <c r="AA2638" i="20"/>
  <c r="V2638" i="20"/>
  <c r="W2638" i="20" s="1"/>
  <c r="X2638" i="20" s="1"/>
  <c r="S2638" i="20"/>
  <c r="M2638" i="20"/>
  <c r="K2638" i="20"/>
  <c r="L2638" i="20" s="1"/>
  <c r="AA2637" i="20"/>
  <c r="W2637" i="20"/>
  <c r="X2637" i="20" s="1"/>
  <c r="V2637" i="20"/>
  <c r="S2637" i="20"/>
  <c r="K2637" i="20"/>
  <c r="M2637" i="20" s="1"/>
  <c r="AA2636" i="20"/>
  <c r="X2636" i="20"/>
  <c r="V2636" i="20"/>
  <c r="W2636" i="20" s="1"/>
  <c r="S2636" i="20"/>
  <c r="Q2636" i="20"/>
  <c r="M2636" i="20"/>
  <c r="AC2636" i="20" s="1"/>
  <c r="K2636" i="20"/>
  <c r="L2636" i="20" s="1"/>
  <c r="AA2635" i="20"/>
  <c r="W2635" i="20"/>
  <c r="X2635" i="20" s="1"/>
  <c r="V2635" i="20"/>
  <c r="S2635" i="20"/>
  <c r="K2635" i="20"/>
  <c r="AA2634" i="20"/>
  <c r="W2634" i="20"/>
  <c r="X2634" i="20" s="1"/>
  <c r="V2634" i="20"/>
  <c r="S2634" i="20"/>
  <c r="K2634" i="20"/>
  <c r="AA2633" i="20"/>
  <c r="X2633" i="20"/>
  <c r="W2633" i="20"/>
  <c r="V2633" i="20"/>
  <c r="S2633" i="20"/>
  <c r="M2633" i="20"/>
  <c r="L2633" i="20"/>
  <c r="K2633" i="20"/>
  <c r="AB2632" i="20"/>
  <c r="AA2632" i="20"/>
  <c r="V2632" i="20"/>
  <c r="W2632" i="20" s="1"/>
  <c r="X2632" i="20" s="1"/>
  <c r="S2632" i="20"/>
  <c r="Q2632" i="20"/>
  <c r="M2632" i="20"/>
  <c r="AC2632" i="20" s="1"/>
  <c r="L2632" i="20"/>
  <c r="K2632" i="20"/>
  <c r="AC2631" i="20"/>
  <c r="AB2631" i="20"/>
  <c r="AA2631" i="20"/>
  <c r="Z2631" i="20"/>
  <c r="V2631" i="20"/>
  <c r="W2631" i="20" s="1"/>
  <c r="X2631" i="20" s="1"/>
  <c r="Y2631" i="20" s="1"/>
  <c r="S2631" i="20"/>
  <c r="Q2631" i="20"/>
  <c r="O2631" i="20"/>
  <c r="N2631" i="20"/>
  <c r="L2631" i="20"/>
  <c r="K2631" i="20"/>
  <c r="M2631" i="20" s="1"/>
  <c r="AA2630" i="20"/>
  <c r="V2630" i="20"/>
  <c r="W2630" i="20" s="1"/>
  <c r="X2630" i="20" s="1"/>
  <c r="S2630" i="20"/>
  <c r="L2630" i="20"/>
  <c r="K2630" i="20"/>
  <c r="M2630" i="20" s="1"/>
  <c r="AA2629" i="20"/>
  <c r="Z2629" i="20"/>
  <c r="Y2629" i="20"/>
  <c r="X2629" i="20"/>
  <c r="V2629" i="20"/>
  <c r="W2629" i="20" s="1"/>
  <c r="S2629" i="20"/>
  <c r="M2629" i="20"/>
  <c r="L2629" i="20"/>
  <c r="K2629" i="20"/>
  <c r="AA2628" i="20"/>
  <c r="Z2628" i="20"/>
  <c r="Y2628" i="20"/>
  <c r="X2628" i="20"/>
  <c r="W2628" i="20"/>
  <c r="V2628" i="20"/>
  <c r="S2628" i="20"/>
  <c r="K2628" i="20"/>
  <c r="AC2627" i="20"/>
  <c r="AB2627" i="20"/>
  <c r="AA2627" i="20"/>
  <c r="Z2627" i="20"/>
  <c r="Y2627" i="20"/>
  <c r="X2627" i="20"/>
  <c r="V2627" i="20"/>
  <c r="W2627" i="20" s="1"/>
  <c r="S2627" i="20"/>
  <c r="M2627" i="20"/>
  <c r="Q2627" i="20" s="1"/>
  <c r="L2627" i="20"/>
  <c r="K2627" i="20"/>
  <c r="AA2626" i="20"/>
  <c r="X2626" i="20"/>
  <c r="Z2626" i="20" s="1"/>
  <c r="W2626" i="20"/>
  <c r="V2626" i="20"/>
  <c r="S2626" i="20"/>
  <c r="K2626" i="20"/>
  <c r="AC2625" i="20"/>
  <c r="AA2625" i="20"/>
  <c r="AB2625" i="20" s="1"/>
  <c r="Z2625" i="20"/>
  <c r="Y2625" i="20"/>
  <c r="V2625" i="20"/>
  <c r="W2625" i="20" s="1"/>
  <c r="X2625" i="20" s="1"/>
  <c r="S2625" i="20"/>
  <c r="Q2625" i="20"/>
  <c r="N2625" i="20"/>
  <c r="O2625" i="20" s="1"/>
  <c r="M2625" i="20"/>
  <c r="K2625" i="20"/>
  <c r="L2625" i="20" s="1"/>
  <c r="AA2624" i="20"/>
  <c r="V2624" i="20"/>
  <c r="W2624" i="20" s="1"/>
  <c r="X2624" i="20" s="1"/>
  <c r="S2624" i="20"/>
  <c r="Q2624" i="20"/>
  <c r="L2624" i="20"/>
  <c r="AB2624" i="20" s="1"/>
  <c r="K2624" i="20"/>
  <c r="M2624" i="20" s="1"/>
  <c r="AC2624" i="20" s="1"/>
  <c r="AC2623" i="20"/>
  <c r="AB2623" i="20"/>
  <c r="AA2623" i="20"/>
  <c r="V2623" i="20"/>
  <c r="W2623" i="20" s="1"/>
  <c r="X2623" i="20" s="1"/>
  <c r="S2623" i="20"/>
  <c r="Q2623" i="20"/>
  <c r="O2623" i="20"/>
  <c r="N2623" i="20"/>
  <c r="M2623" i="20"/>
  <c r="L2623" i="20"/>
  <c r="K2623" i="20"/>
  <c r="AA2622" i="20"/>
  <c r="Z2622" i="20"/>
  <c r="W2622" i="20"/>
  <c r="X2622" i="20" s="1"/>
  <c r="Y2622" i="20" s="1"/>
  <c r="V2622" i="20"/>
  <c r="S2622" i="20"/>
  <c r="O2622" i="20"/>
  <c r="N2622" i="20"/>
  <c r="M2622" i="20"/>
  <c r="AC2622" i="20" s="1"/>
  <c r="L2622" i="20"/>
  <c r="K2622" i="20"/>
  <c r="AC2621" i="20"/>
  <c r="AA2621" i="20"/>
  <c r="V2621" i="20"/>
  <c r="W2621" i="20" s="1"/>
  <c r="X2621" i="20" s="1"/>
  <c r="S2621" i="20"/>
  <c r="Q2621" i="20"/>
  <c r="K2621" i="20"/>
  <c r="M2621" i="20" s="1"/>
  <c r="AA2620" i="20"/>
  <c r="Y2620" i="20"/>
  <c r="X2620" i="20"/>
  <c r="Z2620" i="20" s="1"/>
  <c r="V2620" i="20"/>
  <c r="W2620" i="20" s="1"/>
  <c r="S2620" i="20"/>
  <c r="M2620" i="20"/>
  <c r="L2620" i="20"/>
  <c r="K2620" i="20"/>
  <c r="AA2619" i="20"/>
  <c r="W2619" i="20"/>
  <c r="X2619" i="20" s="1"/>
  <c r="V2619" i="20"/>
  <c r="S2619" i="20"/>
  <c r="K2619" i="20"/>
  <c r="AA2618" i="20"/>
  <c r="AB2618" i="20" s="1"/>
  <c r="V2618" i="20"/>
  <c r="W2618" i="20" s="1"/>
  <c r="X2618" i="20" s="1"/>
  <c r="S2618" i="20"/>
  <c r="K2618" i="20"/>
  <c r="L2618" i="20" s="1"/>
  <c r="AC2617" i="20"/>
  <c r="AA2617" i="20"/>
  <c r="V2617" i="20"/>
  <c r="W2617" i="20" s="1"/>
  <c r="X2617" i="20" s="1"/>
  <c r="S2617" i="20"/>
  <c r="L2617" i="20"/>
  <c r="K2617" i="20"/>
  <c r="M2617" i="20" s="1"/>
  <c r="Q2617" i="20" s="1"/>
  <c r="AC2616" i="20"/>
  <c r="AA2616" i="20"/>
  <c r="X2616" i="20"/>
  <c r="V2616" i="20"/>
  <c r="W2616" i="20" s="1"/>
  <c r="S2616" i="20"/>
  <c r="N2616" i="20"/>
  <c r="O2616" i="20" s="1"/>
  <c r="M2616" i="20"/>
  <c r="Q2616" i="20" s="1"/>
  <c r="K2616" i="20"/>
  <c r="L2616" i="20" s="1"/>
  <c r="AB2616" i="20" s="1"/>
  <c r="AC2615" i="20"/>
  <c r="AA2615" i="20"/>
  <c r="Y2615" i="20"/>
  <c r="W2615" i="20"/>
  <c r="X2615" i="20" s="1"/>
  <c r="Z2615" i="20" s="1"/>
  <c r="V2615" i="20"/>
  <c r="S2615" i="20"/>
  <c r="M2615" i="20"/>
  <c r="Q2615" i="20" s="1"/>
  <c r="L2615" i="20"/>
  <c r="K2615" i="20"/>
  <c r="AA2614" i="20"/>
  <c r="Y2614" i="20"/>
  <c r="V2614" i="20"/>
  <c r="W2614" i="20" s="1"/>
  <c r="X2614" i="20" s="1"/>
  <c r="Z2614" i="20" s="1"/>
  <c r="S2614" i="20"/>
  <c r="K2614" i="20"/>
  <c r="AC2613" i="20"/>
  <c r="AA2613" i="20"/>
  <c r="Y2613" i="20"/>
  <c r="W2613" i="20"/>
  <c r="X2613" i="20" s="1"/>
  <c r="Z2613" i="20" s="1"/>
  <c r="V2613" i="20"/>
  <c r="S2613" i="20"/>
  <c r="K2613" i="20"/>
  <c r="M2613" i="20" s="1"/>
  <c r="Q2613" i="20" s="1"/>
  <c r="AC2612" i="20"/>
  <c r="AA2612" i="20"/>
  <c r="W2612" i="20"/>
  <c r="X2612" i="20" s="1"/>
  <c r="V2612" i="20"/>
  <c r="S2612" i="20"/>
  <c r="M2612" i="20"/>
  <c r="Q2612" i="20" s="1"/>
  <c r="K2612" i="20"/>
  <c r="L2612" i="20" s="1"/>
  <c r="AA2611" i="20"/>
  <c r="X2611" i="20"/>
  <c r="W2611" i="20"/>
  <c r="V2611" i="20"/>
  <c r="S2611" i="20"/>
  <c r="K2611" i="20"/>
  <c r="AC2610" i="20"/>
  <c r="AA2610" i="20"/>
  <c r="AB2610" i="20" s="1"/>
  <c r="V2610" i="20"/>
  <c r="W2610" i="20" s="1"/>
  <c r="X2610" i="20" s="1"/>
  <c r="S2610" i="20"/>
  <c r="M2610" i="20"/>
  <c r="Q2610" i="20" s="1"/>
  <c r="L2610" i="20"/>
  <c r="K2610" i="20"/>
  <c r="AA2609" i="20"/>
  <c r="W2609" i="20"/>
  <c r="X2609" i="20" s="1"/>
  <c r="V2609" i="20"/>
  <c r="S2609" i="20"/>
  <c r="K2609" i="20"/>
  <c r="M2609" i="20" s="1"/>
  <c r="AC2609" i="20" s="1"/>
  <c r="AA2608" i="20"/>
  <c r="W2608" i="20"/>
  <c r="X2608" i="20" s="1"/>
  <c r="V2608" i="20"/>
  <c r="S2608" i="20"/>
  <c r="N2608" i="20"/>
  <c r="O2608" i="20" s="1"/>
  <c r="L2608" i="20"/>
  <c r="K2608" i="20"/>
  <c r="M2608" i="20" s="1"/>
  <c r="AA2607" i="20"/>
  <c r="W2607" i="20"/>
  <c r="X2607" i="20" s="1"/>
  <c r="V2607" i="20"/>
  <c r="S2607" i="20"/>
  <c r="K2607" i="20"/>
  <c r="AC2606" i="20"/>
  <c r="AA2606" i="20"/>
  <c r="V2606" i="20"/>
  <c r="W2606" i="20" s="1"/>
  <c r="X2606" i="20" s="1"/>
  <c r="S2606" i="20"/>
  <c r="Q2606" i="20"/>
  <c r="L2606" i="20"/>
  <c r="K2606" i="20"/>
  <c r="M2606" i="20" s="1"/>
  <c r="AA2605" i="20"/>
  <c r="X2605" i="20"/>
  <c r="Z2605" i="20" s="1"/>
  <c r="W2605" i="20"/>
  <c r="V2605" i="20"/>
  <c r="S2605" i="20"/>
  <c r="K2605" i="20"/>
  <c r="AC2604" i="20"/>
  <c r="AA2604" i="20"/>
  <c r="W2604" i="20"/>
  <c r="X2604" i="20" s="1"/>
  <c r="V2604" i="20"/>
  <c r="S2604" i="20"/>
  <c r="Q2604" i="20"/>
  <c r="M2604" i="20"/>
  <c r="K2604" i="20"/>
  <c r="L2604" i="20" s="1"/>
  <c r="AC2603" i="20"/>
  <c r="AB2603" i="20"/>
  <c r="AA2603" i="20"/>
  <c r="V2603" i="20"/>
  <c r="W2603" i="20" s="1"/>
  <c r="X2603" i="20" s="1"/>
  <c r="S2603" i="20"/>
  <c r="Q2603" i="20"/>
  <c r="M2603" i="20"/>
  <c r="K2603" i="20"/>
  <c r="L2603" i="20" s="1"/>
  <c r="N2603" i="20" s="1"/>
  <c r="O2603" i="20" s="1"/>
  <c r="AC2602" i="20"/>
  <c r="AA2602" i="20"/>
  <c r="AB2602" i="20" s="1"/>
  <c r="V2602" i="20"/>
  <c r="W2602" i="20" s="1"/>
  <c r="X2602" i="20" s="1"/>
  <c r="Z2602" i="20" s="1"/>
  <c r="S2602" i="20"/>
  <c r="Q2602" i="20"/>
  <c r="N2602" i="20"/>
  <c r="O2602" i="20" s="1"/>
  <c r="M2602" i="20"/>
  <c r="K2602" i="20"/>
  <c r="L2602" i="20" s="1"/>
  <c r="AA2601" i="20"/>
  <c r="AB2601" i="20" s="1"/>
  <c r="V2601" i="20"/>
  <c r="W2601" i="20" s="1"/>
  <c r="X2601" i="20" s="1"/>
  <c r="Y2601" i="20" s="1"/>
  <c r="S2601" i="20"/>
  <c r="L2601" i="20"/>
  <c r="K2601" i="20"/>
  <c r="M2601" i="20" s="1"/>
  <c r="AC2600" i="20"/>
  <c r="AA2600" i="20"/>
  <c r="AB2600" i="20" s="1"/>
  <c r="X2600" i="20"/>
  <c r="Z2600" i="20" s="1"/>
  <c r="W2600" i="20"/>
  <c r="V2600" i="20"/>
  <c r="S2600" i="20"/>
  <c r="L2600" i="20"/>
  <c r="K2600" i="20"/>
  <c r="M2600" i="20" s="1"/>
  <c r="Q2600" i="20" s="1"/>
  <c r="AB2599" i="20"/>
  <c r="AA2599" i="20"/>
  <c r="W2599" i="20"/>
  <c r="X2599" i="20" s="1"/>
  <c r="V2599" i="20"/>
  <c r="S2599" i="20"/>
  <c r="N2599" i="20"/>
  <c r="O2599" i="20" s="1"/>
  <c r="M2599" i="20"/>
  <c r="AC2599" i="20" s="1"/>
  <c r="K2599" i="20"/>
  <c r="L2599" i="20" s="1"/>
  <c r="AA2598" i="20"/>
  <c r="X2598" i="20"/>
  <c r="W2598" i="20"/>
  <c r="V2598" i="20"/>
  <c r="S2598" i="20"/>
  <c r="K2598" i="20"/>
  <c r="AC2597" i="20"/>
  <c r="AA2597" i="20"/>
  <c r="V2597" i="20"/>
  <c r="W2597" i="20" s="1"/>
  <c r="X2597" i="20" s="1"/>
  <c r="S2597" i="20"/>
  <c r="Q2597" i="20"/>
  <c r="M2597" i="20"/>
  <c r="L2597" i="20"/>
  <c r="K2597" i="20"/>
  <c r="AA2596" i="20"/>
  <c r="W2596" i="20"/>
  <c r="X2596" i="20" s="1"/>
  <c r="V2596" i="20"/>
  <c r="S2596" i="20"/>
  <c r="K2596" i="20"/>
  <c r="AA2595" i="20"/>
  <c r="V2595" i="20"/>
  <c r="W2595" i="20" s="1"/>
  <c r="X2595" i="20" s="1"/>
  <c r="S2595" i="20"/>
  <c r="K2595" i="20"/>
  <c r="AA2594" i="20"/>
  <c r="V2594" i="20"/>
  <c r="W2594" i="20" s="1"/>
  <c r="X2594" i="20" s="1"/>
  <c r="S2594" i="20"/>
  <c r="Q2594" i="20"/>
  <c r="L2594" i="20"/>
  <c r="K2594" i="20"/>
  <c r="M2594" i="20" s="1"/>
  <c r="AC2594" i="20" s="1"/>
  <c r="AB2593" i="20"/>
  <c r="AA2593" i="20"/>
  <c r="V2593" i="20"/>
  <c r="W2593" i="20" s="1"/>
  <c r="X2593" i="20" s="1"/>
  <c r="Z2593" i="20" s="1"/>
  <c r="S2593" i="20"/>
  <c r="N2593" i="20"/>
  <c r="O2593" i="20" s="1"/>
  <c r="M2593" i="20"/>
  <c r="L2593" i="20"/>
  <c r="K2593" i="20"/>
  <c r="AA2592" i="20"/>
  <c r="V2592" i="20"/>
  <c r="W2592" i="20" s="1"/>
  <c r="X2592" i="20" s="1"/>
  <c r="S2592" i="20"/>
  <c r="K2592" i="20"/>
  <c r="AB2591" i="20"/>
  <c r="AA2591" i="20"/>
  <c r="V2591" i="20"/>
  <c r="W2591" i="20" s="1"/>
  <c r="X2591" i="20" s="1"/>
  <c r="Y2591" i="20" s="1"/>
  <c r="S2591" i="20"/>
  <c r="Q2591" i="20"/>
  <c r="O2591" i="20"/>
  <c r="N2591" i="20"/>
  <c r="M2591" i="20"/>
  <c r="AC2591" i="20" s="1"/>
  <c r="L2591" i="20"/>
  <c r="K2591" i="20"/>
  <c r="AA2590" i="20"/>
  <c r="X2590" i="20"/>
  <c r="Z2590" i="20" s="1"/>
  <c r="W2590" i="20"/>
  <c r="V2590" i="20"/>
  <c r="S2590" i="20"/>
  <c r="K2590" i="20"/>
  <c r="AA2589" i="20"/>
  <c r="Z2589" i="20"/>
  <c r="Y2589" i="20"/>
  <c r="W2589" i="20"/>
  <c r="X2589" i="20" s="1"/>
  <c r="V2589" i="20"/>
  <c r="S2589" i="20"/>
  <c r="Q2589" i="20"/>
  <c r="O2589" i="20"/>
  <c r="N2589" i="20"/>
  <c r="M2589" i="20"/>
  <c r="AC2589" i="20" s="1"/>
  <c r="L2589" i="20"/>
  <c r="K2589" i="20"/>
  <c r="AC2588" i="20"/>
  <c r="AA2588" i="20"/>
  <c r="Z2588" i="20"/>
  <c r="V2588" i="20"/>
  <c r="W2588" i="20" s="1"/>
  <c r="X2588" i="20" s="1"/>
  <c r="Y2588" i="20" s="1"/>
  <c r="S2588" i="20"/>
  <c r="Q2588" i="20"/>
  <c r="K2588" i="20"/>
  <c r="M2588" i="20" s="1"/>
  <c r="AA2587" i="20"/>
  <c r="W2587" i="20"/>
  <c r="X2587" i="20" s="1"/>
  <c r="Z2587" i="20" s="1"/>
  <c r="V2587" i="20"/>
  <c r="S2587" i="20"/>
  <c r="L2587" i="20"/>
  <c r="K2587" i="20"/>
  <c r="M2587" i="20" s="1"/>
  <c r="AA2586" i="20"/>
  <c r="AB2586" i="20" s="1"/>
  <c r="Z2586" i="20"/>
  <c r="X2586" i="20"/>
  <c r="Y2586" i="20" s="1"/>
  <c r="W2586" i="20"/>
  <c r="V2586" i="20"/>
  <c r="S2586" i="20"/>
  <c r="Q2586" i="20"/>
  <c r="O2586" i="20"/>
  <c r="N2586" i="20"/>
  <c r="M2586" i="20"/>
  <c r="AC2586" i="20" s="1"/>
  <c r="L2586" i="20"/>
  <c r="K2586" i="20"/>
  <c r="AA2585" i="20"/>
  <c r="W2585" i="20"/>
  <c r="X2585" i="20" s="1"/>
  <c r="V2585" i="20"/>
  <c r="S2585" i="20"/>
  <c r="M2585" i="20"/>
  <c r="L2585" i="20"/>
  <c r="K2585" i="20"/>
  <c r="AB2584" i="20"/>
  <c r="AA2584" i="20"/>
  <c r="V2584" i="20"/>
  <c r="W2584" i="20" s="1"/>
  <c r="X2584" i="20" s="1"/>
  <c r="S2584" i="20"/>
  <c r="M2584" i="20"/>
  <c r="K2584" i="20"/>
  <c r="L2584" i="20" s="1"/>
  <c r="AB2583" i="20"/>
  <c r="AA2583" i="20"/>
  <c r="X2583" i="20"/>
  <c r="Z2583" i="20" s="1"/>
  <c r="W2583" i="20"/>
  <c r="V2583" i="20"/>
  <c r="S2583" i="20"/>
  <c r="M2583" i="20"/>
  <c r="L2583" i="20"/>
  <c r="K2583" i="20"/>
  <c r="AA2582" i="20"/>
  <c r="W2582" i="20"/>
  <c r="X2582" i="20" s="1"/>
  <c r="V2582" i="20"/>
  <c r="S2582" i="20"/>
  <c r="K2582" i="20"/>
  <c r="AA2581" i="20"/>
  <c r="V2581" i="20"/>
  <c r="W2581" i="20" s="1"/>
  <c r="X2581" i="20" s="1"/>
  <c r="S2581" i="20"/>
  <c r="N2581" i="20"/>
  <c r="O2581" i="20" s="1"/>
  <c r="M2581" i="20"/>
  <c r="Q2581" i="20" s="1"/>
  <c r="L2581" i="20"/>
  <c r="K2581" i="20"/>
  <c r="AA2580" i="20"/>
  <c r="V2580" i="20"/>
  <c r="W2580" i="20" s="1"/>
  <c r="X2580" i="20" s="1"/>
  <c r="S2580" i="20"/>
  <c r="Q2580" i="20"/>
  <c r="M2580" i="20"/>
  <c r="AC2580" i="20" s="1"/>
  <c r="K2580" i="20"/>
  <c r="L2580" i="20" s="1"/>
  <c r="AA2579" i="20"/>
  <c r="X2579" i="20"/>
  <c r="W2579" i="20"/>
  <c r="V2579" i="20"/>
  <c r="S2579" i="20"/>
  <c r="Q2579" i="20"/>
  <c r="N2579" i="20"/>
  <c r="O2579" i="20" s="1"/>
  <c r="M2579" i="20"/>
  <c r="AC2579" i="20" s="1"/>
  <c r="L2579" i="20"/>
  <c r="AB2579" i="20" s="1"/>
  <c r="K2579" i="20"/>
  <c r="AC2578" i="20"/>
  <c r="AB2578" i="20"/>
  <c r="AA2578" i="20"/>
  <c r="V2578" i="20"/>
  <c r="W2578" i="20" s="1"/>
  <c r="X2578" i="20" s="1"/>
  <c r="S2578" i="20"/>
  <c r="Q2578" i="20"/>
  <c r="N2578" i="20"/>
  <c r="O2578" i="20" s="1"/>
  <c r="M2578" i="20"/>
  <c r="L2578" i="20"/>
  <c r="K2578" i="20"/>
  <c r="AA2577" i="20"/>
  <c r="Y2577" i="20"/>
  <c r="W2577" i="20"/>
  <c r="X2577" i="20" s="1"/>
  <c r="Z2577" i="20" s="1"/>
  <c r="V2577" i="20"/>
  <c r="S2577" i="20"/>
  <c r="N2577" i="20"/>
  <c r="O2577" i="20" s="1"/>
  <c r="M2577" i="20"/>
  <c r="L2577" i="20"/>
  <c r="AB2577" i="20" s="1"/>
  <c r="K2577" i="20"/>
  <c r="AA2576" i="20"/>
  <c r="V2576" i="20"/>
  <c r="W2576" i="20" s="1"/>
  <c r="X2576" i="20" s="1"/>
  <c r="S2576" i="20"/>
  <c r="K2576" i="20"/>
  <c r="AA2575" i="20"/>
  <c r="V2575" i="20"/>
  <c r="W2575" i="20" s="1"/>
  <c r="X2575" i="20" s="1"/>
  <c r="S2575" i="20"/>
  <c r="K2575" i="20"/>
  <c r="M2575" i="20" s="1"/>
  <c r="AC2574" i="20"/>
  <c r="AA2574" i="20"/>
  <c r="AB2574" i="20" s="1"/>
  <c r="X2574" i="20"/>
  <c r="V2574" i="20"/>
  <c r="W2574" i="20" s="1"/>
  <c r="S2574" i="20"/>
  <c r="L2574" i="20"/>
  <c r="K2574" i="20"/>
  <c r="M2574" i="20" s="1"/>
  <c r="Q2574" i="20" s="1"/>
  <c r="AA2573" i="20"/>
  <c r="V2573" i="20"/>
  <c r="W2573" i="20" s="1"/>
  <c r="X2573" i="20" s="1"/>
  <c r="S2573" i="20"/>
  <c r="K2573" i="20"/>
  <c r="AB2572" i="20"/>
  <c r="AA2572" i="20"/>
  <c r="V2572" i="20"/>
  <c r="W2572" i="20" s="1"/>
  <c r="X2572" i="20" s="1"/>
  <c r="S2572" i="20"/>
  <c r="K2572" i="20"/>
  <c r="L2572" i="20" s="1"/>
  <c r="AB2571" i="20"/>
  <c r="AA2571" i="20"/>
  <c r="V2571" i="20"/>
  <c r="W2571" i="20" s="1"/>
  <c r="X2571" i="20" s="1"/>
  <c r="S2571" i="20"/>
  <c r="M2571" i="20"/>
  <c r="L2571" i="20"/>
  <c r="K2571" i="20"/>
  <c r="AB2570" i="20"/>
  <c r="AA2570" i="20"/>
  <c r="W2570" i="20"/>
  <c r="X2570" i="20" s="1"/>
  <c r="V2570" i="20"/>
  <c r="S2570" i="20"/>
  <c r="Q2570" i="20"/>
  <c r="P2570" i="20"/>
  <c r="O2570" i="20"/>
  <c r="N2570" i="20"/>
  <c r="M2570" i="20"/>
  <c r="AC2570" i="20" s="1"/>
  <c r="L2570" i="20"/>
  <c r="K2570" i="20"/>
  <c r="AA2569" i="20"/>
  <c r="V2569" i="20"/>
  <c r="W2569" i="20" s="1"/>
  <c r="X2569" i="20" s="1"/>
  <c r="S2569" i="20"/>
  <c r="K2569" i="20"/>
  <c r="M2569" i="20" s="1"/>
  <c r="Q2569" i="20" s="1"/>
  <c r="AC2568" i="20"/>
  <c r="AB2568" i="20"/>
  <c r="AA2568" i="20"/>
  <c r="Z2568" i="20"/>
  <c r="W2568" i="20"/>
  <c r="X2568" i="20" s="1"/>
  <c r="Y2568" i="20" s="1"/>
  <c r="V2568" i="20"/>
  <c r="S2568" i="20"/>
  <c r="Q2568" i="20"/>
  <c r="N2568" i="20"/>
  <c r="O2568" i="20" s="1"/>
  <c r="M2568" i="20"/>
  <c r="L2568" i="20"/>
  <c r="K2568" i="20"/>
  <c r="AA2567" i="20"/>
  <c r="X2567" i="20"/>
  <c r="W2567" i="20"/>
  <c r="V2567" i="20"/>
  <c r="S2567" i="20"/>
  <c r="K2567" i="20"/>
  <c r="M2567" i="20" s="1"/>
  <c r="AC2567" i="20" s="1"/>
  <c r="AA2566" i="20"/>
  <c r="X2566" i="20"/>
  <c r="V2566" i="20"/>
  <c r="W2566" i="20" s="1"/>
  <c r="S2566" i="20"/>
  <c r="K2566" i="20"/>
  <c r="L2566" i="20" s="1"/>
  <c r="AC2565" i="20"/>
  <c r="AA2565" i="20"/>
  <c r="V2565" i="20"/>
  <c r="W2565" i="20" s="1"/>
  <c r="X2565" i="20" s="1"/>
  <c r="S2565" i="20"/>
  <c r="Q2565" i="20"/>
  <c r="N2565" i="20"/>
  <c r="O2565" i="20" s="1"/>
  <c r="M2565" i="20"/>
  <c r="L2565" i="20"/>
  <c r="AB2565" i="20" s="1"/>
  <c r="K2565" i="20"/>
  <c r="AA2564" i="20"/>
  <c r="W2564" i="20"/>
  <c r="X2564" i="20" s="1"/>
  <c r="V2564" i="20"/>
  <c r="S2564" i="20"/>
  <c r="K2564" i="20"/>
  <c r="AA2563" i="20"/>
  <c r="Y2563" i="20"/>
  <c r="V2563" i="20"/>
  <c r="W2563" i="20" s="1"/>
  <c r="X2563" i="20" s="1"/>
  <c r="Z2563" i="20" s="1"/>
  <c r="S2563" i="20"/>
  <c r="K2563" i="20"/>
  <c r="AA2562" i="20"/>
  <c r="AB2562" i="20" s="1"/>
  <c r="Z2562" i="20"/>
  <c r="W2562" i="20"/>
  <c r="X2562" i="20" s="1"/>
  <c r="Y2562" i="20" s="1"/>
  <c r="V2562" i="20"/>
  <c r="S2562" i="20"/>
  <c r="K2562" i="20"/>
  <c r="L2562" i="20" s="1"/>
  <c r="AA2561" i="20"/>
  <c r="Y2561" i="20"/>
  <c r="W2561" i="20"/>
  <c r="X2561" i="20" s="1"/>
  <c r="Z2561" i="20" s="1"/>
  <c r="V2561" i="20"/>
  <c r="S2561" i="20"/>
  <c r="K2561" i="20"/>
  <c r="AB2560" i="20"/>
  <c r="AA2560" i="20"/>
  <c r="V2560" i="20"/>
  <c r="W2560" i="20" s="1"/>
  <c r="X2560" i="20" s="1"/>
  <c r="Y2560" i="20" s="1"/>
  <c r="S2560" i="20"/>
  <c r="K2560" i="20"/>
  <c r="L2560" i="20" s="1"/>
  <c r="AC2559" i="20"/>
  <c r="AB2559" i="20"/>
  <c r="AA2559" i="20"/>
  <c r="V2559" i="20"/>
  <c r="W2559" i="20" s="1"/>
  <c r="X2559" i="20" s="1"/>
  <c r="S2559" i="20"/>
  <c r="O2559" i="20"/>
  <c r="N2559" i="20"/>
  <c r="M2559" i="20"/>
  <c r="Q2559" i="20" s="1"/>
  <c r="L2559" i="20"/>
  <c r="K2559" i="20"/>
  <c r="AA2558" i="20"/>
  <c r="W2558" i="20"/>
  <c r="X2558" i="20" s="1"/>
  <c r="V2558" i="20"/>
  <c r="S2558" i="20"/>
  <c r="Q2558" i="20"/>
  <c r="N2558" i="20"/>
  <c r="O2558" i="20" s="1"/>
  <c r="M2558" i="20"/>
  <c r="AC2558" i="20" s="1"/>
  <c r="L2558" i="20"/>
  <c r="K2558" i="20"/>
  <c r="AA2557" i="20"/>
  <c r="Z2557" i="20"/>
  <c r="Y2557" i="20"/>
  <c r="X2557" i="20"/>
  <c r="W2557" i="20"/>
  <c r="V2557" i="20"/>
  <c r="S2557" i="20"/>
  <c r="Q2557" i="20"/>
  <c r="L2557" i="20"/>
  <c r="K2557" i="20"/>
  <c r="M2557" i="20" s="1"/>
  <c r="AC2557" i="20" s="1"/>
  <c r="AA2556" i="20"/>
  <c r="Z2556" i="20"/>
  <c r="Y2556" i="20"/>
  <c r="V2556" i="20"/>
  <c r="W2556" i="20" s="1"/>
  <c r="X2556" i="20" s="1"/>
  <c r="S2556" i="20"/>
  <c r="K2556" i="20"/>
  <c r="AA2555" i="20"/>
  <c r="W2555" i="20"/>
  <c r="X2555" i="20" s="1"/>
  <c r="Y2555" i="20" s="1"/>
  <c r="V2555" i="20"/>
  <c r="S2555" i="20"/>
  <c r="K2555" i="20"/>
  <c r="M2555" i="20" s="1"/>
  <c r="AA2554" i="20"/>
  <c r="X2554" i="20"/>
  <c r="Y2554" i="20" s="1"/>
  <c r="V2554" i="20"/>
  <c r="W2554" i="20" s="1"/>
  <c r="S2554" i="20"/>
  <c r="K2554" i="20"/>
  <c r="AA2553" i="20"/>
  <c r="W2553" i="20"/>
  <c r="X2553" i="20" s="1"/>
  <c r="V2553" i="20"/>
  <c r="S2553" i="20"/>
  <c r="K2553" i="20"/>
  <c r="M2553" i="20" s="1"/>
  <c r="AB2552" i="20"/>
  <c r="AA2552" i="20"/>
  <c r="V2552" i="20"/>
  <c r="W2552" i="20" s="1"/>
  <c r="X2552" i="20" s="1"/>
  <c r="S2552" i="20"/>
  <c r="M2552" i="20"/>
  <c r="AC2552" i="20" s="1"/>
  <c r="L2552" i="20"/>
  <c r="P2552" i="20" s="1"/>
  <c r="K2552" i="20"/>
  <c r="AA2551" i="20"/>
  <c r="X2551" i="20"/>
  <c r="W2551" i="20"/>
  <c r="V2551" i="20"/>
  <c r="S2551" i="20"/>
  <c r="M2551" i="20"/>
  <c r="L2551" i="20"/>
  <c r="K2551" i="20"/>
  <c r="AA2550" i="20"/>
  <c r="AB2550" i="20" s="1"/>
  <c r="X2550" i="20"/>
  <c r="W2550" i="20"/>
  <c r="V2550" i="20"/>
  <c r="S2550" i="20"/>
  <c r="M2550" i="20"/>
  <c r="Q2550" i="20" s="1"/>
  <c r="L2550" i="20"/>
  <c r="K2550" i="20"/>
  <c r="AA2549" i="20"/>
  <c r="X2549" i="20"/>
  <c r="Y2549" i="20" s="1"/>
  <c r="V2549" i="20"/>
  <c r="W2549" i="20" s="1"/>
  <c r="S2549" i="20"/>
  <c r="Q2549" i="20"/>
  <c r="K2549" i="20"/>
  <c r="M2549" i="20" s="1"/>
  <c r="AC2549" i="20" s="1"/>
  <c r="AC2548" i="20"/>
  <c r="AB2548" i="20"/>
  <c r="AA2548" i="20"/>
  <c r="X2548" i="20"/>
  <c r="W2548" i="20"/>
  <c r="V2548" i="20"/>
  <c r="S2548" i="20"/>
  <c r="Q2548" i="20"/>
  <c r="P2548" i="20"/>
  <c r="M2548" i="20"/>
  <c r="L2548" i="20"/>
  <c r="K2548" i="20"/>
  <c r="AC2547" i="20"/>
  <c r="AB2547" i="20"/>
  <c r="AA2547" i="20"/>
  <c r="V2547" i="20"/>
  <c r="W2547" i="20" s="1"/>
  <c r="X2547" i="20" s="1"/>
  <c r="S2547" i="20"/>
  <c r="Q2547" i="20"/>
  <c r="P2547" i="20"/>
  <c r="M2547" i="20"/>
  <c r="K2547" i="20"/>
  <c r="L2547" i="20" s="1"/>
  <c r="N2547" i="20" s="1"/>
  <c r="O2547" i="20" s="1"/>
  <c r="AA2546" i="20"/>
  <c r="X2546" i="20"/>
  <c r="W2546" i="20"/>
  <c r="V2546" i="20"/>
  <c r="S2546" i="20"/>
  <c r="L2546" i="20"/>
  <c r="K2546" i="20"/>
  <c r="M2546" i="20" s="1"/>
  <c r="AC2545" i="20"/>
  <c r="AA2545" i="20"/>
  <c r="V2545" i="20"/>
  <c r="W2545" i="20" s="1"/>
  <c r="X2545" i="20" s="1"/>
  <c r="Y2545" i="20" s="1"/>
  <c r="S2545" i="20"/>
  <c r="Q2545" i="20"/>
  <c r="N2545" i="20"/>
  <c r="O2545" i="20" s="1"/>
  <c r="M2545" i="20"/>
  <c r="K2545" i="20"/>
  <c r="L2545" i="20" s="1"/>
  <c r="AA2544" i="20"/>
  <c r="X2544" i="20"/>
  <c r="Y2544" i="20" s="1"/>
  <c r="W2544" i="20"/>
  <c r="V2544" i="20"/>
  <c r="S2544" i="20"/>
  <c r="K2544" i="20"/>
  <c r="AA2543" i="20"/>
  <c r="W2543" i="20"/>
  <c r="X2543" i="20" s="1"/>
  <c r="V2543" i="20"/>
  <c r="S2543" i="20"/>
  <c r="K2543" i="20"/>
  <c r="M2543" i="20" s="1"/>
  <c r="Q2543" i="20" s="1"/>
  <c r="AA2542" i="20"/>
  <c r="V2542" i="20"/>
  <c r="W2542" i="20" s="1"/>
  <c r="X2542" i="20" s="1"/>
  <c r="S2542" i="20"/>
  <c r="L2542" i="20"/>
  <c r="K2542" i="20"/>
  <c r="M2542" i="20" s="1"/>
  <c r="Q2542" i="20" s="1"/>
  <c r="AA2541" i="20"/>
  <c r="V2541" i="20"/>
  <c r="W2541" i="20" s="1"/>
  <c r="X2541" i="20" s="1"/>
  <c r="Y2541" i="20" s="1"/>
  <c r="S2541" i="20"/>
  <c r="M2541" i="20"/>
  <c r="L2541" i="20"/>
  <c r="K2541" i="20"/>
  <c r="AC2540" i="20"/>
  <c r="AA2540" i="20"/>
  <c r="W2540" i="20"/>
  <c r="X2540" i="20" s="1"/>
  <c r="V2540" i="20"/>
  <c r="S2540" i="20"/>
  <c r="Q2540" i="20"/>
  <c r="M2540" i="20"/>
  <c r="K2540" i="20"/>
  <c r="L2540" i="20" s="1"/>
  <c r="AA2539" i="20"/>
  <c r="W2539" i="20"/>
  <c r="X2539" i="20" s="1"/>
  <c r="V2539" i="20"/>
  <c r="S2539" i="20"/>
  <c r="L2539" i="20"/>
  <c r="K2539" i="20"/>
  <c r="M2539" i="20" s="1"/>
  <c r="AA2538" i="20"/>
  <c r="Y2538" i="20"/>
  <c r="X2538" i="20"/>
  <c r="V2538" i="20"/>
  <c r="W2538" i="20" s="1"/>
  <c r="S2538" i="20"/>
  <c r="K2538" i="20"/>
  <c r="AB2537" i="20"/>
  <c r="AA2537" i="20"/>
  <c r="W2537" i="20"/>
  <c r="X2537" i="20" s="1"/>
  <c r="Y2537" i="20" s="1"/>
  <c r="V2537" i="20"/>
  <c r="S2537" i="20"/>
  <c r="P2537" i="20"/>
  <c r="M2537" i="20"/>
  <c r="L2537" i="20"/>
  <c r="K2537" i="20"/>
  <c r="J2537" i="20"/>
  <c r="AA2536" i="20"/>
  <c r="W2536" i="20"/>
  <c r="X2536" i="20" s="1"/>
  <c r="V2536" i="20"/>
  <c r="S2536" i="20"/>
  <c r="K2536" i="20"/>
  <c r="J2536" i="20"/>
  <c r="AA2535" i="20"/>
  <c r="Z2535" i="20"/>
  <c r="W2535" i="20"/>
  <c r="X2535" i="20" s="1"/>
  <c r="Y2535" i="20" s="1"/>
  <c r="V2535" i="20"/>
  <c r="S2535" i="20"/>
  <c r="K2535" i="20"/>
  <c r="J2535" i="20"/>
  <c r="AB2534" i="20"/>
  <c r="AA2534" i="20"/>
  <c r="V2534" i="20"/>
  <c r="W2534" i="20" s="1"/>
  <c r="X2534" i="20" s="1"/>
  <c r="S2534" i="20"/>
  <c r="M2534" i="20"/>
  <c r="L2534" i="20"/>
  <c r="K2534" i="20"/>
  <c r="J2534" i="20"/>
  <c r="P2534" i="20" s="1"/>
  <c r="AB2533" i="20"/>
  <c r="AA2533" i="20"/>
  <c r="X2533" i="20"/>
  <c r="Z2533" i="20" s="1"/>
  <c r="V2533" i="20"/>
  <c r="W2533" i="20" s="1"/>
  <c r="S2533" i="20"/>
  <c r="P2533" i="20"/>
  <c r="O2533" i="20"/>
  <c r="N2533" i="20"/>
  <c r="M2533" i="20"/>
  <c r="L2533" i="20"/>
  <c r="K2533" i="20"/>
  <c r="J2533" i="20"/>
  <c r="AA2532" i="20"/>
  <c r="AB2532" i="20" s="1"/>
  <c r="V2532" i="20"/>
  <c r="W2532" i="20" s="1"/>
  <c r="X2532" i="20" s="1"/>
  <c r="S2532" i="20"/>
  <c r="P2532" i="20"/>
  <c r="M2532" i="20"/>
  <c r="L2532" i="20"/>
  <c r="K2532" i="20"/>
  <c r="J2532" i="20"/>
  <c r="AC2531" i="20"/>
  <c r="AA2531" i="20"/>
  <c r="V2531" i="20"/>
  <c r="W2531" i="20" s="1"/>
  <c r="X2531" i="20" s="1"/>
  <c r="S2531" i="20"/>
  <c r="L2531" i="20"/>
  <c r="K2531" i="20"/>
  <c r="M2531" i="20" s="1"/>
  <c r="Q2531" i="20" s="1"/>
  <c r="J2531" i="20"/>
  <c r="AA2530" i="20"/>
  <c r="W2530" i="20"/>
  <c r="X2530" i="20" s="1"/>
  <c r="V2530" i="20"/>
  <c r="S2530" i="20"/>
  <c r="Q2530" i="20"/>
  <c r="M2530" i="20"/>
  <c r="AC2530" i="20" s="1"/>
  <c r="L2530" i="20"/>
  <c r="K2530" i="20"/>
  <c r="J2530" i="20"/>
  <c r="AA2529" i="20"/>
  <c r="Z2529" i="20"/>
  <c r="Y2529" i="20"/>
  <c r="W2529" i="20"/>
  <c r="X2529" i="20" s="1"/>
  <c r="V2529" i="20"/>
  <c r="S2529" i="20"/>
  <c r="Q2529" i="20"/>
  <c r="N2529" i="20"/>
  <c r="O2529" i="20" s="1"/>
  <c r="M2529" i="20"/>
  <c r="AC2529" i="20" s="1"/>
  <c r="L2529" i="20"/>
  <c r="AB2529" i="20" s="1"/>
  <c r="K2529" i="20"/>
  <c r="J2529" i="20"/>
  <c r="AC2528" i="20"/>
  <c r="AB2528" i="20"/>
  <c r="AA2528" i="20"/>
  <c r="W2528" i="20"/>
  <c r="X2528" i="20" s="1"/>
  <c r="V2528" i="20"/>
  <c r="S2528" i="20"/>
  <c r="Q2528" i="20"/>
  <c r="O2528" i="20"/>
  <c r="N2528" i="20"/>
  <c r="M2528" i="20"/>
  <c r="L2528" i="20"/>
  <c r="K2528" i="20"/>
  <c r="J2528" i="20"/>
  <c r="P2528" i="20" s="1"/>
  <c r="AA2527" i="20"/>
  <c r="V2527" i="20"/>
  <c r="W2527" i="20" s="1"/>
  <c r="X2527" i="20" s="1"/>
  <c r="S2527" i="20"/>
  <c r="Q2527" i="20"/>
  <c r="O2527" i="20"/>
  <c r="N2527" i="20"/>
  <c r="M2527" i="20"/>
  <c r="AC2527" i="20" s="1"/>
  <c r="L2527" i="20"/>
  <c r="AB2527" i="20" s="1"/>
  <c r="K2527" i="20"/>
  <c r="J2527" i="20"/>
  <c r="AA2526" i="20"/>
  <c r="X2526" i="20"/>
  <c r="W2526" i="20"/>
  <c r="V2526" i="20"/>
  <c r="S2526" i="20"/>
  <c r="K2526" i="20"/>
  <c r="J2526" i="20"/>
  <c r="AA2525" i="20"/>
  <c r="V2525" i="20"/>
  <c r="W2525" i="20" s="1"/>
  <c r="X2525" i="20" s="1"/>
  <c r="S2525" i="20"/>
  <c r="M2525" i="20"/>
  <c r="L2525" i="20"/>
  <c r="K2525" i="20"/>
  <c r="J2525" i="20"/>
  <c r="AC2524" i="20"/>
  <c r="AA2524" i="20"/>
  <c r="V2524" i="20"/>
  <c r="W2524" i="20" s="1"/>
  <c r="X2524" i="20" s="1"/>
  <c r="S2524" i="20"/>
  <c r="L2524" i="20"/>
  <c r="K2524" i="20"/>
  <c r="M2524" i="20" s="1"/>
  <c r="Q2524" i="20" s="1"/>
  <c r="J2524" i="20"/>
  <c r="AC2523" i="20"/>
  <c r="AB2523" i="20"/>
  <c r="AA2523" i="20"/>
  <c r="Z2523" i="20"/>
  <c r="V2523" i="20"/>
  <c r="W2523" i="20" s="1"/>
  <c r="X2523" i="20" s="1"/>
  <c r="Y2523" i="20" s="1"/>
  <c r="S2523" i="20"/>
  <c r="L2523" i="20"/>
  <c r="K2523" i="20"/>
  <c r="M2523" i="20" s="1"/>
  <c r="Q2523" i="20" s="1"/>
  <c r="J2523" i="20"/>
  <c r="I73" i="2" s="1"/>
  <c r="AB2522" i="20"/>
  <c r="AA2522" i="20"/>
  <c r="Z2522" i="20"/>
  <c r="J2522" i="20" s="1"/>
  <c r="V2522" i="20"/>
  <c r="W2522" i="20" s="1"/>
  <c r="X2522" i="20" s="1"/>
  <c r="Y2522" i="20" s="1"/>
  <c r="U2522" i="20"/>
  <c r="S2522" i="20"/>
  <c r="L2522" i="20"/>
  <c r="P2522" i="20" s="1"/>
  <c r="K2522" i="20"/>
  <c r="M2522" i="20" s="1"/>
  <c r="AA2521" i="20"/>
  <c r="W2521" i="20"/>
  <c r="X2521" i="20" s="1"/>
  <c r="V2521" i="20"/>
  <c r="U2521" i="20"/>
  <c r="S2521" i="20"/>
  <c r="K2521" i="20"/>
  <c r="M2521" i="20" s="1"/>
  <c r="AA2520" i="20"/>
  <c r="W2520" i="20"/>
  <c r="X2520" i="20" s="1"/>
  <c r="V2520" i="20"/>
  <c r="U2520" i="20"/>
  <c r="S2520" i="20"/>
  <c r="P2520" i="20"/>
  <c r="O2520" i="20"/>
  <c r="M2520" i="20"/>
  <c r="L2520" i="20"/>
  <c r="AB2520" i="20" s="1"/>
  <c r="K2520" i="20"/>
  <c r="J2520" i="20"/>
  <c r="AA2519" i="20"/>
  <c r="Z2519" i="20"/>
  <c r="W2519" i="20"/>
  <c r="X2519" i="20" s="1"/>
  <c r="Y2519" i="20" s="1"/>
  <c r="V2519" i="20"/>
  <c r="U2519" i="20"/>
  <c r="S2519" i="20"/>
  <c r="O2519" i="20"/>
  <c r="K2519" i="20"/>
  <c r="J2519" i="20"/>
  <c r="AC2518" i="20"/>
  <c r="AB2518" i="20"/>
  <c r="AA2518" i="20"/>
  <c r="W2518" i="20"/>
  <c r="X2518" i="20" s="1"/>
  <c r="Y2518" i="20" s="1"/>
  <c r="V2518" i="20"/>
  <c r="U2518" i="20"/>
  <c r="S2518" i="20"/>
  <c r="M2518" i="20"/>
  <c r="Q2518" i="20" s="1"/>
  <c r="L2518" i="20"/>
  <c r="P2518" i="20" s="1"/>
  <c r="K2518" i="20"/>
  <c r="AA2517" i="20"/>
  <c r="X2517" i="20"/>
  <c r="Y2517" i="20" s="1"/>
  <c r="W2517" i="20"/>
  <c r="V2517" i="20"/>
  <c r="U2517" i="20"/>
  <c r="S2517" i="20"/>
  <c r="K2517" i="20"/>
  <c r="AA2516" i="20"/>
  <c r="V2516" i="20"/>
  <c r="W2516" i="20" s="1"/>
  <c r="X2516" i="20" s="1"/>
  <c r="U2516" i="20"/>
  <c r="S2516" i="20"/>
  <c r="O2516" i="20"/>
  <c r="K2516" i="20"/>
  <c r="L2516" i="20" s="1"/>
  <c r="J2516" i="20"/>
  <c r="AB2515" i="20"/>
  <c r="AA2515" i="20"/>
  <c r="W2515" i="20"/>
  <c r="X2515" i="20" s="1"/>
  <c r="V2515" i="20"/>
  <c r="U2515" i="20"/>
  <c r="S2515" i="20"/>
  <c r="P2515" i="20"/>
  <c r="O2515" i="20"/>
  <c r="M2515" i="20"/>
  <c r="L2515" i="20"/>
  <c r="K2515" i="20"/>
  <c r="J2515" i="20"/>
  <c r="AA2514" i="20"/>
  <c r="X2514" i="20"/>
  <c r="V2514" i="20"/>
  <c r="W2514" i="20" s="1"/>
  <c r="S2514" i="20"/>
  <c r="M2514" i="20"/>
  <c r="L2514" i="20"/>
  <c r="K2514" i="20"/>
  <c r="AC2513" i="20"/>
  <c r="AB2513" i="20"/>
  <c r="AA2513" i="20"/>
  <c r="W2513" i="20"/>
  <c r="X2513" i="20" s="1"/>
  <c r="Y2513" i="20" s="1"/>
  <c r="V2513" i="20"/>
  <c r="S2513" i="20"/>
  <c r="Q2513" i="20"/>
  <c r="L2513" i="20"/>
  <c r="K2513" i="20"/>
  <c r="M2513" i="20" s="1"/>
  <c r="AA2512" i="20"/>
  <c r="X2512" i="20"/>
  <c r="W2512" i="20"/>
  <c r="V2512" i="20"/>
  <c r="U2512" i="20"/>
  <c r="S2512" i="20"/>
  <c r="K2512" i="20"/>
  <c r="M2512" i="20" s="1"/>
  <c r="AC2511" i="20"/>
  <c r="AB2511" i="20"/>
  <c r="AA2511" i="20"/>
  <c r="W2511" i="20"/>
  <c r="X2511" i="20" s="1"/>
  <c r="V2511" i="20"/>
  <c r="U2511" i="20"/>
  <c r="S2511" i="20"/>
  <c r="O2511" i="20"/>
  <c r="L2511" i="20"/>
  <c r="K2511" i="20"/>
  <c r="M2511" i="20" s="1"/>
  <c r="Q2511" i="20" s="1"/>
  <c r="J2511" i="20"/>
  <c r="AC2510" i="20"/>
  <c r="AA2510" i="20"/>
  <c r="X2510" i="20"/>
  <c r="V2510" i="20"/>
  <c r="W2510" i="20" s="1"/>
  <c r="U2510" i="20"/>
  <c r="S2510" i="20"/>
  <c r="O2510" i="20"/>
  <c r="L2510" i="20"/>
  <c r="K2510" i="20"/>
  <c r="M2510" i="20" s="1"/>
  <c r="Q2510" i="20" s="1"/>
  <c r="J2510" i="20"/>
  <c r="AA2509" i="20"/>
  <c r="W2509" i="20"/>
  <c r="X2509" i="20" s="1"/>
  <c r="V2509" i="20"/>
  <c r="S2509" i="20"/>
  <c r="Q2509" i="20"/>
  <c r="K2509" i="20"/>
  <c r="M2509" i="20" s="1"/>
  <c r="AC2509" i="20" s="1"/>
  <c r="AC2508" i="20"/>
  <c r="AA2508" i="20"/>
  <c r="X2508" i="20"/>
  <c r="Y2508" i="20" s="1"/>
  <c r="W2508" i="20"/>
  <c r="V2508" i="20"/>
  <c r="S2508" i="20"/>
  <c r="Q2508" i="20"/>
  <c r="K108" i="2" s="1"/>
  <c r="N2508" i="20"/>
  <c r="O2508" i="20" s="1"/>
  <c r="M2508" i="20"/>
  <c r="L2508" i="20"/>
  <c r="AB2508" i="20" s="1"/>
  <c r="K2508" i="20"/>
  <c r="AA2507" i="20"/>
  <c r="W2507" i="20"/>
  <c r="X2507" i="20" s="1"/>
  <c r="V2507" i="20"/>
  <c r="U2507" i="20"/>
  <c r="S2507" i="20"/>
  <c r="K2507" i="20"/>
  <c r="AB2506" i="20"/>
  <c r="AA2506" i="20"/>
  <c r="X2506" i="20"/>
  <c r="V2506" i="20"/>
  <c r="W2506" i="20" s="1"/>
  <c r="U2506" i="20"/>
  <c r="S2506" i="20"/>
  <c r="Q2506" i="20"/>
  <c r="P2506" i="20"/>
  <c r="M2506" i="20"/>
  <c r="AC2506" i="20" s="1"/>
  <c r="K2506" i="20"/>
  <c r="L2506" i="20" s="1"/>
  <c r="AA2505" i="20"/>
  <c r="Z2505" i="20"/>
  <c r="W2505" i="20"/>
  <c r="X2505" i="20" s="1"/>
  <c r="Y2505" i="20" s="1"/>
  <c r="V2505" i="20"/>
  <c r="U2505" i="20"/>
  <c r="S2505" i="20"/>
  <c r="P2505" i="20"/>
  <c r="O2505" i="20"/>
  <c r="N2505" i="20"/>
  <c r="M2505" i="20"/>
  <c r="L2505" i="20"/>
  <c r="AB2505" i="20" s="1"/>
  <c r="K2505" i="20"/>
  <c r="AA2504" i="20"/>
  <c r="X2504" i="20"/>
  <c r="W2504" i="20"/>
  <c r="V2504" i="20"/>
  <c r="U2504" i="20"/>
  <c r="S2504" i="20"/>
  <c r="Q2504" i="20"/>
  <c r="L2504" i="20"/>
  <c r="K2504" i="20"/>
  <c r="M2504" i="20" s="1"/>
  <c r="AC2504" i="20" s="1"/>
  <c r="AA2503" i="20"/>
  <c r="V2503" i="20"/>
  <c r="W2503" i="20" s="1"/>
  <c r="X2503" i="20" s="1"/>
  <c r="U2503" i="20"/>
  <c r="S2503" i="20"/>
  <c r="M2503" i="20"/>
  <c r="L2503" i="20"/>
  <c r="K2503" i="20"/>
  <c r="AA2502" i="20"/>
  <c r="V2502" i="20"/>
  <c r="W2502" i="20" s="1"/>
  <c r="X2502" i="20" s="1"/>
  <c r="U2502" i="20"/>
  <c r="S2502" i="20"/>
  <c r="K2502" i="20"/>
  <c r="M2502" i="20" s="1"/>
  <c r="AA2501" i="20"/>
  <c r="V2501" i="20"/>
  <c r="W2501" i="20" s="1"/>
  <c r="X2501" i="20" s="1"/>
  <c r="U2501" i="20"/>
  <c r="S2501" i="20"/>
  <c r="M2501" i="20"/>
  <c r="AC2501" i="20" s="1"/>
  <c r="L2501" i="20"/>
  <c r="K2501" i="20"/>
  <c r="AA2500" i="20"/>
  <c r="Z2500" i="20"/>
  <c r="J2500" i="20" s="1"/>
  <c r="Y2500" i="20"/>
  <c r="V2500" i="20"/>
  <c r="W2500" i="20" s="1"/>
  <c r="X2500" i="20" s="1"/>
  <c r="U2500" i="20"/>
  <c r="S2500" i="20"/>
  <c r="M2500" i="20"/>
  <c r="L2500" i="20"/>
  <c r="K2500" i="20"/>
  <c r="AA2499" i="20"/>
  <c r="W2499" i="20"/>
  <c r="X2499" i="20" s="1"/>
  <c r="V2499" i="20"/>
  <c r="U2499" i="20"/>
  <c r="S2499" i="20"/>
  <c r="K2499" i="20"/>
  <c r="L2499" i="20" s="1"/>
  <c r="AC2498" i="20"/>
  <c r="AA2498" i="20"/>
  <c r="W2498" i="20"/>
  <c r="X2498" i="20" s="1"/>
  <c r="V2498" i="20"/>
  <c r="U2498" i="20"/>
  <c r="S2498" i="20"/>
  <c r="Q2498" i="20"/>
  <c r="K2498" i="20"/>
  <c r="M2498" i="20" s="1"/>
  <c r="AC2497" i="20"/>
  <c r="AA2497" i="20"/>
  <c r="V2497" i="20"/>
  <c r="W2497" i="20" s="1"/>
  <c r="X2497" i="20" s="1"/>
  <c r="U2497" i="20"/>
  <c r="S2497" i="20"/>
  <c r="Q2497" i="20"/>
  <c r="O2497" i="20"/>
  <c r="N2497" i="20"/>
  <c r="M2497" i="20"/>
  <c r="L2497" i="20"/>
  <c r="K2497" i="20"/>
  <c r="J2497" i="20"/>
  <c r="AB2496" i="20"/>
  <c r="AA2496" i="20"/>
  <c r="W2496" i="20"/>
  <c r="X2496" i="20" s="1"/>
  <c r="Z2496" i="20" s="1"/>
  <c r="V2496" i="20"/>
  <c r="U2496" i="20"/>
  <c r="S2496" i="20"/>
  <c r="Q2496" i="20"/>
  <c r="P2496" i="20"/>
  <c r="O2496" i="20"/>
  <c r="M2496" i="20"/>
  <c r="L2496" i="20"/>
  <c r="K2496" i="20"/>
  <c r="J2496" i="20"/>
  <c r="AC2495" i="20"/>
  <c r="AB2495" i="20"/>
  <c r="AA2495" i="20"/>
  <c r="V2495" i="20"/>
  <c r="W2495" i="20" s="1"/>
  <c r="X2495" i="20" s="1"/>
  <c r="U2495" i="20"/>
  <c r="S2495" i="20"/>
  <c r="O2495" i="20"/>
  <c r="N2495" i="20"/>
  <c r="L2495" i="20"/>
  <c r="P2495" i="20" s="1"/>
  <c r="K2495" i="20"/>
  <c r="M2495" i="20" s="1"/>
  <c r="Q2495" i="20" s="1"/>
  <c r="J2495" i="20"/>
  <c r="AC2494" i="20"/>
  <c r="AB2494" i="20"/>
  <c r="AA2494" i="20"/>
  <c r="Z2494" i="20"/>
  <c r="Y2494" i="20"/>
  <c r="W2494" i="20"/>
  <c r="X2494" i="20" s="1"/>
  <c r="V2494" i="20"/>
  <c r="U2494" i="20"/>
  <c r="S2494" i="20"/>
  <c r="O2494" i="20"/>
  <c r="L2494" i="20"/>
  <c r="K2494" i="20"/>
  <c r="M2494" i="20" s="1"/>
  <c r="Q2494" i="20" s="1"/>
  <c r="J2494" i="20"/>
  <c r="AA2493" i="20"/>
  <c r="Z2493" i="20"/>
  <c r="X2493" i="20"/>
  <c r="Y2493" i="20" s="1"/>
  <c r="W2493" i="20"/>
  <c r="V2493" i="20"/>
  <c r="U2493" i="20"/>
  <c r="S2493" i="20"/>
  <c r="O2493" i="20"/>
  <c r="K2493" i="20"/>
  <c r="J2493" i="20"/>
  <c r="AA2492" i="20"/>
  <c r="X2492" i="20"/>
  <c r="V2492" i="20"/>
  <c r="W2492" i="20" s="1"/>
  <c r="U2492" i="20"/>
  <c r="S2492" i="20"/>
  <c r="O2492" i="20"/>
  <c r="K2492" i="20"/>
  <c r="J2492" i="20"/>
  <c r="AC2491" i="20"/>
  <c r="AA2491" i="20"/>
  <c r="V2491" i="20"/>
  <c r="W2491" i="20" s="1"/>
  <c r="X2491" i="20" s="1"/>
  <c r="U2491" i="20"/>
  <c r="S2491" i="20"/>
  <c r="Q2491" i="20"/>
  <c r="P2491" i="20"/>
  <c r="O2491" i="20"/>
  <c r="M2491" i="20"/>
  <c r="L2491" i="20"/>
  <c r="K2491" i="20"/>
  <c r="J2491" i="20"/>
  <c r="AB2490" i="20"/>
  <c r="AA2490" i="20"/>
  <c r="Z2490" i="20"/>
  <c r="Y2490" i="20"/>
  <c r="V2490" i="20"/>
  <c r="W2490" i="20" s="1"/>
  <c r="X2490" i="20" s="1"/>
  <c r="U2490" i="20"/>
  <c r="S2490" i="20"/>
  <c r="Q2490" i="20"/>
  <c r="O2490" i="20"/>
  <c r="N2490" i="20"/>
  <c r="M2490" i="20"/>
  <c r="AC2490" i="20" s="1"/>
  <c r="L2490" i="20"/>
  <c r="P2490" i="20" s="1"/>
  <c r="K2490" i="20"/>
  <c r="J2490" i="20"/>
  <c r="AA2489" i="20"/>
  <c r="Z2489" i="20"/>
  <c r="Y2489" i="20"/>
  <c r="X2489" i="20"/>
  <c r="V2489" i="20"/>
  <c r="W2489" i="20" s="1"/>
  <c r="U2489" i="20"/>
  <c r="S2489" i="20"/>
  <c r="Q2489" i="20"/>
  <c r="P2489" i="20"/>
  <c r="O2489" i="20"/>
  <c r="N2489" i="20"/>
  <c r="M2489" i="20"/>
  <c r="AC2489" i="20" s="1"/>
  <c r="L2489" i="20"/>
  <c r="AB2489" i="20" s="1"/>
  <c r="K2489" i="20"/>
  <c r="J2489" i="20"/>
  <c r="AC2488" i="20"/>
  <c r="AB2488" i="20"/>
  <c r="AA2488" i="20"/>
  <c r="W2488" i="20"/>
  <c r="X2488" i="20" s="1"/>
  <c r="V2488" i="20"/>
  <c r="U2488" i="20"/>
  <c r="S2488" i="20"/>
  <c r="Q2488" i="20"/>
  <c r="O2488" i="20"/>
  <c r="L2488" i="20"/>
  <c r="K2488" i="20"/>
  <c r="M2488" i="20" s="1"/>
  <c r="J2488" i="20"/>
  <c r="AC2487" i="20"/>
  <c r="AA2487" i="20"/>
  <c r="X2487" i="20"/>
  <c r="W2487" i="20"/>
  <c r="V2487" i="20"/>
  <c r="U2487" i="20"/>
  <c r="S2487" i="20"/>
  <c r="Q2487" i="20"/>
  <c r="P2487" i="20"/>
  <c r="M2487" i="20"/>
  <c r="L2487" i="20"/>
  <c r="K2487" i="20"/>
  <c r="AA2486" i="20"/>
  <c r="Y2486" i="20"/>
  <c r="X2486" i="20"/>
  <c r="W2486" i="20"/>
  <c r="V2486" i="20"/>
  <c r="U2486" i="20"/>
  <c r="S2486" i="20"/>
  <c r="M2486" i="20"/>
  <c r="L2486" i="20"/>
  <c r="K2486" i="20"/>
  <c r="AA2485" i="20"/>
  <c r="Y2485" i="20"/>
  <c r="W2485" i="20"/>
  <c r="X2485" i="20" s="1"/>
  <c r="V2485" i="20"/>
  <c r="U2485" i="20"/>
  <c r="S2485" i="20"/>
  <c r="K2485" i="20"/>
  <c r="AA2484" i="20"/>
  <c r="V2484" i="20"/>
  <c r="W2484" i="20" s="1"/>
  <c r="X2484" i="20" s="1"/>
  <c r="U2484" i="20"/>
  <c r="S2484" i="20"/>
  <c r="K2484" i="20"/>
  <c r="AB2483" i="20"/>
  <c r="AA2483" i="20"/>
  <c r="Y2483" i="20"/>
  <c r="W2483" i="20"/>
  <c r="X2483" i="20" s="1"/>
  <c r="V2483" i="20"/>
  <c r="U2483" i="20"/>
  <c r="S2483" i="20"/>
  <c r="K2483" i="20"/>
  <c r="L2483" i="20" s="1"/>
  <c r="AC2482" i="20"/>
  <c r="AA2482" i="20"/>
  <c r="V2482" i="20"/>
  <c r="W2482" i="20" s="1"/>
  <c r="X2482" i="20" s="1"/>
  <c r="U2482" i="20"/>
  <c r="S2482" i="20"/>
  <c r="Q2482" i="20"/>
  <c r="K2482" i="20"/>
  <c r="M2482" i="20" s="1"/>
  <c r="AA2481" i="20"/>
  <c r="X2481" i="20"/>
  <c r="V2481" i="20"/>
  <c r="W2481" i="20" s="1"/>
  <c r="U2481" i="20"/>
  <c r="S2481" i="20"/>
  <c r="K2481" i="20"/>
  <c r="M2481" i="20" s="1"/>
  <c r="AA2480" i="20"/>
  <c r="X2480" i="20"/>
  <c r="W2480" i="20"/>
  <c r="V2480" i="20"/>
  <c r="U2480" i="20"/>
  <c r="S2480" i="20"/>
  <c r="K2480" i="20"/>
  <c r="AA2479" i="20"/>
  <c r="W2479" i="20"/>
  <c r="X2479" i="20" s="1"/>
  <c r="Y2479" i="20" s="1"/>
  <c r="V2479" i="20"/>
  <c r="U2479" i="20"/>
  <c r="S2479" i="20"/>
  <c r="K2479" i="20"/>
  <c r="AB2478" i="20"/>
  <c r="AA2478" i="20"/>
  <c r="W2478" i="20"/>
  <c r="X2478" i="20" s="1"/>
  <c r="V2478" i="20"/>
  <c r="U2478" i="20"/>
  <c r="S2478" i="20"/>
  <c r="P2478" i="20"/>
  <c r="M2478" i="20"/>
  <c r="L2478" i="20"/>
  <c r="K2478" i="20"/>
  <c r="AA2477" i="20"/>
  <c r="V2477" i="20"/>
  <c r="W2477" i="20" s="1"/>
  <c r="X2477" i="20" s="1"/>
  <c r="U2477" i="20"/>
  <c r="S2477" i="20"/>
  <c r="Q2477" i="20"/>
  <c r="O2477" i="20"/>
  <c r="M2477" i="20"/>
  <c r="AC2477" i="20" s="1"/>
  <c r="L2477" i="20"/>
  <c r="K2477" i="20"/>
  <c r="J2477" i="20"/>
  <c r="AC2476" i="20"/>
  <c r="AB2476" i="20"/>
  <c r="AA2476" i="20"/>
  <c r="Y2476" i="20"/>
  <c r="X2476" i="20"/>
  <c r="W2476" i="20"/>
  <c r="V2476" i="20"/>
  <c r="U2476" i="20"/>
  <c r="S2476" i="20"/>
  <c r="P2476" i="20"/>
  <c r="O2476" i="20"/>
  <c r="L2476" i="20"/>
  <c r="N2476" i="20" s="1"/>
  <c r="K2476" i="20"/>
  <c r="M2476" i="20" s="1"/>
  <c r="Q2476" i="20" s="1"/>
  <c r="J2476" i="20"/>
  <c r="AA2475" i="20"/>
  <c r="W2475" i="20"/>
  <c r="X2475" i="20" s="1"/>
  <c r="V2475" i="20"/>
  <c r="U2475" i="20"/>
  <c r="S2475" i="20"/>
  <c r="O2475" i="20"/>
  <c r="K2475" i="20"/>
  <c r="J2475" i="20"/>
  <c r="AA2474" i="20"/>
  <c r="W2474" i="20"/>
  <c r="X2474" i="20" s="1"/>
  <c r="Y2474" i="20" s="1"/>
  <c r="V2474" i="20"/>
  <c r="U2474" i="20"/>
  <c r="S2474" i="20"/>
  <c r="O2474" i="20"/>
  <c r="K2474" i="20"/>
  <c r="J2474" i="20"/>
  <c r="AA2473" i="20"/>
  <c r="X2473" i="20"/>
  <c r="W2473" i="20"/>
  <c r="V2473" i="20"/>
  <c r="U2473" i="20"/>
  <c r="S2473" i="20"/>
  <c r="O2473" i="20"/>
  <c r="K2473" i="20"/>
  <c r="J2473" i="20"/>
  <c r="AA2472" i="20"/>
  <c r="W2472" i="20"/>
  <c r="X2472" i="20" s="1"/>
  <c r="V2472" i="20"/>
  <c r="U2472" i="20"/>
  <c r="S2472" i="20"/>
  <c r="O2472" i="20"/>
  <c r="N2472" i="20"/>
  <c r="M2472" i="20"/>
  <c r="K2472" i="20"/>
  <c r="L2472" i="20" s="1"/>
  <c r="AB2472" i="20" s="1"/>
  <c r="J2472" i="20"/>
  <c r="AB2471" i="20"/>
  <c r="AA2471" i="20"/>
  <c r="W2471" i="20"/>
  <c r="X2471" i="20" s="1"/>
  <c r="Y2471" i="20" s="1"/>
  <c r="V2471" i="20"/>
  <c r="U2471" i="20"/>
  <c r="S2471" i="20"/>
  <c r="Q2471" i="20"/>
  <c r="O2471" i="20"/>
  <c r="N2471" i="20"/>
  <c r="M2471" i="20"/>
  <c r="AC2471" i="20" s="1"/>
  <c r="K2471" i="20"/>
  <c r="L2471" i="20" s="1"/>
  <c r="P2471" i="20" s="1"/>
  <c r="J2471" i="20"/>
  <c r="AA2470" i="20"/>
  <c r="W2470" i="20"/>
  <c r="X2470" i="20" s="1"/>
  <c r="V2470" i="20"/>
  <c r="U2470" i="20"/>
  <c r="S2470" i="20"/>
  <c r="Q2470" i="20"/>
  <c r="O2470" i="20"/>
  <c r="N2470" i="20"/>
  <c r="M2470" i="20"/>
  <c r="AC2470" i="20" s="1"/>
  <c r="L2470" i="20"/>
  <c r="K2470" i="20"/>
  <c r="J2470" i="20"/>
  <c r="AB2469" i="20"/>
  <c r="AA2469" i="20"/>
  <c r="Z2469" i="20"/>
  <c r="Y2469" i="20"/>
  <c r="X2469" i="20"/>
  <c r="V2469" i="20"/>
  <c r="W2469" i="20" s="1"/>
  <c r="U2469" i="20"/>
  <c r="S2469" i="20"/>
  <c r="P2469" i="20"/>
  <c r="O2469" i="20"/>
  <c r="M2469" i="20"/>
  <c r="K2469" i="20"/>
  <c r="L2469" i="20" s="1"/>
  <c r="J2469" i="20"/>
  <c r="AA2468" i="20"/>
  <c r="W2468" i="20"/>
  <c r="X2468" i="20" s="1"/>
  <c r="V2468" i="20"/>
  <c r="U2468" i="20"/>
  <c r="S2468" i="20"/>
  <c r="O2468" i="20"/>
  <c r="K2468" i="20"/>
  <c r="J2468" i="20"/>
  <c r="AA2467" i="20"/>
  <c r="X2467" i="20"/>
  <c r="V2467" i="20"/>
  <c r="W2467" i="20" s="1"/>
  <c r="S2467" i="20"/>
  <c r="K2467" i="20"/>
  <c r="AA2466" i="20"/>
  <c r="W2466" i="20"/>
  <c r="X2466" i="20" s="1"/>
  <c r="V2466" i="20"/>
  <c r="S2466" i="20"/>
  <c r="K2466" i="20"/>
  <c r="M2466" i="20" s="1"/>
  <c r="AC2466" i="20" s="1"/>
  <c r="AC2465" i="20"/>
  <c r="AA2465" i="20"/>
  <c r="Y2465" i="20"/>
  <c r="X2465" i="20"/>
  <c r="Z2465" i="20" s="1"/>
  <c r="W2465" i="20"/>
  <c r="V2465" i="20"/>
  <c r="S2465" i="20"/>
  <c r="Q2465" i="20"/>
  <c r="M2465" i="20"/>
  <c r="L2465" i="20"/>
  <c r="K2465" i="20"/>
  <c r="AA2464" i="20"/>
  <c r="X2464" i="20"/>
  <c r="W2464" i="20"/>
  <c r="V2464" i="20"/>
  <c r="S2464" i="20"/>
  <c r="K2464" i="20"/>
  <c r="AC2463" i="20"/>
  <c r="AB2463" i="20"/>
  <c r="AA2463" i="20"/>
  <c r="Z2463" i="20"/>
  <c r="W2463" i="20"/>
  <c r="X2463" i="20" s="1"/>
  <c r="Y2463" i="20" s="1"/>
  <c r="V2463" i="20"/>
  <c r="S2463" i="20"/>
  <c r="N2463" i="20"/>
  <c r="O2463" i="20" s="1"/>
  <c r="M2463" i="20"/>
  <c r="Q2463" i="20" s="1"/>
  <c r="L2463" i="20"/>
  <c r="P2463" i="20" s="1"/>
  <c r="K2463" i="20"/>
  <c r="AA2462" i="20"/>
  <c r="V2462" i="20"/>
  <c r="W2462" i="20" s="1"/>
  <c r="X2462" i="20" s="1"/>
  <c r="S2462" i="20"/>
  <c r="N2462" i="20"/>
  <c r="O2462" i="20" s="1"/>
  <c r="L2462" i="20"/>
  <c r="K2462" i="20"/>
  <c r="M2462" i="20" s="1"/>
  <c r="AC2461" i="20"/>
  <c r="AA2461" i="20"/>
  <c r="V2461" i="20"/>
  <c r="W2461" i="20" s="1"/>
  <c r="X2461" i="20" s="1"/>
  <c r="S2461" i="20"/>
  <c r="Q2461" i="20"/>
  <c r="M2461" i="20"/>
  <c r="L2461" i="20"/>
  <c r="K2461" i="20"/>
  <c r="AA2460" i="20"/>
  <c r="X2460" i="20"/>
  <c r="V2460" i="20"/>
  <c r="W2460" i="20" s="1"/>
  <c r="S2460" i="20"/>
  <c r="K2460" i="20"/>
  <c r="L2460" i="20" s="1"/>
  <c r="AB2459" i="20"/>
  <c r="AA2459" i="20"/>
  <c r="V2459" i="20"/>
  <c r="W2459" i="20" s="1"/>
  <c r="X2459" i="20" s="1"/>
  <c r="S2459" i="20"/>
  <c r="Q2459" i="20"/>
  <c r="P2459" i="20"/>
  <c r="M2459" i="20"/>
  <c r="L2459" i="20"/>
  <c r="K2459" i="20"/>
  <c r="AA2458" i="20"/>
  <c r="W2458" i="20"/>
  <c r="X2458" i="20" s="1"/>
  <c r="V2458" i="20"/>
  <c r="S2458" i="20"/>
  <c r="L2458" i="20"/>
  <c r="K2458" i="20"/>
  <c r="M2458" i="20" s="1"/>
  <c r="AA2457" i="20"/>
  <c r="Z2457" i="20"/>
  <c r="V2457" i="20"/>
  <c r="W2457" i="20" s="1"/>
  <c r="X2457" i="20" s="1"/>
  <c r="Y2457" i="20" s="1"/>
  <c r="S2457" i="20"/>
  <c r="Q2457" i="20"/>
  <c r="M2457" i="20"/>
  <c r="AC2457" i="20" s="1"/>
  <c r="L2457" i="20"/>
  <c r="K2457" i="20"/>
  <c r="AA2456" i="20"/>
  <c r="W2456" i="20"/>
  <c r="X2456" i="20" s="1"/>
  <c r="V2456" i="20"/>
  <c r="S2456" i="20"/>
  <c r="K2456" i="20"/>
  <c r="AC2455" i="20"/>
  <c r="AB2455" i="20"/>
  <c r="AA2455" i="20"/>
  <c r="V2455" i="20"/>
  <c r="W2455" i="20" s="1"/>
  <c r="X2455" i="20" s="1"/>
  <c r="U2455" i="20"/>
  <c r="S2455" i="20"/>
  <c r="Q2455" i="20"/>
  <c r="P2455" i="20"/>
  <c r="N2455" i="20"/>
  <c r="O2455" i="20" s="1"/>
  <c r="L2455" i="20"/>
  <c r="K2455" i="20"/>
  <c r="M2455" i="20" s="1"/>
  <c r="AB2454" i="20"/>
  <c r="AA2454" i="20"/>
  <c r="Y2454" i="20"/>
  <c r="V2454" i="20"/>
  <c r="W2454" i="20" s="1"/>
  <c r="X2454" i="20" s="1"/>
  <c r="U2454" i="20"/>
  <c r="S2454" i="20"/>
  <c r="N2454" i="20"/>
  <c r="O2454" i="20" s="1"/>
  <c r="M2454" i="20"/>
  <c r="AC2454" i="20" s="1"/>
  <c r="L2454" i="20"/>
  <c r="P2454" i="20" s="1"/>
  <c r="K2454" i="20"/>
  <c r="AC2453" i="20"/>
  <c r="AB2453" i="20"/>
  <c r="AA2453" i="20"/>
  <c r="X2453" i="20"/>
  <c r="W2453" i="20"/>
  <c r="V2453" i="20"/>
  <c r="U2453" i="20"/>
  <c r="S2453" i="20"/>
  <c r="Q2453" i="20"/>
  <c r="P2453" i="20"/>
  <c r="M2453" i="20"/>
  <c r="L2453" i="20"/>
  <c r="K2453" i="20"/>
  <c r="AA2452" i="20"/>
  <c r="W2452" i="20"/>
  <c r="X2452" i="20" s="1"/>
  <c r="V2452" i="20"/>
  <c r="U2452" i="20"/>
  <c r="S2452" i="20"/>
  <c r="N2452" i="20"/>
  <c r="O2452" i="20" s="1"/>
  <c r="M2452" i="20"/>
  <c r="AC2452" i="20" s="1"/>
  <c r="L2452" i="20"/>
  <c r="K2452" i="20"/>
  <c r="AC2451" i="20"/>
  <c r="AA2451" i="20"/>
  <c r="AB2451" i="20" s="1"/>
  <c r="V2451" i="20"/>
  <c r="W2451" i="20" s="1"/>
  <c r="X2451" i="20" s="1"/>
  <c r="U2451" i="20"/>
  <c r="S2451" i="20"/>
  <c r="Q2451" i="20"/>
  <c r="M2451" i="20"/>
  <c r="N2451" i="20" s="1"/>
  <c r="O2451" i="20" s="1"/>
  <c r="K2451" i="20"/>
  <c r="L2451" i="20" s="1"/>
  <c r="AA2450" i="20"/>
  <c r="W2450" i="20"/>
  <c r="X2450" i="20" s="1"/>
  <c r="V2450" i="20"/>
  <c r="U2450" i="20"/>
  <c r="S2450" i="20"/>
  <c r="M2450" i="20"/>
  <c r="K2450" i="20"/>
  <c r="L2450" i="20" s="1"/>
  <c r="AC2449" i="20"/>
  <c r="AB2449" i="20"/>
  <c r="AA2449" i="20"/>
  <c r="W2449" i="20"/>
  <c r="X2449" i="20" s="1"/>
  <c r="V2449" i="20"/>
  <c r="U2449" i="20"/>
  <c r="S2449" i="20"/>
  <c r="Q2449" i="20"/>
  <c r="N2449" i="20"/>
  <c r="O2449" i="20" s="1"/>
  <c r="M2449" i="20"/>
  <c r="K2449" i="20"/>
  <c r="L2449" i="20" s="1"/>
  <c r="AA2448" i="20"/>
  <c r="W2448" i="20"/>
  <c r="X2448" i="20" s="1"/>
  <c r="V2448" i="20"/>
  <c r="U2448" i="20"/>
  <c r="S2448" i="20"/>
  <c r="M2448" i="20"/>
  <c r="Q2448" i="20" s="1"/>
  <c r="L2448" i="20"/>
  <c r="K2448" i="20"/>
  <c r="AA2447" i="20"/>
  <c r="W2447" i="20"/>
  <c r="X2447" i="20" s="1"/>
  <c r="Y2447" i="20" s="1"/>
  <c r="V2447" i="20"/>
  <c r="U2447" i="20"/>
  <c r="S2447" i="20"/>
  <c r="K2447" i="20"/>
  <c r="AB2446" i="20"/>
  <c r="AA2446" i="20"/>
  <c r="V2446" i="20"/>
  <c r="W2446" i="20" s="1"/>
  <c r="X2446" i="20" s="1"/>
  <c r="U2446" i="20"/>
  <c r="S2446" i="20"/>
  <c r="M2446" i="20"/>
  <c r="L2446" i="20"/>
  <c r="P2446" i="20" s="1"/>
  <c r="K2446" i="20"/>
  <c r="AC2445" i="20"/>
  <c r="AA2445" i="20"/>
  <c r="X2445" i="20"/>
  <c r="V2445" i="20"/>
  <c r="W2445" i="20" s="1"/>
  <c r="U2445" i="20"/>
  <c r="S2445" i="20"/>
  <c r="K2445" i="20"/>
  <c r="M2445" i="20" s="1"/>
  <c r="Q2445" i="20" s="1"/>
  <c r="AB2444" i="20"/>
  <c r="AA2444" i="20"/>
  <c r="V2444" i="20"/>
  <c r="W2444" i="20" s="1"/>
  <c r="X2444" i="20" s="1"/>
  <c r="U2444" i="20"/>
  <c r="S2444" i="20"/>
  <c r="P2444" i="20"/>
  <c r="M2444" i="20"/>
  <c r="L2444" i="20"/>
  <c r="K2444" i="20"/>
  <c r="AA2443" i="20"/>
  <c r="Y2443" i="20"/>
  <c r="X2443" i="20"/>
  <c r="W2443" i="20"/>
  <c r="V2443" i="20"/>
  <c r="U2443" i="20"/>
  <c r="S2443" i="20"/>
  <c r="Q2443" i="20"/>
  <c r="M2443" i="20"/>
  <c r="AC2443" i="20" s="1"/>
  <c r="K2443" i="20"/>
  <c r="L2443" i="20" s="1"/>
  <c r="AB2442" i="20"/>
  <c r="AA2442" i="20"/>
  <c r="Y2442" i="20"/>
  <c r="W2442" i="20"/>
  <c r="X2442" i="20" s="1"/>
  <c r="V2442" i="20"/>
  <c r="U2442" i="20"/>
  <c r="S2442" i="20"/>
  <c r="N2442" i="20"/>
  <c r="O2442" i="20" s="1"/>
  <c r="M2442" i="20"/>
  <c r="K2442" i="20"/>
  <c r="L2442" i="20" s="1"/>
  <c r="P2442" i="20" s="1"/>
  <c r="AA2441" i="20"/>
  <c r="Y2441" i="20"/>
  <c r="W2441" i="20"/>
  <c r="X2441" i="20" s="1"/>
  <c r="V2441" i="20"/>
  <c r="U2441" i="20"/>
  <c r="S2441" i="20"/>
  <c r="O2441" i="20"/>
  <c r="K2441" i="20"/>
  <c r="J2441" i="20"/>
  <c r="AC2440" i="20"/>
  <c r="AB2440" i="20"/>
  <c r="AA2440" i="20"/>
  <c r="X2440" i="20"/>
  <c r="Y2440" i="20" s="1"/>
  <c r="W2440" i="20"/>
  <c r="V2440" i="20"/>
  <c r="U2440" i="20"/>
  <c r="S2440" i="20"/>
  <c r="Q2440" i="20"/>
  <c r="O2440" i="20"/>
  <c r="M2440" i="20"/>
  <c r="L2440" i="20"/>
  <c r="K2440" i="20"/>
  <c r="J2440" i="20"/>
  <c r="AA2439" i="20"/>
  <c r="V2439" i="20"/>
  <c r="W2439" i="20" s="1"/>
  <c r="X2439" i="20" s="1"/>
  <c r="U2439" i="20"/>
  <c r="S2439" i="20"/>
  <c r="Q2439" i="20"/>
  <c r="O2439" i="20"/>
  <c r="M2439" i="20"/>
  <c r="AC2439" i="20" s="1"/>
  <c r="L2439" i="20"/>
  <c r="K2439" i="20"/>
  <c r="J2439" i="20"/>
  <c r="AA2438" i="20"/>
  <c r="X2438" i="20"/>
  <c r="V2438" i="20"/>
  <c r="W2438" i="20" s="1"/>
  <c r="U2438" i="20"/>
  <c r="S2438" i="20"/>
  <c r="O2438" i="20"/>
  <c r="M2438" i="20"/>
  <c r="L2438" i="20"/>
  <c r="K2438" i="20"/>
  <c r="J2438" i="20"/>
  <c r="AA2437" i="20"/>
  <c r="X2437" i="20"/>
  <c r="V2437" i="20"/>
  <c r="W2437" i="20" s="1"/>
  <c r="U2437" i="20"/>
  <c r="S2437" i="20"/>
  <c r="O2437" i="20"/>
  <c r="K2437" i="20"/>
  <c r="J2437" i="20"/>
  <c r="AB2436" i="20"/>
  <c r="AA2436" i="20"/>
  <c r="W2436" i="20"/>
  <c r="X2436" i="20" s="1"/>
  <c r="V2436" i="20"/>
  <c r="U2436" i="20"/>
  <c r="S2436" i="20"/>
  <c r="Q2436" i="20"/>
  <c r="P2436" i="20"/>
  <c r="O2436" i="20"/>
  <c r="L2436" i="20"/>
  <c r="K2436" i="20"/>
  <c r="M2436" i="20" s="1"/>
  <c r="J2436" i="20"/>
  <c r="AA2435" i="20"/>
  <c r="V2435" i="20"/>
  <c r="W2435" i="20" s="1"/>
  <c r="X2435" i="20" s="1"/>
  <c r="Y2435" i="20" s="1"/>
  <c r="U2435" i="20"/>
  <c r="S2435" i="20"/>
  <c r="O2435" i="20"/>
  <c r="M2435" i="20"/>
  <c r="L2435" i="20"/>
  <c r="K2435" i="20"/>
  <c r="J2435" i="20"/>
  <c r="AC2434" i="20"/>
  <c r="AA2434" i="20"/>
  <c r="W2434" i="20"/>
  <c r="X2434" i="20" s="1"/>
  <c r="V2434" i="20"/>
  <c r="U2434" i="20"/>
  <c r="S2434" i="20"/>
  <c r="O2434" i="20"/>
  <c r="L2434" i="20"/>
  <c r="K2434" i="20"/>
  <c r="M2434" i="20" s="1"/>
  <c r="Q2434" i="20" s="1"/>
  <c r="J2434" i="20"/>
  <c r="AA2433" i="20"/>
  <c r="V2433" i="20"/>
  <c r="W2433" i="20" s="1"/>
  <c r="X2433" i="20" s="1"/>
  <c r="U2433" i="20"/>
  <c r="S2433" i="20"/>
  <c r="O2433" i="20"/>
  <c r="K2433" i="20"/>
  <c r="J2433" i="20"/>
  <c r="AC2432" i="20"/>
  <c r="AB2432" i="20"/>
  <c r="AA2432" i="20"/>
  <c r="Y2432" i="20"/>
  <c r="X2432" i="20"/>
  <c r="W2432" i="20"/>
  <c r="V2432" i="20"/>
  <c r="U2432" i="20"/>
  <c r="S2432" i="20"/>
  <c r="O2432" i="20"/>
  <c r="N2432" i="20"/>
  <c r="M2432" i="20"/>
  <c r="Q2432" i="20" s="1"/>
  <c r="L2432" i="20"/>
  <c r="P2432" i="20" s="1"/>
  <c r="K2432" i="20"/>
  <c r="J2432" i="20"/>
  <c r="AA2431" i="20"/>
  <c r="Y2431" i="20"/>
  <c r="X2431" i="20"/>
  <c r="V2431" i="20"/>
  <c r="W2431" i="20" s="1"/>
  <c r="U2431" i="20"/>
  <c r="S2431" i="20"/>
  <c r="Q2431" i="20"/>
  <c r="P2431" i="20"/>
  <c r="O2431" i="20"/>
  <c r="M2431" i="20"/>
  <c r="AC2431" i="20" s="1"/>
  <c r="L2431" i="20"/>
  <c r="AB2431" i="20" s="1"/>
  <c r="K2431" i="20"/>
  <c r="J2431" i="20"/>
  <c r="AC2430" i="20"/>
  <c r="AA2430" i="20"/>
  <c r="X2430" i="20"/>
  <c r="W2430" i="20"/>
  <c r="V2430" i="20"/>
  <c r="U2430" i="20"/>
  <c r="S2430" i="20"/>
  <c r="Q2430" i="20"/>
  <c r="O2430" i="20"/>
  <c r="L2430" i="20"/>
  <c r="K2430" i="20"/>
  <c r="M2430" i="20" s="1"/>
  <c r="J2430" i="20"/>
  <c r="AC2429" i="20"/>
  <c r="AA2429" i="20"/>
  <c r="W2429" i="20"/>
  <c r="X2429" i="20" s="1"/>
  <c r="Y2429" i="20" s="1"/>
  <c r="V2429" i="20"/>
  <c r="U2429" i="20"/>
  <c r="S2429" i="20"/>
  <c r="Q2429" i="20"/>
  <c r="P2429" i="20"/>
  <c r="O2429" i="20"/>
  <c r="M2429" i="20"/>
  <c r="L2429" i="20"/>
  <c r="K2429" i="20"/>
  <c r="J2429" i="20"/>
  <c r="AA2428" i="20"/>
  <c r="X2428" i="20"/>
  <c r="Y2428" i="20" s="1"/>
  <c r="W2428" i="20"/>
  <c r="V2428" i="20"/>
  <c r="U2428" i="20"/>
  <c r="S2428" i="20"/>
  <c r="O2428" i="20"/>
  <c r="K2428" i="20"/>
  <c r="J2428" i="20"/>
  <c r="AB2427" i="20"/>
  <c r="AA2427" i="20"/>
  <c r="V2427" i="20"/>
  <c r="W2427" i="20" s="1"/>
  <c r="X2427" i="20" s="1"/>
  <c r="S2427" i="20"/>
  <c r="M2427" i="20"/>
  <c r="AC2427" i="20" s="1"/>
  <c r="L2427" i="20"/>
  <c r="K2427" i="20"/>
  <c r="AB2426" i="20"/>
  <c r="AA2426" i="20"/>
  <c r="X2426" i="20"/>
  <c r="Y2426" i="20" s="1"/>
  <c r="W2426" i="20"/>
  <c r="V2426" i="20"/>
  <c r="S2426" i="20"/>
  <c r="P2426" i="20"/>
  <c r="M2426" i="20"/>
  <c r="Q2426" i="20" s="1"/>
  <c r="L2426" i="20"/>
  <c r="K2426" i="20"/>
  <c r="AA2425" i="20"/>
  <c r="Y2425" i="20"/>
  <c r="V2425" i="20"/>
  <c r="W2425" i="20" s="1"/>
  <c r="X2425" i="20" s="1"/>
  <c r="S2425" i="20"/>
  <c r="M2425" i="20"/>
  <c r="AC2425" i="20" s="1"/>
  <c r="L2425" i="20"/>
  <c r="K2425" i="20"/>
  <c r="AA2424" i="20"/>
  <c r="V2424" i="20"/>
  <c r="W2424" i="20" s="1"/>
  <c r="X2424" i="20" s="1"/>
  <c r="S2424" i="20"/>
  <c r="K2424" i="20"/>
  <c r="AB2423" i="20"/>
  <c r="AA2423" i="20"/>
  <c r="W2423" i="20"/>
  <c r="X2423" i="20" s="1"/>
  <c r="V2423" i="20"/>
  <c r="S2423" i="20"/>
  <c r="P2423" i="20"/>
  <c r="M2423" i="20"/>
  <c r="L2423" i="20"/>
  <c r="K2423" i="20"/>
  <c r="AA2422" i="20"/>
  <c r="X2422" i="20"/>
  <c r="W2422" i="20"/>
  <c r="V2422" i="20"/>
  <c r="S2422" i="20"/>
  <c r="M2422" i="20"/>
  <c r="L2422" i="20"/>
  <c r="K2422" i="20"/>
  <c r="AA2421" i="20"/>
  <c r="V2421" i="20"/>
  <c r="W2421" i="20" s="1"/>
  <c r="X2421" i="20" s="1"/>
  <c r="S2421" i="20"/>
  <c r="Q2421" i="20"/>
  <c r="M2421" i="20"/>
  <c r="AC2421" i="20" s="1"/>
  <c r="L2421" i="20"/>
  <c r="K2421" i="20"/>
  <c r="AA2420" i="20"/>
  <c r="W2420" i="20"/>
  <c r="X2420" i="20" s="1"/>
  <c r="V2420" i="20"/>
  <c r="S2420" i="20"/>
  <c r="L2420" i="20"/>
  <c r="K2420" i="20"/>
  <c r="M2420" i="20" s="1"/>
  <c r="AC2420" i="20" s="1"/>
  <c r="AC2419" i="20"/>
  <c r="AB2419" i="20"/>
  <c r="AA2419" i="20"/>
  <c r="Y2419" i="20"/>
  <c r="W2419" i="20"/>
  <c r="X2419" i="20" s="1"/>
  <c r="V2419" i="20"/>
  <c r="S2419" i="20"/>
  <c r="Q2419" i="20"/>
  <c r="O2419" i="20"/>
  <c r="N2419" i="20"/>
  <c r="M2419" i="20"/>
  <c r="K2419" i="20"/>
  <c r="L2419" i="20" s="1"/>
  <c r="AA2418" i="20"/>
  <c r="Y2418" i="20"/>
  <c r="X2418" i="20"/>
  <c r="W2418" i="20"/>
  <c r="V2418" i="20"/>
  <c r="S2418" i="20"/>
  <c r="K2418" i="20"/>
  <c r="AA2417" i="20"/>
  <c r="X2417" i="20"/>
  <c r="W2417" i="20"/>
  <c r="V2417" i="20"/>
  <c r="S2417" i="20"/>
  <c r="Q2417" i="20"/>
  <c r="O2417" i="20"/>
  <c r="N2417" i="20"/>
  <c r="M2417" i="20"/>
  <c r="AC2417" i="20" s="1"/>
  <c r="K2417" i="20"/>
  <c r="L2417" i="20" s="1"/>
  <c r="AC2416" i="20"/>
  <c r="AB2416" i="20"/>
  <c r="AA2416" i="20"/>
  <c r="X2416" i="20"/>
  <c r="W2416" i="20"/>
  <c r="V2416" i="20"/>
  <c r="S2416" i="20"/>
  <c r="Q2416" i="20"/>
  <c r="O2416" i="20"/>
  <c r="M2416" i="20"/>
  <c r="N2416" i="20" s="1"/>
  <c r="L2416" i="20"/>
  <c r="K2416" i="20"/>
  <c r="AA2415" i="20"/>
  <c r="V2415" i="20"/>
  <c r="W2415" i="20" s="1"/>
  <c r="X2415" i="20" s="1"/>
  <c r="Y2415" i="20" s="1"/>
  <c r="S2415" i="20"/>
  <c r="Q2415" i="20"/>
  <c r="L2415" i="20"/>
  <c r="K2415" i="20"/>
  <c r="M2415" i="20" s="1"/>
  <c r="AC2415" i="20" s="1"/>
  <c r="AC2414" i="20"/>
  <c r="AA2414" i="20"/>
  <c r="AB2414" i="20" s="1"/>
  <c r="V2414" i="20"/>
  <c r="W2414" i="20" s="1"/>
  <c r="X2414" i="20" s="1"/>
  <c r="S2414" i="20"/>
  <c r="Q2414" i="20"/>
  <c r="N2414" i="20"/>
  <c r="O2414" i="20" s="1"/>
  <c r="M2414" i="20"/>
  <c r="L2414" i="20"/>
  <c r="K2414" i="20"/>
  <c r="AA2413" i="20"/>
  <c r="Y2413" i="20"/>
  <c r="X2413" i="20"/>
  <c r="V2413" i="20"/>
  <c r="W2413" i="20" s="1"/>
  <c r="S2413" i="20"/>
  <c r="N2413" i="20"/>
  <c r="O2413" i="20" s="1"/>
  <c r="M2413" i="20"/>
  <c r="K2413" i="20"/>
  <c r="L2413" i="20" s="1"/>
  <c r="AA2412" i="20"/>
  <c r="X2412" i="20"/>
  <c r="Y2412" i="20" s="1"/>
  <c r="W2412" i="20"/>
  <c r="V2412" i="20"/>
  <c r="S2412" i="20"/>
  <c r="M2412" i="20"/>
  <c r="L2412" i="20"/>
  <c r="K2412" i="20"/>
  <c r="AB2411" i="20"/>
  <c r="AA2411" i="20"/>
  <c r="Y2411" i="20"/>
  <c r="X2411" i="20"/>
  <c r="W2411" i="20"/>
  <c r="V2411" i="20"/>
  <c r="S2411" i="20"/>
  <c r="M2411" i="20"/>
  <c r="AC2411" i="20" s="1"/>
  <c r="K2411" i="20"/>
  <c r="L2411" i="20" s="1"/>
  <c r="AB2410" i="20"/>
  <c r="AA2410" i="20"/>
  <c r="W2410" i="20"/>
  <c r="X2410" i="20" s="1"/>
  <c r="V2410" i="20"/>
  <c r="S2410" i="20"/>
  <c r="N2410" i="20"/>
  <c r="O2410" i="20" s="1"/>
  <c r="M2410" i="20"/>
  <c r="AC2410" i="20" s="1"/>
  <c r="L2410" i="20"/>
  <c r="K2410" i="20"/>
  <c r="AA2409" i="20"/>
  <c r="W2409" i="20"/>
  <c r="X2409" i="20" s="1"/>
  <c r="Y2409" i="20" s="1"/>
  <c r="V2409" i="20"/>
  <c r="S2409" i="20"/>
  <c r="N2409" i="20"/>
  <c r="O2409" i="20" s="1"/>
  <c r="L2409" i="20"/>
  <c r="K2409" i="20"/>
  <c r="M2409" i="20" s="1"/>
  <c r="AA2408" i="20"/>
  <c r="Y2408" i="20"/>
  <c r="V2408" i="20"/>
  <c r="W2408" i="20" s="1"/>
  <c r="X2408" i="20" s="1"/>
  <c r="S2408" i="20"/>
  <c r="P2408" i="20"/>
  <c r="N2408" i="20"/>
  <c r="O2408" i="20" s="1"/>
  <c r="M2408" i="20"/>
  <c r="K2408" i="20"/>
  <c r="L2408" i="20" s="1"/>
  <c r="AB2408" i="20" s="1"/>
  <c r="AA2407" i="20"/>
  <c r="V2407" i="20"/>
  <c r="W2407" i="20" s="1"/>
  <c r="X2407" i="20" s="1"/>
  <c r="S2407" i="20"/>
  <c r="K2407" i="20"/>
  <c r="AA2406" i="20"/>
  <c r="Y2406" i="20"/>
  <c r="W2406" i="20"/>
  <c r="X2406" i="20" s="1"/>
  <c r="V2406" i="20"/>
  <c r="S2406" i="20"/>
  <c r="M2406" i="20"/>
  <c r="L2406" i="20"/>
  <c r="K2406" i="20"/>
  <c r="AB2405" i="20"/>
  <c r="AA2405" i="20"/>
  <c r="V2405" i="20"/>
  <c r="W2405" i="20" s="1"/>
  <c r="X2405" i="20" s="1"/>
  <c r="S2405" i="20"/>
  <c r="M2405" i="20"/>
  <c r="K2405" i="20"/>
  <c r="L2405" i="20" s="1"/>
  <c r="AA2404" i="20"/>
  <c r="Y2404" i="20"/>
  <c r="X2404" i="20"/>
  <c r="V2404" i="20"/>
  <c r="W2404" i="20" s="1"/>
  <c r="S2404" i="20"/>
  <c r="K2404" i="20"/>
  <c r="L2404" i="20" s="1"/>
  <c r="AB2403" i="20"/>
  <c r="AA2403" i="20"/>
  <c r="W2403" i="20"/>
  <c r="X2403" i="20" s="1"/>
  <c r="Y2403" i="20" s="1"/>
  <c r="V2403" i="20"/>
  <c r="S2403" i="20"/>
  <c r="N2403" i="20"/>
  <c r="O2403" i="20" s="1"/>
  <c r="M2403" i="20"/>
  <c r="K2403" i="20"/>
  <c r="L2403" i="20" s="1"/>
  <c r="P2403" i="20" s="1"/>
  <c r="AA2402" i="20"/>
  <c r="V2402" i="20"/>
  <c r="W2402" i="20" s="1"/>
  <c r="X2402" i="20" s="1"/>
  <c r="Y2402" i="20" s="1"/>
  <c r="S2402" i="20"/>
  <c r="P2402" i="20"/>
  <c r="M2402" i="20"/>
  <c r="K2402" i="20"/>
  <c r="L2402" i="20" s="1"/>
  <c r="AC2401" i="20"/>
  <c r="AA2401" i="20"/>
  <c r="X2401" i="20"/>
  <c r="W2401" i="20"/>
  <c r="V2401" i="20"/>
  <c r="S2401" i="20"/>
  <c r="Q2401" i="20"/>
  <c r="L2401" i="20"/>
  <c r="K2401" i="20"/>
  <c r="M2401" i="20" s="1"/>
  <c r="AA2400" i="20"/>
  <c r="W2400" i="20"/>
  <c r="X2400" i="20" s="1"/>
  <c r="V2400" i="20"/>
  <c r="S2400" i="20"/>
  <c r="L2400" i="20"/>
  <c r="K2400" i="20"/>
  <c r="M2400" i="20" s="1"/>
  <c r="AC2400" i="20" s="1"/>
  <c r="AA2399" i="20"/>
  <c r="W2399" i="20"/>
  <c r="X2399" i="20" s="1"/>
  <c r="Y2399" i="20" s="1"/>
  <c r="V2399" i="20"/>
  <c r="S2399" i="20"/>
  <c r="L2399" i="20"/>
  <c r="K2399" i="20"/>
  <c r="M2399" i="20" s="1"/>
  <c r="AC2399" i="20" s="1"/>
  <c r="AA2398" i="20"/>
  <c r="W2398" i="20"/>
  <c r="X2398" i="20" s="1"/>
  <c r="Y2398" i="20" s="1"/>
  <c r="V2398" i="20"/>
  <c r="S2398" i="20"/>
  <c r="K2398" i="20"/>
  <c r="M2398" i="20" s="1"/>
  <c r="AC2398" i="20" s="1"/>
  <c r="AC2397" i="20"/>
  <c r="AB2397" i="20"/>
  <c r="AA2397" i="20"/>
  <c r="V2397" i="20"/>
  <c r="W2397" i="20" s="1"/>
  <c r="X2397" i="20" s="1"/>
  <c r="U2397" i="20"/>
  <c r="S2397" i="20"/>
  <c r="Q2397" i="20"/>
  <c r="P2397" i="20"/>
  <c r="M2397" i="20"/>
  <c r="L2397" i="20"/>
  <c r="K2397" i="20"/>
  <c r="AA2396" i="20"/>
  <c r="Y2396" i="20"/>
  <c r="W2396" i="20"/>
  <c r="X2396" i="20" s="1"/>
  <c r="V2396" i="20"/>
  <c r="U2396" i="20"/>
  <c r="S2396" i="20"/>
  <c r="K2396" i="20"/>
  <c r="M2396" i="20" s="1"/>
  <c r="AA2395" i="20"/>
  <c r="V2395" i="20"/>
  <c r="W2395" i="20" s="1"/>
  <c r="X2395" i="20" s="1"/>
  <c r="U2395" i="20"/>
  <c r="S2395" i="20"/>
  <c r="Q2395" i="20"/>
  <c r="O2395" i="20"/>
  <c r="N2395" i="20"/>
  <c r="L2395" i="20"/>
  <c r="K2395" i="20"/>
  <c r="M2395" i="20" s="1"/>
  <c r="AC2395" i="20" s="1"/>
  <c r="AA2394" i="20"/>
  <c r="X2394" i="20"/>
  <c r="W2394" i="20"/>
  <c r="V2394" i="20"/>
  <c r="U2394" i="20"/>
  <c r="S2394" i="20"/>
  <c r="Q2394" i="20"/>
  <c r="N2394" i="20"/>
  <c r="O2394" i="20" s="1"/>
  <c r="M2394" i="20"/>
  <c r="AC2394" i="20" s="1"/>
  <c r="K2394" i="20"/>
  <c r="L2394" i="20" s="1"/>
  <c r="AC2393" i="20"/>
  <c r="AB2393" i="20"/>
  <c r="AA2393" i="20"/>
  <c r="V2393" i="20"/>
  <c r="W2393" i="20" s="1"/>
  <c r="X2393" i="20" s="1"/>
  <c r="U2393" i="20"/>
  <c r="S2393" i="20"/>
  <c r="Q2393" i="20"/>
  <c r="P2393" i="20"/>
  <c r="M2393" i="20"/>
  <c r="L2393" i="20"/>
  <c r="K2393" i="20"/>
  <c r="AA2392" i="20"/>
  <c r="V2392" i="20"/>
  <c r="W2392" i="20" s="1"/>
  <c r="X2392" i="20" s="1"/>
  <c r="U2392" i="20"/>
  <c r="S2392" i="20"/>
  <c r="K2392" i="20"/>
  <c r="M2392" i="20" s="1"/>
  <c r="AB2391" i="20"/>
  <c r="AA2391" i="20"/>
  <c r="W2391" i="20"/>
  <c r="X2391" i="20" s="1"/>
  <c r="V2391" i="20"/>
  <c r="U2391" i="20"/>
  <c r="S2391" i="20"/>
  <c r="Q2391" i="20"/>
  <c r="N2391" i="20"/>
  <c r="O2391" i="20" s="1"/>
  <c r="M2391" i="20"/>
  <c r="AC2391" i="20" s="1"/>
  <c r="L2391" i="20"/>
  <c r="P2391" i="20" s="1"/>
  <c r="K2391" i="20"/>
  <c r="AC2390" i="20"/>
  <c r="AA2390" i="20"/>
  <c r="W2390" i="20"/>
  <c r="X2390" i="20" s="1"/>
  <c r="Y2390" i="20" s="1"/>
  <c r="V2390" i="20"/>
  <c r="U2390" i="20"/>
  <c r="S2390" i="20"/>
  <c r="M2390" i="20"/>
  <c r="Q2390" i="20" s="1"/>
  <c r="K2390" i="20"/>
  <c r="L2390" i="20" s="1"/>
  <c r="AA2389" i="20"/>
  <c r="Y2389" i="20"/>
  <c r="V2389" i="20"/>
  <c r="W2389" i="20" s="1"/>
  <c r="X2389" i="20" s="1"/>
  <c r="U2389" i="20"/>
  <c r="S2389" i="20"/>
  <c r="M2389" i="20"/>
  <c r="L2389" i="20"/>
  <c r="K2389" i="20"/>
  <c r="AA2388" i="20"/>
  <c r="V2388" i="20"/>
  <c r="W2388" i="20" s="1"/>
  <c r="X2388" i="20" s="1"/>
  <c r="U2388" i="20"/>
  <c r="S2388" i="20"/>
  <c r="M2388" i="20"/>
  <c r="K2388" i="20"/>
  <c r="L2388" i="20" s="1"/>
  <c r="AA2387" i="20"/>
  <c r="V2387" i="20"/>
  <c r="W2387" i="20" s="1"/>
  <c r="X2387" i="20" s="1"/>
  <c r="U2387" i="20"/>
  <c r="S2387" i="20"/>
  <c r="K2387" i="20"/>
  <c r="AA2386" i="20"/>
  <c r="V2386" i="20"/>
  <c r="W2386" i="20" s="1"/>
  <c r="X2386" i="20" s="1"/>
  <c r="U2386" i="20"/>
  <c r="S2386" i="20"/>
  <c r="K2386" i="20"/>
  <c r="AB2385" i="20"/>
  <c r="AA2385" i="20"/>
  <c r="V2385" i="20"/>
  <c r="W2385" i="20" s="1"/>
  <c r="X2385" i="20" s="1"/>
  <c r="U2385" i="20"/>
  <c r="S2385" i="20"/>
  <c r="Q2385" i="20"/>
  <c r="P2385" i="20"/>
  <c r="O2385" i="20"/>
  <c r="N2385" i="20"/>
  <c r="M2385" i="20"/>
  <c r="AC2385" i="20" s="1"/>
  <c r="L2385" i="20"/>
  <c r="K2385" i="20"/>
  <c r="AC2384" i="20"/>
  <c r="AA2384" i="20"/>
  <c r="W2384" i="20"/>
  <c r="X2384" i="20" s="1"/>
  <c r="V2384" i="20"/>
  <c r="U2384" i="20"/>
  <c r="S2384" i="20"/>
  <c r="Q2384" i="20"/>
  <c r="L2384" i="20"/>
  <c r="K2384" i="20"/>
  <c r="M2384" i="20" s="1"/>
  <c r="AA2383" i="20"/>
  <c r="V2383" i="20"/>
  <c r="W2383" i="20" s="1"/>
  <c r="X2383" i="20" s="1"/>
  <c r="U2383" i="20"/>
  <c r="S2383" i="20"/>
  <c r="Q2383" i="20"/>
  <c r="L2383" i="20"/>
  <c r="K2383" i="20"/>
  <c r="M2383" i="20" s="1"/>
  <c r="AC2383" i="20" s="1"/>
  <c r="AA2382" i="20"/>
  <c r="Y2382" i="20"/>
  <c r="W2382" i="20"/>
  <c r="X2382" i="20" s="1"/>
  <c r="V2382" i="20"/>
  <c r="U2382" i="20"/>
  <c r="S2382" i="20"/>
  <c r="K2382" i="20"/>
  <c r="AC2381" i="20"/>
  <c r="AB2381" i="20"/>
  <c r="AA2381" i="20"/>
  <c r="W2381" i="20"/>
  <c r="X2381" i="20" s="1"/>
  <c r="V2381" i="20"/>
  <c r="U2381" i="20"/>
  <c r="S2381" i="20"/>
  <c r="P2381" i="20"/>
  <c r="M2381" i="20"/>
  <c r="Q2381" i="20" s="1"/>
  <c r="L2381" i="20"/>
  <c r="K2381" i="20"/>
  <c r="AA2380" i="20"/>
  <c r="V2380" i="20"/>
  <c r="W2380" i="20" s="1"/>
  <c r="X2380" i="20" s="1"/>
  <c r="U2380" i="20"/>
  <c r="S2380" i="20"/>
  <c r="K2380" i="20"/>
  <c r="M2380" i="20" s="1"/>
  <c r="AB2379" i="20"/>
  <c r="AA2379" i="20"/>
  <c r="W2379" i="20"/>
  <c r="X2379" i="20" s="1"/>
  <c r="V2379" i="20"/>
  <c r="U2379" i="20"/>
  <c r="S2379" i="20"/>
  <c r="P2379" i="20"/>
  <c r="O2379" i="20"/>
  <c r="M2379" i="20"/>
  <c r="L2379" i="20"/>
  <c r="N2379" i="20" s="1"/>
  <c r="K2379" i="20"/>
  <c r="AA2378" i="20"/>
  <c r="X2378" i="20"/>
  <c r="W2378" i="20"/>
  <c r="V2378" i="20"/>
  <c r="U2378" i="20"/>
  <c r="S2378" i="20"/>
  <c r="K2378" i="20"/>
  <c r="L2378" i="20" s="1"/>
  <c r="AA2377" i="20"/>
  <c r="W2377" i="20"/>
  <c r="X2377" i="20" s="1"/>
  <c r="V2377" i="20"/>
  <c r="U2377" i="20"/>
  <c r="S2377" i="20"/>
  <c r="M2377" i="20"/>
  <c r="L2377" i="20"/>
  <c r="K2377" i="20"/>
  <c r="AA2376" i="20"/>
  <c r="V2376" i="20"/>
  <c r="W2376" i="20" s="1"/>
  <c r="X2376" i="20" s="1"/>
  <c r="U2376" i="20"/>
  <c r="S2376" i="20"/>
  <c r="M2376" i="20"/>
  <c r="L2376" i="20"/>
  <c r="K2376" i="20"/>
  <c r="AC2375" i="20"/>
  <c r="AB2375" i="20"/>
  <c r="AA2375" i="20"/>
  <c r="Y2375" i="20"/>
  <c r="V2375" i="20"/>
  <c r="W2375" i="20" s="1"/>
  <c r="X2375" i="20" s="1"/>
  <c r="U2375" i="20"/>
  <c r="S2375" i="20"/>
  <c r="M2375" i="20"/>
  <c r="K2375" i="20"/>
  <c r="L2375" i="20" s="1"/>
  <c r="AC2374" i="20"/>
  <c r="AB2374" i="20"/>
  <c r="AA2374" i="20"/>
  <c r="W2374" i="20"/>
  <c r="X2374" i="20" s="1"/>
  <c r="V2374" i="20"/>
  <c r="U2374" i="20"/>
  <c r="S2374" i="20"/>
  <c r="Q2374" i="20"/>
  <c r="P2374" i="20"/>
  <c r="N2374" i="20"/>
  <c r="O2374" i="20" s="1"/>
  <c r="M2374" i="20"/>
  <c r="L2374" i="20"/>
  <c r="K2374" i="20"/>
  <c r="AA2373" i="20"/>
  <c r="V2373" i="20"/>
  <c r="W2373" i="20" s="1"/>
  <c r="X2373" i="20" s="1"/>
  <c r="U2373" i="20"/>
  <c r="S2373" i="20"/>
  <c r="Q2373" i="20"/>
  <c r="M2373" i="20"/>
  <c r="AC2373" i="20" s="1"/>
  <c r="L2373" i="20"/>
  <c r="K2373" i="20"/>
  <c r="AA2372" i="20"/>
  <c r="X2372" i="20"/>
  <c r="W2372" i="20"/>
  <c r="V2372" i="20"/>
  <c r="U2372" i="20"/>
  <c r="S2372" i="20"/>
  <c r="K2372" i="20"/>
  <c r="AA2371" i="20"/>
  <c r="X2371" i="20"/>
  <c r="W2371" i="20"/>
  <c r="V2371" i="20"/>
  <c r="U2371" i="20"/>
  <c r="S2371" i="20"/>
  <c r="M2371" i="20"/>
  <c r="Q2371" i="20" s="1"/>
  <c r="K2371" i="20"/>
  <c r="L2371" i="20" s="1"/>
  <c r="AA2370" i="20"/>
  <c r="Y2370" i="20"/>
  <c r="X2370" i="20"/>
  <c r="V2370" i="20"/>
  <c r="W2370" i="20" s="1"/>
  <c r="U2370" i="20"/>
  <c r="S2370" i="20"/>
  <c r="Q2370" i="20"/>
  <c r="K2370" i="20"/>
  <c r="M2370" i="20" s="1"/>
  <c r="AC2370" i="20" s="1"/>
  <c r="AA2369" i="20"/>
  <c r="V2369" i="20"/>
  <c r="W2369" i="20" s="1"/>
  <c r="X2369" i="20" s="1"/>
  <c r="U2369" i="20"/>
  <c r="S2369" i="20"/>
  <c r="K2369" i="20"/>
  <c r="M2369" i="20" s="1"/>
  <c r="AA2368" i="20"/>
  <c r="X2368" i="20"/>
  <c r="W2368" i="20"/>
  <c r="V2368" i="20"/>
  <c r="U2368" i="20"/>
  <c r="S2368" i="20"/>
  <c r="N2368" i="20"/>
  <c r="O2368" i="20" s="1"/>
  <c r="M2368" i="20"/>
  <c r="L2368" i="20"/>
  <c r="AB2368" i="20" s="1"/>
  <c r="K2368" i="20"/>
  <c r="AC2367" i="20"/>
  <c r="AA2367" i="20"/>
  <c r="W2367" i="20"/>
  <c r="X2367" i="20" s="1"/>
  <c r="V2367" i="20"/>
  <c r="U2367" i="20"/>
  <c r="S2367" i="20"/>
  <c r="L2367" i="20"/>
  <c r="K2367" i="20"/>
  <c r="M2367" i="20" s="1"/>
  <c r="Q2367" i="20" s="1"/>
  <c r="AA2366" i="20"/>
  <c r="W2366" i="20"/>
  <c r="X2366" i="20" s="1"/>
  <c r="V2366" i="20"/>
  <c r="U2366" i="20"/>
  <c r="S2366" i="20"/>
  <c r="M2366" i="20"/>
  <c r="L2366" i="20"/>
  <c r="K2366" i="20"/>
  <c r="AC2365" i="20"/>
  <c r="AB2365" i="20"/>
  <c r="AA2365" i="20"/>
  <c r="X2365" i="20"/>
  <c r="W2365" i="20"/>
  <c r="V2365" i="20"/>
  <c r="U2365" i="20"/>
  <c r="S2365" i="20"/>
  <c r="L2365" i="20"/>
  <c r="K2365" i="20"/>
  <c r="M2365" i="20" s="1"/>
  <c r="Q2365" i="20" s="1"/>
  <c r="AA2364" i="20"/>
  <c r="Y2364" i="20"/>
  <c r="X2364" i="20"/>
  <c r="V2364" i="20"/>
  <c r="W2364" i="20" s="1"/>
  <c r="U2364" i="20"/>
  <c r="S2364" i="20"/>
  <c r="K2364" i="20"/>
  <c r="AC2363" i="20"/>
  <c r="AB2363" i="20"/>
  <c r="AA2363" i="20"/>
  <c r="Y2363" i="20"/>
  <c r="W2363" i="20"/>
  <c r="X2363" i="20" s="1"/>
  <c r="V2363" i="20"/>
  <c r="U2363" i="20"/>
  <c r="S2363" i="20"/>
  <c r="N2363" i="20"/>
  <c r="O2363" i="20" s="1"/>
  <c r="M2363" i="20"/>
  <c r="Q2363" i="20" s="1"/>
  <c r="L2363" i="20"/>
  <c r="P2363" i="20" s="1"/>
  <c r="K2363" i="20"/>
  <c r="AA2362" i="20"/>
  <c r="W2362" i="20"/>
  <c r="X2362" i="20" s="1"/>
  <c r="V2362" i="20"/>
  <c r="U2362" i="20"/>
  <c r="S2362" i="20"/>
  <c r="L2362" i="20"/>
  <c r="K2362" i="20"/>
  <c r="M2362" i="20" s="1"/>
  <c r="AA2361" i="20"/>
  <c r="X2361" i="20"/>
  <c r="W2361" i="20"/>
  <c r="V2361" i="20"/>
  <c r="U2361" i="20"/>
  <c r="S2361" i="20"/>
  <c r="K2361" i="20"/>
  <c r="AB2360" i="20"/>
  <c r="AA2360" i="20"/>
  <c r="W2360" i="20"/>
  <c r="X2360" i="20" s="1"/>
  <c r="V2360" i="20"/>
  <c r="U2360" i="20"/>
  <c r="S2360" i="20"/>
  <c r="P2360" i="20"/>
  <c r="M2360" i="20"/>
  <c r="AC2360" i="20" s="1"/>
  <c r="L2360" i="20"/>
  <c r="K2360" i="20"/>
  <c r="AA2359" i="20"/>
  <c r="W2359" i="20"/>
  <c r="X2359" i="20" s="1"/>
  <c r="V2359" i="20"/>
  <c r="U2359" i="20"/>
  <c r="S2359" i="20"/>
  <c r="K2359" i="20"/>
  <c r="AA2358" i="20"/>
  <c r="V2358" i="20"/>
  <c r="W2358" i="20" s="1"/>
  <c r="X2358" i="20" s="1"/>
  <c r="U2358" i="20"/>
  <c r="S2358" i="20"/>
  <c r="K2358" i="20"/>
  <c r="AA2357" i="20"/>
  <c r="V2357" i="20"/>
  <c r="W2357" i="20" s="1"/>
  <c r="X2357" i="20" s="1"/>
  <c r="U2357" i="20"/>
  <c r="S2357" i="20"/>
  <c r="M2357" i="20"/>
  <c r="L2357" i="20"/>
  <c r="K2357" i="20"/>
  <c r="AA2356" i="20"/>
  <c r="V2356" i="20"/>
  <c r="W2356" i="20" s="1"/>
  <c r="X2356" i="20" s="1"/>
  <c r="U2356" i="20"/>
  <c r="S2356" i="20"/>
  <c r="K2356" i="20"/>
  <c r="AA2355" i="20"/>
  <c r="X2355" i="20"/>
  <c r="W2355" i="20"/>
  <c r="V2355" i="20"/>
  <c r="U2355" i="20"/>
  <c r="S2355" i="20"/>
  <c r="M2355" i="20"/>
  <c r="L2355" i="20"/>
  <c r="K2355" i="20"/>
  <c r="AA2354" i="20"/>
  <c r="V2354" i="20"/>
  <c r="W2354" i="20" s="1"/>
  <c r="X2354" i="20" s="1"/>
  <c r="U2354" i="20"/>
  <c r="S2354" i="20"/>
  <c r="K2354" i="20"/>
  <c r="M2354" i="20" s="1"/>
  <c r="AA2353" i="20"/>
  <c r="V2353" i="20"/>
  <c r="W2353" i="20" s="1"/>
  <c r="X2353" i="20" s="1"/>
  <c r="U2353" i="20"/>
  <c r="S2353" i="20"/>
  <c r="P2353" i="20"/>
  <c r="M2353" i="20"/>
  <c r="L2353" i="20"/>
  <c r="K2353" i="20"/>
  <c r="AC2352" i="20"/>
  <c r="AB2352" i="20"/>
  <c r="AA2352" i="20"/>
  <c r="V2352" i="20"/>
  <c r="W2352" i="20" s="1"/>
  <c r="X2352" i="20" s="1"/>
  <c r="U2352" i="20"/>
  <c r="S2352" i="20"/>
  <c r="Q2352" i="20"/>
  <c r="P2352" i="20"/>
  <c r="O2352" i="20"/>
  <c r="N2352" i="20"/>
  <c r="M2352" i="20"/>
  <c r="K2352" i="20"/>
  <c r="L2352" i="20" s="1"/>
  <c r="AA2351" i="20"/>
  <c r="Y2351" i="20"/>
  <c r="W2351" i="20"/>
  <c r="X2351" i="20" s="1"/>
  <c r="V2351" i="20"/>
  <c r="U2351" i="20"/>
  <c r="S2351" i="20"/>
  <c r="K2351" i="20"/>
  <c r="AA2350" i="20"/>
  <c r="V2350" i="20"/>
  <c r="W2350" i="20" s="1"/>
  <c r="X2350" i="20" s="1"/>
  <c r="Y2350" i="20" s="1"/>
  <c r="U2350" i="20"/>
  <c r="S2350" i="20"/>
  <c r="L2350" i="20"/>
  <c r="AB2350" i="20" s="1"/>
  <c r="K2350" i="20"/>
  <c r="M2350" i="20" s="1"/>
  <c r="AA2349" i="20"/>
  <c r="Y2349" i="20"/>
  <c r="W2349" i="20"/>
  <c r="X2349" i="20" s="1"/>
  <c r="V2349" i="20"/>
  <c r="U2349" i="20"/>
  <c r="S2349" i="20"/>
  <c r="Q2349" i="20"/>
  <c r="L2349" i="20"/>
  <c r="AB2349" i="20" s="1"/>
  <c r="K2349" i="20"/>
  <c r="M2349" i="20" s="1"/>
  <c r="AC2349" i="20" s="1"/>
  <c r="AA2348" i="20"/>
  <c r="W2348" i="20"/>
  <c r="X2348" i="20" s="1"/>
  <c r="V2348" i="20"/>
  <c r="U2348" i="20"/>
  <c r="S2348" i="20"/>
  <c r="Q2348" i="20"/>
  <c r="K2348" i="20"/>
  <c r="M2348" i="20" s="1"/>
  <c r="AC2348" i="20" s="1"/>
  <c r="AA2347" i="20"/>
  <c r="W2347" i="20"/>
  <c r="X2347" i="20" s="1"/>
  <c r="V2347" i="20"/>
  <c r="U2347" i="20"/>
  <c r="S2347" i="20"/>
  <c r="M2347" i="20"/>
  <c r="K2347" i="20"/>
  <c r="L2347" i="20" s="1"/>
  <c r="AA2346" i="20"/>
  <c r="V2346" i="20"/>
  <c r="W2346" i="20" s="1"/>
  <c r="X2346" i="20" s="1"/>
  <c r="U2346" i="20"/>
  <c r="S2346" i="20"/>
  <c r="Q2346" i="20"/>
  <c r="P2346" i="20"/>
  <c r="N2346" i="20"/>
  <c r="O2346" i="20" s="1"/>
  <c r="M2346" i="20"/>
  <c r="AC2346" i="20" s="1"/>
  <c r="L2346" i="20"/>
  <c r="AB2346" i="20" s="1"/>
  <c r="K2346" i="20"/>
  <c r="AA2345" i="20"/>
  <c r="W2345" i="20"/>
  <c r="X2345" i="20" s="1"/>
  <c r="Y2345" i="20" s="1"/>
  <c r="V2345" i="20"/>
  <c r="U2345" i="20"/>
  <c r="S2345" i="20"/>
  <c r="K2345" i="20"/>
  <c r="AA2344" i="20"/>
  <c r="V2344" i="20"/>
  <c r="W2344" i="20" s="1"/>
  <c r="X2344" i="20" s="1"/>
  <c r="U2344" i="20"/>
  <c r="S2344" i="20"/>
  <c r="N2344" i="20"/>
  <c r="O2344" i="20" s="1"/>
  <c r="M2344" i="20"/>
  <c r="L2344" i="20"/>
  <c r="K2344" i="20"/>
  <c r="AA2343" i="20"/>
  <c r="X2343" i="20"/>
  <c r="W2343" i="20"/>
  <c r="V2343" i="20"/>
  <c r="U2343" i="20"/>
  <c r="S2343" i="20"/>
  <c r="K2343" i="20"/>
  <c r="AA2342" i="20"/>
  <c r="Y2342" i="20"/>
  <c r="X2342" i="20"/>
  <c r="W2342" i="20"/>
  <c r="V2342" i="20"/>
  <c r="U2342" i="20"/>
  <c r="S2342" i="20"/>
  <c r="M2342" i="20"/>
  <c r="L2342" i="20"/>
  <c r="AB2342" i="20" s="1"/>
  <c r="K2342" i="20"/>
  <c r="AC2341" i="20"/>
  <c r="AA2341" i="20"/>
  <c r="W2341" i="20"/>
  <c r="X2341" i="20" s="1"/>
  <c r="Y2341" i="20" s="1"/>
  <c r="V2341" i="20"/>
  <c r="U2341" i="20"/>
  <c r="S2341" i="20"/>
  <c r="O2341" i="20"/>
  <c r="N2341" i="20"/>
  <c r="M2341" i="20"/>
  <c r="Q2341" i="20" s="1"/>
  <c r="L2341" i="20"/>
  <c r="K2341" i="20"/>
  <c r="AA2340" i="20"/>
  <c r="V2340" i="20"/>
  <c r="W2340" i="20" s="1"/>
  <c r="X2340" i="20" s="1"/>
  <c r="U2340" i="20"/>
  <c r="S2340" i="20"/>
  <c r="L2340" i="20"/>
  <c r="K2340" i="20"/>
  <c r="M2340" i="20" s="1"/>
  <c r="AA2339" i="20"/>
  <c r="V2339" i="20"/>
  <c r="W2339" i="20" s="1"/>
  <c r="X2339" i="20" s="1"/>
  <c r="U2339" i="20"/>
  <c r="S2339" i="20"/>
  <c r="M2339" i="20"/>
  <c r="L2339" i="20"/>
  <c r="K2339" i="20"/>
  <c r="AB2338" i="20"/>
  <c r="AA2338" i="20"/>
  <c r="W2338" i="20"/>
  <c r="X2338" i="20" s="1"/>
  <c r="V2338" i="20"/>
  <c r="U2338" i="20"/>
  <c r="S2338" i="20"/>
  <c r="Q2338" i="20"/>
  <c r="P2338" i="20"/>
  <c r="M2338" i="20"/>
  <c r="AC2338" i="20" s="1"/>
  <c r="L2338" i="20"/>
  <c r="K2338" i="20"/>
  <c r="AA2337" i="20"/>
  <c r="V2337" i="20"/>
  <c r="W2337" i="20" s="1"/>
  <c r="X2337" i="20" s="1"/>
  <c r="U2337" i="20"/>
  <c r="S2337" i="20"/>
  <c r="K2337" i="20"/>
  <c r="M2337" i="20" s="1"/>
  <c r="AA2336" i="20"/>
  <c r="W2336" i="20"/>
  <c r="X2336" i="20" s="1"/>
  <c r="V2336" i="20"/>
  <c r="U2336" i="20"/>
  <c r="S2336" i="20"/>
  <c r="P2336" i="20"/>
  <c r="M2336" i="20"/>
  <c r="L2336" i="20"/>
  <c r="AB2336" i="20" s="1"/>
  <c r="K2336" i="20"/>
  <c r="AB2335" i="20"/>
  <c r="AA2335" i="20"/>
  <c r="V2335" i="20"/>
  <c r="W2335" i="20" s="1"/>
  <c r="X2335" i="20" s="1"/>
  <c r="Y2335" i="20" s="1"/>
  <c r="U2335" i="20"/>
  <c r="S2335" i="20"/>
  <c r="Q2335" i="20"/>
  <c r="P2335" i="20"/>
  <c r="N2335" i="20"/>
  <c r="O2335" i="20" s="1"/>
  <c r="M2335" i="20"/>
  <c r="AC2335" i="20" s="1"/>
  <c r="L2335" i="20"/>
  <c r="K2335" i="20"/>
  <c r="AA2334" i="20"/>
  <c r="V2334" i="20"/>
  <c r="W2334" i="20" s="1"/>
  <c r="X2334" i="20" s="1"/>
  <c r="U2334" i="20"/>
  <c r="S2334" i="20"/>
  <c r="K2334" i="20"/>
  <c r="M2334" i="20" s="1"/>
  <c r="AC2333" i="20"/>
  <c r="AB2333" i="20"/>
  <c r="AA2333" i="20"/>
  <c r="W2333" i="20"/>
  <c r="X2333" i="20" s="1"/>
  <c r="V2333" i="20"/>
  <c r="U2333" i="20"/>
  <c r="S2333" i="20"/>
  <c r="Q2333" i="20"/>
  <c r="P2333" i="20"/>
  <c r="N2333" i="20"/>
  <c r="O2333" i="20" s="1"/>
  <c r="L2333" i="20"/>
  <c r="K2333" i="20"/>
  <c r="M2333" i="20" s="1"/>
  <c r="AA2332" i="20"/>
  <c r="W2332" i="20"/>
  <c r="X2332" i="20" s="1"/>
  <c r="V2332" i="20"/>
  <c r="U2332" i="20"/>
  <c r="S2332" i="20"/>
  <c r="K2332" i="20"/>
  <c r="AC2331" i="20"/>
  <c r="AB2331" i="20"/>
  <c r="AA2331" i="20"/>
  <c r="V2331" i="20"/>
  <c r="W2331" i="20" s="1"/>
  <c r="X2331" i="20" s="1"/>
  <c r="U2331" i="20"/>
  <c r="S2331" i="20"/>
  <c r="Q2331" i="20"/>
  <c r="O2331" i="20"/>
  <c r="N2331" i="20"/>
  <c r="L2331" i="20"/>
  <c r="K2331" i="20"/>
  <c r="M2331" i="20" s="1"/>
  <c r="AB2330" i="20"/>
  <c r="AA2330" i="20"/>
  <c r="X2330" i="20"/>
  <c r="Y2330" i="20" s="1"/>
  <c r="W2330" i="20"/>
  <c r="V2330" i="20"/>
  <c r="U2330" i="20"/>
  <c r="S2330" i="20"/>
  <c r="N2330" i="20"/>
  <c r="O2330" i="20" s="1"/>
  <c r="M2330" i="20"/>
  <c r="L2330" i="20"/>
  <c r="P2330" i="20" s="1"/>
  <c r="K2330" i="20"/>
  <c r="AC2329" i="20"/>
  <c r="AA2329" i="20"/>
  <c r="AB2329" i="20" s="1"/>
  <c r="Y2329" i="20"/>
  <c r="X2329" i="20"/>
  <c r="V2329" i="20"/>
  <c r="W2329" i="20" s="1"/>
  <c r="U2329" i="20"/>
  <c r="S2329" i="20"/>
  <c r="N2329" i="20"/>
  <c r="O2329" i="20" s="1"/>
  <c r="M2329" i="20"/>
  <c r="Q2329" i="20" s="1"/>
  <c r="L2329" i="20"/>
  <c r="K2329" i="20"/>
  <c r="AB2328" i="20"/>
  <c r="AA2328" i="20"/>
  <c r="V2328" i="20"/>
  <c r="W2328" i="20" s="1"/>
  <c r="X2328" i="20" s="1"/>
  <c r="U2328" i="20"/>
  <c r="S2328" i="20"/>
  <c r="M2328" i="20"/>
  <c r="K2328" i="20"/>
  <c r="L2328" i="20" s="1"/>
  <c r="P2328" i="20" s="1"/>
  <c r="AA2327" i="20"/>
  <c r="X2327" i="20"/>
  <c r="W2327" i="20"/>
  <c r="V2327" i="20"/>
  <c r="U2327" i="20"/>
  <c r="S2327" i="20"/>
  <c r="K2327" i="20"/>
  <c r="AA2326" i="20"/>
  <c r="X2326" i="20"/>
  <c r="V2326" i="20"/>
  <c r="W2326" i="20" s="1"/>
  <c r="U2326" i="20"/>
  <c r="S2326" i="20"/>
  <c r="Q2326" i="20"/>
  <c r="M2326" i="20"/>
  <c r="AC2326" i="20" s="1"/>
  <c r="K2326" i="20"/>
  <c r="L2326" i="20" s="1"/>
  <c r="AA2325" i="20"/>
  <c r="Y2325" i="20"/>
  <c r="V2325" i="20"/>
  <c r="W2325" i="20" s="1"/>
  <c r="X2325" i="20" s="1"/>
  <c r="U2325" i="20"/>
  <c r="S2325" i="20"/>
  <c r="K2325" i="20"/>
  <c r="AB2324" i="20"/>
  <c r="AA2324" i="20"/>
  <c r="W2324" i="20"/>
  <c r="X2324" i="20" s="1"/>
  <c r="V2324" i="20"/>
  <c r="U2324" i="20"/>
  <c r="S2324" i="20"/>
  <c r="P2324" i="20"/>
  <c r="M2324" i="20"/>
  <c r="K2324" i="20"/>
  <c r="L2324" i="20" s="1"/>
  <c r="AA2323" i="20"/>
  <c r="V2323" i="20"/>
  <c r="W2323" i="20" s="1"/>
  <c r="X2323" i="20" s="1"/>
  <c r="U2323" i="20"/>
  <c r="S2323" i="20"/>
  <c r="M2323" i="20"/>
  <c r="L2323" i="20"/>
  <c r="K2323" i="20"/>
  <c r="AA2322" i="20"/>
  <c r="V2322" i="20"/>
  <c r="W2322" i="20" s="1"/>
  <c r="X2322" i="20" s="1"/>
  <c r="U2322" i="20"/>
  <c r="S2322" i="20"/>
  <c r="L2322" i="20"/>
  <c r="K2322" i="20"/>
  <c r="M2322" i="20" s="1"/>
  <c r="Q2322" i="20" s="1"/>
  <c r="AA2321" i="20"/>
  <c r="V2321" i="20"/>
  <c r="W2321" i="20" s="1"/>
  <c r="X2321" i="20" s="1"/>
  <c r="Y2321" i="20" s="1"/>
  <c r="U2321" i="20"/>
  <c r="S2321" i="20"/>
  <c r="K2321" i="20"/>
  <c r="AC2320" i="20"/>
  <c r="AA2320" i="20"/>
  <c r="X2320" i="20"/>
  <c r="W2320" i="20"/>
  <c r="V2320" i="20"/>
  <c r="U2320" i="20"/>
  <c r="S2320" i="20"/>
  <c r="K2320" i="20"/>
  <c r="M2320" i="20" s="1"/>
  <c r="Q2320" i="20" s="1"/>
  <c r="AA2319" i="20"/>
  <c r="W2319" i="20"/>
  <c r="X2319" i="20" s="1"/>
  <c r="V2319" i="20"/>
  <c r="U2319" i="20"/>
  <c r="S2319" i="20"/>
  <c r="K2319" i="20"/>
  <c r="AC2318" i="20"/>
  <c r="AA2318" i="20"/>
  <c r="X2318" i="20"/>
  <c r="V2318" i="20"/>
  <c r="W2318" i="20" s="1"/>
  <c r="U2318" i="20"/>
  <c r="S2318" i="20"/>
  <c r="M2318" i="20"/>
  <c r="Q2318" i="20" s="1"/>
  <c r="K2318" i="20"/>
  <c r="L2318" i="20" s="1"/>
  <c r="AB2318" i="20" s="1"/>
  <c r="AA2317" i="20"/>
  <c r="Y2317" i="20"/>
  <c r="X2317" i="20"/>
  <c r="W2317" i="20"/>
  <c r="V2317" i="20"/>
  <c r="U2317" i="20"/>
  <c r="S2317" i="20"/>
  <c r="K2317" i="20"/>
  <c r="L2317" i="20" s="1"/>
  <c r="AB2317" i="20" s="1"/>
  <c r="AA2316" i="20"/>
  <c r="X2316" i="20"/>
  <c r="V2316" i="20"/>
  <c r="W2316" i="20" s="1"/>
  <c r="U2316" i="20"/>
  <c r="S2316" i="20"/>
  <c r="K2316" i="20"/>
  <c r="AA2315" i="20"/>
  <c r="Y2315" i="20"/>
  <c r="X2315" i="20"/>
  <c r="W2315" i="20"/>
  <c r="V2315" i="20"/>
  <c r="U2315" i="20"/>
  <c r="S2315" i="20"/>
  <c r="M2315" i="20"/>
  <c r="L2315" i="20"/>
  <c r="K2315" i="20"/>
  <c r="AA2314" i="20"/>
  <c r="V2314" i="20"/>
  <c r="W2314" i="20" s="1"/>
  <c r="X2314" i="20" s="1"/>
  <c r="U2314" i="20"/>
  <c r="S2314" i="20"/>
  <c r="M2314" i="20"/>
  <c r="L2314" i="20"/>
  <c r="K2314" i="20"/>
  <c r="AC2313" i="20"/>
  <c r="AB2313" i="20"/>
  <c r="AA2313" i="20"/>
  <c r="Y2313" i="20"/>
  <c r="X2313" i="20"/>
  <c r="W2313" i="20"/>
  <c r="V2313" i="20"/>
  <c r="U2313" i="20"/>
  <c r="S2313" i="20"/>
  <c r="M2313" i="20"/>
  <c r="Q2313" i="20" s="1"/>
  <c r="L2313" i="20"/>
  <c r="K2313" i="20"/>
  <c r="AB2312" i="20"/>
  <c r="AA2312" i="20"/>
  <c r="Y2312" i="20"/>
  <c r="W2312" i="20"/>
  <c r="X2312" i="20" s="1"/>
  <c r="V2312" i="20"/>
  <c r="U2312" i="20"/>
  <c r="S2312" i="20"/>
  <c r="P2312" i="20"/>
  <c r="O2312" i="20"/>
  <c r="M2312" i="20"/>
  <c r="L2312" i="20"/>
  <c r="N2312" i="20" s="1"/>
  <c r="K2312" i="20"/>
  <c r="AB2311" i="20"/>
  <c r="AA2311" i="20"/>
  <c r="W2311" i="20"/>
  <c r="X2311" i="20" s="1"/>
  <c r="V2311" i="20"/>
  <c r="U2311" i="20"/>
  <c r="S2311" i="20"/>
  <c r="K2311" i="20"/>
  <c r="L2311" i="20" s="1"/>
  <c r="AA2310" i="20"/>
  <c r="V2310" i="20"/>
  <c r="W2310" i="20" s="1"/>
  <c r="X2310" i="20" s="1"/>
  <c r="U2310" i="20"/>
  <c r="S2310" i="20"/>
  <c r="K2310" i="20"/>
  <c r="M2310" i="20" s="1"/>
  <c r="AB2309" i="20"/>
  <c r="AA2309" i="20"/>
  <c r="W2309" i="20"/>
  <c r="X2309" i="20" s="1"/>
  <c r="V2309" i="20"/>
  <c r="U2309" i="20"/>
  <c r="S2309" i="20"/>
  <c r="M2309" i="20"/>
  <c r="L2309" i="20"/>
  <c r="P2309" i="20" s="1"/>
  <c r="K2309" i="20"/>
  <c r="AA2308" i="20"/>
  <c r="V2308" i="20"/>
  <c r="W2308" i="20" s="1"/>
  <c r="X2308" i="20" s="1"/>
  <c r="Y2308" i="20" s="1"/>
  <c r="U2308" i="20"/>
  <c r="S2308" i="20"/>
  <c r="K2308" i="20"/>
  <c r="AC2307" i="20"/>
  <c r="AA2307" i="20"/>
  <c r="V2307" i="20"/>
  <c r="W2307" i="20" s="1"/>
  <c r="X2307" i="20" s="1"/>
  <c r="U2307" i="20"/>
  <c r="S2307" i="20"/>
  <c r="Q2307" i="20"/>
  <c r="P2307" i="20"/>
  <c r="N2307" i="20"/>
  <c r="O2307" i="20" s="1"/>
  <c r="L2307" i="20"/>
  <c r="AB2307" i="20" s="1"/>
  <c r="K2307" i="20"/>
  <c r="M2307" i="20" s="1"/>
  <c r="AB2306" i="20"/>
  <c r="AA2306" i="20"/>
  <c r="X2306" i="20"/>
  <c r="V2306" i="20"/>
  <c r="W2306" i="20" s="1"/>
  <c r="U2306" i="20"/>
  <c r="S2306" i="20"/>
  <c r="M2306" i="20"/>
  <c r="L2306" i="20"/>
  <c r="K2306" i="20"/>
  <c r="AA2305" i="20"/>
  <c r="Y2305" i="20"/>
  <c r="X2305" i="20"/>
  <c r="W2305" i="20"/>
  <c r="V2305" i="20"/>
  <c r="U2305" i="20"/>
  <c r="S2305" i="20"/>
  <c r="M2305" i="20"/>
  <c r="L2305" i="20"/>
  <c r="AB2305" i="20" s="1"/>
  <c r="K2305" i="20"/>
  <c r="AB2304" i="20"/>
  <c r="AA2304" i="20"/>
  <c r="V2304" i="20"/>
  <c r="W2304" i="20" s="1"/>
  <c r="X2304" i="20" s="1"/>
  <c r="U2304" i="20"/>
  <c r="S2304" i="20"/>
  <c r="P2304" i="20"/>
  <c r="O2304" i="20"/>
  <c r="M2304" i="20"/>
  <c r="L2304" i="20"/>
  <c r="K2304" i="20"/>
  <c r="J2304" i="20"/>
  <c r="AB2303" i="20"/>
  <c r="AA2303" i="20"/>
  <c r="X2303" i="20"/>
  <c r="W2303" i="20"/>
  <c r="V2303" i="20"/>
  <c r="U2303" i="20"/>
  <c r="S2303" i="20"/>
  <c r="P2303" i="20"/>
  <c r="O2303" i="20"/>
  <c r="N2303" i="20"/>
  <c r="M2303" i="20"/>
  <c r="AC2303" i="20" s="1"/>
  <c r="L2303" i="20"/>
  <c r="K2303" i="20"/>
  <c r="J2303" i="20"/>
  <c r="AC2302" i="20"/>
  <c r="AB2302" i="20"/>
  <c r="AA2302" i="20"/>
  <c r="V2302" i="20"/>
  <c r="W2302" i="20" s="1"/>
  <c r="X2302" i="20" s="1"/>
  <c r="U2302" i="20"/>
  <c r="S2302" i="20"/>
  <c r="Q2302" i="20"/>
  <c r="P2302" i="20"/>
  <c r="O2302" i="20"/>
  <c r="L2302" i="20"/>
  <c r="N2302" i="20" s="1"/>
  <c r="K2302" i="20"/>
  <c r="M2302" i="20" s="1"/>
  <c r="J2302" i="20"/>
  <c r="AA2301" i="20"/>
  <c r="V2301" i="20"/>
  <c r="W2301" i="20" s="1"/>
  <c r="X2301" i="20" s="1"/>
  <c r="U2301" i="20"/>
  <c r="S2301" i="20"/>
  <c r="O2301" i="20"/>
  <c r="K2301" i="20"/>
  <c r="J2301" i="20"/>
  <c r="AA2300" i="20"/>
  <c r="Y2300" i="20"/>
  <c r="X2300" i="20"/>
  <c r="W2300" i="20"/>
  <c r="V2300" i="20"/>
  <c r="U2300" i="20"/>
  <c r="S2300" i="20"/>
  <c r="O2300" i="20"/>
  <c r="L2300" i="20"/>
  <c r="AB2300" i="20" s="1"/>
  <c r="K2300" i="20"/>
  <c r="M2300" i="20" s="1"/>
  <c r="AC2300" i="20" s="1"/>
  <c r="J2300" i="20"/>
  <c r="AA2299" i="20"/>
  <c r="W2299" i="20"/>
  <c r="X2299" i="20" s="1"/>
  <c r="Y2299" i="20" s="1"/>
  <c r="V2299" i="20"/>
  <c r="U2299" i="20"/>
  <c r="S2299" i="20"/>
  <c r="O2299" i="20"/>
  <c r="K2299" i="20"/>
  <c r="L2299" i="20" s="1"/>
  <c r="J2299" i="20"/>
  <c r="AB2298" i="20"/>
  <c r="AA2298" i="20"/>
  <c r="V2298" i="20"/>
  <c r="W2298" i="20" s="1"/>
  <c r="X2298" i="20" s="1"/>
  <c r="U2298" i="20"/>
  <c r="S2298" i="20"/>
  <c r="Q2298" i="20"/>
  <c r="O2298" i="20"/>
  <c r="M2298" i="20"/>
  <c r="AC2298" i="20" s="1"/>
  <c r="L2298" i="20"/>
  <c r="K2298" i="20"/>
  <c r="J2298" i="20"/>
  <c r="AA2297" i="20"/>
  <c r="V2297" i="20"/>
  <c r="W2297" i="20" s="1"/>
  <c r="X2297" i="20" s="1"/>
  <c r="U2297" i="20"/>
  <c r="S2297" i="20"/>
  <c r="O2297" i="20"/>
  <c r="L2297" i="20"/>
  <c r="K2297" i="20"/>
  <c r="M2297" i="20" s="1"/>
  <c r="J2297" i="20"/>
  <c r="AA2296" i="20"/>
  <c r="W2296" i="20"/>
  <c r="X2296" i="20" s="1"/>
  <c r="V2296" i="20"/>
  <c r="U2296" i="20"/>
  <c r="S2296" i="20"/>
  <c r="O2296" i="20"/>
  <c r="N2296" i="20"/>
  <c r="M2296" i="20"/>
  <c r="AC2296" i="20" s="1"/>
  <c r="K2296" i="20"/>
  <c r="L2296" i="20" s="1"/>
  <c r="AB2296" i="20" s="1"/>
  <c r="J2296" i="20"/>
  <c r="AB2295" i="20"/>
  <c r="AA2295" i="20"/>
  <c r="V2295" i="20"/>
  <c r="W2295" i="20" s="1"/>
  <c r="X2295" i="20" s="1"/>
  <c r="U2295" i="20"/>
  <c r="S2295" i="20"/>
  <c r="Q2295" i="20"/>
  <c r="P2295" i="20"/>
  <c r="O2295" i="20"/>
  <c r="M2295" i="20"/>
  <c r="L2295" i="20"/>
  <c r="K2295" i="20"/>
  <c r="J2295" i="20"/>
  <c r="AA2294" i="20"/>
  <c r="X2294" i="20"/>
  <c r="W2294" i="20"/>
  <c r="V2294" i="20"/>
  <c r="U2294" i="20"/>
  <c r="S2294" i="20"/>
  <c r="O2294" i="20"/>
  <c r="K2294" i="20"/>
  <c r="M2294" i="20" s="1"/>
  <c r="J2294" i="20"/>
  <c r="AC2293" i="20"/>
  <c r="AB2293" i="20"/>
  <c r="AA2293" i="20"/>
  <c r="V2293" i="20"/>
  <c r="W2293" i="20" s="1"/>
  <c r="X2293" i="20" s="1"/>
  <c r="Y2293" i="20" s="1"/>
  <c r="U2293" i="20"/>
  <c r="S2293" i="20"/>
  <c r="P2293" i="20"/>
  <c r="O2293" i="20"/>
  <c r="L2293" i="20"/>
  <c r="K2293" i="20"/>
  <c r="M2293" i="20" s="1"/>
  <c r="J2293" i="20"/>
  <c r="AA2292" i="20"/>
  <c r="Y2292" i="20"/>
  <c r="W2292" i="20"/>
  <c r="X2292" i="20" s="1"/>
  <c r="V2292" i="20"/>
  <c r="U2292" i="20"/>
  <c r="S2292" i="20"/>
  <c r="O2292" i="20"/>
  <c r="M2292" i="20"/>
  <c r="AC2292" i="20" s="1"/>
  <c r="K2292" i="20"/>
  <c r="L2292" i="20" s="1"/>
  <c r="J2292" i="20"/>
  <c r="AC2291" i="20"/>
  <c r="AB2291" i="20"/>
  <c r="AA2291" i="20"/>
  <c r="V2291" i="20"/>
  <c r="W2291" i="20" s="1"/>
  <c r="X2291" i="20" s="1"/>
  <c r="U2291" i="20"/>
  <c r="S2291" i="20"/>
  <c r="O2291" i="20"/>
  <c r="M2291" i="20"/>
  <c r="L2291" i="20"/>
  <c r="P2291" i="20" s="1"/>
  <c r="K2291" i="20"/>
  <c r="J2291" i="20"/>
  <c r="AA2290" i="20"/>
  <c r="V2290" i="20"/>
  <c r="W2290" i="20" s="1"/>
  <c r="X2290" i="20" s="1"/>
  <c r="U2290" i="20"/>
  <c r="S2290" i="20"/>
  <c r="O2290" i="20"/>
  <c r="N2290" i="20"/>
  <c r="M2290" i="20"/>
  <c r="AC2290" i="20" s="1"/>
  <c r="K2290" i="20"/>
  <c r="L2290" i="20" s="1"/>
  <c r="AB2290" i="20" s="1"/>
  <c r="J2290" i="20"/>
  <c r="AA2289" i="20"/>
  <c r="Y2289" i="20"/>
  <c r="W2289" i="20"/>
  <c r="X2289" i="20" s="1"/>
  <c r="V2289" i="20"/>
  <c r="U2289" i="20"/>
  <c r="S2289" i="20"/>
  <c r="O2289" i="20"/>
  <c r="K2289" i="20"/>
  <c r="M2289" i="20" s="1"/>
  <c r="J2289" i="20"/>
  <c r="AA2288" i="20"/>
  <c r="Y2288" i="20"/>
  <c r="V2288" i="20"/>
  <c r="W2288" i="20" s="1"/>
  <c r="X2288" i="20" s="1"/>
  <c r="U2288" i="20"/>
  <c r="S2288" i="20"/>
  <c r="O2288" i="20"/>
  <c r="M2288" i="20"/>
  <c r="L2288" i="20"/>
  <c r="K2288" i="20"/>
  <c r="J2288" i="20"/>
  <c r="AA2287" i="20"/>
  <c r="W2287" i="20"/>
  <c r="X2287" i="20" s="1"/>
  <c r="V2287" i="20"/>
  <c r="U2287" i="20"/>
  <c r="S2287" i="20"/>
  <c r="O2287" i="20"/>
  <c r="K2287" i="20"/>
  <c r="J2287" i="20"/>
  <c r="AC2286" i="20"/>
  <c r="AB2286" i="20"/>
  <c r="AA2286" i="20"/>
  <c r="W2286" i="20"/>
  <c r="X2286" i="20" s="1"/>
  <c r="V2286" i="20"/>
  <c r="U2286" i="20"/>
  <c r="S2286" i="20"/>
  <c r="Q2286" i="20"/>
  <c r="P2286" i="20"/>
  <c r="O2286" i="20"/>
  <c r="N2286" i="20"/>
  <c r="L2286" i="20"/>
  <c r="K2286" i="20"/>
  <c r="M2286" i="20" s="1"/>
  <c r="J2286" i="20"/>
  <c r="AA2285" i="20"/>
  <c r="W2285" i="20"/>
  <c r="X2285" i="20" s="1"/>
  <c r="V2285" i="20"/>
  <c r="U2285" i="20"/>
  <c r="S2285" i="20"/>
  <c r="O2285" i="20"/>
  <c r="M2285" i="20"/>
  <c r="K2285" i="20"/>
  <c r="L2285" i="20" s="1"/>
  <c r="J2285" i="20"/>
  <c r="AA2284" i="20"/>
  <c r="W2284" i="20"/>
  <c r="X2284" i="20" s="1"/>
  <c r="V2284" i="20"/>
  <c r="U2284" i="20"/>
  <c r="S2284" i="20"/>
  <c r="O2284" i="20"/>
  <c r="K2284" i="20"/>
  <c r="J2284" i="20"/>
  <c r="AA2283" i="20"/>
  <c r="Y2283" i="20"/>
  <c r="X2283" i="20"/>
  <c r="W2283" i="20"/>
  <c r="V2283" i="20"/>
  <c r="U2283" i="20"/>
  <c r="S2283" i="20"/>
  <c r="O2283" i="20"/>
  <c r="M2283" i="20"/>
  <c r="L2283" i="20"/>
  <c r="K2283" i="20"/>
  <c r="J2283" i="20"/>
  <c r="AB2282" i="20"/>
  <c r="AA2282" i="20"/>
  <c r="V2282" i="20"/>
  <c r="W2282" i="20" s="1"/>
  <c r="X2282" i="20" s="1"/>
  <c r="U2282" i="20"/>
  <c r="S2282" i="20"/>
  <c r="O2282" i="20"/>
  <c r="M2282" i="20"/>
  <c r="L2282" i="20"/>
  <c r="K2282" i="20"/>
  <c r="J2282" i="20"/>
  <c r="AA2281" i="20"/>
  <c r="Y2281" i="20"/>
  <c r="V2281" i="20"/>
  <c r="W2281" i="20" s="1"/>
  <c r="X2281" i="20" s="1"/>
  <c r="U2281" i="20"/>
  <c r="S2281" i="20"/>
  <c r="O2281" i="20"/>
  <c r="K2281" i="20"/>
  <c r="M2281" i="20" s="1"/>
  <c r="J2281" i="20"/>
  <c r="AA2280" i="20"/>
  <c r="X2280" i="20"/>
  <c r="V2280" i="20"/>
  <c r="W2280" i="20" s="1"/>
  <c r="U2280" i="20"/>
  <c r="S2280" i="20"/>
  <c r="O2280" i="20"/>
  <c r="L2280" i="20"/>
  <c r="K2280" i="20"/>
  <c r="M2280" i="20" s="1"/>
  <c r="AC2280" i="20" s="1"/>
  <c r="J2280" i="20"/>
  <c r="AA2279" i="20"/>
  <c r="AB2279" i="20" s="1"/>
  <c r="W2279" i="20"/>
  <c r="X2279" i="20" s="1"/>
  <c r="Y2279" i="20" s="1"/>
  <c r="V2279" i="20"/>
  <c r="U2279" i="20"/>
  <c r="S2279" i="20"/>
  <c r="O2279" i="20"/>
  <c r="M2279" i="20"/>
  <c r="K2279" i="20"/>
  <c r="L2279" i="20" s="1"/>
  <c r="J2279" i="20"/>
  <c r="P2279" i="20" s="1"/>
  <c r="AA2278" i="20"/>
  <c r="Y2278" i="20"/>
  <c r="X2278" i="20"/>
  <c r="W2278" i="20"/>
  <c r="V2278" i="20"/>
  <c r="U2278" i="20"/>
  <c r="S2278" i="20"/>
  <c r="O2278" i="20"/>
  <c r="M2278" i="20"/>
  <c r="AC2278" i="20" s="1"/>
  <c r="L2278" i="20"/>
  <c r="K2278" i="20"/>
  <c r="J2278" i="20"/>
  <c r="AC2277" i="20"/>
  <c r="AB2277" i="20"/>
  <c r="AA2277" i="20"/>
  <c r="X2277" i="20"/>
  <c r="W2277" i="20"/>
  <c r="V2277" i="20"/>
  <c r="U2277" i="20"/>
  <c r="S2277" i="20"/>
  <c r="O2277" i="20"/>
  <c r="M2277" i="20"/>
  <c r="Q2277" i="20" s="1"/>
  <c r="K2277" i="20"/>
  <c r="L2277" i="20" s="1"/>
  <c r="J2277" i="20"/>
  <c r="AA2276" i="20"/>
  <c r="X2276" i="20"/>
  <c r="W2276" i="20"/>
  <c r="V2276" i="20"/>
  <c r="U2276" i="20"/>
  <c r="S2276" i="20"/>
  <c r="O2276" i="20"/>
  <c r="K2276" i="20"/>
  <c r="J2276" i="20"/>
  <c r="AA2275" i="20"/>
  <c r="X2275" i="20"/>
  <c r="Y2275" i="20" s="1"/>
  <c r="V2275" i="20"/>
  <c r="W2275" i="20" s="1"/>
  <c r="U2275" i="20"/>
  <c r="S2275" i="20"/>
  <c r="Q2275" i="20"/>
  <c r="P2275" i="20"/>
  <c r="O2275" i="20"/>
  <c r="N2275" i="20"/>
  <c r="M2275" i="20"/>
  <c r="AC2275" i="20" s="1"/>
  <c r="L2275" i="20"/>
  <c r="AB2275" i="20" s="1"/>
  <c r="K2275" i="20"/>
  <c r="J2275" i="20"/>
  <c r="AB2274" i="20"/>
  <c r="AA2274" i="20"/>
  <c r="V2274" i="20"/>
  <c r="W2274" i="20" s="1"/>
  <c r="X2274" i="20" s="1"/>
  <c r="U2274" i="20"/>
  <c r="S2274" i="20"/>
  <c r="O2274" i="20"/>
  <c r="M2274" i="20"/>
  <c r="L2274" i="20"/>
  <c r="K2274" i="20"/>
  <c r="J2274" i="20"/>
  <c r="AA2273" i="20"/>
  <c r="V2273" i="20"/>
  <c r="W2273" i="20" s="1"/>
  <c r="X2273" i="20" s="1"/>
  <c r="U2273" i="20"/>
  <c r="S2273" i="20"/>
  <c r="O2273" i="20"/>
  <c r="K2273" i="20"/>
  <c r="J2273" i="20"/>
  <c r="AC2272" i="20"/>
  <c r="AB2272" i="20"/>
  <c r="AA2272" i="20"/>
  <c r="W2272" i="20"/>
  <c r="X2272" i="20" s="1"/>
  <c r="Y2272" i="20" s="1"/>
  <c r="V2272" i="20"/>
  <c r="U2272" i="20"/>
  <c r="S2272" i="20"/>
  <c r="P2272" i="20"/>
  <c r="O2272" i="20"/>
  <c r="M2272" i="20"/>
  <c r="Q2272" i="20" s="1"/>
  <c r="L2272" i="20"/>
  <c r="K2272" i="20"/>
  <c r="J2272" i="20"/>
  <c r="AA2271" i="20"/>
  <c r="W2271" i="20"/>
  <c r="X2271" i="20" s="1"/>
  <c r="V2271" i="20"/>
  <c r="U2271" i="20"/>
  <c r="S2271" i="20"/>
  <c r="O2271" i="20"/>
  <c r="N2271" i="20"/>
  <c r="M2271" i="20"/>
  <c r="L2271" i="20"/>
  <c r="K2271" i="20"/>
  <c r="J2271" i="20"/>
  <c r="AA2270" i="20"/>
  <c r="V2270" i="20"/>
  <c r="W2270" i="20" s="1"/>
  <c r="X2270" i="20" s="1"/>
  <c r="U2270" i="20"/>
  <c r="S2270" i="20"/>
  <c r="O2270" i="20"/>
  <c r="K2270" i="20"/>
  <c r="J2270" i="20"/>
  <c r="AA2269" i="20"/>
  <c r="V2269" i="20"/>
  <c r="W2269" i="20" s="1"/>
  <c r="X2269" i="20" s="1"/>
  <c r="U2269" i="20"/>
  <c r="S2269" i="20"/>
  <c r="P2269" i="20"/>
  <c r="O2269" i="20"/>
  <c r="M2269" i="20"/>
  <c r="L2269" i="20"/>
  <c r="AB2269" i="20" s="1"/>
  <c r="K2269" i="20"/>
  <c r="J2269" i="20"/>
  <c r="AA2268" i="20"/>
  <c r="X2268" i="20"/>
  <c r="Y2268" i="20" s="1"/>
  <c r="V2268" i="20"/>
  <c r="W2268" i="20" s="1"/>
  <c r="U2268" i="20"/>
  <c r="S2268" i="20"/>
  <c r="O2268" i="20"/>
  <c r="M2268" i="20"/>
  <c r="L2268" i="20"/>
  <c r="K2268" i="20"/>
  <c r="J2268" i="20"/>
  <c r="AA2267" i="20"/>
  <c r="W2267" i="20"/>
  <c r="X2267" i="20" s="1"/>
  <c r="Y2267" i="20" s="1"/>
  <c r="V2267" i="20"/>
  <c r="U2267" i="20"/>
  <c r="S2267" i="20"/>
  <c r="O2267" i="20"/>
  <c r="K2267" i="20"/>
  <c r="J2267" i="20"/>
  <c r="AA2266" i="20"/>
  <c r="V2266" i="20"/>
  <c r="W2266" i="20" s="1"/>
  <c r="X2266" i="20" s="1"/>
  <c r="U2266" i="20"/>
  <c r="S2266" i="20"/>
  <c r="O2266" i="20"/>
  <c r="K2266" i="20"/>
  <c r="J2266" i="20"/>
  <c r="AB2265" i="20"/>
  <c r="AA2265" i="20"/>
  <c r="X2265" i="20"/>
  <c r="V2265" i="20"/>
  <c r="W2265" i="20" s="1"/>
  <c r="U2265" i="20"/>
  <c r="S2265" i="20"/>
  <c r="Q2265" i="20"/>
  <c r="P2265" i="20"/>
  <c r="O2265" i="20"/>
  <c r="L2265" i="20"/>
  <c r="N2265" i="20" s="1"/>
  <c r="K2265" i="20"/>
  <c r="M2265" i="20" s="1"/>
  <c r="AC2265" i="20" s="1"/>
  <c r="J2265" i="20"/>
  <c r="AA2264" i="20"/>
  <c r="W2264" i="20"/>
  <c r="X2264" i="20" s="1"/>
  <c r="V2264" i="20"/>
  <c r="U2264" i="20"/>
  <c r="S2264" i="20"/>
  <c r="O2264" i="20"/>
  <c r="M2264" i="20"/>
  <c r="L2264" i="20"/>
  <c r="K2264" i="20"/>
  <c r="J2264" i="20"/>
  <c r="AA2263" i="20"/>
  <c r="V2263" i="20"/>
  <c r="W2263" i="20" s="1"/>
  <c r="X2263" i="20" s="1"/>
  <c r="U2263" i="20"/>
  <c r="S2263" i="20"/>
  <c r="Q2263" i="20"/>
  <c r="P2263" i="20"/>
  <c r="O2263" i="20"/>
  <c r="L2263" i="20"/>
  <c r="AB2263" i="20" s="1"/>
  <c r="K2263" i="20"/>
  <c r="M2263" i="20" s="1"/>
  <c r="AC2263" i="20" s="1"/>
  <c r="J2263" i="20"/>
  <c r="AC2262" i="20"/>
  <c r="AA2262" i="20"/>
  <c r="V2262" i="20"/>
  <c r="W2262" i="20" s="1"/>
  <c r="X2262" i="20" s="1"/>
  <c r="U2262" i="20"/>
  <c r="S2262" i="20"/>
  <c r="O2262" i="20"/>
  <c r="L2262" i="20"/>
  <c r="K2262" i="20"/>
  <c r="M2262" i="20" s="1"/>
  <c r="Q2262" i="20" s="1"/>
  <c r="J2262" i="20"/>
  <c r="AA2261" i="20"/>
  <c r="V2261" i="20"/>
  <c r="W2261" i="20" s="1"/>
  <c r="X2261" i="20" s="1"/>
  <c r="U2261" i="20"/>
  <c r="S2261" i="20"/>
  <c r="Q2261" i="20"/>
  <c r="O2261" i="20"/>
  <c r="M2261" i="20"/>
  <c r="AC2261" i="20" s="1"/>
  <c r="L2261" i="20"/>
  <c r="K2261" i="20"/>
  <c r="J2261" i="20"/>
  <c r="AC2260" i="20"/>
  <c r="AB2260" i="20"/>
  <c r="AA2260" i="20"/>
  <c r="W2260" i="20"/>
  <c r="X2260" i="20" s="1"/>
  <c r="V2260" i="20"/>
  <c r="U2260" i="20"/>
  <c r="S2260" i="20"/>
  <c r="O2260" i="20"/>
  <c r="M2260" i="20"/>
  <c r="Q2260" i="20" s="1"/>
  <c r="L2260" i="20"/>
  <c r="K2260" i="20"/>
  <c r="J2260" i="20"/>
  <c r="AA2259" i="20"/>
  <c r="V2259" i="20"/>
  <c r="W2259" i="20" s="1"/>
  <c r="X2259" i="20" s="1"/>
  <c r="U2259" i="20"/>
  <c r="S2259" i="20"/>
  <c r="P2259" i="20"/>
  <c r="O2259" i="20"/>
  <c r="M2259" i="20"/>
  <c r="AC2259" i="20" s="1"/>
  <c r="L2259" i="20"/>
  <c r="K2259" i="20"/>
  <c r="J2259" i="20"/>
  <c r="AC2258" i="20"/>
  <c r="AA2258" i="20"/>
  <c r="Y2258" i="20"/>
  <c r="V2258" i="20"/>
  <c r="W2258" i="20" s="1"/>
  <c r="X2258" i="20" s="1"/>
  <c r="U2258" i="20"/>
  <c r="S2258" i="20"/>
  <c r="O2258" i="20"/>
  <c r="M2258" i="20"/>
  <c r="Q2258" i="20" s="1"/>
  <c r="L2258" i="20"/>
  <c r="K2258" i="20"/>
  <c r="J2258" i="20"/>
  <c r="AB2257" i="20"/>
  <c r="AA2257" i="20"/>
  <c r="Y2257" i="20"/>
  <c r="X2257" i="20"/>
  <c r="V2257" i="20"/>
  <c r="W2257" i="20" s="1"/>
  <c r="U2257" i="20"/>
  <c r="S2257" i="20"/>
  <c r="O2257" i="20"/>
  <c r="M2257" i="20"/>
  <c r="K2257" i="20"/>
  <c r="L2257" i="20" s="1"/>
  <c r="J2257" i="20"/>
  <c r="AC2256" i="20"/>
  <c r="AB2256" i="20"/>
  <c r="AA2256" i="20"/>
  <c r="Y2256" i="20"/>
  <c r="X2256" i="20"/>
  <c r="W2256" i="20"/>
  <c r="V2256" i="20"/>
  <c r="U2256" i="20"/>
  <c r="S2256" i="20"/>
  <c r="O2256" i="20"/>
  <c r="M2256" i="20"/>
  <c r="Q2256" i="20" s="1"/>
  <c r="L2256" i="20"/>
  <c r="K2256" i="20"/>
  <c r="J2256" i="20"/>
  <c r="AC2255" i="20"/>
  <c r="AB2255" i="20"/>
  <c r="AA2255" i="20"/>
  <c r="V2255" i="20"/>
  <c r="W2255" i="20" s="1"/>
  <c r="X2255" i="20" s="1"/>
  <c r="Y2255" i="20" s="1"/>
  <c r="U2255" i="20"/>
  <c r="S2255" i="20"/>
  <c r="Q2255" i="20"/>
  <c r="O2255" i="20"/>
  <c r="M2255" i="20"/>
  <c r="L2255" i="20"/>
  <c r="P2255" i="20" s="1"/>
  <c r="K2255" i="20"/>
  <c r="J2255" i="20"/>
  <c r="AA2254" i="20"/>
  <c r="X2254" i="20"/>
  <c r="W2254" i="20"/>
  <c r="V2254" i="20"/>
  <c r="U2254" i="20"/>
  <c r="S2254" i="20"/>
  <c r="O2254" i="20"/>
  <c r="K2254" i="20"/>
  <c r="J2254" i="20"/>
  <c r="AA2253" i="20"/>
  <c r="V2253" i="20"/>
  <c r="W2253" i="20" s="1"/>
  <c r="X2253" i="20" s="1"/>
  <c r="Y2253" i="20" s="1"/>
  <c r="U2253" i="20"/>
  <c r="S2253" i="20"/>
  <c r="O2253" i="20"/>
  <c r="K2253" i="20"/>
  <c r="J2253" i="20"/>
  <c r="AA2252" i="20"/>
  <c r="X2252" i="20"/>
  <c r="Y2252" i="20" s="1"/>
  <c r="W2252" i="20"/>
  <c r="V2252" i="20"/>
  <c r="U2252" i="20"/>
  <c r="S2252" i="20"/>
  <c r="O2252" i="20"/>
  <c r="K2252" i="20"/>
  <c r="M2252" i="20" s="1"/>
  <c r="AC2252" i="20" s="1"/>
  <c r="J2252" i="20"/>
  <c r="AA2251" i="20"/>
  <c r="V2251" i="20"/>
  <c r="W2251" i="20" s="1"/>
  <c r="X2251" i="20" s="1"/>
  <c r="U2251" i="20"/>
  <c r="S2251" i="20"/>
  <c r="O2251" i="20"/>
  <c r="N2251" i="20"/>
  <c r="M2251" i="20"/>
  <c r="L2251" i="20"/>
  <c r="K2251" i="20"/>
  <c r="J2251" i="20"/>
  <c r="AA2250" i="20"/>
  <c r="X2250" i="20"/>
  <c r="W2250" i="20"/>
  <c r="V2250" i="20"/>
  <c r="U2250" i="20"/>
  <c r="S2250" i="20"/>
  <c r="O2250" i="20"/>
  <c r="K2250" i="20"/>
  <c r="M2250" i="20" s="1"/>
  <c r="AC2250" i="20" s="1"/>
  <c r="J2250" i="20"/>
  <c r="AA2249" i="20"/>
  <c r="W2249" i="20"/>
  <c r="X2249" i="20" s="1"/>
  <c r="V2249" i="20"/>
  <c r="U2249" i="20"/>
  <c r="S2249" i="20"/>
  <c r="O2249" i="20"/>
  <c r="K2249" i="20"/>
  <c r="M2249" i="20" s="1"/>
  <c r="AC2249" i="20" s="1"/>
  <c r="J2249" i="20"/>
  <c r="AA2248" i="20"/>
  <c r="W2248" i="20"/>
  <c r="X2248" i="20" s="1"/>
  <c r="V2248" i="20"/>
  <c r="U2248" i="20"/>
  <c r="S2248" i="20"/>
  <c r="O2248" i="20"/>
  <c r="K2248" i="20"/>
  <c r="J2248" i="20"/>
  <c r="AA2247" i="20"/>
  <c r="V2247" i="20"/>
  <c r="W2247" i="20" s="1"/>
  <c r="X2247" i="20" s="1"/>
  <c r="U2247" i="20"/>
  <c r="S2247" i="20"/>
  <c r="P2247" i="20"/>
  <c r="O2247" i="20"/>
  <c r="N2247" i="20"/>
  <c r="M2247" i="20"/>
  <c r="K2247" i="20"/>
  <c r="L2247" i="20" s="1"/>
  <c r="AB2247" i="20" s="1"/>
  <c r="J2247" i="20"/>
  <c r="AA2246" i="20"/>
  <c r="Y2246" i="20"/>
  <c r="V2246" i="20"/>
  <c r="W2246" i="20" s="1"/>
  <c r="X2246" i="20" s="1"/>
  <c r="U2246" i="20"/>
  <c r="S2246" i="20"/>
  <c r="Q2246" i="20"/>
  <c r="P2246" i="20"/>
  <c r="O2246" i="20"/>
  <c r="N2246" i="20"/>
  <c r="M2246" i="20"/>
  <c r="AC2246" i="20" s="1"/>
  <c r="L2246" i="20"/>
  <c r="AB2246" i="20" s="1"/>
  <c r="K2246" i="20"/>
  <c r="J2246" i="20"/>
  <c r="AA2245" i="20"/>
  <c r="W2245" i="20"/>
  <c r="X2245" i="20" s="1"/>
  <c r="V2245" i="20"/>
  <c r="U2245" i="20"/>
  <c r="S2245" i="20"/>
  <c r="Q2245" i="20"/>
  <c r="O2245" i="20"/>
  <c r="M2245" i="20"/>
  <c r="AC2245" i="20" s="1"/>
  <c r="K2245" i="20"/>
  <c r="L2245" i="20" s="1"/>
  <c r="J2245" i="20"/>
  <c r="AA2244" i="20"/>
  <c r="X2244" i="20"/>
  <c r="W2244" i="20"/>
  <c r="V2244" i="20"/>
  <c r="U2244" i="20"/>
  <c r="S2244" i="20"/>
  <c r="O2244" i="20"/>
  <c r="K2244" i="20"/>
  <c r="J2244" i="20"/>
  <c r="AB2243" i="20"/>
  <c r="AA2243" i="20"/>
  <c r="V2243" i="20"/>
  <c r="W2243" i="20" s="1"/>
  <c r="X2243" i="20" s="1"/>
  <c r="U2243" i="20"/>
  <c r="S2243" i="20"/>
  <c r="P2243" i="20"/>
  <c r="O2243" i="20"/>
  <c r="L2243" i="20"/>
  <c r="N2243" i="20" s="1"/>
  <c r="K2243" i="20"/>
  <c r="M2243" i="20" s="1"/>
  <c r="J2243" i="20"/>
  <c r="AB2242" i="20"/>
  <c r="AA2242" i="20"/>
  <c r="V2242" i="20"/>
  <c r="W2242" i="20" s="1"/>
  <c r="X2242" i="20" s="1"/>
  <c r="U2242" i="20"/>
  <c r="S2242" i="20"/>
  <c r="O2242" i="20"/>
  <c r="M2242" i="20"/>
  <c r="L2242" i="20"/>
  <c r="K2242" i="20"/>
  <c r="J2242" i="20"/>
  <c r="AC2241" i="20"/>
  <c r="AA2241" i="20"/>
  <c r="V2241" i="20"/>
  <c r="W2241" i="20" s="1"/>
  <c r="X2241" i="20" s="1"/>
  <c r="U2241" i="20"/>
  <c r="S2241" i="20"/>
  <c r="O2241" i="20"/>
  <c r="L2241" i="20"/>
  <c r="K2241" i="20"/>
  <c r="M2241" i="20" s="1"/>
  <c r="Q2241" i="20" s="1"/>
  <c r="J2241" i="20"/>
  <c r="AC2240" i="20"/>
  <c r="AB2240" i="20"/>
  <c r="AA2240" i="20"/>
  <c r="Y2240" i="20"/>
  <c r="X2240" i="20"/>
  <c r="V2240" i="20"/>
  <c r="W2240" i="20" s="1"/>
  <c r="U2240" i="20"/>
  <c r="S2240" i="20"/>
  <c r="P2240" i="20"/>
  <c r="M2240" i="20"/>
  <c r="Q2240" i="20" s="1"/>
  <c r="L2240" i="20"/>
  <c r="K2240" i="20"/>
  <c r="AA2239" i="20"/>
  <c r="W2239" i="20"/>
  <c r="X2239" i="20" s="1"/>
  <c r="V2239" i="20"/>
  <c r="U2239" i="20"/>
  <c r="S2239" i="20"/>
  <c r="K2239" i="20"/>
  <c r="AC2238" i="20"/>
  <c r="AA2238" i="20"/>
  <c r="V2238" i="20"/>
  <c r="W2238" i="20" s="1"/>
  <c r="X2238" i="20" s="1"/>
  <c r="U2238" i="20"/>
  <c r="S2238" i="20"/>
  <c r="M2238" i="20"/>
  <c r="Q2238" i="20" s="1"/>
  <c r="L2238" i="20"/>
  <c r="K2238" i="20"/>
  <c r="AA2237" i="20"/>
  <c r="X2237" i="20"/>
  <c r="W2237" i="20"/>
  <c r="V2237" i="20"/>
  <c r="U2237" i="20"/>
  <c r="S2237" i="20"/>
  <c r="L2237" i="20"/>
  <c r="K2237" i="20"/>
  <c r="M2237" i="20" s="1"/>
  <c r="AC2236" i="20"/>
  <c r="AA2236" i="20"/>
  <c r="X2236" i="20"/>
  <c r="W2236" i="20"/>
  <c r="V2236" i="20"/>
  <c r="U2236" i="20"/>
  <c r="S2236" i="20"/>
  <c r="Q2236" i="20"/>
  <c r="P2236" i="20"/>
  <c r="M2236" i="20"/>
  <c r="K2236" i="20"/>
  <c r="L2236" i="20" s="1"/>
  <c r="AB2236" i="20" s="1"/>
  <c r="AC2235" i="20"/>
  <c r="AB2235" i="20"/>
  <c r="AA2235" i="20"/>
  <c r="V2235" i="20"/>
  <c r="W2235" i="20" s="1"/>
  <c r="X2235" i="20" s="1"/>
  <c r="U2235" i="20"/>
  <c r="S2235" i="20"/>
  <c r="Q2235" i="20"/>
  <c r="N2235" i="20"/>
  <c r="O2235" i="20" s="1"/>
  <c r="M2235" i="20"/>
  <c r="L2235" i="20"/>
  <c r="P2235" i="20" s="1"/>
  <c r="K2235" i="20"/>
  <c r="AC2234" i="20"/>
  <c r="AB2234" i="20"/>
  <c r="AA2234" i="20"/>
  <c r="V2234" i="20"/>
  <c r="W2234" i="20" s="1"/>
  <c r="X2234" i="20" s="1"/>
  <c r="U2234" i="20"/>
  <c r="S2234" i="20"/>
  <c r="P2234" i="20"/>
  <c r="M2234" i="20"/>
  <c r="Q2234" i="20" s="1"/>
  <c r="L2234" i="20"/>
  <c r="K2234" i="20"/>
  <c r="AA2233" i="20"/>
  <c r="V2233" i="20"/>
  <c r="W2233" i="20" s="1"/>
  <c r="X2233" i="20" s="1"/>
  <c r="Y2233" i="20" s="1"/>
  <c r="U2233" i="20"/>
  <c r="S2233" i="20"/>
  <c r="K2233" i="20"/>
  <c r="AA2232" i="20"/>
  <c r="V2232" i="20"/>
  <c r="W2232" i="20" s="1"/>
  <c r="X2232" i="20" s="1"/>
  <c r="U2232" i="20"/>
  <c r="S2232" i="20"/>
  <c r="P2232" i="20"/>
  <c r="M2232" i="20"/>
  <c r="L2232" i="20"/>
  <c r="AB2232" i="20" s="1"/>
  <c r="K2232" i="20"/>
  <c r="AA2231" i="20"/>
  <c r="W2231" i="20"/>
  <c r="X2231" i="20" s="1"/>
  <c r="V2231" i="20"/>
  <c r="U2231" i="20"/>
  <c r="S2231" i="20"/>
  <c r="M2231" i="20"/>
  <c r="AC2231" i="20" s="1"/>
  <c r="L2231" i="20"/>
  <c r="AB2231" i="20" s="1"/>
  <c r="K2231" i="20"/>
  <c r="AB2230" i="20"/>
  <c r="AA2230" i="20"/>
  <c r="V2230" i="20"/>
  <c r="W2230" i="20" s="1"/>
  <c r="X2230" i="20" s="1"/>
  <c r="U2230" i="20"/>
  <c r="S2230" i="20"/>
  <c r="P2230" i="20"/>
  <c r="L2230" i="20"/>
  <c r="K2230" i="20"/>
  <c r="M2230" i="20" s="1"/>
  <c r="AA2229" i="20"/>
  <c r="V2229" i="20"/>
  <c r="W2229" i="20" s="1"/>
  <c r="X2229" i="20" s="1"/>
  <c r="Y2229" i="20" s="1"/>
  <c r="U2229" i="20"/>
  <c r="S2229" i="20"/>
  <c r="K2229" i="20"/>
  <c r="AA2228" i="20"/>
  <c r="W2228" i="20"/>
  <c r="X2228" i="20" s="1"/>
  <c r="V2228" i="20"/>
  <c r="U2228" i="20"/>
  <c r="S2228" i="20"/>
  <c r="L2228" i="20"/>
  <c r="K2228" i="20"/>
  <c r="M2228" i="20" s="1"/>
  <c r="AA2227" i="20"/>
  <c r="Y2227" i="20"/>
  <c r="X2227" i="20"/>
  <c r="V2227" i="20"/>
  <c r="W2227" i="20" s="1"/>
  <c r="U2227" i="20"/>
  <c r="S2227" i="20"/>
  <c r="P2227" i="20"/>
  <c r="L2227" i="20"/>
  <c r="AB2227" i="20" s="1"/>
  <c r="K2227" i="20"/>
  <c r="M2227" i="20" s="1"/>
  <c r="AC2226" i="20"/>
  <c r="AB2226" i="20"/>
  <c r="AA2226" i="20"/>
  <c r="V2226" i="20"/>
  <c r="W2226" i="20" s="1"/>
  <c r="X2226" i="20" s="1"/>
  <c r="U2226" i="20"/>
  <c r="S2226" i="20"/>
  <c r="Q2226" i="20"/>
  <c r="P2226" i="20"/>
  <c r="O2226" i="20"/>
  <c r="N2226" i="20"/>
  <c r="M2226" i="20"/>
  <c r="L2226" i="20"/>
  <c r="K2226" i="20"/>
  <c r="AA2225" i="20"/>
  <c r="W2225" i="20"/>
  <c r="X2225" i="20" s="1"/>
  <c r="V2225" i="20"/>
  <c r="U2225" i="20"/>
  <c r="S2225" i="20"/>
  <c r="K2225" i="20"/>
  <c r="AA2224" i="20"/>
  <c r="V2224" i="20"/>
  <c r="W2224" i="20" s="1"/>
  <c r="X2224" i="20" s="1"/>
  <c r="U2224" i="20"/>
  <c r="S2224" i="20"/>
  <c r="K2224" i="20"/>
  <c r="AA2223" i="20"/>
  <c r="V2223" i="20"/>
  <c r="W2223" i="20" s="1"/>
  <c r="X2223" i="20" s="1"/>
  <c r="Y2223" i="20" s="1"/>
  <c r="U2223" i="20"/>
  <c r="S2223" i="20"/>
  <c r="K2223" i="20"/>
  <c r="AC2222" i="20"/>
  <c r="AA2222" i="20"/>
  <c r="W2222" i="20"/>
  <c r="X2222" i="20" s="1"/>
  <c r="V2222" i="20"/>
  <c r="U2222" i="20"/>
  <c r="S2222" i="20"/>
  <c r="Q2222" i="20"/>
  <c r="P2222" i="20"/>
  <c r="M2222" i="20"/>
  <c r="L2222" i="20"/>
  <c r="K2222" i="20"/>
  <c r="AA2221" i="20"/>
  <c r="X2221" i="20"/>
  <c r="V2221" i="20"/>
  <c r="W2221" i="20" s="1"/>
  <c r="U2221" i="20"/>
  <c r="S2221" i="20"/>
  <c r="P2221" i="20"/>
  <c r="M2221" i="20"/>
  <c r="K2221" i="20"/>
  <c r="L2221" i="20" s="1"/>
  <c r="AB2221" i="20" s="1"/>
  <c r="AA2220" i="20"/>
  <c r="X2220" i="20"/>
  <c r="W2220" i="20"/>
  <c r="V2220" i="20"/>
  <c r="U2220" i="20"/>
  <c r="S2220" i="20"/>
  <c r="M2220" i="20"/>
  <c r="L2220" i="20"/>
  <c r="K2220" i="20"/>
  <c r="AA2219" i="20"/>
  <c r="V2219" i="20"/>
  <c r="W2219" i="20" s="1"/>
  <c r="X2219" i="20" s="1"/>
  <c r="U2219" i="20"/>
  <c r="S2219" i="20"/>
  <c r="M2219" i="20"/>
  <c r="AC2219" i="20" s="1"/>
  <c r="L2219" i="20"/>
  <c r="K2219" i="20"/>
  <c r="AA2218" i="20"/>
  <c r="W2218" i="20"/>
  <c r="X2218" i="20" s="1"/>
  <c r="V2218" i="20"/>
  <c r="U2218" i="20"/>
  <c r="S2218" i="20"/>
  <c r="M2218" i="20"/>
  <c r="K2218" i="20"/>
  <c r="L2218" i="20" s="1"/>
  <c r="AA2217" i="20"/>
  <c r="W2217" i="20"/>
  <c r="X2217" i="20" s="1"/>
  <c r="Y2217" i="20" s="1"/>
  <c r="V2217" i="20"/>
  <c r="U2217" i="20"/>
  <c r="S2217" i="20"/>
  <c r="K2217" i="20"/>
  <c r="M2217" i="20" s="1"/>
  <c r="AA2216" i="20"/>
  <c r="Y2216" i="20"/>
  <c r="W2216" i="20"/>
  <c r="X2216" i="20" s="1"/>
  <c r="V2216" i="20"/>
  <c r="U2216" i="20"/>
  <c r="S2216" i="20"/>
  <c r="K2216" i="20"/>
  <c r="M2216" i="20" s="1"/>
  <c r="AC2216" i="20" s="1"/>
  <c r="AC2215" i="20"/>
  <c r="AA2215" i="20"/>
  <c r="V2215" i="20"/>
  <c r="W2215" i="20" s="1"/>
  <c r="X2215" i="20" s="1"/>
  <c r="U2215" i="20"/>
  <c r="S2215" i="20"/>
  <c r="Q2215" i="20"/>
  <c r="N2215" i="20"/>
  <c r="O2215" i="20" s="1"/>
  <c r="M2215" i="20"/>
  <c r="K2215" i="20"/>
  <c r="L2215" i="20" s="1"/>
  <c r="AA2214" i="20"/>
  <c r="V2214" i="20"/>
  <c r="W2214" i="20" s="1"/>
  <c r="X2214" i="20" s="1"/>
  <c r="U2214" i="20"/>
  <c r="S2214" i="20"/>
  <c r="P2214" i="20"/>
  <c r="N2214" i="20"/>
  <c r="O2214" i="20" s="1"/>
  <c r="M2214" i="20"/>
  <c r="AC2214" i="20" s="1"/>
  <c r="L2214" i="20"/>
  <c r="AB2214" i="20" s="1"/>
  <c r="K2214" i="20"/>
  <c r="AC2213" i="20"/>
  <c r="AA2213" i="20"/>
  <c r="W2213" i="20"/>
  <c r="X2213" i="20" s="1"/>
  <c r="V2213" i="20"/>
  <c r="U2213" i="20"/>
  <c r="S2213" i="20"/>
  <c r="Q2213" i="20"/>
  <c r="M2213" i="20"/>
  <c r="K2213" i="20"/>
  <c r="L2213" i="20" s="1"/>
  <c r="AA2212" i="20"/>
  <c r="AB2212" i="20" s="1"/>
  <c r="W2212" i="20"/>
  <c r="X2212" i="20" s="1"/>
  <c r="V2212" i="20"/>
  <c r="U2212" i="20"/>
  <c r="S2212" i="20"/>
  <c r="M2212" i="20"/>
  <c r="L2212" i="20"/>
  <c r="K2212" i="20"/>
  <c r="AA2211" i="20"/>
  <c r="V2211" i="20"/>
  <c r="W2211" i="20" s="1"/>
  <c r="X2211" i="20" s="1"/>
  <c r="U2211" i="20"/>
  <c r="S2211" i="20"/>
  <c r="K2211" i="20"/>
  <c r="L2211" i="20" s="1"/>
  <c r="AA2210" i="20"/>
  <c r="X2210" i="20"/>
  <c r="W2210" i="20"/>
  <c r="V2210" i="20"/>
  <c r="U2210" i="20"/>
  <c r="S2210" i="20"/>
  <c r="K2210" i="20"/>
  <c r="M2210" i="20" s="1"/>
  <c r="AA2209" i="20"/>
  <c r="W2209" i="20"/>
  <c r="X2209" i="20" s="1"/>
  <c r="V2209" i="20"/>
  <c r="U2209" i="20"/>
  <c r="S2209" i="20"/>
  <c r="K2209" i="20"/>
  <c r="AC2208" i="20"/>
  <c r="AB2208" i="20"/>
  <c r="AA2208" i="20"/>
  <c r="W2208" i="20"/>
  <c r="X2208" i="20" s="1"/>
  <c r="Y2208" i="20" s="1"/>
  <c r="V2208" i="20"/>
  <c r="U2208" i="20"/>
  <c r="S2208" i="20"/>
  <c r="N2208" i="20"/>
  <c r="O2208" i="20" s="1"/>
  <c r="L2208" i="20"/>
  <c r="K2208" i="20"/>
  <c r="M2208" i="20" s="1"/>
  <c r="Q2208" i="20" s="1"/>
  <c r="AA2207" i="20"/>
  <c r="X2207" i="20"/>
  <c r="W2207" i="20"/>
  <c r="V2207" i="20"/>
  <c r="U2207" i="20"/>
  <c r="S2207" i="20"/>
  <c r="K2207" i="20"/>
  <c r="AC2206" i="20"/>
  <c r="AA2206" i="20"/>
  <c r="Y2206" i="20"/>
  <c r="X2206" i="20"/>
  <c r="W2206" i="20"/>
  <c r="V2206" i="20"/>
  <c r="U2206" i="20"/>
  <c r="S2206" i="20"/>
  <c r="Q2206" i="20"/>
  <c r="K2206" i="20"/>
  <c r="M2206" i="20" s="1"/>
  <c r="AA2205" i="20"/>
  <c r="V2205" i="20"/>
  <c r="W2205" i="20" s="1"/>
  <c r="X2205" i="20" s="1"/>
  <c r="U2205" i="20"/>
  <c r="S2205" i="20"/>
  <c r="P2205" i="20"/>
  <c r="L2205" i="20"/>
  <c r="AB2205" i="20" s="1"/>
  <c r="K2205" i="20"/>
  <c r="M2205" i="20" s="1"/>
  <c r="AC2205" i="20" s="1"/>
  <c r="AA2204" i="20"/>
  <c r="X2204" i="20"/>
  <c r="V2204" i="20"/>
  <c r="W2204" i="20" s="1"/>
  <c r="U2204" i="20"/>
  <c r="S2204" i="20"/>
  <c r="Q2204" i="20"/>
  <c r="M2204" i="20"/>
  <c r="AC2204" i="20" s="1"/>
  <c r="L2204" i="20"/>
  <c r="K2204" i="20"/>
  <c r="AB2203" i="20"/>
  <c r="AA2203" i="20"/>
  <c r="Y2203" i="20"/>
  <c r="V2203" i="20"/>
  <c r="W2203" i="20" s="1"/>
  <c r="X2203" i="20" s="1"/>
  <c r="U2203" i="20"/>
  <c r="S2203" i="20"/>
  <c r="P2203" i="20"/>
  <c r="M2203" i="20"/>
  <c r="K2203" i="20"/>
  <c r="L2203" i="20" s="1"/>
  <c r="AA2202" i="20"/>
  <c r="Y2202" i="20"/>
  <c r="X2202" i="20"/>
  <c r="V2202" i="20"/>
  <c r="W2202" i="20" s="1"/>
  <c r="U2202" i="20"/>
  <c r="S2202" i="20"/>
  <c r="K2202" i="20"/>
  <c r="AA2201" i="20"/>
  <c r="W2201" i="20"/>
  <c r="X2201" i="20" s="1"/>
  <c r="V2201" i="20"/>
  <c r="U2201" i="20"/>
  <c r="S2201" i="20"/>
  <c r="O2201" i="20"/>
  <c r="N2201" i="20"/>
  <c r="M2201" i="20"/>
  <c r="K2201" i="20"/>
  <c r="L2201" i="20" s="1"/>
  <c r="AA2200" i="20"/>
  <c r="V2200" i="20"/>
  <c r="W2200" i="20" s="1"/>
  <c r="X2200" i="20" s="1"/>
  <c r="U2200" i="20"/>
  <c r="S2200" i="20"/>
  <c r="M2200" i="20"/>
  <c r="L2200" i="20"/>
  <c r="K2200" i="20"/>
  <c r="AC2199" i="20"/>
  <c r="AA2199" i="20"/>
  <c r="X2199" i="20"/>
  <c r="W2199" i="20"/>
  <c r="V2199" i="20"/>
  <c r="U2199" i="20"/>
  <c r="S2199" i="20"/>
  <c r="Q2199" i="20"/>
  <c r="N2199" i="20"/>
  <c r="O2199" i="20" s="1"/>
  <c r="M2199" i="20"/>
  <c r="K2199" i="20"/>
  <c r="L2199" i="20" s="1"/>
  <c r="AC2198" i="20"/>
  <c r="AB2198" i="20"/>
  <c r="AA2198" i="20"/>
  <c r="Y2198" i="20"/>
  <c r="V2198" i="20"/>
  <c r="W2198" i="20" s="1"/>
  <c r="X2198" i="20" s="1"/>
  <c r="U2198" i="20"/>
  <c r="S2198" i="20"/>
  <c r="L2198" i="20"/>
  <c r="K2198" i="20"/>
  <c r="M2198" i="20" s="1"/>
  <c r="Q2198" i="20" s="1"/>
  <c r="AA2197" i="20"/>
  <c r="V2197" i="20"/>
  <c r="W2197" i="20" s="1"/>
  <c r="X2197" i="20" s="1"/>
  <c r="U2197" i="20"/>
  <c r="S2197" i="20"/>
  <c r="M2197" i="20"/>
  <c r="L2197" i="20"/>
  <c r="K2197" i="20"/>
  <c r="AC2196" i="20"/>
  <c r="AB2196" i="20"/>
  <c r="AA2196" i="20"/>
  <c r="Y2196" i="20"/>
  <c r="X2196" i="20"/>
  <c r="W2196" i="20"/>
  <c r="V2196" i="20"/>
  <c r="U2196" i="20"/>
  <c r="S2196" i="20"/>
  <c r="M2196" i="20"/>
  <c r="L2196" i="20"/>
  <c r="K2196" i="20"/>
  <c r="AB2195" i="20"/>
  <c r="AA2195" i="20"/>
  <c r="V2195" i="20"/>
  <c r="W2195" i="20" s="1"/>
  <c r="X2195" i="20" s="1"/>
  <c r="U2195" i="20"/>
  <c r="S2195" i="20"/>
  <c r="Q2195" i="20"/>
  <c r="P2195" i="20"/>
  <c r="M2195" i="20"/>
  <c r="L2195" i="20"/>
  <c r="K2195" i="20"/>
  <c r="AC2194" i="20"/>
  <c r="AA2194" i="20"/>
  <c r="V2194" i="20"/>
  <c r="W2194" i="20" s="1"/>
  <c r="X2194" i="20" s="1"/>
  <c r="U2194" i="20"/>
  <c r="S2194" i="20"/>
  <c r="Q2194" i="20"/>
  <c r="N2194" i="20"/>
  <c r="O2194" i="20" s="1"/>
  <c r="L2194" i="20"/>
  <c r="K2194" i="20"/>
  <c r="M2194" i="20" s="1"/>
  <c r="AB2193" i="20"/>
  <c r="AA2193" i="20"/>
  <c r="X2193" i="20"/>
  <c r="V2193" i="20"/>
  <c r="W2193" i="20" s="1"/>
  <c r="U2193" i="20"/>
  <c r="S2193" i="20"/>
  <c r="P2193" i="20"/>
  <c r="K2193" i="20"/>
  <c r="L2193" i="20" s="1"/>
  <c r="AA2192" i="20"/>
  <c r="AB2192" i="20" s="1"/>
  <c r="V2192" i="20"/>
  <c r="W2192" i="20" s="1"/>
  <c r="X2192" i="20" s="1"/>
  <c r="Y2192" i="20" s="1"/>
  <c r="U2192" i="20"/>
  <c r="S2192" i="20"/>
  <c r="M2192" i="20"/>
  <c r="L2192" i="20"/>
  <c r="K2192" i="20"/>
  <c r="AA2191" i="20"/>
  <c r="Y2191" i="20"/>
  <c r="X2191" i="20"/>
  <c r="W2191" i="20"/>
  <c r="V2191" i="20"/>
  <c r="U2191" i="20"/>
  <c r="S2191" i="20"/>
  <c r="M2191" i="20"/>
  <c r="K2191" i="20"/>
  <c r="L2191" i="20" s="1"/>
  <c r="AA2190" i="20"/>
  <c r="X2190" i="20"/>
  <c r="W2190" i="20"/>
  <c r="V2190" i="20"/>
  <c r="U2190" i="20"/>
  <c r="S2190" i="20"/>
  <c r="K2190" i="20"/>
  <c r="AA2189" i="20"/>
  <c r="X2189" i="20"/>
  <c r="V2189" i="20"/>
  <c r="W2189" i="20" s="1"/>
  <c r="U2189" i="20"/>
  <c r="S2189" i="20"/>
  <c r="K2189" i="20"/>
  <c r="M2189" i="20" s="1"/>
  <c r="AB2188" i="20"/>
  <c r="AA2188" i="20"/>
  <c r="X2188" i="20"/>
  <c r="W2188" i="20"/>
  <c r="V2188" i="20"/>
  <c r="U2188" i="20"/>
  <c r="S2188" i="20"/>
  <c r="P2188" i="20"/>
  <c r="N2188" i="20"/>
  <c r="O2188" i="20" s="1"/>
  <c r="M2188" i="20"/>
  <c r="L2188" i="20"/>
  <c r="K2188" i="20"/>
  <c r="AA2187" i="20"/>
  <c r="X2187" i="20"/>
  <c r="V2187" i="20"/>
  <c r="W2187" i="20" s="1"/>
  <c r="U2187" i="20"/>
  <c r="S2187" i="20"/>
  <c r="L2187" i="20"/>
  <c r="K2187" i="20"/>
  <c r="M2187" i="20" s="1"/>
  <c r="AA2186" i="20"/>
  <c r="W2186" i="20"/>
  <c r="X2186" i="20" s="1"/>
  <c r="V2186" i="20"/>
  <c r="U2186" i="20"/>
  <c r="S2186" i="20"/>
  <c r="K2186" i="20"/>
  <c r="AA2185" i="20"/>
  <c r="Y2185" i="20"/>
  <c r="V2185" i="20"/>
  <c r="W2185" i="20" s="1"/>
  <c r="X2185" i="20" s="1"/>
  <c r="U2185" i="20"/>
  <c r="S2185" i="20"/>
  <c r="K2185" i="20"/>
  <c r="AC2184" i="20"/>
  <c r="AA2184" i="20"/>
  <c r="W2184" i="20"/>
  <c r="X2184" i="20" s="1"/>
  <c r="V2184" i="20"/>
  <c r="U2184" i="20"/>
  <c r="S2184" i="20"/>
  <c r="Q2184" i="20"/>
  <c r="K2184" i="20"/>
  <c r="M2184" i="20" s="1"/>
  <c r="AA2183" i="20"/>
  <c r="V2183" i="20"/>
  <c r="W2183" i="20" s="1"/>
  <c r="X2183" i="20" s="1"/>
  <c r="U2183" i="20"/>
  <c r="S2183" i="20"/>
  <c r="P2183" i="20"/>
  <c r="M2183" i="20"/>
  <c r="L2183" i="20"/>
  <c r="AB2183" i="20" s="1"/>
  <c r="K2183" i="20"/>
  <c r="AA2182" i="20"/>
  <c r="X2182" i="20"/>
  <c r="V2182" i="20"/>
  <c r="W2182" i="20" s="1"/>
  <c r="U2182" i="20"/>
  <c r="S2182" i="20"/>
  <c r="M2182" i="20"/>
  <c r="AC2182" i="20" s="1"/>
  <c r="K2182" i="20"/>
  <c r="L2182" i="20" s="1"/>
  <c r="AA2181" i="20"/>
  <c r="Y2181" i="20"/>
  <c r="V2181" i="20"/>
  <c r="W2181" i="20" s="1"/>
  <c r="X2181" i="20" s="1"/>
  <c r="U2181" i="20"/>
  <c r="S2181" i="20"/>
  <c r="K2181" i="20"/>
  <c r="AA2180" i="20"/>
  <c r="V2180" i="20"/>
  <c r="W2180" i="20" s="1"/>
  <c r="X2180" i="20" s="1"/>
  <c r="U2180" i="20"/>
  <c r="S2180" i="20"/>
  <c r="K2180" i="20"/>
  <c r="L2180" i="20" s="1"/>
  <c r="AB2179" i="20"/>
  <c r="AA2179" i="20"/>
  <c r="V2179" i="20"/>
  <c r="W2179" i="20" s="1"/>
  <c r="X2179" i="20" s="1"/>
  <c r="Y2179" i="20" s="1"/>
  <c r="U2179" i="20"/>
  <c r="S2179" i="20"/>
  <c r="P2179" i="20"/>
  <c r="M2179" i="20"/>
  <c r="L2179" i="20"/>
  <c r="K2179" i="20"/>
  <c r="AA2178" i="20"/>
  <c r="V2178" i="20"/>
  <c r="W2178" i="20" s="1"/>
  <c r="X2178" i="20" s="1"/>
  <c r="U2178" i="20"/>
  <c r="S2178" i="20"/>
  <c r="K2178" i="20"/>
  <c r="AB2177" i="20"/>
  <c r="AA2177" i="20"/>
  <c r="W2177" i="20"/>
  <c r="X2177" i="20" s="1"/>
  <c r="V2177" i="20"/>
  <c r="U2177" i="20"/>
  <c r="S2177" i="20"/>
  <c r="L2177" i="20"/>
  <c r="K2177" i="20"/>
  <c r="M2177" i="20" s="1"/>
  <c r="AA2176" i="20"/>
  <c r="Y2176" i="20"/>
  <c r="V2176" i="20"/>
  <c r="W2176" i="20" s="1"/>
  <c r="X2176" i="20" s="1"/>
  <c r="U2176" i="20"/>
  <c r="S2176" i="20"/>
  <c r="O2176" i="20"/>
  <c r="K2176" i="20"/>
  <c r="J2176" i="20"/>
  <c r="AA2175" i="20"/>
  <c r="Y2175" i="20"/>
  <c r="W2175" i="20"/>
  <c r="X2175" i="20" s="1"/>
  <c r="V2175" i="20"/>
  <c r="U2175" i="20"/>
  <c r="S2175" i="20"/>
  <c r="O2175" i="20"/>
  <c r="K2175" i="20"/>
  <c r="J2175" i="20"/>
  <c r="AA2174" i="20"/>
  <c r="W2174" i="20"/>
  <c r="X2174" i="20" s="1"/>
  <c r="V2174" i="20"/>
  <c r="U2174" i="20"/>
  <c r="S2174" i="20"/>
  <c r="P2174" i="20"/>
  <c r="O2174" i="20"/>
  <c r="L2174" i="20"/>
  <c r="AB2174" i="20" s="1"/>
  <c r="K2174" i="20"/>
  <c r="M2174" i="20" s="1"/>
  <c r="J2174" i="20"/>
  <c r="AC2173" i="20"/>
  <c r="AA2173" i="20"/>
  <c r="Y2173" i="20"/>
  <c r="X2173" i="20"/>
  <c r="W2173" i="20"/>
  <c r="V2173" i="20"/>
  <c r="U2173" i="20"/>
  <c r="S2173" i="20"/>
  <c r="Q2173" i="20"/>
  <c r="O2173" i="20"/>
  <c r="N2173" i="20"/>
  <c r="L2173" i="20"/>
  <c r="P2173" i="20" s="1"/>
  <c r="K2173" i="20"/>
  <c r="M2173" i="20" s="1"/>
  <c r="J2173" i="20"/>
  <c r="AA2172" i="20"/>
  <c r="W2172" i="20"/>
  <c r="X2172" i="20" s="1"/>
  <c r="V2172" i="20"/>
  <c r="U2172" i="20"/>
  <c r="S2172" i="20"/>
  <c r="O2172" i="20"/>
  <c r="K2172" i="20"/>
  <c r="J2172" i="20"/>
  <c r="AA2171" i="20"/>
  <c r="V2171" i="20"/>
  <c r="W2171" i="20" s="1"/>
  <c r="X2171" i="20" s="1"/>
  <c r="U2171" i="20"/>
  <c r="S2171" i="20"/>
  <c r="O2171" i="20"/>
  <c r="K2171" i="20"/>
  <c r="J2171" i="20"/>
  <c r="AC2170" i="20"/>
  <c r="AA2170" i="20"/>
  <c r="V2170" i="20"/>
  <c r="W2170" i="20" s="1"/>
  <c r="X2170" i="20" s="1"/>
  <c r="Y2170" i="20" s="1"/>
  <c r="U2170" i="20"/>
  <c r="S2170" i="20"/>
  <c r="P2170" i="20"/>
  <c r="O2170" i="20"/>
  <c r="N2170" i="20"/>
  <c r="M2170" i="20"/>
  <c r="Q2170" i="20" s="1"/>
  <c r="L2170" i="20"/>
  <c r="AB2170" i="20" s="1"/>
  <c r="K2170" i="20"/>
  <c r="J2170" i="20"/>
  <c r="AA2169" i="20"/>
  <c r="W2169" i="20"/>
  <c r="X2169" i="20" s="1"/>
  <c r="V2169" i="20"/>
  <c r="U2169" i="20"/>
  <c r="S2169" i="20"/>
  <c r="O2169" i="20"/>
  <c r="K2169" i="20"/>
  <c r="J2169" i="20"/>
  <c r="AA2168" i="20"/>
  <c r="Y2168" i="20"/>
  <c r="W2168" i="20"/>
  <c r="X2168" i="20" s="1"/>
  <c r="V2168" i="20"/>
  <c r="U2168" i="20"/>
  <c r="S2168" i="20"/>
  <c r="O2168" i="20"/>
  <c r="K2168" i="20"/>
  <c r="J2168" i="20"/>
  <c r="AA2167" i="20"/>
  <c r="V2167" i="20"/>
  <c r="W2167" i="20" s="1"/>
  <c r="X2167" i="20" s="1"/>
  <c r="U2167" i="20"/>
  <c r="S2167" i="20"/>
  <c r="O2167" i="20"/>
  <c r="K2167" i="20"/>
  <c r="L2167" i="20" s="1"/>
  <c r="J2167" i="20"/>
  <c r="AB2166" i="20"/>
  <c r="AA2166" i="20"/>
  <c r="W2166" i="20"/>
  <c r="X2166" i="20" s="1"/>
  <c r="V2166" i="20"/>
  <c r="U2166" i="20"/>
  <c r="S2166" i="20"/>
  <c r="P2166" i="20"/>
  <c r="O2166" i="20"/>
  <c r="L2166" i="20"/>
  <c r="K2166" i="20"/>
  <c r="M2166" i="20" s="1"/>
  <c r="J2166" i="20"/>
  <c r="AA2165" i="20"/>
  <c r="W2165" i="20"/>
  <c r="X2165" i="20" s="1"/>
  <c r="V2165" i="20"/>
  <c r="U2165" i="20"/>
  <c r="S2165" i="20"/>
  <c r="O2165" i="20"/>
  <c r="K2165" i="20"/>
  <c r="J2165" i="20"/>
  <c r="AA2164" i="20"/>
  <c r="W2164" i="20"/>
  <c r="X2164" i="20" s="1"/>
  <c r="V2164" i="20"/>
  <c r="U2164" i="20"/>
  <c r="S2164" i="20"/>
  <c r="O2164" i="20"/>
  <c r="N2164" i="20"/>
  <c r="M2164" i="20"/>
  <c r="L2164" i="20"/>
  <c r="P2164" i="20" s="1"/>
  <c r="K2164" i="20"/>
  <c r="J2164" i="20"/>
  <c r="AA2163" i="20"/>
  <c r="W2163" i="20"/>
  <c r="X2163" i="20" s="1"/>
  <c r="Y2163" i="20" s="1"/>
  <c r="V2163" i="20"/>
  <c r="U2163" i="20"/>
  <c r="S2163" i="20"/>
  <c r="O2163" i="20"/>
  <c r="K2163" i="20"/>
  <c r="J2163" i="20"/>
  <c r="AA2162" i="20"/>
  <c r="Y2162" i="20"/>
  <c r="W2162" i="20"/>
  <c r="X2162" i="20" s="1"/>
  <c r="V2162" i="20"/>
  <c r="U2162" i="20"/>
  <c r="S2162" i="20"/>
  <c r="O2162" i="20"/>
  <c r="K2162" i="20"/>
  <c r="J2162" i="20"/>
  <c r="AA2161" i="20"/>
  <c r="X2161" i="20"/>
  <c r="V2161" i="20"/>
  <c r="W2161" i="20" s="1"/>
  <c r="U2161" i="20"/>
  <c r="S2161" i="20"/>
  <c r="O2161" i="20"/>
  <c r="K2161" i="20"/>
  <c r="J2161" i="20"/>
  <c r="AC2160" i="20"/>
  <c r="AA2160" i="20"/>
  <c r="W2160" i="20"/>
  <c r="X2160" i="20" s="1"/>
  <c r="V2160" i="20"/>
  <c r="U2160" i="20"/>
  <c r="S2160" i="20"/>
  <c r="O2160" i="20"/>
  <c r="M2160" i="20"/>
  <c r="Q2160" i="20" s="1"/>
  <c r="L2160" i="20"/>
  <c r="K2160" i="20"/>
  <c r="J2160" i="20"/>
  <c r="AA2159" i="20"/>
  <c r="W2159" i="20"/>
  <c r="X2159" i="20" s="1"/>
  <c r="Y2159" i="20" s="1"/>
  <c r="V2159" i="20"/>
  <c r="U2159" i="20"/>
  <c r="S2159" i="20"/>
  <c r="Q2159" i="20"/>
  <c r="O2159" i="20"/>
  <c r="M2159" i="20"/>
  <c r="AC2159" i="20" s="1"/>
  <c r="L2159" i="20"/>
  <c r="K2159" i="20"/>
  <c r="J2159" i="20"/>
  <c r="AA2158" i="20"/>
  <c r="V2158" i="20"/>
  <c r="W2158" i="20" s="1"/>
  <c r="X2158" i="20" s="1"/>
  <c r="U2158" i="20"/>
  <c r="S2158" i="20"/>
  <c r="O2158" i="20"/>
  <c r="K2158" i="20"/>
  <c r="M2158" i="20" s="1"/>
  <c r="J2158" i="20"/>
  <c r="AA2157" i="20"/>
  <c r="X2157" i="20"/>
  <c r="V2157" i="20"/>
  <c r="W2157" i="20" s="1"/>
  <c r="U2157" i="20"/>
  <c r="S2157" i="20"/>
  <c r="O2157" i="20"/>
  <c r="K2157" i="20"/>
  <c r="J2157" i="20"/>
  <c r="AB2156" i="20"/>
  <c r="AA2156" i="20"/>
  <c r="V2156" i="20"/>
  <c r="W2156" i="20" s="1"/>
  <c r="X2156" i="20" s="1"/>
  <c r="U2156" i="20"/>
  <c r="S2156" i="20"/>
  <c r="Q2156" i="20"/>
  <c r="P2156" i="20"/>
  <c r="O2156" i="20"/>
  <c r="N2156" i="20"/>
  <c r="M2156" i="20"/>
  <c r="AC2156" i="20" s="1"/>
  <c r="L2156" i="20"/>
  <c r="K2156" i="20"/>
  <c r="J2156" i="20"/>
  <c r="AA2155" i="20"/>
  <c r="X2155" i="20"/>
  <c r="W2155" i="20"/>
  <c r="V2155" i="20"/>
  <c r="U2155" i="20"/>
  <c r="S2155" i="20"/>
  <c r="O2155" i="20"/>
  <c r="K2155" i="20"/>
  <c r="M2155" i="20" s="1"/>
  <c r="J2155" i="20"/>
  <c r="AB2154" i="20"/>
  <c r="AA2154" i="20"/>
  <c r="X2154" i="20"/>
  <c r="W2154" i="20"/>
  <c r="V2154" i="20"/>
  <c r="U2154" i="20"/>
  <c r="S2154" i="20"/>
  <c r="P2154" i="20"/>
  <c r="O2154" i="20"/>
  <c r="L2154" i="20"/>
  <c r="K2154" i="20"/>
  <c r="M2154" i="20" s="1"/>
  <c r="J2154" i="20"/>
  <c r="AC2153" i="20"/>
  <c r="AA2153" i="20"/>
  <c r="X2153" i="20"/>
  <c r="W2153" i="20"/>
  <c r="V2153" i="20"/>
  <c r="U2153" i="20"/>
  <c r="S2153" i="20"/>
  <c r="P2153" i="20"/>
  <c r="O2153" i="20"/>
  <c r="L2153" i="20"/>
  <c r="AB2153" i="20" s="1"/>
  <c r="K2153" i="20"/>
  <c r="M2153" i="20" s="1"/>
  <c r="Q2153" i="20" s="1"/>
  <c r="J2153" i="20"/>
  <c r="AA2152" i="20"/>
  <c r="W2152" i="20"/>
  <c r="X2152" i="20" s="1"/>
  <c r="V2152" i="20"/>
  <c r="U2152" i="20"/>
  <c r="S2152" i="20"/>
  <c r="O2152" i="20"/>
  <c r="M2152" i="20"/>
  <c r="Q2152" i="20" s="1"/>
  <c r="L2152" i="20"/>
  <c r="K2152" i="20"/>
  <c r="J2152" i="20"/>
  <c r="AB2151" i="20"/>
  <c r="AA2151" i="20"/>
  <c r="V2151" i="20"/>
  <c r="W2151" i="20" s="1"/>
  <c r="X2151" i="20" s="1"/>
  <c r="U2151" i="20"/>
  <c r="S2151" i="20"/>
  <c r="P2151" i="20"/>
  <c r="O2151" i="20"/>
  <c r="M2151" i="20"/>
  <c r="L2151" i="20"/>
  <c r="K2151" i="20"/>
  <c r="J2151" i="20"/>
  <c r="AA2150" i="20"/>
  <c r="V2150" i="20"/>
  <c r="W2150" i="20" s="1"/>
  <c r="X2150" i="20" s="1"/>
  <c r="U2150" i="20"/>
  <c r="S2150" i="20"/>
  <c r="O2150" i="20"/>
  <c r="K2150" i="20"/>
  <c r="J2150" i="20"/>
  <c r="AA2149" i="20"/>
  <c r="X2149" i="20"/>
  <c r="Y2149" i="20" s="1"/>
  <c r="W2149" i="20"/>
  <c r="V2149" i="20"/>
  <c r="U2149" i="20"/>
  <c r="S2149" i="20"/>
  <c r="O2149" i="20"/>
  <c r="K2149" i="20"/>
  <c r="L2149" i="20" s="1"/>
  <c r="J2149" i="20"/>
  <c r="AC2148" i="20"/>
  <c r="AB2148" i="20"/>
  <c r="AA2148" i="20"/>
  <c r="V2148" i="20"/>
  <c r="W2148" i="20" s="1"/>
  <c r="X2148" i="20" s="1"/>
  <c r="U2148" i="20"/>
  <c r="S2148" i="20"/>
  <c r="Q2148" i="20"/>
  <c r="P2148" i="20"/>
  <c r="O2148" i="20"/>
  <c r="N2148" i="20"/>
  <c r="M2148" i="20"/>
  <c r="K2148" i="20"/>
  <c r="L2148" i="20" s="1"/>
  <c r="J2148" i="20"/>
  <c r="AC2147" i="20"/>
  <c r="AA2147" i="20"/>
  <c r="V2147" i="20"/>
  <c r="W2147" i="20" s="1"/>
  <c r="X2147" i="20" s="1"/>
  <c r="U2147" i="20"/>
  <c r="S2147" i="20"/>
  <c r="Q2147" i="20"/>
  <c r="O2147" i="20"/>
  <c r="N2147" i="20"/>
  <c r="M2147" i="20"/>
  <c r="L2147" i="20"/>
  <c r="P2147" i="20" s="1"/>
  <c r="K2147" i="20"/>
  <c r="J2147" i="20"/>
  <c r="AA2146" i="20"/>
  <c r="Y2146" i="20"/>
  <c r="V2146" i="20"/>
  <c r="W2146" i="20" s="1"/>
  <c r="X2146" i="20" s="1"/>
  <c r="U2146" i="20"/>
  <c r="S2146" i="20"/>
  <c r="O2146" i="20"/>
  <c r="L2146" i="20"/>
  <c r="K2146" i="20"/>
  <c r="M2146" i="20" s="1"/>
  <c r="J2146" i="20"/>
  <c r="AA2145" i="20"/>
  <c r="X2145" i="20"/>
  <c r="W2145" i="20"/>
  <c r="V2145" i="20"/>
  <c r="U2145" i="20"/>
  <c r="S2145" i="20"/>
  <c r="Q2145" i="20"/>
  <c r="O2145" i="20"/>
  <c r="M2145" i="20"/>
  <c r="AC2145" i="20" s="1"/>
  <c r="L2145" i="20"/>
  <c r="K2145" i="20"/>
  <c r="J2145" i="20"/>
  <c r="AA2144" i="20"/>
  <c r="X2144" i="20"/>
  <c r="W2144" i="20"/>
  <c r="V2144" i="20"/>
  <c r="U2144" i="20"/>
  <c r="S2144" i="20"/>
  <c r="Q2144" i="20"/>
  <c r="O2144" i="20"/>
  <c r="K2144" i="20"/>
  <c r="M2144" i="20" s="1"/>
  <c r="AC2144" i="20" s="1"/>
  <c r="J2144" i="20"/>
  <c r="AA2143" i="20"/>
  <c r="V2143" i="20"/>
  <c r="W2143" i="20" s="1"/>
  <c r="X2143" i="20" s="1"/>
  <c r="U2143" i="20"/>
  <c r="S2143" i="20"/>
  <c r="O2143" i="20"/>
  <c r="M2143" i="20"/>
  <c r="AC2143" i="20" s="1"/>
  <c r="L2143" i="20"/>
  <c r="K2143" i="20"/>
  <c r="J2143" i="20"/>
  <c r="AA2142" i="20"/>
  <c r="Y2142" i="20"/>
  <c r="X2142" i="20"/>
  <c r="W2142" i="20"/>
  <c r="V2142" i="20"/>
  <c r="U2142" i="20"/>
  <c r="S2142" i="20"/>
  <c r="O2142" i="20"/>
  <c r="K2142" i="20"/>
  <c r="J2142" i="20"/>
  <c r="AC2141" i="20"/>
  <c r="AB2141" i="20"/>
  <c r="AA2141" i="20"/>
  <c r="X2141" i="20"/>
  <c r="W2141" i="20"/>
  <c r="V2141" i="20"/>
  <c r="U2141" i="20"/>
  <c r="S2141" i="20"/>
  <c r="Q2141" i="20"/>
  <c r="P2141" i="20"/>
  <c r="O2141" i="20"/>
  <c r="N2141" i="20"/>
  <c r="M2141" i="20"/>
  <c r="L2141" i="20"/>
  <c r="K2141" i="20"/>
  <c r="J2141" i="20"/>
  <c r="AA2140" i="20"/>
  <c r="V2140" i="20"/>
  <c r="W2140" i="20" s="1"/>
  <c r="X2140" i="20" s="1"/>
  <c r="U2140" i="20"/>
  <c r="S2140" i="20"/>
  <c r="O2140" i="20"/>
  <c r="K2140" i="20"/>
  <c r="M2140" i="20" s="1"/>
  <c r="J2140" i="20"/>
  <c r="AA2139" i="20"/>
  <c r="W2139" i="20"/>
  <c r="X2139" i="20" s="1"/>
  <c r="V2139" i="20"/>
  <c r="U2139" i="20"/>
  <c r="S2139" i="20"/>
  <c r="O2139" i="20"/>
  <c r="K2139" i="20"/>
  <c r="J2139" i="20"/>
  <c r="AA2138" i="20"/>
  <c r="V2138" i="20"/>
  <c r="W2138" i="20" s="1"/>
  <c r="X2138" i="20" s="1"/>
  <c r="U2138" i="20"/>
  <c r="S2138" i="20"/>
  <c r="O2138" i="20"/>
  <c r="K2138" i="20"/>
  <c r="J2138" i="20"/>
  <c r="AC2137" i="20"/>
  <c r="AA2137" i="20"/>
  <c r="X2137" i="20"/>
  <c r="W2137" i="20"/>
  <c r="V2137" i="20"/>
  <c r="U2137" i="20"/>
  <c r="S2137" i="20"/>
  <c r="Q2137" i="20"/>
  <c r="O2137" i="20"/>
  <c r="K2137" i="20"/>
  <c r="M2137" i="20" s="1"/>
  <c r="J2137" i="20"/>
  <c r="AA2136" i="20"/>
  <c r="X2136" i="20"/>
  <c r="W2136" i="20"/>
  <c r="V2136" i="20"/>
  <c r="U2136" i="20"/>
  <c r="S2136" i="20"/>
  <c r="O2136" i="20"/>
  <c r="M2136" i="20"/>
  <c r="L2136" i="20"/>
  <c r="P2136" i="20" s="1"/>
  <c r="K2136" i="20"/>
  <c r="J2136" i="20"/>
  <c r="AA2135" i="20"/>
  <c r="W2135" i="20"/>
  <c r="X2135" i="20" s="1"/>
  <c r="V2135" i="20"/>
  <c r="U2135" i="20"/>
  <c r="S2135" i="20"/>
  <c r="O2135" i="20"/>
  <c r="K2135" i="20"/>
  <c r="J2135" i="20"/>
  <c r="AB2134" i="20"/>
  <c r="AA2134" i="20"/>
  <c r="X2134" i="20"/>
  <c r="V2134" i="20"/>
  <c r="W2134" i="20" s="1"/>
  <c r="U2134" i="20"/>
  <c r="S2134" i="20"/>
  <c r="O2134" i="20"/>
  <c r="L2134" i="20"/>
  <c r="K2134" i="20"/>
  <c r="M2134" i="20" s="1"/>
  <c r="AC2134" i="20" s="1"/>
  <c r="J2134" i="20"/>
  <c r="AA2133" i="20"/>
  <c r="Y2133" i="20"/>
  <c r="X2133" i="20"/>
  <c r="W2133" i="20"/>
  <c r="V2133" i="20"/>
  <c r="U2133" i="20"/>
  <c r="S2133" i="20"/>
  <c r="O2133" i="20"/>
  <c r="K2133" i="20"/>
  <c r="J2133" i="20"/>
  <c r="AA2132" i="20"/>
  <c r="Y2132" i="20"/>
  <c r="X2132" i="20"/>
  <c r="V2132" i="20"/>
  <c r="W2132" i="20" s="1"/>
  <c r="U2132" i="20"/>
  <c r="S2132" i="20"/>
  <c r="O2132" i="20"/>
  <c r="K2132" i="20"/>
  <c r="L2132" i="20" s="1"/>
  <c r="AB2132" i="20" s="1"/>
  <c r="J2132" i="20"/>
  <c r="AC2131" i="20"/>
  <c r="AB2131" i="20"/>
  <c r="AA2131" i="20"/>
  <c r="V2131" i="20"/>
  <c r="W2131" i="20" s="1"/>
  <c r="X2131" i="20" s="1"/>
  <c r="U2131" i="20"/>
  <c r="S2131" i="20"/>
  <c r="O2131" i="20"/>
  <c r="N2131" i="20"/>
  <c r="L2131" i="20"/>
  <c r="P2131" i="20" s="1"/>
  <c r="K2131" i="20"/>
  <c r="M2131" i="20" s="1"/>
  <c r="Q2131" i="20" s="1"/>
  <c r="J2131" i="20"/>
  <c r="AA2130" i="20"/>
  <c r="Y2130" i="20"/>
  <c r="X2130" i="20"/>
  <c r="W2130" i="20"/>
  <c r="V2130" i="20"/>
  <c r="U2130" i="20"/>
  <c r="S2130" i="20"/>
  <c r="Q2130" i="20"/>
  <c r="O2130" i="20"/>
  <c r="K2130" i="20"/>
  <c r="M2130" i="20" s="1"/>
  <c r="AC2130" i="20" s="1"/>
  <c r="J2130" i="20"/>
  <c r="AA2129" i="20"/>
  <c r="W2129" i="20"/>
  <c r="X2129" i="20" s="1"/>
  <c r="V2129" i="20"/>
  <c r="U2129" i="20"/>
  <c r="S2129" i="20"/>
  <c r="O2129" i="20"/>
  <c r="K2129" i="20"/>
  <c r="J2129" i="20"/>
  <c r="AA2128" i="20"/>
  <c r="Y2128" i="20"/>
  <c r="W2128" i="20"/>
  <c r="X2128" i="20" s="1"/>
  <c r="V2128" i="20"/>
  <c r="U2128" i="20"/>
  <c r="S2128" i="20"/>
  <c r="O2128" i="20"/>
  <c r="K2128" i="20"/>
  <c r="J2128" i="20"/>
  <c r="AA2127" i="20"/>
  <c r="V2127" i="20"/>
  <c r="W2127" i="20" s="1"/>
  <c r="X2127" i="20" s="1"/>
  <c r="U2127" i="20"/>
  <c r="S2127" i="20"/>
  <c r="P2127" i="20"/>
  <c r="O2127" i="20"/>
  <c r="M2127" i="20"/>
  <c r="Q2127" i="20" s="1"/>
  <c r="L2127" i="20"/>
  <c r="K2127" i="20"/>
  <c r="J2127" i="20"/>
  <c r="AA2126" i="20"/>
  <c r="Y2126" i="20"/>
  <c r="X2126" i="20"/>
  <c r="V2126" i="20"/>
  <c r="W2126" i="20" s="1"/>
  <c r="U2126" i="20"/>
  <c r="S2126" i="20"/>
  <c r="O2126" i="20"/>
  <c r="M2126" i="20"/>
  <c r="L2126" i="20"/>
  <c r="AB2126" i="20" s="1"/>
  <c r="K2126" i="20"/>
  <c r="J2126" i="20"/>
  <c r="AA2125" i="20"/>
  <c r="V2125" i="20"/>
  <c r="W2125" i="20" s="1"/>
  <c r="X2125" i="20" s="1"/>
  <c r="Y2125" i="20" s="1"/>
  <c r="U2125" i="20"/>
  <c r="S2125" i="20"/>
  <c r="O2125" i="20"/>
  <c r="M2125" i="20"/>
  <c r="K2125" i="20"/>
  <c r="L2125" i="20" s="1"/>
  <c r="J2125" i="20"/>
  <c r="AC2124" i="20"/>
  <c r="AA2124" i="20"/>
  <c r="V2124" i="20"/>
  <c r="W2124" i="20" s="1"/>
  <c r="X2124" i="20" s="1"/>
  <c r="U2124" i="20"/>
  <c r="S2124" i="20"/>
  <c r="O2124" i="20"/>
  <c r="M2124" i="20"/>
  <c r="Q2124" i="20" s="1"/>
  <c r="L2124" i="20"/>
  <c r="K2124" i="20"/>
  <c r="J2124" i="20"/>
  <c r="AA2123" i="20"/>
  <c r="W2123" i="20"/>
  <c r="X2123" i="20" s="1"/>
  <c r="V2123" i="20"/>
  <c r="U2123" i="20"/>
  <c r="S2123" i="20"/>
  <c r="O2123" i="20"/>
  <c r="K2123" i="20"/>
  <c r="J2123" i="20"/>
  <c r="AA2122" i="20"/>
  <c r="W2122" i="20"/>
  <c r="X2122" i="20" s="1"/>
  <c r="V2122" i="20"/>
  <c r="U2122" i="20"/>
  <c r="S2122" i="20"/>
  <c r="O2122" i="20"/>
  <c r="M2122" i="20"/>
  <c r="L2122" i="20"/>
  <c r="AB2122" i="20" s="1"/>
  <c r="K2122" i="20"/>
  <c r="J2122" i="20"/>
  <c r="AA2121" i="20"/>
  <c r="V2121" i="20"/>
  <c r="W2121" i="20" s="1"/>
  <c r="X2121" i="20" s="1"/>
  <c r="U2121" i="20"/>
  <c r="S2121" i="20"/>
  <c r="O2121" i="20"/>
  <c r="K2121" i="20"/>
  <c r="J2121" i="20"/>
  <c r="AA2120" i="20"/>
  <c r="V2120" i="20"/>
  <c r="W2120" i="20" s="1"/>
  <c r="X2120" i="20" s="1"/>
  <c r="U2120" i="20"/>
  <c r="S2120" i="20"/>
  <c r="O2120" i="20"/>
  <c r="K2120" i="20"/>
  <c r="M2120" i="20" s="1"/>
  <c r="J2120" i="20"/>
  <c r="AA2119" i="20"/>
  <c r="Y2119" i="20"/>
  <c r="X2119" i="20"/>
  <c r="W2119" i="20"/>
  <c r="V2119" i="20"/>
  <c r="U2119" i="20"/>
  <c r="S2119" i="20"/>
  <c r="O2119" i="20"/>
  <c r="K2119" i="20"/>
  <c r="J2119" i="20"/>
  <c r="AA2118" i="20"/>
  <c r="V2118" i="20"/>
  <c r="W2118" i="20" s="1"/>
  <c r="X2118" i="20" s="1"/>
  <c r="U2118" i="20"/>
  <c r="S2118" i="20"/>
  <c r="O2118" i="20"/>
  <c r="M2118" i="20"/>
  <c r="L2118" i="20"/>
  <c r="K2118" i="20"/>
  <c r="J2118" i="20"/>
  <c r="AC2117" i="20"/>
  <c r="AA2117" i="20"/>
  <c r="W2117" i="20"/>
  <c r="X2117" i="20" s="1"/>
  <c r="V2117" i="20"/>
  <c r="U2117" i="20"/>
  <c r="S2117" i="20"/>
  <c r="O2117" i="20"/>
  <c r="M2117" i="20"/>
  <c r="Q2117" i="20" s="1"/>
  <c r="L2117" i="20"/>
  <c r="K2117" i="20"/>
  <c r="J2117" i="20"/>
  <c r="AB2116" i="20"/>
  <c r="AA2116" i="20"/>
  <c r="W2116" i="20"/>
  <c r="X2116" i="20" s="1"/>
  <c r="V2116" i="20"/>
  <c r="U2116" i="20"/>
  <c r="S2116" i="20"/>
  <c r="P2116" i="20"/>
  <c r="O2116" i="20"/>
  <c r="M2116" i="20"/>
  <c r="L2116" i="20"/>
  <c r="K2116" i="20"/>
  <c r="J2116" i="20"/>
  <c r="AC2115" i="20"/>
  <c r="AB2115" i="20"/>
  <c r="AA2115" i="20"/>
  <c r="X2115" i="20"/>
  <c r="W2115" i="20"/>
  <c r="V2115" i="20"/>
  <c r="U2115" i="20"/>
  <c r="S2115" i="20"/>
  <c r="O2115" i="20"/>
  <c r="N2115" i="20"/>
  <c r="L2115" i="20"/>
  <c r="P2115" i="20" s="1"/>
  <c r="K2115" i="20"/>
  <c r="M2115" i="20" s="1"/>
  <c r="Q2115" i="20" s="1"/>
  <c r="J2115" i="20"/>
  <c r="AA2114" i="20"/>
  <c r="V2114" i="20"/>
  <c r="W2114" i="20" s="1"/>
  <c r="X2114" i="20" s="1"/>
  <c r="U2114" i="20"/>
  <c r="S2114" i="20"/>
  <c r="O2114" i="20"/>
  <c r="L2114" i="20"/>
  <c r="K2114" i="20"/>
  <c r="M2114" i="20" s="1"/>
  <c r="Q2114" i="20" s="1"/>
  <c r="J2114" i="20"/>
  <c r="AC2113" i="20"/>
  <c r="AA2113" i="20"/>
  <c r="Y2113" i="20"/>
  <c r="V2113" i="20"/>
  <c r="W2113" i="20" s="1"/>
  <c r="X2113" i="20" s="1"/>
  <c r="U2113" i="20"/>
  <c r="S2113" i="20"/>
  <c r="Q2113" i="20"/>
  <c r="P2113" i="20"/>
  <c r="O2113" i="20"/>
  <c r="L2113" i="20"/>
  <c r="AB2113" i="20" s="1"/>
  <c r="K2113" i="20"/>
  <c r="M2113" i="20" s="1"/>
  <c r="J2113" i="20"/>
  <c r="AA2112" i="20"/>
  <c r="X2112" i="20"/>
  <c r="W2112" i="20"/>
  <c r="V2112" i="20"/>
  <c r="S2112" i="20"/>
  <c r="Q2112" i="20"/>
  <c r="N2112" i="20"/>
  <c r="O2112" i="20" s="1"/>
  <c r="M2112" i="20"/>
  <c r="AC2112" i="20" s="1"/>
  <c r="L2112" i="20"/>
  <c r="AB2112" i="20" s="1"/>
  <c r="K2112" i="20"/>
  <c r="AC2111" i="20"/>
  <c r="AB2111" i="20"/>
  <c r="AA2111" i="20"/>
  <c r="W2111" i="20"/>
  <c r="X2111" i="20" s="1"/>
  <c r="V2111" i="20"/>
  <c r="S2111" i="20"/>
  <c r="Q2111" i="20"/>
  <c r="P2111" i="20"/>
  <c r="M2111" i="20"/>
  <c r="L2111" i="20"/>
  <c r="K2111" i="20"/>
  <c r="AA2110" i="20"/>
  <c r="V2110" i="20"/>
  <c r="W2110" i="20" s="1"/>
  <c r="X2110" i="20" s="1"/>
  <c r="S2110" i="20"/>
  <c r="K2110" i="20"/>
  <c r="AC2109" i="20"/>
  <c r="AA2109" i="20"/>
  <c r="AB2109" i="20" s="1"/>
  <c r="Y2109" i="20"/>
  <c r="V2109" i="20"/>
  <c r="W2109" i="20" s="1"/>
  <c r="X2109" i="20" s="1"/>
  <c r="S2109" i="20"/>
  <c r="Q2109" i="20"/>
  <c r="O2109" i="20"/>
  <c r="M2109" i="20"/>
  <c r="L2109" i="20"/>
  <c r="N2109" i="20" s="1"/>
  <c r="K2109" i="20"/>
  <c r="AA2108" i="20"/>
  <c r="X2108" i="20"/>
  <c r="V2108" i="20"/>
  <c r="W2108" i="20" s="1"/>
  <c r="S2108" i="20"/>
  <c r="K2108" i="20"/>
  <c r="AC2107" i="20"/>
  <c r="AB2107" i="20"/>
  <c r="AA2107" i="20"/>
  <c r="Y2107" i="20"/>
  <c r="V2107" i="20"/>
  <c r="W2107" i="20" s="1"/>
  <c r="X2107" i="20" s="1"/>
  <c r="S2107" i="20"/>
  <c r="L2107" i="20"/>
  <c r="K2107" i="20"/>
  <c r="M2107" i="20" s="1"/>
  <c r="Q2107" i="20" s="1"/>
  <c r="AC2106" i="20"/>
  <c r="AA2106" i="20"/>
  <c r="V2106" i="20"/>
  <c r="W2106" i="20" s="1"/>
  <c r="X2106" i="20" s="1"/>
  <c r="S2106" i="20"/>
  <c r="Q2106" i="20"/>
  <c r="M2106" i="20"/>
  <c r="N2106" i="20" s="1"/>
  <c r="O2106" i="20" s="1"/>
  <c r="L2106" i="20"/>
  <c r="K2106" i="20"/>
  <c r="AA2105" i="20"/>
  <c r="W2105" i="20"/>
  <c r="X2105" i="20" s="1"/>
  <c r="V2105" i="20"/>
  <c r="S2105" i="20"/>
  <c r="M2105" i="20"/>
  <c r="L2105" i="20"/>
  <c r="K2105" i="20"/>
  <c r="AA2104" i="20"/>
  <c r="X2104" i="20"/>
  <c r="V2104" i="20"/>
  <c r="W2104" i="20" s="1"/>
  <c r="S2104" i="20"/>
  <c r="K2104" i="20"/>
  <c r="AC2103" i="20"/>
  <c r="AA2103" i="20"/>
  <c r="V2103" i="20"/>
  <c r="W2103" i="20" s="1"/>
  <c r="X2103" i="20" s="1"/>
  <c r="S2103" i="20"/>
  <c r="M2103" i="20"/>
  <c r="Q2103" i="20" s="1"/>
  <c r="L2103" i="20"/>
  <c r="K2103" i="20"/>
  <c r="AB2102" i="20"/>
  <c r="AA2102" i="20"/>
  <c r="V2102" i="20"/>
  <c r="W2102" i="20" s="1"/>
  <c r="X2102" i="20" s="1"/>
  <c r="S2102" i="20"/>
  <c r="P2102" i="20"/>
  <c r="N2102" i="20"/>
  <c r="O2102" i="20" s="1"/>
  <c r="M2102" i="20"/>
  <c r="L2102" i="20"/>
  <c r="K2102" i="20"/>
  <c r="AC2101" i="20"/>
  <c r="AA2101" i="20"/>
  <c r="W2101" i="20"/>
  <c r="X2101" i="20" s="1"/>
  <c r="V2101" i="20"/>
  <c r="S2101" i="20"/>
  <c r="M2101" i="20"/>
  <c r="Q2101" i="20" s="1"/>
  <c r="L2101" i="20"/>
  <c r="K2101" i="20"/>
  <c r="AA2100" i="20"/>
  <c r="V2100" i="20"/>
  <c r="W2100" i="20" s="1"/>
  <c r="X2100" i="20" s="1"/>
  <c r="S2100" i="20"/>
  <c r="K2100" i="20"/>
  <c r="M2100" i="20" s="1"/>
  <c r="AA2099" i="20"/>
  <c r="W2099" i="20"/>
  <c r="X2099" i="20" s="1"/>
  <c r="V2099" i="20"/>
  <c r="S2099" i="20"/>
  <c r="Q2099" i="20"/>
  <c r="M2099" i="20"/>
  <c r="AC2099" i="20" s="1"/>
  <c r="L2099" i="20"/>
  <c r="AB2099" i="20" s="1"/>
  <c r="K2099" i="20"/>
  <c r="AA2098" i="20"/>
  <c r="Y2098" i="20"/>
  <c r="V2098" i="20"/>
  <c r="W2098" i="20" s="1"/>
  <c r="X2098" i="20" s="1"/>
  <c r="S2098" i="20"/>
  <c r="M2098" i="20"/>
  <c r="AC2098" i="20" s="1"/>
  <c r="L2098" i="20"/>
  <c r="K2098" i="20"/>
  <c r="AA2097" i="20"/>
  <c r="V2097" i="20"/>
  <c r="W2097" i="20" s="1"/>
  <c r="X2097" i="20" s="1"/>
  <c r="S2097" i="20"/>
  <c r="L2097" i="20"/>
  <c r="AB2097" i="20" s="1"/>
  <c r="K2097" i="20"/>
  <c r="M2097" i="20" s="1"/>
  <c r="AA2096" i="20"/>
  <c r="X2096" i="20"/>
  <c r="W2096" i="20"/>
  <c r="V2096" i="20"/>
  <c r="S2096" i="20"/>
  <c r="K2096" i="20"/>
  <c r="M2096" i="20" s="1"/>
  <c r="AA2095" i="20"/>
  <c r="Y2095" i="20"/>
  <c r="V2095" i="20"/>
  <c r="W2095" i="20" s="1"/>
  <c r="X2095" i="20" s="1"/>
  <c r="S2095" i="20"/>
  <c r="K2095" i="20"/>
  <c r="AA2094" i="20"/>
  <c r="X2094" i="20"/>
  <c r="W2094" i="20"/>
  <c r="V2094" i="20"/>
  <c r="S2094" i="20"/>
  <c r="K2094" i="20"/>
  <c r="AA2093" i="20"/>
  <c r="W2093" i="20"/>
  <c r="X2093" i="20" s="1"/>
  <c r="Y2093" i="20" s="1"/>
  <c r="V2093" i="20"/>
  <c r="S2093" i="20"/>
  <c r="K2093" i="20"/>
  <c r="AC2092" i="20"/>
  <c r="AA2092" i="20"/>
  <c r="V2092" i="20"/>
  <c r="W2092" i="20" s="1"/>
  <c r="X2092" i="20" s="1"/>
  <c r="Y2092" i="20" s="1"/>
  <c r="S2092" i="20"/>
  <c r="K2092" i="20"/>
  <c r="M2092" i="20" s="1"/>
  <c r="Q2092" i="20" s="1"/>
  <c r="AA2091" i="20"/>
  <c r="V2091" i="20"/>
  <c r="W2091" i="20" s="1"/>
  <c r="X2091" i="20" s="1"/>
  <c r="S2091" i="20"/>
  <c r="K2091" i="20"/>
  <c r="M2091" i="20" s="1"/>
  <c r="AC2091" i="20" s="1"/>
  <c r="AC2090" i="20"/>
  <c r="AB2090" i="20"/>
  <c r="AA2090" i="20"/>
  <c r="W2090" i="20"/>
  <c r="X2090" i="20" s="1"/>
  <c r="V2090" i="20"/>
  <c r="S2090" i="20"/>
  <c r="Q2090" i="20"/>
  <c r="P2090" i="20"/>
  <c r="M2090" i="20"/>
  <c r="L2090" i="20"/>
  <c r="N2090" i="20" s="1"/>
  <c r="O2090" i="20" s="1"/>
  <c r="K2090" i="20"/>
  <c r="AA2089" i="20"/>
  <c r="W2089" i="20"/>
  <c r="X2089" i="20" s="1"/>
  <c r="V2089" i="20"/>
  <c r="S2089" i="20"/>
  <c r="K2089" i="20"/>
  <c r="AA2088" i="20"/>
  <c r="AB2088" i="20" s="1"/>
  <c r="W2088" i="20"/>
  <c r="X2088" i="20" s="1"/>
  <c r="Y2088" i="20" s="1"/>
  <c r="V2088" i="20"/>
  <c r="S2088" i="20"/>
  <c r="M2088" i="20"/>
  <c r="AC2088" i="20" s="1"/>
  <c r="L2088" i="20"/>
  <c r="K2088" i="20"/>
  <c r="AA2087" i="20"/>
  <c r="X2087" i="20"/>
  <c r="W2087" i="20"/>
  <c r="V2087" i="20"/>
  <c r="S2087" i="20"/>
  <c r="K2087" i="20"/>
  <c r="M2087" i="20" s="1"/>
  <c r="AC2087" i="20" s="1"/>
  <c r="AB2086" i="20"/>
  <c r="AA2086" i="20"/>
  <c r="W2086" i="20"/>
  <c r="X2086" i="20" s="1"/>
  <c r="V2086" i="20"/>
  <c r="S2086" i="20"/>
  <c r="P2086" i="20"/>
  <c r="M2086" i="20"/>
  <c r="K2086" i="20"/>
  <c r="L2086" i="20" s="1"/>
  <c r="AA2085" i="20"/>
  <c r="V2085" i="20"/>
  <c r="W2085" i="20" s="1"/>
  <c r="X2085" i="20" s="1"/>
  <c r="Y2085" i="20" s="1"/>
  <c r="S2085" i="20"/>
  <c r="Q2085" i="20"/>
  <c r="M2085" i="20"/>
  <c r="AC2085" i="20" s="1"/>
  <c r="L2085" i="20"/>
  <c r="AB2085" i="20" s="1"/>
  <c r="K2085" i="20"/>
  <c r="AA2084" i="20"/>
  <c r="X2084" i="20"/>
  <c r="W2084" i="20"/>
  <c r="V2084" i="20"/>
  <c r="S2084" i="20"/>
  <c r="M2084" i="20"/>
  <c r="L2084" i="20"/>
  <c r="AB2084" i="20" s="1"/>
  <c r="K2084" i="20"/>
  <c r="AC2083" i="20"/>
  <c r="AA2083" i="20"/>
  <c r="AB2083" i="20" s="1"/>
  <c r="Y2083" i="20"/>
  <c r="W2083" i="20"/>
  <c r="X2083" i="20" s="1"/>
  <c r="V2083" i="20"/>
  <c r="S2083" i="20"/>
  <c r="Q2083" i="20"/>
  <c r="M2083" i="20"/>
  <c r="K2083" i="20"/>
  <c r="L2083" i="20" s="1"/>
  <c r="N2083" i="20" s="1"/>
  <c r="O2083" i="20" s="1"/>
  <c r="AC2082" i="20"/>
  <c r="AB2082" i="20"/>
  <c r="AA2082" i="20"/>
  <c r="W2082" i="20"/>
  <c r="X2082" i="20" s="1"/>
  <c r="V2082" i="20"/>
  <c r="S2082" i="20"/>
  <c r="L2082" i="20"/>
  <c r="K2082" i="20"/>
  <c r="M2082" i="20" s="1"/>
  <c r="Q2082" i="20" s="1"/>
  <c r="AC2081" i="20"/>
  <c r="AA2081" i="20"/>
  <c r="W2081" i="20"/>
  <c r="X2081" i="20" s="1"/>
  <c r="V2081" i="20"/>
  <c r="S2081" i="20"/>
  <c r="M2081" i="20"/>
  <c r="Q2081" i="20" s="1"/>
  <c r="L2081" i="20"/>
  <c r="K2081" i="20"/>
  <c r="AC2080" i="20"/>
  <c r="AA2080" i="20"/>
  <c r="W2080" i="20"/>
  <c r="X2080" i="20" s="1"/>
  <c r="V2080" i="20"/>
  <c r="S2080" i="20"/>
  <c r="Q2080" i="20"/>
  <c r="K2080" i="20"/>
  <c r="M2080" i="20" s="1"/>
  <c r="AA2079" i="20"/>
  <c r="V2079" i="20"/>
  <c r="W2079" i="20" s="1"/>
  <c r="X2079" i="20" s="1"/>
  <c r="Y2079" i="20" s="1"/>
  <c r="S2079" i="20"/>
  <c r="K2079" i="20"/>
  <c r="AC2078" i="20"/>
  <c r="AA2078" i="20"/>
  <c r="V2078" i="20"/>
  <c r="W2078" i="20" s="1"/>
  <c r="X2078" i="20" s="1"/>
  <c r="S2078" i="20"/>
  <c r="Q2078" i="20"/>
  <c r="K2078" i="20"/>
  <c r="M2078" i="20" s="1"/>
  <c r="AA2077" i="20"/>
  <c r="W2077" i="20"/>
  <c r="X2077" i="20" s="1"/>
  <c r="V2077" i="20"/>
  <c r="S2077" i="20"/>
  <c r="N2077" i="20"/>
  <c r="O2077" i="20" s="1"/>
  <c r="L2077" i="20"/>
  <c r="K2077" i="20"/>
  <c r="M2077" i="20" s="1"/>
  <c r="AA2076" i="20"/>
  <c r="W2076" i="20"/>
  <c r="X2076" i="20" s="1"/>
  <c r="V2076" i="20"/>
  <c r="S2076" i="20"/>
  <c r="K2076" i="20"/>
  <c r="M2076" i="20" s="1"/>
  <c r="AA2075" i="20"/>
  <c r="W2075" i="20"/>
  <c r="X2075" i="20" s="1"/>
  <c r="V2075" i="20"/>
  <c r="S2075" i="20"/>
  <c r="L2075" i="20"/>
  <c r="K2075" i="20"/>
  <c r="M2075" i="20" s="1"/>
  <c r="AC2074" i="20"/>
  <c r="AA2074" i="20"/>
  <c r="X2074" i="20"/>
  <c r="W2074" i="20"/>
  <c r="V2074" i="20"/>
  <c r="S2074" i="20"/>
  <c r="K2074" i="20"/>
  <c r="M2074" i="20" s="1"/>
  <c r="Q2074" i="20" s="1"/>
  <c r="AA2073" i="20"/>
  <c r="V2073" i="20"/>
  <c r="W2073" i="20" s="1"/>
  <c r="X2073" i="20" s="1"/>
  <c r="S2073" i="20"/>
  <c r="M2073" i="20"/>
  <c r="AC2073" i="20" s="1"/>
  <c r="L2073" i="20"/>
  <c r="K2073" i="20"/>
  <c r="AA2072" i="20"/>
  <c r="W2072" i="20"/>
  <c r="X2072" i="20" s="1"/>
  <c r="V2072" i="20"/>
  <c r="S2072" i="20"/>
  <c r="Q2072" i="20"/>
  <c r="P2072" i="20"/>
  <c r="L2072" i="20"/>
  <c r="AB2072" i="20" s="1"/>
  <c r="K2072" i="20"/>
  <c r="M2072" i="20" s="1"/>
  <c r="AC2072" i="20" s="1"/>
  <c r="AA2071" i="20"/>
  <c r="V2071" i="20"/>
  <c r="W2071" i="20" s="1"/>
  <c r="X2071" i="20" s="1"/>
  <c r="S2071" i="20"/>
  <c r="Q2071" i="20"/>
  <c r="L2071" i="20"/>
  <c r="K2071" i="20"/>
  <c r="M2071" i="20" s="1"/>
  <c r="AC2071" i="20" s="1"/>
  <c r="AA2070" i="20"/>
  <c r="V2070" i="20"/>
  <c r="W2070" i="20" s="1"/>
  <c r="X2070" i="20" s="1"/>
  <c r="S2070" i="20"/>
  <c r="M2070" i="20"/>
  <c r="L2070" i="20"/>
  <c r="K2070" i="20"/>
  <c r="AA2069" i="20"/>
  <c r="X2069" i="20"/>
  <c r="W2069" i="20"/>
  <c r="V2069" i="20"/>
  <c r="S2069" i="20"/>
  <c r="K2069" i="20"/>
  <c r="AA2068" i="20"/>
  <c r="W2068" i="20"/>
  <c r="X2068" i="20" s="1"/>
  <c r="V2068" i="20"/>
  <c r="S2068" i="20"/>
  <c r="K2068" i="20"/>
  <c r="M2068" i="20" s="1"/>
  <c r="Q2068" i="20" s="1"/>
  <c r="AA2067" i="20"/>
  <c r="W2067" i="20"/>
  <c r="X2067" i="20" s="1"/>
  <c r="V2067" i="20"/>
  <c r="S2067" i="20"/>
  <c r="P2067" i="20"/>
  <c r="M2067" i="20"/>
  <c r="AC2067" i="20" s="1"/>
  <c r="L2067" i="20"/>
  <c r="AB2067" i="20" s="1"/>
  <c r="K2067" i="20"/>
  <c r="AA2066" i="20"/>
  <c r="V2066" i="20"/>
  <c r="W2066" i="20" s="1"/>
  <c r="X2066" i="20" s="1"/>
  <c r="S2066" i="20"/>
  <c r="K2066" i="20"/>
  <c r="AA2065" i="20"/>
  <c r="V2065" i="20"/>
  <c r="W2065" i="20" s="1"/>
  <c r="X2065" i="20" s="1"/>
  <c r="S2065" i="20"/>
  <c r="Q2065" i="20"/>
  <c r="M2065" i="20"/>
  <c r="AC2065" i="20" s="1"/>
  <c r="L2065" i="20"/>
  <c r="K2065" i="20"/>
  <c r="AA2064" i="20"/>
  <c r="V2064" i="20"/>
  <c r="W2064" i="20" s="1"/>
  <c r="X2064" i="20" s="1"/>
  <c r="S2064" i="20"/>
  <c r="Q2064" i="20"/>
  <c r="M2064" i="20"/>
  <c r="AC2064" i="20" s="1"/>
  <c r="K2064" i="20"/>
  <c r="L2064" i="20" s="1"/>
  <c r="AA2063" i="20"/>
  <c r="V2063" i="20"/>
  <c r="W2063" i="20" s="1"/>
  <c r="X2063" i="20" s="1"/>
  <c r="S2063" i="20"/>
  <c r="K2063" i="20"/>
  <c r="M2063" i="20" s="1"/>
  <c r="AA2062" i="20"/>
  <c r="V2062" i="20"/>
  <c r="W2062" i="20" s="1"/>
  <c r="X2062" i="20" s="1"/>
  <c r="S2062" i="20"/>
  <c r="M2062" i="20"/>
  <c r="L2062" i="20"/>
  <c r="K2062" i="20"/>
  <c r="AC2061" i="20"/>
  <c r="AB2061" i="20"/>
  <c r="AA2061" i="20"/>
  <c r="V2061" i="20"/>
  <c r="W2061" i="20" s="1"/>
  <c r="X2061" i="20" s="1"/>
  <c r="S2061" i="20"/>
  <c r="M2061" i="20"/>
  <c r="Q2061" i="20" s="1"/>
  <c r="K2061" i="20"/>
  <c r="L2061" i="20" s="1"/>
  <c r="AA2060" i="20"/>
  <c r="W2060" i="20"/>
  <c r="X2060" i="20" s="1"/>
  <c r="V2060" i="20"/>
  <c r="S2060" i="20"/>
  <c r="K2060" i="20"/>
  <c r="L2060" i="20" s="1"/>
  <c r="AB2060" i="20" s="1"/>
  <c r="AA2059" i="20"/>
  <c r="Y2059" i="20"/>
  <c r="X2059" i="20"/>
  <c r="W2059" i="20"/>
  <c r="V2059" i="20"/>
  <c r="S2059" i="20"/>
  <c r="K2059" i="20"/>
  <c r="M2059" i="20" s="1"/>
  <c r="AA2058" i="20"/>
  <c r="V2058" i="20"/>
  <c r="W2058" i="20" s="1"/>
  <c r="X2058" i="20" s="1"/>
  <c r="S2058" i="20"/>
  <c r="K2058" i="20"/>
  <c r="M2058" i="20" s="1"/>
  <c r="AC2058" i="20" s="1"/>
  <c r="AA2057" i="20"/>
  <c r="V2057" i="20"/>
  <c r="W2057" i="20" s="1"/>
  <c r="X2057" i="20" s="1"/>
  <c r="S2057" i="20"/>
  <c r="Q2057" i="20"/>
  <c r="M2057" i="20"/>
  <c r="AC2057" i="20" s="1"/>
  <c r="L2057" i="20"/>
  <c r="K2057" i="20"/>
  <c r="AA2056" i="20"/>
  <c r="AB2056" i="20" s="1"/>
  <c r="W2056" i="20"/>
  <c r="X2056" i="20" s="1"/>
  <c r="V2056" i="20"/>
  <c r="S2056" i="20"/>
  <c r="Q2056" i="20"/>
  <c r="O2056" i="20"/>
  <c r="N2056" i="20"/>
  <c r="M2056" i="20"/>
  <c r="AC2056" i="20" s="1"/>
  <c r="L2056" i="20"/>
  <c r="K2056" i="20"/>
  <c r="AA2055" i="20"/>
  <c r="W2055" i="20"/>
  <c r="X2055" i="20" s="1"/>
  <c r="V2055" i="20"/>
  <c r="S2055" i="20"/>
  <c r="M2055" i="20"/>
  <c r="AC2055" i="20" s="1"/>
  <c r="L2055" i="20"/>
  <c r="K2055" i="20"/>
  <c r="AA2054" i="20"/>
  <c r="W2054" i="20"/>
  <c r="X2054" i="20" s="1"/>
  <c r="Y2054" i="20" s="1"/>
  <c r="V2054" i="20"/>
  <c r="S2054" i="20"/>
  <c r="K2054" i="20"/>
  <c r="AA2053" i="20"/>
  <c r="V2053" i="20"/>
  <c r="W2053" i="20" s="1"/>
  <c r="X2053" i="20" s="1"/>
  <c r="S2053" i="20"/>
  <c r="K2053" i="20"/>
  <c r="M2053" i="20" s="1"/>
  <c r="AA2052" i="20"/>
  <c r="Y2052" i="20"/>
  <c r="V2052" i="20"/>
  <c r="W2052" i="20" s="1"/>
  <c r="X2052" i="20" s="1"/>
  <c r="S2052" i="20"/>
  <c r="L2052" i="20"/>
  <c r="P2052" i="20" s="1"/>
  <c r="K2052" i="20"/>
  <c r="M2052" i="20" s="1"/>
  <c r="Q2052" i="20" s="1"/>
  <c r="AA2051" i="20"/>
  <c r="V2051" i="20"/>
  <c r="W2051" i="20" s="1"/>
  <c r="X2051" i="20" s="1"/>
  <c r="S2051" i="20"/>
  <c r="K2051" i="20"/>
  <c r="AA2050" i="20"/>
  <c r="V2050" i="20"/>
  <c r="W2050" i="20" s="1"/>
  <c r="X2050" i="20" s="1"/>
  <c r="S2050" i="20"/>
  <c r="K2050" i="20"/>
  <c r="M2050" i="20" s="1"/>
  <c r="AA2049" i="20"/>
  <c r="V2049" i="20"/>
  <c r="W2049" i="20" s="1"/>
  <c r="X2049" i="20" s="1"/>
  <c r="S2049" i="20"/>
  <c r="M2049" i="20"/>
  <c r="K2049" i="20"/>
  <c r="L2049" i="20" s="1"/>
  <c r="AC2048" i="20"/>
  <c r="AA2048" i="20"/>
  <c r="W2048" i="20"/>
  <c r="X2048" i="20" s="1"/>
  <c r="V2048" i="20"/>
  <c r="S2048" i="20"/>
  <c r="M2048" i="20"/>
  <c r="Q2048" i="20" s="1"/>
  <c r="K2048" i="20"/>
  <c r="L2048" i="20" s="1"/>
  <c r="AA2047" i="20"/>
  <c r="V2047" i="20"/>
  <c r="W2047" i="20" s="1"/>
  <c r="X2047" i="20" s="1"/>
  <c r="Y2047" i="20" s="1"/>
  <c r="S2047" i="20"/>
  <c r="K2047" i="20"/>
  <c r="M2047" i="20" s="1"/>
  <c r="AA2046" i="20"/>
  <c r="V2046" i="20"/>
  <c r="W2046" i="20" s="1"/>
  <c r="X2046" i="20" s="1"/>
  <c r="U2046" i="20"/>
  <c r="S2046" i="20"/>
  <c r="Q2046" i="20"/>
  <c r="K88" i="2" s="1"/>
  <c r="P2046" i="20"/>
  <c r="M2046" i="20"/>
  <c r="AC2046" i="20" s="1"/>
  <c r="L2046" i="20"/>
  <c r="AB2046" i="20" s="1"/>
  <c r="K2046" i="20"/>
  <c r="AA2045" i="20"/>
  <c r="Z2045" i="20"/>
  <c r="W2045" i="20"/>
  <c r="X2045" i="20" s="1"/>
  <c r="Y2045" i="20" s="1"/>
  <c r="V2045" i="20"/>
  <c r="S2045" i="20"/>
  <c r="M2045" i="20"/>
  <c r="L2045" i="20"/>
  <c r="K2045" i="20"/>
  <c r="AA2044" i="20"/>
  <c r="W2044" i="20"/>
  <c r="X2044" i="20" s="1"/>
  <c r="V2044" i="20"/>
  <c r="S2044" i="20"/>
  <c r="L2044" i="20"/>
  <c r="K2044" i="20"/>
  <c r="M2044" i="20" s="1"/>
  <c r="AC2043" i="20"/>
  <c r="AB2043" i="20"/>
  <c r="AA2043" i="20"/>
  <c r="W2043" i="20"/>
  <c r="X2043" i="20" s="1"/>
  <c r="Y2043" i="20" s="1"/>
  <c r="V2043" i="20"/>
  <c r="S2043" i="20"/>
  <c r="Q2043" i="20"/>
  <c r="L2043" i="20"/>
  <c r="P2043" i="20" s="1"/>
  <c r="K2043" i="20"/>
  <c r="M2043" i="20" s="1"/>
  <c r="AA2042" i="20"/>
  <c r="W2042" i="20"/>
  <c r="X2042" i="20" s="1"/>
  <c r="Y2042" i="20" s="1"/>
  <c r="V2042" i="20"/>
  <c r="S2042" i="20"/>
  <c r="L2042" i="20"/>
  <c r="K2042" i="20"/>
  <c r="M2042" i="20" s="1"/>
  <c r="AB2041" i="20"/>
  <c r="AA2041" i="20"/>
  <c r="V2041" i="20"/>
  <c r="W2041" i="20" s="1"/>
  <c r="X2041" i="20" s="1"/>
  <c r="S2041" i="20"/>
  <c r="M2041" i="20"/>
  <c r="AC2041" i="20" s="1"/>
  <c r="L2041" i="20"/>
  <c r="K2041" i="20"/>
  <c r="AA2040" i="20"/>
  <c r="W2040" i="20"/>
  <c r="X2040" i="20" s="1"/>
  <c r="Y2040" i="20" s="1"/>
  <c r="V2040" i="20"/>
  <c r="S2040" i="20"/>
  <c r="N2040" i="20"/>
  <c r="O2040" i="20" s="1"/>
  <c r="M2040" i="20"/>
  <c r="AC2040" i="20" s="1"/>
  <c r="L2040" i="20"/>
  <c r="AB2040" i="20" s="1"/>
  <c r="K2040" i="20"/>
  <c r="AA2039" i="20"/>
  <c r="W2039" i="20"/>
  <c r="X2039" i="20" s="1"/>
  <c r="V2039" i="20"/>
  <c r="S2039" i="20"/>
  <c r="K2039" i="20"/>
  <c r="AA2038" i="20"/>
  <c r="X2038" i="20"/>
  <c r="W2038" i="20"/>
  <c r="V2038" i="20"/>
  <c r="S2038" i="20"/>
  <c r="K2038" i="20"/>
  <c r="M2038" i="20" s="1"/>
  <c r="AC2038" i="20" s="1"/>
  <c r="AC2037" i="20"/>
  <c r="AA2037" i="20"/>
  <c r="V2037" i="20"/>
  <c r="W2037" i="20" s="1"/>
  <c r="X2037" i="20" s="1"/>
  <c r="S2037" i="20"/>
  <c r="M2037" i="20"/>
  <c r="Q2037" i="20" s="1"/>
  <c r="K2037" i="20"/>
  <c r="L2037" i="20" s="1"/>
  <c r="AA2036" i="20"/>
  <c r="V2036" i="20"/>
  <c r="W2036" i="20" s="1"/>
  <c r="X2036" i="20" s="1"/>
  <c r="Y2036" i="20" s="1"/>
  <c r="S2036" i="20"/>
  <c r="K2036" i="20"/>
  <c r="AB2035" i="20"/>
  <c r="AA2035" i="20"/>
  <c r="Y2035" i="20"/>
  <c r="X2035" i="20"/>
  <c r="W2035" i="20"/>
  <c r="V2035" i="20"/>
  <c r="U2035" i="20"/>
  <c r="S2035" i="20"/>
  <c r="L2035" i="20"/>
  <c r="K2035" i="20"/>
  <c r="M2035" i="20" s="1"/>
  <c r="AA2034" i="20"/>
  <c r="V2034" i="20"/>
  <c r="W2034" i="20" s="1"/>
  <c r="X2034" i="20" s="1"/>
  <c r="U2034" i="20"/>
  <c r="S2034" i="20"/>
  <c r="K2034" i="20"/>
  <c r="AA2033" i="20"/>
  <c r="X2033" i="20"/>
  <c r="W2033" i="20"/>
  <c r="V2033" i="20"/>
  <c r="U2033" i="20"/>
  <c r="S2033" i="20"/>
  <c r="N2033" i="20"/>
  <c r="O2033" i="20" s="1"/>
  <c r="L2033" i="20"/>
  <c r="K2033" i="20"/>
  <c r="M2033" i="20" s="1"/>
  <c r="AA2032" i="20"/>
  <c r="V2032" i="20"/>
  <c r="W2032" i="20" s="1"/>
  <c r="X2032" i="20" s="1"/>
  <c r="Y2032" i="20" s="1"/>
  <c r="U2032" i="20"/>
  <c r="S2032" i="20"/>
  <c r="K2032" i="20"/>
  <c r="M2032" i="20" s="1"/>
  <c r="AC2032" i="20" s="1"/>
  <c r="AA2031" i="20"/>
  <c r="X2031" i="20"/>
  <c r="W2031" i="20"/>
  <c r="V2031" i="20"/>
  <c r="S2031" i="20"/>
  <c r="K2031" i="20"/>
  <c r="AA2030" i="20"/>
  <c r="W2030" i="20"/>
  <c r="X2030" i="20" s="1"/>
  <c r="V2030" i="20"/>
  <c r="S2030" i="20"/>
  <c r="M2030" i="20"/>
  <c r="L2030" i="20"/>
  <c r="K2030" i="20"/>
  <c r="AC2029" i="20"/>
  <c r="AA2029" i="20"/>
  <c r="X2029" i="20"/>
  <c r="W2029" i="20"/>
  <c r="V2029" i="20"/>
  <c r="S2029" i="20"/>
  <c r="Q2029" i="20"/>
  <c r="M2029" i="20"/>
  <c r="K2029" i="20"/>
  <c r="L2029" i="20" s="1"/>
  <c r="AA2028" i="20"/>
  <c r="V2028" i="20"/>
  <c r="W2028" i="20" s="1"/>
  <c r="X2028" i="20" s="1"/>
  <c r="S2028" i="20"/>
  <c r="Q2028" i="20"/>
  <c r="N2028" i="20"/>
  <c r="O2028" i="20" s="1"/>
  <c r="M2028" i="20"/>
  <c r="AC2028" i="20" s="1"/>
  <c r="K2028" i="20"/>
  <c r="L2028" i="20" s="1"/>
  <c r="AA2027" i="20"/>
  <c r="W2027" i="20"/>
  <c r="X2027" i="20" s="1"/>
  <c r="Y2027" i="20" s="1"/>
  <c r="V2027" i="20"/>
  <c r="S2027" i="20"/>
  <c r="N2027" i="20"/>
  <c r="O2027" i="20" s="1"/>
  <c r="L2027" i="20"/>
  <c r="K2027" i="20"/>
  <c r="M2027" i="20" s="1"/>
  <c r="AC2026" i="20"/>
  <c r="AA2026" i="20"/>
  <c r="V2026" i="20"/>
  <c r="W2026" i="20" s="1"/>
  <c r="X2026" i="20" s="1"/>
  <c r="S2026" i="20"/>
  <c r="M2026" i="20"/>
  <c r="Q2026" i="20" s="1"/>
  <c r="L2026" i="20"/>
  <c r="K2026" i="20"/>
  <c r="AA2025" i="20"/>
  <c r="W2025" i="20"/>
  <c r="X2025" i="20" s="1"/>
  <c r="Y2025" i="20" s="1"/>
  <c r="V2025" i="20"/>
  <c r="S2025" i="20"/>
  <c r="Q2025" i="20"/>
  <c r="M2025" i="20"/>
  <c r="AC2025" i="20" s="1"/>
  <c r="L2025" i="20"/>
  <c r="K2025" i="20"/>
  <c r="AC2024" i="20"/>
  <c r="AA2024" i="20"/>
  <c r="AB2024" i="20" s="1"/>
  <c r="V2024" i="20"/>
  <c r="W2024" i="20" s="1"/>
  <c r="X2024" i="20" s="1"/>
  <c r="S2024" i="20"/>
  <c r="Q2024" i="20"/>
  <c r="O2024" i="20"/>
  <c r="M2024" i="20"/>
  <c r="L2024" i="20"/>
  <c r="N2024" i="20" s="1"/>
  <c r="K2024" i="20"/>
  <c r="AA2023" i="20"/>
  <c r="V2023" i="20"/>
  <c r="W2023" i="20" s="1"/>
  <c r="X2023" i="20" s="1"/>
  <c r="U2023" i="20"/>
  <c r="S2023" i="20"/>
  <c r="P2023" i="20"/>
  <c r="J89" i="2" s="1"/>
  <c r="M2023" i="20"/>
  <c r="Q2023" i="20" s="1"/>
  <c r="L2023" i="20"/>
  <c r="K2023" i="20"/>
  <c r="AB2022" i="20"/>
  <c r="AA2022" i="20"/>
  <c r="X2022" i="20"/>
  <c r="Z2022" i="20" s="1"/>
  <c r="V2022" i="20"/>
  <c r="W2022" i="20" s="1"/>
  <c r="S2022" i="20"/>
  <c r="M2022" i="20"/>
  <c r="Q2022" i="20" s="1"/>
  <c r="L2022" i="20"/>
  <c r="K2022" i="20"/>
  <c r="AC2021" i="20"/>
  <c r="AA2021" i="20"/>
  <c r="W2021" i="20"/>
  <c r="X2021" i="20" s="1"/>
  <c r="V2021" i="20"/>
  <c r="S2021" i="20"/>
  <c r="M2021" i="20"/>
  <c r="L2021" i="20"/>
  <c r="AB2021" i="20" s="1"/>
  <c r="K2021" i="20"/>
  <c r="AA2020" i="20"/>
  <c r="Z2020" i="20"/>
  <c r="J2020" i="20" s="1"/>
  <c r="Y2020" i="20"/>
  <c r="V2020" i="20"/>
  <c r="W2020" i="20" s="1"/>
  <c r="X2020" i="20" s="1"/>
  <c r="U2020" i="20"/>
  <c r="S2020" i="20"/>
  <c r="P2020" i="20"/>
  <c r="M2020" i="20"/>
  <c r="L2020" i="20"/>
  <c r="AB2020" i="20" s="1"/>
  <c r="K2020" i="20"/>
  <c r="AA2019" i="20"/>
  <c r="V2019" i="20"/>
  <c r="W2019" i="20" s="1"/>
  <c r="X2019" i="20" s="1"/>
  <c r="U2019" i="20"/>
  <c r="S2019" i="20"/>
  <c r="M2019" i="20"/>
  <c r="AC2019" i="20" s="1"/>
  <c r="L2019" i="20"/>
  <c r="K2019" i="20"/>
  <c r="AA2018" i="20"/>
  <c r="V2018" i="20"/>
  <c r="W2018" i="20" s="1"/>
  <c r="X2018" i="20" s="1"/>
  <c r="U2018" i="20"/>
  <c r="S2018" i="20"/>
  <c r="N2018" i="20"/>
  <c r="O2018" i="20" s="1"/>
  <c r="M2018" i="20"/>
  <c r="AC2018" i="20" s="1"/>
  <c r="L2018" i="20"/>
  <c r="K2018" i="20"/>
  <c r="AA2017" i="20"/>
  <c r="Z2017" i="20"/>
  <c r="W2017" i="20"/>
  <c r="X2017" i="20" s="1"/>
  <c r="Y2017" i="20" s="1"/>
  <c r="V2017" i="20"/>
  <c r="S2017" i="20"/>
  <c r="M2017" i="20"/>
  <c r="L2017" i="20"/>
  <c r="K2017" i="20"/>
  <c r="AB2016" i="20"/>
  <c r="AA2016" i="20"/>
  <c r="W2016" i="20"/>
  <c r="X2016" i="20" s="1"/>
  <c r="V2016" i="20"/>
  <c r="S2016" i="20"/>
  <c r="Q2016" i="20"/>
  <c r="N2016" i="20"/>
  <c r="O2016" i="20" s="1"/>
  <c r="M2016" i="20"/>
  <c r="AC2016" i="20" s="1"/>
  <c r="L2016" i="20"/>
  <c r="K2016" i="20"/>
  <c r="AA2015" i="20"/>
  <c r="X2015" i="20"/>
  <c r="V2015" i="20"/>
  <c r="W2015" i="20" s="1"/>
  <c r="S2015" i="20"/>
  <c r="K2015" i="20"/>
  <c r="AA2014" i="20"/>
  <c r="Z2014" i="20"/>
  <c r="W2014" i="20"/>
  <c r="X2014" i="20" s="1"/>
  <c r="Y2014" i="20" s="1"/>
  <c r="V2014" i="20"/>
  <c r="S2014" i="20"/>
  <c r="K2014" i="20"/>
  <c r="M2014" i="20" s="1"/>
  <c r="AA2013" i="20"/>
  <c r="X2013" i="20"/>
  <c r="V2013" i="20"/>
  <c r="W2013" i="20" s="1"/>
  <c r="S2013" i="20"/>
  <c r="Q2013" i="20"/>
  <c r="N2013" i="20"/>
  <c r="O2013" i="20" s="1"/>
  <c r="L2013" i="20"/>
  <c r="K2013" i="20"/>
  <c r="M2013" i="20" s="1"/>
  <c r="AC2013" i="20" s="1"/>
  <c r="AC2012" i="20"/>
  <c r="AA2012" i="20"/>
  <c r="AB2012" i="20" s="1"/>
  <c r="X2012" i="20"/>
  <c r="W2012" i="20"/>
  <c r="V2012" i="20"/>
  <c r="S2012" i="20"/>
  <c r="Q2012" i="20"/>
  <c r="M2012" i="20"/>
  <c r="L2012" i="20"/>
  <c r="K2012" i="20"/>
  <c r="AA2011" i="20"/>
  <c r="V2011" i="20"/>
  <c r="W2011" i="20" s="1"/>
  <c r="X2011" i="20" s="1"/>
  <c r="Z2011" i="20" s="1"/>
  <c r="S2011" i="20"/>
  <c r="M2011" i="20"/>
  <c r="K2011" i="20"/>
  <c r="L2011" i="20" s="1"/>
  <c r="AB2011" i="20" s="1"/>
  <c r="AC2010" i="20"/>
  <c r="AA2010" i="20"/>
  <c r="Z2010" i="20"/>
  <c r="Y2010" i="20"/>
  <c r="X2010" i="20"/>
  <c r="W2010" i="20"/>
  <c r="V2010" i="20"/>
  <c r="S2010" i="20"/>
  <c r="Q2010" i="20"/>
  <c r="K2010" i="20"/>
  <c r="M2010" i="20" s="1"/>
  <c r="AA2009" i="20"/>
  <c r="Y2009" i="20"/>
  <c r="V2009" i="20"/>
  <c r="W2009" i="20" s="1"/>
  <c r="X2009" i="20" s="1"/>
  <c r="Z2009" i="20" s="1"/>
  <c r="S2009" i="20"/>
  <c r="K2009" i="20"/>
  <c r="L2009" i="20" s="1"/>
  <c r="AC2008" i="20"/>
  <c r="AA2008" i="20"/>
  <c r="Z2008" i="20"/>
  <c r="W2008" i="20"/>
  <c r="X2008" i="20" s="1"/>
  <c r="Y2008" i="20" s="1"/>
  <c r="V2008" i="20"/>
  <c r="S2008" i="20"/>
  <c r="Q2008" i="20"/>
  <c r="P2008" i="20"/>
  <c r="L2008" i="20"/>
  <c r="K2008" i="20"/>
  <c r="M2008" i="20" s="1"/>
  <c r="AA2007" i="20"/>
  <c r="V2007" i="20"/>
  <c r="W2007" i="20" s="1"/>
  <c r="X2007" i="20" s="1"/>
  <c r="S2007" i="20"/>
  <c r="L2007" i="20"/>
  <c r="K2007" i="20"/>
  <c r="M2007" i="20" s="1"/>
  <c r="AC2007" i="20" s="1"/>
  <c r="AC2006" i="20"/>
  <c r="AB2006" i="20"/>
  <c r="AA2006" i="20"/>
  <c r="V2006" i="20"/>
  <c r="W2006" i="20" s="1"/>
  <c r="X2006" i="20" s="1"/>
  <c r="S2006" i="20"/>
  <c r="N2006" i="20"/>
  <c r="O2006" i="20" s="1"/>
  <c r="M2006" i="20"/>
  <c r="Q2006" i="20" s="1"/>
  <c r="K2006" i="20"/>
  <c r="L2006" i="20" s="1"/>
  <c r="AA2005" i="20"/>
  <c r="Y2005" i="20"/>
  <c r="V2005" i="20"/>
  <c r="W2005" i="20" s="1"/>
  <c r="X2005" i="20" s="1"/>
  <c r="Z2005" i="20" s="1"/>
  <c r="S2005" i="20"/>
  <c r="M2005" i="20"/>
  <c r="L2005" i="20"/>
  <c r="K2005" i="20"/>
  <c r="AB2004" i="20"/>
  <c r="AA2004" i="20"/>
  <c r="X2004" i="20"/>
  <c r="Z2004" i="20" s="1"/>
  <c r="W2004" i="20"/>
  <c r="V2004" i="20"/>
  <c r="S2004" i="20"/>
  <c r="L2004" i="20"/>
  <c r="K2004" i="20"/>
  <c r="M2004" i="20" s="1"/>
  <c r="AC2004" i="20" s="1"/>
  <c r="AA2003" i="20"/>
  <c r="V2003" i="20"/>
  <c r="W2003" i="20" s="1"/>
  <c r="X2003" i="20" s="1"/>
  <c r="S2003" i="20"/>
  <c r="K2003" i="20"/>
  <c r="M2003" i="20" s="1"/>
  <c r="AA2002" i="20"/>
  <c r="X2002" i="20"/>
  <c r="W2002" i="20"/>
  <c r="V2002" i="20"/>
  <c r="S2002" i="20"/>
  <c r="K2002" i="20"/>
  <c r="AA2001" i="20"/>
  <c r="AB2001" i="20" s="1"/>
  <c r="X2001" i="20"/>
  <c r="V2001" i="20"/>
  <c r="W2001" i="20" s="1"/>
  <c r="S2001" i="20"/>
  <c r="M2001" i="20"/>
  <c r="AC2001" i="20" s="1"/>
  <c r="L2001" i="20"/>
  <c r="K2001" i="20"/>
  <c r="AA2000" i="20"/>
  <c r="AB2000" i="20" s="1"/>
  <c r="X2000" i="20"/>
  <c r="Z2000" i="20" s="1"/>
  <c r="W2000" i="20"/>
  <c r="V2000" i="20"/>
  <c r="S2000" i="20"/>
  <c r="K2000" i="20"/>
  <c r="L2000" i="20" s="1"/>
  <c r="AC1999" i="20"/>
  <c r="AB1999" i="20"/>
  <c r="AA1999" i="20"/>
  <c r="V1999" i="20"/>
  <c r="W1999" i="20" s="1"/>
  <c r="X1999" i="20" s="1"/>
  <c r="S1999" i="20"/>
  <c r="M1999" i="20"/>
  <c r="Q1999" i="20" s="1"/>
  <c r="L1999" i="20"/>
  <c r="K1999" i="20"/>
  <c r="AA1998" i="20"/>
  <c r="V1998" i="20"/>
  <c r="W1998" i="20" s="1"/>
  <c r="X1998" i="20" s="1"/>
  <c r="S1998" i="20"/>
  <c r="K1998" i="20"/>
  <c r="AA1997" i="20"/>
  <c r="AB1997" i="20" s="1"/>
  <c r="W1997" i="20"/>
  <c r="X1997" i="20" s="1"/>
  <c r="V1997" i="20"/>
  <c r="S1997" i="20"/>
  <c r="Q1997" i="20"/>
  <c r="M1997" i="20"/>
  <c r="AC1997" i="20" s="1"/>
  <c r="K1997" i="20"/>
  <c r="L1997" i="20" s="1"/>
  <c r="AA1996" i="20"/>
  <c r="V1996" i="20"/>
  <c r="W1996" i="20" s="1"/>
  <c r="X1996" i="20" s="1"/>
  <c r="S1996" i="20"/>
  <c r="K1996" i="20"/>
  <c r="M1996" i="20" s="1"/>
  <c r="AA1995" i="20"/>
  <c r="V1995" i="20"/>
  <c r="W1995" i="20" s="1"/>
  <c r="X1995" i="20" s="1"/>
  <c r="Z1995" i="20" s="1"/>
  <c r="S1995" i="20"/>
  <c r="M1995" i="20"/>
  <c r="L1995" i="20"/>
  <c r="K1995" i="20"/>
  <c r="AB1994" i="20"/>
  <c r="AA1994" i="20"/>
  <c r="V1994" i="20"/>
  <c r="W1994" i="20" s="1"/>
  <c r="X1994" i="20" s="1"/>
  <c r="Z1994" i="20" s="1"/>
  <c r="S1994" i="20"/>
  <c r="Q1994" i="20"/>
  <c r="N1994" i="20"/>
  <c r="O1994" i="20" s="1"/>
  <c r="M1994" i="20"/>
  <c r="AC1994" i="20" s="1"/>
  <c r="L1994" i="20"/>
  <c r="K1994" i="20"/>
  <c r="AA1993" i="20"/>
  <c r="V1993" i="20"/>
  <c r="W1993" i="20" s="1"/>
  <c r="X1993" i="20" s="1"/>
  <c r="S1993" i="20"/>
  <c r="N1993" i="20"/>
  <c r="O1993" i="20" s="1"/>
  <c r="M1993" i="20"/>
  <c r="L1993" i="20"/>
  <c r="AB1993" i="20" s="1"/>
  <c r="K1993" i="20"/>
  <c r="AC1992" i="20"/>
  <c r="AA1992" i="20"/>
  <c r="Y1992" i="20"/>
  <c r="W1992" i="20"/>
  <c r="X1992" i="20" s="1"/>
  <c r="Z1992" i="20" s="1"/>
  <c r="V1992" i="20"/>
  <c r="S1992" i="20"/>
  <c r="Q1992" i="20"/>
  <c r="M1992" i="20"/>
  <c r="L1992" i="20"/>
  <c r="K1992" i="20"/>
  <c r="AA1991" i="20"/>
  <c r="Z1991" i="20"/>
  <c r="Y1991" i="20"/>
  <c r="W1991" i="20"/>
  <c r="X1991" i="20" s="1"/>
  <c r="V1991" i="20"/>
  <c r="S1991" i="20"/>
  <c r="K1991" i="20"/>
  <c r="AB1990" i="20"/>
  <c r="AA1990" i="20"/>
  <c r="W1990" i="20"/>
  <c r="X1990" i="20" s="1"/>
  <c r="V1990" i="20"/>
  <c r="S1990" i="20"/>
  <c r="M1990" i="20"/>
  <c r="L1990" i="20"/>
  <c r="K1990" i="20"/>
  <c r="AA1989" i="20"/>
  <c r="V1989" i="20"/>
  <c r="W1989" i="20" s="1"/>
  <c r="X1989" i="20" s="1"/>
  <c r="S1989" i="20"/>
  <c r="K1989" i="20"/>
  <c r="AA1988" i="20"/>
  <c r="AB1988" i="20" s="1"/>
  <c r="V1988" i="20"/>
  <c r="W1988" i="20" s="1"/>
  <c r="X1988" i="20" s="1"/>
  <c r="S1988" i="20"/>
  <c r="Q1988" i="20"/>
  <c r="L1988" i="20"/>
  <c r="N1988" i="20" s="1"/>
  <c r="O1988" i="20" s="1"/>
  <c r="K1988" i="20"/>
  <c r="M1988" i="20" s="1"/>
  <c r="AC1988" i="20" s="1"/>
  <c r="AC1987" i="20"/>
  <c r="AA1987" i="20"/>
  <c r="W1987" i="20"/>
  <c r="X1987" i="20" s="1"/>
  <c r="V1987" i="20"/>
  <c r="S1987" i="20"/>
  <c r="M1987" i="20"/>
  <c r="Q1987" i="20" s="1"/>
  <c r="L1987" i="20"/>
  <c r="K1987" i="20"/>
  <c r="AA1986" i="20"/>
  <c r="X1986" i="20"/>
  <c r="W1986" i="20"/>
  <c r="V1986" i="20"/>
  <c r="S1986" i="20"/>
  <c r="Q1986" i="20"/>
  <c r="K1986" i="20"/>
  <c r="M1986" i="20" s="1"/>
  <c r="AC1986" i="20" s="1"/>
  <c r="AC1985" i="20"/>
  <c r="AB1985" i="20"/>
  <c r="AA1985" i="20"/>
  <c r="V1985" i="20"/>
  <c r="W1985" i="20" s="1"/>
  <c r="X1985" i="20" s="1"/>
  <c r="S1985" i="20"/>
  <c r="Q1985" i="20"/>
  <c r="M1985" i="20"/>
  <c r="N1985" i="20" s="1"/>
  <c r="O1985" i="20" s="1"/>
  <c r="L1985" i="20"/>
  <c r="K1985" i="20"/>
  <c r="AA1984" i="20"/>
  <c r="AB1984" i="20" s="1"/>
  <c r="W1984" i="20"/>
  <c r="X1984" i="20" s="1"/>
  <c r="V1984" i="20"/>
  <c r="S1984" i="20"/>
  <c r="Q1984" i="20"/>
  <c r="L1984" i="20"/>
  <c r="K1984" i="20"/>
  <c r="M1984" i="20" s="1"/>
  <c r="AC1984" i="20" s="1"/>
  <c r="AA1983" i="20"/>
  <c r="X1983" i="20"/>
  <c r="V1983" i="20"/>
  <c r="W1983" i="20" s="1"/>
  <c r="S1983" i="20"/>
  <c r="K1983" i="20"/>
  <c r="AC1982" i="20"/>
  <c r="AA1982" i="20"/>
  <c r="AB1982" i="20" s="1"/>
  <c r="Z1982" i="20"/>
  <c r="Y1982" i="20"/>
  <c r="V1982" i="20"/>
  <c r="W1982" i="20" s="1"/>
  <c r="X1982" i="20" s="1"/>
  <c r="S1982" i="20"/>
  <c r="L1982" i="20"/>
  <c r="K1982" i="20"/>
  <c r="M1982" i="20" s="1"/>
  <c r="Q1982" i="20" s="1"/>
  <c r="AA1981" i="20"/>
  <c r="V1981" i="20"/>
  <c r="W1981" i="20" s="1"/>
  <c r="X1981" i="20" s="1"/>
  <c r="S1981" i="20"/>
  <c r="N1981" i="20"/>
  <c r="O1981" i="20" s="1"/>
  <c r="M1981" i="20"/>
  <c r="AC1981" i="20" s="1"/>
  <c r="L1981" i="20"/>
  <c r="K1981" i="20"/>
  <c r="AC1980" i="20"/>
  <c r="AA1980" i="20"/>
  <c r="X1980" i="20"/>
  <c r="W1980" i="20"/>
  <c r="V1980" i="20"/>
  <c r="S1980" i="20"/>
  <c r="M1980" i="20"/>
  <c r="Q1980" i="20" s="1"/>
  <c r="L1980" i="20"/>
  <c r="K1980" i="20"/>
  <c r="AA1979" i="20"/>
  <c r="X1979" i="20"/>
  <c r="V1979" i="20"/>
  <c r="W1979" i="20" s="1"/>
  <c r="S1979" i="20"/>
  <c r="K1979" i="20"/>
  <c r="M1979" i="20" s="1"/>
  <c r="AC1979" i="20" s="1"/>
  <c r="AA1978" i="20"/>
  <c r="AB1978" i="20" s="1"/>
  <c r="Z1978" i="20"/>
  <c r="W1978" i="20"/>
  <c r="X1978" i="20" s="1"/>
  <c r="Y1978" i="20" s="1"/>
  <c r="V1978" i="20"/>
  <c r="S1978" i="20"/>
  <c r="O1978" i="20"/>
  <c r="N1978" i="20"/>
  <c r="M1978" i="20"/>
  <c r="AC1978" i="20" s="1"/>
  <c r="L1978" i="20"/>
  <c r="K1978" i="20"/>
  <c r="AA1977" i="20"/>
  <c r="W1977" i="20"/>
  <c r="X1977" i="20" s="1"/>
  <c r="Y1977" i="20" s="1"/>
  <c r="V1977" i="20"/>
  <c r="S1977" i="20"/>
  <c r="N1977" i="20"/>
  <c r="O1977" i="20" s="1"/>
  <c r="M1977" i="20"/>
  <c r="K1977" i="20"/>
  <c r="L1977" i="20" s="1"/>
  <c r="AB1977" i="20" s="1"/>
  <c r="AC1976" i="20"/>
  <c r="AA1976" i="20"/>
  <c r="V1976" i="20"/>
  <c r="W1976" i="20" s="1"/>
  <c r="X1976" i="20" s="1"/>
  <c r="S1976" i="20"/>
  <c r="Q1976" i="20"/>
  <c r="L1976" i="20"/>
  <c r="AB1976" i="20" s="1"/>
  <c r="K1976" i="20"/>
  <c r="M1976" i="20" s="1"/>
  <c r="AA1975" i="20"/>
  <c r="V1975" i="20"/>
  <c r="W1975" i="20" s="1"/>
  <c r="X1975" i="20" s="1"/>
  <c r="S1975" i="20"/>
  <c r="Q1975" i="20"/>
  <c r="L1975" i="20"/>
  <c r="K1975" i="20"/>
  <c r="M1975" i="20" s="1"/>
  <c r="AC1975" i="20" s="1"/>
  <c r="AA1974" i="20"/>
  <c r="W1974" i="20"/>
  <c r="X1974" i="20" s="1"/>
  <c r="Y1974" i="20" s="1"/>
  <c r="V1974" i="20"/>
  <c r="S1974" i="20"/>
  <c r="K1974" i="20"/>
  <c r="AA1973" i="20"/>
  <c r="W1973" i="20"/>
  <c r="X1973" i="20" s="1"/>
  <c r="V1973" i="20"/>
  <c r="S1973" i="20"/>
  <c r="Q1973" i="20"/>
  <c r="K1973" i="20"/>
  <c r="M1973" i="20" s="1"/>
  <c r="AC1973" i="20" s="1"/>
  <c r="AA1972" i="20"/>
  <c r="W1972" i="20"/>
  <c r="X1972" i="20" s="1"/>
  <c r="V1972" i="20"/>
  <c r="S1972" i="20"/>
  <c r="K1972" i="20"/>
  <c r="AA1971" i="20"/>
  <c r="W1971" i="20"/>
  <c r="X1971" i="20" s="1"/>
  <c r="V1971" i="20"/>
  <c r="S1971" i="20"/>
  <c r="K1971" i="20"/>
  <c r="AA1970" i="20"/>
  <c r="Y1970" i="20"/>
  <c r="X1970" i="20"/>
  <c r="Z1970" i="20" s="1"/>
  <c r="V1970" i="20"/>
  <c r="W1970" i="20" s="1"/>
  <c r="S1970" i="20"/>
  <c r="K1970" i="20"/>
  <c r="AC1969" i="20"/>
  <c r="AA1969" i="20"/>
  <c r="AB1969" i="20" s="1"/>
  <c r="W1969" i="20"/>
  <c r="X1969" i="20" s="1"/>
  <c r="V1969" i="20"/>
  <c r="S1969" i="20"/>
  <c r="Q1969" i="20"/>
  <c r="N1969" i="20"/>
  <c r="O1969" i="20" s="1"/>
  <c r="L1969" i="20"/>
  <c r="K1969" i="20"/>
  <c r="M1969" i="20" s="1"/>
  <c r="AC1968" i="20"/>
  <c r="AA1968" i="20"/>
  <c r="V1968" i="20"/>
  <c r="W1968" i="20" s="1"/>
  <c r="X1968" i="20" s="1"/>
  <c r="Z1968" i="20" s="1"/>
  <c r="S1968" i="20"/>
  <c r="M1968" i="20"/>
  <c r="Q1968" i="20" s="1"/>
  <c r="L1968" i="20"/>
  <c r="K1968" i="20"/>
  <c r="AA1967" i="20"/>
  <c r="AB1967" i="20" s="1"/>
  <c r="V1967" i="20"/>
  <c r="W1967" i="20" s="1"/>
  <c r="X1967" i="20" s="1"/>
  <c r="S1967" i="20"/>
  <c r="M1967" i="20"/>
  <c r="L1967" i="20"/>
  <c r="K1967" i="20"/>
  <c r="AA1966" i="20"/>
  <c r="V1966" i="20"/>
  <c r="W1966" i="20" s="1"/>
  <c r="X1966" i="20" s="1"/>
  <c r="S1966" i="20"/>
  <c r="M1966" i="20"/>
  <c r="L1966" i="20"/>
  <c r="AB1966" i="20" s="1"/>
  <c r="K1966" i="20"/>
  <c r="AC1965" i="20"/>
  <c r="AB1965" i="20"/>
  <c r="AA1965" i="20"/>
  <c r="V1965" i="20"/>
  <c r="W1965" i="20" s="1"/>
  <c r="X1965" i="20" s="1"/>
  <c r="S1965" i="20"/>
  <c r="M1965" i="20"/>
  <c r="Q1965" i="20" s="1"/>
  <c r="K1965" i="20"/>
  <c r="L1965" i="20" s="1"/>
  <c r="AA1964" i="20"/>
  <c r="V1964" i="20"/>
  <c r="W1964" i="20" s="1"/>
  <c r="X1964" i="20" s="1"/>
  <c r="S1964" i="20"/>
  <c r="M1964" i="20"/>
  <c r="L1964" i="20"/>
  <c r="K1964" i="20"/>
  <c r="AC1963" i="20"/>
  <c r="AA1963" i="20"/>
  <c r="X1963" i="20"/>
  <c r="Z1963" i="20" s="1"/>
  <c r="W1963" i="20"/>
  <c r="V1963" i="20"/>
  <c r="S1963" i="20"/>
  <c r="M1963" i="20"/>
  <c r="Q1963" i="20" s="1"/>
  <c r="L1963" i="20"/>
  <c r="K1963" i="20"/>
  <c r="AA1962" i="20"/>
  <c r="W1962" i="20"/>
  <c r="X1962" i="20" s="1"/>
  <c r="V1962" i="20"/>
  <c r="S1962" i="20"/>
  <c r="L1962" i="20"/>
  <c r="AB1962" i="20" s="1"/>
  <c r="K1962" i="20"/>
  <c r="M1962" i="20" s="1"/>
  <c r="AC1962" i="20" s="1"/>
  <c r="AA1961" i="20"/>
  <c r="AB1961" i="20" s="1"/>
  <c r="V1961" i="20"/>
  <c r="W1961" i="20" s="1"/>
  <c r="X1961" i="20" s="1"/>
  <c r="Y1961" i="20" s="1"/>
  <c r="S1961" i="20"/>
  <c r="K1961" i="20"/>
  <c r="L1961" i="20" s="1"/>
  <c r="J1961" i="20"/>
  <c r="AA1960" i="20"/>
  <c r="W1960" i="20"/>
  <c r="X1960" i="20" s="1"/>
  <c r="V1960" i="20"/>
  <c r="S1960" i="20"/>
  <c r="M1960" i="20"/>
  <c r="L1960" i="20"/>
  <c r="K1960" i="20"/>
  <c r="J1960" i="20"/>
  <c r="AC1959" i="20"/>
  <c r="AA1959" i="20"/>
  <c r="W1959" i="20"/>
  <c r="X1959" i="20" s="1"/>
  <c r="V1959" i="20"/>
  <c r="S1959" i="20"/>
  <c r="Q1959" i="20"/>
  <c r="K1959" i="20"/>
  <c r="M1959" i="20" s="1"/>
  <c r="J1959" i="20"/>
  <c r="AB1958" i="20"/>
  <c r="AA1958" i="20"/>
  <c r="W1958" i="20"/>
  <c r="X1958" i="20" s="1"/>
  <c r="V1958" i="20"/>
  <c r="S1958" i="20"/>
  <c r="L1958" i="20"/>
  <c r="K1958" i="20"/>
  <c r="M1958" i="20" s="1"/>
  <c r="J1958" i="20"/>
  <c r="AA1957" i="20"/>
  <c r="AB1957" i="20" s="1"/>
  <c r="X1957" i="20"/>
  <c r="W1957" i="20"/>
  <c r="V1957" i="20"/>
  <c r="S1957" i="20"/>
  <c r="L1957" i="20"/>
  <c r="K1957" i="20"/>
  <c r="M1957" i="20" s="1"/>
  <c r="AC1957" i="20" s="1"/>
  <c r="J1957" i="20"/>
  <c r="AA1956" i="20"/>
  <c r="V1956" i="20"/>
  <c r="W1956" i="20" s="1"/>
  <c r="X1956" i="20" s="1"/>
  <c r="S1956" i="20"/>
  <c r="M1956" i="20"/>
  <c r="K1956" i="20"/>
  <c r="L1956" i="20" s="1"/>
  <c r="J1956" i="20"/>
  <c r="AB1955" i="20"/>
  <c r="AA1955" i="20"/>
  <c r="W1955" i="20"/>
  <c r="X1955" i="20" s="1"/>
  <c r="Y1955" i="20" s="1"/>
  <c r="V1955" i="20"/>
  <c r="S1955" i="20"/>
  <c r="K1955" i="20"/>
  <c r="L1955" i="20" s="1"/>
  <c r="J1955" i="20"/>
  <c r="P1955" i="20" s="1"/>
  <c r="AA1954" i="20"/>
  <c r="V1954" i="20"/>
  <c r="W1954" i="20" s="1"/>
  <c r="X1954" i="20" s="1"/>
  <c r="S1954" i="20"/>
  <c r="K1954" i="20"/>
  <c r="M1954" i="20" s="1"/>
  <c r="J1954" i="20"/>
  <c r="AA1953" i="20"/>
  <c r="V1953" i="20"/>
  <c r="W1953" i="20" s="1"/>
  <c r="X1953" i="20" s="1"/>
  <c r="S1953" i="20"/>
  <c r="N1953" i="20"/>
  <c r="O1953" i="20" s="1"/>
  <c r="L1953" i="20"/>
  <c r="K1953" i="20"/>
  <c r="M1953" i="20" s="1"/>
  <c r="J1953" i="20"/>
  <c r="AA1952" i="20"/>
  <c r="Y1952" i="20"/>
  <c r="V1952" i="20"/>
  <c r="W1952" i="20" s="1"/>
  <c r="X1952" i="20" s="1"/>
  <c r="S1952" i="20"/>
  <c r="N1952" i="20"/>
  <c r="O1952" i="20" s="1"/>
  <c r="M1952" i="20"/>
  <c r="L1952" i="20"/>
  <c r="AB1952" i="20" s="1"/>
  <c r="K1952" i="20"/>
  <c r="J1952" i="20"/>
  <c r="AC1951" i="20"/>
  <c r="AA1951" i="20"/>
  <c r="V1951" i="20"/>
  <c r="W1951" i="20" s="1"/>
  <c r="X1951" i="20" s="1"/>
  <c r="S1951" i="20"/>
  <c r="P1951" i="20"/>
  <c r="M1951" i="20"/>
  <c r="L1951" i="20"/>
  <c r="K1951" i="20"/>
  <c r="J1951" i="20"/>
  <c r="AA1950" i="20"/>
  <c r="V1950" i="20"/>
  <c r="W1950" i="20" s="1"/>
  <c r="X1950" i="20" s="1"/>
  <c r="S1950" i="20"/>
  <c r="M1950" i="20"/>
  <c r="K1950" i="20"/>
  <c r="L1950" i="20" s="1"/>
  <c r="J1950" i="20"/>
  <c r="AA1949" i="20"/>
  <c r="V1949" i="20"/>
  <c r="W1949" i="20" s="1"/>
  <c r="X1949" i="20" s="1"/>
  <c r="S1949" i="20"/>
  <c r="M1949" i="20"/>
  <c r="L1949" i="20"/>
  <c r="K1949" i="20"/>
  <c r="J1949" i="20"/>
  <c r="P1949" i="20" s="1"/>
  <c r="AA1948" i="20"/>
  <c r="V1948" i="20"/>
  <c r="W1948" i="20" s="1"/>
  <c r="X1948" i="20" s="1"/>
  <c r="S1948" i="20"/>
  <c r="M1948" i="20"/>
  <c r="L1948" i="20"/>
  <c r="K1948" i="20"/>
  <c r="J1948" i="20"/>
  <c r="AA1947" i="20"/>
  <c r="V1947" i="20"/>
  <c r="W1947" i="20" s="1"/>
  <c r="X1947" i="20" s="1"/>
  <c r="S1947" i="20"/>
  <c r="K1947" i="20"/>
  <c r="M1947" i="20" s="1"/>
  <c r="J1947" i="20"/>
  <c r="AB1946" i="20"/>
  <c r="AA1946" i="20"/>
  <c r="Y1946" i="20"/>
  <c r="X1946" i="20"/>
  <c r="W1946" i="20"/>
  <c r="V1946" i="20"/>
  <c r="S1946" i="20"/>
  <c r="M1946" i="20"/>
  <c r="L1946" i="20"/>
  <c r="K1946" i="20"/>
  <c r="J1946" i="20"/>
  <c r="P1946" i="20" s="1"/>
  <c r="AA1945" i="20"/>
  <c r="V1945" i="20"/>
  <c r="W1945" i="20" s="1"/>
  <c r="X1945" i="20" s="1"/>
  <c r="S1945" i="20"/>
  <c r="Q1945" i="20"/>
  <c r="K1945" i="20"/>
  <c r="M1945" i="20" s="1"/>
  <c r="AC1945" i="20" s="1"/>
  <c r="J1945" i="20"/>
  <c r="AA1944" i="20"/>
  <c r="X1944" i="20"/>
  <c r="V1944" i="20"/>
  <c r="W1944" i="20" s="1"/>
  <c r="S1944" i="20"/>
  <c r="M1944" i="20"/>
  <c r="L1944" i="20"/>
  <c r="K1944" i="20"/>
  <c r="J1944" i="20"/>
  <c r="AB1943" i="20"/>
  <c r="AA1943" i="20"/>
  <c r="V1943" i="20"/>
  <c r="W1943" i="20" s="1"/>
  <c r="X1943" i="20" s="1"/>
  <c r="S1943" i="20"/>
  <c r="L1943" i="20"/>
  <c r="K1943" i="20"/>
  <c r="M1943" i="20" s="1"/>
  <c r="AC1943" i="20" s="1"/>
  <c r="J1943" i="20"/>
  <c r="P1943" i="20" s="1"/>
  <c r="AA1942" i="20"/>
  <c r="V1942" i="20"/>
  <c r="W1942" i="20" s="1"/>
  <c r="X1942" i="20" s="1"/>
  <c r="S1942" i="20"/>
  <c r="K1942" i="20"/>
  <c r="J1942" i="20"/>
  <c r="AC1941" i="20"/>
  <c r="AA1941" i="20"/>
  <c r="AB1941" i="20" s="1"/>
  <c r="X1941" i="20"/>
  <c r="Y1941" i="20" s="1"/>
  <c r="W1941" i="20"/>
  <c r="V1941" i="20"/>
  <c r="S1941" i="20"/>
  <c r="Q1941" i="20"/>
  <c r="O1941" i="20"/>
  <c r="N1941" i="20"/>
  <c r="L1941" i="20"/>
  <c r="K1941" i="20"/>
  <c r="M1941" i="20" s="1"/>
  <c r="J1941" i="20"/>
  <c r="P1941" i="20" s="1"/>
  <c r="AA1940" i="20"/>
  <c r="W1940" i="20"/>
  <c r="X1940" i="20" s="1"/>
  <c r="V1940" i="20"/>
  <c r="S1940" i="20"/>
  <c r="M1940" i="20"/>
  <c r="L1940" i="20"/>
  <c r="K1940" i="20"/>
  <c r="J1940" i="20"/>
  <c r="AC1939" i="20"/>
  <c r="AB1939" i="20"/>
  <c r="AA1939" i="20"/>
  <c r="X1939" i="20"/>
  <c r="Y1939" i="20" s="1"/>
  <c r="W1939" i="20"/>
  <c r="V1939" i="20"/>
  <c r="S1939" i="20"/>
  <c r="M1939" i="20"/>
  <c r="Q1939" i="20" s="1"/>
  <c r="K1939" i="20"/>
  <c r="L1939" i="20" s="1"/>
  <c r="J1939" i="20"/>
  <c r="I49" i="2" s="1"/>
  <c r="I50" i="2" s="1"/>
  <c r="AA1938" i="20"/>
  <c r="W1938" i="20"/>
  <c r="X1938" i="20" s="1"/>
  <c r="V1938" i="20"/>
  <c r="S1938" i="20"/>
  <c r="Q1938" i="20"/>
  <c r="O1938" i="20"/>
  <c r="N1938" i="20"/>
  <c r="L1938" i="20"/>
  <c r="AB1938" i="20" s="1"/>
  <c r="K1938" i="20"/>
  <c r="M1938" i="20" s="1"/>
  <c r="AC1938" i="20" s="1"/>
  <c r="J1938" i="20"/>
  <c r="AC1937" i="20"/>
  <c r="AB1937" i="20"/>
  <c r="AA1937" i="20"/>
  <c r="V1937" i="20"/>
  <c r="W1937" i="20" s="1"/>
  <c r="X1937" i="20" s="1"/>
  <c r="S1937" i="20"/>
  <c r="P1937" i="20"/>
  <c r="N1937" i="20"/>
  <c r="O1937" i="20" s="1"/>
  <c r="M1937" i="20"/>
  <c r="Q1937" i="20" s="1"/>
  <c r="K1937" i="20"/>
  <c r="L1937" i="20" s="1"/>
  <c r="J1937" i="20"/>
  <c r="AA1936" i="20"/>
  <c r="V1936" i="20"/>
  <c r="W1936" i="20" s="1"/>
  <c r="X1936" i="20" s="1"/>
  <c r="S1936" i="20"/>
  <c r="L1936" i="20"/>
  <c r="K1936" i="20"/>
  <c r="M1936" i="20" s="1"/>
  <c r="AA1935" i="20"/>
  <c r="Z1935" i="20"/>
  <c r="Y1935" i="20"/>
  <c r="X1935" i="20"/>
  <c r="W1935" i="20"/>
  <c r="V1935" i="20"/>
  <c r="S1935" i="20"/>
  <c r="M1935" i="20"/>
  <c r="L1935" i="20"/>
  <c r="K1935" i="20"/>
  <c r="AA1934" i="20"/>
  <c r="W1934" i="20"/>
  <c r="X1934" i="20" s="1"/>
  <c r="V1934" i="20"/>
  <c r="S1934" i="20"/>
  <c r="N1934" i="20"/>
  <c r="O1934" i="20" s="1"/>
  <c r="L1934" i="20"/>
  <c r="K1934" i="20"/>
  <c r="M1934" i="20" s="1"/>
  <c r="AC1933" i="20"/>
  <c r="AA1933" i="20"/>
  <c r="AB1933" i="20" s="1"/>
  <c r="W1933" i="20"/>
  <c r="X1933" i="20" s="1"/>
  <c r="V1933" i="20"/>
  <c r="S1933" i="20"/>
  <c r="Q1933" i="20"/>
  <c r="O1933" i="20"/>
  <c r="N1933" i="20"/>
  <c r="M1933" i="20"/>
  <c r="K1933" i="20"/>
  <c r="L1933" i="20" s="1"/>
  <c r="AA1932" i="20"/>
  <c r="X1932" i="20"/>
  <c r="W1932" i="20"/>
  <c r="V1932" i="20"/>
  <c r="S1932" i="20"/>
  <c r="K1932" i="20"/>
  <c r="M1932" i="20" s="1"/>
  <c r="AA1931" i="20"/>
  <c r="X1931" i="20"/>
  <c r="V1931" i="20"/>
  <c r="W1931" i="20" s="1"/>
  <c r="S1931" i="20"/>
  <c r="K1931" i="20"/>
  <c r="M1931" i="20" s="1"/>
  <c r="AC1931" i="20" s="1"/>
  <c r="AB1930" i="20"/>
  <c r="AA1930" i="20"/>
  <c r="W1930" i="20"/>
  <c r="X1930" i="20" s="1"/>
  <c r="V1930" i="20"/>
  <c r="S1930" i="20"/>
  <c r="Q1930" i="20"/>
  <c r="L1930" i="20"/>
  <c r="K1930" i="20"/>
  <c r="M1930" i="20" s="1"/>
  <c r="AC1930" i="20" s="1"/>
  <c r="AA1929" i="20"/>
  <c r="V1929" i="20"/>
  <c r="W1929" i="20" s="1"/>
  <c r="X1929" i="20" s="1"/>
  <c r="S1929" i="20"/>
  <c r="K1929" i="20"/>
  <c r="L1929" i="20" s="1"/>
  <c r="AA1928" i="20"/>
  <c r="X1928" i="20"/>
  <c r="W1928" i="20"/>
  <c r="V1928" i="20"/>
  <c r="S1928" i="20"/>
  <c r="M1928" i="20"/>
  <c r="L1928" i="20"/>
  <c r="K1928" i="20"/>
  <c r="AB1927" i="20"/>
  <c r="AA1927" i="20"/>
  <c r="V1927" i="20"/>
  <c r="W1927" i="20" s="1"/>
  <c r="X1927" i="20" s="1"/>
  <c r="S1927" i="20"/>
  <c r="L1927" i="20"/>
  <c r="K1927" i="20"/>
  <c r="M1927" i="20" s="1"/>
  <c r="AA1926" i="20"/>
  <c r="X1926" i="20"/>
  <c r="W1926" i="20"/>
  <c r="V1926" i="20"/>
  <c r="S1926" i="20"/>
  <c r="P1926" i="20"/>
  <c r="M1926" i="20"/>
  <c r="Q1926" i="20" s="1"/>
  <c r="L1926" i="20"/>
  <c r="K1926" i="20"/>
  <c r="AA1925" i="20"/>
  <c r="Z1925" i="20"/>
  <c r="Y1925" i="20"/>
  <c r="W1925" i="20"/>
  <c r="X1925" i="20" s="1"/>
  <c r="V1925" i="20"/>
  <c r="S1925" i="20"/>
  <c r="K1925" i="20"/>
  <c r="AA1924" i="20"/>
  <c r="V1924" i="20"/>
  <c r="W1924" i="20" s="1"/>
  <c r="X1924" i="20" s="1"/>
  <c r="Z1924" i="20" s="1"/>
  <c r="S1924" i="20"/>
  <c r="K1924" i="20"/>
  <c r="AB1923" i="20"/>
  <c r="AA1923" i="20"/>
  <c r="V1923" i="20"/>
  <c r="W1923" i="20" s="1"/>
  <c r="X1923" i="20" s="1"/>
  <c r="S1923" i="20"/>
  <c r="M1923" i="20"/>
  <c r="AC1923" i="20" s="1"/>
  <c r="L1923" i="20"/>
  <c r="K1923" i="20"/>
  <c r="AA1922" i="20"/>
  <c r="W1922" i="20"/>
  <c r="X1922" i="20" s="1"/>
  <c r="V1922" i="20"/>
  <c r="S1922" i="20"/>
  <c r="K1922" i="20"/>
  <c r="AA1921" i="20"/>
  <c r="Z1921" i="20"/>
  <c r="Y1921" i="20"/>
  <c r="V1921" i="20"/>
  <c r="W1921" i="20" s="1"/>
  <c r="X1921" i="20" s="1"/>
  <c r="S1921" i="20"/>
  <c r="K1921" i="20"/>
  <c r="J1921" i="20"/>
  <c r="I64" i="2" s="1"/>
  <c r="AA1920" i="20"/>
  <c r="W1920" i="20"/>
  <c r="X1920" i="20" s="1"/>
  <c r="Z1920" i="20" s="1"/>
  <c r="V1920" i="20"/>
  <c r="S1920" i="20"/>
  <c r="K1920" i="20"/>
  <c r="J1920" i="20"/>
  <c r="AC1919" i="20"/>
  <c r="AA1919" i="20"/>
  <c r="V1919" i="20"/>
  <c r="W1919" i="20" s="1"/>
  <c r="X1919" i="20" s="1"/>
  <c r="S1919" i="20"/>
  <c r="K1919" i="20"/>
  <c r="M1919" i="20" s="1"/>
  <c r="Q1919" i="20" s="1"/>
  <c r="J1919" i="20"/>
  <c r="AA1918" i="20"/>
  <c r="V1918" i="20"/>
  <c r="W1918" i="20" s="1"/>
  <c r="X1918" i="20" s="1"/>
  <c r="S1918" i="20"/>
  <c r="K1918" i="20"/>
  <c r="J1918" i="20"/>
  <c r="AA1917" i="20"/>
  <c r="V1917" i="20"/>
  <c r="W1917" i="20" s="1"/>
  <c r="X1917" i="20" s="1"/>
  <c r="S1917" i="20"/>
  <c r="K1917" i="20"/>
  <c r="M1917" i="20" s="1"/>
  <c r="AC1917" i="20" s="1"/>
  <c r="J1917" i="20"/>
  <c r="AA1916" i="20"/>
  <c r="W1916" i="20"/>
  <c r="X1916" i="20" s="1"/>
  <c r="V1916" i="20"/>
  <c r="S1916" i="20"/>
  <c r="Q1916" i="20"/>
  <c r="K1916" i="20"/>
  <c r="M1916" i="20" s="1"/>
  <c r="AC1916" i="20" s="1"/>
  <c r="AA1915" i="20"/>
  <c r="W1915" i="20"/>
  <c r="X1915" i="20" s="1"/>
  <c r="Y1915" i="20" s="1"/>
  <c r="V1915" i="20"/>
  <c r="S1915" i="20"/>
  <c r="K1915" i="20"/>
  <c r="AA1914" i="20"/>
  <c r="W1914" i="20"/>
  <c r="X1914" i="20" s="1"/>
  <c r="V1914" i="20"/>
  <c r="S1914" i="20"/>
  <c r="K1914" i="20"/>
  <c r="AA1913" i="20"/>
  <c r="Y1913" i="20"/>
  <c r="X1913" i="20"/>
  <c r="Z1913" i="20" s="1"/>
  <c r="V1913" i="20"/>
  <c r="W1913" i="20" s="1"/>
  <c r="S1913" i="20"/>
  <c r="M1913" i="20"/>
  <c r="AC1913" i="20" s="1"/>
  <c r="L1913" i="20"/>
  <c r="K1913" i="20"/>
  <c r="AA1912" i="20"/>
  <c r="X1912" i="20"/>
  <c r="V1912" i="20"/>
  <c r="W1912" i="20" s="1"/>
  <c r="S1912" i="20"/>
  <c r="K1912" i="20"/>
  <c r="AB1911" i="20"/>
  <c r="AA1911" i="20"/>
  <c r="W1911" i="20"/>
  <c r="X1911" i="20" s="1"/>
  <c r="V1911" i="20"/>
  <c r="S1911" i="20"/>
  <c r="M1911" i="20"/>
  <c r="L1911" i="20"/>
  <c r="K1911" i="20"/>
  <c r="AC1910" i="20"/>
  <c r="AA1910" i="20"/>
  <c r="V1910" i="20"/>
  <c r="W1910" i="20" s="1"/>
  <c r="X1910" i="20" s="1"/>
  <c r="Z1910" i="20" s="1"/>
  <c r="S1910" i="20"/>
  <c r="K1910" i="20"/>
  <c r="M1910" i="20" s="1"/>
  <c r="Q1910" i="20" s="1"/>
  <c r="AA1909" i="20"/>
  <c r="V1909" i="20"/>
  <c r="W1909" i="20" s="1"/>
  <c r="X1909" i="20" s="1"/>
  <c r="Z1909" i="20" s="1"/>
  <c r="S1909" i="20"/>
  <c r="K1909" i="20"/>
  <c r="AA1908" i="20"/>
  <c r="Y1908" i="20"/>
  <c r="X1908" i="20"/>
  <c r="Z1908" i="20" s="1"/>
  <c r="W1908" i="20"/>
  <c r="V1908" i="20"/>
  <c r="S1908" i="20"/>
  <c r="Q1908" i="20"/>
  <c r="M1908" i="20"/>
  <c r="AC1908" i="20" s="1"/>
  <c r="K1908" i="20"/>
  <c r="L1908" i="20" s="1"/>
  <c r="AA1907" i="20"/>
  <c r="Z1907" i="20"/>
  <c r="Y1907" i="20"/>
  <c r="V1907" i="20"/>
  <c r="W1907" i="20" s="1"/>
  <c r="X1907" i="20" s="1"/>
  <c r="S1907" i="20"/>
  <c r="K1907" i="20"/>
  <c r="AA1906" i="20"/>
  <c r="V1906" i="20"/>
  <c r="W1906" i="20" s="1"/>
  <c r="X1906" i="20" s="1"/>
  <c r="S1906" i="20"/>
  <c r="K1906" i="20"/>
  <c r="AA1905" i="20"/>
  <c r="AB1905" i="20" s="1"/>
  <c r="Z1905" i="20"/>
  <c r="W1905" i="20"/>
  <c r="X1905" i="20" s="1"/>
  <c r="Y1905" i="20" s="1"/>
  <c r="V1905" i="20"/>
  <c r="S1905" i="20"/>
  <c r="M1905" i="20"/>
  <c r="K1905" i="20"/>
  <c r="L1905" i="20" s="1"/>
  <c r="AA1904" i="20"/>
  <c r="V1904" i="20"/>
  <c r="W1904" i="20" s="1"/>
  <c r="X1904" i="20" s="1"/>
  <c r="S1904" i="20"/>
  <c r="Q1904" i="20"/>
  <c r="M1904" i="20"/>
  <c r="AC1904" i="20" s="1"/>
  <c r="K1904" i="20"/>
  <c r="L1904" i="20" s="1"/>
  <c r="AA1903" i="20"/>
  <c r="V1903" i="20"/>
  <c r="W1903" i="20" s="1"/>
  <c r="X1903" i="20" s="1"/>
  <c r="S1903" i="20"/>
  <c r="K1903" i="20"/>
  <c r="L1903" i="20" s="1"/>
  <c r="AA1902" i="20"/>
  <c r="AB1902" i="20" s="1"/>
  <c r="W1902" i="20"/>
  <c r="X1902" i="20" s="1"/>
  <c r="Y1902" i="20" s="1"/>
  <c r="V1902" i="20"/>
  <c r="S1902" i="20"/>
  <c r="M1902" i="20"/>
  <c r="L1902" i="20"/>
  <c r="K1902" i="20"/>
  <c r="AA1901" i="20"/>
  <c r="V1901" i="20"/>
  <c r="W1901" i="20" s="1"/>
  <c r="X1901" i="20" s="1"/>
  <c r="S1901" i="20"/>
  <c r="M1901" i="20"/>
  <c r="L1901" i="20"/>
  <c r="K1901" i="20"/>
  <c r="AC1900" i="20"/>
  <c r="AB1900" i="20"/>
  <c r="AA1900" i="20"/>
  <c r="V1900" i="20"/>
  <c r="W1900" i="20" s="1"/>
  <c r="X1900" i="20" s="1"/>
  <c r="S1900" i="20"/>
  <c r="Q1900" i="20"/>
  <c r="L1900" i="20"/>
  <c r="N1900" i="20" s="1"/>
  <c r="O1900" i="20" s="1"/>
  <c r="K1900" i="20"/>
  <c r="M1900" i="20" s="1"/>
  <c r="AA1899" i="20"/>
  <c r="V1899" i="20"/>
  <c r="W1899" i="20" s="1"/>
  <c r="X1899" i="20" s="1"/>
  <c r="S1899" i="20"/>
  <c r="K1899" i="20"/>
  <c r="AB1898" i="20"/>
  <c r="AA1898" i="20"/>
  <c r="X1898" i="20"/>
  <c r="V1898" i="20"/>
  <c r="W1898" i="20" s="1"/>
  <c r="S1898" i="20"/>
  <c r="M1898" i="20"/>
  <c r="K1898" i="20"/>
  <c r="L1898" i="20" s="1"/>
  <c r="AA1897" i="20"/>
  <c r="V1897" i="20"/>
  <c r="W1897" i="20" s="1"/>
  <c r="X1897" i="20" s="1"/>
  <c r="Y1897" i="20" s="1"/>
  <c r="S1897" i="20"/>
  <c r="K1897" i="20"/>
  <c r="AA1896" i="20"/>
  <c r="Y1896" i="20"/>
  <c r="V1896" i="20"/>
  <c r="W1896" i="20" s="1"/>
  <c r="X1896" i="20" s="1"/>
  <c r="Z1896" i="20" s="1"/>
  <c r="S1896" i="20"/>
  <c r="L1896" i="20"/>
  <c r="K1896" i="20"/>
  <c r="M1896" i="20" s="1"/>
  <c r="AC1896" i="20" s="1"/>
  <c r="AA1895" i="20"/>
  <c r="W1895" i="20"/>
  <c r="X1895" i="20" s="1"/>
  <c r="Y1895" i="20" s="1"/>
  <c r="V1895" i="20"/>
  <c r="S1895" i="20"/>
  <c r="K1895" i="20"/>
  <c r="L1895" i="20" s="1"/>
  <c r="AB1895" i="20" s="1"/>
  <c r="AA1894" i="20"/>
  <c r="V1894" i="20"/>
  <c r="W1894" i="20" s="1"/>
  <c r="X1894" i="20" s="1"/>
  <c r="Z1894" i="20" s="1"/>
  <c r="S1894" i="20"/>
  <c r="K1894" i="20"/>
  <c r="AA1893" i="20"/>
  <c r="V1893" i="20"/>
  <c r="W1893" i="20" s="1"/>
  <c r="X1893" i="20" s="1"/>
  <c r="S1893" i="20"/>
  <c r="K1893" i="20"/>
  <c r="AA1892" i="20"/>
  <c r="Z1892" i="20"/>
  <c r="W1892" i="20"/>
  <c r="X1892" i="20" s="1"/>
  <c r="Y1892" i="20" s="1"/>
  <c r="V1892" i="20"/>
  <c r="S1892" i="20"/>
  <c r="K1892" i="20"/>
  <c r="AA1891" i="20"/>
  <c r="X1891" i="20"/>
  <c r="W1891" i="20"/>
  <c r="V1891" i="20"/>
  <c r="S1891" i="20"/>
  <c r="K1891" i="20"/>
  <c r="M1891" i="20" s="1"/>
  <c r="AC1891" i="20" s="1"/>
  <c r="AB1890" i="20"/>
  <c r="AA1890" i="20"/>
  <c r="Z1890" i="20"/>
  <c r="Y1890" i="20"/>
  <c r="W1890" i="20"/>
  <c r="X1890" i="20" s="1"/>
  <c r="V1890" i="20"/>
  <c r="S1890" i="20"/>
  <c r="N1890" i="20"/>
  <c r="O1890" i="20" s="1"/>
  <c r="M1890" i="20"/>
  <c r="L1890" i="20"/>
  <c r="K1890" i="20"/>
  <c r="AA1889" i="20"/>
  <c r="V1889" i="20"/>
  <c r="W1889" i="20" s="1"/>
  <c r="X1889" i="20" s="1"/>
  <c r="S1889" i="20"/>
  <c r="N1889" i="20"/>
  <c r="O1889" i="20" s="1"/>
  <c r="L1889" i="20"/>
  <c r="AB1889" i="20" s="1"/>
  <c r="K1889" i="20"/>
  <c r="M1889" i="20" s="1"/>
  <c r="AC1889" i="20" s="1"/>
  <c r="AC1888" i="20"/>
  <c r="AA1888" i="20"/>
  <c r="AB1888" i="20" s="1"/>
  <c r="V1888" i="20"/>
  <c r="W1888" i="20" s="1"/>
  <c r="X1888" i="20" s="1"/>
  <c r="S1888" i="20"/>
  <c r="L1888" i="20"/>
  <c r="K1888" i="20"/>
  <c r="M1888" i="20" s="1"/>
  <c r="Q1888" i="20" s="1"/>
  <c r="AA1887" i="20"/>
  <c r="W1887" i="20"/>
  <c r="X1887" i="20" s="1"/>
  <c r="V1887" i="20"/>
  <c r="S1887" i="20"/>
  <c r="M1887" i="20"/>
  <c r="K1887" i="20"/>
  <c r="L1887" i="20" s="1"/>
  <c r="AC1886" i="20"/>
  <c r="AA1886" i="20"/>
  <c r="AB1886" i="20" s="1"/>
  <c r="Z1886" i="20"/>
  <c r="Y1886" i="20"/>
  <c r="W1886" i="20"/>
  <c r="X1886" i="20" s="1"/>
  <c r="V1886" i="20"/>
  <c r="S1886" i="20"/>
  <c r="M1886" i="20"/>
  <c r="Q1886" i="20" s="1"/>
  <c r="L1886" i="20"/>
  <c r="K1886" i="20"/>
  <c r="AC1885" i="20"/>
  <c r="AA1885" i="20"/>
  <c r="W1885" i="20"/>
  <c r="X1885" i="20" s="1"/>
  <c r="V1885" i="20"/>
  <c r="S1885" i="20"/>
  <c r="Q1885" i="20"/>
  <c r="M1885" i="20"/>
  <c r="L1885" i="20"/>
  <c r="AB1885" i="20" s="1"/>
  <c r="K1885" i="20"/>
  <c r="AC1884" i="20"/>
  <c r="AA1884" i="20"/>
  <c r="AB1884" i="20" s="1"/>
  <c r="W1884" i="20"/>
  <c r="X1884" i="20" s="1"/>
  <c r="V1884" i="20"/>
  <c r="S1884" i="20"/>
  <c r="N1884" i="20"/>
  <c r="O1884" i="20" s="1"/>
  <c r="M1884" i="20"/>
  <c r="Q1884" i="20" s="1"/>
  <c r="L1884" i="20"/>
  <c r="K1884" i="20"/>
  <c r="AA1883" i="20"/>
  <c r="Y1883" i="20"/>
  <c r="V1883" i="20"/>
  <c r="W1883" i="20" s="1"/>
  <c r="X1883" i="20" s="1"/>
  <c r="Z1883" i="20" s="1"/>
  <c r="S1883" i="20"/>
  <c r="K1883" i="20"/>
  <c r="AC1882" i="20"/>
  <c r="AA1882" i="20"/>
  <c r="X1882" i="20"/>
  <c r="Z1882" i="20" s="1"/>
  <c r="W1882" i="20"/>
  <c r="V1882" i="20"/>
  <c r="S1882" i="20"/>
  <c r="Q1882" i="20"/>
  <c r="M1882" i="20"/>
  <c r="L1882" i="20"/>
  <c r="K1882" i="20"/>
  <c r="AA1881" i="20"/>
  <c r="V1881" i="20"/>
  <c r="W1881" i="20" s="1"/>
  <c r="X1881" i="20" s="1"/>
  <c r="S1881" i="20"/>
  <c r="M1881" i="20"/>
  <c r="AC1881" i="20" s="1"/>
  <c r="K1881" i="20"/>
  <c r="L1881" i="20" s="1"/>
  <c r="AA1880" i="20"/>
  <c r="X1880" i="20"/>
  <c r="Z1880" i="20" s="1"/>
  <c r="W1880" i="20"/>
  <c r="V1880" i="20"/>
  <c r="S1880" i="20"/>
  <c r="M1880" i="20"/>
  <c r="K1880" i="20"/>
  <c r="L1880" i="20" s="1"/>
  <c r="AA1879" i="20"/>
  <c r="V1879" i="20"/>
  <c r="W1879" i="20" s="1"/>
  <c r="X1879" i="20" s="1"/>
  <c r="S1879" i="20"/>
  <c r="M1879" i="20"/>
  <c r="L1879" i="20"/>
  <c r="K1879" i="20"/>
  <c r="AA1878" i="20"/>
  <c r="W1878" i="20"/>
  <c r="X1878" i="20" s="1"/>
  <c r="V1878" i="20"/>
  <c r="S1878" i="20"/>
  <c r="Q1878" i="20"/>
  <c r="M1878" i="20"/>
  <c r="AC1878" i="20" s="1"/>
  <c r="L1878" i="20"/>
  <c r="AB1878" i="20" s="1"/>
  <c r="K1878" i="20"/>
  <c r="AC1877" i="20"/>
  <c r="AB1877" i="20"/>
  <c r="AA1877" i="20"/>
  <c r="W1877" i="20"/>
  <c r="X1877" i="20" s="1"/>
  <c r="V1877" i="20"/>
  <c r="S1877" i="20"/>
  <c r="Q1877" i="20"/>
  <c r="O1877" i="20"/>
  <c r="N1877" i="20"/>
  <c r="M1877" i="20"/>
  <c r="K1877" i="20"/>
  <c r="L1877" i="20" s="1"/>
  <c r="AA1876" i="20"/>
  <c r="W1876" i="20"/>
  <c r="X1876" i="20" s="1"/>
  <c r="Y1876" i="20" s="1"/>
  <c r="V1876" i="20"/>
  <c r="S1876" i="20"/>
  <c r="K1876" i="20"/>
  <c r="L1876" i="20" s="1"/>
  <c r="AC1875" i="20"/>
  <c r="AA1875" i="20"/>
  <c r="W1875" i="20"/>
  <c r="X1875" i="20" s="1"/>
  <c r="V1875" i="20"/>
  <c r="S1875" i="20"/>
  <c r="K1875" i="20"/>
  <c r="M1875" i="20" s="1"/>
  <c r="Q1875" i="20" s="1"/>
  <c r="AA1874" i="20"/>
  <c r="V1874" i="20"/>
  <c r="W1874" i="20" s="1"/>
  <c r="X1874" i="20" s="1"/>
  <c r="S1874" i="20"/>
  <c r="Q1874" i="20"/>
  <c r="K1874" i="20"/>
  <c r="M1874" i="20" s="1"/>
  <c r="AC1874" i="20" s="1"/>
  <c r="AC1873" i="20"/>
  <c r="AA1873" i="20"/>
  <c r="AB1873" i="20" s="1"/>
  <c r="Z1873" i="20"/>
  <c r="Y1873" i="20"/>
  <c r="W1873" i="20"/>
  <c r="X1873" i="20" s="1"/>
  <c r="V1873" i="20"/>
  <c r="S1873" i="20"/>
  <c r="M1873" i="20"/>
  <c r="Q1873" i="20" s="1"/>
  <c r="L1873" i="20"/>
  <c r="K1873" i="20"/>
  <c r="AA1872" i="20"/>
  <c r="W1872" i="20"/>
  <c r="X1872" i="20" s="1"/>
  <c r="V1872" i="20"/>
  <c r="S1872" i="20"/>
  <c r="N1872" i="20"/>
  <c r="O1872" i="20" s="1"/>
  <c r="M1872" i="20"/>
  <c r="AC1872" i="20" s="1"/>
  <c r="K1872" i="20"/>
  <c r="L1872" i="20" s="1"/>
  <c r="AB1872" i="20" s="1"/>
  <c r="AB1871" i="20"/>
  <c r="AA1871" i="20"/>
  <c r="V1871" i="20"/>
  <c r="W1871" i="20" s="1"/>
  <c r="X1871" i="20" s="1"/>
  <c r="Z1871" i="20" s="1"/>
  <c r="S1871" i="20"/>
  <c r="M1871" i="20"/>
  <c r="K1871" i="20"/>
  <c r="L1871" i="20" s="1"/>
  <c r="AA1870" i="20"/>
  <c r="W1870" i="20"/>
  <c r="X1870" i="20" s="1"/>
  <c r="V1870" i="20"/>
  <c r="S1870" i="20"/>
  <c r="K1870" i="20"/>
  <c r="L1870" i="20" s="1"/>
  <c r="AA1869" i="20"/>
  <c r="V1869" i="20"/>
  <c r="W1869" i="20" s="1"/>
  <c r="X1869" i="20" s="1"/>
  <c r="S1869" i="20"/>
  <c r="L1869" i="20"/>
  <c r="K1869" i="20"/>
  <c r="M1869" i="20" s="1"/>
  <c r="AC1869" i="20" s="1"/>
  <c r="AC1868" i="20"/>
  <c r="AA1868" i="20"/>
  <c r="V1868" i="20"/>
  <c r="W1868" i="20" s="1"/>
  <c r="X1868" i="20" s="1"/>
  <c r="S1868" i="20"/>
  <c r="Q1868" i="20"/>
  <c r="O1868" i="20"/>
  <c r="N1868" i="20"/>
  <c r="L1868" i="20"/>
  <c r="AB1868" i="20" s="1"/>
  <c r="K1868" i="20"/>
  <c r="M1868" i="20" s="1"/>
  <c r="AA1867" i="20"/>
  <c r="V1867" i="20"/>
  <c r="W1867" i="20" s="1"/>
  <c r="X1867" i="20" s="1"/>
  <c r="S1867" i="20"/>
  <c r="K1867" i="20"/>
  <c r="AA1866" i="20"/>
  <c r="AB1866" i="20" s="1"/>
  <c r="V1866" i="20"/>
  <c r="W1866" i="20" s="1"/>
  <c r="X1866" i="20" s="1"/>
  <c r="S1866" i="20"/>
  <c r="L1866" i="20"/>
  <c r="K1866" i="20"/>
  <c r="M1866" i="20" s="1"/>
  <c r="AC1866" i="20" s="1"/>
  <c r="AC1865" i="20"/>
  <c r="AA1865" i="20"/>
  <c r="Y1865" i="20"/>
  <c r="X1865" i="20"/>
  <c r="Z1865" i="20" s="1"/>
  <c r="W1865" i="20"/>
  <c r="V1865" i="20"/>
  <c r="S1865" i="20"/>
  <c r="M1865" i="20"/>
  <c r="Q1865" i="20" s="1"/>
  <c r="L1865" i="20"/>
  <c r="AB1865" i="20" s="1"/>
  <c r="K1865" i="20"/>
  <c r="AA1864" i="20"/>
  <c r="X1864" i="20"/>
  <c r="V1864" i="20"/>
  <c r="W1864" i="20" s="1"/>
  <c r="S1864" i="20"/>
  <c r="K1864" i="20"/>
  <c r="AA1863" i="20"/>
  <c r="V1863" i="20"/>
  <c r="W1863" i="20" s="1"/>
  <c r="X1863" i="20" s="1"/>
  <c r="S1863" i="20"/>
  <c r="K1863" i="20"/>
  <c r="AA1862" i="20"/>
  <c r="Z1862" i="20"/>
  <c r="V1862" i="20"/>
  <c r="W1862" i="20" s="1"/>
  <c r="X1862" i="20" s="1"/>
  <c r="Y1862" i="20" s="1"/>
  <c r="S1862" i="20"/>
  <c r="M1862" i="20"/>
  <c r="K1862" i="20"/>
  <c r="L1862" i="20" s="1"/>
  <c r="AA1861" i="20"/>
  <c r="Y1861" i="20"/>
  <c r="X1861" i="20"/>
  <c r="Z1861" i="20" s="1"/>
  <c r="W1861" i="20"/>
  <c r="V1861" i="20"/>
  <c r="S1861" i="20"/>
  <c r="M1861" i="20"/>
  <c r="L1861" i="20"/>
  <c r="K1861" i="20"/>
  <c r="AA1860" i="20"/>
  <c r="Y1860" i="20"/>
  <c r="V1860" i="20"/>
  <c r="W1860" i="20" s="1"/>
  <c r="X1860" i="20" s="1"/>
  <c r="Z1860" i="20" s="1"/>
  <c r="S1860" i="20"/>
  <c r="L1860" i="20"/>
  <c r="K1860" i="20"/>
  <c r="M1860" i="20" s="1"/>
  <c r="AC1859" i="20"/>
  <c r="AA1859" i="20"/>
  <c r="W1859" i="20"/>
  <c r="X1859" i="20" s="1"/>
  <c r="V1859" i="20"/>
  <c r="S1859" i="20"/>
  <c r="L1859" i="20"/>
  <c r="K1859" i="20"/>
  <c r="M1859" i="20" s="1"/>
  <c r="Q1859" i="20" s="1"/>
  <c r="AC1858" i="20"/>
  <c r="AA1858" i="20"/>
  <c r="Z1858" i="20"/>
  <c r="X1858" i="20"/>
  <c r="Y1858" i="20" s="1"/>
  <c r="W1858" i="20"/>
  <c r="V1858" i="20"/>
  <c r="S1858" i="20"/>
  <c r="Q1858" i="20"/>
  <c r="N1858" i="20"/>
  <c r="O1858" i="20" s="1"/>
  <c r="M1858" i="20"/>
  <c r="L1858" i="20"/>
  <c r="K1858" i="20"/>
  <c r="AC1857" i="20"/>
  <c r="AA1857" i="20"/>
  <c r="V1857" i="20"/>
  <c r="W1857" i="20" s="1"/>
  <c r="X1857" i="20" s="1"/>
  <c r="S1857" i="20"/>
  <c r="K1857" i="20"/>
  <c r="M1857" i="20" s="1"/>
  <c r="Q1857" i="20" s="1"/>
  <c r="AA1856" i="20"/>
  <c r="Z1856" i="20"/>
  <c r="J1856" i="20" s="1"/>
  <c r="Y1856" i="20"/>
  <c r="X1856" i="20"/>
  <c r="W1856" i="20"/>
  <c r="V1856" i="20"/>
  <c r="U1856" i="20"/>
  <c r="S1856" i="20"/>
  <c r="M1856" i="20"/>
  <c r="K1856" i="20"/>
  <c r="L1856" i="20" s="1"/>
  <c r="AC1855" i="20"/>
  <c r="AB1855" i="20"/>
  <c r="AA1855" i="20"/>
  <c r="W1855" i="20"/>
  <c r="X1855" i="20" s="1"/>
  <c r="V1855" i="20"/>
  <c r="U1855" i="20"/>
  <c r="S1855" i="20"/>
  <c r="P1855" i="20"/>
  <c r="O1855" i="20"/>
  <c r="M1855" i="20"/>
  <c r="Q1855" i="20" s="1"/>
  <c r="L1855" i="20"/>
  <c r="N1855" i="20" s="1"/>
  <c r="K1855" i="20"/>
  <c r="AA1854" i="20"/>
  <c r="W1854" i="20"/>
  <c r="X1854" i="20" s="1"/>
  <c r="V1854" i="20"/>
  <c r="U1854" i="20"/>
  <c r="S1854" i="20"/>
  <c r="K1854" i="20"/>
  <c r="AA1853" i="20"/>
  <c r="X1853" i="20"/>
  <c r="W1853" i="20"/>
  <c r="V1853" i="20"/>
  <c r="U1853" i="20"/>
  <c r="S1853" i="20"/>
  <c r="Q1853" i="20"/>
  <c r="P1853" i="20"/>
  <c r="M1853" i="20"/>
  <c r="AC1853" i="20" s="1"/>
  <c r="K1853" i="20"/>
  <c r="L1853" i="20" s="1"/>
  <c r="AB1853" i="20" s="1"/>
  <c r="AA1852" i="20"/>
  <c r="X1852" i="20"/>
  <c r="W1852" i="20"/>
  <c r="V1852" i="20"/>
  <c r="U1852" i="20"/>
  <c r="S1852" i="20"/>
  <c r="K1852" i="20"/>
  <c r="M1852" i="20" s="1"/>
  <c r="AA1851" i="20"/>
  <c r="X1851" i="20"/>
  <c r="W1851" i="20"/>
  <c r="V1851" i="20"/>
  <c r="U1851" i="20"/>
  <c r="S1851" i="20"/>
  <c r="K1851" i="20"/>
  <c r="AC1850" i="20"/>
  <c r="AB1850" i="20"/>
  <c r="AA1850" i="20"/>
  <c r="V1850" i="20"/>
  <c r="W1850" i="20" s="1"/>
  <c r="X1850" i="20" s="1"/>
  <c r="U1850" i="20"/>
  <c r="S1850" i="20"/>
  <c r="M1850" i="20"/>
  <c r="Q1850" i="20" s="1"/>
  <c r="L1850" i="20"/>
  <c r="K1850" i="20"/>
  <c r="AC1849" i="20"/>
  <c r="AA1849" i="20"/>
  <c r="V1849" i="20"/>
  <c r="W1849" i="20" s="1"/>
  <c r="X1849" i="20" s="1"/>
  <c r="U1849" i="20"/>
  <c r="S1849" i="20"/>
  <c r="L1849" i="20"/>
  <c r="K1849" i="20"/>
  <c r="M1849" i="20" s="1"/>
  <c r="Q1849" i="20" s="1"/>
  <c r="AB1848" i="20"/>
  <c r="AA1848" i="20"/>
  <c r="Z1848" i="20"/>
  <c r="J1848" i="20" s="1"/>
  <c r="X1848" i="20"/>
  <c r="Y1848" i="20" s="1"/>
  <c r="W1848" i="20"/>
  <c r="V1848" i="20"/>
  <c r="U1848" i="20"/>
  <c r="S1848" i="20"/>
  <c r="M1848" i="20"/>
  <c r="L1848" i="20"/>
  <c r="K1848" i="20"/>
  <c r="AB1847" i="20"/>
  <c r="AA1847" i="20"/>
  <c r="X1847" i="20"/>
  <c r="W1847" i="20"/>
  <c r="V1847" i="20"/>
  <c r="U1847" i="20"/>
  <c r="S1847" i="20"/>
  <c r="P1847" i="20"/>
  <c r="M1847" i="20"/>
  <c r="L1847" i="20"/>
  <c r="N1847" i="20" s="1"/>
  <c r="O1847" i="20" s="1"/>
  <c r="K1847" i="20"/>
  <c r="AA1846" i="20"/>
  <c r="V1846" i="20"/>
  <c r="W1846" i="20" s="1"/>
  <c r="X1846" i="20" s="1"/>
  <c r="U1846" i="20"/>
  <c r="S1846" i="20"/>
  <c r="K1846" i="20"/>
  <c r="AA1845" i="20"/>
  <c r="V1845" i="20"/>
  <c r="W1845" i="20" s="1"/>
  <c r="X1845" i="20" s="1"/>
  <c r="U1845" i="20"/>
  <c r="S1845" i="20"/>
  <c r="P1845" i="20"/>
  <c r="N1845" i="20"/>
  <c r="O1845" i="20" s="1"/>
  <c r="M1845" i="20"/>
  <c r="AC1845" i="20" s="1"/>
  <c r="L1845" i="20"/>
  <c r="AB1845" i="20" s="1"/>
  <c r="K1845" i="20"/>
  <c r="AA1844" i="20"/>
  <c r="Z1844" i="20"/>
  <c r="Y1844" i="20"/>
  <c r="X1844" i="20"/>
  <c r="W1844" i="20"/>
  <c r="V1844" i="20"/>
  <c r="U1844" i="20"/>
  <c r="J1844" i="20" s="1"/>
  <c r="S1844" i="20"/>
  <c r="Q1844" i="20"/>
  <c r="K1844" i="20"/>
  <c r="M1844" i="20" s="1"/>
  <c r="AC1844" i="20" s="1"/>
  <c r="AA1843" i="20"/>
  <c r="V1843" i="20"/>
  <c r="W1843" i="20" s="1"/>
  <c r="X1843" i="20" s="1"/>
  <c r="U1843" i="20"/>
  <c r="S1843" i="20"/>
  <c r="K1843" i="20"/>
  <c r="M1843" i="20" s="1"/>
  <c r="AC1843" i="20" s="1"/>
  <c r="AA1842" i="20"/>
  <c r="W1842" i="20"/>
  <c r="X1842" i="20" s="1"/>
  <c r="V1842" i="20"/>
  <c r="U1842" i="20"/>
  <c r="S1842" i="20"/>
  <c r="K1842" i="20"/>
  <c r="M1842" i="20" s="1"/>
  <c r="AC1842" i="20" s="1"/>
  <c r="AA1841" i="20"/>
  <c r="V1841" i="20"/>
  <c r="W1841" i="20" s="1"/>
  <c r="X1841" i="20" s="1"/>
  <c r="S1841" i="20"/>
  <c r="K1841" i="20"/>
  <c r="J1841" i="20"/>
  <c r="AA1840" i="20"/>
  <c r="V1840" i="20"/>
  <c r="W1840" i="20" s="1"/>
  <c r="X1840" i="20" s="1"/>
  <c r="Z1840" i="20" s="1"/>
  <c r="S1840" i="20"/>
  <c r="K1840" i="20"/>
  <c r="J1840" i="20"/>
  <c r="AA1839" i="20"/>
  <c r="V1839" i="20"/>
  <c r="W1839" i="20" s="1"/>
  <c r="X1839" i="20" s="1"/>
  <c r="S1839" i="20"/>
  <c r="P1839" i="20"/>
  <c r="M1839" i="20"/>
  <c r="K1839" i="20"/>
  <c r="L1839" i="20" s="1"/>
  <c r="J1839" i="20"/>
  <c r="AA1838" i="20"/>
  <c r="AB1838" i="20" s="1"/>
  <c r="W1838" i="20"/>
  <c r="X1838" i="20" s="1"/>
  <c r="V1838" i="20"/>
  <c r="S1838" i="20"/>
  <c r="Q1838" i="20"/>
  <c r="P1838" i="20"/>
  <c r="N1838" i="20"/>
  <c r="O1838" i="20" s="1"/>
  <c r="M1838" i="20"/>
  <c r="AC1838" i="20" s="1"/>
  <c r="L1838" i="20"/>
  <c r="K1838" i="20"/>
  <c r="J1838" i="20"/>
  <c r="AA1837" i="20"/>
  <c r="V1837" i="20"/>
  <c r="W1837" i="20" s="1"/>
  <c r="X1837" i="20" s="1"/>
  <c r="Z1837" i="20" s="1"/>
  <c r="S1837" i="20"/>
  <c r="Q1837" i="20"/>
  <c r="P1837" i="20"/>
  <c r="O1837" i="20"/>
  <c r="N1837" i="20"/>
  <c r="L1837" i="20"/>
  <c r="AB1837" i="20" s="1"/>
  <c r="K1837" i="20"/>
  <c r="M1837" i="20" s="1"/>
  <c r="AC1837" i="20" s="1"/>
  <c r="J1837" i="20"/>
  <c r="AC1836" i="20"/>
  <c r="AA1836" i="20"/>
  <c r="V1836" i="20"/>
  <c r="W1836" i="20" s="1"/>
  <c r="X1836" i="20" s="1"/>
  <c r="S1836" i="20"/>
  <c r="Q1836" i="20"/>
  <c r="K1836" i="20"/>
  <c r="M1836" i="20" s="1"/>
  <c r="J1836" i="20"/>
  <c r="AA1835" i="20"/>
  <c r="W1835" i="20"/>
  <c r="X1835" i="20" s="1"/>
  <c r="V1835" i="20"/>
  <c r="S1835" i="20"/>
  <c r="Q1835" i="20"/>
  <c r="L1835" i="20"/>
  <c r="K1835" i="20"/>
  <c r="M1835" i="20" s="1"/>
  <c r="AC1835" i="20" s="1"/>
  <c r="J1835" i="20"/>
  <c r="AA1834" i="20"/>
  <c r="V1834" i="20"/>
  <c r="W1834" i="20" s="1"/>
  <c r="X1834" i="20" s="1"/>
  <c r="S1834" i="20"/>
  <c r="K1834" i="20"/>
  <c r="J1834" i="20"/>
  <c r="AA1833" i="20"/>
  <c r="X1833" i="20"/>
  <c r="Z1833" i="20" s="1"/>
  <c r="W1833" i="20"/>
  <c r="V1833" i="20"/>
  <c r="S1833" i="20"/>
  <c r="M1833" i="20"/>
  <c r="L1833" i="20"/>
  <c r="K1833" i="20"/>
  <c r="J1833" i="20"/>
  <c r="P1833" i="20" s="1"/>
  <c r="AA1832" i="20"/>
  <c r="Y1832" i="20"/>
  <c r="V1832" i="20"/>
  <c r="W1832" i="20" s="1"/>
  <c r="X1832" i="20" s="1"/>
  <c r="Z1832" i="20" s="1"/>
  <c r="S1832" i="20"/>
  <c r="K1832" i="20"/>
  <c r="M1832" i="20" s="1"/>
  <c r="J1832" i="20"/>
  <c r="AA1831" i="20"/>
  <c r="W1831" i="20"/>
  <c r="X1831" i="20" s="1"/>
  <c r="V1831" i="20"/>
  <c r="S1831" i="20"/>
  <c r="K1831" i="20"/>
  <c r="L1831" i="20" s="1"/>
  <c r="J1831" i="20"/>
  <c r="AA1830" i="20"/>
  <c r="W1830" i="20"/>
  <c r="X1830" i="20" s="1"/>
  <c r="V1830" i="20"/>
  <c r="S1830" i="20"/>
  <c r="L1830" i="20"/>
  <c r="K1830" i="20"/>
  <c r="M1830" i="20" s="1"/>
  <c r="J1830" i="20"/>
  <c r="AA1829" i="20"/>
  <c r="X1829" i="20"/>
  <c r="V1829" i="20"/>
  <c r="W1829" i="20" s="1"/>
  <c r="S1829" i="20"/>
  <c r="Q1829" i="20"/>
  <c r="K1829" i="20"/>
  <c r="M1829" i="20" s="1"/>
  <c r="AC1829" i="20" s="1"/>
  <c r="J1829" i="20"/>
  <c r="AB1828" i="20"/>
  <c r="AA1828" i="20"/>
  <c r="W1828" i="20"/>
  <c r="X1828" i="20" s="1"/>
  <c r="V1828" i="20"/>
  <c r="S1828" i="20"/>
  <c r="L1828" i="20"/>
  <c r="K1828" i="20"/>
  <c r="M1828" i="20" s="1"/>
  <c r="J1828" i="20"/>
  <c r="AC1827" i="20"/>
  <c r="AA1827" i="20"/>
  <c r="V1827" i="20"/>
  <c r="W1827" i="20" s="1"/>
  <c r="X1827" i="20" s="1"/>
  <c r="S1827" i="20"/>
  <c r="M1827" i="20"/>
  <c r="Q1827" i="20" s="1"/>
  <c r="L1827" i="20"/>
  <c r="K1827" i="20"/>
  <c r="J1827" i="20"/>
  <c r="I41" i="2" s="1"/>
  <c r="AC1826" i="20"/>
  <c r="AB1826" i="20"/>
  <c r="AA1826" i="20"/>
  <c r="V1826" i="20"/>
  <c r="W1826" i="20" s="1"/>
  <c r="X1826" i="20" s="1"/>
  <c r="U1826" i="20"/>
  <c r="S1826" i="20"/>
  <c r="O1826" i="20"/>
  <c r="M1826" i="20"/>
  <c r="Q1826" i="20" s="1"/>
  <c r="L1826" i="20"/>
  <c r="P1826" i="20" s="1"/>
  <c r="K1826" i="20"/>
  <c r="J1826" i="20"/>
  <c r="AA1825" i="20"/>
  <c r="V1825" i="20"/>
  <c r="W1825" i="20" s="1"/>
  <c r="X1825" i="20" s="1"/>
  <c r="Z1825" i="20" s="1"/>
  <c r="U1825" i="20"/>
  <c r="S1825" i="20"/>
  <c r="O1825" i="20"/>
  <c r="N1825" i="20"/>
  <c r="M1825" i="20"/>
  <c r="Q1825" i="20" s="1"/>
  <c r="K1825" i="20"/>
  <c r="L1825" i="20" s="1"/>
  <c r="J1825" i="20"/>
  <c r="AC1824" i="20"/>
  <c r="AA1824" i="20"/>
  <c r="V1824" i="20"/>
  <c r="W1824" i="20" s="1"/>
  <c r="X1824" i="20" s="1"/>
  <c r="U1824" i="20"/>
  <c r="S1824" i="20"/>
  <c r="P1824" i="20"/>
  <c r="O1824" i="20"/>
  <c r="N1824" i="20"/>
  <c r="M1824" i="20"/>
  <c r="Q1824" i="20" s="1"/>
  <c r="K1824" i="20"/>
  <c r="L1824" i="20" s="1"/>
  <c r="AB1824" i="20" s="1"/>
  <c r="J1824" i="20"/>
  <c r="AA1823" i="20"/>
  <c r="V1823" i="20"/>
  <c r="W1823" i="20" s="1"/>
  <c r="X1823" i="20" s="1"/>
  <c r="U1823" i="20"/>
  <c r="S1823" i="20"/>
  <c r="O1823" i="20"/>
  <c r="M1823" i="20"/>
  <c r="L1823" i="20"/>
  <c r="K1823" i="20"/>
  <c r="J1823" i="20"/>
  <c r="AB1822" i="20"/>
  <c r="AA1822" i="20"/>
  <c r="V1822" i="20"/>
  <c r="W1822" i="20" s="1"/>
  <c r="X1822" i="20" s="1"/>
  <c r="U1822" i="20"/>
  <c r="S1822" i="20"/>
  <c r="Q1822" i="20"/>
  <c r="P1822" i="20"/>
  <c r="O1822" i="20"/>
  <c r="N1822" i="20"/>
  <c r="M1822" i="20"/>
  <c r="AC1822" i="20" s="1"/>
  <c r="L1822" i="20"/>
  <c r="K1822" i="20"/>
  <c r="J1822" i="20"/>
  <c r="AA1821" i="20"/>
  <c r="V1821" i="20"/>
  <c r="W1821" i="20" s="1"/>
  <c r="X1821" i="20" s="1"/>
  <c r="U1821" i="20"/>
  <c r="S1821" i="20"/>
  <c r="O1821" i="20"/>
  <c r="M1821" i="20"/>
  <c r="K1821" i="20"/>
  <c r="L1821" i="20" s="1"/>
  <c r="J1821" i="20"/>
  <c r="AA1820" i="20"/>
  <c r="Z1820" i="20"/>
  <c r="V1820" i="20"/>
  <c r="W1820" i="20" s="1"/>
  <c r="X1820" i="20" s="1"/>
  <c r="Y1820" i="20" s="1"/>
  <c r="U1820" i="20"/>
  <c r="S1820" i="20"/>
  <c r="O1820" i="20"/>
  <c r="K1820" i="20"/>
  <c r="J1820" i="20"/>
  <c r="AB1819" i="20"/>
  <c r="AA1819" i="20"/>
  <c r="V1819" i="20"/>
  <c r="W1819" i="20" s="1"/>
  <c r="X1819" i="20" s="1"/>
  <c r="U1819" i="20"/>
  <c r="S1819" i="20"/>
  <c r="O1819" i="20"/>
  <c r="M1819" i="20"/>
  <c r="K1819" i="20"/>
  <c r="L1819" i="20" s="1"/>
  <c r="P1819" i="20" s="1"/>
  <c r="J1819" i="20"/>
  <c r="AA1818" i="20"/>
  <c r="Y1818" i="20"/>
  <c r="X1818" i="20"/>
  <c r="Z1818" i="20" s="1"/>
  <c r="W1818" i="20"/>
  <c r="V1818" i="20"/>
  <c r="U1818" i="20"/>
  <c r="S1818" i="20"/>
  <c r="O1818" i="20"/>
  <c r="L1818" i="20"/>
  <c r="K1818" i="20"/>
  <c r="M1818" i="20" s="1"/>
  <c r="J1818" i="20"/>
  <c r="AA1817" i="20"/>
  <c r="V1817" i="20"/>
  <c r="W1817" i="20" s="1"/>
  <c r="X1817" i="20" s="1"/>
  <c r="U1817" i="20"/>
  <c r="S1817" i="20"/>
  <c r="O1817" i="20"/>
  <c r="K1817" i="20"/>
  <c r="J1817" i="20"/>
  <c r="AA1816" i="20"/>
  <c r="W1816" i="20"/>
  <c r="X1816" i="20" s="1"/>
  <c r="V1816" i="20"/>
  <c r="U1816" i="20"/>
  <c r="S1816" i="20"/>
  <c r="O1816" i="20"/>
  <c r="M1816" i="20"/>
  <c r="L1816" i="20"/>
  <c r="AB1816" i="20" s="1"/>
  <c r="K1816" i="20"/>
  <c r="J1816" i="20"/>
  <c r="AA1815" i="20"/>
  <c r="V1815" i="20"/>
  <c r="W1815" i="20" s="1"/>
  <c r="X1815" i="20" s="1"/>
  <c r="Z1815" i="20" s="1"/>
  <c r="U1815" i="20"/>
  <c r="S1815" i="20"/>
  <c r="O1815" i="20"/>
  <c r="L1815" i="20"/>
  <c r="K1815" i="20"/>
  <c r="M1815" i="20" s="1"/>
  <c r="J1815" i="20"/>
  <c r="AA1814" i="20"/>
  <c r="V1814" i="20"/>
  <c r="W1814" i="20" s="1"/>
  <c r="X1814" i="20" s="1"/>
  <c r="Z1814" i="20" s="1"/>
  <c r="U1814" i="20"/>
  <c r="S1814" i="20"/>
  <c r="O1814" i="20"/>
  <c r="M1814" i="20"/>
  <c r="AC1814" i="20" s="1"/>
  <c r="L1814" i="20"/>
  <c r="K1814" i="20"/>
  <c r="J1814" i="20"/>
  <c r="AA1813" i="20"/>
  <c r="V1813" i="20"/>
  <c r="W1813" i="20" s="1"/>
  <c r="X1813" i="20" s="1"/>
  <c r="U1813" i="20"/>
  <c r="S1813" i="20"/>
  <c r="O1813" i="20"/>
  <c r="K1813" i="20"/>
  <c r="J1813" i="20"/>
  <c r="AA1812" i="20"/>
  <c r="Y1812" i="20"/>
  <c r="X1812" i="20"/>
  <c r="Z1812" i="20" s="1"/>
  <c r="W1812" i="20"/>
  <c r="V1812" i="20"/>
  <c r="U1812" i="20"/>
  <c r="S1812" i="20"/>
  <c r="Q1812" i="20"/>
  <c r="O1812" i="20"/>
  <c r="K1812" i="20"/>
  <c r="M1812" i="20" s="1"/>
  <c r="AC1812" i="20" s="1"/>
  <c r="J1812" i="20"/>
  <c r="AC1811" i="20"/>
  <c r="AA1811" i="20"/>
  <c r="V1811" i="20"/>
  <c r="W1811" i="20" s="1"/>
  <c r="X1811" i="20" s="1"/>
  <c r="U1811" i="20"/>
  <c r="S1811" i="20"/>
  <c r="L1811" i="20"/>
  <c r="K1811" i="20"/>
  <c r="M1811" i="20" s="1"/>
  <c r="Q1811" i="20" s="1"/>
  <c r="AA1810" i="20"/>
  <c r="Y1810" i="20"/>
  <c r="W1810" i="20"/>
  <c r="X1810" i="20" s="1"/>
  <c r="Z1810" i="20" s="1"/>
  <c r="J1810" i="20" s="1"/>
  <c r="V1810" i="20"/>
  <c r="U1810" i="20"/>
  <c r="S1810" i="20"/>
  <c r="M1810" i="20"/>
  <c r="L1810" i="20"/>
  <c r="K1810" i="20"/>
  <c r="AA1809" i="20"/>
  <c r="W1809" i="20"/>
  <c r="X1809" i="20" s="1"/>
  <c r="Y1809" i="20" s="1"/>
  <c r="V1809" i="20"/>
  <c r="U1809" i="20"/>
  <c r="S1809" i="20"/>
  <c r="M1809" i="20"/>
  <c r="L1809" i="20"/>
  <c r="K1809" i="20"/>
  <c r="AC1808" i="20"/>
  <c r="AA1808" i="20"/>
  <c r="Z1808" i="20"/>
  <c r="J1808" i="20" s="1"/>
  <c r="Y1808" i="20"/>
  <c r="W1808" i="20"/>
  <c r="X1808" i="20" s="1"/>
  <c r="V1808" i="20"/>
  <c r="U1808" i="20"/>
  <c r="S1808" i="20"/>
  <c r="L1808" i="20"/>
  <c r="K1808" i="20"/>
  <c r="M1808" i="20" s="1"/>
  <c r="Q1808" i="20" s="1"/>
  <c r="AA1807" i="20"/>
  <c r="Y1807" i="20"/>
  <c r="X1807" i="20"/>
  <c r="Z1807" i="20" s="1"/>
  <c r="J1807" i="20" s="1"/>
  <c r="W1807" i="20"/>
  <c r="V1807" i="20"/>
  <c r="U1807" i="20"/>
  <c r="S1807" i="20"/>
  <c r="K1807" i="20"/>
  <c r="AB1806" i="20"/>
  <c r="AA1806" i="20"/>
  <c r="X1806" i="20"/>
  <c r="W1806" i="20"/>
  <c r="V1806" i="20"/>
  <c r="U1806" i="20"/>
  <c r="S1806" i="20"/>
  <c r="P1806" i="20"/>
  <c r="L1806" i="20"/>
  <c r="K1806" i="20"/>
  <c r="M1806" i="20" s="1"/>
  <c r="AA1805" i="20"/>
  <c r="V1805" i="20"/>
  <c r="W1805" i="20" s="1"/>
  <c r="X1805" i="20" s="1"/>
  <c r="U1805" i="20"/>
  <c r="S1805" i="20"/>
  <c r="K1805" i="20"/>
  <c r="M1805" i="20" s="1"/>
  <c r="AC1805" i="20" s="1"/>
  <c r="AA1804" i="20"/>
  <c r="W1804" i="20"/>
  <c r="X1804" i="20" s="1"/>
  <c r="V1804" i="20"/>
  <c r="U1804" i="20"/>
  <c r="S1804" i="20"/>
  <c r="K1804" i="20"/>
  <c r="AA1803" i="20"/>
  <c r="Z1803" i="20"/>
  <c r="J1803" i="20" s="1"/>
  <c r="W1803" i="20"/>
  <c r="X1803" i="20" s="1"/>
  <c r="Y1803" i="20" s="1"/>
  <c r="V1803" i="20"/>
  <c r="U1803" i="20"/>
  <c r="S1803" i="20"/>
  <c r="K1803" i="20"/>
  <c r="AC1802" i="20"/>
  <c r="AB1802" i="20"/>
  <c r="AA1802" i="20"/>
  <c r="W1802" i="20"/>
  <c r="X1802" i="20" s="1"/>
  <c r="Y1802" i="20" s="1"/>
  <c r="V1802" i="20"/>
  <c r="U1802" i="20"/>
  <c r="S1802" i="20"/>
  <c r="P1802" i="20"/>
  <c r="M1802" i="20"/>
  <c r="Q1802" i="20" s="1"/>
  <c r="L1802" i="20"/>
  <c r="N1802" i="20" s="1"/>
  <c r="O1802" i="20" s="1"/>
  <c r="K1802" i="20"/>
  <c r="AA1801" i="20"/>
  <c r="W1801" i="20"/>
  <c r="X1801" i="20" s="1"/>
  <c r="Y1801" i="20" s="1"/>
  <c r="V1801" i="20"/>
  <c r="U1801" i="20"/>
  <c r="S1801" i="20"/>
  <c r="P1801" i="20"/>
  <c r="M1801" i="20"/>
  <c r="L1801" i="20"/>
  <c r="K1801" i="20"/>
  <c r="AA1800" i="20"/>
  <c r="V1800" i="20"/>
  <c r="W1800" i="20" s="1"/>
  <c r="X1800" i="20" s="1"/>
  <c r="U1800" i="20"/>
  <c r="S1800" i="20"/>
  <c r="Q1800" i="20"/>
  <c r="P1800" i="20"/>
  <c r="M1800" i="20"/>
  <c r="AC1800" i="20" s="1"/>
  <c r="L1800" i="20"/>
  <c r="AB1800" i="20" s="1"/>
  <c r="K1800" i="20"/>
  <c r="AA1799" i="20"/>
  <c r="W1799" i="20"/>
  <c r="X1799" i="20" s="1"/>
  <c r="V1799" i="20"/>
  <c r="U1799" i="20"/>
  <c r="S1799" i="20"/>
  <c r="K1799" i="20"/>
  <c r="M1799" i="20" s="1"/>
  <c r="AB1798" i="20"/>
  <c r="AA1798" i="20"/>
  <c r="V1798" i="20"/>
  <c r="W1798" i="20" s="1"/>
  <c r="X1798" i="20" s="1"/>
  <c r="U1798" i="20"/>
  <c r="S1798" i="20"/>
  <c r="Q1798" i="20"/>
  <c r="P1798" i="20"/>
  <c r="M1798" i="20"/>
  <c r="AC1798" i="20" s="1"/>
  <c r="L1798" i="20"/>
  <c r="K1798" i="20"/>
  <c r="AA1797" i="20"/>
  <c r="Z1797" i="20"/>
  <c r="X1797" i="20"/>
  <c r="Y1797" i="20" s="1"/>
  <c r="W1797" i="20"/>
  <c r="V1797" i="20"/>
  <c r="U1797" i="20"/>
  <c r="S1797" i="20"/>
  <c r="M1797" i="20"/>
  <c r="L1797" i="20"/>
  <c r="K1797" i="20"/>
  <c r="J1797" i="20"/>
  <c r="AC1796" i="20"/>
  <c r="AA1796" i="20"/>
  <c r="V1796" i="20"/>
  <c r="W1796" i="20" s="1"/>
  <c r="X1796" i="20" s="1"/>
  <c r="S1796" i="20"/>
  <c r="K1796" i="20"/>
  <c r="M1796" i="20" s="1"/>
  <c r="Q1796" i="20" s="1"/>
  <c r="J1796" i="20"/>
  <c r="AA1795" i="20"/>
  <c r="X1795" i="20"/>
  <c r="W1795" i="20"/>
  <c r="V1795" i="20"/>
  <c r="S1795" i="20"/>
  <c r="Q1795" i="20"/>
  <c r="M1795" i="20"/>
  <c r="AC1795" i="20" s="1"/>
  <c r="L1795" i="20"/>
  <c r="K1795" i="20"/>
  <c r="J1795" i="20"/>
  <c r="AC1794" i="20"/>
  <c r="AA1794" i="20"/>
  <c r="Z1794" i="20"/>
  <c r="Y1794" i="20"/>
  <c r="V1794" i="20"/>
  <c r="W1794" i="20" s="1"/>
  <c r="X1794" i="20" s="1"/>
  <c r="S1794" i="20"/>
  <c r="Q1794" i="20"/>
  <c r="K1794" i="20"/>
  <c r="M1794" i="20" s="1"/>
  <c r="J1794" i="20"/>
  <c r="AA1793" i="20"/>
  <c r="W1793" i="20"/>
  <c r="X1793" i="20" s="1"/>
  <c r="V1793" i="20"/>
  <c r="S1793" i="20"/>
  <c r="M1793" i="20"/>
  <c r="L1793" i="20"/>
  <c r="K1793" i="20"/>
  <c r="J1793" i="20"/>
  <c r="AA1792" i="20"/>
  <c r="V1792" i="20"/>
  <c r="W1792" i="20" s="1"/>
  <c r="X1792" i="20" s="1"/>
  <c r="Z1792" i="20" s="1"/>
  <c r="S1792" i="20"/>
  <c r="K1792" i="20"/>
  <c r="J1792" i="20"/>
  <c r="AA1791" i="20"/>
  <c r="X1791" i="20"/>
  <c r="Z1791" i="20" s="1"/>
  <c r="W1791" i="20"/>
  <c r="V1791" i="20"/>
  <c r="S1791" i="20"/>
  <c r="K1791" i="20"/>
  <c r="M1791" i="20" s="1"/>
  <c r="J1791" i="20"/>
  <c r="AA1790" i="20"/>
  <c r="W1790" i="20"/>
  <c r="X1790" i="20" s="1"/>
  <c r="V1790" i="20"/>
  <c r="S1790" i="20"/>
  <c r="M1790" i="20"/>
  <c r="K1790" i="20"/>
  <c r="L1790" i="20" s="1"/>
  <c r="AB1790" i="20" s="1"/>
  <c r="J1790" i="20"/>
  <c r="P1790" i="20" s="1"/>
  <c r="AA1789" i="20"/>
  <c r="V1789" i="20"/>
  <c r="W1789" i="20" s="1"/>
  <c r="X1789" i="20" s="1"/>
  <c r="Y1789" i="20" s="1"/>
  <c r="S1789" i="20"/>
  <c r="M1789" i="20"/>
  <c r="AC1789" i="20" s="1"/>
  <c r="L1789" i="20"/>
  <c r="K1789" i="20"/>
  <c r="J1789" i="20"/>
  <c r="AA1788" i="20"/>
  <c r="V1788" i="20"/>
  <c r="W1788" i="20" s="1"/>
  <c r="X1788" i="20" s="1"/>
  <c r="S1788" i="20"/>
  <c r="Q1788" i="20"/>
  <c r="M1788" i="20"/>
  <c r="AC1788" i="20" s="1"/>
  <c r="L1788" i="20"/>
  <c r="K1788" i="20"/>
  <c r="J1788" i="20"/>
  <c r="AA1787" i="20"/>
  <c r="V1787" i="20"/>
  <c r="W1787" i="20" s="1"/>
  <c r="X1787" i="20" s="1"/>
  <c r="S1787" i="20"/>
  <c r="L1787" i="20"/>
  <c r="K1787" i="20"/>
  <c r="M1787" i="20" s="1"/>
  <c r="J1787" i="20"/>
  <c r="AA1786" i="20"/>
  <c r="W1786" i="20"/>
  <c r="X1786" i="20" s="1"/>
  <c r="V1786" i="20"/>
  <c r="S1786" i="20"/>
  <c r="K1786" i="20"/>
  <c r="J1786" i="20"/>
  <c r="AA1785" i="20"/>
  <c r="Z1785" i="20"/>
  <c r="Y1785" i="20"/>
  <c r="X1785" i="20"/>
  <c r="W1785" i="20"/>
  <c r="V1785" i="20"/>
  <c r="S1785" i="20"/>
  <c r="L1785" i="20"/>
  <c r="K1785" i="20"/>
  <c r="M1785" i="20" s="1"/>
  <c r="J1785" i="20"/>
  <c r="AC1784" i="20"/>
  <c r="AA1784" i="20"/>
  <c r="Z1784" i="20"/>
  <c r="W1784" i="20"/>
  <c r="X1784" i="20" s="1"/>
  <c r="Y1784" i="20" s="1"/>
  <c r="V1784" i="20"/>
  <c r="S1784" i="20"/>
  <c r="M1784" i="20"/>
  <c r="Q1784" i="20" s="1"/>
  <c r="L1784" i="20"/>
  <c r="K1784" i="20"/>
  <c r="J1784" i="20"/>
  <c r="AA1783" i="20"/>
  <c r="Y1783" i="20"/>
  <c r="W1783" i="20"/>
  <c r="X1783" i="20" s="1"/>
  <c r="Z1783" i="20" s="1"/>
  <c r="V1783" i="20"/>
  <c r="S1783" i="20"/>
  <c r="K1783" i="20"/>
  <c r="J1783" i="20"/>
  <c r="I40" i="2" s="1"/>
  <c r="AC1782" i="20"/>
  <c r="AA1782" i="20"/>
  <c r="AB1782" i="20" s="1"/>
  <c r="X1782" i="20"/>
  <c r="Y1782" i="20" s="1"/>
  <c r="W1782" i="20"/>
  <c r="V1782" i="20"/>
  <c r="S1782" i="20"/>
  <c r="Q1782" i="20"/>
  <c r="P1782" i="20"/>
  <c r="M1782" i="20"/>
  <c r="K1782" i="20"/>
  <c r="L1782" i="20" s="1"/>
  <c r="J1782" i="20"/>
  <c r="AA1781" i="20"/>
  <c r="V1781" i="20"/>
  <c r="W1781" i="20" s="1"/>
  <c r="X1781" i="20" s="1"/>
  <c r="U1781" i="20"/>
  <c r="S1781" i="20"/>
  <c r="Q1781" i="20"/>
  <c r="K1781" i="20"/>
  <c r="M1781" i="20" s="1"/>
  <c r="AC1781" i="20" s="1"/>
  <c r="AC1780" i="20"/>
  <c r="AB1780" i="20"/>
  <c r="AA1780" i="20"/>
  <c r="W1780" i="20"/>
  <c r="X1780" i="20" s="1"/>
  <c r="V1780" i="20"/>
  <c r="U1780" i="20"/>
  <c r="S1780" i="20"/>
  <c r="M1780" i="20"/>
  <c r="Q1780" i="20" s="1"/>
  <c r="L1780" i="20"/>
  <c r="K1780" i="20"/>
  <c r="AA1779" i="20"/>
  <c r="X1779" i="20"/>
  <c r="V1779" i="20"/>
  <c r="W1779" i="20" s="1"/>
  <c r="U1779" i="20"/>
  <c r="S1779" i="20"/>
  <c r="L1779" i="20"/>
  <c r="K1779" i="20"/>
  <c r="M1779" i="20" s="1"/>
  <c r="AC1778" i="20"/>
  <c r="AA1778" i="20"/>
  <c r="W1778" i="20"/>
  <c r="X1778" i="20" s="1"/>
  <c r="V1778" i="20"/>
  <c r="U1778" i="20"/>
  <c r="S1778" i="20"/>
  <c r="M1778" i="20"/>
  <c r="Q1778" i="20" s="1"/>
  <c r="K1778" i="20"/>
  <c r="L1778" i="20" s="1"/>
  <c r="AB1778" i="20" s="1"/>
  <c r="AA1777" i="20"/>
  <c r="V1777" i="20"/>
  <c r="W1777" i="20" s="1"/>
  <c r="X1777" i="20" s="1"/>
  <c r="U1777" i="20"/>
  <c r="S1777" i="20"/>
  <c r="P1777" i="20"/>
  <c r="L1777" i="20"/>
  <c r="K1777" i="20"/>
  <c r="M1777" i="20" s="1"/>
  <c r="AC1777" i="20" s="1"/>
  <c r="AC1776" i="20"/>
  <c r="AB1776" i="20"/>
  <c r="AA1776" i="20"/>
  <c r="Z1776" i="20"/>
  <c r="J1776" i="20" s="1"/>
  <c r="V1776" i="20"/>
  <c r="W1776" i="20" s="1"/>
  <c r="X1776" i="20" s="1"/>
  <c r="Y1776" i="20" s="1"/>
  <c r="U1776" i="20"/>
  <c r="S1776" i="20"/>
  <c r="Q1776" i="20"/>
  <c r="P1776" i="20"/>
  <c r="O1776" i="20"/>
  <c r="N1776" i="20"/>
  <c r="L1776" i="20"/>
  <c r="K1776" i="20"/>
  <c r="M1776" i="20" s="1"/>
  <c r="AA1775" i="20"/>
  <c r="Y1775" i="20"/>
  <c r="X1775" i="20"/>
  <c r="Z1775" i="20" s="1"/>
  <c r="J1775" i="20" s="1"/>
  <c r="W1775" i="20"/>
  <c r="V1775" i="20"/>
  <c r="U1775" i="20"/>
  <c r="S1775" i="20"/>
  <c r="L1775" i="20"/>
  <c r="K1775" i="20"/>
  <c r="M1775" i="20" s="1"/>
  <c r="AC1774" i="20"/>
  <c r="AB1774" i="20"/>
  <c r="AA1774" i="20"/>
  <c r="X1774" i="20"/>
  <c r="V1774" i="20"/>
  <c r="W1774" i="20" s="1"/>
  <c r="U1774" i="20"/>
  <c r="S1774" i="20"/>
  <c r="Q1774" i="20"/>
  <c r="P1774" i="20"/>
  <c r="O1774" i="20"/>
  <c r="M1774" i="20"/>
  <c r="L1774" i="20"/>
  <c r="N1774" i="20" s="1"/>
  <c r="K1774" i="20"/>
  <c r="AA1773" i="20"/>
  <c r="V1773" i="20"/>
  <c r="W1773" i="20" s="1"/>
  <c r="X1773" i="20" s="1"/>
  <c r="U1773" i="20"/>
  <c r="S1773" i="20"/>
  <c r="Q1773" i="20"/>
  <c r="K1773" i="20"/>
  <c r="M1773" i="20" s="1"/>
  <c r="AC1773" i="20" s="1"/>
  <c r="AA1772" i="20"/>
  <c r="X1772" i="20"/>
  <c r="W1772" i="20"/>
  <c r="V1772" i="20"/>
  <c r="U1772" i="20"/>
  <c r="S1772" i="20"/>
  <c r="K1772" i="20"/>
  <c r="AB1771" i="20"/>
  <c r="AA1771" i="20"/>
  <c r="V1771" i="20"/>
  <c r="W1771" i="20" s="1"/>
  <c r="X1771" i="20" s="1"/>
  <c r="U1771" i="20"/>
  <c r="S1771" i="20"/>
  <c r="Q1771" i="20"/>
  <c r="P1771" i="20"/>
  <c r="N1771" i="20"/>
  <c r="O1771" i="20" s="1"/>
  <c r="M1771" i="20"/>
  <c r="AC1771" i="20" s="1"/>
  <c r="L1771" i="20"/>
  <c r="K1771" i="20"/>
  <c r="AA1770" i="20"/>
  <c r="V1770" i="20"/>
  <c r="W1770" i="20" s="1"/>
  <c r="X1770" i="20" s="1"/>
  <c r="U1770" i="20"/>
  <c r="S1770" i="20"/>
  <c r="K1770" i="20"/>
  <c r="L1770" i="20" s="1"/>
  <c r="AA1769" i="20"/>
  <c r="Z1769" i="20"/>
  <c r="J1769" i="20" s="1"/>
  <c r="V1769" i="20"/>
  <c r="W1769" i="20" s="1"/>
  <c r="X1769" i="20" s="1"/>
  <c r="Y1769" i="20" s="1"/>
  <c r="U1769" i="20"/>
  <c r="S1769" i="20"/>
  <c r="M1769" i="20"/>
  <c r="AC1769" i="20" s="1"/>
  <c r="L1769" i="20"/>
  <c r="K1769" i="20"/>
  <c r="AB1768" i="20"/>
  <c r="AA1768" i="20"/>
  <c r="X1768" i="20"/>
  <c r="V1768" i="20"/>
  <c r="W1768" i="20" s="1"/>
  <c r="U1768" i="20"/>
  <c r="S1768" i="20"/>
  <c r="P1768" i="20"/>
  <c r="L1768" i="20"/>
  <c r="K1768" i="20"/>
  <c r="M1768" i="20" s="1"/>
  <c r="AB1767" i="20"/>
  <c r="AA1767" i="20"/>
  <c r="V1767" i="20"/>
  <c r="W1767" i="20" s="1"/>
  <c r="X1767" i="20" s="1"/>
  <c r="U1767" i="20"/>
  <c r="S1767" i="20"/>
  <c r="P1767" i="20"/>
  <c r="M1767" i="20"/>
  <c r="L1767" i="20"/>
  <c r="K1767" i="20"/>
  <c r="AA1766" i="20"/>
  <c r="V1766" i="20"/>
  <c r="W1766" i="20" s="1"/>
  <c r="X1766" i="20" s="1"/>
  <c r="S1766" i="20"/>
  <c r="K1766" i="20"/>
  <c r="M1766" i="20" s="1"/>
  <c r="AC1766" i="20" s="1"/>
  <c r="J1766" i="20"/>
  <c r="AA1765" i="20"/>
  <c r="Z1765" i="20"/>
  <c r="Y1765" i="20"/>
  <c r="X1765" i="20"/>
  <c r="W1765" i="20"/>
  <c r="V1765" i="20"/>
  <c r="S1765" i="20"/>
  <c r="M1765" i="20"/>
  <c r="L1765" i="20"/>
  <c r="K1765" i="20"/>
  <c r="J1765" i="20"/>
  <c r="AA1764" i="20"/>
  <c r="AB1764" i="20" s="1"/>
  <c r="Y1764" i="20"/>
  <c r="X1764" i="20"/>
  <c r="Z1764" i="20" s="1"/>
  <c r="V1764" i="20"/>
  <c r="W1764" i="20" s="1"/>
  <c r="S1764" i="20"/>
  <c r="K1764" i="20"/>
  <c r="L1764" i="20" s="1"/>
  <c r="J1764" i="20"/>
  <c r="AA1763" i="20"/>
  <c r="W1763" i="20"/>
  <c r="X1763" i="20" s="1"/>
  <c r="V1763" i="20"/>
  <c r="S1763" i="20"/>
  <c r="M1763" i="20"/>
  <c r="K1763" i="20"/>
  <c r="L1763" i="20" s="1"/>
  <c r="J1763" i="20"/>
  <c r="AC1762" i="20"/>
  <c r="AB1762" i="20"/>
  <c r="AA1762" i="20"/>
  <c r="W1762" i="20"/>
  <c r="X1762" i="20" s="1"/>
  <c r="V1762" i="20"/>
  <c r="S1762" i="20"/>
  <c r="M1762" i="20"/>
  <c r="Q1762" i="20" s="1"/>
  <c r="L1762" i="20"/>
  <c r="P1762" i="20" s="1"/>
  <c r="K1762" i="20"/>
  <c r="J1762" i="20"/>
  <c r="AA1761" i="20"/>
  <c r="V1761" i="20"/>
  <c r="W1761" i="20" s="1"/>
  <c r="X1761" i="20" s="1"/>
  <c r="S1761" i="20"/>
  <c r="K1761" i="20"/>
  <c r="J1761" i="20"/>
  <c r="AA1760" i="20"/>
  <c r="AB1760" i="20" s="1"/>
  <c r="Y1760" i="20"/>
  <c r="X1760" i="20"/>
  <c r="Z1760" i="20" s="1"/>
  <c r="V1760" i="20"/>
  <c r="W1760" i="20" s="1"/>
  <c r="S1760" i="20"/>
  <c r="M1760" i="20"/>
  <c r="L1760" i="20"/>
  <c r="K1760" i="20"/>
  <c r="J1760" i="20"/>
  <c r="AB1759" i="20"/>
  <c r="AA1759" i="20"/>
  <c r="Z1759" i="20"/>
  <c r="Y1759" i="20"/>
  <c r="V1759" i="20"/>
  <c r="W1759" i="20" s="1"/>
  <c r="X1759" i="20" s="1"/>
  <c r="S1759" i="20"/>
  <c r="M1759" i="20"/>
  <c r="L1759" i="20"/>
  <c r="K1759" i="20"/>
  <c r="J1759" i="20"/>
  <c r="AA1758" i="20"/>
  <c r="Y1758" i="20"/>
  <c r="V1758" i="20"/>
  <c r="W1758" i="20" s="1"/>
  <c r="X1758" i="20" s="1"/>
  <c r="Z1758" i="20" s="1"/>
  <c r="S1758" i="20"/>
  <c r="K1758" i="20"/>
  <c r="J1758" i="20"/>
  <c r="AA1757" i="20"/>
  <c r="AB1757" i="20" s="1"/>
  <c r="W1757" i="20"/>
  <c r="X1757" i="20" s="1"/>
  <c r="Y1757" i="20" s="1"/>
  <c r="V1757" i="20"/>
  <c r="S1757" i="20"/>
  <c r="M1757" i="20"/>
  <c r="AC1757" i="20" s="1"/>
  <c r="L1757" i="20"/>
  <c r="K1757" i="20"/>
  <c r="J1757" i="20"/>
  <c r="AA1756" i="20"/>
  <c r="V1756" i="20"/>
  <c r="W1756" i="20" s="1"/>
  <c r="X1756" i="20" s="1"/>
  <c r="S1756" i="20"/>
  <c r="K1756" i="20"/>
  <c r="J1756" i="20"/>
  <c r="AC1755" i="20"/>
  <c r="AB1755" i="20"/>
  <c r="AA1755" i="20"/>
  <c r="V1755" i="20"/>
  <c r="W1755" i="20" s="1"/>
  <c r="X1755" i="20" s="1"/>
  <c r="Z1755" i="20" s="1"/>
  <c r="S1755" i="20"/>
  <c r="Q1755" i="20"/>
  <c r="N1755" i="20"/>
  <c r="O1755" i="20" s="1"/>
  <c r="L1755" i="20"/>
  <c r="K1755" i="20"/>
  <c r="M1755" i="20" s="1"/>
  <c r="J1755" i="20"/>
  <c r="I39" i="2" s="1"/>
  <c r="AA1754" i="20"/>
  <c r="X1754" i="20"/>
  <c r="W1754" i="20"/>
  <c r="V1754" i="20"/>
  <c r="S1754" i="20"/>
  <c r="M1754" i="20"/>
  <c r="K1754" i="20"/>
  <c r="L1754" i="20" s="1"/>
  <c r="J1754" i="20"/>
  <c r="AA1753" i="20"/>
  <c r="Z1753" i="20"/>
  <c r="Y1753" i="20"/>
  <c r="X1753" i="20"/>
  <c r="W1753" i="20"/>
  <c r="V1753" i="20"/>
  <c r="S1753" i="20"/>
  <c r="M1753" i="20"/>
  <c r="AC1753" i="20" s="1"/>
  <c r="L1753" i="20"/>
  <c r="K1753" i="20"/>
  <c r="J1753" i="20"/>
  <c r="AC1752" i="20"/>
  <c r="AA1752" i="20"/>
  <c r="Z1752" i="20"/>
  <c r="Y1752" i="20"/>
  <c r="V1752" i="20"/>
  <c r="W1752" i="20" s="1"/>
  <c r="X1752" i="20" s="1"/>
  <c r="S1752" i="20"/>
  <c r="L1752" i="20"/>
  <c r="K1752" i="20"/>
  <c r="M1752" i="20" s="1"/>
  <c r="Q1752" i="20" s="1"/>
  <c r="J1752" i="20"/>
  <c r="AA1751" i="20"/>
  <c r="Y1751" i="20"/>
  <c r="X1751" i="20"/>
  <c r="W1751" i="20"/>
  <c r="V1751" i="20"/>
  <c r="U1751" i="20"/>
  <c r="S1751" i="20"/>
  <c r="O1751" i="20"/>
  <c r="N1751" i="20"/>
  <c r="L1751" i="20"/>
  <c r="K1751" i="20"/>
  <c r="M1751" i="20" s="1"/>
  <c r="AC1751" i="20" s="1"/>
  <c r="AC1750" i="20"/>
  <c r="AB1750" i="20"/>
  <c r="AA1750" i="20"/>
  <c r="Y1750" i="20"/>
  <c r="X1750" i="20"/>
  <c r="V1750" i="20"/>
  <c r="W1750" i="20" s="1"/>
  <c r="U1750" i="20"/>
  <c r="S1750" i="20"/>
  <c r="P1750" i="20"/>
  <c r="M1750" i="20"/>
  <c r="Q1750" i="20" s="1"/>
  <c r="K1750" i="20"/>
  <c r="L1750" i="20" s="1"/>
  <c r="AA1749" i="20"/>
  <c r="W1749" i="20"/>
  <c r="X1749" i="20" s="1"/>
  <c r="V1749" i="20"/>
  <c r="U1749" i="20"/>
  <c r="S1749" i="20"/>
  <c r="M1749" i="20"/>
  <c r="L1749" i="20"/>
  <c r="K1749" i="20"/>
  <c r="AA1748" i="20"/>
  <c r="W1748" i="20"/>
  <c r="X1748" i="20" s="1"/>
  <c r="V1748" i="20"/>
  <c r="U1748" i="20"/>
  <c r="S1748" i="20"/>
  <c r="M1748" i="20"/>
  <c r="K1748" i="20"/>
  <c r="L1748" i="20" s="1"/>
  <c r="AA1747" i="20"/>
  <c r="V1747" i="20"/>
  <c r="W1747" i="20" s="1"/>
  <c r="X1747" i="20" s="1"/>
  <c r="U1747" i="20"/>
  <c r="S1747" i="20"/>
  <c r="K1747" i="20"/>
  <c r="AC1746" i="20"/>
  <c r="AA1746" i="20"/>
  <c r="V1746" i="20"/>
  <c r="W1746" i="20" s="1"/>
  <c r="X1746" i="20" s="1"/>
  <c r="U1746" i="20"/>
  <c r="S1746" i="20"/>
  <c r="K1746" i="20"/>
  <c r="M1746" i="20" s="1"/>
  <c r="Q1746" i="20" s="1"/>
  <c r="AC1745" i="20"/>
  <c r="AB1745" i="20"/>
  <c r="AA1745" i="20"/>
  <c r="V1745" i="20"/>
  <c r="W1745" i="20" s="1"/>
  <c r="X1745" i="20" s="1"/>
  <c r="U1745" i="20"/>
  <c r="S1745" i="20"/>
  <c r="P1745" i="20"/>
  <c r="L1745" i="20"/>
  <c r="K1745" i="20"/>
  <c r="M1745" i="20" s="1"/>
  <c r="Q1745" i="20" s="1"/>
  <c r="AA1744" i="20"/>
  <c r="Z1744" i="20"/>
  <c r="J1744" i="20" s="1"/>
  <c r="Y1744" i="20"/>
  <c r="W1744" i="20"/>
  <c r="X1744" i="20" s="1"/>
  <c r="V1744" i="20"/>
  <c r="U1744" i="20"/>
  <c r="S1744" i="20"/>
  <c r="K1744" i="20"/>
  <c r="AC1743" i="20"/>
  <c r="AB1743" i="20"/>
  <c r="AA1743" i="20"/>
  <c r="X1743" i="20"/>
  <c r="Y1743" i="20" s="1"/>
  <c r="W1743" i="20"/>
  <c r="V1743" i="20"/>
  <c r="U1743" i="20"/>
  <c r="S1743" i="20"/>
  <c r="L1743" i="20"/>
  <c r="K1743" i="20"/>
  <c r="M1743" i="20" s="1"/>
  <c r="Q1743" i="20" s="1"/>
  <c r="AA1742" i="20"/>
  <c r="V1742" i="20"/>
  <c r="W1742" i="20" s="1"/>
  <c r="X1742" i="20" s="1"/>
  <c r="U1742" i="20"/>
  <c r="S1742" i="20"/>
  <c r="K1742" i="20"/>
  <c r="AC1741" i="20"/>
  <c r="AA1741" i="20"/>
  <c r="V1741" i="20"/>
  <c r="W1741" i="20" s="1"/>
  <c r="X1741" i="20" s="1"/>
  <c r="U1741" i="20"/>
  <c r="S1741" i="20"/>
  <c r="M1741" i="20"/>
  <c r="Q1741" i="20" s="1"/>
  <c r="L1741" i="20"/>
  <c r="K1741" i="20"/>
  <c r="AA1740" i="20"/>
  <c r="V1740" i="20"/>
  <c r="W1740" i="20" s="1"/>
  <c r="X1740" i="20" s="1"/>
  <c r="U1740" i="20"/>
  <c r="S1740" i="20"/>
  <c r="K1740" i="20"/>
  <c r="AC1739" i="20"/>
  <c r="AA1739" i="20"/>
  <c r="W1739" i="20"/>
  <c r="X1739" i="20" s="1"/>
  <c r="V1739" i="20"/>
  <c r="U1739" i="20"/>
  <c r="S1739" i="20"/>
  <c r="Q1739" i="20"/>
  <c r="M1739" i="20"/>
  <c r="K1739" i="20"/>
  <c r="L1739" i="20" s="1"/>
  <c r="AA1738" i="20"/>
  <c r="V1738" i="20"/>
  <c r="W1738" i="20" s="1"/>
  <c r="X1738" i="20" s="1"/>
  <c r="U1738" i="20"/>
  <c r="S1738" i="20"/>
  <c r="M1738" i="20"/>
  <c r="K1738" i="20"/>
  <c r="L1738" i="20" s="1"/>
  <c r="AA1737" i="20"/>
  <c r="Y1737" i="20"/>
  <c r="W1737" i="20"/>
  <c r="X1737" i="20" s="1"/>
  <c r="V1737" i="20"/>
  <c r="U1737" i="20"/>
  <c r="S1737" i="20"/>
  <c r="K1737" i="20"/>
  <c r="AA1736" i="20"/>
  <c r="X1736" i="20"/>
  <c r="V1736" i="20"/>
  <c r="W1736" i="20" s="1"/>
  <c r="U1736" i="20"/>
  <c r="S1736" i="20"/>
  <c r="M1736" i="20"/>
  <c r="L1736" i="20"/>
  <c r="K1736" i="20"/>
  <c r="AC1735" i="20"/>
  <c r="AB1735" i="20"/>
  <c r="AA1735" i="20"/>
  <c r="W1735" i="20"/>
  <c r="X1735" i="20" s="1"/>
  <c r="V1735" i="20"/>
  <c r="U1735" i="20"/>
  <c r="S1735" i="20"/>
  <c r="Q1735" i="20"/>
  <c r="P1735" i="20"/>
  <c r="N1735" i="20"/>
  <c r="O1735" i="20" s="1"/>
  <c r="M1735" i="20"/>
  <c r="L1735" i="20"/>
  <c r="K1735" i="20"/>
  <c r="AA1734" i="20"/>
  <c r="W1734" i="20"/>
  <c r="X1734" i="20" s="1"/>
  <c r="V1734" i="20"/>
  <c r="U1734" i="20"/>
  <c r="S1734" i="20"/>
  <c r="Q1734" i="20"/>
  <c r="P1734" i="20"/>
  <c r="M1734" i="20"/>
  <c r="AC1734" i="20" s="1"/>
  <c r="L1734" i="20"/>
  <c r="K1734" i="20"/>
  <c r="AC1733" i="20"/>
  <c r="AA1733" i="20"/>
  <c r="W1733" i="20"/>
  <c r="X1733" i="20" s="1"/>
  <c r="V1733" i="20"/>
  <c r="U1733" i="20"/>
  <c r="S1733" i="20"/>
  <c r="M1733" i="20"/>
  <c r="Q1733" i="20" s="1"/>
  <c r="L1733" i="20"/>
  <c r="K1733" i="20"/>
  <c r="AA1732" i="20"/>
  <c r="Y1732" i="20"/>
  <c r="V1732" i="20"/>
  <c r="W1732" i="20" s="1"/>
  <c r="X1732" i="20" s="1"/>
  <c r="U1732" i="20"/>
  <c r="S1732" i="20"/>
  <c r="K1732" i="20"/>
  <c r="AB1731" i="20"/>
  <c r="AA1731" i="20"/>
  <c r="W1731" i="20"/>
  <c r="X1731" i="20" s="1"/>
  <c r="Y1731" i="20" s="1"/>
  <c r="V1731" i="20"/>
  <c r="U1731" i="20"/>
  <c r="S1731" i="20"/>
  <c r="P1731" i="20"/>
  <c r="N1731" i="20"/>
  <c r="O1731" i="20" s="1"/>
  <c r="M1731" i="20"/>
  <c r="L1731" i="20"/>
  <c r="K1731" i="20"/>
  <c r="AA1730" i="20"/>
  <c r="Y1730" i="20"/>
  <c r="X1730" i="20"/>
  <c r="W1730" i="20"/>
  <c r="V1730" i="20"/>
  <c r="U1730" i="20"/>
  <c r="S1730" i="20"/>
  <c r="Q1730" i="20"/>
  <c r="M1730" i="20"/>
  <c r="AC1730" i="20" s="1"/>
  <c r="L1730" i="20"/>
  <c r="AB1730" i="20" s="1"/>
  <c r="K1730" i="20"/>
  <c r="AC1729" i="20"/>
  <c r="AA1729" i="20"/>
  <c r="Y1729" i="20"/>
  <c r="W1729" i="20"/>
  <c r="X1729" i="20" s="1"/>
  <c r="V1729" i="20"/>
  <c r="U1729" i="20"/>
  <c r="S1729" i="20"/>
  <c r="Q1729" i="20"/>
  <c r="P1729" i="20"/>
  <c r="M1729" i="20"/>
  <c r="L1729" i="20"/>
  <c r="AB1729" i="20" s="1"/>
  <c r="K1729" i="20"/>
  <c r="AC1728" i="20"/>
  <c r="AA1728" i="20"/>
  <c r="W1728" i="20"/>
  <c r="X1728" i="20" s="1"/>
  <c r="V1728" i="20"/>
  <c r="U1728" i="20"/>
  <c r="S1728" i="20"/>
  <c r="M1728" i="20"/>
  <c r="Q1728" i="20" s="1"/>
  <c r="K1728" i="20"/>
  <c r="L1728" i="20" s="1"/>
  <c r="AC1727" i="20"/>
  <c r="AA1727" i="20"/>
  <c r="AB1727" i="20" s="1"/>
  <c r="V1727" i="20"/>
  <c r="W1727" i="20" s="1"/>
  <c r="X1727" i="20" s="1"/>
  <c r="Y1727" i="20" s="1"/>
  <c r="U1727" i="20"/>
  <c r="S1727" i="20"/>
  <c r="Q1727" i="20"/>
  <c r="O1727" i="20"/>
  <c r="M1727" i="20"/>
  <c r="L1727" i="20"/>
  <c r="N1727" i="20" s="1"/>
  <c r="K1727" i="20"/>
  <c r="AA1726" i="20"/>
  <c r="Y1726" i="20"/>
  <c r="V1726" i="20"/>
  <c r="W1726" i="20" s="1"/>
  <c r="X1726" i="20" s="1"/>
  <c r="U1726" i="20"/>
  <c r="S1726" i="20"/>
  <c r="P1726" i="20"/>
  <c r="N1726" i="20"/>
  <c r="O1726" i="20" s="1"/>
  <c r="M1726" i="20"/>
  <c r="AC1726" i="20" s="1"/>
  <c r="L1726" i="20"/>
  <c r="AB1726" i="20" s="1"/>
  <c r="K1726" i="20"/>
  <c r="AC1725" i="20"/>
  <c r="AB1725" i="20"/>
  <c r="AA1725" i="20"/>
  <c r="V1725" i="20"/>
  <c r="W1725" i="20" s="1"/>
  <c r="X1725" i="20" s="1"/>
  <c r="U1725" i="20"/>
  <c r="S1725" i="20"/>
  <c r="P1725" i="20"/>
  <c r="M1725" i="20"/>
  <c r="Q1725" i="20" s="1"/>
  <c r="L1725" i="20"/>
  <c r="K1725" i="20"/>
  <c r="AA1724" i="20"/>
  <c r="V1724" i="20"/>
  <c r="W1724" i="20" s="1"/>
  <c r="X1724" i="20" s="1"/>
  <c r="U1724" i="20"/>
  <c r="S1724" i="20"/>
  <c r="M1724" i="20"/>
  <c r="L1724" i="20"/>
  <c r="K1724" i="20"/>
  <c r="AA1723" i="20"/>
  <c r="V1723" i="20"/>
  <c r="W1723" i="20" s="1"/>
  <c r="X1723" i="20" s="1"/>
  <c r="U1723" i="20"/>
  <c r="S1723" i="20"/>
  <c r="K1723" i="20"/>
  <c r="AB1722" i="20"/>
  <c r="AA1722" i="20"/>
  <c r="V1722" i="20"/>
  <c r="W1722" i="20" s="1"/>
  <c r="X1722" i="20" s="1"/>
  <c r="U1722" i="20"/>
  <c r="S1722" i="20"/>
  <c r="P1722" i="20"/>
  <c r="L1722" i="20"/>
  <c r="K1722" i="20"/>
  <c r="M1722" i="20" s="1"/>
  <c r="AA1721" i="20"/>
  <c r="X1721" i="20"/>
  <c r="W1721" i="20"/>
  <c r="V1721" i="20"/>
  <c r="U1721" i="20"/>
  <c r="S1721" i="20"/>
  <c r="L1721" i="20"/>
  <c r="K1721" i="20"/>
  <c r="M1721" i="20" s="1"/>
  <c r="AA1720" i="20"/>
  <c r="V1720" i="20"/>
  <c r="W1720" i="20" s="1"/>
  <c r="X1720" i="20" s="1"/>
  <c r="U1720" i="20"/>
  <c r="S1720" i="20"/>
  <c r="K1720" i="20"/>
  <c r="AA1719" i="20"/>
  <c r="W1719" i="20"/>
  <c r="X1719" i="20" s="1"/>
  <c r="V1719" i="20"/>
  <c r="U1719" i="20"/>
  <c r="S1719" i="20"/>
  <c r="K1719" i="20"/>
  <c r="L1719" i="20" s="1"/>
  <c r="AA1718" i="20"/>
  <c r="V1718" i="20"/>
  <c r="W1718" i="20" s="1"/>
  <c r="X1718" i="20" s="1"/>
  <c r="Y1718" i="20" s="1"/>
  <c r="U1718" i="20"/>
  <c r="S1718" i="20"/>
  <c r="P1718" i="20"/>
  <c r="M1718" i="20"/>
  <c r="K1718" i="20"/>
  <c r="L1718" i="20" s="1"/>
  <c r="AC1717" i="20"/>
  <c r="AA1717" i="20"/>
  <c r="V1717" i="20"/>
  <c r="W1717" i="20" s="1"/>
  <c r="X1717" i="20" s="1"/>
  <c r="Y1717" i="20" s="1"/>
  <c r="U1717" i="20"/>
  <c r="S1717" i="20"/>
  <c r="K1717" i="20"/>
  <c r="M1717" i="20" s="1"/>
  <c r="Q1717" i="20" s="1"/>
  <c r="AA1716" i="20"/>
  <c r="X1716" i="20"/>
  <c r="W1716" i="20"/>
  <c r="V1716" i="20"/>
  <c r="U1716" i="20"/>
  <c r="S1716" i="20"/>
  <c r="M1716" i="20"/>
  <c r="L1716" i="20"/>
  <c r="K1716" i="20"/>
  <c r="AA1715" i="20"/>
  <c r="V1715" i="20"/>
  <c r="W1715" i="20" s="1"/>
  <c r="X1715" i="20" s="1"/>
  <c r="U1715" i="20"/>
  <c r="S1715" i="20"/>
  <c r="K1715" i="20"/>
  <c r="AA1714" i="20"/>
  <c r="X1714" i="20"/>
  <c r="W1714" i="20"/>
  <c r="V1714" i="20"/>
  <c r="U1714" i="20"/>
  <c r="S1714" i="20"/>
  <c r="Q1714" i="20"/>
  <c r="M1714" i="20"/>
  <c r="AC1714" i="20" s="1"/>
  <c r="L1714" i="20"/>
  <c r="K1714" i="20"/>
  <c r="AC1713" i="20"/>
  <c r="AA1713" i="20"/>
  <c r="W1713" i="20"/>
  <c r="X1713" i="20" s="1"/>
  <c r="V1713" i="20"/>
  <c r="U1713" i="20"/>
  <c r="S1713" i="20"/>
  <c r="Q1713" i="20"/>
  <c r="P1713" i="20"/>
  <c r="L1713" i="20"/>
  <c r="K1713" i="20"/>
  <c r="M1713" i="20" s="1"/>
  <c r="AA1712" i="20"/>
  <c r="X1712" i="20"/>
  <c r="W1712" i="20"/>
  <c r="V1712" i="20"/>
  <c r="U1712" i="20"/>
  <c r="S1712" i="20"/>
  <c r="K1712" i="20"/>
  <c r="AA1711" i="20"/>
  <c r="V1711" i="20"/>
  <c r="W1711" i="20" s="1"/>
  <c r="X1711" i="20" s="1"/>
  <c r="U1711" i="20"/>
  <c r="S1711" i="20"/>
  <c r="P1711" i="20"/>
  <c r="L1711" i="20"/>
  <c r="AB1711" i="20" s="1"/>
  <c r="K1711" i="20"/>
  <c r="M1711" i="20" s="1"/>
  <c r="AA1710" i="20"/>
  <c r="V1710" i="20"/>
  <c r="W1710" i="20" s="1"/>
  <c r="X1710" i="20" s="1"/>
  <c r="U1710" i="20"/>
  <c r="S1710" i="20"/>
  <c r="M1710" i="20"/>
  <c r="AC1710" i="20" s="1"/>
  <c r="L1710" i="20"/>
  <c r="K1710" i="20"/>
  <c r="AA1709" i="20"/>
  <c r="Y1709" i="20"/>
  <c r="W1709" i="20"/>
  <c r="X1709" i="20" s="1"/>
  <c r="V1709" i="20"/>
  <c r="U1709" i="20"/>
  <c r="S1709" i="20"/>
  <c r="K1709" i="20"/>
  <c r="M1709" i="20" s="1"/>
  <c r="AC1709" i="20" s="1"/>
  <c r="AA1708" i="20"/>
  <c r="V1708" i="20"/>
  <c r="W1708" i="20" s="1"/>
  <c r="X1708" i="20" s="1"/>
  <c r="U1708" i="20"/>
  <c r="S1708" i="20"/>
  <c r="K1708" i="20"/>
  <c r="AA1707" i="20"/>
  <c r="V1707" i="20"/>
  <c r="W1707" i="20" s="1"/>
  <c r="X1707" i="20" s="1"/>
  <c r="U1707" i="20"/>
  <c r="S1707" i="20"/>
  <c r="M1707" i="20"/>
  <c r="AC1707" i="20" s="1"/>
  <c r="L1707" i="20"/>
  <c r="K1707" i="20"/>
  <c r="AC1706" i="20"/>
  <c r="AA1706" i="20"/>
  <c r="V1706" i="20"/>
  <c r="W1706" i="20" s="1"/>
  <c r="X1706" i="20" s="1"/>
  <c r="Y1706" i="20" s="1"/>
  <c r="U1706" i="20"/>
  <c r="S1706" i="20"/>
  <c r="K1706" i="20"/>
  <c r="M1706" i="20" s="1"/>
  <c r="Q1706" i="20" s="1"/>
  <c r="AB1705" i="20"/>
  <c r="AA1705" i="20"/>
  <c r="X1705" i="20"/>
  <c r="V1705" i="20"/>
  <c r="W1705" i="20" s="1"/>
  <c r="U1705" i="20"/>
  <c r="S1705" i="20"/>
  <c r="P1705" i="20"/>
  <c r="M1705" i="20"/>
  <c r="L1705" i="20"/>
  <c r="K1705" i="20"/>
  <c r="AC1704" i="20"/>
  <c r="AB1704" i="20"/>
  <c r="AA1704" i="20"/>
  <c r="X1704" i="20"/>
  <c r="V1704" i="20"/>
  <c r="W1704" i="20" s="1"/>
  <c r="U1704" i="20"/>
  <c r="S1704" i="20"/>
  <c r="Q1704" i="20"/>
  <c r="P1704" i="20"/>
  <c r="M1704" i="20"/>
  <c r="L1704" i="20"/>
  <c r="N1704" i="20" s="1"/>
  <c r="O1704" i="20" s="1"/>
  <c r="K1704" i="20"/>
  <c r="AB1703" i="20"/>
  <c r="AA1703" i="20"/>
  <c r="V1703" i="20"/>
  <c r="W1703" i="20" s="1"/>
  <c r="X1703" i="20" s="1"/>
  <c r="U1703" i="20"/>
  <c r="S1703" i="20"/>
  <c r="P1703" i="20"/>
  <c r="M1703" i="20"/>
  <c r="L1703" i="20"/>
  <c r="K1703" i="20"/>
  <c r="AA1702" i="20"/>
  <c r="V1702" i="20"/>
  <c r="W1702" i="20" s="1"/>
  <c r="X1702" i="20" s="1"/>
  <c r="U1702" i="20"/>
  <c r="S1702" i="20"/>
  <c r="K1702" i="20"/>
  <c r="M1702" i="20" s="1"/>
  <c r="AA1701" i="20"/>
  <c r="V1701" i="20"/>
  <c r="W1701" i="20" s="1"/>
  <c r="X1701" i="20" s="1"/>
  <c r="Y1701" i="20" s="1"/>
  <c r="S1701" i="20"/>
  <c r="N1701" i="20"/>
  <c r="O1701" i="20" s="1"/>
  <c r="M1701" i="20"/>
  <c r="L1701" i="20"/>
  <c r="AB1701" i="20" s="1"/>
  <c r="K1701" i="20"/>
  <c r="AA1700" i="20"/>
  <c r="V1700" i="20"/>
  <c r="W1700" i="20" s="1"/>
  <c r="X1700" i="20" s="1"/>
  <c r="S1700" i="20"/>
  <c r="M1700" i="20"/>
  <c r="L1700" i="20"/>
  <c r="K1700" i="20"/>
  <c r="AA1699" i="20"/>
  <c r="W1699" i="20"/>
  <c r="X1699" i="20" s="1"/>
  <c r="Y1699" i="20" s="1"/>
  <c r="V1699" i="20"/>
  <c r="S1699" i="20"/>
  <c r="K1699" i="20"/>
  <c r="AB1698" i="20"/>
  <c r="AA1698" i="20"/>
  <c r="W1698" i="20"/>
  <c r="X1698" i="20" s="1"/>
  <c r="Y1698" i="20" s="1"/>
  <c r="V1698" i="20"/>
  <c r="S1698" i="20"/>
  <c r="M1698" i="20"/>
  <c r="L1698" i="20"/>
  <c r="K1698" i="20"/>
  <c r="AC1697" i="20"/>
  <c r="AA1697" i="20"/>
  <c r="V1697" i="20"/>
  <c r="W1697" i="20" s="1"/>
  <c r="X1697" i="20" s="1"/>
  <c r="S1697" i="20"/>
  <c r="K1697" i="20"/>
  <c r="M1697" i="20" s="1"/>
  <c r="Q1697" i="20" s="1"/>
  <c r="AA1696" i="20"/>
  <c r="W1696" i="20"/>
  <c r="X1696" i="20" s="1"/>
  <c r="V1696" i="20"/>
  <c r="S1696" i="20"/>
  <c r="K1696" i="20"/>
  <c r="AB1695" i="20"/>
  <c r="AA1695" i="20"/>
  <c r="Y1695" i="20"/>
  <c r="V1695" i="20"/>
  <c r="W1695" i="20" s="1"/>
  <c r="X1695" i="20" s="1"/>
  <c r="S1695" i="20"/>
  <c r="L1695" i="20"/>
  <c r="K1695" i="20"/>
  <c r="M1695" i="20" s="1"/>
  <c r="AC1694" i="20"/>
  <c r="AA1694" i="20"/>
  <c r="AB1694" i="20" s="1"/>
  <c r="Z1694" i="20"/>
  <c r="V1694" i="20"/>
  <c r="W1694" i="20" s="1"/>
  <c r="X1694" i="20" s="1"/>
  <c r="Y1694" i="20" s="1"/>
  <c r="S1694" i="20"/>
  <c r="N1694" i="20"/>
  <c r="O1694" i="20" s="1"/>
  <c r="M1694" i="20"/>
  <c r="Q1694" i="20" s="1"/>
  <c r="K1694" i="20"/>
  <c r="L1694" i="20" s="1"/>
  <c r="AA1693" i="20"/>
  <c r="W1693" i="20"/>
  <c r="X1693" i="20" s="1"/>
  <c r="V1693" i="20"/>
  <c r="S1693" i="20"/>
  <c r="K1693" i="20"/>
  <c r="AA1692" i="20"/>
  <c r="V1692" i="20"/>
  <c r="W1692" i="20" s="1"/>
  <c r="X1692" i="20" s="1"/>
  <c r="S1692" i="20"/>
  <c r="K1692" i="20"/>
  <c r="AC1691" i="20"/>
  <c r="AA1691" i="20"/>
  <c r="AB1691" i="20" s="1"/>
  <c r="V1691" i="20"/>
  <c r="W1691" i="20" s="1"/>
  <c r="X1691" i="20" s="1"/>
  <c r="S1691" i="20"/>
  <c r="Q1691" i="20"/>
  <c r="L1691" i="20"/>
  <c r="K1691" i="20"/>
  <c r="M1691" i="20" s="1"/>
  <c r="AA1690" i="20"/>
  <c r="Y1690" i="20"/>
  <c r="V1690" i="20"/>
  <c r="W1690" i="20" s="1"/>
  <c r="X1690" i="20" s="1"/>
  <c r="S1690" i="20"/>
  <c r="K1690" i="20"/>
  <c r="AA1689" i="20"/>
  <c r="Y1689" i="20"/>
  <c r="X1689" i="20"/>
  <c r="W1689" i="20"/>
  <c r="V1689" i="20"/>
  <c r="S1689" i="20"/>
  <c r="M1689" i="20"/>
  <c r="K1689" i="20"/>
  <c r="L1689" i="20" s="1"/>
  <c r="AA1688" i="20"/>
  <c r="W1688" i="20"/>
  <c r="X1688" i="20" s="1"/>
  <c r="V1688" i="20"/>
  <c r="S1688" i="20"/>
  <c r="K1688" i="20"/>
  <c r="AA1687" i="20"/>
  <c r="Y1687" i="20"/>
  <c r="X1687" i="20"/>
  <c r="V1687" i="20"/>
  <c r="W1687" i="20" s="1"/>
  <c r="S1687" i="20"/>
  <c r="M1687" i="20"/>
  <c r="L1687" i="20"/>
  <c r="K1687" i="20"/>
  <c r="AC1686" i="20"/>
  <c r="AA1686" i="20"/>
  <c r="V1686" i="20"/>
  <c r="W1686" i="20" s="1"/>
  <c r="X1686" i="20" s="1"/>
  <c r="S1686" i="20"/>
  <c r="M1686" i="20"/>
  <c r="Q1686" i="20" s="1"/>
  <c r="K1686" i="20"/>
  <c r="L1686" i="20" s="1"/>
  <c r="AB1685" i="20"/>
  <c r="AA1685" i="20"/>
  <c r="V1685" i="20"/>
  <c r="W1685" i="20" s="1"/>
  <c r="X1685" i="20" s="1"/>
  <c r="S1685" i="20"/>
  <c r="Q1685" i="20"/>
  <c r="M1685" i="20"/>
  <c r="AC1685" i="20" s="1"/>
  <c r="L1685" i="20"/>
  <c r="N1685" i="20" s="1"/>
  <c r="O1685" i="20" s="1"/>
  <c r="K1685" i="20"/>
  <c r="AC1684" i="20"/>
  <c r="AA1684" i="20"/>
  <c r="W1684" i="20"/>
  <c r="X1684" i="20" s="1"/>
  <c r="Y1684" i="20" s="1"/>
  <c r="V1684" i="20"/>
  <c r="S1684" i="20"/>
  <c r="Q1684" i="20"/>
  <c r="N1684" i="20"/>
  <c r="O1684" i="20" s="1"/>
  <c r="M1684" i="20"/>
  <c r="K1684" i="20"/>
  <c r="L1684" i="20" s="1"/>
  <c r="AA1683" i="20"/>
  <c r="X1683" i="20"/>
  <c r="V1683" i="20"/>
  <c r="W1683" i="20" s="1"/>
  <c r="S1683" i="20"/>
  <c r="Q1683" i="20"/>
  <c r="M1683" i="20"/>
  <c r="AC1683" i="20" s="1"/>
  <c r="L1683" i="20"/>
  <c r="K1683" i="20"/>
  <c r="AA1682" i="20"/>
  <c r="W1682" i="20"/>
  <c r="X1682" i="20" s="1"/>
  <c r="V1682" i="20"/>
  <c r="S1682" i="20"/>
  <c r="M1682" i="20"/>
  <c r="L1682" i="20"/>
  <c r="K1682" i="20"/>
  <c r="AA1681" i="20"/>
  <c r="V1681" i="20"/>
  <c r="W1681" i="20" s="1"/>
  <c r="X1681" i="20" s="1"/>
  <c r="S1681" i="20"/>
  <c r="L1681" i="20"/>
  <c r="K1681" i="20"/>
  <c r="M1681" i="20" s="1"/>
  <c r="AA1680" i="20"/>
  <c r="V1680" i="20"/>
  <c r="W1680" i="20" s="1"/>
  <c r="X1680" i="20" s="1"/>
  <c r="S1680" i="20"/>
  <c r="K1680" i="20"/>
  <c r="AA1679" i="20"/>
  <c r="V1679" i="20"/>
  <c r="W1679" i="20" s="1"/>
  <c r="X1679" i="20" s="1"/>
  <c r="S1679" i="20"/>
  <c r="K1679" i="20"/>
  <c r="M1679" i="20" s="1"/>
  <c r="AB1678" i="20"/>
  <c r="AA1678" i="20"/>
  <c r="V1678" i="20"/>
  <c r="W1678" i="20" s="1"/>
  <c r="X1678" i="20" s="1"/>
  <c r="S1678" i="20"/>
  <c r="M1678" i="20"/>
  <c r="L1678" i="20"/>
  <c r="K1678" i="20"/>
  <c r="AA1677" i="20"/>
  <c r="V1677" i="20"/>
  <c r="W1677" i="20" s="1"/>
  <c r="X1677" i="20" s="1"/>
  <c r="S1677" i="20"/>
  <c r="K1677" i="20"/>
  <c r="AA1676" i="20"/>
  <c r="W1676" i="20"/>
  <c r="X1676" i="20" s="1"/>
  <c r="V1676" i="20"/>
  <c r="S1676" i="20"/>
  <c r="K1676" i="20"/>
  <c r="AB1675" i="20"/>
  <c r="AA1675" i="20"/>
  <c r="W1675" i="20"/>
  <c r="X1675" i="20" s="1"/>
  <c r="V1675" i="20"/>
  <c r="S1675" i="20"/>
  <c r="Q1675" i="20"/>
  <c r="M1675" i="20"/>
  <c r="AC1675" i="20" s="1"/>
  <c r="L1675" i="20"/>
  <c r="N1675" i="20" s="1"/>
  <c r="O1675" i="20" s="1"/>
  <c r="K1675" i="20"/>
  <c r="AA1674" i="20"/>
  <c r="W1674" i="20"/>
  <c r="X1674" i="20" s="1"/>
  <c r="V1674" i="20"/>
  <c r="S1674" i="20"/>
  <c r="K1674" i="20"/>
  <c r="M1674" i="20" s="1"/>
  <c r="AC1673" i="20"/>
  <c r="AA1673" i="20"/>
  <c r="AB1673" i="20" s="1"/>
  <c r="V1673" i="20"/>
  <c r="W1673" i="20" s="1"/>
  <c r="X1673" i="20" s="1"/>
  <c r="S1673" i="20"/>
  <c r="Q1673" i="20"/>
  <c r="O1673" i="20"/>
  <c r="N1673" i="20"/>
  <c r="M1673" i="20"/>
  <c r="L1673" i="20"/>
  <c r="K1673" i="20"/>
  <c r="AA1672" i="20"/>
  <c r="X1672" i="20"/>
  <c r="Y1672" i="20" s="1"/>
  <c r="V1672" i="20"/>
  <c r="W1672" i="20" s="1"/>
  <c r="S1672" i="20"/>
  <c r="M1672" i="20"/>
  <c r="K1672" i="20"/>
  <c r="L1672" i="20" s="1"/>
  <c r="AC1671" i="20"/>
  <c r="AA1671" i="20"/>
  <c r="AB1671" i="20" s="1"/>
  <c r="V1671" i="20"/>
  <c r="W1671" i="20" s="1"/>
  <c r="X1671" i="20" s="1"/>
  <c r="Y1671" i="20" s="1"/>
  <c r="S1671" i="20"/>
  <c r="Q1671" i="20"/>
  <c r="N1671" i="20"/>
  <c r="O1671" i="20" s="1"/>
  <c r="M1671" i="20"/>
  <c r="L1671" i="20"/>
  <c r="K1671" i="20"/>
  <c r="AA1670" i="20"/>
  <c r="V1670" i="20"/>
  <c r="W1670" i="20" s="1"/>
  <c r="X1670" i="20" s="1"/>
  <c r="S1670" i="20"/>
  <c r="Q1670" i="20"/>
  <c r="K1670" i="20"/>
  <c r="M1670" i="20" s="1"/>
  <c r="AC1670" i="20" s="1"/>
  <c r="AC1669" i="20"/>
  <c r="AA1669" i="20"/>
  <c r="AB1669" i="20" s="1"/>
  <c r="V1669" i="20"/>
  <c r="W1669" i="20" s="1"/>
  <c r="X1669" i="20" s="1"/>
  <c r="Y1669" i="20" s="1"/>
  <c r="S1669" i="20"/>
  <c r="M1669" i="20"/>
  <c r="Q1669" i="20" s="1"/>
  <c r="L1669" i="20"/>
  <c r="N1669" i="20" s="1"/>
  <c r="O1669" i="20" s="1"/>
  <c r="K1669" i="20"/>
  <c r="AA1668" i="20"/>
  <c r="V1668" i="20"/>
  <c r="W1668" i="20" s="1"/>
  <c r="X1668" i="20" s="1"/>
  <c r="S1668" i="20"/>
  <c r="M1668" i="20"/>
  <c r="L1668" i="20"/>
  <c r="K1668" i="20"/>
  <c r="AA1667" i="20"/>
  <c r="AB1667" i="20" s="1"/>
  <c r="Y1667" i="20"/>
  <c r="W1667" i="20"/>
  <c r="X1667" i="20" s="1"/>
  <c r="V1667" i="20"/>
  <c r="S1667" i="20"/>
  <c r="K1667" i="20"/>
  <c r="L1667" i="20" s="1"/>
  <c r="AA1666" i="20"/>
  <c r="Y1666" i="20"/>
  <c r="V1666" i="20"/>
  <c r="W1666" i="20" s="1"/>
  <c r="X1666" i="20" s="1"/>
  <c r="S1666" i="20"/>
  <c r="K1666" i="20"/>
  <c r="AA1665" i="20"/>
  <c r="W1665" i="20"/>
  <c r="X1665" i="20" s="1"/>
  <c r="V1665" i="20"/>
  <c r="S1665" i="20"/>
  <c r="K1665" i="20"/>
  <c r="AA1664" i="20"/>
  <c r="W1664" i="20"/>
  <c r="X1664" i="20" s="1"/>
  <c r="V1664" i="20"/>
  <c r="S1664" i="20"/>
  <c r="K1664" i="20"/>
  <c r="M1664" i="20" s="1"/>
  <c r="AA1663" i="20"/>
  <c r="W1663" i="20"/>
  <c r="X1663" i="20" s="1"/>
  <c r="V1663" i="20"/>
  <c r="S1663" i="20"/>
  <c r="K1663" i="20"/>
  <c r="M1663" i="20" s="1"/>
  <c r="AC1662" i="20"/>
  <c r="AA1662" i="20"/>
  <c r="X1662" i="20"/>
  <c r="Y1662" i="20" s="1"/>
  <c r="V1662" i="20"/>
  <c r="W1662" i="20" s="1"/>
  <c r="S1662" i="20"/>
  <c r="M1662" i="20"/>
  <c r="Q1662" i="20" s="1"/>
  <c r="L1662" i="20"/>
  <c r="K1662" i="20"/>
  <c r="AA1661" i="20"/>
  <c r="V1661" i="20"/>
  <c r="W1661" i="20" s="1"/>
  <c r="X1661" i="20" s="1"/>
  <c r="S1661" i="20"/>
  <c r="M1661" i="20"/>
  <c r="L1661" i="20"/>
  <c r="K1661" i="20"/>
  <c r="AA1660" i="20"/>
  <c r="Y1660" i="20"/>
  <c r="X1660" i="20"/>
  <c r="V1660" i="20"/>
  <c r="W1660" i="20" s="1"/>
  <c r="S1660" i="20"/>
  <c r="Q1660" i="20"/>
  <c r="O1660" i="20"/>
  <c r="L1660" i="20"/>
  <c r="N1660" i="20" s="1"/>
  <c r="K1660" i="20"/>
  <c r="M1660" i="20" s="1"/>
  <c r="AC1660" i="20" s="1"/>
  <c r="AC1659" i="20"/>
  <c r="AB1659" i="20"/>
  <c r="AA1659" i="20"/>
  <c r="V1659" i="20"/>
  <c r="W1659" i="20" s="1"/>
  <c r="X1659" i="20" s="1"/>
  <c r="S1659" i="20"/>
  <c r="N1659" i="20"/>
  <c r="O1659" i="20" s="1"/>
  <c r="L1659" i="20"/>
  <c r="K1659" i="20"/>
  <c r="M1659" i="20" s="1"/>
  <c r="Q1659" i="20" s="1"/>
  <c r="AA1658" i="20"/>
  <c r="V1658" i="20"/>
  <c r="W1658" i="20" s="1"/>
  <c r="X1658" i="20" s="1"/>
  <c r="S1658" i="20"/>
  <c r="M1658" i="20"/>
  <c r="K1658" i="20"/>
  <c r="L1658" i="20" s="1"/>
  <c r="AC1657" i="20"/>
  <c r="AA1657" i="20"/>
  <c r="AB1657" i="20" s="1"/>
  <c r="Y1657" i="20"/>
  <c r="X1657" i="20"/>
  <c r="W1657" i="20"/>
  <c r="V1657" i="20"/>
  <c r="S1657" i="20"/>
  <c r="M1657" i="20"/>
  <c r="Q1657" i="20" s="1"/>
  <c r="K1657" i="20"/>
  <c r="L1657" i="20" s="1"/>
  <c r="AA1656" i="20"/>
  <c r="V1656" i="20"/>
  <c r="W1656" i="20" s="1"/>
  <c r="X1656" i="20" s="1"/>
  <c r="S1656" i="20"/>
  <c r="M1656" i="20"/>
  <c r="L1656" i="20"/>
  <c r="K1656" i="20"/>
  <c r="AC1655" i="20"/>
  <c r="AA1655" i="20"/>
  <c r="V1655" i="20"/>
  <c r="W1655" i="20" s="1"/>
  <c r="X1655" i="20" s="1"/>
  <c r="S1655" i="20"/>
  <c r="K1655" i="20"/>
  <c r="M1655" i="20" s="1"/>
  <c r="Q1655" i="20" s="1"/>
  <c r="AA1654" i="20"/>
  <c r="W1654" i="20"/>
  <c r="X1654" i="20" s="1"/>
  <c r="V1654" i="20"/>
  <c r="S1654" i="20"/>
  <c r="K1654" i="20"/>
  <c r="L1654" i="20" s="1"/>
  <c r="AC1653" i="20"/>
  <c r="AA1653" i="20"/>
  <c r="AB1653" i="20" s="1"/>
  <c r="W1653" i="20"/>
  <c r="X1653" i="20" s="1"/>
  <c r="Y1653" i="20" s="1"/>
  <c r="V1653" i="20"/>
  <c r="S1653" i="20"/>
  <c r="O1653" i="20"/>
  <c r="N1653" i="20"/>
  <c r="M1653" i="20"/>
  <c r="Q1653" i="20" s="1"/>
  <c r="L1653" i="20"/>
  <c r="K1653" i="20"/>
  <c r="AA1652" i="20"/>
  <c r="W1652" i="20"/>
  <c r="X1652" i="20" s="1"/>
  <c r="V1652" i="20"/>
  <c r="S1652" i="20"/>
  <c r="K1652" i="20"/>
  <c r="M1652" i="20" s="1"/>
  <c r="AC1652" i="20" s="1"/>
  <c r="AA1651" i="20"/>
  <c r="W1651" i="20"/>
  <c r="X1651" i="20" s="1"/>
  <c r="V1651" i="20"/>
  <c r="U1651" i="20"/>
  <c r="S1651" i="20"/>
  <c r="O1651" i="20"/>
  <c r="L1651" i="20"/>
  <c r="K1651" i="20"/>
  <c r="M1651" i="20" s="1"/>
  <c r="J1651" i="20"/>
  <c r="AA1650" i="20"/>
  <c r="X1650" i="20"/>
  <c r="V1650" i="20"/>
  <c r="W1650" i="20" s="1"/>
  <c r="U1650" i="20"/>
  <c r="S1650" i="20"/>
  <c r="P1650" i="20"/>
  <c r="O1650" i="20"/>
  <c r="M1650" i="20"/>
  <c r="L1650" i="20"/>
  <c r="AB1650" i="20" s="1"/>
  <c r="K1650" i="20"/>
  <c r="J1650" i="20"/>
  <c r="AC1649" i="20"/>
  <c r="AA1649" i="20"/>
  <c r="Y1649" i="20"/>
  <c r="X1649" i="20"/>
  <c r="W1649" i="20"/>
  <c r="V1649" i="20"/>
  <c r="U1649" i="20"/>
  <c r="S1649" i="20"/>
  <c r="Q1649" i="20"/>
  <c r="P1649" i="20"/>
  <c r="O1649" i="20"/>
  <c r="M1649" i="20"/>
  <c r="L1649" i="20"/>
  <c r="AB1649" i="20" s="1"/>
  <c r="K1649" i="20"/>
  <c r="J1649" i="20"/>
  <c r="AA1648" i="20"/>
  <c r="W1648" i="20"/>
  <c r="X1648" i="20" s="1"/>
  <c r="Y1648" i="20" s="1"/>
  <c r="V1648" i="20"/>
  <c r="U1648" i="20"/>
  <c r="S1648" i="20"/>
  <c r="O1648" i="20"/>
  <c r="L1648" i="20"/>
  <c r="K1648" i="20"/>
  <c r="M1648" i="20" s="1"/>
  <c r="J1648" i="20"/>
  <c r="AA1647" i="20"/>
  <c r="V1647" i="20"/>
  <c r="W1647" i="20" s="1"/>
  <c r="X1647" i="20" s="1"/>
  <c r="U1647" i="20"/>
  <c r="S1647" i="20"/>
  <c r="P1647" i="20"/>
  <c r="O1647" i="20"/>
  <c r="M1647" i="20"/>
  <c r="L1647" i="20"/>
  <c r="AB1647" i="20" s="1"/>
  <c r="K1647" i="20"/>
  <c r="J1647" i="20"/>
  <c r="AA1646" i="20"/>
  <c r="X1646" i="20"/>
  <c r="W1646" i="20"/>
  <c r="V1646" i="20"/>
  <c r="U1646" i="20"/>
  <c r="S1646" i="20"/>
  <c r="O1646" i="20"/>
  <c r="K1646" i="20"/>
  <c r="J1646" i="20"/>
  <c r="AA1645" i="20"/>
  <c r="W1645" i="20"/>
  <c r="X1645" i="20" s="1"/>
  <c r="V1645" i="20"/>
  <c r="U1645" i="20"/>
  <c r="S1645" i="20"/>
  <c r="O1645" i="20"/>
  <c r="K1645" i="20"/>
  <c r="J1645" i="20"/>
  <c r="AA1644" i="20"/>
  <c r="W1644" i="20"/>
  <c r="X1644" i="20" s="1"/>
  <c r="V1644" i="20"/>
  <c r="U1644" i="20"/>
  <c r="S1644" i="20"/>
  <c r="O1644" i="20"/>
  <c r="K1644" i="20"/>
  <c r="J1644" i="20"/>
  <c r="AA1643" i="20"/>
  <c r="V1643" i="20"/>
  <c r="W1643" i="20" s="1"/>
  <c r="X1643" i="20" s="1"/>
  <c r="U1643" i="20"/>
  <c r="S1643" i="20"/>
  <c r="O1643" i="20"/>
  <c r="M1643" i="20"/>
  <c r="L1643" i="20"/>
  <c r="AB1643" i="20" s="1"/>
  <c r="K1643" i="20"/>
  <c r="J1643" i="20"/>
  <c r="AA1642" i="20"/>
  <c r="X1642" i="20"/>
  <c r="Z1642" i="20" s="1"/>
  <c r="W1642" i="20"/>
  <c r="V1642" i="20"/>
  <c r="U1642" i="20"/>
  <c r="S1642" i="20"/>
  <c r="O1642" i="20"/>
  <c r="K1642" i="20"/>
  <c r="M1642" i="20" s="1"/>
  <c r="Q1642" i="20" s="1"/>
  <c r="J1642" i="20"/>
  <c r="AA1641" i="20"/>
  <c r="W1641" i="20"/>
  <c r="X1641" i="20" s="1"/>
  <c r="V1641" i="20"/>
  <c r="U1641" i="20"/>
  <c r="S1641" i="20"/>
  <c r="O1641" i="20"/>
  <c r="K1641" i="20"/>
  <c r="M1641" i="20" s="1"/>
  <c r="AC1641" i="20" s="1"/>
  <c r="J1641" i="20"/>
  <c r="AA1640" i="20"/>
  <c r="X1640" i="20"/>
  <c r="Y1640" i="20" s="1"/>
  <c r="V1640" i="20"/>
  <c r="W1640" i="20" s="1"/>
  <c r="U1640" i="20"/>
  <c r="S1640" i="20"/>
  <c r="O1640" i="20"/>
  <c r="K1640" i="20"/>
  <c r="J1640" i="20"/>
  <c r="AB1639" i="20"/>
  <c r="AA1639" i="20"/>
  <c r="Y1639" i="20"/>
  <c r="X1639" i="20"/>
  <c r="V1639" i="20"/>
  <c r="W1639" i="20" s="1"/>
  <c r="U1639" i="20"/>
  <c r="S1639" i="20"/>
  <c r="P1639" i="20"/>
  <c r="O1639" i="20"/>
  <c r="M1639" i="20"/>
  <c r="L1639" i="20"/>
  <c r="K1639" i="20"/>
  <c r="J1639" i="20"/>
  <c r="AA1638" i="20"/>
  <c r="X1638" i="20"/>
  <c r="W1638" i="20"/>
  <c r="V1638" i="20"/>
  <c r="U1638" i="20"/>
  <c r="S1638" i="20"/>
  <c r="O1638" i="20"/>
  <c r="M1638" i="20"/>
  <c r="K1638" i="20"/>
  <c r="L1638" i="20" s="1"/>
  <c r="J1638" i="20"/>
  <c r="AC1637" i="20"/>
  <c r="AA1637" i="20"/>
  <c r="W1637" i="20"/>
  <c r="X1637" i="20" s="1"/>
  <c r="V1637" i="20"/>
  <c r="U1637" i="20"/>
  <c r="S1637" i="20"/>
  <c r="O1637" i="20"/>
  <c r="K1637" i="20"/>
  <c r="M1637" i="20" s="1"/>
  <c r="Q1637" i="20" s="1"/>
  <c r="J1637" i="20"/>
  <c r="AA1636" i="20"/>
  <c r="W1636" i="20"/>
  <c r="X1636" i="20" s="1"/>
  <c r="V1636" i="20"/>
  <c r="U1636" i="20"/>
  <c r="S1636" i="20"/>
  <c r="O1636" i="20"/>
  <c r="M1636" i="20"/>
  <c r="L1636" i="20"/>
  <c r="K1636" i="20"/>
  <c r="J1636" i="20"/>
  <c r="AC1635" i="20"/>
  <c r="AA1635" i="20"/>
  <c r="Y1635" i="20"/>
  <c r="X1635" i="20"/>
  <c r="W1635" i="20"/>
  <c r="V1635" i="20"/>
  <c r="U1635" i="20"/>
  <c r="S1635" i="20"/>
  <c r="O1635" i="20"/>
  <c r="L1635" i="20"/>
  <c r="K1635" i="20"/>
  <c r="M1635" i="20" s="1"/>
  <c r="Q1635" i="20" s="1"/>
  <c r="J1635" i="20"/>
  <c r="AA1634" i="20"/>
  <c r="V1634" i="20"/>
  <c r="W1634" i="20" s="1"/>
  <c r="X1634" i="20" s="1"/>
  <c r="U1634" i="20"/>
  <c r="S1634" i="20"/>
  <c r="O1634" i="20"/>
  <c r="K1634" i="20"/>
  <c r="M1634" i="20" s="1"/>
  <c r="J1634" i="20"/>
  <c r="AA1633" i="20"/>
  <c r="W1633" i="20"/>
  <c r="X1633" i="20" s="1"/>
  <c r="V1633" i="20"/>
  <c r="U1633" i="20"/>
  <c r="S1633" i="20"/>
  <c r="O1633" i="20"/>
  <c r="K1633" i="20"/>
  <c r="J1633" i="20"/>
  <c r="AA1632" i="20"/>
  <c r="W1632" i="20"/>
  <c r="X1632" i="20" s="1"/>
  <c r="Y1632" i="20" s="1"/>
  <c r="V1632" i="20"/>
  <c r="U1632" i="20"/>
  <c r="S1632" i="20"/>
  <c r="O1632" i="20"/>
  <c r="L1632" i="20"/>
  <c r="K1632" i="20"/>
  <c r="M1632" i="20" s="1"/>
  <c r="J1632" i="20"/>
  <c r="AA1631" i="20"/>
  <c r="W1631" i="20"/>
  <c r="X1631" i="20" s="1"/>
  <c r="Y1631" i="20" s="1"/>
  <c r="V1631" i="20"/>
  <c r="U1631" i="20"/>
  <c r="S1631" i="20"/>
  <c r="O1631" i="20"/>
  <c r="K1631" i="20"/>
  <c r="J1631" i="20"/>
  <c r="AB1630" i="20"/>
  <c r="AA1630" i="20"/>
  <c r="V1630" i="20"/>
  <c r="W1630" i="20" s="1"/>
  <c r="X1630" i="20" s="1"/>
  <c r="U1630" i="20"/>
  <c r="S1630" i="20"/>
  <c r="O1630" i="20"/>
  <c r="M1630" i="20"/>
  <c r="K1630" i="20"/>
  <c r="L1630" i="20" s="1"/>
  <c r="P1630" i="20" s="1"/>
  <c r="J1630" i="20"/>
  <c r="AA1629" i="20"/>
  <c r="V1629" i="20"/>
  <c r="W1629" i="20" s="1"/>
  <c r="X1629" i="20" s="1"/>
  <c r="U1629" i="20"/>
  <c r="S1629" i="20"/>
  <c r="O1629" i="20"/>
  <c r="K1629" i="20"/>
  <c r="J1629" i="20"/>
  <c r="AA1628" i="20"/>
  <c r="V1628" i="20"/>
  <c r="W1628" i="20" s="1"/>
  <c r="X1628" i="20" s="1"/>
  <c r="U1628" i="20"/>
  <c r="S1628" i="20"/>
  <c r="O1628" i="20"/>
  <c r="K1628" i="20"/>
  <c r="M1628" i="20" s="1"/>
  <c r="AC1628" i="20" s="1"/>
  <c r="J1628" i="20"/>
  <c r="AC1627" i="20"/>
  <c r="AB1627" i="20"/>
  <c r="AA1627" i="20"/>
  <c r="W1627" i="20"/>
  <c r="X1627" i="20" s="1"/>
  <c r="V1627" i="20"/>
  <c r="U1627" i="20"/>
  <c r="S1627" i="20"/>
  <c r="Q1627" i="20"/>
  <c r="P1627" i="20"/>
  <c r="O1627" i="20"/>
  <c r="N1627" i="20"/>
  <c r="L1627" i="20"/>
  <c r="K1627" i="20"/>
  <c r="M1627" i="20" s="1"/>
  <c r="J1627" i="20"/>
  <c r="AA1626" i="20"/>
  <c r="V1626" i="20"/>
  <c r="W1626" i="20" s="1"/>
  <c r="X1626" i="20" s="1"/>
  <c r="U1626" i="20"/>
  <c r="S1626" i="20"/>
  <c r="O1626" i="20"/>
  <c r="L1626" i="20"/>
  <c r="K1626" i="20"/>
  <c r="M1626" i="20" s="1"/>
  <c r="Q1626" i="20" s="1"/>
  <c r="J1626" i="20"/>
  <c r="AC1625" i="20"/>
  <c r="AA1625" i="20"/>
  <c r="V1625" i="20"/>
  <c r="W1625" i="20" s="1"/>
  <c r="X1625" i="20" s="1"/>
  <c r="U1625" i="20"/>
  <c r="S1625" i="20"/>
  <c r="O1625" i="20"/>
  <c r="M1625" i="20"/>
  <c r="Q1625" i="20" s="1"/>
  <c r="K1625" i="20"/>
  <c r="L1625" i="20" s="1"/>
  <c r="J1625" i="20"/>
  <c r="AA1624" i="20"/>
  <c r="Y1624" i="20"/>
  <c r="V1624" i="20"/>
  <c r="W1624" i="20" s="1"/>
  <c r="X1624" i="20" s="1"/>
  <c r="U1624" i="20"/>
  <c r="S1624" i="20"/>
  <c r="O1624" i="20"/>
  <c r="M1624" i="20"/>
  <c r="AC1624" i="20" s="1"/>
  <c r="L1624" i="20"/>
  <c r="K1624" i="20"/>
  <c r="J1624" i="20"/>
  <c r="AC1623" i="20"/>
  <c r="AA1623" i="20"/>
  <c r="Y1623" i="20"/>
  <c r="X1623" i="20"/>
  <c r="W1623" i="20"/>
  <c r="V1623" i="20"/>
  <c r="U1623" i="20"/>
  <c r="S1623" i="20"/>
  <c r="P1623" i="20"/>
  <c r="O1623" i="20"/>
  <c r="M1623" i="20"/>
  <c r="Q1623" i="20" s="1"/>
  <c r="K1623" i="20"/>
  <c r="L1623" i="20" s="1"/>
  <c r="J1623" i="20"/>
  <c r="AA1622" i="20"/>
  <c r="X1622" i="20"/>
  <c r="W1622" i="20"/>
  <c r="V1622" i="20"/>
  <c r="U1622" i="20"/>
  <c r="S1622" i="20"/>
  <c r="O1622" i="20"/>
  <c r="K1622" i="20"/>
  <c r="J1622" i="20"/>
  <c r="AA1621" i="20"/>
  <c r="W1621" i="20"/>
  <c r="X1621" i="20" s="1"/>
  <c r="V1621" i="20"/>
  <c r="U1621" i="20"/>
  <c r="S1621" i="20"/>
  <c r="O1621" i="20"/>
  <c r="K1621" i="20"/>
  <c r="M1621" i="20" s="1"/>
  <c r="J1621" i="20"/>
  <c r="AA1620" i="20"/>
  <c r="Y1620" i="20"/>
  <c r="V1620" i="20"/>
  <c r="W1620" i="20" s="1"/>
  <c r="X1620" i="20" s="1"/>
  <c r="U1620" i="20"/>
  <c r="S1620" i="20"/>
  <c r="O1620" i="20"/>
  <c r="K1620" i="20"/>
  <c r="M1620" i="20" s="1"/>
  <c r="AC1620" i="20" s="1"/>
  <c r="J1620" i="20"/>
  <c r="AA1619" i="20"/>
  <c r="Y1619" i="20"/>
  <c r="W1619" i="20"/>
  <c r="X1619" i="20" s="1"/>
  <c r="V1619" i="20"/>
  <c r="U1619" i="20"/>
  <c r="S1619" i="20"/>
  <c r="O1619" i="20"/>
  <c r="K1619" i="20"/>
  <c r="J1619" i="20"/>
  <c r="AC1618" i="20"/>
  <c r="AA1618" i="20"/>
  <c r="X1618" i="20"/>
  <c r="Y1618" i="20" s="1"/>
  <c r="W1618" i="20"/>
  <c r="V1618" i="20"/>
  <c r="U1618" i="20"/>
  <c r="S1618" i="20"/>
  <c r="O1618" i="20"/>
  <c r="K1618" i="20"/>
  <c r="M1618" i="20" s="1"/>
  <c r="Q1618" i="20" s="1"/>
  <c r="J1618" i="20"/>
  <c r="AA1617" i="20"/>
  <c r="W1617" i="20"/>
  <c r="X1617" i="20" s="1"/>
  <c r="Y1617" i="20" s="1"/>
  <c r="V1617" i="20"/>
  <c r="U1617" i="20"/>
  <c r="S1617" i="20"/>
  <c r="O1617" i="20"/>
  <c r="M1617" i="20"/>
  <c r="L1617" i="20"/>
  <c r="K1617" i="20"/>
  <c r="J1617" i="20"/>
  <c r="AC1616" i="20"/>
  <c r="AA1616" i="20"/>
  <c r="X1616" i="20"/>
  <c r="W1616" i="20"/>
  <c r="V1616" i="20"/>
  <c r="U1616" i="20"/>
  <c r="S1616" i="20"/>
  <c r="O1616" i="20"/>
  <c r="K1616" i="20"/>
  <c r="M1616" i="20" s="1"/>
  <c r="Q1616" i="20" s="1"/>
  <c r="J1616" i="20"/>
  <c r="AC1615" i="20"/>
  <c r="AA1615" i="20"/>
  <c r="V1615" i="20"/>
  <c r="W1615" i="20" s="1"/>
  <c r="X1615" i="20" s="1"/>
  <c r="U1615" i="20"/>
  <c r="S1615" i="20"/>
  <c r="P1615" i="20"/>
  <c r="O1615" i="20"/>
  <c r="M1615" i="20"/>
  <c r="Q1615" i="20" s="1"/>
  <c r="L1615" i="20"/>
  <c r="K1615" i="20"/>
  <c r="J1615" i="20"/>
  <c r="AA1614" i="20"/>
  <c r="AB1614" i="20" s="1"/>
  <c r="V1614" i="20"/>
  <c r="W1614" i="20" s="1"/>
  <c r="X1614" i="20" s="1"/>
  <c r="U1614" i="20"/>
  <c r="S1614" i="20"/>
  <c r="Q1614" i="20"/>
  <c r="O1614" i="20"/>
  <c r="N1614" i="20"/>
  <c r="M1614" i="20"/>
  <c r="AC1614" i="20" s="1"/>
  <c r="L1614" i="20"/>
  <c r="K1614" i="20"/>
  <c r="J1614" i="20"/>
  <c r="AA1613" i="20"/>
  <c r="V1613" i="20"/>
  <c r="W1613" i="20" s="1"/>
  <c r="X1613" i="20" s="1"/>
  <c r="U1613" i="20"/>
  <c r="S1613" i="20"/>
  <c r="O1613" i="20"/>
  <c r="M1613" i="20"/>
  <c r="L1613" i="20"/>
  <c r="K1613" i="20"/>
  <c r="J1613" i="20"/>
  <c r="AC1612" i="20"/>
  <c r="AA1612" i="20"/>
  <c r="W1612" i="20"/>
  <c r="X1612" i="20" s="1"/>
  <c r="Y1612" i="20" s="1"/>
  <c r="V1612" i="20"/>
  <c r="U1612" i="20"/>
  <c r="S1612" i="20"/>
  <c r="O1612" i="20"/>
  <c r="K1612" i="20"/>
  <c r="M1612" i="20" s="1"/>
  <c r="Q1612" i="20" s="1"/>
  <c r="J1612" i="20"/>
  <c r="AA1611" i="20"/>
  <c r="X1611" i="20"/>
  <c r="Y1611" i="20" s="1"/>
  <c r="W1611" i="20"/>
  <c r="V1611" i="20"/>
  <c r="U1611" i="20"/>
  <c r="S1611" i="20"/>
  <c r="O1611" i="20"/>
  <c r="K1611" i="20"/>
  <c r="J1611" i="20"/>
  <c r="AA1610" i="20"/>
  <c r="W1610" i="20"/>
  <c r="X1610" i="20" s="1"/>
  <c r="V1610" i="20"/>
  <c r="U1610" i="20"/>
  <c r="S1610" i="20"/>
  <c r="O1610" i="20"/>
  <c r="K1610" i="20"/>
  <c r="J1610" i="20"/>
  <c r="AC1609" i="20"/>
  <c r="AA1609" i="20"/>
  <c r="X1609" i="20"/>
  <c r="V1609" i="20"/>
  <c r="W1609" i="20" s="1"/>
  <c r="U1609" i="20"/>
  <c r="S1609" i="20"/>
  <c r="O1609" i="20"/>
  <c r="M1609" i="20"/>
  <c r="Q1609" i="20" s="1"/>
  <c r="L1609" i="20"/>
  <c r="K1609" i="20"/>
  <c r="J1609" i="20"/>
  <c r="AA1608" i="20"/>
  <c r="X1608" i="20"/>
  <c r="V1608" i="20"/>
  <c r="W1608" i="20" s="1"/>
  <c r="U1608" i="20"/>
  <c r="S1608" i="20"/>
  <c r="O1608" i="20"/>
  <c r="K1608" i="20"/>
  <c r="J1608" i="20"/>
  <c r="AA1607" i="20"/>
  <c r="W1607" i="20"/>
  <c r="X1607" i="20" s="1"/>
  <c r="Y1607" i="20" s="1"/>
  <c r="V1607" i="20"/>
  <c r="U1607" i="20"/>
  <c r="S1607" i="20"/>
  <c r="O1607" i="20"/>
  <c r="M1607" i="20"/>
  <c r="Q1607" i="20" s="1"/>
  <c r="K1607" i="20"/>
  <c r="L1607" i="20" s="1"/>
  <c r="J1607" i="20"/>
  <c r="AA1606" i="20"/>
  <c r="W1606" i="20"/>
  <c r="X1606" i="20" s="1"/>
  <c r="V1606" i="20"/>
  <c r="U1606" i="20"/>
  <c r="S1606" i="20"/>
  <c r="O1606" i="20"/>
  <c r="M1606" i="20"/>
  <c r="L1606" i="20"/>
  <c r="K1606" i="20"/>
  <c r="J1606" i="20"/>
  <c r="AC1605" i="20"/>
  <c r="AA1605" i="20"/>
  <c r="V1605" i="20"/>
  <c r="W1605" i="20" s="1"/>
  <c r="X1605" i="20" s="1"/>
  <c r="U1605" i="20"/>
  <c r="S1605" i="20"/>
  <c r="Q1605" i="20"/>
  <c r="O1605" i="20"/>
  <c r="K1605" i="20"/>
  <c r="M1605" i="20" s="1"/>
  <c r="J1605" i="20"/>
  <c r="AA1604" i="20"/>
  <c r="W1604" i="20"/>
  <c r="X1604" i="20" s="1"/>
  <c r="V1604" i="20"/>
  <c r="U1604" i="20"/>
  <c r="S1604" i="20"/>
  <c r="O1604" i="20"/>
  <c r="K1604" i="20"/>
  <c r="J1604" i="20"/>
  <c r="AC1603" i="20"/>
  <c r="AB1603" i="20"/>
  <c r="AA1603" i="20"/>
  <c r="V1603" i="20"/>
  <c r="W1603" i="20" s="1"/>
  <c r="X1603" i="20" s="1"/>
  <c r="Y1603" i="20" s="1"/>
  <c r="U1603" i="20"/>
  <c r="S1603" i="20"/>
  <c r="O1603" i="20"/>
  <c r="M1603" i="20"/>
  <c r="Q1603" i="20" s="1"/>
  <c r="L1603" i="20"/>
  <c r="K1603" i="20"/>
  <c r="J1603" i="20"/>
  <c r="AA1602" i="20"/>
  <c r="W1602" i="20"/>
  <c r="X1602" i="20" s="1"/>
  <c r="Y1602" i="20" s="1"/>
  <c r="V1602" i="20"/>
  <c r="U1602" i="20"/>
  <c r="S1602" i="20"/>
  <c r="O1602" i="20"/>
  <c r="K1602" i="20"/>
  <c r="J1602" i="20"/>
  <c r="AA1601" i="20"/>
  <c r="Y1601" i="20"/>
  <c r="V1601" i="20"/>
  <c r="W1601" i="20" s="1"/>
  <c r="X1601" i="20" s="1"/>
  <c r="U1601" i="20"/>
  <c r="S1601" i="20"/>
  <c r="M1601" i="20"/>
  <c r="K1601" i="20"/>
  <c r="L1601" i="20" s="1"/>
  <c r="AA1600" i="20"/>
  <c r="W1600" i="20"/>
  <c r="X1600" i="20" s="1"/>
  <c r="Y1600" i="20" s="1"/>
  <c r="V1600" i="20"/>
  <c r="U1600" i="20"/>
  <c r="S1600" i="20"/>
  <c r="K1600" i="20"/>
  <c r="AA1599" i="20"/>
  <c r="V1599" i="20"/>
  <c r="W1599" i="20" s="1"/>
  <c r="X1599" i="20" s="1"/>
  <c r="U1599" i="20"/>
  <c r="S1599" i="20"/>
  <c r="K1599" i="20"/>
  <c r="AC1598" i="20"/>
  <c r="AB1598" i="20"/>
  <c r="AA1598" i="20"/>
  <c r="V1598" i="20"/>
  <c r="W1598" i="20" s="1"/>
  <c r="X1598" i="20" s="1"/>
  <c r="U1598" i="20"/>
  <c r="S1598" i="20"/>
  <c r="M1598" i="20"/>
  <c r="Q1598" i="20" s="1"/>
  <c r="K1598" i="20"/>
  <c r="L1598" i="20" s="1"/>
  <c r="AA1597" i="20"/>
  <c r="V1597" i="20"/>
  <c r="W1597" i="20" s="1"/>
  <c r="X1597" i="20" s="1"/>
  <c r="U1597" i="20"/>
  <c r="S1597" i="20"/>
  <c r="Q1597" i="20"/>
  <c r="L1597" i="20"/>
  <c r="K1597" i="20"/>
  <c r="M1597" i="20" s="1"/>
  <c r="AC1597" i="20" s="1"/>
  <c r="AC1596" i="20"/>
  <c r="AB1596" i="20"/>
  <c r="AA1596" i="20"/>
  <c r="V1596" i="20"/>
  <c r="W1596" i="20" s="1"/>
  <c r="X1596" i="20" s="1"/>
  <c r="U1596" i="20"/>
  <c r="S1596" i="20"/>
  <c r="Q1596" i="20"/>
  <c r="M1596" i="20"/>
  <c r="L1596" i="20"/>
  <c r="K1596" i="20"/>
  <c r="AA1595" i="20"/>
  <c r="W1595" i="20"/>
  <c r="X1595" i="20" s="1"/>
  <c r="V1595" i="20"/>
  <c r="U1595" i="20"/>
  <c r="S1595" i="20"/>
  <c r="N1595" i="20"/>
  <c r="O1595" i="20" s="1"/>
  <c r="L1595" i="20"/>
  <c r="K1595" i="20"/>
  <c r="M1595" i="20" s="1"/>
  <c r="AA1594" i="20"/>
  <c r="X1594" i="20"/>
  <c r="Z1594" i="20" s="1"/>
  <c r="W1594" i="20"/>
  <c r="V1594" i="20"/>
  <c r="U1594" i="20"/>
  <c r="S1594" i="20"/>
  <c r="K1594" i="20"/>
  <c r="M1594" i="20" s="1"/>
  <c r="J1594" i="20"/>
  <c r="AC1593" i="20"/>
  <c r="AA1593" i="20"/>
  <c r="AB1593" i="20" s="1"/>
  <c r="V1593" i="20"/>
  <c r="W1593" i="20" s="1"/>
  <c r="X1593" i="20" s="1"/>
  <c r="U1593" i="20"/>
  <c r="S1593" i="20"/>
  <c r="M1593" i="20"/>
  <c r="L1593" i="20"/>
  <c r="K1593" i="20"/>
  <c r="AA1592" i="20"/>
  <c r="W1592" i="20"/>
  <c r="X1592" i="20" s="1"/>
  <c r="Y1592" i="20" s="1"/>
  <c r="V1592" i="20"/>
  <c r="U1592" i="20"/>
  <c r="S1592" i="20"/>
  <c r="K1592" i="20"/>
  <c r="M1592" i="20" s="1"/>
  <c r="AC1591" i="20"/>
  <c r="AA1591" i="20"/>
  <c r="AB1591" i="20" s="1"/>
  <c r="V1591" i="20"/>
  <c r="W1591" i="20" s="1"/>
  <c r="X1591" i="20" s="1"/>
  <c r="U1591" i="20"/>
  <c r="S1591" i="20"/>
  <c r="Q1591" i="20"/>
  <c r="M1591" i="20"/>
  <c r="L1591" i="20"/>
  <c r="K1591" i="20"/>
  <c r="AA1590" i="20"/>
  <c r="V1590" i="20"/>
  <c r="W1590" i="20" s="1"/>
  <c r="X1590" i="20" s="1"/>
  <c r="U1590" i="20"/>
  <c r="S1590" i="20"/>
  <c r="M1590" i="20"/>
  <c r="AC1590" i="20" s="1"/>
  <c r="L1590" i="20"/>
  <c r="K1590" i="20"/>
  <c r="AC1589" i="20"/>
  <c r="AA1589" i="20"/>
  <c r="X1589" i="20"/>
  <c r="Y1589" i="20" s="1"/>
  <c r="W1589" i="20"/>
  <c r="V1589" i="20"/>
  <c r="U1589" i="20"/>
  <c r="S1589" i="20"/>
  <c r="K1589" i="20"/>
  <c r="M1589" i="20" s="1"/>
  <c r="Q1589" i="20" s="1"/>
  <c r="AA1588" i="20"/>
  <c r="V1588" i="20"/>
  <c r="W1588" i="20" s="1"/>
  <c r="X1588" i="20" s="1"/>
  <c r="U1588" i="20"/>
  <c r="S1588" i="20"/>
  <c r="M1588" i="20"/>
  <c r="K1588" i="20"/>
  <c r="L1588" i="20" s="1"/>
  <c r="AC1587" i="20"/>
  <c r="AB1587" i="20"/>
  <c r="AA1587" i="20"/>
  <c r="W1587" i="20"/>
  <c r="X1587" i="20" s="1"/>
  <c r="V1587" i="20"/>
  <c r="U1587" i="20"/>
  <c r="S1587" i="20"/>
  <c r="L1587" i="20"/>
  <c r="K1587" i="20"/>
  <c r="M1587" i="20" s="1"/>
  <c r="Q1587" i="20" s="1"/>
  <c r="AB1586" i="20"/>
  <c r="AA1586" i="20"/>
  <c r="Y1586" i="20"/>
  <c r="X1586" i="20"/>
  <c r="V1586" i="20"/>
  <c r="W1586" i="20" s="1"/>
  <c r="U1586" i="20"/>
  <c r="S1586" i="20"/>
  <c r="Q1586" i="20"/>
  <c r="N1586" i="20"/>
  <c r="O1586" i="20" s="1"/>
  <c r="L1586" i="20"/>
  <c r="K1586" i="20"/>
  <c r="M1586" i="20" s="1"/>
  <c r="AC1586" i="20" s="1"/>
  <c r="AC1585" i="20"/>
  <c r="AB1585" i="20"/>
  <c r="AA1585" i="20"/>
  <c r="V1585" i="20"/>
  <c r="W1585" i="20" s="1"/>
  <c r="X1585" i="20" s="1"/>
  <c r="U1585" i="20"/>
  <c r="S1585" i="20"/>
  <c r="Q1585" i="20"/>
  <c r="M1585" i="20"/>
  <c r="K1585" i="20"/>
  <c r="L1585" i="20" s="1"/>
  <c r="N1585" i="20" s="1"/>
  <c r="O1585" i="20" s="1"/>
  <c r="AA1584" i="20"/>
  <c r="V1584" i="20"/>
  <c r="W1584" i="20" s="1"/>
  <c r="X1584" i="20" s="1"/>
  <c r="U1584" i="20"/>
  <c r="S1584" i="20"/>
  <c r="M1584" i="20"/>
  <c r="AC1584" i="20" s="1"/>
  <c r="K1584" i="20"/>
  <c r="L1584" i="20" s="1"/>
  <c r="AA1583" i="20"/>
  <c r="X1583" i="20"/>
  <c r="Z1583" i="20" s="1"/>
  <c r="V1583" i="20"/>
  <c r="W1583" i="20" s="1"/>
  <c r="U1583" i="20"/>
  <c r="S1583" i="20"/>
  <c r="K1583" i="20"/>
  <c r="M1583" i="20" s="1"/>
  <c r="J1583" i="20"/>
  <c r="AA1582" i="20"/>
  <c r="W1582" i="20"/>
  <c r="X1582" i="20" s="1"/>
  <c r="V1582" i="20"/>
  <c r="U1582" i="20"/>
  <c r="S1582" i="20"/>
  <c r="L1582" i="20"/>
  <c r="K1582" i="20"/>
  <c r="M1582" i="20" s="1"/>
  <c r="AB1581" i="20"/>
  <c r="AA1581" i="20"/>
  <c r="V1581" i="20"/>
  <c r="W1581" i="20" s="1"/>
  <c r="X1581" i="20" s="1"/>
  <c r="U1581" i="20"/>
  <c r="S1581" i="20"/>
  <c r="K1581" i="20"/>
  <c r="L1581" i="20" s="1"/>
  <c r="AA1580" i="20"/>
  <c r="V1580" i="20"/>
  <c r="W1580" i="20" s="1"/>
  <c r="X1580" i="20" s="1"/>
  <c r="Y1580" i="20" s="1"/>
  <c r="U1580" i="20"/>
  <c r="S1580" i="20"/>
  <c r="Q1580" i="20"/>
  <c r="K1580" i="20"/>
  <c r="M1580" i="20" s="1"/>
  <c r="AC1580" i="20" s="1"/>
  <c r="AA1579" i="20"/>
  <c r="V1579" i="20"/>
  <c r="W1579" i="20" s="1"/>
  <c r="X1579" i="20" s="1"/>
  <c r="Y1579" i="20" s="1"/>
  <c r="U1579" i="20"/>
  <c r="S1579" i="20"/>
  <c r="K1579" i="20"/>
  <c r="L1579" i="20" s="1"/>
  <c r="AA1578" i="20"/>
  <c r="V1578" i="20"/>
  <c r="W1578" i="20" s="1"/>
  <c r="X1578" i="20" s="1"/>
  <c r="U1578" i="20"/>
  <c r="S1578" i="20"/>
  <c r="M1578" i="20"/>
  <c r="AC1578" i="20" s="1"/>
  <c r="L1578" i="20"/>
  <c r="K1578" i="20"/>
  <c r="AC1577" i="20"/>
  <c r="AA1577" i="20"/>
  <c r="AB1577" i="20" s="1"/>
  <c r="X1577" i="20"/>
  <c r="V1577" i="20"/>
  <c r="W1577" i="20" s="1"/>
  <c r="U1577" i="20"/>
  <c r="S1577" i="20"/>
  <c r="Q1577" i="20"/>
  <c r="O1577" i="20"/>
  <c r="M1577" i="20"/>
  <c r="L1577" i="20"/>
  <c r="N1577" i="20" s="1"/>
  <c r="K1577" i="20"/>
  <c r="AC1576" i="20"/>
  <c r="AB1576" i="20"/>
  <c r="AA1576" i="20"/>
  <c r="V1576" i="20"/>
  <c r="W1576" i="20" s="1"/>
  <c r="X1576" i="20" s="1"/>
  <c r="U1576" i="20"/>
  <c r="S1576" i="20"/>
  <c r="Q1576" i="20"/>
  <c r="N1576" i="20"/>
  <c r="O1576" i="20" s="1"/>
  <c r="M1576" i="20"/>
  <c r="L1576" i="20"/>
  <c r="K1576" i="20"/>
  <c r="AA1575" i="20"/>
  <c r="W1575" i="20"/>
  <c r="X1575" i="20" s="1"/>
  <c r="Y1575" i="20" s="1"/>
  <c r="V1575" i="20"/>
  <c r="U1575" i="20"/>
  <c r="S1575" i="20"/>
  <c r="K1575" i="20"/>
  <c r="AA1574" i="20"/>
  <c r="V1574" i="20"/>
  <c r="W1574" i="20" s="1"/>
  <c r="X1574" i="20" s="1"/>
  <c r="U1574" i="20"/>
  <c r="S1574" i="20"/>
  <c r="M1574" i="20"/>
  <c r="L1574" i="20"/>
  <c r="K1574" i="20"/>
  <c r="AA1573" i="20"/>
  <c r="V1573" i="20"/>
  <c r="W1573" i="20" s="1"/>
  <c r="X1573" i="20" s="1"/>
  <c r="U1573" i="20"/>
  <c r="S1573" i="20"/>
  <c r="M1573" i="20"/>
  <c r="K1573" i="20"/>
  <c r="L1573" i="20" s="1"/>
  <c r="AA1572" i="20"/>
  <c r="V1572" i="20"/>
  <c r="W1572" i="20" s="1"/>
  <c r="X1572" i="20" s="1"/>
  <c r="U1572" i="20"/>
  <c r="S1572" i="20"/>
  <c r="Q1572" i="20"/>
  <c r="M1572" i="20"/>
  <c r="AC1572" i="20" s="1"/>
  <c r="L1572" i="20"/>
  <c r="AB1572" i="20" s="1"/>
  <c r="K1572" i="20"/>
  <c r="AA1571" i="20"/>
  <c r="W1571" i="20"/>
  <c r="X1571" i="20" s="1"/>
  <c r="Y1571" i="20" s="1"/>
  <c r="V1571" i="20"/>
  <c r="U1571" i="20"/>
  <c r="S1571" i="20"/>
  <c r="K1571" i="20"/>
  <c r="AA1570" i="20"/>
  <c r="X1570" i="20"/>
  <c r="W1570" i="20"/>
  <c r="V1570" i="20"/>
  <c r="U1570" i="20"/>
  <c r="S1570" i="20"/>
  <c r="K1570" i="20"/>
  <c r="AA1569" i="20"/>
  <c r="W1569" i="20"/>
  <c r="X1569" i="20" s="1"/>
  <c r="V1569" i="20"/>
  <c r="U1569" i="20"/>
  <c r="S1569" i="20"/>
  <c r="K1569" i="20"/>
  <c r="M1569" i="20" s="1"/>
  <c r="AA1568" i="20"/>
  <c r="W1568" i="20"/>
  <c r="X1568" i="20" s="1"/>
  <c r="Y1568" i="20" s="1"/>
  <c r="V1568" i="20"/>
  <c r="U1568" i="20"/>
  <c r="S1568" i="20"/>
  <c r="N1568" i="20"/>
  <c r="O1568" i="20" s="1"/>
  <c r="M1568" i="20"/>
  <c r="K1568" i="20"/>
  <c r="L1568" i="20" s="1"/>
  <c r="AC1567" i="20"/>
  <c r="AA1567" i="20"/>
  <c r="V1567" i="20"/>
  <c r="W1567" i="20" s="1"/>
  <c r="X1567" i="20" s="1"/>
  <c r="U1567" i="20"/>
  <c r="S1567" i="20"/>
  <c r="Q1567" i="20"/>
  <c r="M1567" i="20"/>
  <c r="L1567" i="20"/>
  <c r="AB1567" i="20" s="1"/>
  <c r="K1567" i="20"/>
  <c r="AA1566" i="20"/>
  <c r="V1566" i="20"/>
  <c r="W1566" i="20" s="1"/>
  <c r="X1566" i="20" s="1"/>
  <c r="U1566" i="20"/>
  <c r="S1566" i="20"/>
  <c r="M1566" i="20"/>
  <c r="L1566" i="20"/>
  <c r="K1566" i="20"/>
  <c r="AA1565" i="20"/>
  <c r="V1565" i="20"/>
  <c r="W1565" i="20" s="1"/>
  <c r="X1565" i="20" s="1"/>
  <c r="U1565" i="20"/>
  <c r="S1565" i="20"/>
  <c r="M1565" i="20"/>
  <c r="AC1565" i="20" s="1"/>
  <c r="K1565" i="20"/>
  <c r="L1565" i="20" s="1"/>
  <c r="AA1564" i="20"/>
  <c r="V1564" i="20"/>
  <c r="W1564" i="20" s="1"/>
  <c r="X1564" i="20" s="1"/>
  <c r="U1564" i="20"/>
  <c r="S1564" i="20"/>
  <c r="K1564" i="20"/>
  <c r="AA1563" i="20"/>
  <c r="W1563" i="20"/>
  <c r="X1563" i="20" s="1"/>
  <c r="V1563" i="20"/>
  <c r="U1563" i="20"/>
  <c r="S1563" i="20"/>
  <c r="K1563" i="20"/>
  <c r="AA1562" i="20"/>
  <c r="X1562" i="20"/>
  <c r="W1562" i="20"/>
  <c r="V1562" i="20"/>
  <c r="U1562" i="20"/>
  <c r="S1562" i="20"/>
  <c r="K1562" i="20"/>
  <c r="AA1561" i="20"/>
  <c r="V1561" i="20"/>
  <c r="W1561" i="20" s="1"/>
  <c r="X1561" i="20" s="1"/>
  <c r="U1561" i="20"/>
  <c r="S1561" i="20"/>
  <c r="Q1561" i="20"/>
  <c r="L1561" i="20"/>
  <c r="K1561" i="20"/>
  <c r="M1561" i="20" s="1"/>
  <c r="AC1561" i="20" s="1"/>
  <c r="AC1560" i="20"/>
  <c r="AA1560" i="20"/>
  <c r="W1560" i="20"/>
  <c r="X1560" i="20" s="1"/>
  <c r="V1560" i="20"/>
  <c r="U1560" i="20"/>
  <c r="S1560" i="20"/>
  <c r="M1560" i="20"/>
  <c r="Q1560" i="20" s="1"/>
  <c r="L1560" i="20"/>
  <c r="K1560" i="20"/>
  <c r="AA1559" i="20"/>
  <c r="V1559" i="20"/>
  <c r="W1559" i="20" s="1"/>
  <c r="X1559" i="20" s="1"/>
  <c r="U1559" i="20"/>
  <c r="S1559" i="20"/>
  <c r="K1559" i="20"/>
  <c r="M1559" i="20" s="1"/>
  <c r="AC1558" i="20"/>
  <c r="AB1558" i="20"/>
  <c r="AA1558" i="20"/>
  <c r="V1558" i="20"/>
  <c r="W1558" i="20" s="1"/>
  <c r="X1558" i="20" s="1"/>
  <c r="U1558" i="20"/>
  <c r="S1558" i="20"/>
  <c r="Q1558" i="20"/>
  <c r="O1558" i="20"/>
  <c r="M1558" i="20"/>
  <c r="L1558" i="20"/>
  <c r="N1558" i="20" s="1"/>
  <c r="K1558" i="20"/>
  <c r="AA1557" i="20"/>
  <c r="V1557" i="20"/>
  <c r="W1557" i="20" s="1"/>
  <c r="X1557" i="20" s="1"/>
  <c r="U1557" i="20"/>
  <c r="S1557" i="20"/>
  <c r="M1557" i="20"/>
  <c r="L1557" i="20"/>
  <c r="K1557" i="20"/>
  <c r="AA1556" i="20"/>
  <c r="V1556" i="20"/>
  <c r="W1556" i="20" s="1"/>
  <c r="X1556" i="20" s="1"/>
  <c r="U1556" i="20"/>
  <c r="S1556" i="20"/>
  <c r="K1556" i="20"/>
  <c r="M1556" i="20" s="1"/>
  <c r="Q1556" i="20" s="1"/>
  <c r="AA1555" i="20"/>
  <c r="V1555" i="20"/>
  <c r="W1555" i="20" s="1"/>
  <c r="X1555" i="20" s="1"/>
  <c r="U1555" i="20"/>
  <c r="S1555" i="20"/>
  <c r="M1555" i="20"/>
  <c r="K1555" i="20"/>
  <c r="L1555" i="20" s="1"/>
  <c r="AC1554" i="20"/>
  <c r="AB1554" i="20"/>
  <c r="AA1554" i="20"/>
  <c r="V1554" i="20"/>
  <c r="W1554" i="20" s="1"/>
  <c r="X1554" i="20" s="1"/>
  <c r="U1554" i="20"/>
  <c r="S1554" i="20"/>
  <c r="Q1554" i="20"/>
  <c r="L1554" i="20"/>
  <c r="K1554" i="20"/>
  <c r="M1554" i="20" s="1"/>
  <c r="AC1553" i="20"/>
  <c r="AA1553" i="20"/>
  <c r="V1553" i="20"/>
  <c r="W1553" i="20" s="1"/>
  <c r="X1553" i="20" s="1"/>
  <c r="U1553" i="20"/>
  <c r="S1553" i="20"/>
  <c r="M1553" i="20"/>
  <c r="Q1553" i="20" s="1"/>
  <c r="K1553" i="20"/>
  <c r="L1553" i="20" s="1"/>
  <c r="AA1552" i="20"/>
  <c r="W1552" i="20"/>
  <c r="X1552" i="20" s="1"/>
  <c r="V1552" i="20"/>
  <c r="U1552" i="20"/>
  <c r="S1552" i="20"/>
  <c r="K1552" i="20"/>
  <c r="AA1551" i="20"/>
  <c r="Y1551" i="20"/>
  <c r="W1551" i="20"/>
  <c r="X1551" i="20" s="1"/>
  <c r="V1551" i="20"/>
  <c r="U1551" i="20"/>
  <c r="S1551" i="20"/>
  <c r="K1551" i="20"/>
  <c r="AA1550" i="20"/>
  <c r="Y1550" i="20"/>
  <c r="X1550" i="20"/>
  <c r="W1550" i="20"/>
  <c r="V1550" i="20"/>
  <c r="U1550" i="20"/>
  <c r="S1550" i="20"/>
  <c r="N1550" i="20"/>
  <c r="O1550" i="20" s="1"/>
  <c r="M1550" i="20"/>
  <c r="L1550" i="20"/>
  <c r="K1550" i="20"/>
  <c r="AA1549" i="20"/>
  <c r="AB1549" i="20" s="1"/>
  <c r="X1549" i="20"/>
  <c r="V1549" i="20"/>
  <c r="W1549" i="20" s="1"/>
  <c r="U1549" i="20"/>
  <c r="S1549" i="20"/>
  <c r="K1549" i="20"/>
  <c r="L1549" i="20" s="1"/>
  <c r="AA1548" i="20"/>
  <c r="V1548" i="20"/>
  <c r="W1548" i="20" s="1"/>
  <c r="X1548" i="20" s="1"/>
  <c r="U1548" i="20"/>
  <c r="S1548" i="20"/>
  <c r="K1548" i="20"/>
  <c r="AC1547" i="20"/>
  <c r="AA1547" i="20"/>
  <c r="V1547" i="20"/>
  <c r="W1547" i="20" s="1"/>
  <c r="X1547" i="20" s="1"/>
  <c r="U1547" i="20"/>
  <c r="S1547" i="20"/>
  <c r="M1547" i="20"/>
  <c r="Q1547" i="20" s="1"/>
  <c r="K1547" i="20"/>
  <c r="L1547" i="20" s="1"/>
  <c r="AC1546" i="20"/>
  <c r="AA1546" i="20"/>
  <c r="V1546" i="20"/>
  <c r="W1546" i="20" s="1"/>
  <c r="X1546" i="20" s="1"/>
  <c r="U1546" i="20"/>
  <c r="S1546" i="20"/>
  <c r="Q1546" i="20"/>
  <c r="M1546" i="20"/>
  <c r="L1546" i="20"/>
  <c r="K1546" i="20"/>
  <c r="AC1545" i="20"/>
  <c r="AA1545" i="20"/>
  <c r="AB1545" i="20" s="1"/>
  <c r="W1545" i="20"/>
  <c r="X1545" i="20" s="1"/>
  <c r="V1545" i="20"/>
  <c r="U1545" i="20"/>
  <c r="S1545" i="20"/>
  <c r="L1545" i="20"/>
  <c r="K1545" i="20"/>
  <c r="M1545" i="20" s="1"/>
  <c r="Q1545" i="20" s="1"/>
  <c r="AB1544" i="20"/>
  <c r="AA1544" i="20"/>
  <c r="X1544" i="20"/>
  <c r="Z1544" i="20" s="1"/>
  <c r="V1544" i="20"/>
  <c r="W1544" i="20" s="1"/>
  <c r="U1544" i="20"/>
  <c r="S1544" i="20"/>
  <c r="N1544" i="20"/>
  <c r="O1544" i="20" s="1"/>
  <c r="M1544" i="20"/>
  <c r="AC1544" i="20" s="1"/>
  <c r="L1544" i="20"/>
  <c r="K1544" i="20"/>
  <c r="J1544" i="20"/>
  <c r="AC1543" i="20"/>
  <c r="AA1543" i="20"/>
  <c r="AB1543" i="20" s="1"/>
  <c r="Y1543" i="20"/>
  <c r="X1543" i="20"/>
  <c r="W1543" i="20"/>
  <c r="V1543" i="20"/>
  <c r="U1543" i="20"/>
  <c r="S1543" i="20"/>
  <c r="M1543" i="20"/>
  <c r="Q1543" i="20" s="1"/>
  <c r="L1543" i="20"/>
  <c r="K1543" i="20"/>
  <c r="AB1542" i="20"/>
  <c r="AA1542" i="20"/>
  <c r="V1542" i="20"/>
  <c r="W1542" i="20" s="1"/>
  <c r="X1542" i="20" s="1"/>
  <c r="U1542" i="20"/>
  <c r="S1542" i="20"/>
  <c r="O1542" i="20"/>
  <c r="M1542" i="20"/>
  <c r="L1542" i="20"/>
  <c r="N1542" i="20" s="1"/>
  <c r="K1542" i="20"/>
  <c r="AC1541" i="20"/>
  <c r="AA1541" i="20"/>
  <c r="AB1541" i="20" s="1"/>
  <c r="W1541" i="20"/>
  <c r="X1541" i="20" s="1"/>
  <c r="V1541" i="20"/>
  <c r="U1541" i="20"/>
  <c r="S1541" i="20"/>
  <c r="N1541" i="20"/>
  <c r="O1541" i="20" s="1"/>
  <c r="M1541" i="20"/>
  <c r="Q1541" i="20" s="1"/>
  <c r="L1541" i="20"/>
  <c r="K1541" i="20"/>
  <c r="AA1540" i="20"/>
  <c r="W1540" i="20"/>
  <c r="X1540" i="20" s="1"/>
  <c r="V1540" i="20"/>
  <c r="U1540" i="20"/>
  <c r="S1540" i="20"/>
  <c r="K1540" i="20"/>
  <c r="AC1539" i="20"/>
  <c r="AB1539" i="20"/>
  <c r="AA1539" i="20"/>
  <c r="Y1539" i="20"/>
  <c r="V1539" i="20"/>
  <c r="W1539" i="20" s="1"/>
  <c r="X1539" i="20" s="1"/>
  <c r="U1539" i="20"/>
  <c r="S1539" i="20"/>
  <c r="Q1539" i="20"/>
  <c r="L1539" i="20"/>
  <c r="K1539" i="20"/>
  <c r="M1539" i="20" s="1"/>
  <c r="AB1538" i="20"/>
  <c r="AA1538" i="20"/>
  <c r="V1538" i="20"/>
  <c r="W1538" i="20" s="1"/>
  <c r="X1538" i="20" s="1"/>
  <c r="U1538" i="20"/>
  <c r="S1538" i="20"/>
  <c r="N1538" i="20"/>
  <c r="O1538" i="20" s="1"/>
  <c r="M1538" i="20"/>
  <c r="AC1538" i="20" s="1"/>
  <c r="L1538" i="20"/>
  <c r="K1538" i="20"/>
  <c r="AC1537" i="20"/>
  <c r="AA1537" i="20"/>
  <c r="X1537" i="20"/>
  <c r="W1537" i="20"/>
  <c r="V1537" i="20"/>
  <c r="U1537" i="20"/>
  <c r="S1537" i="20"/>
  <c r="Q1537" i="20"/>
  <c r="N1537" i="20"/>
  <c r="O1537" i="20" s="1"/>
  <c r="M1537" i="20"/>
  <c r="L1537" i="20"/>
  <c r="K1537" i="20"/>
  <c r="AA1536" i="20"/>
  <c r="V1536" i="20"/>
  <c r="W1536" i="20" s="1"/>
  <c r="X1536" i="20" s="1"/>
  <c r="U1536" i="20"/>
  <c r="S1536" i="20"/>
  <c r="M1536" i="20"/>
  <c r="L1536" i="20"/>
  <c r="K1536" i="20"/>
  <c r="AA1535" i="20"/>
  <c r="W1535" i="20"/>
  <c r="X1535" i="20" s="1"/>
  <c r="V1535" i="20"/>
  <c r="U1535" i="20"/>
  <c r="S1535" i="20"/>
  <c r="K1535" i="20"/>
  <c r="AA1534" i="20"/>
  <c r="V1534" i="20"/>
  <c r="W1534" i="20" s="1"/>
  <c r="X1534" i="20" s="1"/>
  <c r="U1534" i="20"/>
  <c r="S1534" i="20"/>
  <c r="K1534" i="20"/>
  <c r="AA1533" i="20"/>
  <c r="V1533" i="20"/>
  <c r="W1533" i="20" s="1"/>
  <c r="X1533" i="20" s="1"/>
  <c r="U1533" i="20"/>
  <c r="S1533" i="20"/>
  <c r="K1533" i="20"/>
  <c r="AA1532" i="20"/>
  <c r="V1532" i="20"/>
  <c r="W1532" i="20" s="1"/>
  <c r="X1532" i="20" s="1"/>
  <c r="U1532" i="20"/>
  <c r="S1532" i="20"/>
  <c r="K1532" i="20"/>
  <c r="M1532" i="20" s="1"/>
  <c r="AA1531" i="20"/>
  <c r="W1531" i="20"/>
  <c r="X1531" i="20" s="1"/>
  <c r="V1531" i="20"/>
  <c r="U1531" i="20"/>
  <c r="S1531" i="20"/>
  <c r="K1531" i="20"/>
  <c r="AB1530" i="20"/>
  <c r="AA1530" i="20"/>
  <c r="V1530" i="20"/>
  <c r="W1530" i="20" s="1"/>
  <c r="X1530" i="20" s="1"/>
  <c r="U1530" i="20"/>
  <c r="S1530" i="20"/>
  <c r="K1530" i="20"/>
  <c r="L1530" i="20" s="1"/>
  <c r="AA1529" i="20"/>
  <c r="V1529" i="20"/>
  <c r="W1529" i="20" s="1"/>
  <c r="X1529" i="20" s="1"/>
  <c r="U1529" i="20"/>
  <c r="S1529" i="20"/>
  <c r="Q1529" i="20"/>
  <c r="N1529" i="20"/>
  <c r="O1529" i="20" s="1"/>
  <c r="M1529" i="20"/>
  <c r="AC1529" i="20" s="1"/>
  <c r="K1529" i="20"/>
  <c r="L1529" i="20" s="1"/>
  <c r="AA1528" i="20"/>
  <c r="Y1528" i="20"/>
  <c r="V1528" i="20"/>
  <c r="W1528" i="20" s="1"/>
  <c r="X1528" i="20" s="1"/>
  <c r="U1528" i="20"/>
  <c r="S1528" i="20"/>
  <c r="K1528" i="20"/>
  <c r="M1528" i="20" s="1"/>
  <c r="AA1527" i="20"/>
  <c r="V1527" i="20"/>
  <c r="W1527" i="20" s="1"/>
  <c r="X1527" i="20" s="1"/>
  <c r="Y1527" i="20" s="1"/>
  <c r="U1527" i="20"/>
  <c r="S1527" i="20"/>
  <c r="K1527" i="20"/>
  <c r="AC1526" i="20"/>
  <c r="AA1526" i="20"/>
  <c r="V1526" i="20"/>
  <c r="W1526" i="20" s="1"/>
  <c r="X1526" i="20" s="1"/>
  <c r="U1526" i="20"/>
  <c r="S1526" i="20"/>
  <c r="Q1526" i="20"/>
  <c r="K1526" i="20"/>
  <c r="M1526" i="20" s="1"/>
  <c r="AA1525" i="20"/>
  <c r="AB1525" i="20" s="1"/>
  <c r="W1525" i="20"/>
  <c r="X1525" i="20" s="1"/>
  <c r="V1525" i="20"/>
  <c r="U1525" i="20"/>
  <c r="S1525" i="20"/>
  <c r="O1525" i="20"/>
  <c r="N1525" i="20"/>
  <c r="M1525" i="20"/>
  <c r="Q1525" i="20" s="1"/>
  <c r="L1525" i="20"/>
  <c r="K1525" i="20"/>
  <c r="AA1524" i="20"/>
  <c r="W1524" i="20"/>
  <c r="X1524" i="20" s="1"/>
  <c r="V1524" i="20"/>
  <c r="U1524" i="20"/>
  <c r="S1524" i="20"/>
  <c r="Q1524" i="20"/>
  <c r="N1524" i="20"/>
  <c r="O1524" i="20" s="1"/>
  <c r="M1524" i="20"/>
  <c r="AC1524" i="20" s="1"/>
  <c r="L1524" i="20"/>
  <c r="AB1524" i="20" s="1"/>
  <c r="K1524" i="20"/>
  <c r="AA1523" i="20"/>
  <c r="W1523" i="20"/>
  <c r="X1523" i="20" s="1"/>
  <c r="V1523" i="20"/>
  <c r="U1523" i="20"/>
  <c r="S1523" i="20"/>
  <c r="K1523" i="20"/>
  <c r="M1523" i="20" s="1"/>
  <c r="AA1522" i="20"/>
  <c r="W1522" i="20"/>
  <c r="X1522" i="20" s="1"/>
  <c r="V1522" i="20"/>
  <c r="U1522" i="20"/>
  <c r="S1522" i="20"/>
  <c r="M1522" i="20"/>
  <c r="L1522" i="20"/>
  <c r="K1522" i="20"/>
  <c r="AA1521" i="20"/>
  <c r="X1521" i="20"/>
  <c r="V1521" i="20"/>
  <c r="W1521" i="20" s="1"/>
  <c r="U1521" i="20"/>
  <c r="S1521" i="20"/>
  <c r="K1521" i="20"/>
  <c r="AA1520" i="20"/>
  <c r="V1520" i="20"/>
  <c r="W1520" i="20" s="1"/>
  <c r="X1520" i="20" s="1"/>
  <c r="Y1520" i="20" s="1"/>
  <c r="U1520" i="20"/>
  <c r="S1520" i="20"/>
  <c r="M1520" i="20"/>
  <c r="L1520" i="20"/>
  <c r="K1520" i="20"/>
  <c r="AA1519" i="20"/>
  <c r="V1519" i="20"/>
  <c r="W1519" i="20" s="1"/>
  <c r="X1519" i="20" s="1"/>
  <c r="U1519" i="20"/>
  <c r="S1519" i="20"/>
  <c r="N1519" i="20"/>
  <c r="O1519" i="20" s="1"/>
  <c r="M1519" i="20"/>
  <c r="K1519" i="20"/>
  <c r="L1519" i="20" s="1"/>
  <c r="AA1518" i="20"/>
  <c r="X1518" i="20"/>
  <c r="W1518" i="20"/>
  <c r="V1518" i="20"/>
  <c r="U1518" i="20"/>
  <c r="S1518" i="20"/>
  <c r="K1518" i="20"/>
  <c r="M1518" i="20" s="1"/>
  <c r="AC1518" i="20" s="1"/>
  <c r="AA1517" i="20"/>
  <c r="V1517" i="20"/>
  <c r="W1517" i="20" s="1"/>
  <c r="X1517" i="20" s="1"/>
  <c r="U1517" i="20"/>
  <c r="S1517" i="20"/>
  <c r="K1517" i="20"/>
  <c r="AC1516" i="20"/>
  <c r="AA1516" i="20"/>
  <c r="W1516" i="20"/>
  <c r="X1516" i="20" s="1"/>
  <c r="V1516" i="20"/>
  <c r="U1516" i="20"/>
  <c r="S1516" i="20"/>
  <c r="Q1516" i="20"/>
  <c r="M1516" i="20"/>
  <c r="L1516" i="20"/>
  <c r="K1516" i="20"/>
  <c r="AA1515" i="20"/>
  <c r="Y1515" i="20"/>
  <c r="V1515" i="20"/>
  <c r="W1515" i="20" s="1"/>
  <c r="X1515" i="20" s="1"/>
  <c r="U1515" i="20"/>
  <c r="S1515" i="20"/>
  <c r="M1515" i="20"/>
  <c r="AC1515" i="20" s="1"/>
  <c r="L1515" i="20"/>
  <c r="K1515" i="20"/>
  <c r="AC1514" i="20"/>
  <c r="AA1514" i="20"/>
  <c r="V1514" i="20"/>
  <c r="W1514" i="20" s="1"/>
  <c r="X1514" i="20" s="1"/>
  <c r="U1514" i="20"/>
  <c r="S1514" i="20"/>
  <c r="Q1514" i="20"/>
  <c r="M1514" i="20"/>
  <c r="K1514" i="20"/>
  <c r="L1514" i="20" s="1"/>
  <c r="AA1513" i="20"/>
  <c r="W1513" i="20"/>
  <c r="X1513" i="20" s="1"/>
  <c r="V1513" i="20"/>
  <c r="U1513" i="20"/>
  <c r="S1513" i="20"/>
  <c r="Q1513" i="20"/>
  <c r="K1513" i="20"/>
  <c r="M1513" i="20" s="1"/>
  <c r="AC1513" i="20" s="1"/>
  <c r="AA1512" i="20"/>
  <c r="AB1512" i="20" s="1"/>
  <c r="V1512" i="20"/>
  <c r="W1512" i="20" s="1"/>
  <c r="X1512" i="20" s="1"/>
  <c r="U1512" i="20"/>
  <c r="S1512" i="20"/>
  <c r="K1512" i="20"/>
  <c r="L1512" i="20" s="1"/>
  <c r="AC1511" i="20"/>
  <c r="AA1511" i="20"/>
  <c r="V1511" i="20"/>
  <c r="W1511" i="20" s="1"/>
  <c r="X1511" i="20" s="1"/>
  <c r="U1511" i="20"/>
  <c r="S1511" i="20"/>
  <c r="Q1511" i="20"/>
  <c r="M1511" i="20"/>
  <c r="L1511" i="20"/>
  <c r="K1511" i="20"/>
  <c r="AA1510" i="20"/>
  <c r="X1510" i="20"/>
  <c r="Y1510" i="20" s="1"/>
  <c r="W1510" i="20"/>
  <c r="V1510" i="20"/>
  <c r="U1510" i="20"/>
  <c r="S1510" i="20"/>
  <c r="K1510" i="20"/>
  <c r="AA1509" i="20"/>
  <c r="X1509" i="20"/>
  <c r="W1509" i="20"/>
  <c r="V1509" i="20"/>
  <c r="U1509" i="20"/>
  <c r="S1509" i="20"/>
  <c r="K1509" i="20"/>
  <c r="M1509" i="20" s="1"/>
  <c r="AA1508" i="20"/>
  <c r="V1508" i="20"/>
  <c r="W1508" i="20" s="1"/>
  <c r="X1508" i="20" s="1"/>
  <c r="U1508" i="20"/>
  <c r="S1508" i="20"/>
  <c r="Q1508" i="20"/>
  <c r="K1508" i="20"/>
  <c r="M1508" i="20" s="1"/>
  <c r="AC1508" i="20" s="1"/>
  <c r="AC1507" i="20"/>
  <c r="AA1507" i="20"/>
  <c r="AB1507" i="20" s="1"/>
  <c r="W1507" i="20"/>
  <c r="X1507" i="20" s="1"/>
  <c r="V1507" i="20"/>
  <c r="U1507" i="20"/>
  <c r="S1507" i="20"/>
  <c r="Q1507" i="20"/>
  <c r="M1507" i="20"/>
  <c r="L1507" i="20"/>
  <c r="N1507" i="20" s="1"/>
  <c r="O1507" i="20" s="1"/>
  <c r="K1507" i="20"/>
  <c r="AA1506" i="20"/>
  <c r="V1506" i="20"/>
  <c r="W1506" i="20" s="1"/>
  <c r="X1506" i="20" s="1"/>
  <c r="U1506" i="20"/>
  <c r="S1506" i="20"/>
  <c r="Q1506" i="20"/>
  <c r="N1506" i="20"/>
  <c r="O1506" i="20" s="1"/>
  <c r="M1506" i="20"/>
  <c r="AC1506" i="20" s="1"/>
  <c r="K1506" i="20"/>
  <c r="L1506" i="20" s="1"/>
  <c r="AB1506" i="20" s="1"/>
  <c r="AC1505" i="20"/>
  <c r="AA1505" i="20"/>
  <c r="AB1505" i="20" s="1"/>
  <c r="V1505" i="20"/>
  <c r="W1505" i="20" s="1"/>
  <c r="X1505" i="20" s="1"/>
  <c r="U1505" i="20"/>
  <c r="S1505" i="20"/>
  <c r="M1505" i="20"/>
  <c r="Q1505" i="20" s="1"/>
  <c r="K1505" i="20"/>
  <c r="L1505" i="20" s="1"/>
  <c r="N1505" i="20" s="1"/>
  <c r="O1505" i="20" s="1"/>
  <c r="AA1504" i="20"/>
  <c r="X1504" i="20"/>
  <c r="V1504" i="20"/>
  <c r="W1504" i="20" s="1"/>
  <c r="U1504" i="20"/>
  <c r="S1504" i="20"/>
  <c r="K1504" i="20"/>
  <c r="M1504" i="20" s="1"/>
  <c r="AB1503" i="20"/>
  <c r="AA1503" i="20"/>
  <c r="V1503" i="20"/>
  <c r="W1503" i="20" s="1"/>
  <c r="X1503" i="20" s="1"/>
  <c r="U1503" i="20"/>
  <c r="S1503" i="20"/>
  <c r="K1503" i="20"/>
  <c r="L1503" i="20" s="1"/>
  <c r="AA1502" i="20"/>
  <c r="W1502" i="20"/>
  <c r="X1502" i="20" s="1"/>
  <c r="V1502" i="20"/>
  <c r="U1502" i="20"/>
  <c r="S1502" i="20"/>
  <c r="K1502" i="20"/>
  <c r="AA1501" i="20"/>
  <c r="X1501" i="20"/>
  <c r="W1501" i="20"/>
  <c r="V1501" i="20"/>
  <c r="U1501" i="20"/>
  <c r="S1501" i="20"/>
  <c r="Q1501" i="20"/>
  <c r="K1501" i="20"/>
  <c r="M1501" i="20" s="1"/>
  <c r="AC1501" i="20" s="1"/>
  <c r="AA1500" i="20"/>
  <c r="X1500" i="20"/>
  <c r="V1500" i="20"/>
  <c r="W1500" i="20" s="1"/>
  <c r="U1500" i="20"/>
  <c r="S1500" i="20"/>
  <c r="K1500" i="20"/>
  <c r="L1500" i="20" s="1"/>
  <c r="AA1499" i="20"/>
  <c r="V1499" i="20"/>
  <c r="W1499" i="20" s="1"/>
  <c r="X1499" i="20" s="1"/>
  <c r="U1499" i="20"/>
  <c r="S1499" i="20"/>
  <c r="K1499" i="20"/>
  <c r="AA1498" i="20"/>
  <c r="V1498" i="20"/>
  <c r="W1498" i="20" s="1"/>
  <c r="X1498" i="20" s="1"/>
  <c r="U1498" i="20"/>
  <c r="S1498" i="20"/>
  <c r="L1498" i="20"/>
  <c r="K1498" i="20"/>
  <c r="M1498" i="20" s="1"/>
  <c r="AA1497" i="20"/>
  <c r="X1497" i="20"/>
  <c r="V1497" i="20"/>
  <c r="W1497" i="20" s="1"/>
  <c r="U1497" i="20"/>
  <c r="S1497" i="20"/>
  <c r="M1497" i="20"/>
  <c r="AC1497" i="20" s="1"/>
  <c r="K1497" i="20"/>
  <c r="L1497" i="20" s="1"/>
  <c r="AB1496" i="20"/>
  <c r="AA1496" i="20"/>
  <c r="X1496" i="20"/>
  <c r="Y1496" i="20" s="1"/>
  <c r="W1496" i="20"/>
  <c r="V1496" i="20"/>
  <c r="U1496" i="20"/>
  <c r="S1496" i="20"/>
  <c r="L1496" i="20"/>
  <c r="K1496" i="20"/>
  <c r="M1496" i="20" s="1"/>
  <c r="AA1495" i="20"/>
  <c r="V1495" i="20"/>
  <c r="W1495" i="20" s="1"/>
  <c r="X1495" i="20" s="1"/>
  <c r="U1495" i="20"/>
  <c r="S1495" i="20"/>
  <c r="K1495" i="20"/>
  <c r="AA1494" i="20"/>
  <c r="V1494" i="20"/>
  <c r="W1494" i="20" s="1"/>
  <c r="X1494" i="20" s="1"/>
  <c r="U1494" i="20"/>
  <c r="S1494" i="20"/>
  <c r="M1494" i="20"/>
  <c r="L1494" i="20"/>
  <c r="K1494" i="20"/>
  <c r="AA1493" i="20"/>
  <c r="W1493" i="20"/>
  <c r="X1493" i="20" s="1"/>
  <c r="Y1493" i="20" s="1"/>
  <c r="V1493" i="20"/>
  <c r="U1493" i="20"/>
  <c r="S1493" i="20"/>
  <c r="K1493" i="20"/>
  <c r="AA1492" i="20"/>
  <c r="Y1492" i="20"/>
  <c r="X1492" i="20"/>
  <c r="Z1492" i="20" s="1"/>
  <c r="J1492" i="20" s="1"/>
  <c r="W1492" i="20"/>
  <c r="V1492" i="20"/>
  <c r="U1492" i="20"/>
  <c r="S1492" i="20"/>
  <c r="P1492" i="20"/>
  <c r="N1492" i="20"/>
  <c r="O1492" i="20" s="1"/>
  <c r="M1492" i="20"/>
  <c r="L1492" i="20"/>
  <c r="AB1492" i="20" s="1"/>
  <c r="K1492" i="20"/>
  <c r="AA1491" i="20"/>
  <c r="V1491" i="20"/>
  <c r="W1491" i="20" s="1"/>
  <c r="X1491" i="20" s="1"/>
  <c r="U1491" i="20"/>
  <c r="S1491" i="20"/>
  <c r="Q1491" i="20"/>
  <c r="L1491" i="20"/>
  <c r="K1491" i="20"/>
  <c r="M1491" i="20" s="1"/>
  <c r="AC1491" i="20" s="1"/>
  <c r="AA1490" i="20"/>
  <c r="V1490" i="20"/>
  <c r="W1490" i="20" s="1"/>
  <c r="X1490" i="20" s="1"/>
  <c r="U1490" i="20"/>
  <c r="S1490" i="20"/>
  <c r="L1490" i="20"/>
  <c r="K1490" i="20"/>
  <c r="M1490" i="20" s="1"/>
  <c r="AB1489" i="20"/>
  <c r="AA1489" i="20"/>
  <c r="Y1489" i="20"/>
  <c r="W1489" i="20"/>
  <c r="X1489" i="20" s="1"/>
  <c r="V1489" i="20"/>
  <c r="U1489" i="20"/>
  <c r="S1489" i="20"/>
  <c r="Q1489" i="20"/>
  <c r="N1489" i="20"/>
  <c r="O1489" i="20" s="1"/>
  <c r="M1489" i="20"/>
  <c r="AC1489" i="20" s="1"/>
  <c r="L1489" i="20"/>
  <c r="K1489" i="20"/>
  <c r="AA1488" i="20"/>
  <c r="Y1488" i="20"/>
  <c r="V1488" i="20"/>
  <c r="W1488" i="20" s="1"/>
  <c r="X1488" i="20" s="1"/>
  <c r="U1488" i="20"/>
  <c r="S1488" i="20"/>
  <c r="M1488" i="20"/>
  <c r="K1488" i="20"/>
  <c r="L1488" i="20" s="1"/>
  <c r="AA1487" i="20"/>
  <c r="W1487" i="20"/>
  <c r="X1487" i="20" s="1"/>
  <c r="V1487" i="20"/>
  <c r="U1487" i="20"/>
  <c r="S1487" i="20"/>
  <c r="K1487" i="20"/>
  <c r="AA1486" i="20"/>
  <c r="X1486" i="20"/>
  <c r="W1486" i="20"/>
  <c r="V1486" i="20"/>
  <c r="U1486" i="20"/>
  <c r="S1486" i="20"/>
  <c r="K1486" i="20"/>
  <c r="AA1485" i="20"/>
  <c r="W1485" i="20"/>
  <c r="X1485" i="20" s="1"/>
  <c r="V1485" i="20"/>
  <c r="U1485" i="20"/>
  <c r="S1485" i="20"/>
  <c r="K1485" i="20"/>
  <c r="AA1484" i="20"/>
  <c r="W1484" i="20"/>
  <c r="X1484" i="20" s="1"/>
  <c r="V1484" i="20"/>
  <c r="U1484" i="20"/>
  <c r="S1484" i="20"/>
  <c r="K1484" i="20"/>
  <c r="M1484" i="20" s="1"/>
  <c r="AB1483" i="20"/>
  <c r="AA1483" i="20"/>
  <c r="X1483" i="20"/>
  <c r="Z1483" i="20" s="1"/>
  <c r="V1483" i="20"/>
  <c r="W1483" i="20" s="1"/>
  <c r="U1483" i="20"/>
  <c r="S1483" i="20"/>
  <c r="M1483" i="20"/>
  <c r="K1483" i="20"/>
  <c r="L1483" i="20" s="1"/>
  <c r="J1483" i="20"/>
  <c r="AA1482" i="20"/>
  <c r="V1482" i="20"/>
  <c r="W1482" i="20" s="1"/>
  <c r="X1482" i="20" s="1"/>
  <c r="U1482" i="20"/>
  <c r="S1482" i="20"/>
  <c r="K1482" i="20"/>
  <c r="AA1481" i="20"/>
  <c r="V1481" i="20"/>
  <c r="W1481" i="20" s="1"/>
  <c r="X1481" i="20" s="1"/>
  <c r="U1481" i="20"/>
  <c r="S1481" i="20"/>
  <c r="K1481" i="20"/>
  <c r="AC1480" i="20"/>
  <c r="AB1480" i="20"/>
  <c r="AA1480" i="20"/>
  <c r="X1480" i="20"/>
  <c r="V1480" i="20"/>
  <c r="W1480" i="20" s="1"/>
  <c r="U1480" i="20"/>
  <c r="S1480" i="20"/>
  <c r="Q1480" i="20"/>
  <c r="P1480" i="20"/>
  <c r="N1480" i="20"/>
  <c r="O1480" i="20" s="1"/>
  <c r="M1480" i="20"/>
  <c r="K1480" i="20"/>
  <c r="L1480" i="20" s="1"/>
  <c r="AA1479" i="20"/>
  <c r="W1479" i="20"/>
  <c r="X1479" i="20" s="1"/>
  <c r="V1479" i="20"/>
  <c r="U1479" i="20"/>
  <c r="S1479" i="20"/>
  <c r="Q1479" i="20"/>
  <c r="P1479" i="20"/>
  <c r="M1479" i="20"/>
  <c r="AC1479" i="20" s="1"/>
  <c r="L1479" i="20"/>
  <c r="K1479" i="20"/>
  <c r="AC1478" i="20"/>
  <c r="AA1478" i="20"/>
  <c r="AB1478" i="20" s="1"/>
  <c r="X1478" i="20"/>
  <c r="W1478" i="20"/>
  <c r="V1478" i="20"/>
  <c r="U1478" i="20"/>
  <c r="S1478" i="20"/>
  <c r="M1478" i="20"/>
  <c r="Q1478" i="20" s="1"/>
  <c r="L1478" i="20"/>
  <c r="K1478" i="20"/>
  <c r="AB1477" i="20"/>
  <c r="AA1477" i="20"/>
  <c r="X1477" i="20"/>
  <c r="V1477" i="20"/>
  <c r="W1477" i="20" s="1"/>
  <c r="U1477" i="20"/>
  <c r="S1477" i="20"/>
  <c r="Q1477" i="20"/>
  <c r="M1477" i="20"/>
  <c r="AC1477" i="20" s="1"/>
  <c r="K1477" i="20"/>
  <c r="L1477" i="20" s="1"/>
  <c r="N1477" i="20" s="1"/>
  <c r="O1477" i="20" s="1"/>
  <c r="AC1476" i="20"/>
  <c r="AA1476" i="20"/>
  <c r="AB1476" i="20" s="1"/>
  <c r="V1476" i="20"/>
  <c r="W1476" i="20" s="1"/>
  <c r="X1476" i="20" s="1"/>
  <c r="Y1476" i="20" s="1"/>
  <c r="U1476" i="20"/>
  <c r="S1476" i="20"/>
  <c r="M1476" i="20"/>
  <c r="Q1476" i="20" s="1"/>
  <c r="K1476" i="20"/>
  <c r="L1476" i="20" s="1"/>
  <c r="AA1475" i="20"/>
  <c r="V1475" i="20"/>
  <c r="W1475" i="20" s="1"/>
  <c r="X1475" i="20" s="1"/>
  <c r="U1475" i="20"/>
  <c r="S1475" i="20"/>
  <c r="P1475" i="20"/>
  <c r="M1475" i="20"/>
  <c r="L1475" i="20"/>
  <c r="AB1475" i="20" s="1"/>
  <c r="K1475" i="20"/>
  <c r="AA1474" i="20"/>
  <c r="V1474" i="20"/>
  <c r="W1474" i="20" s="1"/>
  <c r="X1474" i="20" s="1"/>
  <c r="U1474" i="20"/>
  <c r="S1474" i="20"/>
  <c r="K1474" i="20"/>
  <c r="AC1473" i="20"/>
  <c r="AB1473" i="20"/>
  <c r="AA1473" i="20"/>
  <c r="V1473" i="20"/>
  <c r="W1473" i="20" s="1"/>
  <c r="X1473" i="20" s="1"/>
  <c r="U1473" i="20"/>
  <c r="S1473" i="20"/>
  <c r="M1473" i="20"/>
  <c r="Q1473" i="20" s="1"/>
  <c r="K1473" i="20"/>
  <c r="L1473" i="20" s="1"/>
  <c r="N1473" i="20" s="1"/>
  <c r="O1473" i="20" s="1"/>
  <c r="AA1472" i="20"/>
  <c r="X1472" i="20"/>
  <c r="W1472" i="20"/>
  <c r="V1472" i="20"/>
  <c r="U1472" i="20"/>
  <c r="S1472" i="20"/>
  <c r="K1472" i="20"/>
  <c r="L1472" i="20" s="1"/>
  <c r="AC1471" i="20"/>
  <c r="AA1471" i="20"/>
  <c r="Y1471" i="20"/>
  <c r="V1471" i="20"/>
  <c r="W1471" i="20" s="1"/>
  <c r="X1471" i="20" s="1"/>
  <c r="U1471" i="20"/>
  <c r="S1471" i="20"/>
  <c r="L1471" i="20"/>
  <c r="K1471" i="20"/>
  <c r="M1471" i="20" s="1"/>
  <c r="Q1471" i="20" s="1"/>
  <c r="AC1470" i="20"/>
  <c r="AB1470" i="20"/>
  <c r="AA1470" i="20"/>
  <c r="Y1470" i="20"/>
  <c r="V1470" i="20"/>
  <c r="W1470" i="20" s="1"/>
  <c r="X1470" i="20" s="1"/>
  <c r="U1470" i="20"/>
  <c r="S1470" i="20"/>
  <c r="M1470" i="20"/>
  <c r="Q1470" i="20" s="1"/>
  <c r="K1470" i="20"/>
  <c r="L1470" i="20" s="1"/>
  <c r="AA1469" i="20"/>
  <c r="V1469" i="20"/>
  <c r="W1469" i="20" s="1"/>
  <c r="X1469" i="20" s="1"/>
  <c r="U1469" i="20"/>
  <c r="S1469" i="20"/>
  <c r="Q1469" i="20"/>
  <c r="K1469" i="20"/>
  <c r="M1469" i="20" s="1"/>
  <c r="AC1469" i="20" s="1"/>
  <c r="AC1468" i="20"/>
  <c r="AA1468" i="20"/>
  <c r="AB1468" i="20" s="1"/>
  <c r="Y1468" i="20"/>
  <c r="W1468" i="20"/>
  <c r="X1468" i="20" s="1"/>
  <c r="V1468" i="20"/>
  <c r="U1468" i="20"/>
  <c r="S1468" i="20"/>
  <c r="Q1468" i="20"/>
  <c r="O1468" i="20"/>
  <c r="N1468" i="20"/>
  <c r="M1468" i="20"/>
  <c r="L1468" i="20"/>
  <c r="K1468" i="20"/>
  <c r="AA1467" i="20"/>
  <c r="V1467" i="20"/>
  <c r="W1467" i="20" s="1"/>
  <c r="X1467" i="20" s="1"/>
  <c r="U1467" i="20"/>
  <c r="S1467" i="20"/>
  <c r="Q1467" i="20"/>
  <c r="M1467" i="20"/>
  <c r="AC1467" i="20" s="1"/>
  <c r="K1467" i="20"/>
  <c r="L1467" i="20" s="1"/>
  <c r="AB1466" i="20"/>
  <c r="AA1466" i="20"/>
  <c r="V1466" i="20"/>
  <c r="W1466" i="20" s="1"/>
  <c r="X1466" i="20" s="1"/>
  <c r="U1466" i="20"/>
  <c r="S1466" i="20"/>
  <c r="M1466" i="20"/>
  <c r="L1466" i="20"/>
  <c r="K1466" i="20"/>
  <c r="AB1465" i="20"/>
  <c r="AA1465" i="20"/>
  <c r="V1465" i="20"/>
  <c r="W1465" i="20" s="1"/>
  <c r="X1465" i="20" s="1"/>
  <c r="U1465" i="20"/>
  <c r="S1465" i="20"/>
  <c r="Q1465" i="20"/>
  <c r="M1465" i="20"/>
  <c r="K1465" i="20"/>
  <c r="L1465" i="20" s="1"/>
  <c r="AA1464" i="20"/>
  <c r="W1464" i="20"/>
  <c r="X1464" i="20" s="1"/>
  <c r="Y1464" i="20" s="1"/>
  <c r="V1464" i="20"/>
  <c r="U1464" i="20"/>
  <c r="S1464" i="20"/>
  <c r="M1464" i="20"/>
  <c r="K1464" i="20"/>
  <c r="L1464" i="20" s="1"/>
  <c r="AB1464" i="20" s="1"/>
  <c r="AC1463" i="20"/>
  <c r="AA1463" i="20"/>
  <c r="AB1463" i="20" s="1"/>
  <c r="W1463" i="20"/>
  <c r="X1463" i="20" s="1"/>
  <c r="V1463" i="20"/>
  <c r="U1463" i="20"/>
  <c r="S1463" i="20"/>
  <c r="Q1463" i="20"/>
  <c r="N1463" i="20"/>
  <c r="O1463" i="20" s="1"/>
  <c r="M1463" i="20"/>
  <c r="L1463" i="20"/>
  <c r="K1463" i="20"/>
  <c r="AA1462" i="20"/>
  <c r="V1462" i="20"/>
  <c r="W1462" i="20" s="1"/>
  <c r="X1462" i="20" s="1"/>
  <c r="U1462" i="20"/>
  <c r="S1462" i="20"/>
  <c r="K1462" i="20"/>
  <c r="M1462" i="20" s="1"/>
  <c r="AA1461" i="20"/>
  <c r="X1461" i="20"/>
  <c r="V1461" i="20"/>
  <c r="W1461" i="20" s="1"/>
  <c r="U1461" i="20"/>
  <c r="S1461" i="20"/>
  <c r="L1461" i="20"/>
  <c r="K1461" i="20"/>
  <c r="M1461" i="20" s="1"/>
  <c r="Q1461" i="20" s="1"/>
  <c r="AB1460" i="20"/>
  <c r="AA1460" i="20"/>
  <c r="V1460" i="20"/>
  <c r="W1460" i="20" s="1"/>
  <c r="X1460" i="20" s="1"/>
  <c r="U1460" i="20"/>
  <c r="S1460" i="20"/>
  <c r="M1460" i="20"/>
  <c r="K1460" i="20"/>
  <c r="L1460" i="20" s="1"/>
  <c r="AA1459" i="20"/>
  <c r="V1459" i="20"/>
  <c r="W1459" i="20" s="1"/>
  <c r="X1459" i="20" s="1"/>
  <c r="Y1459" i="20" s="1"/>
  <c r="U1459" i="20"/>
  <c r="S1459" i="20"/>
  <c r="K1459" i="20"/>
  <c r="AA1458" i="20"/>
  <c r="W1458" i="20"/>
  <c r="X1458" i="20" s="1"/>
  <c r="V1458" i="20"/>
  <c r="U1458" i="20"/>
  <c r="S1458" i="20"/>
  <c r="Q1458" i="20"/>
  <c r="K1458" i="20"/>
  <c r="M1458" i="20" s="1"/>
  <c r="AC1458" i="20" s="1"/>
  <c r="AA1457" i="20"/>
  <c r="V1457" i="20"/>
  <c r="W1457" i="20" s="1"/>
  <c r="X1457" i="20" s="1"/>
  <c r="U1457" i="20"/>
  <c r="S1457" i="20"/>
  <c r="K1457" i="20"/>
  <c r="AA1456" i="20"/>
  <c r="V1456" i="20"/>
  <c r="W1456" i="20" s="1"/>
  <c r="X1456" i="20" s="1"/>
  <c r="U1456" i="20"/>
  <c r="S1456" i="20"/>
  <c r="K1456" i="20"/>
  <c r="AB1455" i="20"/>
  <c r="AA1455" i="20"/>
  <c r="V1455" i="20"/>
  <c r="W1455" i="20" s="1"/>
  <c r="X1455" i="20" s="1"/>
  <c r="Y1455" i="20" s="1"/>
  <c r="U1455" i="20"/>
  <c r="S1455" i="20"/>
  <c r="L1455" i="20"/>
  <c r="P1455" i="20" s="1"/>
  <c r="K1455" i="20"/>
  <c r="M1455" i="20" s="1"/>
  <c r="AA1454" i="20"/>
  <c r="X1454" i="20"/>
  <c r="W1454" i="20"/>
  <c r="V1454" i="20"/>
  <c r="U1454" i="20"/>
  <c r="S1454" i="20"/>
  <c r="K1454" i="20"/>
  <c r="L1454" i="20" s="1"/>
  <c r="AC1453" i="20"/>
  <c r="AA1453" i="20"/>
  <c r="AB1453" i="20" s="1"/>
  <c r="Y1453" i="20"/>
  <c r="W1453" i="20"/>
  <c r="X1453" i="20" s="1"/>
  <c r="V1453" i="20"/>
  <c r="U1453" i="20"/>
  <c r="S1453" i="20"/>
  <c r="Q1453" i="20"/>
  <c r="M1453" i="20"/>
  <c r="L1453" i="20"/>
  <c r="N1453" i="20" s="1"/>
  <c r="O1453" i="20" s="1"/>
  <c r="K1453" i="20"/>
  <c r="AA1452" i="20"/>
  <c r="X1452" i="20"/>
  <c r="W1452" i="20"/>
  <c r="V1452" i="20"/>
  <c r="U1452" i="20"/>
  <c r="S1452" i="20"/>
  <c r="M1452" i="20"/>
  <c r="K1452" i="20"/>
  <c r="L1452" i="20" s="1"/>
  <c r="AC1451" i="20"/>
  <c r="AB1451" i="20"/>
  <c r="AA1451" i="20"/>
  <c r="Y1451" i="20"/>
  <c r="W1451" i="20"/>
  <c r="X1451" i="20" s="1"/>
  <c r="V1451" i="20"/>
  <c r="S1451" i="20"/>
  <c r="Q1451" i="20"/>
  <c r="M1451" i="20"/>
  <c r="K1451" i="20"/>
  <c r="L1451" i="20" s="1"/>
  <c r="N1451" i="20" s="1"/>
  <c r="O1451" i="20" s="1"/>
  <c r="AA1450" i="20"/>
  <c r="V1450" i="20"/>
  <c r="W1450" i="20" s="1"/>
  <c r="X1450" i="20" s="1"/>
  <c r="S1450" i="20"/>
  <c r="K1450" i="20"/>
  <c r="AC1449" i="20"/>
  <c r="AA1449" i="20"/>
  <c r="AB1449" i="20" s="1"/>
  <c r="X1449" i="20"/>
  <c r="W1449" i="20"/>
  <c r="V1449" i="20"/>
  <c r="S1449" i="20"/>
  <c r="M1449" i="20"/>
  <c r="Q1449" i="20" s="1"/>
  <c r="L1449" i="20"/>
  <c r="K1449" i="20"/>
  <c r="AA1448" i="20"/>
  <c r="X1448" i="20"/>
  <c r="V1448" i="20"/>
  <c r="W1448" i="20" s="1"/>
  <c r="S1448" i="20"/>
  <c r="N1448" i="20"/>
  <c r="O1448" i="20" s="1"/>
  <c r="M1448" i="20"/>
  <c r="K1448" i="20"/>
  <c r="L1448" i="20" s="1"/>
  <c r="AB1448" i="20" s="1"/>
  <c r="AC1447" i="20"/>
  <c r="AA1447" i="20"/>
  <c r="V1447" i="20"/>
  <c r="W1447" i="20" s="1"/>
  <c r="X1447" i="20" s="1"/>
  <c r="S1447" i="20"/>
  <c r="Q1447" i="20"/>
  <c r="K1447" i="20"/>
  <c r="M1447" i="20" s="1"/>
  <c r="AA1446" i="20"/>
  <c r="X1446" i="20"/>
  <c r="V1446" i="20"/>
  <c r="W1446" i="20" s="1"/>
  <c r="S1446" i="20"/>
  <c r="L1446" i="20"/>
  <c r="K1446" i="20"/>
  <c r="M1446" i="20" s="1"/>
  <c r="AC1446" i="20" s="1"/>
  <c r="AC1445" i="20"/>
  <c r="AA1445" i="20"/>
  <c r="W1445" i="20"/>
  <c r="X1445" i="20" s="1"/>
  <c r="V1445" i="20"/>
  <c r="S1445" i="20"/>
  <c r="M1445" i="20"/>
  <c r="Q1445" i="20" s="1"/>
  <c r="K1445" i="20"/>
  <c r="L1445" i="20" s="1"/>
  <c r="AC1444" i="20"/>
  <c r="AA1444" i="20"/>
  <c r="V1444" i="20"/>
  <c r="W1444" i="20" s="1"/>
  <c r="X1444" i="20" s="1"/>
  <c r="S1444" i="20"/>
  <c r="K1444" i="20"/>
  <c r="M1444" i="20" s="1"/>
  <c r="Q1444" i="20" s="1"/>
  <c r="AC1443" i="20"/>
  <c r="AA1443" i="20"/>
  <c r="X1443" i="20"/>
  <c r="V1443" i="20"/>
  <c r="W1443" i="20" s="1"/>
  <c r="S1443" i="20"/>
  <c r="K1443" i="20"/>
  <c r="M1443" i="20" s="1"/>
  <c r="Q1443" i="20" s="1"/>
  <c r="AA1442" i="20"/>
  <c r="V1442" i="20"/>
  <c r="W1442" i="20" s="1"/>
  <c r="X1442" i="20" s="1"/>
  <c r="S1442" i="20"/>
  <c r="K1442" i="20"/>
  <c r="AA1441" i="20"/>
  <c r="V1441" i="20"/>
  <c r="W1441" i="20" s="1"/>
  <c r="X1441" i="20" s="1"/>
  <c r="S1441" i="20"/>
  <c r="K1441" i="20"/>
  <c r="AA1440" i="20"/>
  <c r="AB1440" i="20" s="1"/>
  <c r="X1440" i="20"/>
  <c r="V1440" i="20"/>
  <c r="W1440" i="20" s="1"/>
  <c r="S1440" i="20"/>
  <c r="N1440" i="20"/>
  <c r="O1440" i="20" s="1"/>
  <c r="L1440" i="20"/>
  <c r="K1440" i="20"/>
  <c r="M1440" i="20" s="1"/>
  <c r="AC1440" i="20" s="1"/>
  <c r="AA1439" i="20"/>
  <c r="W1439" i="20"/>
  <c r="X1439" i="20" s="1"/>
  <c r="V1439" i="20"/>
  <c r="S1439" i="20"/>
  <c r="K1439" i="20"/>
  <c r="AB1438" i="20"/>
  <c r="AA1438" i="20"/>
  <c r="V1438" i="20"/>
  <c r="W1438" i="20" s="1"/>
  <c r="X1438" i="20" s="1"/>
  <c r="S1438" i="20"/>
  <c r="Q1438" i="20"/>
  <c r="M1438" i="20"/>
  <c r="L1438" i="20"/>
  <c r="K1438" i="20"/>
  <c r="AA1437" i="20"/>
  <c r="V1437" i="20"/>
  <c r="W1437" i="20" s="1"/>
  <c r="X1437" i="20" s="1"/>
  <c r="S1437" i="20"/>
  <c r="M1437" i="20"/>
  <c r="L1437" i="20"/>
  <c r="K1437" i="20"/>
  <c r="AB1436" i="20"/>
  <c r="AA1436" i="20"/>
  <c r="V1436" i="20"/>
  <c r="W1436" i="20" s="1"/>
  <c r="X1436" i="20" s="1"/>
  <c r="Y1436" i="20" s="1"/>
  <c r="S1436" i="20"/>
  <c r="Q1436" i="20"/>
  <c r="N1436" i="20"/>
  <c r="O1436" i="20" s="1"/>
  <c r="M1436" i="20"/>
  <c r="AC1436" i="20" s="1"/>
  <c r="L1436" i="20"/>
  <c r="K1436" i="20"/>
  <c r="AA1435" i="20"/>
  <c r="V1435" i="20"/>
  <c r="W1435" i="20" s="1"/>
  <c r="X1435" i="20" s="1"/>
  <c r="S1435" i="20"/>
  <c r="L1435" i="20"/>
  <c r="K1435" i="20"/>
  <c r="M1435" i="20" s="1"/>
  <c r="AC1434" i="20"/>
  <c r="AB1434" i="20"/>
  <c r="AA1434" i="20"/>
  <c r="V1434" i="20"/>
  <c r="W1434" i="20" s="1"/>
  <c r="X1434" i="20" s="1"/>
  <c r="S1434" i="20"/>
  <c r="M1434" i="20"/>
  <c r="Q1434" i="20" s="1"/>
  <c r="L1434" i="20"/>
  <c r="K1434" i="20"/>
  <c r="AA1433" i="20"/>
  <c r="W1433" i="20"/>
  <c r="X1433" i="20" s="1"/>
  <c r="V1433" i="20"/>
  <c r="S1433" i="20"/>
  <c r="M1433" i="20"/>
  <c r="K1433" i="20"/>
  <c r="L1433" i="20" s="1"/>
  <c r="AC1432" i="20"/>
  <c r="AA1432" i="20"/>
  <c r="W1432" i="20"/>
  <c r="X1432" i="20" s="1"/>
  <c r="Y1432" i="20" s="1"/>
  <c r="V1432" i="20"/>
  <c r="S1432" i="20"/>
  <c r="M1432" i="20"/>
  <c r="Q1432" i="20" s="1"/>
  <c r="L1432" i="20"/>
  <c r="K1432" i="20"/>
  <c r="AA1431" i="20"/>
  <c r="V1431" i="20"/>
  <c r="W1431" i="20" s="1"/>
  <c r="X1431" i="20" s="1"/>
  <c r="S1431" i="20"/>
  <c r="Q1431" i="20"/>
  <c r="M1431" i="20"/>
  <c r="AC1431" i="20" s="1"/>
  <c r="L1431" i="20"/>
  <c r="AB1431" i="20" s="1"/>
  <c r="K1431" i="20"/>
  <c r="AC1430" i="20"/>
  <c r="AA1430" i="20"/>
  <c r="Y1430" i="20"/>
  <c r="V1430" i="20"/>
  <c r="W1430" i="20" s="1"/>
  <c r="X1430" i="20" s="1"/>
  <c r="S1430" i="20"/>
  <c r="Q1430" i="20"/>
  <c r="M1430" i="20"/>
  <c r="L1430" i="20"/>
  <c r="AB1430" i="20" s="1"/>
  <c r="K1430" i="20"/>
  <c r="AA1429" i="20"/>
  <c r="V1429" i="20"/>
  <c r="W1429" i="20" s="1"/>
  <c r="X1429" i="20" s="1"/>
  <c r="S1429" i="20"/>
  <c r="K1429" i="20"/>
  <c r="M1429" i="20" s="1"/>
  <c r="AA1428" i="20"/>
  <c r="Y1428" i="20"/>
  <c r="V1428" i="20"/>
  <c r="W1428" i="20" s="1"/>
  <c r="X1428" i="20" s="1"/>
  <c r="S1428" i="20"/>
  <c r="K1428" i="20"/>
  <c r="M1428" i="20" s="1"/>
  <c r="AC1428" i="20" s="1"/>
  <c r="AC1427" i="20"/>
  <c r="AA1427" i="20"/>
  <c r="V1427" i="20"/>
  <c r="W1427" i="20" s="1"/>
  <c r="X1427" i="20" s="1"/>
  <c r="S1427" i="20"/>
  <c r="L1427" i="20"/>
  <c r="K1427" i="20"/>
  <c r="M1427" i="20" s="1"/>
  <c r="Q1427" i="20" s="1"/>
  <c r="AC1426" i="20"/>
  <c r="AA1426" i="20"/>
  <c r="V1426" i="20"/>
  <c r="W1426" i="20" s="1"/>
  <c r="X1426" i="20" s="1"/>
  <c r="S1426" i="20"/>
  <c r="K1426" i="20"/>
  <c r="M1426" i="20" s="1"/>
  <c r="Q1426" i="20" s="1"/>
  <c r="AA1425" i="20"/>
  <c r="X1425" i="20"/>
  <c r="V1425" i="20"/>
  <c r="W1425" i="20" s="1"/>
  <c r="S1425" i="20"/>
  <c r="M1425" i="20"/>
  <c r="K1425" i="20"/>
  <c r="L1425" i="20" s="1"/>
  <c r="AA1424" i="20"/>
  <c r="V1424" i="20"/>
  <c r="W1424" i="20" s="1"/>
  <c r="X1424" i="20" s="1"/>
  <c r="S1424" i="20"/>
  <c r="K1424" i="20"/>
  <c r="AA1423" i="20"/>
  <c r="X1423" i="20"/>
  <c r="W1423" i="20"/>
  <c r="V1423" i="20"/>
  <c r="S1423" i="20"/>
  <c r="Q1423" i="20"/>
  <c r="M1423" i="20"/>
  <c r="AC1423" i="20" s="1"/>
  <c r="L1423" i="20"/>
  <c r="K1423" i="20"/>
  <c r="AC1422" i="20"/>
  <c r="AA1422" i="20"/>
  <c r="AB1422" i="20" s="1"/>
  <c r="X1422" i="20"/>
  <c r="W1422" i="20"/>
  <c r="V1422" i="20"/>
  <c r="S1422" i="20"/>
  <c r="L1422" i="20"/>
  <c r="K1422" i="20"/>
  <c r="M1422" i="20" s="1"/>
  <c r="Q1422" i="20" s="1"/>
  <c r="AA1421" i="20"/>
  <c r="W1421" i="20"/>
  <c r="X1421" i="20" s="1"/>
  <c r="V1421" i="20"/>
  <c r="S1421" i="20"/>
  <c r="M1421" i="20"/>
  <c r="AC1421" i="20" s="1"/>
  <c r="L1421" i="20"/>
  <c r="K1421" i="20"/>
  <c r="AC1420" i="20"/>
  <c r="AA1420" i="20"/>
  <c r="X1420" i="20"/>
  <c r="W1420" i="20"/>
  <c r="V1420" i="20"/>
  <c r="S1420" i="20"/>
  <c r="L1420" i="20"/>
  <c r="K1420" i="20"/>
  <c r="M1420" i="20" s="1"/>
  <c r="Q1420" i="20" s="1"/>
  <c r="AA1419" i="20"/>
  <c r="V1419" i="20"/>
  <c r="W1419" i="20" s="1"/>
  <c r="X1419" i="20" s="1"/>
  <c r="S1419" i="20"/>
  <c r="K1419" i="20"/>
  <c r="AA1418" i="20"/>
  <c r="V1418" i="20"/>
  <c r="W1418" i="20" s="1"/>
  <c r="X1418" i="20" s="1"/>
  <c r="S1418" i="20"/>
  <c r="N1418" i="20"/>
  <c r="O1418" i="20" s="1"/>
  <c r="M1418" i="20"/>
  <c r="L1418" i="20"/>
  <c r="AB1418" i="20" s="1"/>
  <c r="K1418" i="20"/>
  <c r="AA1417" i="20"/>
  <c r="V1417" i="20"/>
  <c r="W1417" i="20" s="1"/>
  <c r="X1417" i="20" s="1"/>
  <c r="S1417" i="20"/>
  <c r="Q1417" i="20"/>
  <c r="M1417" i="20"/>
  <c r="AC1417" i="20" s="1"/>
  <c r="K1417" i="20"/>
  <c r="L1417" i="20" s="1"/>
  <c r="AA1416" i="20"/>
  <c r="W1416" i="20"/>
  <c r="X1416" i="20" s="1"/>
  <c r="V1416" i="20"/>
  <c r="S1416" i="20"/>
  <c r="Q1416" i="20"/>
  <c r="K1416" i="20"/>
  <c r="M1416" i="20" s="1"/>
  <c r="AC1416" i="20" s="1"/>
  <c r="AA1415" i="20"/>
  <c r="V1415" i="20"/>
  <c r="W1415" i="20" s="1"/>
  <c r="X1415" i="20" s="1"/>
  <c r="S1415" i="20"/>
  <c r="K1415" i="20"/>
  <c r="M1415" i="20" s="1"/>
  <c r="AC1415" i="20" s="1"/>
  <c r="AA1414" i="20"/>
  <c r="W1414" i="20"/>
  <c r="X1414" i="20" s="1"/>
  <c r="V1414" i="20"/>
  <c r="S1414" i="20"/>
  <c r="L1414" i="20"/>
  <c r="K1414" i="20"/>
  <c r="M1414" i="20" s="1"/>
  <c r="AA1413" i="20"/>
  <c r="W1413" i="20"/>
  <c r="X1413" i="20" s="1"/>
  <c r="V1413" i="20"/>
  <c r="S1413" i="20"/>
  <c r="K1413" i="20"/>
  <c r="AA1412" i="20"/>
  <c r="X1412" i="20"/>
  <c r="W1412" i="20"/>
  <c r="V1412" i="20"/>
  <c r="S1412" i="20"/>
  <c r="K1412" i="20"/>
  <c r="AA1411" i="20"/>
  <c r="X1411" i="20"/>
  <c r="Y1411" i="20" s="1"/>
  <c r="W1411" i="20"/>
  <c r="V1411" i="20"/>
  <c r="S1411" i="20"/>
  <c r="M1411" i="20"/>
  <c r="K1411" i="20"/>
  <c r="L1411" i="20" s="1"/>
  <c r="AA1410" i="20"/>
  <c r="V1410" i="20"/>
  <c r="W1410" i="20" s="1"/>
  <c r="X1410" i="20" s="1"/>
  <c r="S1410" i="20"/>
  <c r="M1410" i="20"/>
  <c r="K1410" i="20"/>
  <c r="L1410" i="20" s="1"/>
  <c r="AA1409" i="20"/>
  <c r="V1409" i="20"/>
  <c r="W1409" i="20" s="1"/>
  <c r="X1409" i="20" s="1"/>
  <c r="S1409" i="20"/>
  <c r="K1409" i="20"/>
  <c r="L1409" i="20" s="1"/>
  <c r="AB1409" i="20" s="1"/>
  <c r="AA1408" i="20"/>
  <c r="X1408" i="20"/>
  <c r="W1408" i="20"/>
  <c r="V1408" i="20"/>
  <c r="S1408" i="20"/>
  <c r="M1408" i="20"/>
  <c r="AC1408" i="20" s="1"/>
  <c r="L1408" i="20"/>
  <c r="K1408" i="20"/>
  <c r="AA1407" i="20"/>
  <c r="V1407" i="20"/>
  <c r="W1407" i="20" s="1"/>
  <c r="X1407" i="20" s="1"/>
  <c r="S1407" i="20"/>
  <c r="K1407" i="20"/>
  <c r="L1407" i="20" s="1"/>
  <c r="AA1406" i="20"/>
  <c r="V1406" i="20"/>
  <c r="W1406" i="20" s="1"/>
  <c r="X1406" i="20" s="1"/>
  <c r="S1406" i="20"/>
  <c r="K1406" i="20"/>
  <c r="M1406" i="20" s="1"/>
  <c r="AA1405" i="20"/>
  <c r="X1405" i="20"/>
  <c r="V1405" i="20"/>
  <c r="W1405" i="20" s="1"/>
  <c r="S1405" i="20"/>
  <c r="Q1405" i="20"/>
  <c r="L1405" i="20"/>
  <c r="K1405" i="20"/>
  <c r="M1405" i="20" s="1"/>
  <c r="AC1405" i="20" s="1"/>
  <c r="AA1404" i="20"/>
  <c r="AB1404" i="20" s="1"/>
  <c r="V1404" i="20"/>
  <c r="W1404" i="20" s="1"/>
  <c r="X1404" i="20" s="1"/>
  <c r="S1404" i="20"/>
  <c r="M1404" i="20"/>
  <c r="L1404" i="20"/>
  <c r="K1404" i="20"/>
  <c r="AA1403" i="20"/>
  <c r="X1403" i="20"/>
  <c r="W1403" i="20"/>
  <c r="V1403" i="20"/>
  <c r="S1403" i="20"/>
  <c r="M1403" i="20"/>
  <c r="L1403" i="20"/>
  <c r="K1403" i="20"/>
  <c r="AA1402" i="20"/>
  <c r="X1402" i="20"/>
  <c r="Y1402" i="20" s="1"/>
  <c r="W1402" i="20"/>
  <c r="V1402" i="20"/>
  <c r="S1402" i="20"/>
  <c r="K1402" i="20"/>
  <c r="M1402" i="20" s="1"/>
  <c r="AA1401" i="20"/>
  <c r="X1401" i="20"/>
  <c r="Y1401" i="20" s="1"/>
  <c r="W1401" i="20"/>
  <c r="V1401" i="20"/>
  <c r="U1401" i="20"/>
  <c r="S1401" i="20"/>
  <c r="K1401" i="20"/>
  <c r="L1401" i="20" s="1"/>
  <c r="AA1400" i="20"/>
  <c r="W1400" i="20"/>
  <c r="X1400" i="20" s="1"/>
  <c r="Z1400" i="20" s="1"/>
  <c r="V1400" i="20"/>
  <c r="U1400" i="20"/>
  <c r="S1400" i="20"/>
  <c r="M1400" i="20"/>
  <c r="K1400" i="20"/>
  <c r="L1400" i="20" s="1"/>
  <c r="J1400" i="20"/>
  <c r="AC1399" i="20"/>
  <c r="AB1399" i="20"/>
  <c r="AA1399" i="20"/>
  <c r="V1399" i="20"/>
  <c r="W1399" i="20" s="1"/>
  <c r="X1399" i="20" s="1"/>
  <c r="U1399" i="20"/>
  <c r="S1399" i="20"/>
  <c r="Q1399" i="20"/>
  <c r="P1399" i="20"/>
  <c r="M1399" i="20"/>
  <c r="L1399" i="20"/>
  <c r="N1399" i="20" s="1"/>
  <c r="O1399" i="20" s="1"/>
  <c r="K1399" i="20"/>
  <c r="AA1398" i="20"/>
  <c r="V1398" i="20"/>
  <c r="W1398" i="20" s="1"/>
  <c r="X1398" i="20" s="1"/>
  <c r="U1398" i="20"/>
  <c r="S1398" i="20"/>
  <c r="M1398" i="20"/>
  <c r="L1398" i="20"/>
  <c r="K1398" i="20"/>
  <c r="AA1397" i="20"/>
  <c r="W1397" i="20"/>
  <c r="X1397" i="20" s="1"/>
  <c r="V1397" i="20"/>
  <c r="U1397" i="20"/>
  <c r="S1397" i="20"/>
  <c r="K1397" i="20"/>
  <c r="M1397" i="20" s="1"/>
  <c r="AA1396" i="20"/>
  <c r="V1396" i="20"/>
  <c r="W1396" i="20" s="1"/>
  <c r="X1396" i="20" s="1"/>
  <c r="Y1396" i="20" s="1"/>
  <c r="U1396" i="20"/>
  <c r="S1396" i="20"/>
  <c r="K1396" i="20"/>
  <c r="AB1395" i="20"/>
  <c r="AA1395" i="20"/>
  <c r="X1395" i="20"/>
  <c r="V1395" i="20"/>
  <c r="W1395" i="20" s="1"/>
  <c r="U1395" i="20"/>
  <c r="S1395" i="20"/>
  <c r="M1395" i="20"/>
  <c r="L1395" i="20"/>
  <c r="K1395" i="20"/>
  <c r="AC1394" i="20"/>
  <c r="AB1394" i="20"/>
  <c r="AA1394" i="20"/>
  <c r="V1394" i="20"/>
  <c r="W1394" i="20" s="1"/>
  <c r="X1394" i="20" s="1"/>
  <c r="U1394" i="20"/>
  <c r="S1394" i="20"/>
  <c r="L1394" i="20"/>
  <c r="P1394" i="20" s="1"/>
  <c r="K1394" i="20"/>
  <c r="M1394" i="20" s="1"/>
  <c r="Q1394" i="20" s="1"/>
  <c r="AA1393" i="20"/>
  <c r="V1393" i="20"/>
  <c r="W1393" i="20" s="1"/>
  <c r="X1393" i="20" s="1"/>
  <c r="U1393" i="20"/>
  <c r="S1393" i="20"/>
  <c r="K1393" i="20"/>
  <c r="AC1392" i="20"/>
  <c r="AA1392" i="20"/>
  <c r="V1392" i="20"/>
  <c r="W1392" i="20" s="1"/>
  <c r="X1392" i="20" s="1"/>
  <c r="U1392" i="20"/>
  <c r="S1392" i="20"/>
  <c r="Q1392" i="20"/>
  <c r="L1392" i="20"/>
  <c r="K1392" i="20"/>
  <c r="M1392" i="20" s="1"/>
  <c r="AA1391" i="20"/>
  <c r="W1391" i="20"/>
  <c r="X1391" i="20" s="1"/>
  <c r="Z1391" i="20" s="1"/>
  <c r="V1391" i="20"/>
  <c r="U1391" i="20"/>
  <c r="S1391" i="20"/>
  <c r="K1391" i="20"/>
  <c r="J1391" i="20"/>
  <c r="AC1390" i="20"/>
  <c r="AA1390" i="20"/>
  <c r="Z1390" i="20"/>
  <c r="J1390" i="20" s="1"/>
  <c r="X1390" i="20"/>
  <c r="Y1390" i="20" s="1"/>
  <c r="W1390" i="20"/>
  <c r="V1390" i="20"/>
  <c r="U1390" i="20"/>
  <c r="S1390" i="20"/>
  <c r="Q1390" i="20"/>
  <c r="K1390" i="20"/>
  <c r="M1390" i="20" s="1"/>
  <c r="AA1389" i="20"/>
  <c r="W1389" i="20"/>
  <c r="X1389" i="20" s="1"/>
  <c r="V1389" i="20"/>
  <c r="U1389" i="20"/>
  <c r="S1389" i="20"/>
  <c r="K1389" i="20"/>
  <c r="AC1388" i="20"/>
  <c r="AA1388" i="20"/>
  <c r="Y1388" i="20"/>
  <c r="X1388" i="20"/>
  <c r="Z1388" i="20" s="1"/>
  <c r="W1388" i="20"/>
  <c r="V1388" i="20"/>
  <c r="U1388" i="20"/>
  <c r="S1388" i="20"/>
  <c r="K1388" i="20"/>
  <c r="M1388" i="20" s="1"/>
  <c r="Q1388" i="20" s="1"/>
  <c r="J1388" i="20"/>
  <c r="AA1387" i="20"/>
  <c r="X1387" i="20"/>
  <c r="W1387" i="20"/>
  <c r="V1387" i="20"/>
  <c r="U1387" i="20"/>
  <c r="S1387" i="20"/>
  <c r="K1387" i="20"/>
  <c r="AA1386" i="20"/>
  <c r="Z1386" i="20"/>
  <c r="J1386" i="20" s="1"/>
  <c r="X1386" i="20"/>
  <c r="Y1386" i="20" s="1"/>
  <c r="W1386" i="20"/>
  <c r="V1386" i="20"/>
  <c r="U1386" i="20"/>
  <c r="S1386" i="20"/>
  <c r="K1386" i="20"/>
  <c r="AA1385" i="20"/>
  <c r="W1385" i="20"/>
  <c r="X1385" i="20" s="1"/>
  <c r="V1385" i="20"/>
  <c r="U1385" i="20"/>
  <c r="S1385" i="20"/>
  <c r="M1385" i="20"/>
  <c r="L1385" i="20"/>
  <c r="K1385" i="20"/>
  <c r="AA1384" i="20"/>
  <c r="V1384" i="20"/>
  <c r="W1384" i="20" s="1"/>
  <c r="X1384" i="20" s="1"/>
  <c r="U1384" i="20"/>
  <c r="S1384" i="20"/>
  <c r="M1384" i="20"/>
  <c r="AC1384" i="20" s="1"/>
  <c r="L1384" i="20"/>
  <c r="K1384" i="20"/>
  <c r="AC1383" i="20"/>
  <c r="AA1383" i="20"/>
  <c r="V1383" i="20"/>
  <c r="W1383" i="20" s="1"/>
  <c r="X1383" i="20" s="1"/>
  <c r="U1383" i="20"/>
  <c r="S1383" i="20"/>
  <c r="Q1383" i="20"/>
  <c r="K1383" i="20"/>
  <c r="M1383" i="20" s="1"/>
  <c r="AB1382" i="20"/>
  <c r="AA1382" i="20"/>
  <c r="V1382" i="20"/>
  <c r="W1382" i="20" s="1"/>
  <c r="X1382" i="20" s="1"/>
  <c r="U1382" i="20"/>
  <c r="S1382" i="20"/>
  <c r="P1382" i="20"/>
  <c r="L1382" i="20"/>
  <c r="N1382" i="20" s="1"/>
  <c r="O1382" i="20" s="1"/>
  <c r="K1382" i="20"/>
  <c r="M1382" i="20" s="1"/>
  <c r="AC1382" i="20" s="1"/>
  <c r="AA1381" i="20"/>
  <c r="W1381" i="20"/>
  <c r="X1381" i="20" s="1"/>
  <c r="V1381" i="20"/>
  <c r="U1381" i="20"/>
  <c r="S1381" i="20"/>
  <c r="K1381" i="20"/>
  <c r="M1381" i="20" s="1"/>
  <c r="AC1380" i="20"/>
  <c r="AA1380" i="20"/>
  <c r="Y1380" i="20"/>
  <c r="W1380" i="20"/>
  <c r="X1380" i="20" s="1"/>
  <c r="Z1380" i="20" s="1"/>
  <c r="J1380" i="20" s="1"/>
  <c r="V1380" i="20"/>
  <c r="U1380" i="20"/>
  <c r="S1380" i="20"/>
  <c r="K1380" i="20"/>
  <c r="M1380" i="20" s="1"/>
  <c r="Q1380" i="20" s="1"/>
  <c r="AA1379" i="20"/>
  <c r="V1379" i="20"/>
  <c r="W1379" i="20" s="1"/>
  <c r="X1379" i="20" s="1"/>
  <c r="U1379" i="20"/>
  <c r="S1379" i="20"/>
  <c r="Q1379" i="20"/>
  <c r="K1379" i="20"/>
  <c r="M1379" i="20" s="1"/>
  <c r="AC1379" i="20" s="1"/>
  <c r="AA1378" i="20"/>
  <c r="W1378" i="20"/>
  <c r="X1378" i="20" s="1"/>
  <c r="V1378" i="20"/>
  <c r="U1378" i="20"/>
  <c r="S1378" i="20"/>
  <c r="Q1378" i="20"/>
  <c r="K1378" i="20"/>
  <c r="M1378" i="20" s="1"/>
  <c r="AC1378" i="20" s="1"/>
  <c r="AA1377" i="20"/>
  <c r="V1377" i="20"/>
  <c r="W1377" i="20" s="1"/>
  <c r="X1377" i="20" s="1"/>
  <c r="U1377" i="20"/>
  <c r="S1377" i="20"/>
  <c r="K1377" i="20"/>
  <c r="AC1376" i="20"/>
  <c r="AB1376" i="20"/>
  <c r="AA1376" i="20"/>
  <c r="Y1376" i="20"/>
  <c r="X1376" i="20"/>
  <c r="Z1376" i="20" s="1"/>
  <c r="J1376" i="20" s="1"/>
  <c r="W1376" i="20"/>
  <c r="V1376" i="20"/>
  <c r="U1376" i="20"/>
  <c r="S1376" i="20"/>
  <c r="Q1376" i="20"/>
  <c r="P1376" i="20"/>
  <c r="O1376" i="20"/>
  <c r="M1376" i="20"/>
  <c r="L1376" i="20"/>
  <c r="N1376" i="20" s="1"/>
  <c r="K1376" i="20"/>
  <c r="AA1375" i="20"/>
  <c r="W1375" i="20"/>
  <c r="X1375" i="20" s="1"/>
  <c r="V1375" i="20"/>
  <c r="U1375" i="20"/>
  <c r="S1375" i="20"/>
  <c r="Q1375" i="20"/>
  <c r="O1375" i="20"/>
  <c r="N1375" i="20"/>
  <c r="M1375" i="20"/>
  <c r="AC1375" i="20" s="1"/>
  <c r="L1375" i="20"/>
  <c r="K1375" i="20"/>
  <c r="AA1374" i="20"/>
  <c r="W1374" i="20"/>
  <c r="X1374" i="20" s="1"/>
  <c r="V1374" i="20"/>
  <c r="U1374" i="20"/>
  <c r="S1374" i="20"/>
  <c r="M1374" i="20"/>
  <c r="K1374" i="20"/>
  <c r="L1374" i="20" s="1"/>
  <c r="AA1373" i="20"/>
  <c r="V1373" i="20"/>
  <c r="W1373" i="20" s="1"/>
  <c r="X1373" i="20" s="1"/>
  <c r="U1373" i="20"/>
  <c r="S1373" i="20"/>
  <c r="M1373" i="20"/>
  <c r="AC1373" i="20" s="1"/>
  <c r="L1373" i="20"/>
  <c r="K1373" i="20"/>
  <c r="AC1372" i="20"/>
  <c r="AA1372" i="20"/>
  <c r="Y1372" i="20"/>
  <c r="W1372" i="20"/>
  <c r="X1372" i="20" s="1"/>
  <c r="Z1372" i="20" s="1"/>
  <c r="J1372" i="20" s="1"/>
  <c r="V1372" i="20"/>
  <c r="U1372" i="20"/>
  <c r="S1372" i="20"/>
  <c r="Q1372" i="20"/>
  <c r="M1372" i="20"/>
  <c r="N1372" i="20" s="1"/>
  <c r="O1372" i="20" s="1"/>
  <c r="L1372" i="20"/>
  <c r="K1372" i="20"/>
  <c r="AA1371" i="20"/>
  <c r="V1371" i="20"/>
  <c r="W1371" i="20" s="1"/>
  <c r="X1371" i="20" s="1"/>
  <c r="U1371" i="20"/>
  <c r="S1371" i="20"/>
  <c r="M1371" i="20"/>
  <c r="L1371" i="20"/>
  <c r="AB1371" i="20" s="1"/>
  <c r="K1371" i="20"/>
  <c r="AA1370" i="20"/>
  <c r="W1370" i="20"/>
  <c r="X1370" i="20" s="1"/>
  <c r="V1370" i="20"/>
  <c r="U1370" i="20"/>
  <c r="S1370" i="20"/>
  <c r="N1370" i="20"/>
  <c r="O1370" i="20" s="1"/>
  <c r="M1370" i="20"/>
  <c r="L1370" i="20"/>
  <c r="AB1370" i="20" s="1"/>
  <c r="K1370" i="20"/>
  <c r="AB1369" i="20"/>
  <c r="AA1369" i="20"/>
  <c r="W1369" i="20"/>
  <c r="X1369" i="20" s="1"/>
  <c r="V1369" i="20"/>
  <c r="U1369" i="20"/>
  <c r="S1369" i="20"/>
  <c r="Q1369" i="20"/>
  <c r="P1369" i="20"/>
  <c r="O1369" i="20"/>
  <c r="N1369" i="20"/>
  <c r="L1369" i="20"/>
  <c r="K1369" i="20"/>
  <c r="M1369" i="20" s="1"/>
  <c r="AC1369" i="20" s="1"/>
  <c r="AA1368" i="20"/>
  <c r="Y1368" i="20"/>
  <c r="W1368" i="20"/>
  <c r="X1368" i="20" s="1"/>
  <c r="Z1368" i="20" s="1"/>
  <c r="V1368" i="20"/>
  <c r="U1368" i="20"/>
  <c r="S1368" i="20"/>
  <c r="Q1368" i="20"/>
  <c r="P1368" i="20"/>
  <c r="M1368" i="20"/>
  <c r="AC1368" i="20" s="1"/>
  <c r="K1368" i="20"/>
  <c r="L1368" i="20" s="1"/>
  <c r="AB1368" i="20" s="1"/>
  <c r="J1368" i="20"/>
  <c r="AC1367" i="20"/>
  <c r="AA1367" i="20"/>
  <c r="W1367" i="20"/>
  <c r="X1367" i="20" s="1"/>
  <c r="V1367" i="20"/>
  <c r="U1367" i="20"/>
  <c r="S1367" i="20"/>
  <c r="M1367" i="20"/>
  <c r="Q1367" i="20" s="1"/>
  <c r="L1367" i="20"/>
  <c r="K1367" i="20"/>
  <c r="AA1366" i="20"/>
  <c r="Z1366" i="20"/>
  <c r="J1366" i="20" s="1"/>
  <c r="V1366" i="20"/>
  <c r="W1366" i="20" s="1"/>
  <c r="X1366" i="20" s="1"/>
  <c r="Y1366" i="20" s="1"/>
  <c r="U1366" i="20"/>
  <c r="S1366" i="20"/>
  <c r="K1366" i="20"/>
  <c r="AA1365" i="20"/>
  <c r="W1365" i="20"/>
  <c r="X1365" i="20" s="1"/>
  <c r="V1365" i="20"/>
  <c r="U1365" i="20"/>
  <c r="S1365" i="20"/>
  <c r="M1365" i="20"/>
  <c r="AC1365" i="20" s="1"/>
  <c r="L1365" i="20"/>
  <c r="K1365" i="20"/>
  <c r="AC1364" i="20"/>
  <c r="AB1364" i="20"/>
  <c r="AA1364" i="20"/>
  <c r="W1364" i="20"/>
  <c r="X1364" i="20" s="1"/>
  <c r="V1364" i="20"/>
  <c r="U1364" i="20"/>
  <c r="S1364" i="20"/>
  <c r="Q1364" i="20"/>
  <c r="M1364" i="20"/>
  <c r="K1364" i="20"/>
  <c r="L1364" i="20" s="1"/>
  <c r="AA1363" i="20"/>
  <c r="V1363" i="20"/>
  <c r="W1363" i="20" s="1"/>
  <c r="X1363" i="20" s="1"/>
  <c r="U1363" i="20"/>
  <c r="S1363" i="20"/>
  <c r="K1363" i="20"/>
  <c r="AC1362" i="20"/>
  <c r="AB1362" i="20"/>
  <c r="AA1362" i="20"/>
  <c r="V1362" i="20"/>
  <c r="W1362" i="20" s="1"/>
  <c r="X1362" i="20" s="1"/>
  <c r="U1362" i="20"/>
  <c r="S1362" i="20"/>
  <c r="Q1362" i="20"/>
  <c r="P1362" i="20"/>
  <c r="M1362" i="20"/>
  <c r="L1362" i="20"/>
  <c r="N1362" i="20" s="1"/>
  <c r="O1362" i="20" s="1"/>
  <c r="K1362" i="20"/>
  <c r="AA1361" i="20"/>
  <c r="V1361" i="20"/>
  <c r="W1361" i="20" s="1"/>
  <c r="X1361" i="20" s="1"/>
  <c r="U1361" i="20"/>
  <c r="S1361" i="20"/>
  <c r="P1361" i="20"/>
  <c r="M1361" i="20"/>
  <c r="L1361" i="20"/>
  <c r="K1361" i="20"/>
  <c r="AC1360" i="20"/>
  <c r="AA1360" i="20"/>
  <c r="V1360" i="20"/>
  <c r="W1360" i="20" s="1"/>
  <c r="X1360" i="20" s="1"/>
  <c r="U1360" i="20"/>
  <c r="S1360" i="20"/>
  <c r="M1360" i="20"/>
  <c r="Q1360" i="20" s="1"/>
  <c r="L1360" i="20"/>
  <c r="K1360" i="20"/>
  <c r="AA1359" i="20"/>
  <c r="V1359" i="20"/>
  <c r="W1359" i="20" s="1"/>
  <c r="X1359" i="20" s="1"/>
  <c r="U1359" i="20"/>
  <c r="S1359" i="20"/>
  <c r="K1359" i="20"/>
  <c r="M1359" i="20" s="1"/>
  <c r="AC1358" i="20"/>
  <c r="AA1358" i="20"/>
  <c r="Z1358" i="20"/>
  <c r="J1358" i="20" s="1"/>
  <c r="X1358" i="20"/>
  <c r="Y1358" i="20" s="1"/>
  <c r="W1358" i="20"/>
  <c r="V1358" i="20"/>
  <c r="U1358" i="20"/>
  <c r="S1358" i="20"/>
  <c r="M1358" i="20"/>
  <c r="Q1358" i="20" s="1"/>
  <c r="L1358" i="20"/>
  <c r="K1358" i="20"/>
  <c r="AA1357" i="20"/>
  <c r="W1357" i="20"/>
  <c r="X1357" i="20" s="1"/>
  <c r="Z1357" i="20" s="1"/>
  <c r="V1357" i="20"/>
  <c r="U1357" i="20"/>
  <c r="S1357" i="20"/>
  <c r="M1357" i="20"/>
  <c r="L1357" i="20"/>
  <c r="K1357" i="20"/>
  <c r="AA1356" i="20"/>
  <c r="X1356" i="20"/>
  <c r="V1356" i="20"/>
  <c r="W1356" i="20" s="1"/>
  <c r="U1356" i="20"/>
  <c r="S1356" i="20"/>
  <c r="N1356" i="20"/>
  <c r="O1356" i="20" s="1"/>
  <c r="M1356" i="20"/>
  <c r="L1356" i="20"/>
  <c r="K1356" i="20"/>
  <c r="AA1355" i="20"/>
  <c r="V1355" i="20"/>
  <c r="W1355" i="20" s="1"/>
  <c r="X1355" i="20" s="1"/>
  <c r="Z1355" i="20" s="1"/>
  <c r="J1355" i="20" s="1"/>
  <c r="U1355" i="20"/>
  <c r="S1355" i="20"/>
  <c r="Q1355" i="20"/>
  <c r="K1355" i="20"/>
  <c r="M1355" i="20" s="1"/>
  <c r="AC1355" i="20" s="1"/>
  <c r="AA1354" i="20"/>
  <c r="V1354" i="20"/>
  <c r="W1354" i="20" s="1"/>
  <c r="X1354" i="20" s="1"/>
  <c r="Z1354" i="20" s="1"/>
  <c r="J1354" i="20" s="1"/>
  <c r="P1354" i="20" s="1"/>
  <c r="U1354" i="20"/>
  <c r="S1354" i="20"/>
  <c r="M1354" i="20"/>
  <c r="K1354" i="20"/>
  <c r="L1354" i="20" s="1"/>
  <c r="AB1354" i="20" s="1"/>
  <c r="AA1353" i="20"/>
  <c r="X1353" i="20"/>
  <c r="W1353" i="20"/>
  <c r="V1353" i="20"/>
  <c r="U1353" i="20"/>
  <c r="S1353" i="20"/>
  <c r="K1353" i="20"/>
  <c r="M1353" i="20" s="1"/>
  <c r="AC1352" i="20"/>
  <c r="AA1352" i="20"/>
  <c r="V1352" i="20"/>
  <c r="W1352" i="20" s="1"/>
  <c r="X1352" i="20" s="1"/>
  <c r="U1352" i="20"/>
  <c r="S1352" i="20"/>
  <c r="Q1352" i="20"/>
  <c r="P1352" i="20"/>
  <c r="M1352" i="20"/>
  <c r="N1352" i="20" s="1"/>
  <c r="O1352" i="20" s="1"/>
  <c r="K1352" i="20"/>
  <c r="L1352" i="20" s="1"/>
  <c r="AB1352" i="20" s="1"/>
  <c r="AA1351" i="20"/>
  <c r="V1351" i="20"/>
  <c r="W1351" i="20" s="1"/>
  <c r="X1351" i="20" s="1"/>
  <c r="U1351" i="20"/>
  <c r="S1351" i="20"/>
  <c r="K1351" i="20"/>
  <c r="AC1350" i="20"/>
  <c r="AB1350" i="20"/>
  <c r="AA1350" i="20"/>
  <c r="V1350" i="20"/>
  <c r="W1350" i="20" s="1"/>
  <c r="X1350" i="20" s="1"/>
  <c r="Y1350" i="20" s="1"/>
  <c r="U1350" i="20"/>
  <c r="S1350" i="20"/>
  <c r="Q1350" i="20"/>
  <c r="P1350" i="20"/>
  <c r="L1350" i="20"/>
  <c r="N1350" i="20" s="1"/>
  <c r="O1350" i="20" s="1"/>
  <c r="K1350" i="20"/>
  <c r="M1350" i="20" s="1"/>
  <c r="AA1349" i="20"/>
  <c r="V1349" i="20"/>
  <c r="W1349" i="20" s="1"/>
  <c r="X1349" i="20" s="1"/>
  <c r="U1349" i="20"/>
  <c r="S1349" i="20"/>
  <c r="Q1349" i="20"/>
  <c r="K1349" i="20"/>
  <c r="M1349" i="20" s="1"/>
  <c r="AC1349" i="20" s="1"/>
  <c r="AC1348" i="20"/>
  <c r="AB1348" i="20"/>
  <c r="AA1348" i="20"/>
  <c r="V1348" i="20"/>
  <c r="W1348" i="20" s="1"/>
  <c r="X1348" i="20" s="1"/>
  <c r="U1348" i="20"/>
  <c r="S1348" i="20"/>
  <c r="M1348" i="20"/>
  <c r="Q1348" i="20" s="1"/>
  <c r="L1348" i="20"/>
  <c r="K1348" i="20"/>
  <c r="AA1347" i="20"/>
  <c r="V1347" i="20"/>
  <c r="W1347" i="20" s="1"/>
  <c r="X1347" i="20" s="1"/>
  <c r="U1347" i="20"/>
  <c r="S1347" i="20"/>
  <c r="P1347" i="20"/>
  <c r="M1347" i="20"/>
  <c r="Q1347" i="20" s="1"/>
  <c r="L1347" i="20"/>
  <c r="K1347" i="20"/>
  <c r="AA1346" i="20"/>
  <c r="Y1346" i="20"/>
  <c r="W1346" i="20"/>
  <c r="X1346" i="20" s="1"/>
  <c r="Z1346" i="20" s="1"/>
  <c r="J1346" i="20" s="1"/>
  <c r="V1346" i="20"/>
  <c r="U1346" i="20"/>
  <c r="S1346" i="20"/>
  <c r="Q1346" i="20"/>
  <c r="O1346" i="20"/>
  <c r="N1346" i="20"/>
  <c r="M1346" i="20"/>
  <c r="AC1346" i="20" s="1"/>
  <c r="K1346" i="20"/>
  <c r="L1346" i="20" s="1"/>
  <c r="AA1345" i="20"/>
  <c r="V1345" i="20"/>
  <c r="W1345" i="20" s="1"/>
  <c r="X1345" i="20" s="1"/>
  <c r="U1345" i="20"/>
  <c r="S1345" i="20"/>
  <c r="K1345" i="20"/>
  <c r="AA1344" i="20"/>
  <c r="W1344" i="20"/>
  <c r="X1344" i="20" s="1"/>
  <c r="V1344" i="20"/>
  <c r="U1344" i="20"/>
  <c r="S1344" i="20"/>
  <c r="N1344" i="20"/>
  <c r="O1344" i="20" s="1"/>
  <c r="M1344" i="20"/>
  <c r="AC1344" i="20" s="1"/>
  <c r="K1344" i="20"/>
  <c r="L1344" i="20" s="1"/>
  <c r="AA1343" i="20"/>
  <c r="V1343" i="20"/>
  <c r="W1343" i="20" s="1"/>
  <c r="X1343" i="20" s="1"/>
  <c r="U1343" i="20"/>
  <c r="S1343" i="20"/>
  <c r="K1343" i="20"/>
  <c r="M1343" i="20" s="1"/>
  <c r="AA1342" i="20"/>
  <c r="V1342" i="20"/>
  <c r="W1342" i="20" s="1"/>
  <c r="X1342" i="20" s="1"/>
  <c r="U1342" i="20"/>
  <c r="S1342" i="20"/>
  <c r="P1342" i="20"/>
  <c r="M1342" i="20"/>
  <c r="K1342" i="20"/>
  <c r="L1342" i="20" s="1"/>
  <c r="AA1341" i="20"/>
  <c r="W1341" i="20"/>
  <c r="X1341" i="20" s="1"/>
  <c r="V1341" i="20"/>
  <c r="U1341" i="20"/>
  <c r="S1341" i="20"/>
  <c r="K1341" i="20"/>
  <c r="M1341" i="20" s="1"/>
  <c r="AC1340" i="20"/>
  <c r="AA1340" i="20"/>
  <c r="X1340" i="20"/>
  <c r="V1340" i="20"/>
  <c r="W1340" i="20" s="1"/>
  <c r="U1340" i="20"/>
  <c r="S1340" i="20"/>
  <c r="Q1340" i="20"/>
  <c r="P1340" i="20"/>
  <c r="M1340" i="20"/>
  <c r="N1340" i="20" s="1"/>
  <c r="O1340" i="20" s="1"/>
  <c r="L1340" i="20"/>
  <c r="AB1340" i="20" s="1"/>
  <c r="K1340" i="20"/>
  <c r="AA1339" i="20"/>
  <c r="V1339" i="20"/>
  <c r="W1339" i="20" s="1"/>
  <c r="X1339" i="20" s="1"/>
  <c r="U1339" i="20"/>
  <c r="S1339" i="20"/>
  <c r="M1339" i="20"/>
  <c r="K1339" i="20"/>
  <c r="L1339" i="20" s="1"/>
  <c r="AA1338" i="20"/>
  <c r="V1338" i="20"/>
  <c r="W1338" i="20" s="1"/>
  <c r="X1338" i="20" s="1"/>
  <c r="Y1338" i="20" s="1"/>
  <c r="U1338" i="20"/>
  <c r="S1338" i="20"/>
  <c r="M1338" i="20"/>
  <c r="Q1338" i="20" s="1"/>
  <c r="K1338" i="20"/>
  <c r="L1338" i="20" s="1"/>
  <c r="AA1337" i="20"/>
  <c r="V1337" i="20"/>
  <c r="W1337" i="20" s="1"/>
  <c r="X1337" i="20" s="1"/>
  <c r="U1337" i="20"/>
  <c r="S1337" i="20"/>
  <c r="P1337" i="20"/>
  <c r="K1337" i="20"/>
  <c r="L1337" i="20" s="1"/>
  <c r="AA1336" i="20"/>
  <c r="V1336" i="20"/>
  <c r="W1336" i="20" s="1"/>
  <c r="X1336" i="20" s="1"/>
  <c r="Y1336" i="20" s="1"/>
  <c r="U1336" i="20"/>
  <c r="S1336" i="20"/>
  <c r="K1336" i="20"/>
  <c r="AA1335" i="20"/>
  <c r="Y1335" i="20"/>
  <c r="X1335" i="20"/>
  <c r="Z1335" i="20" s="1"/>
  <c r="J1335" i="20" s="1"/>
  <c r="V1335" i="20"/>
  <c r="W1335" i="20" s="1"/>
  <c r="U1335" i="20"/>
  <c r="S1335" i="20"/>
  <c r="M1335" i="20"/>
  <c r="L1335" i="20"/>
  <c r="K1335" i="20"/>
  <c r="AA1334" i="20"/>
  <c r="X1334" i="20"/>
  <c r="V1334" i="20"/>
  <c r="W1334" i="20" s="1"/>
  <c r="U1334" i="20"/>
  <c r="S1334" i="20"/>
  <c r="K1334" i="20"/>
  <c r="M1334" i="20" s="1"/>
  <c r="AA1333" i="20"/>
  <c r="W1333" i="20"/>
  <c r="X1333" i="20" s="1"/>
  <c r="V1333" i="20"/>
  <c r="U1333" i="20"/>
  <c r="S1333" i="20"/>
  <c r="M1333" i="20"/>
  <c r="L1333" i="20"/>
  <c r="K1333" i="20"/>
  <c r="AA1332" i="20"/>
  <c r="V1332" i="20"/>
  <c r="W1332" i="20" s="1"/>
  <c r="X1332" i="20" s="1"/>
  <c r="U1332" i="20"/>
  <c r="S1332" i="20"/>
  <c r="L1332" i="20"/>
  <c r="K1332" i="20"/>
  <c r="M1332" i="20" s="1"/>
  <c r="AC1331" i="20"/>
  <c r="AB1331" i="20"/>
  <c r="AA1331" i="20"/>
  <c r="Z1331" i="20"/>
  <c r="J1331" i="20" s="1"/>
  <c r="P1331" i="20" s="1"/>
  <c r="V1331" i="20"/>
  <c r="W1331" i="20" s="1"/>
  <c r="X1331" i="20" s="1"/>
  <c r="Y1331" i="20" s="1"/>
  <c r="U1331" i="20"/>
  <c r="S1331" i="20"/>
  <c r="L1331" i="20"/>
  <c r="K1331" i="20"/>
  <c r="M1331" i="20" s="1"/>
  <c r="Q1331" i="20" s="1"/>
  <c r="AA1330" i="20"/>
  <c r="W1330" i="20"/>
  <c r="X1330" i="20" s="1"/>
  <c r="V1330" i="20"/>
  <c r="U1330" i="20"/>
  <c r="S1330" i="20"/>
  <c r="Q1330" i="20"/>
  <c r="K1330" i="20"/>
  <c r="M1330" i="20" s="1"/>
  <c r="AC1330" i="20" s="1"/>
  <c r="AB1329" i="20"/>
  <c r="AA1329" i="20"/>
  <c r="V1329" i="20"/>
  <c r="W1329" i="20" s="1"/>
  <c r="X1329" i="20" s="1"/>
  <c r="U1329" i="20"/>
  <c r="S1329" i="20"/>
  <c r="M1329" i="20"/>
  <c r="AC1329" i="20" s="1"/>
  <c r="L1329" i="20"/>
  <c r="K1329" i="20"/>
  <c r="AC1328" i="20"/>
  <c r="AA1328" i="20"/>
  <c r="W1328" i="20"/>
  <c r="X1328" i="20" s="1"/>
  <c r="V1328" i="20"/>
  <c r="U1328" i="20"/>
  <c r="S1328" i="20"/>
  <c r="M1328" i="20"/>
  <c r="Q1328" i="20" s="1"/>
  <c r="L1328" i="20"/>
  <c r="K1328" i="20"/>
  <c r="AC1327" i="20"/>
  <c r="AA1327" i="20"/>
  <c r="Z1327" i="20"/>
  <c r="J1327" i="20" s="1"/>
  <c r="Y1327" i="20"/>
  <c r="W1327" i="20"/>
  <c r="X1327" i="20" s="1"/>
  <c r="V1327" i="20"/>
  <c r="U1327" i="20"/>
  <c r="S1327" i="20"/>
  <c r="K1327" i="20"/>
  <c r="M1327" i="20" s="1"/>
  <c r="Q1327" i="20" s="1"/>
  <c r="AA1326" i="20"/>
  <c r="W1326" i="20"/>
  <c r="X1326" i="20" s="1"/>
  <c r="V1326" i="20"/>
  <c r="U1326" i="20"/>
  <c r="S1326" i="20"/>
  <c r="Q1326" i="20"/>
  <c r="M1326" i="20"/>
  <c r="AC1326" i="20" s="1"/>
  <c r="L1326" i="20"/>
  <c r="K1326" i="20"/>
  <c r="AA1325" i="20"/>
  <c r="X1325" i="20"/>
  <c r="V1325" i="20"/>
  <c r="W1325" i="20" s="1"/>
  <c r="U1325" i="20"/>
  <c r="S1325" i="20"/>
  <c r="L1325" i="20"/>
  <c r="K1325" i="20"/>
  <c r="M1325" i="20" s="1"/>
  <c r="AC1324" i="20"/>
  <c r="AA1324" i="20"/>
  <c r="V1324" i="20"/>
  <c r="W1324" i="20" s="1"/>
  <c r="X1324" i="20" s="1"/>
  <c r="U1324" i="20"/>
  <c r="S1324" i="20"/>
  <c r="Q1324" i="20"/>
  <c r="M1324" i="20"/>
  <c r="K1324" i="20"/>
  <c r="L1324" i="20" s="1"/>
  <c r="AA1323" i="20"/>
  <c r="W1323" i="20"/>
  <c r="X1323" i="20" s="1"/>
  <c r="V1323" i="20"/>
  <c r="U1323" i="20"/>
  <c r="S1323" i="20"/>
  <c r="K1323" i="20"/>
  <c r="L1323" i="20" s="1"/>
  <c r="AA1322" i="20"/>
  <c r="V1322" i="20"/>
  <c r="W1322" i="20" s="1"/>
  <c r="X1322" i="20" s="1"/>
  <c r="U1322" i="20"/>
  <c r="S1322" i="20"/>
  <c r="K1322" i="20"/>
  <c r="AC1321" i="20"/>
  <c r="AA1321" i="20"/>
  <c r="V1321" i="20"/>
  <c r="W1321" i="20" s="1"/>
  <c r="X1321" i="20" s="1"/>
  <c r="U1321" i="20"/>
  <c r="S1321" i="20"/>
  <c r="K1321" i="20"/>
  <c r="M1321" i="20" s="1"/>
  <c r="Q1321" i="20" s="1"/>
  <c r="AA1320" i="20"/>
  <c r="V1320" i="20"/>
  <c r="W1320" i="20" s="1"/>
  <c r="X1320" i="20" s="1"/>
  <c r="U1320" i="20"/>
  <c r="S1320" i="20"/>
  <c r="M1320" i="20"/>
  <c r="L1320" i="20"/>
  <c r="AB1320" i="20" s="1"/>
  <c r="K1320" i="20"/>
  <c r="AB1319" i="20"/>
  <c r="AA1319" i="20"/>
  <c r="W1319" i="20"/>
  <c r="X1319" i="20" s="1"/>
  <c r="Z1319" i="20" s="1"/>
  <c r="J1319" i="20" s="1"/>
  <c r="V1319" i="20"/>
  <c r="U1319" i="20"/>
  <c r="S1319" i="20"/>
  <c r="P1319" i="20"/>
  <c r="L1319" i="20"/>
  <c r="K1319" i="20"/>
  <c r="M1319" i="20" s="1"/>
  <c r="AA1318" i="20"/>
  <c r="W1318" i="20"/>
  <c r="X1318" i="20" s="1"/>
  <c r="V1318" i="20"/>
  <c r="U1318" i="20"/>
  <c r="S1318" i="20"/>
  <c r="K1318" i="20"/>
  <c r="AC1317" i="20"/>
  <c r="AA1317" i="20"/>
  <c r="AB1317" i="20" s="1"/>
  <c r="X1317" i="20"/>
  <c r="W1317" i="20"/>
  <c r="V1317" i="20"/>
  <c r="U1317" i="20"/>
  <c r="S1317" i="20"/>
  <c r="M1317" i="20"/>
  <c r="Q1317" i="20" s="1"/>
  <c r="L1317" i="20"/>
  <c r="K1317" i="20"/>
  <c r="AA1316" i="20"/>
  <c r="W1316" i="20"/>
  <c r="X1316" i="20" s="1"/>
  <c r="V1316" i="20"/>
  <c r="U1316" i="20"/>
  <c r="S1316" i="20"/>
  <c r="K1316" i="20"/>
  <c r="M1316" i="20" s="1"/>
  <c r="AC1316" i="20" s="1"/>
  <c r="AB1315" i="20"/>
  <c r="AA1315" i="20"/>
  <c r="W1315" i="20"/>
  <c r="X1315" i="20" s="1"/>
  <c r="Z1315" i="20" s="1"/>
  <c r="J1315" i="20" s="1"/>
  <c r="V1315" i="20"/>
  <c r="U1315" i="20"/>
  <c r="S1315" i="20"/>
  <c r="K1315" i="20"/>
  <c r="L1315" i="20" s="1"/>
  <c r="AA1314" i="20"/>
  <c r="Y1314" i="20"/>
  <c r="X1314" i="20"/>
  <c r="Z1314" i="20" s="1"/>
  <c r="V1314" i="20"/>
  <c r="W1314" i="20" s="1"/>
  <c r="U1314" i="20"/>
  <c r="S1314" i="20"/>
  <c r="M1314" i="20"/>
  <c r="L1314" i="20"/>
  <c r="K1314" i="20"/>
  <c r="J1314" i="20"/>
  <c r="AA1313" i="20"/>
  <c r="W1313" i="20"/>
  <c r="X1313" i="20" s="1"/>
  <c r="V1313" i="20"/>
  <c r="U1313" i="20"/>
  <c r="S1313" i="20"/>
  <c r="M1313" i="20"/>
  <c r="K1313" i="20"/>
  <c r="L1313" i="20" s="1"/>
  <c r="AB1313" i="20" s="1"/>
  <c r="AC1312" i="20"/>
  <c r="AB1312" i="20"/>
  <c r="AA1312" i="20"/>
  <c r="V1312" i="20"/>
  <c r="W1312" i="20" s="1"/>
  <c r="X1312" i="20" s="1"/>
  <c r="U1312" i="20"/>
  <c r="S1312" i="20"/>
  <c r="Q1312" i="20"/>
  <c r="P1312" i="20"/>
  <c r="O1312" i="20"/>
  <c r="M1312" i="20"/>
  <c r="L1312" i="20"/>
  <c r="N1312" i="20" s="1"/>
  <c r="K1312" i="20"/>
  <c r="AA1311" i="20"/>
  <c r="X1311" i="20"/>
  <c r="W1311" i="20"/>
  <c r="V1311" i="20"/>
  <c r="U1311" i="20"/>
  <c r="S1311" i="20"/>
  <c r="M1311" i="20"/>
  <c r="K1311" i="20"/>
  <c r="L1311" i="20" s="1"/>
  <c r="AB1310" i="20"/>
  <c r="AA1310" i="20"/>
  <c r="V1310" i="20"/>
  <c r="W1310" i="20" s="1"/>
  <c r="X1310" i="20" s="1"/>
  <c r="Y1310" i="20" s="1"/>
  <c r="U1310" i="20"/>
  <c r="S1310" i="20"/>
  <c r="L1310" i="20"/>
  <c r="P1310" i="20" s="1"/>
  <c r="K1310" i="20"/>
  <c r="M1310" i="20" s="1"/>
  <c r="Q1310" i="20" s="1"/>
  <c r="AA1309" i="20"/>
  <c r="W1309" i="20"/>
  <c r="X1309" i="20" s="1"/>
  <c r="V1309" i="20"/>
  <c r="U1309" i="20"/>
  <c r="S1309" i="20"/>
  <c r="M1309" i="20"/>
  <c r="K1309" i="20"/>
  <c r="L1309" i="20" s="1"/>
  <c r="AA1308" i="20"/>
  <c r="V1308" i="20"/>
  <c r="W1308" i="20" s="1"/>
  <c r="X1308" i="20" s="1"/>
  <c r="U1308" i="20"/>
  <c r="S1308" i="20"/>
  <c r="M1308" i="20"/>
  <c r="L1308" i="20"/>
  <c r="K1308" i="20"/>
  <c r="AA1307" i="20"/>
  <c r="Y1307" i="20"/>
  <c r="W1307" i="20"/>
  <c r="X1307" i="20" s="1"/>
  <c r="Z1307" i="20" s="1"/>
  <c r="J1307" i="20" s="1"/>
  <c r="V1307" i="20"/>
  <c r="U1307" i="20"/>
  <c r="S1307" i="20"/>
  <c r="N1307" i="20"/>
  <c r="O1307" i="20" s="1"/>
  <c r="M1307" i="20"/>
  <c r="AC1307" i="20" s="1"/>
  <c r="K1307" i="20"/>
  <c r="L1307" i="20" s="1"/>
  <c r="AA1306" i="20"/>
  <c r="W1306" i="20"/>
  <c r="X1306" i="20" s="1"/>
  <c r="Y1306" i="20" s="1"/>
  <c r="V1306" i="20"/>
  <c r="U1306" i="20"/>
  <c r="S1306" i="20"/>
  <c r="K1306" i="20"/>
  <c r="M1306" i="20" s="1"/>
  <c r="AA1305" i="20"/>
  <c r="Z1305" i="20"/>
  <c r="J1305" i="20" s="1"/>
  <c r="W1305" i="20"/>
  <c r="X1305" i="20" s="1"/>
  <c r="Y1305" i="20" s="1"/>
  <c r="V1305" i="20"/>
  <c r="U1305" i="20"/>
  <c r="S1305" i="20"/>
  <c r="K1305" i="20"/>
  <c r="AA1304" i="20"/>
  <c r="V1304" i="20"/>
  <c r="W1304" i="20" s="1"/>
  <c r="X1304" i="20" s="1"/>
  <c r="U1304" i="20"/>
  <c r="S1304" i="20"/>
  <c r="K1304" i="20"/>
  <c r="AA1303" i="20"/>
  <c r="V1303" i="20"/>
  <c r="W1303" i="20" s="1"/>
  <c r="X1303" i="20" s="1"/>
  <c r="U1303" i="20"/>
  <c r="S1303" i="20"/>
  <c r="K1303" i="20"/>
  <c r="AB1302" i="20"/>
  <c r="AA1302" i="20"/>
  <c r="Z1302" i="20"/>
  <c r="J1302" i="20" s="1"/>
  <c r="W1302" i="20"/>
  <c r="X1302" i="20" s="1"/>
  <c r="Y1302" i="20" s="1"/>
  <c r="V1302" i="20"/>
  <c r="U1302" i="20"/>
  <c r="S1302" i="20"/>
  <c r="Q1302" i="20"/>
  <c r="P1302" i="20"/>
  <c r="M1302" i="20"/>
  <c r="AC1302" i="20" s="1"/>
  <c r="L1302" i="20"/>
  <c r="N1302" i="20" s="1"/>
  <c r="O1302" i="20" s="1"/>
  <c r="K1302" i="20"/>
  <c r="AA1301" i="20"/>
  <c r="V1301" i="20"/>
  <c r="W1301" i="20" s="1"/>
  <c r="X1301" i="20" s="1"/>
  <c r="S1301" i="20"/>
  <c r="K1301" i="20"/>
  <c r="M1301" i="20" s="1"/>
  <c r="AC1301" i="20" s="1"/>
  <c r="AA1300" i="20"/>
  <c r="AB1300" i="20" s="1"/>
  <c r="W1300" i="20"/>
  <c r="X1300" i="20" s="1"/>
  <c r="V1300" i="20"/>
  <c r="S1300" i="20"/>
  <c r="L1300" i="20"/>
  <c r="K1300" i="20"/>
  <c r="M1300" i="20" s="1"/>
  <c r="AA1299" i="20"/>
  <c r="Y1299" i="20"/>
  <c r="V1299" i="20"/>
  <c r="W1299" i="20" s="1"/>
  <c r="X1299" i="20" s="1"/>
  <c r="Z1299" i="20" s="1"/>
  <c r="S1299" i="20"/>
  <c r="Q1299" i="20"/>
  <c r="K1299" i="20"/>
  <c r="M1299" i="20" s="1"/>
  <c r="AC1299" i="20" s="1"/>
  <c r="AC1298" i="20"/>
  <c r="AA1298" i="20"/>
  <c r="V1298" i="20"/>
  <c r="W1298" i="20" s="1"/>
  <c r="X1298" i="20" s="1"/>
  <c r="Z1298" i="20" s="1"/>
  <c r="S1298" i="20"/>
  <c r="M1298" i="20"/>
  <c r="Q1298" i="20" s="1"/>
  <c r="L1298" i="20"/>
  <c r="K1298" i="20"/>
  <c r="AA1297" i="20"/>
  <c r="V1297" i="20"/>
  <c r="W1297" i="20" s="1"/>
  <c r="X1297" i="20" s="1"/>
  <c r="Y1297" i="20" s="1"/>
  <c r="S1297" i="20"/>
  <c r="Q1297" i="20"/>
  <c r="K1297" i="20"/>
  <c r="M1297" i="20" s="1"/>
  <c r="AC1297" i="20" s="1"/>
  <c r="AA1296" i="20"/>
  <c r="Z1296" i="20"/>
  <c r="Y1296" i="20"/>
  <c r="W1296" i="20"/>
  <c r="X1296" i="20" s="1"/>
  <c r="V1296" i="20"/>
  <c r="S1296" i="20"/>
  <c r="K1296" i="20"/>
  <c r="M1296" i="20" s="1"/>
  <c r="AA1295" i="20"/>
  <c r="V1295" i="20"/>
  <c r="W1295" i="20" s="1"/>
  <c r="X1295" i="20" s="1"/>
  <c r="S1295" i="20"/>
  <c r="K1295" i="20"/>
  <c r="AA1294" i="20"/>
  <c r="W1294" i="20"/>
  <c r="X1294" i="20" s="1"/>
  <c r="V1294" i="20"/>
  <c r="S1294" i="20"/>
  <c r="K1294" i="20"/>
  <c r="M1294" i="20" s="1"/>
  <c r="AC1294" i="20" s="1"/>
  <c r="AC1293" i="20"/>
  <c r="AB1293" i="20"/>
  <c r="AA1293" i="20"/>
  <c r="V1293" i="20"/>
  <c r="W1293" i="20" s="1"/>
  <c r="X1293" i="20" s="1"/>
  <c r="S1293" i="20"/>
  <c r="Q1293" i="20"/>
  <c r="M1293" i="20"/>
  <c r="K1293" i="20"/>
  <c r="L1293" i="20" s="1"/>
  <c r="N1293" i="20" s="1"/>
  <c r="O1293" i="20" s="1"/>
  <c r="AA1292" i="20"/>
  <c r="V1292" i="20"/>
  <c r="W1292" i="20" s="1"/>
  <c r="X1292" i="20" s="1"/>
  <c r="S1292" i="20"/>
  <c r="N1292" i="20"/>
  <c r="O1292" i="20" s="1"/>
  <c r="M1292" i="20"/>
  <c r="K1292" i="20"/>
  <c r="L1292" i="20" s="1"/>
  <c r="AB1292" i="20" s="1"/>
  <c r="AB1291" i="20"/>
  <c r="AA1291" i="20"/>
  <c r="V1291" i="20"/>
  <c r="W1291" i="20" s="1"/>
  <c r="X1291" i="20" s="1"/>
  <c r="Y1291" i="20" s="1"/>
  <c r="S1291" i="20"/>
  <c r="K1291" i="20"/>
  <c r="L1291" i="20" s="1"/>
  <c r="AA1290" i="20"/>
  <c r="V1290" i="20"/>
  <c r="W1290" i="20" s="1"/>
  <c r="X1290" i="20" s="1"/>
  <c r="S1290" i="20"/>
  <c r="Q1290" i="20"/>
  <c r="L1290" i="20"/>
  <c r="AB1290" i="20" s="1"/>
  <c r="K1290" i="20"/>
  <c r="M1290" i="20" s="1"/>
  <c r="AC1290" i="20" s="1"/>
  <c r="AC1289" i="20"/>
  <c r="AA1289" i="20"/>
  <c r="V1289" i="20"/>
  <c r="W1289" i="20" s="1"/>
  <c r="X1289" i="20" s="1"/>
  <c r="S1289" i="20"/>
  <c r="M1289" i="20"/>
  <c r="Q1289" i="20" s="1"/>
  <c r="L1289" i="20"/>
  <c r="K1289" i="20"/>
  <c r="AA1288" i="20"/>
  <c r="W1288" i="20"/>
  <c r="X1288" i="20" s="1"/>
  <c r="V1288" i="20"/>
  <c r="S1288" i="20"/>
  <c r="N1288" i="20"/>
  <c r="O1288" i="20" s="1"/>
  <c r="M1288" i="20"/>
  <c r="L1288" i="20"/>
  <c r="AB1288" i="20" s="1"/>
  <c r="K1288" i="20"/>
  <c r="AA1287" i="20"/>
  <c r="V1287" i="20"/>
  <c r="W1287" i="20" s="1"/>
  <c r="X1287" i="20" s="1"/>
  <c r="S1287" i="20"/>
  <c r="Q1287" i="20"/>
  <c r="M1287" i="20"/>
  <c r="AC1287" i="20" s="1"/>
  <c r="K1287" i="20"/>
  <c r="L1287" i="20" s="1"/>
  <c r="AB1287" i="20" s="1"/>
  <c r="AC1286" i="20"/>
  <c r="AA1286" i="20"/>
  <c r="X1286" i="20"/>
  <c r="V1286" i="20"/>
  <c r="W1286" i="20" s="1"/>
  <c r="S1286" i="20"/>
  <c r="K1286" i="20"/>
  <c r="M1286" i="20" s="1"/>
  <c r="Q1286" i="20" s="1"/>
  <c r="AA1285" i="20"/>
  <c r="X1285" i="20"/>
  <c r="Z1285" i="20" s="1"/>
  <c r="W1285" i="20"/>
  <c r="V1285" i="20"/>
  <c r="S1285" i="20"/>
  <c r="M1285" i="20"/>
  <c r="L1285" i="20"/>
  <c r="K1285" i="20"/>
  <c r="AA1284" i="20"/>
  <c r="V1284" i="20"/>
  <c r="W1284" i="20" s="1"/>
  <c r="X1284" i="20" s="1"/>
  <c r="Z1284" i="20" s="1"/>
  <c r="S1284" i="20"/>
  <c r="K1284" i="20"/>
  <c r="L1284" i="20" s="1"/>
  <c r="AA1283" i="20"/>
  <c r="X1283" i="20"/>
  <c r="W1283" i="20"/>
  <c r="V1283" i="20"/>
  <c r="S1283" i="20"/>
  <c r="Q1283" i="20"/>
  <c r="N1283" i="20"/>
  <c r="O1283" i="20" s="1"/>
  <c r="M1283" i="20"/>
  <c r="AC1283" i="20" s="1"/>
  <c r="L1283" i="20"/>
  <c r="K1283" i="20"/>
  <c r="AA1282" i="20"/>
  <c r="V1282" i="20"/>
  <c r="W1282" i="20" s="1"/>
  <c r="X1282" i="20" s="1"/>
  <c r="S1282" i="20"/>
  <c r="N1282" i="20"/>
  <c r="O1282" i="20" s="1"/>
  <c r="M1282" i="20"/>
  <c r="L1282" i="20"/>
  <c r="AB1282" i="20" s="1"/>
  <c r="K1282" i="20"/>
  <c r="AA1281" i="20"/>
  <c r="AB1281" i="20" s="1"/>
  <c r="V1281" i="20"/>
  <c r="W1281" i="20" s="1"/>
  <c r="X1281" i="20" s="1"/>
  <c r="S1281" i="20"/>
  <c r="K1281" i="20"/>
  <c r="L1281" i="20" s="1"/>
  <c r="AA1280" i="20"/>
  <c r="V1280" i="20"/>
  <c r="W1280" i="20" s="1"/>
  <c r="X1280" i="20" s="1"/>
  <c r="S1280" i="20"/>
  <c r="M1280" i="20"/>
  <c r="L1280" i="20"/>
  <c r="K1280" i="20"/>
  <c r="AC1279" i="20"/>
  <c r="AA1279" i="20"/>
  <c r="W1279" i="20"/>
  <c r="X1279" i="20" s="1"/>
  <c r="V1279" i="20"/>
  <c r="S1279" i="20"/>
  <c r="M1279" i="20"/>
  <c r="Q1279" i="20" s="1"/>
  <c r="L1279" i="20"/>
  <c r="K1279" i="20"/>
  <c r="AC1278" i="20"/>
  <c r="AA1278" i="20"/>
  <c r="V1278" i="20"/>
  <c r="W1278" i="20" s="1"/>
  <c r="X1278" i="20" s="1"/>
  <c r="S1278" i="20"/>
  <c r="L1278" i="20"/>
  <c r="K1278" i="20"/>
  <c r="M1278" i="20" s="1"/>
  <c r="Q1278" i="20" s="1"/>
  <c r="AC1277" i="20"/>
  <c r="AA1277" i="20"/>
  <c r="Z1277" i="20"/>
  <c r="X1277" i="20"/>
  <c r="Y1277" i="20" s="1"/>
  <c r="W1277" i="20"/>
  <c r="V1277" i="20"/>
  <c r="S1277" i="20"/>
  <c r="M1277" i="20"/>
  <c r="Q1277" i="20" s="1"/>
  <c r="K1277" i="20"/>
  <c r="L1277" i="20" s="1"/>
  <c r="AA1276" i="20"/>
  <c r="W1276" i="20"/>
  <c r="X1276" i="20" s="1"/>
  <c r="V1276" i="20"/>
  <c r="S1276" i="20"/>
  <c r="Q1276" i="20"/>
  <c r="M1276" i="20"/>
  <c r="AC1276" i="20" s="1"/>
  <c r="L1276" i="20"/>
  <c r="AB1276" i="20" s="1"/>
  <c r="K1276" i="20"/>
  <c r="AA1275" i="20"/>
  <c r="W1275" i="20"/>
  <c r="X1275" i="20" s="1"/>
  <c r="V1275" i="20"/>
  <c r="S1275" i="20"/>
  <c r="K1275" i="20"/>
  <c r="AA1274" i="20"/>
  <c r="X1274" i="20"/>
  <c r="V1274" i="20"/>
  <c r="W1274" i="20" s="1"/>
  <c r="S1274" i="20"/>
  <c r="K1274" i="20"/>
  <c r="AA1273" i="20"/>
  <c r="Y1273" i="20"/>
  <c r="V1273" i="20"/>
  <c r="W1273" i="20" s="1"/>
  <c r="X1273" i="20" s="1"/>
  <c r="Z1273" i="20" s="1"/>
  <c r="S1273" i="20"/>
  <c r="Q1273" i="20"/>
  <c r="K1273" i="20"/>
  <c r="M1273" i="20" s="1"/>
  <c r="AC1273" i="20" s="1"/>
  <c r="AA1272" i="20"/>
  <c r="W1272" i="20"/>
  <c r="X1272" i="20" s="1"/>
  <c r="Z1272" i="20" s="1"/>
  <c r="V1272" i="20"/>
  <c r="S1272" i="20"/>
  <c r="M1272" i="20"/>
  <c r="K1272" i="20"/>
  <c r="L1272" i="20" s="1"/>
  <c r="AA1271" i="20"/>
  <c r="Z1271" i="20"/>
  <c r="Y1271" i="20"/>
  <c r="V1271" i="20"/>
  <c r="W1271" i="20" s="1"/>
  <c r="X1271" i="20" s="1"/>
  <c r="S1271" i="20"/>
  <c r="M1271" i="20"/>
  <c r="AC1271" i="20" s="1"/>
  <c r="L1271" i="20"/>
  <c r="AB1271" i="20" s="1"/>
  <c r="K1271" i="20"/>
  <c r="AA1270" i="20"/>
  <c r="V1270" i="20"/>
  <c r="W1270" i="20" s="1"/>
  <c r="X1270" i="20" s="1"/>
  <c r="S1270" i="20"/>
  <c r="K1270" i="20"/>
  <c r="AA1269" i="20"/>
  <c r="V1269" i="20"/>
  <c r="W1269" i="20" s="1"/>
  <c r="X1269" i="20" s="1"/>
  <c r="Y1269" i="20" s="1"/>
  <c r="S1269" i="20"/>
  <c r="Q1269" i="20"/>
  <c r="K1269" i="20"/>
  <c r="M1269" i="20" s="1"/>
  <c r="AC1269" i="20" s="1"/>
  <c r="AA1268" i="20"/>
  <c r="V1268" i="20"/>
  <c r="W1268" i="20" s="1"/>
  <c r="X1268" i="20" s="1"/>
  <c r="Y1268" i="20" s="1"/>
  <c r="S1268" i="20"/>
  <c r="K1268" i="20"/>
  <c r="M1268" i="20" s="1"/>
  <c r="AA1267" i="20"/>
  <c r="Y1267" i="20"/>
  <c r="V1267" i="20"/>
  <c r="W1267" i="20" s="1"/>
  <c r="X1267" i="20" s="1"/>
  <c r="Z1267" i="20" s="1"/>
  <c r="S1267" i="20"/>
  <c r="L1267" i="20"/>
  <c r="AB1267" i="20" s="1"/>
  <c r="K1267" i="20"/>
  <c r="M1267" i="20" s="1"/>
  <c r="AA1266" i="20"/>
  <c r="V1266" i="20"/>
  <c r="W1266" i="20" s="1"/>
  <c r="X1266" i="20" s="1"/>
  <c r="S1266" i="20"/>
  <c r="K1266" i="20"/>
  <c r="M1266" i="20" s="1"/>
  <c r="AA1265" i="20"/>
  <c r="W1265" i="20"/>
  <c r="X1265" i="20" s="1"/>
  <c r="V1265" i="20"/>
  <c r="S1265" i="20"/>
  <c r="M1265" i="20"/>
  <c r="K1265" i="20"/>
  <c r="L1265" i="20" s="1"/>
  <c r="AC1264" i="20"/>
  <c r="AA1264" i="20"/>
  <c r="V1264" i="20"/>
  <c r="W1264" i="20" s="1"/>
  <c r="X1264" i="20" s="1"/>
  <c r="S1264" i="20"/>
  <c r="Q1264" i="20"/>
  <c r="M1264" i="20"/>
  <c r="K1264" i="20"/>
  <c r="L1264" i="20" s="1"/>
  <c r="AA1263" i="20"/>
  <c r="W1263" i="20"/>
  <c r="X1263" i="20" s="1"/>
  <c r="V1263" i="20"/>
  <c r="S1263" i="20"/>
  <c r="K1263" i="20"/>
  <c r="AA1262" i="20"/>
  <c r="W1262" i="20"/>
  <c r="X1262" i="20" s="1"/>
  <c r="V1262" i="20"/>
  <c r="S1262" i="20"/>
  <c r="M1262" i="20"/>
  <c r="L1262" i="20"/>
  <c r="K1262" i="20"/>
  <c r="AA1261" i="20"/>
  <c r="V1261" i="20"/>
  <c r="W1261" i="20" s="1"/>
  <c r="X1261" i="20" s="1"/>
  <c r="S1261" i="20"/>
  <c r="M1261" i="20"/>
  <c r="AC1261" i="20" s="1"/>
  <c r="K1261" i="20"/>
  <c r="L1261" i="20" s="1"/>
  <c r="AA1260" i="20"/>
  <c r="V1260" i="20"/>
  <c r="W1260" i="20" s="1"/>
  <c r="X1260" i="20" s="1"/>
  <c r="S1260" i="20"/>
  <c r="K1260" i="20"/>
  <c r="AC1259" i="20"/>
  <c r="AB1259" i="20"/>
  <c r="AA1259" i="20"/>
  <c r="X1259" i="20"/>
  <c r="W1259" i="20"/>
  <c r="V1259" i="20"/>
  <c r="S1259" i="20"/>
  <c r="Q1259" i="20"/>
  <c r="O1259" i="20"/>
  <c r="M1259" i="20"/>
  <c r="L1259" i="20"/>
  <c r="N1259" i="20" s="1"/>
  <c r="K1259" i="20"/>
  <c r="AA1258" i="20"/>
  <c r="V1258" i="20"/>
  <c r="W1258" i="20" s="1"/>
  <c r="X1258" i="20" s="1"/>
  <c r="S1258" i="20"/>
  <c r="K1258" i="20"/>
  <c r="L1258" i="20" s="1"/>
  <c r="AA1257" i="20"/>
  <c r="W1257" i="20"/>
  <c r="X1257" i="20" s="1"/>
  <c r="V1257" i="20"/>
  <c r="S1257" i="20"/>
  <c r="K1257" i="20"/>
  <c r="M1257" i="20" s="1"/>
  <c r="AC1256" i="20"/>
  <c r="AA1256" i="20"/>
  <c r="V1256" i="20"/>
  <c r="W1256" i="20" s="1"/>
  <c r="X1256" i="20" s="1"/>
  <c r="S1256" i="20"/>
  <c r="K1256" i="20"/>
  <c r="M1256" i="20" s="1"/>
  <c r="Q1256" i="20" s="1"/>
  <c r="AB1255" i="20"/>
  <c r="AA1255" i="20"/>
  <c r="V1255" i="20"/>
  <c r="W1255" i="20" s="1"/>
  <c r="X1255" i="20" s="1"/>
  <c r="S1255" i="20"/>
  <c r="L1255" i="20"/>
  <c r="K1255" i="20"/>
  <c r="M1255" i="20" s="1"/>
  <c r="AC1254" i="20"/>
  <c r="AA1254" i="20"/>
  <c r="V1254" i="20"/>
  <c r="W1254" i="20" s="1"/>
  <c r="X1254" i="20" s="1"/>
  <c r="S1254" i="20"/>
  <c r="Q1254" i="20"/>
  <c r="K1254" i="20"/>
  <c r="M1254" i="20" s="1"/>
  <c r="AA1253" i="20"/>
  <c r="Y1253" i="20"/>
  <c r="W1253" i="20"/>
  <c r="X1253" i="20" s="1"/>
  <c r="Z1253" i="20" s="1"/>
  <c r="V1253" i="20"/>
  <c r="S1253" i="20"/>
  <c r="K1253" i="20"/>
  <c r="AA1252" i="20"/>
  <c r="V1252" i="20"/>
  <c r="W1252" i="20" s="1"/>
  <c r="X1252" i="20" s="1"/>
  <c r="S1252" i="20"/>
  <c r="K1252" i="20"/>
  <c r="AA1251" i="20"/>
  <c r="W1251" i="20"/>
  <c r="X1251" i="20" s="1"/>
  <c r="V1251" i="20"/>
  <c r="S1251" i="20"/>
  <c r="K1251" i="20"/>
  <c r="AA1250" i="20"/>
  <c r="V1250" i="20"/>
  <c r="W1250" i="20" s="1"/>
  <c r="X1250" i="20" s="1"/>
  <c r="S1250" i="20"/>
  <c r="K1250" i="20"/>
  <c r="AC1249" i="20"/>
  <c r="AA1249" i="20"/>
  <c r="V1249" i="20"/>
  <c r="W1249" i="20" s="1"/>
  <c r="X1249" i="20" s="1"/>
  <c r="S1249" i="20"/>
  <c r="Q1249" i="20"/>
  <c r="M1249" i="20"/>
  <c r="K1249" i="20"/>
  <c r="L1249" i="20" s="1"/>
  <c r="AA1248" i="20"/>
  <c r="V1248" i="20"/>
  <c r="W1248" i="20" s="1"/>
  <c r="X1248" i="20" s="1"/>
  <c r="S1248" i="20"/>
  <c r="K1248" i="20"/>
  <c r="AC1247" i="20"/>
  <c r="AA1247" i="20"/>
  <c r="Z1247" i="20"/>
  <c r="X1247" i="20"/>
  <c r="Y1247" i="20" s="1"/>
  <c r="W1247" i="20"/>
  <c r="V1247" i="20"/>
  <c r="S1247" i="20"/>
  <c r="M1247" i="20"/>
  <c r="Q1247" i="20" s="1"/>
  <c r="L1247" i="20"/>
  <c r="K1247" i="20"/>
  <c r="AC1246" i="20"/>
  <c r="AA1246" i="20"/>
  <c r="V1246" i="20"/>
  <c r="W1246" i="20" s="1"/>
  <c r="X1246" i="20" s="1"/>
  <c r="Y1246" i="20" s="1"/>
  <c r="S1246" i="20"/>
  <c r="K1246" i="20"/>
  <c r="M1246" i="20" s="1"/>
  <c r="Q1246" i="20" s="1"/>
  <c r="AA1245" i="20"/>
  <c r="W1245" i="20"/>
  <c r="X1245" i="20" s="1"/>
  <c r="Y1245" i="20" s="1"/>
  <c r="V1245" i="20"/>
  <c r="S1245" i="20"/>
  <c r="O1245" i="20"/>
  <c r="N1245" i="20"/>
  <c r="M1245" i="20"/>
  <c r="K1245" i="20"/>
  <c r="L1245" i="20" s="1"/>
  <c r="AA1244" i="20"/>
  <c r="AB1244" i="20" s="1"/>
  <c r="V1244" i="20"/>
  <c r="W1244" i="20" s="1"/>
  <c r="X1244" i="20" s="1"/>
  <c r="S1244" i="20"/>
  <c r="M1244" i="20"/>
  <c r="L1244" i="20"/>
  <c r="K1244" i="20"/>
  <c r="AA1243" i="20"/>
  <c r="Y1243" i="20"/>
  <c r="V1243" i="20"/>
  <c r="W1243" i="20" s="1"/>
  <c r="X1243" i="20" s="1"/>
  <c r="Z1243" i="20" s="1"/>
  <c r="S1243" i="20"/>
  <c r="M1243" i="20"/>
  <c r="K1243" i="20"/>
  <c r="L1243" i="20" s="1"/>
  <c r="AA1242" i="20"/>
  <c r="V1242" i="20"/>
  <c r="W1242" i="20" s="1"/>
  <c r="X1242" i="20" s="1"/>
  <c r="S1242" i="20"/>
  <c r="K1242" i="20"/>
  <c r="AA1241" i="20"/>
  <c r="V1241" i="20"/>
  <c r="W1241" i="20" s="1"/>
  <c r="X1241" i="20" s="1"/>
  <c r="S1241" i="20"/>
  <c r="M1241" i="20"/>
  <c r="L1241" i="20"/>
  <c r="AB1241" i="20" s="1"/>
  <c r="K1241" i="20"/>
  <c r="AC1240" i="20"/>
  <c r="AA1240" i="20"/>
  <c r="Y1240" i="20"/>
  <c r="V1240" i="20"/>
  <c r="W1240" i="20" s="1"/>
  <c r="X1240" i="20" s="1"/>
  <c r="Z1240" i="20" s="1"/>
  <c r="S1240" i="20"/>
  <c r="L1240" i="20"/>
  <c r="K1240" i="20"/>
  <c r="M1240" i="20" s="1"/>
  <c r="Q1240" i="20" s="1"/>
  <c r="AA1239" i="20"/>
  <c r="Z1239" i="20"/>
  <c r="Y1239" i="20"/>
  <c r="X1239" i="20"/>
  <c r="V1239" i="20"/>
  <c r="W1239" i="20" s="1"/>
  <c r="S1239" i="20"/>
  <c r="K1239" i="20"/>
  <c r="AA1238" i="20"/>
  <c r="X1238" i="20"/>
  <c r="Z1238" i="20" s="1"/>
  <c r="V1238" i="20"/>
  <c r="W1238" i="20" s="1"/>
  <c r="S1238" i="20"/>
  <c r="M1238" i="20"/>
  <c r="L1238" i="20"/>
  <c r="K1238" i="20"/>
  <c r="AA1237" i="20"/>
  <c r="X1237" i="20"/>
  <c r="V1237" i="20"/>
  <c r="W1237" i="20" s="1"/>
  <c r="S1237" i="20"/>
  <c r="K1237" i="20"/>
  <c r="AA1236" i="20"/>
  <c r="X1236" i="20"/>
  <c r="Z1236" i="20" s="1"/>
  <c r="W1236" i="20"/>
  <c r="V1236" i="20"/>
  <c r="S1236" i="20"/>
  <c r="L1236" i="20"/>
  <c r="K1236" i="20"/>
  <c r="M1236" i="20" s="1"/>
  <c r="AC1235" i="20"/>
  <c r="AA1235" i="20"/>
  <c r="AB1235" i="20" s="1"/>
  <c r="X1235" i="20"/>
  <c r="V1235" i="20"/>
  <c r="W1235" i="20" s="1"/>
  <c r="S1235" i="20"/>
  <c r="M1235" i="20"/>
  <c r="Q1235" i="20" s="1"/>
  <c r="L1235" i="20"/>
  <c r="K1235" i="20"/>
  <c r="AA1234" i="20"/>
  <c r="Y1234" i="20"/>
  <c r="W1234" i="20"/>
  <c r="X1234" i="20" s="1"/>
  <c r="Z1234" i="20" s="1"/>
  <c r="V1234" i="20"/>
  <c r="S1234" i="20"/>
  <c r="Q1234" i="20"/>
  <c r="N1234" i="20"/>
  <c r="O1234" i="20" s="1"/>
  <c r="M1234" i="20"/>
  <c r="AC1234" i="20" s="1"/>
  <c r="K1234" i="20"/>
  <c r="L1234" i="20" s="1"/>
  <c r="AA1233" i="20"/>
  <c r="W1233" i="20"/>
  <c r="X1233" i="20" s="1"/>
  <c r="V1233" i="20"/>
  <c r="S1233" i="20"/>
  <c r="K1233" i="20"/>
  <c r="M1233" i="20" s="1"/>
  <c r="AC1233" i="20" s="1"/>
  <c r="AC1232" i="20"/>
  <c r="AA1232" i="20"/>
  <c r="V1232" i="20"/>
  <c r="W1232" i="20" s="1"/>
  <c r="X1232" i="20" s="1"/>
  <c r="S1232" i="20"/>
  <c r="Q1232" i="20"/>
  <c r="M1232" i="20"/>
  <c r="K1232" i="20"/>
  <c r="L1232" i="20" s="1"/>
  <c r="AA1231" i="20"/>
  <c r="V1231" i="20"/>
  <c r="W1231" i="20" s="1"/>
  <c r="X1231" i="20" s="1"/>
  <c r="S1231" i="20"/>
  <c r="Q1231" i="20"/>
  <c r="L1231" i="20"/>
  <c r="K1231" i="20"/>
  <c r="M1231" i="20" s="1"/>
  <c r="AC1231" i="20" s="1"/>
  <c r="AA1230" i="20"/>
  <c r="W1230" i="20"/>
  <c r="X1230" i="20" s="1"/>
  <c r="V1230" i="20"/>
  <c r="S1230" i="20"/>
  <c r="K1230" i="20"/>
  <c r="AA1229" i="20"/>
  <c r="Y1229" i="20"/>
  <c r="X1229" i="20"/>
  <c r="Z1229" i="20" s="1"/>
  <c r="V1229" i="20"/>
  <c r="W1229" i="20" s="1"/>
  <c r="S1229" i="20"/>
  <c r="K1229" i="20"/>
  <c r="AA1228" i="20"/>
  <c r="V1228" i="20"/>
  <c r="W1228" i="20" s="1"/>
  <c r="X1228" i="20" s="1"/>
  <c r="S1228" i="20"/>
  <c r="M1228" i="20"/>
  <c r="L1228" i="20"/>
  <c r="K1228" i="20"/>
  <c r="AC1227" i="20"/>
  <c r="AA1227" i="20"/>
  <c r="AB1227" i="20" s="1"/>
  <c r="V1227" i="20"/>
  <c r="W1227" i="20" s="1"/>
  <c r="X1227" i="20" s="1"/>
  <c r="S1227" i="20"/>
  <c r="Q1227" i="20"/>
  <c r="M1227" i="20"/>
  <c r="L1227" i="20"/>
  <c r="N1227" i="20" s="1"/>
  <c r="O1227" i="20" s="1"/>
  <c r="K1227" i="20"/>
  <c r="AA1226" i="20"/>
  <c r="W1226" i="20"/>
  <c r="X1226" i="20" s="1"/>
  <c r="V1226" i="20"/>
  <c r="S1226" i="20"/>
  <c r="M1226" i="20"/>
  <c r="L1226" i="20"/>
  <c r="K1226" i="20"/>
  <c r="AA1225" i="20"/>
  <c r="Z1225" i="20"/>
  <c r="W1225" i="20"/>
  <c r="X1225" i="20" s="1"/>
  <c r="Y1225" i="20" s="1"/>
  <c r="V1225" i="20"/>
  <c r="S1225" i="20"/>
  <c r="K1225" i="20"/>
  <c r="M1225" i="20" s="1"/>
  <c r="AA1224" i="20"/>
  <c r="V1224" i="20"/>
  <c r="W1224" i="20" s="1"/>
  <c r="X1224" i="20" s="1"/>
  <c r="S1224" i="20"/>
  <c r="Q1224" i="20"/>
  <c r="M1224" i="20"/>
  <c r="AC1224" i="20" s="1"/>
  <c r="L1224" i="20"/>
  <c r="K1224" i="20"/>
  <c r="AA1223" i="20"/>
  <c r="V1223" i="20"/>
  <c r="W1223" i="20" s="1"/>
  <c r="X1223" i="20" s="1"/>
  <c r="S1223" i="20"/>
  <c r="M1223" i="20"/>
  <c r="L1223" i="20"/>
  <c r="K1223" i="20"/>
  <c r="AA1222" i="20"/>
  <c r="Y1222" i="20"/>
  <c r="W1222" i="20"/>
  <c r="X1222" i="20" s="1"/>
  <c r="Z1222" i="20" s="1"/>
  <c r="V1222" i="20"/>
  <c r="S1222" i="20"/>
  <c r="K1222" i="20"/>
  <c r="M1222" i="20" s="1"/>
  <c r="AC1222" i="20" s="1"/>
  <c r="AA1221" i="20"/>
  <c r="AB1221" i="20" s="1"/>
  <c r="V1221" i="20"/>
  <c r="W1221" i="20" s="1"/>
  <c r="X1221" i="20" s="1"/>
  <c r="S1221" i="20"/>
  <c r="Q1221" i="20"/>
  <c r="M1221" i="20"/>
  <c r="AC1221" i="20" s="1"/>
  <c r="K1221" i="20"/>
  <c r="L1221" i="20" s="1"/>
  <c r="N1221" i="20" s="1"/>
  <c r="O1221" i="20" s="1"/>
  <c r="AA1220" i="20"/>
  <c r="X1220" i="20"/>
  <c r="W1220" i="20"/>
  <c r="V1220" i="20"/>
  <c r="S1220" i="20"/>
  <c r="K1220" i="20"/>
  <c r="L1220" i="20" s="1"/>
  <c r="AC1219" i="20"/>
  <c r="AB1219" i="20"/>
  <c r="AA1219" i="20"/>
  <c r="W1219" i="20"/>
  <c r="X1219" i="20" s="1"/>
  <c r="V1219" i="20"/>
  <c r="S1219" i="20"/>
  <c r="Q1219" i="20"/>
  <c r="O1219" i="20"/>
  <c r="N1219" i="20"/>
  <c r="M1219" i="20"/>
  <c r="L1219" i="20"/>
  <c r="K1219" i="20"/>
  <c r="AA1218" i="20"/>
  <c r="V1218" i="20"/>
  <c r="W1218" i="20" s="1"/>
  <c r="X1218" i="20" s="1"/>
  <c r="S1218" i="20"/>
  <c r="K1218" i="20"/>
  <c r="AC1217" i="20"/>
  <c r="AB1217" i="20"/>
  <c r="AA1217" i="20"/>
  <c r="V1217" i="20"/>
  <c r="W1217" i="20" s="1"/>
  <c r="X1217" i="20" s="1"/>
  <c r="S1217" i="20"/>
  <c r="Q1217" i="20"/>
  <c r="N1217" i="20"/>
  <c r="O1217" i="20" s="1"/>
  <c r="M1217" i="20"/>
  <c r="K1217" i="20"/>
  <c r="L1217" i="20" s="1"/>
  <c r="AA1216" i="20"/>
  <c r="X1216" i="20"/>
  <c r="V1216" i="20"/>
  <c r="W1216" i="20" s="1"/>
  <c r="S1216" i="20"/>
  <c r="L1216" i="20"/>
  <c r="K1216" i="20"/>
  <c r="M1216" i="20" s="1"/>
  <c r="AC1215" i="20"/>
  <c r="AB1215" i="20"/>
  <c r="AA1215" i="20"/>
  <c r="W1215" i="20"/>
  <c r="X1215" i="20" s="1"/>
  <c r="V1215" i="20"/>
  <c r="S1215" i="20"/>
  <c r="M1215" i="20"/>
  <c r="Q1215" i="20" s="1"/>
  <c r="L1215" i="20"/>
  <c r="K1215" i="20"/>
  <c r="AA1214" i="20"/>
  <c r="X1214" i="20"/>
  <c r="W1214" i="20"/>
  <c r="V1214" i="20"/>
  <c r="S1214" i="20"/>
  <c r="K1214" i="20"/>
  <c r="M1214" i="20" s="1"/>
  <c r="AC1213" i="20"/>
  <c r="AB1213" i="20"/>
  <c r="AA1213" i="20"/>
  <c r="W1213" i="20"/>
  <c r="X1213" i="20" s="1"/>
  <c r="V1213" i="20"/>
  <c r="S1213" i="20"/>
  <c r="O1213" i="20"/>
  <c r="M1213" i="20"/>
  <c r="Q1213" i="20" s="1"/>
  <c r="K1213" i="20"/>
  <c r="L1213" i="20" s="1"/>
  <c r="N1213" i="20" s="1"/>
  <c r="AB1212" i="20"/>
  <c r="AA1212" i="20"/>
  <c r="V1212" i="20"/>
  <c r="W1212" i="20" s="1"/>
  <c r="X1212" i="20" s="1"/>
  <c r="S1212" i="20"/>
  <c r="M1212" i="20"/>
  <c r="L1212" i="20"/>
  <c r="K1212" i="20"/>
  <c r="AA1211" i="20"/>
  <c r="V1211" i="20"/>
  <c r="W1211" i="20" s="1"/>
  <c r="X1211" i="20" s="1"/>
  <c r="Z1211" i="20" s="1"/>
  <c r="S1211" i="20"/>
  <c r="Q1211" i="20"/>
  <c r="K1211" i="20"/>
  <c r="M1211" i="20" s="1"/>
  <c r="AC1211" i="20" s="1"/>
  <c r="AA1210" i="20"/>
  <c r="X1210" i="20"/>
  <c r="V1210" i="20"/>
  <c r="W1210" i="20" s="1"/>
  <c r="S1210" i="20"/>
  <c r="K1210" i="20"/>
  <c r="M1210" i="20" s="1"/>
  <c r="AA1209" i="20"/>
  <c r="W1209" i="20"/>
  <c r="X1209" i="20" s="1"/>
  <c r="V1209" i="20"/>
  <c r="S1209" i="20"/>
  <c r="K1209" i="20"/>
  <c r="M1209" i="20" s="1"/>
  <c r="AA1208" i="20"/>
  <c r="Z1208" i="20"/>
  <c r="Y1208" i="20"/>
  <c r="V1208" i="20"/>
  <c r="W1208" i="20" s="1"/>
  <c r="X1208" i="20" s="1"/>
  <c r="S1208" i="20"/>
  <c r="M1208" i="20"/>
  <c r="L1208" i="20"/>
  <c r="K1208" i="20"/>
  <c r="AA1207" i="20"/>
  <c r="W1207" i="20"/>
  <c r="X1207" i="20" s="1"/>
  <c r="V1207" i="20"/>
  <c r="S1207" i="20"/>
  <c r="K1207" i="20"/>
  <c r="AA1206" i="20"/>
  <c r="Y1206" i="20"/>
  <c r="V1206" i="20"/>
  <c r="W1206" i="20" s="1"/>
  <c r="X1206" i="20" s="1"/>
  <c r="Z1206" i="20" s="1"/>
  <c r="S1206" i="20"/>
  <c r="M1206" i="20"/>
  <c r="AC1206" i="20" s="1"/>
  <c r="L1206" i="20"/>
  <c r="K1206" i="20"/>
  <c r="AA1205" i="20"/>
  <c r="V1205" i="20"/>
  <c r="W1205" i="20" s="1"/>
  <c r="X1205" i="20" s="1"/>
  <c r="S1205" i="20"/>
  <c r="K1205" i="20"/>
  <c r="AA1204" i="20"/>
  <c r="V1204" i="20"/>
  <c r="W1204" i="20" s="1"/>
  <c r="X1204" i="20" s="1"/>
  <c r="S1204" i="20"/>
  <c r="K1204" i="20"/>
  <c r="AC1203" i="20"/>
  <c r="AA1203" i="20"/>
  <c r="Y1203" i="20"/>
  <c r="X1203" i="20"/>
  <c r="Z1203" i="20" s="1"/>
  <c r="V1203" i="20"/>
  <c r="W1203" i="20" s="1"/>
  <c r="S1203" i="20"/>
  <c r="Q1203" i="20"/>
  <c r="M1203" i="20"/>
  <c r="K1203" i="20"/>
  <c r="L1203" i="20" s="1"/>
  <c r="AA1202" i="20"/>
  <c r="Z1202" i="20"/>
  <c r="Y1202" i="20"/>
  <c r="X1202" i="20"/>
  <c r="W1202" i="20"/>
  <c r="V1202" i="20"/>
  <c r="S1202" i="20"/>
  <c r="Q1202" i="20"/>
  <c r="M1202" i="20"/>
  <c r="AC1202" i="20" s="1"/>
  <c r="L1202" i="20"/>
  <c r="K1202" i="20"/>
  <c r="AA1201" i="20"/>
  <c r="X1201" i="20"/>
  <c r="W1201" i="20"/>
  <c r="V1201" i="20"/>
  <c r="U1201" i="20"/>
  <c r="S1201" i="20"/>
  <c r="Q1201" i="20"/>
  <c r="O1201" i="20"/>
  <c r="K1201" i="20"/>
  <c r="M1201" i="20" s="1"/>
  <c r="AC1201" i="20" s="1"/>
  <c r="J1201" i="20"/>
  <c r="AC1200" i="20"/>
  <c r="AA1200" i="20"/>
  <c r="W1200" i="20"/>
  <c r="X1200" i="20" s="1"/>
  <c r="Y1200" i="20" s="1"/>
  <c r="V1200" i="20"/>
  <c r="U1200" i="20"/>
  <c r="S1200" i="20"/>
  <c r="Q1200" i="20"/>
  <c r="O1200" i="20"/>
  <c r="M1200" i="20"/>
  <c r="K1200" i="20"/>
  <c r="L1200" i="20" s="1"/>
  <c r="J1200" i="20"/>
  <c r="AA1199" i="20"/>
  <c r="V1199" i="20"/>
  <c r="W1199" i="20" s="1"/>
  <c r="X1199" i="20" s="1"/>
  <c r="Z1199" i="20" s="1"/>
  <c r="U1199" i="20"/>
  <c r="S1199" i="20"/>
  <c r="O1199" i="20"/>
  <c r="K1199" i="20"/>
  <c r="J1199" i="20"/>
  <c r="AA1198" i="20"/>
  <c r="Y1198" i="20"/>
  <c r="W1198" i="20"/>
  <c r="X1198" i="20" s="1"/>
  <c r="Z1198" i="20" s="1"/>
  <c r="V1198" i="20"/>
  <c r="U1198" i="20"/>
  <c r="S1198" i="20"/>
  <c r="O1198" i="20"/>
  <c r="L1198" i="20"/>
  <c r="K1198" i="20"/>
  <c r="M1198" i="20" s="1"/>
  <c r="J1198" i="20"/>
  <c r="AA1197" i="20"/>
  <c r="Z1197" i="20"/>
  <c r="X1197" i="20"/>
  <c r="Y1197" i="20" s="1"/>
  <c r="V1197" i="20"/>
  <c r="W1197" i="20" s="1"/>
  <c r="U1197" i="20"/>
  <c r="S1197" i="20"/>
  <c r="O1197" i="20"/>
  <c r="K1197" i="20"/>
  <c r="L1197" i="20" s="1"/>
  <c r="J1197" i="20"/>
  <c r="AA1196" i="20"/>
  <c r="V1196" i="20"/>
  <c r="W1196" i="20" s="1"/>
  <c r="X1196" i="20" s="1"/>
  <c r="U1196" i="20"/>
  <c r="S1196" i="20"/>
  <c r="O1196" i="20"/>
  <c r="K1196" i="20"/>
  <c r="J1196" i="20"/>
  <c r="AC1195" i="20"/>
  <c r="AB1195" i="20"/>
  <c r="AA1195" i="20"/>
  <c r="Z1195" i="20"/>
  <c r="V1195" i="20"/>
  <c r="W1195" i="20" s="1"/>
  <c r="X1195" i="20" s="1"/>
  <c r="Y1195" i="20" s="1"/>
  <c r="U1195" i="20"/>
  <c r="S1195" i="20"/>
  <c r="Q1195" i="20"/>
  <c r="P1195" i="20"/>
  <c r="O1195" i="20"/>
  <c r="M1195" i="20"/>
  <c r="L1195" i="20"/>
  <c r="N1195" i="20" s="1"/>
  <c r="K1195" i="20"/>
  <c r="J1195" i="20"/>
  <c r="AB1194" i="20"/>
  <c r="AA1194" i="20"/>
  <c r="X1194" i="20"/>
  <c r="Z1194" i="20" s="1"/>
  <c r="W1194" i="20"/>
  <c r="V1194" i="20"/>
  <c r="U1194" i="20"/>
  <c r="S1194" i="20"/>
  <c r="O1194" i="20"/>
  <c r="L1194" i="20"/>
  <c r="K1194" i="20"/>
  <c r="M1194" i="20" s="1"/>
  <c r="J1194" i="20"/>
  <c r="AA1193" i="20"/>
  <c r="V1193" i="20"/>
  <c r="W1193" i="20" s="1"/>
  <c r="X1193" i="20" s="1"/>
  <c r="U1193" i="20"/>
  <c r="S1193" i="20"/>
  <c r="O1193" i="20"/>
  <c r="L1193" i="20"/>
  <c r="K1193" i="20"/>
  <c r="M1193" i="20" s="1"/>
  <c r="J1193" i="20"/>
  <c r="AC1192" i="20"/>
  <c r="AB1192" i="20"/>
  <c r="AA1192" i="20"/>
  <c r="Y1192" i="20"/>
  <c r="V1192" i="20"/>
  <c r="W1192" i="20" s="1"/>
  <c r="X1192" i="20" s="1"/>
  <c r="Z1192" i="20" s="1"/>
  <c r="U1192" i="20"/>
  <c r="S1192" i="20"/>
  <c r="Q1192" i="20"/>
  <c r="P1192" i="20"/>
  <c r="O1192" i="20"/>
  <c r="N1192" i="20"/>
  <c r="M1192" i="20"/>
  <c r="K1192" i="20"/>
  <c r="L1192" i="20" s="1"/>
  <c r="J1192" i="20"/>
  <c r="AA1191" i="20"/>
  <c r="V1191" i="20"/>
  <c r="W1191" i="20" s="1"/>
  <c r="X1191" i="20" s="1"/>
  <c r="U1191" i="20"/>
  <c r="S1191" i="20"/>
  <c r="O1191" i="20"/>
  <c r="M1191" i="20"/>
  <c r="AC1191" i="20" s="1"/>
  <c r="K1191" i="20"/>
  <c r="L1191" i="20" s="1"/>
  <c r="AB1191" i="20" s="1"/>
  <c r="J1191" i="20"/>
  <c r="AC1190" i="20"/>
  <c r="AA1190" i="20"/>
  <c r="W1190" i="20"/>
  <c r="X1190" i="20" s="1"/>
  <c r="V1190" i="20"/>
  <c r="U1190" i="20"/>
  <c r="S1190" i="20"/>
  <c r="Q1190" i="20"/>
  <c r="O1190" i="20"/>
  <c r="K1190" i="20"/>
  <c r="M1190" i="20" s="1"/>
  <c r="J1190" i="20"/>
  <c r="AA1189" i="20"/>
  <c r="W1189" i="20"/>
  <c r="X1189" i="20" s="1"/>
  <c r="V1189" i="20"/>
  <c r="U1189" i="20"/>
  <c r="S1189" i="20"/>
  <c r="O1189" i="20"/>
  <c r="K1189" i="20"/>
  <c r="J1189" i="20"/>
  <c r="AC1188" i="20"/>
  <c r="AB1188" i="20"/>
  <c r="AA1188" i="20"/>
  <c r="V1188" i="20"/>
  <c r="W1188" i="20" s="1"/>
  <c r="X1188" i="20" s="1"/>
  <c r="U1188" i="20"/>
  <c r="S1188" i="20"/>
  <c r="O1188" i="20"/>
  <c r="N1188" i="20"/>
  <c r="M1188" i="20"/>
  <c r="Q1188" i="20" s="1"/>
  <c r="K1188" i="20"/>
  <c r="L1188" i="20" s="1"/>
  <c r="P1188" i="20" s="1"/>
  <c r="J1188" i="20"/>
  <c r="AA1187" i="20"/>
  <c r="W1187" i="20"/>
  <c r="X1187" i="20" s="1"/>
  <c r="V1187" i="20"/>
  <c r="U1187" i="20"/>
  <c r="S1187" i="20"/>
  <c r="O1187" i="20"/>
  <c r="K1187" i="20"/>
  <c r="J1187" i="20"/>
  <c r="AC1186" i="20"/>
  <c r="AB1186" i="20"/>
  <c r="AA1186" i="20"/>
  <c r="V1186" i="20"/>
  <c r="W1186" i="20" s="1"/>
  <c r="X1186" i="20" s="1"/>
  <c r="U1186" i="20"/>
  <c r="S1186" i="20"/>
  <c r="Q1186" i="20"/>
  <c r="P1186" i="20"/>
  <c r="O1186" i="20"/>
  <c r="N1186" i="20"/>
  <c r="M1186" i="20"/>
  <c r="L1186" i="20"/>
  <c r="K1186" i="20"/>
  <c r="J1186" i="20"/>
  <c r="AA1185" i="20"/>
  <c r="V1185" i="20"/>
  <c r="W1185" i="20" s="1"/>
  <c r="X1185" i="20" s="1"/>
  <c r="U1185" i="20"/>
  <c r="S1185" i="20"/>
  <c r="P1185" i="20"/>
  <c r="O1185" i="20"/>
  <c r="M1185" i="20"/>
  <c r="K1185" i="20"/>
  <c r="L1185" i="20" s="1"/>
  <c r="AB1185" i="20" s="1"/>
  <c r="J1185" i="20"/>
  <c r="AA1184" i="20"/>
  <c r="Z1184" i="20"/>
  <c r="X1184" i="20"/>
  <c r="Y1184" i="20" s="1"/>
  <c r="W1184" i="20"/>
  <c r="V1184" i="20"/>
  <c r="U1184" i="20"/>
  <c r="S1184" i="20"/>
  <c r="Q1184" i="20"/>
  <c r="O1184" i="20"/>
  <c r="K1184" i="20"/>
  <c r="M1184" i="20" s="1"/>
  <c r="AC1184" i="20" s="1"/>
  <c r="J1184" i="20"/>
  <c r="AC1183" i="20"/>
  <c r="AA1183" i="20"/>
  <c r="W1183" i="20"/>
  <c r="X1183" i="20" s="1"/>
  <c r="V1183" i="20"/>
  <c r="U1183" i="20"/>
  <c r="S1183" i="20"/>
  <c r="O1183" i="20"/>
  <c r="M1183" i="20"/>
  <c r="Q1183" i="20" s="1"/>
  <c r="L1183" i="20"/>
  <c r="K1183" i="20"/>
  <c r="J1183" i="20"/>
  <c r="AC1182" i="20"/>
  <c r="AB1182" i="20"/>
  <c r="AA1182" i="20"/>
  <c r="X1182" i="20"/>
  <c r="Z1182" i="20" s="1"/>
  <c r="W1182" i="20"/>
  <c r="V1182" i="20"/>
  <c r="U1182" i="20"/>
  <c r="S1182" i="20"/>
  <c r="O1182" i="20"/>
  <c r="M1182" i="20"/>
  <c r="Q1182" i="20" s="1"/>
  <c r="L1182" i="20"/>
  <c r="K1182" i="20"/>
  <c r="J1182" i="20"/>
  <c r="AA1181" i="20"/>
  <c r="Z1181" i="20"/>
  <c r="W1181" i="20"/>
  <c r="X1181" i="20" s="1"/>
  <c r="Y1181" i="20" s="1"/>
  <c r="V1181" i="20"/>
  <c r="U1181" i="20"/>
  <c r="S1181" i="20"/>
  <c r="O1181" i="20"/>
  <c r="K1181" i="20"/>
  <c r="J1181" i="20"/>
  <c r="AA1180" i="20"/>
  <c r="W1180" i="20"/>
  <c r="X1180" i="20" s="1"/>
  <c r="Z1180" i="20" s="1"/>
  <c r="V1180" i="20"/>
  <c r="U1180" i="20"/>
  <c r="S1180" i="20"/>
  <c r="O1180" i="20"/>
  <c r="M1180" i="20"/>
  <c r="L1180" i="20"/>
  <c r="K1180" i="20"/>
  <c r="J1180" i="20"/>
  <c r="AA1179" i="20"/>
  <c r="Y1179" i="20"/>
  <c r="V1179" i="20"/>
  <c r="W1179" i="20" s="1"/>
  <c r="X1179" i="20" s="1"/>
  <c r="Z1179" i="20" s="1"/>
  <c r="U1179" i="20"/>
  <c r="S1179" i="20"/>
  <c r="O1179" i="20"/>
  <c r="K1179" i="20"/>
  <c r="M1179" i="20" s="1"/>
  <c r="J1179" i="20"/>
  <c r="AA1178" i="20"/>
  <c r="Z1178" i="20"/>
  <c r="V1178" i="20"/>
  <c r="W1178" i="20" s="1"/>
  <c r="X1178" i="20" s="1"/>
  <c r="Y1178" i="20" s="1"/>
  <c r="U1178" i="20"/>
  <c r="S1178" i="20"/>
  <c r="O1178" i="20"/>
  <c r="K1178" i="20"/>
  <c r="J1178" i="20"/>
  <c r="AC1177" i="20"/>
  <c r="AB1177" i="20"/>
  <c r="AA1177" i="20"/>
  <c r="V1177" i="20"/>
  <c r="W1177" i="20" s="1"/>
  <c r="X1177" i="20" s="1"/>
  <c r="U1177" i="20"/>
  <c r="S1177" i="20"/>
  <c r="Q1177" i="20"/>
  <c r="P1177" i="20"/>
  <c r="O1177" i="20"/>
  <c r="M1177" i="20"/>
  <c r="N1177" i="20" s="1"/>
  <c r="L1177" i="20"/>
  <c r="K1177" i="20"/>
  <c r="J1177" i="20"/>
  <c r="AA1176" i="20"/>
  <c r="Z1176" i="20"/>
  <c r="V1176" i="20"/>
  <c r="W1176" i="20" s="1"/>
  <c r="X1176" i="20" s="1"/>
  <c r="Y1176" i="20" s="1"/>
  <c r="U1176" i="20"/>
  <c r="S1176" i="20"/>
  <c r="O1176" i="20"/>
  <c r="K1176" i="20"/>
  <c r="J1176" i="20"/>
  <c r="AC1175" i="20"/>
  <c r="AB1175" i="20"/>
  <c r="AA1175" i="20"/>
  <c r="Z1175" i="20"/>
  <c r="V1175" i="20"/>
  <c r="W1175" i="20" s="1"/>
  <c r="X1175" i="20" s="1"/>
  <c r="Y1175" i="20" s="1"/>
  <c r="U1175" i="20"/>
  <c r="S1175" i="20"/>
  <c r="Q1175" i="20"/>
  <c r="P1175" i="20"/>
  <c r="O1175" i="20"/>
  <c r="N1175" i="20"/>
  <c r="M1175" i="20"/>
  <c r="L1175" i="20"/>
  <c r="K1175" i="20"/>
  <c r="J1175" i="20"/>
  <c r="AA1174" i="20"/>
  <c r="V1174" i="20"/>
  <c r="W1174" i="20" s="1"/>
  <c r="X1174" i="20" s="1"/>
  <c r="U1174" i="20"/>
  <c r="S1174" i="20"/>
  <c r="P1174" i="20"/>
  <c r="O1174" i="20"/>
  <c r="M1174" i="20"/>
  <c r="L1174" i="20"/>
  <c r="K1174" i="20"/>
  <c r="J1174" i="20"/>
  <c r="AA1173" i="20"/>
  <c r="V1173" i="20"/>
  <c r="W1173" i="20" s="1"/>
  <c r="X1173" i="20" s="1"/>
  <c r="U1173" i="20"/>
  <c r="S1173" i="20"/>
  <c r="O1173" i="20"/>
  <c r="K1173" i="20"/>
  <c r="J1173" i="20"/>
  <c r="AA1172" i="20"/>
  <c r="V1172" i="20"/>
  <c r="W1172" i="20" s="1"/>
  <c r="X1172" i="20" s="1"/>
  <c r="U1172" i="20"/>
  <c r="S1172" i="20"/>
  <c r="O1172" i="20"/>
  <c r="N1172" i="20"/>
  <c r="L1172" i="20"/>
  <c r="K1172" i="20"/>
  <c r="M1172" i="20" s="1"/>
  <c r="J1172" i="20"/>
  <c r="AA1171" i="20"/>
  <c r="X1171" i="20"/>
  <c r="V1171" i="20"/>
  <c r="W1171" i="20" s="1"/>
  <c r="U1171" i="20"/>
  <c r="S1171" i="20"/>
  <c r="O1171" i="20"/>
  <c r="K1171" i="20"/>
  <c r="M1171" i="20" s="1"/>
  <c r="J1171" i="20"/>
  <c r="AA1170" i="20"/>
  <c r="X1170" i="20"/>
  <c r="V1170" i="20"/>
  <c r="W1170" i="20" s="1"/>
  <c r="U1170" i="20"/>
  <c r="S1170" i="20"/>
  <c r="O1170" i="20"/>
  <c r="L1170" i="20"/>
  <c r="K1170" i="20"/>
  <c r="M1170" i="20" s="1"/>
  <c r="J1170" i="20"/>
  <c r="AA1169" i="20"/>
  <c r="X1169" i="20"/>
  <c r="W1169" i="20"/>
  <c r="V1169" i="20"/>
  <c r="U1169" i="20"/>
  <c r="S1169" i="20"/>
  <c r="P1169" i="20"/>
  <c r="O1169" i="20"/>
  <c r="N1169" i="20"/>
  <c r="M1169" i="20"/>
  <c r="K1169" i="20"/>
  <c r="L1169" i="20" s="1"/>
  <c r="AB1169" i="20" s="1"/>
  <c r="J1169" i="20"/>
  <c r="AC1168" i="20"/>
  <c r="AA1168" i="20"/>
  <c r="W1168" i="20"/>
  <c r="X1168" i="20" s="1"/>
  <c r="V1168" i="20"/>
  <c r="U1168" i="20"/>
  <c r="S1168" i="20"/>
  <c r="Q1168" i="20"/>
  <c r="O1168" i="20"/>
  <c r="M1168" i="20"/>
  <c r="K1168" i="20"/>
  <c r="L1168" i="20" s="1"/>
  <c r="J1168" i="20"/>
  <c r="AA1167" i="20"/>
  <c r="W1167" i="20"/>
  <c r="X1167" i="20" s="1"/>
  <c r="Z1167" i="20" s="1"/>
  <c r="V1167" i="20"/>
  <c r="U1167" i="20"/>
  <c r="S1167" i="20"/>
  <c r="Q1167" i="20"/>
  <c r="O1167" i="20"/>
  <c r="K1167" i="20"/>
  <c r="M1167" i="20" s="1"/>
  <c r="AC1167" i="20" s="1"/>
  <c r="J1167" i="20"/>
  <c r="AA1166" i="20"/>
  <c r="Y1166" i="20"/>
  <c r="X1166" i="20"/>
  <c r="Z1166" i="20" s="1"/>
  <c r="W1166" i="20"/>
  <c r="V1166" i="20"/>
  <c r="U1166" i="20"/>
  <c r="S1166" i="20"/>
  <c r="O1166" i="20"/>
  <c r="K1166" i="20"/>
  <c r="J1166" i="20"/>
  <c r="AC1165" i="20"/>
  <c r="AA1165" i="20"/>
  <c r="V1165" i="20"/>
  <c r="W1165" i="20" s="1"/>
  <c r="X1165" i="20" s="1"/>
  <c r="U1165" i="20"/>
  <c r="S1165" i="20"/>
  <c r="O1165" i="20"/>
  <c r="M1165" i="20"/>
  <c r="Q1165" i="20" s="1"/>
  <c r="L1165" i="20"/>
  <c r="K1165" i="20"/>
  <c r="J1165" i="20"/>
  <c r="AA1164" i="20"/>
  <c r="W1164" i="20"/>
  <c r="X1164" i="20" s="1"/>
  <c r="V1164" i="20"/>
  <c r="U1164" i="20"/>
  <c r="S1164" i="20"/>
  <c r="O1164" i="20"/>
  <c r="K1164" i="20"/>
  <c r="M1164" i="20" s="1"/>
  <c r="J1164" i="20"/>
  <c r="AC1163" i="20"/>
  <c r="AB1163" i="20"/>
  <c r="AA1163" i="20"/>
  <c r="Z1163" i="20"/>
  <c r="V1163" i="20"/>
  <c r="W1163" i="20" s="1"/>
  <c r="X1163" i="20" s="1"/>
  <c r="Y1163" i="20" s="1"/>
  <c r="U1163" i="20"/>
  <c r="S1163" i="20"/>
  <c r="Q1163" i="20"/>
  <c r="P1163" i="20"/>
  <c r="O1163" i="20"/>
  <c r="M1163" i="20"/>
  <c r="L1163" i="20"/>
  <c r="N1163" i="20" s="1"/>
  <c r="K1163" i="20"/>
  <c r="J1163" i="20"/>
  <c r="AA1162" i="20"/>
  <c r="V1162" i="20"/>
  <c r="W1162" i="20" s="1"/>
  <c r="X1162" i="20" s="1"/>
  <c r="U1162" i="20"/>
  <c r="S1162" i="20"/>
  <c r="O1162" i="20"/>
  <c r="K1162" i="20"/>
  <c r="M1162" i="20" s="1"/>
  <c r="J1162" i="20"/>
  <c r="AC1161" i="20"/>
  <c r="AA1161" i="20"/>
  <c r="V1161" i="20"/>
  <c r="W1161" i="20" s="1"/>
  <c r="X1161" i="20" s="1"/>
  <c r="U1161" i="20"/>
  <c r="S1161" i="20"/>
  <c r="O1161" i="20"/>
  <c r="K1161" i="20"/>
  <c r="M1161" i="20" s="1"/>
  <c r="Q1161" i="20" s="1"/>
  <c r="J1161" i="20"/>
  <c r="AA1160" i="20"/>
  <c r="Z1160" i="20"/>
  <c r="W1160" i="20"/>
  <c r="X1160" i="20" s="1"/>
  <c r="Y1160" i="20" s="1"/>
  <c r="V1160" i="20"/>
  <c r="U1160" i="20"/>
  <c r="S1160" i="20"/>
  <c r="O1160" i="20"/>
  <c r="L1160" i="20"/>
  <c r="K1160" i="20"/>
  <c r="M1160" i="20" s="1"/>
  <c r="J1160" i="20"/>
  <c r="AA1159" i="20"/>
  <c r="V1159" i="20"/>
  <c r="W1159" i="20" s="1"/>
  <c r="X1159" i="20" s="1"/>
  <c r="U1159" i="20"/>
  <c r="S1159" i="20"/>
  <c r="O1159" i="20"/>
  <c r="K1159" i="20"/>
  <c r="J1159" i="20"/>
  <c r="AA1158" i="20"/>
  <c r="W1158" i="20"/>
  <c r="X1158" i="20" s="1"/>
  <c r="V1158" i="20"/>
  <c r="U1158" i="20"/>
  <c r="S1158" i="20"/>
  <c r="O1158" i="20"/>
  <c r="K1158" i="20"/>
  <c r="J1158" i="20"/>
  <c r="AA1157" i="20"/>
  <c r="V1157" i="20"/>
  <c r="W1157" i="20" s="1"/>
  <c r="X1157" i="20" s="1"/>
  <c r="U1157" i="20"/>
  <c r="S1157" i="20"/>
  <c r="O1157" i="20"/>
  <c r="L1157" i="20"/>
  <c r="K1157" i="20"/>
  <c r="M1157" i="20" s="1"/>
  <c r="AC1157" i="20" s="1"/>
  <c r="J1157" i="20"/>
  <c r="AC1156" i="20"/>
  <c r="AB1156" i="20"/>
  <c r="AA1156" i="20"/>
  <c r="W1156" i="20"/>
  <c r="X1156" i="20" s="1"/>
  <c r="V1156" i="20"/>
  <c r="U1156" i="20"/>
  <c r="S1156" i="20"/>
  <c r="Q1156" i="20"/>
  <c r="O1156" i="20"/>
  <c r="M1156" i="20"/>
  <c r="K1156" i="20"/>
  <c r="L1156" i="20" s="1"/>
  <c r="J1156" i="20"/>
  <c r="AA1155" i="20"/>
  <c r="V1155" i="20"/>
  <c r="W1155" i="20" s="1"/>
  <c r="X1155" i="20" s="1"/>
  <c r="U1155" i="20"/>
  <c r="S1155" i="20"/>
  <c r="O1155" i="20"/>
  <c r="K1155" i="20"/>
  <c r="L1155" i="20" s="1"/>
  <c r="J1155" i="20"/>
  <c r="AA1154" i="20"/>
  <c r="X1154" i="20"/>
  <c r="V1154" i="20"/>
  <c r="W1154" i="20" s="1"/>
  <c r="U1154" i="20"/>
  <c r="S1154" i="20"/>
  <c r="O1154" i="20"/>
  <c r="K1154" i="20"/>
  <c r="J1154" i="20"/>
  <c r="AA1153" i="20"/>
  <c r="V1153" i="20"/>
  <c r="W1153" i="20" s="1"/>
  <c r="X1153" i="20" s="1"/>
  <c r="U1153" i="20"/>
  <c r="S1153" i="20"/>
  <c r="O1153" i="20"/>
  <c r="N1153" i="20"/>
  <c r="M1153" i="20"/>
  <c r="K1153" i="20"/>
  <c r="L1153" i="20" s="1"/>
  <c r="AB1153" i="20" s="1"/>
  <c r="J1153" i="20"/>
  <c r="AA1152" i="20"/>
  <c r="W1152" i="20"/>
  <c r="X1152" i="20" s="1"/>
  <c r="V1152" i="20"/>
  <c r="U1152" i="20"/>
  <c r="S1152" i="20"/>
  <c r="O1152" i="20"/>
  <c r="M1152" i="20"/>
  <c r="K1152" i="20"/>
  <c r="L1152" i="20" s="1"/>
  <c r="J1152" i="20"/>
  <c r="AA1151" i="20"/>
  <c r="V1151" i="20"/>
  <c r="W1151" i="20" s="1"/>
  <c r="X1151" i="20" s="1"/>
  <c r="U1151" i="20"/>
  <c r="S1151" i="20"/>
  <c r="O1151" i="20"/>
  <c r="K1151" i="20"/>
  <c r="M1151" i="20" s="1"/>
  <c r="AC1151" i="20" s="1"/>
  <c r="J1151" i="20"/>
  <c r="AA1150" i="20"/>
  <c r="V1150" i="20"/>
  <c r="W1150" i="20" s="1"/>
  <c r="X1150" i="20" s="1"/>
  <c r="U1150" i="20"/>
  <c r="S1150" i="20"/>
  <c r="Q1150" i="20"/>
  <c r="O1150" i="20"/>
  <c r="K1150" i="20"/>
  <c r="M1150" i="20" s="1"/>
  <c r="AC1150" i="20" s="1"/>
  <c r="J1150" i="20"/>
  <c r="AC1149" i="20"/>
  <c r="AB1149" i="20"/>
  <c r="AA1149" i="20"/>
  <c r="Z1149" i="20"/>
  <c r="W1149" i="20"/>
  <c r="X1149" i="20" s="1"/>
  <c r="Y1149" i="20" s="1"/>
  <c r="V1149" i="20"/>
  <c r="U1149" i="20"/>
  <c r="S1149" i="20"/>
  <c r="Q1149" i="20"/>
  <c r="P1149" i="20"/>
  <c r="O1149" i="20"/>
  <c r="N1149" i="20"/>
  <c r="M1149" i="20"/>
  <c r="L1149" i="20"/>
  <c r="K1149" i="20"/>
  <c r="J1149" i="20"/>
  <c r="AA1148" i="20"/>
  <c r="W1148" i="20"/>
  <c r="X1148" i="20" s="1"/>
  <c r="V1148" i="20"/>
  <c r="U1148" i="20"/>
  <c r="S1148" i="20"/>
  <c r="P1148" i="20"/>
  <c r="O1148" i="20"/>
  <c r="N1148" i="20"/>
  <c r="M1148" i="20"/>
  <c r="AC1148" i="20" s="1"/>
  <c r="L1148" i="20"/>
  <c r="AB1148" i="20" s="1"/>
  <c r="K1148" i="20"/>
  <c r="J1148" i="20"/>
  <c r="AC1147" i="20"/>
  <c r="AA1147" i="20"/>
  <c r="W1147" i="20"/>
  <c r="X1147" i="20" s="1"/>
  <c r="V1147" i="20"/>
  <c r="U1147" i="20"/>
  <c r="S1147" i="20"/>
  <c r="O1147" i="20"/>
  <c r="M1147" i="20"/>
  <c r="Q1147" i="20" s="1"/>
  <c r="L1147" i="20"/>
  <c r="K1147" i="20"/>
  <c r="J1147" i="20"/>
  <c r="AC1146" i="20"/>
  <c r="AB1146" i="20"/>
  <c r="AA1146" i="20"/>
  <c r="V1146" i="20"/>
  <c r="W1146" i="20" s="1"/>
  <c r="X1146" i="20" s="1"/>
  <c r="Y1146" i="20" s="1"/>
  <c r="U1146" i="20"/>
  <c r="S1146" i="20"/>
  <c r="P1146" i="20"/>
  <c r="O1146" i="20"/>
  <c r="M1146" i="20"/>
  <c r="Q1146" i="20" s="1"/>
  <c r="L1146" i="20"/>
  <c r="K1146" i="20"/>
  <c r="J1146" i="20"/>
  <c r="AA1145" i="20"/>
  <c r="Y1145" i="20"/>
  <c r="V1145" i="20"/>
  <c r="W1145" i="20" s="1"/>
  <c r="X1145" i="20" s="1"/>
  <c r="Z1145" i="20" s="1"/>
  <c r="U1145" i="20"/>
  <c r="S1145" i="20"/>
  <c r="O1145" i="20"/>
  <c r="K1145" i="20"/>
  <c r="J1145" i="20"/>
  <c r="AC1144" i="20"/>
  <c r="AA1144" i="20"/>
  <c r="W1144" i="20"/>
  <c r="X1144" i="20" s="1"/>
  <c r="V1144" i="20"/>
  <c r="U1144" i="20"/>
  <c r="S1144" i="20"/>
  <c r="O1144" i="20"/>
  <c r="K1144" i="20"/>
  <c r="M1144" i="20" s="1"/>
  <c r="Q1144" i="20" s="1"/>
  <c r="J1144" i="20"/>
  <c r="AA1143" i="20"/>
  <c r="V1143" i="20"/>
  <c r="W1143" i="20" s="1"/>
  <c r="X1143" i="20" s="1"/>
  <c r="U1143" i="20"/>
  <c r="S1143" i="20"/>
  <c r="O1143" i="20"/>
  <c r="M1143" i="20"/>
  <c r="K1143" i="20"/>
  <c r="L1143" i="20" s="1"/>
  <c r="J1143" i="20"/>
  <c r="AC1142" i="20"/>
  <c r="AB1142" i="20"/>
  <c r="AA1142" i="20"/>
  <c r="X1142" i="20"/>
  <c r="V1142" i="20"/>
  <c r="W1142" i="20" s="1"/>
  <c r="U1142" i="20"/>
  <c r="S1142" i="20"/>
  <c r="Q1142" i="20"/>
  <c r="P1142" i="20"/>
  <c r="O1142" i="20"/>
  <c r="M1142" i="20"/>
  <c r="K1142" i="20"/>
  <c r="L1142" i="20" s="1"/>
  <c r="N1142" i="20" s="1"/>
  <c r="J1142" i="20"/>
  <c r="AA1141" i="20"/>
  <c r="V1141" i="20"/>
  <c r="W1141" i="20" s="1"/>
  <c r="X1141" i="20" s="1"/>
  <c r="Z1141" i="20" s="1"/>
  <c r="U1141" i="20"/>
  <c r="S1141" i="20"/>
  <c r="O1141" i="20"/>
  <c r="K1141" i="20"/>
  <c r="J1141" i="20"/>
  <c r="AC1140" i="20"/>
  <c r="AB1140" i="20"/>
  <c r="AA1140" i="20"/>
  <c r="W1140" i="20"/>
  <c r="X1140" i="20" s="1"/>
  <c r="V1140" i="20"/>
  <c r="U1140" i="20"/>
  <c r="S1140" i="20"/>
  <c r="O1140" i="20"/>
  <c r="M1140" i="20"/>
  <c r="Q1140" i="20" s="1"/>
  <c r="L1140" i="20"/>
  <c r="K1140" i="20"/>
  <c r="J1140" i="20"/>
  <c r="AA1139" i="20"/>
  <c r="V1139" i="20"/>
  <c r="W1139" i="20" s="1"/>
  <c r="X1139" i="20" s="1"/>
  <c r="U1139" i="20"/>
  <c r="S1139" i="20"/>
  <c r="P1139" i="20"/>
  <c r="O1139" i="20"/>
  <c r="L1139" i="20"/>
  <c r="AB1139" i="20" s="1"/>
  <c r="K1139" i="20"/>
  <c r="M1139" i="20" s="1"/>
  <c r="J1139" i="20"/>
  <c r="AA1138" i="20"/>
  <c r="X1138" i="20"/>
  <c r="V1138" i="20"/>
  <c r="W1138" i="20" s="1"/>
  <c r="U1138" i="20"/>
  <c r="S1138" i="20"/>
  <c r="O1138" i="20"/>
  <c r="K1138" i="20"/>
  <c r="M1138" i="20" s="1"/>
  <c r="J1138" i="20"/>
  <c r="AA1137" i="20"/>
  <c r="Y1137" i="20"/>
  <c r="W1137" i="20"/>
  <c r="X1137" i="20" s="1"/>
  <c r="Z1137" i="20" s="1"/>
  <c r="V1137" i="20"/>
  <c r="U1137" i="20"/>
  <c r="S1137" i="20"/>
  <c r="O1137" i="20"/>
  <c r="K1137" i="20"/>
  <c r="J1137" i="20"/>
  <c r="AC1136" i="20"/>
  <c r="AB1136" i="20"/>
  <c r="AA1136" i="20"/>
  <c r="V1136" i="20"/>
  <c r="W1136" i="20" s="1"/>
  <c r="X1136" i="20" s="1"/>
  <c r="U1136" i="20"/>
  <c r="S1136" i="20"/>
  <c r="Q1136" i="20"/>
  <c r="P1136" i="20"/>
  <c r="O1136" i="20"/>
  <c r="N1136" i="20"/>
  <c r="M1136" i="20"/>
  <c r="K1136" i="20"/>
  <c r="L1136" i="20" s="1"/>
  <c r="J1136" i="20"/>
  <c r="AA1135" i="20"/>
  <c r="X1135" i="20"/>
  <c r="V1135" i="20"/>
  <c r="W1135" i="20" s="1"/>
  <c r="U1135" i="20"/>
  <c r="S1135" i="20"/>
  <c r="O1135" i="20"/>
  <c r="M1135" i="20"/>
  <c r="AC1135" i="20" s="1"/>
  <c r="K1135" i="20"/>
  <c r="L1135" i="20" s="1"/>
  <c r="P1135" i="20" s="1"/>
  <c r="J1135" i="20"/>
  <c r="AA1134" i="20"/>
  <c r="W1134" i="20"/>
  <c r="X1134" i="20" s="1"/>
  <c r="V1134" i="20"/>
  <c r="U1134" i="20"/>
  <c r="S1134" i="20"/>
  <c r="Q1134" i="20"/>
  <c r="O1134" i="20"/>
  <c r="K1134" i="20"/>
  <c r="M1134" i="20" s="1"/>
  <c r="AC1134" i="20" s="1"/>
  <c r="J1134" i="20"/>
  <c r="AC1133" i="20"/>
  <c r="AB1133" i="20"/>
  <c r="AA1133" i="20"/>
  <c r="W1133" i="20"/>
  <c r="X1133" i="20" s="1"/>
  <c r="V1133" i="20"/>
  <c r="U1133" i="20"/>
  <c r="S1133" i="20"/>
  <c r="O1133" i="20"/>
  <c r="M1133" i="20"/>
  <c r="Q1133" i="20" s="1"/>
  <c r="L1133" i="20"/>
  <c r="K1133" i="20"/>
  <c r="J1133" i="20"/>
  <c r="AA1132" i="20"/>
  <c r="X1132" i="20"/>
  <c r="V1132" i="20"/>
  <c r="W1132" i="20" s="1"/>
  <c r="U1132" i="20"/>
  <c r="S1132" i="20"/>
  <c r="O1132" i="20"/>
  <c r="K1132" i="20"/>
  <c r="J1132" i="20"/>
  <c r="AC1131" i="20"/>
  <c r="AB1131" i="20"/>
  <c r="AA1131" i="20"/>
  <c r="Z1131" i="20"/>
  <c r="X1131" i="20"/>
  <c r="Y1131" i="20" s="1"/>
  <c r="V1131" i="20"/>
  <c r="W1131" i="20" s="1"/>
  <c r="U1131" i="20"/>
  <c r="S1131" i="20"/>
  <c r="O1131" i="20"/>
  <c r="M1131" i="20"/>
  <c r="Q1131" i="20" s="1"/>
  <c r="L1131" i="20"/>
  <c r="N1131" i="20" s="1"/>
  <c r="K1131" i="20"/>
  <c r="J1131" i="20"/>
  <c r="AB1130" i="20"/>
  <c r="AA1130" i="20"/>
  <c r="V1130" i="20"/>
  <c r="W1130" i="20" s="1"/>
  <c r="X1130" i="20" s="1"/>
  <c r="U1130" i="20"/>
  <c r="S1130" i="20"/>
  <c r="O1130" i="20"/>
  <c r="M1130" i="20"/>
  <c r="K1130" i="20"/>
  <c r="L1130" i="20" s="1"/>
  <c r="J1130" i="20"/>
  <c r="AC1129" i="20"/>
  <c r="AA1129" i="20"/>
  <c r="V1129" i="20"/>
  <c r="W1129" i="20" s="1"/>
  <c r="X1129" i="20" s="1"/>
  <c r="U1129" i="20"/>
  <c r="S1129" i="20"/>
  <c r="P1129" i="20"/>
  <c r="O1129" i="20"/>
  <c r="N1129" i="20"/>
  <c r="L1129" i="20"/>
  <c r="AB1129" i="20" s="1"/>
  <c r="K1129" i="20"/>
  <c r="M1129" i="20" s="1"/>
  <c r="Q1129" i="20" s="1"/>
  <c r="J1129" i="20"/>
  <c r="AC1128" i="20"/>
  <c r="AB1128" i="20"/>
  <c r="AA1128" i="20"/>
  <c r="W1128" i="20"/>
  <c r="X1128" i="20" s="1"/>
  <c r="V1128" i="20"/>
  <c r="U1128" i="20"/>
  <c r="S1128" i="20"/>
  <c r="Q1128" i="20"/>
  <c r="P1128" i="20"/>
  <c r="O1128" i="20"/>
  <c r="N1128" i="20"/>
  <c r="M1128" i="20"/>
  <c r="L1128" i="20"/>
  <c r="K1128" i="20"/>
  <c r="J1128" i="20"/>
  <c r="AA1127" i="20"/>
  <c r="V1127" i="20"/>
  <c r="W1127" i="20" s="1"/>
  <c r="X1127" i="20" s="1"/>
  <c r="U1127" i="20"/>
  <c r="S1127" i="20"/>
  <c r="Q1127" i="20"/>
  <c r="P1127" i="20"/>
  <c r="O1127" i="20"/>
  <c r="N1127" i="20"/>
  <c r="L1127" i="20"/>
  <c r="AB1127" i="20" s="1"/>
  <c r="K1127" i="20"/>
  <c r="M1127" i="20" s="1"/>
  <c r="AC1127" i="20" s="1"/>
  <c r="J1127" i="20"/>
  <c r="AA1126" i="20"/>
  <c r="V1126" i="20"/>
  <c r="W1126" i="20" s="1"/>
  <c r="X1126" i="20" s="1"/>
  <c r="U1126" i="20"/>
  <c r="S1126" i="20"/>
  <c r="O1126" i="20"/>
  <c r="K1126" i="20"/>
  <c r="J1126" i="20"/>
  <c r="AA1125" i="20"/>
  <c r="W1125" i="20"/>
  <c r="X1125" i="20" s="1"/>
  <c r="V1125" i="20"/>
  <c r="U1125" i="20"/>
  <c r="S1125" i="20"/>
  <c r="O1125" i="20"/>
  <c r="M1125" i="20"/>
  <c r="K1125" i="20"/>
  <c r="L1125" i="20" s="1"/>
  <c r="J1125" i="20"/>
  <c r="AA1124" i="20"/>
  <c r="W1124" i="20"/>
  <c r="X1124" i="20" s="1"/>
  <c r="Z1124" i="20" s="1"/>
  <c r="V1124" i="20"/>
  <c r="U1124" i="20"/>
  <c r="S1124" i="20"/>
  <c r="O1124" i="20"/>
  <c r="K1124" i="20"/>
  <c r="J1124" i="20"/>
  <c r="AA1123" i="20"/>
  <c r="V1123" i="20"/>
  <c r="W1123" i="20" s="1"/>
  <c r="X1123" i="20" s="1"/>
  <c r="U1123" i="20"/>
  <c r="S1123" i="20"/>
  <c r="P1123" i="20"/>
  <c r="O1123" i="20"/>
  <c r="L1123" i="20"/>
  <c r="AB1123" i="20" s="1"/>
  <c r="K1123" i="20"/>
  <c r="M1123" i="20" s="1"/>
  <c r="J1123" i="20"/>
  <c r="AA1122" i="20"/>
  <c r="V1122" i="20"/>
  <c r="W1122" i="20" s="1"/>
  <c r="X1122" i="20" s="1"/>
  <c r="U1122" i="20"/>
  <c r="S1122" i="20"/>
  <c r="O1122" i="20"/>
  <c r="L1122" i="20"/>
  <c r="K1122" i="20"/>
  <c r="M1122" i="20" s="1"/>
  <c r="J1122" i="20"/>
  <c r="AC1121" i="20"/>
  <c r="AB1121" i="20"/>
  <c r="AA1121" i="20"/>
  <c r="X1121" i="20"/>
  <c r="V1121" i="20"/>
  <c r="W1121" i="20" s="1"/>
  <c r="U1121" i="20"/>
  <c r="S1121" i="20"/>
  <c r="P1121" i="20"/>
  <c r="O1121" i="20"/>
  <c r="M1121" i="20"/>
  <c r="Q1121" i="20" s="1"/>
  <c r="K1121" i="20"/>
  <c r="L1121" i="20" s="1"/>
  <c r="J1121" i="20"/>
  <c r="AA1120" i="20"/>
  <c r="V1120" i="20"/>
  <c r="W1120" i="20" s="1"/>
  <c r="X1120" i="20" s="1"/>
  <c r="U1120" i="20"/>
  <c r="S1120" i="20"/>
  <c r="O1120" i="20"/>
  <c r="L1120" i="20"/>
  <c r="K1120" i="20"/>
  <c r="M1120" i="20" s="1"/>
  <c r="J1120" i="20"/>
  <c r="AC1119" i="20"/>
  <c r="AA1119" i="20"/>
  <c r="Y1119" i="20"/>
  <c r="X1119" i="20"/>
  <c r="Z1119" i="20" s="1"/>
  <c r="V1119" i="20"/>
  <c r="W1119" i="20" s="1"/>
  <c r="U1119" i="20"/>
  <c r="S1119" i="20"/>
  <c r="Q1119" i="20"/>
  <c r="O1119" i="20"/>
  <c r="K1119" i="20"/>
  <c r="M1119" i="20" s="1"/>
  <c r="J1119" i="20"/>
  <c r="AB1118" i="20"/>
  <c r="AA1118" i="20"/>
  <c r="V1118" i="20"/>
  <c r="W1118" i="20" s="1"/>
  <c r="X1118" i="20" s="1"/>
  <c r="U1118" i="20"/>
  <c r="S1118" i="20"/>
  <c r="O1118" i="20"/>
  <c r="M1118" i="20"/>
  <c r="K1118" i="20"/>
  <c r="L1118" i="20" s="1"/>
  <c r="J1118" i="20"/>
  <c r="AA1117" i="20"/>
  <c r="W1117" i="20"/>
  <c r="X1117" i="20" s="1"/>
  <c r="V1117" i="20"/>
  <c r="U1117" i="20"/>
  <c r="S1117" i="20"/>
  <c r="O1117" i="20"/>
  <c r="L1117" i="20"/>
  <c r="K1117" i="20"/>
  <c r="M1117" i="20" s="1"/>
  <c r="J1117" i="20"/>
  <c r="AC1116" i="20"/>
  <c r="AB1116" i="20"/>
  <c r="AA1116" i="20"/>
  <c r="W1116" i="20"/>
  <c r="X1116" i="20" s="1"/>
  <c r="Z1116" i="20" s="1"/>
  <c r="V1116" i="20"/>
  <c r="U1116" i="20"/>
  <c r="S1116" i="20"/>
  <c r="O1116" i="20"/>
  <c r="M1116" i="20"/>
  <c r="Q1116" i="20" s="1"/>
  <c r="L1116" i="20"/>
  <c r="P1116" i="20" s="1"/>
  <c r="K1116" i="20"/>
  <c r="J1116" i="20"/>
  <c r="AA1115" i="20"/>
  <c r="V1115" i="20"/>
  <c r="W1115" i="20" s="1"/>
  <c r="X1115" i="20" s="1"/>
  <c r="U1115" i="20"/>
  <c r="S1115" i="20"/>
  <c r="Q1115" i="20"/>
  <c r="O1115" i="20"/>
  <c r="M1115" i="20"/>
  <c r="AC1115" i="20" s="1"/>
  <c r="K1115" i="20"/>
  <c r="L1115" i="20" s="1"/>
  <c r="J1115" i="20"/>
  <c r="AC1114" i="20"/>
  <c r="AB1114" i="20"/>
  <c r="AA1114" i="20"/>
  <c r="Z1114" i="20"/>
  <c r="Y1114" i="20"/>
  <c r="V1114" i="20"/>
  <c r="W1114" i="20" s="1"/>
  <c r="X1114" i="20" s="1"/>
  <c r="U1114" i="20"/>
  <c r="S1114" i="20"/>
  <c r="O1114" i="20"/>
  <c r="M1114" i="20"/>
  <c r="Q1114" i="20" s="1"/>
  <c r="L1114" i="20"/>
  <c r="K1114" i="20"/>
  <c r="J1114" i="20"/>
  <c r="AA1113" i="20"/>
  <c r="V1113" i="20"/>
  <c r="W1113" i="20" s="1"/>
  <c r="X1113" i="20" s="1"/>
  <c r="U1113" i="20"/>
  <c r="S1113" i="20"/>
  <c r="O1113" i="20"/>
  <c r="M1113" i="20"/>
  <c r="L1113" i="20"/>
  <c r="K1113" i="20"/>
  <c r="J1113" i="20"/>
  <c r="AC1112" i="20"/>
  <c r="AA1112" i="20"/>
  <c r="V1112" i="20"/>
  <c r="W1112" i="20" s="1"/>
  <c r="X1112" i="20" s="1"/>
  <c r="U1112" i="20"/>
  <c r="S1112" i="20"/>
  <c r="Q1112" i="20"/>
  <c r="O1112" i="20"/>
  <c r="K1112" i="20"/>
  <c r="M1112" i="20" s="1"/>
  <c r="J1112" i="20"/>
  <c r="AA1111" i="20"/>
  <c r="X1111" i="20"/>
  <c r="V1111" i="20"/>
  <c r="W1111" i="20" s="1"/>
  <c r="U1111" i="20"/>
  <c r="S1111" i="20"/>
  <c r="P1111" i="20"/>
  <c r="O1111" i="20"/>
  <c r="M1111" i="20"/>
  <c r="AC1111" i="20" s="1"/>
  <c r="L1111" i="20"/>
  <c r="K1111" i="20"/>
  <c r="J1111" i="20"/>
  <c r="AA1110" i="20"/>
  <c r="V1110" i="20"/>
  <c r="W1110" i="20" s="1"/>
  <c r="X1110" i="20" s="1"/>
  <c r="Y1110" i="20" s="1"/>
  <c r="U1110" i="20"/>
  <c r="S1110" i="20"/>
  <c r="O1110" i="20"/>
  <c r="K1110" i="20"/>
  <c r="J1110" i="20"/>
  <c r="AC1109" i="20"/>
  <c r="AA1109" i="20"/>
  <c r="V1109" i="20"/>
  <c r="W1109" i="20" s="1"/>
  <c r="X1109" i="20" s="1"/>
  <c r="U1109" i="20"/>
  <c r="S1109" i="20"/>
  <c r="Q1109" i="20"/>
  <c r="O1109" i="20"/>
  <c r="L1109" i="20"/>
  <c r="K1109" i="20"/>
  <c r="M1109" i="20" s="1"/>
  <c r="J1109" i="20"/>
  <c r="AA1108" i="20"/>
  <c r="V1108" i="20"/>
  <c r="W1108" i="20" s="1"/>
  <c r="X1108" i="20" s="1"/>
  <c r="U1108" i="20"/>
  <c r="S1108" i="20"/>
  <c r="Q1108" i="20"/>
  <c r="O1108" i="20"/>
  <c r="K1108" i="20"/>
  <c r="M1108" i="20" s="1"/>
  <c r="AC1108" i="20" s="1"/>
  <c r="J1108" i="20"/>
  <c r="AA1107" i="20"/>
  <c r="X1107" i="20"/>
  <c r="V1107" i="20"/>
  <c r="W1107" i="20" s="1"/>
  <c r="U1107" i="20"/>
  <c r="S1107" i="20"/>
  <c r="O1107" i="20"/>
  <c r="M1107" i="20"/>
  <c r="L1107" i="20"/>
  <c r="K1107" i="20"/>
  <c r="J1107" i="20"/>
  <c r="AA1106" i="20"/>
  <c r="W1106" i="20"/>
  <c r="X1106" i="20" s="1"/>
  <c r="Z1106" i="20" s="1"/>
  <c r="V1106" i="20"/>
  <c r="U1106" i="20"/>
  <c r="S1106" i="20"/>
  <c r="O1106" i="20"/>
  <c r="K1106" i="20"/>
  <c r="M1106" i="20" s="1"/>
  <c r="AC1106" i="20" s="1"/>
  <c r="J1106" i="20"/>
  <c r="AA1105" i="20"/>
  <c r="V1105" i="20"/>
  <c r="W1105" i="20" s="1"/>
  <c r="X1105" i="20" s="1"/>
  <c r="U1105" i="20"/>
  <c r="S1105" i="20"/>
  <c r="Q1105" i="20"/>
  <c r="O1105" i="20"/>
  <c r="K1105" i="20"/>
  <c r="M1105" i="20" s="1"/>
  <c r="AC1105" i="20" s="1"/>
  <c r="J1105" i="20"/>
  <c r="AC1104" i="20"/>
  <c r="AA1104" i="20"/>
  <c r="X1104" i="20"/>
  <c r="V1104" i="20"/>
  <c r="W1104" i="20" s="1"/>
  <c r="U1104" i="20"/>
  <c r="S1104" i="20"/>
  <c r="Q1104" i="20"/>
  <c r="P1104" i="20"/>
  <c r="O1104" i="20"/>
  <c r="N1104" i="20"/>
  <c r="M1104" i="20"/>
  <c r="K1104" i="20"/>
  <c r="L1104" i="20" s="1"/>
  <c r="AB1104" i="20" s="1"/>
  <c r="J1104" i="20"/>
  <c r="AC1103" i="20"/>
  <c r="AA1103" i="20"/>
  <c r="W1103" i="20"/>
  <c r="X1103" i="20" s="1"/>
  <c r="V1103" i="20"/>
  <c r="U1103" i="20"/>
  <c r="S1103" i="20"/>
  <c r="O1103" i="20"/>
  <c r="K1103" i="20"/>
  <c r="M1103" i="20" s="1"/>
  <c r="Q1103" i="20" s="1"/>
  <c r="J1103" i="20"/>
  <c r="AA1102" i="20"/>
  <c r="X1102" i="20"/>
  <c r="W1102" i="20"/>
  <c r="V1102" i="20"/>
  <c r="U1102" i="20"/>
  <c r="S1102" i="20"/>
  <c r="O1102" i="20"/>
  <c r="K1102" i="20"/>
  <c r="J1102" i="20"/>
  <c r="AC1101" i="20"/>
  <c r="AB1101" i="20"/>
  <c r="AA1101" i="20"/>
  <c r="V1101" i="20"/>
  <c r="W1101" i="20" s="1"/>
  <c r="X1101" i="20" s="1"/>
  <c r="U1101" i="20"/>
  <c r="S1101" i="20"/>
  <c r="N1101" i="20"/>
  <c r="O1101" i="20" s="1"/>
  <c r="M1101" i="20"/>
  <c r="Q1101" i="20" s="1"/>
  <c r="K1101" i="20"/>
  <c r="L1101" i="20" s="1"/>
  <c r="AC1100" i="20"/>
  <c r="AA1100" i="20"/>
  <c r="V1100" i="20"/>
  <c r="W1100" i="20" s="1"/>
  <c r="X1100" i="20" s="1"/>
  <c r="U1100" i="20"/>
  <c r="S1100" i="20"/>
  <c r="Q1100" i="20"/>
  <c r="O1100" i="20"/>
  <c r="N1100" i="20"/>
  <c r="M1100" i="20"/>
  <c r="L1100" i="20"/>
  <c r="K1100" i="20"/>
  <c r="AA1099" i="20"/>
  <c r="V1099" i="20"/>
  <c r="W1099" i="20" s="1"/>
  <c r="X1099" i="20" s="1"/>
  <c r="U1099" i="20"/>
  <c r="S1099" i="20"/>
  <c r="Q1099" i="20"/>
  <c r="M1099" i="20"/>
  <c r="AC1099" i="20" s="1"/>
  <c r="L1099" i="20"/>
  <c r="K1099" i="20"/>
  <c r="AA1098" i="20"/>
  <c r="W1098" i="20"/>
  <c r="X1098" i="20" s="1"/>
  <c r="V1098" i="20"/>
  <c r="U1098" i="20"/>
  <c r="S1098" i="20"/>
  <c r="Q1098" i="20"/>
  <c r="K1098" i="20"/>
  <c r="M1098" i="20" s="1"/>
  <c r="AC1098" i="20" s="1"/>
  <c r="AA1097" i="20"/>
  <c r="X1097" i="20"/>
  <c r="V1097" i="20"/>
  <c r="W1097" i="20" s="1"/>
  <c r="U1097" i="20"/>
  <c r="S1097" i="20"/>
  <c r="K1097" i="20"/>
  <c r="AC1096" i="20"/>
  <c r="AA1096" i="20"/>
  <c r="AB1096" i="20" s="1"/>
  <c r="Z1096" i="20"/>
  <c r="J1096" i="20" s="1"/>
  <c r="Y1096" i="20"/>
  <c r="W1096" i="20"/>
  <c r="X1096" i="20" s="1"/>
  <c r="V1096" i="20"/>
  <c r="U1096" i="20"/>
  <c r="S1096" i="20"/>
  <c r="M1096" i="20"/>
  <c r="Q1096" i="20" s="1"/>
  <c r="K1096" i="20"/>
  <c r="L1096" i="20" s="1"/>
  <c r="AA1095" i="20"/>
  <c r="Y1095" i="20"/>
  <c r="V1095" i="20"/>
  <c r="W1095" i="20" s="1"/>
  <c r="X1095" i="20" s="1"/>
  <c r="Z1095" i="20" s="1"/>
  <c r="J1095" i="20" s="1"/>
  <c r="U1095" i="20"/>
  <c r="S1095" i="20"/>
  <c r="M1095" i="20"/>
  <c r="L1095" i="20"/>
  <c r="K1095" i="20"/>
  <c r="AC1094" i="20"/>
  <c r="AA1094" i="20"/>
  <c r="V1094" i="20"/>
  <c r="W1094" i="20" s="1"/>
  <c r="X1094" i="20" s="1"/>
  <c r="U1094" i="20"/>
  <c r="S1094" i="20"/>
  <c r="Q1094" i="20"/>
  <c r="K1094" i="20"/>
  <c r="M1094" i="20" s="1"/>
  <c r="AA1093" i="20"/>
  <c r="W1093" i="20"/>
  <c r="X1093" i="20" s="1"/>
  <c r="V1093" i="20"/>
  <c r="U1093" i="20"/>
  <c r="S1093" i="20"/>
  <c r="M1093" i="20"/>
  <c r="L1093" i="20"/>
  <c r="K1093" i="20"/>
  <c r="AA1092" i="20"/>
  <c r="Y1092" i="20"/>
  <c r="W1092" i="20"/>
  <c r="X1092" i="20" s="1"/>
  <c r="Z1092" i="20" s="1"/>
  <c r="J1092" i="20" s="1"/>
  <c r="V1092" i="20"/>
  <c r="U1092" i="20"/>
  <c r="S1092" i="20"/>
  <c r="K1092" i="20"/>
  <c r="AA1091" i="20"/>
  <c r="V1091" i="20"/>
  <c r="W1091" i="20" s="1"/>
  <c r="X1091" i="20" s="1"/>
  <c r="U1091" i="20"/>
  <c r="S1091" i="20"/>
  <c r="K1091" i="20"/>
  <c r="M1091" i="20" s="1"/>
  <c r="AA1090" i="20"/>
  <c r="V1090" i="20"/>
  <c r="W1090" i="20" s="1"/>
  <c r="X1090" i="20" s="1"/>
  <c r="Z1090" i="20" s="1"/>
  <c r="J1090" i="20" s="1"/>
  <c r="U1090" i="20"/>
  <c r="S1090" i="20"/>
  <c r="M1090" i="20"/>
  <c r="Q1090" i="20" s="1"/>
  <c r="L1090" i="20"/>
  <c r="K1090" i="20"/>
  <c r="AC1089" i="20"/>
  <c r="AA1089" i="20"/>
  <c r="AB1089" i="20" s="1"/>
  <c r="Z1089" i="20"/>
  <c r="Y1089" i="20"/>
  <c r="X1089" i="20"/>
  <c r="W1089" i="20"/>
  <c r="V1089" i="20"/>
  <c r="U1089" i="20"/>
  <c r="S1089" i="20"/>
  <c r="M1089" i="20"/>
  <c r="K1089" i="20"/>
  <c r="L1089" i="20" s="1"/>
  <c r="J1089" i="20"/>
  <c r="AA1088" i="20"/>
  <c r="Y1088" i="20"/>
  <c r="X1088" i="20"/>
  <c r="Z1088" i="20" s="1"/>
  <c r="J1088" i="20" s="1"/>
  <c r="V1088" i="20"/>
  <c r="W1088" i="20" s="1"/>
  <c r="U1088" i="20"/>
  <c r="S1088" i="20"/>
  <c r="L1088" i="20"/>
  <c r="K1088" i="20"/>
  <c r="M1088" i="20" s="1"/>
  <c r="AA1087" i="20"/>
  <c r="W1087" i="20"/>
  <c r="X1087" i="20" s="1"/>
  <c r="V1087" i="20"/>
  <c r="U1087" i="20"/>
  <c r="S1087" i="20"/>
  <c r="K1087" i="20"/>
  <c r="M1087" i="20" s="1"/>
  <c r="AA1086" i="20"/>
  <c r="W1086" i="20"/>
  <c r="X1086" i="20" s="1"/>
  <c r="V1086" i="20"/>
  <c r="U1086" i="20"/>
  <c r="S1086" i="20"/>
  <c r="K1086" i="20"/>
  <c r="AA1085" i="20"/>
  <c r="W1085" i="20"/>
  <c r="X1085" i="20" s="1"/>
  <c r="V1085" i="20"/>
  <c r="U1085" i="20"/>
  <c r="S1085" i="20"/>
  <c r="M1085" i="20"/>
  <c r="K1085" i="20"/>
  <c r="L1085" i="20" s="1"/>
  <c r="AC1084" i="20"/>
  <c r="AB1084" i="20"/>
  <c r="AA1084" i="20"/>
  <c r="V1084" i="20"/>
  <c r="W1084" i="20" s="1"/>
  <c r="X1084" i="20" s="1"/>
  <c r="U1084" i="20"/>
  <c r="S1084" i="20"/>
  <c r="Q1084" i="20"/>
  <c r="M1084" i="20"/>
  <c r="N1084" i="20" s="1"/>
  <c r="O1084" i="20" s="1"/>
  <c r="L1084" i="20"/>
  <c r="K1084" i="20"/>
  <c r="AA1083" i="20"/>
  <c r="Y1083" i="20"/>
  <c r="V1083" i="20"/>
  <c r="W1083" i="20" s="1"/>
  <c r="X1083" i="20" s="1"/>
  <c r="Z1083" i="20" s="1"/>
  <c r="J1083" i="20" s="1"/>
  <c r="U1083" i="20"/>
  <c r="S1083" i="20"/>
  <c r="L1083" i="20"/>
  <c r="K1083" i="20"/>
  <c r="M1083" i="20" s="1"/>
  <c r="AA1082" i="20"/>
  <c r="X1082" i="20"/>
  <c r="W1082" i="20"/>
  <c r="V1082" i="20"/>
  <c r="U1082" i="20"/>
  <c r="S1082" i="20"/>
  <c r="K1082" i="20"/>
  <c r="AC1081" i="20"/>
  <c r="AA1081" i="20"/>
  <c r="Y1081" i="20"/>
  <c r="V1081" i="20"/>
  <c r="W1081" i="20" s="1"/>
  <c r="X1081" i="20" s="1"/>
  <c r="Z1081" i="20" s="1"/>
  <c r="U1081" i="20"/>
  <c r="S1081" i="20"/>
  <c r="M1081" i="20"/>
  <c r="Q1081" i="20" s="1"/>
  <c r="L1081" i="20"/>
  <c r="K1081" i="20"/>
  <c r="J1081" i="20"/>
  <c r="AC1080" i="20"/>
  <c r="AA1080" i="20"/>
  <c r="Y1080" i="20"/>
  <c r="V1080" i="20"/>
  <c r="W1080" i="20" s="1"/>
  <c r="X1080" i="20" s="1"/>
  <c r="Z1080" i="20" s="1"/>
  <c r="J1080" i="20" s="1"/>
  <c r="U1080" i="20"/>
  <c r="S1080" i="20"/>
  <c r="L1080" i="20"/>
  <c r="K1080" i="20"/>
  <c r="M1080" i="20" s="1"/>
  <c r="Q1080" i="20" s="1"/>
  <c r="AC1079" i="20"/>
  <c r="AA1079" i="20"/>
  <c r="V1079" i="20"/>
  <c r="W1079" i="20" s="1"/>
  <c r="X1079" i="20" s="1"/>
  <c r="U1079" i="20"/>
  <c r="S1079" i="20"/>
  <c r="L1079" i="20"/>
  <c r="K1079" i="20"/>
  <c r="M1079" i="20" s="1"/>
  <c r="Q1079" i="20" s="1"/>
  <c r="AA1078" i="20"/>
  <c r="V1078" i="20"/>
  <c r="W1078" i="20" s="1"/>
  <c r="X1078" i="20" s="1"/>
  <c r="U1078" i="20"/>
  <c r="S1078" i="20"/>
  <c r="K1078" i="20"/>
  <c r="L1078" i="20" s="1"/>
  <c r="AC1077" i="20"/>
  <c r="AA1077" i="20"/>
  <c r="V1077" i="20"/>
  <c r="W1077" i="20" s="1"/>
  <c r="X1077" i="20" s="1"/>
  <c r="U1077" i="20"/>
  <c r="S1077" i="20"/>
  <c r="Q1077" i="20"/>
  <c r="K1077" i="20"/>
  <c r="M1077" i="20" s="1"/>
  <c r="AA1076" i="20"/>
  <c r="Z1076" i="20"/>
  <c r="J1076" i="20" s="1"/>
  <c r="X1076" i="20"/>
  <c r="Y1076" i="20" s="1"/>
  <c r="W1076" i="20"/>
  <c r="V1076" i="20"/>
  <c r="U1076" i="20"/>
  <c r="S1076" i="20"/>
  <c r="K1076" i="20"/>
  <c r="M1076" i="20" s="1"/>
  <c r="AC1076" i="20" s="1"/>
  <c r="AC1075" i="20"/>
  <c r="AA1075" i="20"/>
  <c r="V1075" i="20"/>
  <c r="W1075" i="20" s="1"/>
  <c r="X1075" i="20" s="1"/>
  <c r="U1075" i="20"/>
  <c r="S1075" i="20"/>
  <c r="Q1075" i="20"/>
  <c r="K1075" i="20"/>
  <c r="M1075" i="20" s="1"/>
  <c r="AA1074" i="20"/>
  <c r="V1074" i="20"/>
  <c r="W1074" i="20" s="1"/>
  <c r="X1074" i="20" s="1"/>
  <c r="U1074" i="20"/>
  <c r="S1074" i="20"/>
  <c r="K1074" i="20"/>
  <c r="AA1073" i="20"/>
  <c r="X1073" i="20"/>
  <c r="V1073" i="20"/>
  <c r="W1073" i="20" s="1"/>
  <c r="U1073" i="20"/>
  <c r="S1073" i="20"/>
  <c r="L1073" i="20"/>
  <c r="K1073" i="20"/>
  <c r="M1073" i="20" s="1"/>
  <c r="AA1072" i="20"/>
  <c r="X1072" i="20"/>
  <c r="V1072" i="20"/>
  <c r="W1072" i="20" s="1"/>
  <c r="U1072" i="20"/>
  <c r="S1072" i="20"/>
  <c r="K1072" i="20"/>
  <c r="L1072" i="20" s="1"/>
  <c r="AB1072" i="20" s="1"/>
  <c r="AA1071" i="20"/>
  <c r="AB1071" i="20" s="1"/>
  <c r="V1071" i="20"/>
  <c r="W1071" i="20" s="1"/>
  <c r="X1071" i="20" s="1"/>
  <c r="U1071" i="20"/>
  <c r="S1071" i="20"/>
  <c r="L1071" i="20"/>
  <c r="K1071" i="20"/>
  <c r="M1071" i="20" s="1"/>
  <c r="Q1071" i="20" s="1"/>
  <c r="AA1070" i="20"/>
  <c r="W1070" i="20"/>
  <c r="X1070" i="20" s="1"/>
  <c r="V1070" i="20"/>
  <c r="U1070" i="20"/>
  <c r="S1070" i="20"/>
  <c r="M1070" i="20"/>
  <c r="L1070" i="20"/>
  <c r="K1070" i="20"/>
  <c r="AA1069" i="20"/>
  <c r="W1069" i="20"/>
  <c r="X1069" i="20" s="1"/>
  <c r="Z1069" i="20" s="1"/>
  <c r="V1069" i="20"/>
  <c r="U1069" i="20"/>
  <c r="S1069" i="20"/>
  <c r="Q1069" i="20"/>
  <c r="M1069" i="20"/>
  <c r="AC1069" i="20" s="1"/>
  <c r="L1069" i="20"/>
  <c r="K1069" i="20"/>
  <c r="J1069" i="20"/>
  <c r="AA1068" i="20"/>
  <c r="W1068" i="20"/>
  <c r="X1068" i="20" s="1"/>
  <c r="V1068" i="20"/>
  <c r="U1068" i="20"/>
  <c r="S1068" i="20"/>
  <c r="K1068" i="20"/>
  <c r="M1068" i="20" s="1"/>
  <c r="AA1067" i="20"/>
  <c r="V1067" i="20"/>
  <c r="W1067" i="20" s="1"/>
  <c r="X1067" i="20" s="1"/>
  <c r="U1067" i="20"/>
  <c r="S1067" i="20"/>
  <c r="Q1067" i="20"/>
  <c r="M1067" i="20"/>
  <c r="AC1067" i="20" s="1"/>
  <c r="L1067" i="20"/>
  <c r="K1067" i="20"/>
  <c r="AA1066" i="20"/>
  <c r="V1066" i="20"/>
  <c r="W1066" i="20" s="1"/>
  <c r="X1066" i="20" s="1"/>
  <c r="U1066" i="20"/>
  <c r="S1066" i="20"/>
  <c r="L1066" i="20"/>
  <c r="K1066" i="20"/>
  <c r="M1066" i="20" s="1"/>
  <c r="AA1065" i="20"/>
  <c r="W1065" i="20"/>
  <c r="X1065" i="20" s="1"/>
  <c r="Z1065" i="20" s="1"/>
  <c r="J1065" i="20" s="1"/>
  <c r="V1065" i="20"/>
  <c r="U1065" i="20"/>
  <c r="S1065" i="20"/>
  <c r="K1065" i="20"/>
  <c r="AA1064" i="20"/>
  <c r="V1064" i="20"/>
  <c r="W1064" i="20" s="1"/>
  <c r="X1064" i="20" s="1"/>
  <c r="U1064" i="20"/>
  <c r="S1064" i="20"/>
  <c r="L1064" i="20"/>
  <c r="K1064" i="20"/>
  <c r="M1064" i="20" s="1"/>
  <c r="AA1063" i="20"/>
  <c r="V1063" i="20"/>
  <c r="W1063" i="20" s="1"/>
  <c r="X1063" i="20" s="1"/>
  <c r="Z1063" i="20" s="1"/>
  <c r="U1063" i="20"/>
  <c r="S1063" i="20"/>
  <c r="Q1063" i="20"/>
  <c r="M1063" i="20"/>
  <c r="AC1063" i="20" s="1"/>
  <c r="L1063" i="20"/>
  <c r="K1063" i="20"/>
  <c r="AA1062" i="20"/>
  <c r="Z1062" i="20"/>
  <c r="J1062" i="20" s="1"/>
  <c r="Y1062" i="20"/>
  <c r="W1062" i="20"/>
  <c r="X1062" i="20" s="1"/>
  <c r="V1062" i="20"/>
  <c r="U1062" i="20"/>
  <c r="S1062" i="20"/>
  <c r="K1062" i="20"/>
  <c r="M1062" i="20" s="1"/>
  <c r="AA1061" i="20"/>
  <c r="W1061" i="20"/>
  <c r="X1061" i="20" s="1"/>
  <c r="V1061" i="20"/>
  <c r="U1061" i="20"/>
  <c r="S1061" i="20"/>
  <c r="Q1061" i="20"/>
  <c r="K1061" i="20"/>
  <c r="M1061" i="20" s="1"/>
  <c r="AC1061" i="20" s="1"/>
  <c r="AC1060" i="20"/>
  <c r="AA1060" i="20"/>
  <c r="W1060" i="20"/>
  <c r="X1060" i="20" s="1"/>
  <c r="V1060" i="20"/>
  <c r="U1060" i="20"/>
  <c r="S1060" i="20"/>
  <c r="M1060" i="20"/>
  <c r="Q1060" i="20" s="1"/>
  <c r="L1060" i="20"/>
  <c r="K1060" i="20"/>
  <c r="AB1059" i="20"/>
  <c r="AA1059" i="20"/>
  <c r="W1059" i="20"/>
  <c r="X1059" i="20" s="1"/>
  <c r="V1059" i="20"/>
  <c r="U1059" i="20"/>
  <c r="S1059" i="20"/>
  <c r="K1059" i="20"/>
  <c r="L1059" i="20" s="1"/>
  <c r="AC1058" i="20"/>
  <c r="AB1058" i="20"/>
  <c r="AA1058" i="20"/>
  <c r="X1058" i="20"/>
  <c r="V1058" i="20"/>
  <c r="W1058" i="20" s="1"/>
  <c r="U1058" i="20"/>
  <c r="S1058" i="20"/>
  <c r="M1058" i="20"/>
  <c r="Q1058" i="20" s="1"/>
  <c r="K1058" i="20"/>
  <c r="L1058" i="20" s="1"/>
  <c r="AB1057" i="20"/>
  <c r="AA1057" i="20"/>
  <c r="Y1057" i="20"/>
  <c r="W1057" i="20"/>
  <c r="X1057" i="20" s="1"/>
  <c r="Z1057" i="20" s="1"/>
  <c r="J1057" i="20" s="1"/>
  <c r="V1057" i="20"/>
  <c r="U1057" i="20"/>
  <c r="S1057" i="20"/>
  <c r="Q1057" i="20"/>
  <c r="N1057" i="20"/>
  <c r="O1057" i="20" s="1"/>
  <c r="M1057" i="20"/>
  <c r="AC1057" i="20" s="1"/>
  <c r="K1057" i="20"/>
  <c r="L1057" i="20" s="1"/>
  <c r="AA1056" i="20"/>
  <c r="V1056" i="20"/>
  <c r="W1056" i="20" s="1"/>
  <c r="X1056" i="20" s="1"/>
  <c r="Z1056" i="20" s="1"/>
  <c r="J1056" i="20" s="1"/>
  <c r="U1056" i="20"/>
  <c r="S1056" i="20"/>
  <c r="N1056" i="20"/>
  <c r="O1056" i="20" s="1"/>
  <c r="M1056" i="20"/>
  <c r="K1056" i="20"/>
  <c r="L1056" i="20" s="1"/>
  <c r="AA1055" i="20"/>
  <c r="V1055" i="20"/>
  <c r="W1055" i="20" s="1"/>
  <c r="X1055" i="20" s="1"/>
  <c r="U1055" i="20"/>
  <c r="S1055" i="20"/>
  <c r="M1055" i="20"/>
  <c r="K1055" i="20"/>
  <c r="L1055" i="20" s="1"/>
  <c r="AC1054" i="20"/>
  <c r="AA1054" i="20"/>
  <c r="AB1054" i="20" s="1"/>
  <c r="V1054" i="20"/>
  <c r="W1054" i="20" s="1"/>
  <c r="X1054" i="20" s="1"/>
  <c r="U1054" i="20"/>
  <c r="S1054" i="20"/>
  <c r="Q1054" i="20"/>
  <c r="N1054" i="20"/>
  <c r="O1054" i="20" s="1"/>
  <c r="M1054" i="20"/>
  <c r="L1054" i="20"/>
  <c r="K1054" i="20"/>
  <c r="AA1053" i="20"/>
  <c r="W1053" i="20"/>
  <c r="X1053" i="20" s="1"/>
  <c r="V1053" i="20"/>
  <c r="U1053" i="20"/>
  <c r="S1053" i="20"/>
  <c r="M1053" i="20"/>
  <c r="L1053" i="20"/>
  <c r="K1053" i="20"/>
  <c r="AA1052" i="20"/>
  <c r="AB1052" i="20" s="1"/>
  <c r="Z1052" i="20"/>
  <c r="Y1052" i="20"/>
  <c r="X1052" i="20"/>
  <c r="W1052" i="20"/>
  <c r="V1052" i="20"/>
  <c r="U1052" i="20"/>
  <c r="S1052" i="20"/>
  <c r="M1052" i="20"/>
  <c r="L1052" i="20"/>
  <c r="K1052" i="20"/>
  <c r="J1052" i="20"/>
  <c r="AA1051" i="20"/>
  <c r="V1051" i="20"/>
  <c r="W1051" i="20" s="1"/>
  <c r="X1051" i="20" s="1"/>
  <c r="U1051" i="20"/>
  <c r="S1051" i="20"/>
  <c r="K1051" i="20"/>
  <c r="M1051" i="20" s="1"/>
  <c r="AA1050" i="20"/>
  <c r="Z1050" i="20"/>
  <c r="J1050" i="20" s="1"/>
  <c r="P1050" i="20" s="1"/>
  <c r="Y1050" i="20"/>
  <c r="W1050" i="20"/>
  <c r="X1050" i="20" s="1"/>
  <c r="V1050" i="20"/>
  <c r="U1050" i="20"/>
  <c r="S1050" i="20"/>
  <c r="M1050" i="20"/>
  <c r="K1050" i="20"/>
  <c r="L1050" i="20" s="1"/>
  <c r="AA1049" i="20"/>
  <c r="W1049" i="20"/>
  <c r="X1049" i="20" s="1"/>
  <c r="V1049" i="20"/>
  <c r="U1049" i="20"/>
  <c r="S1049" i="20"/>
  <c r="K1049" i="20"/>
  <c r="M1049" i="20" s="1"/>
  <c r="AA1048" i="20"/>
  <c r="V1048" i="20"/>
  <c r="W1048" i="20" s="1"/>
  <c r="X1048" i="20" s="1"/>
  <c r="U1048" i="20"/>
  <c r="S1048" i="20"/>
  <c r="K1048" i="20"/>
  <c r="M1048" i="20" s="1"/>
  <c r="Q1048" i="20" s="1"/>
  <c r="AC1047" i="20"/>
  <c r="AA1047" i="20"/>
  <c r="AB1047" i="20" s="1"/>
  <c r="W1047" i="20"/>
  <c r="X1047" i="20" s="1"/>
  <c r="Z1047" i="20" s="1"/>
  <c r="J1047" i="20" s="1"/>
  <c r="P1047" i="20" s="1"/>
  <c r="V1047" i="20"/>
  <c r="U1047" i="20"/>
  <c r="S1047" i="20"/>
  <c r="Q1047" i="20"/>
  <c r="N1047" i="20"/>
  <c r="O1047" i="20" s="1"/>
  <c r="M1047" i="20"/>
  <c r="L1047" i="20"/>
  <c r="K1047" i="20"/>
  <c r="AA1046" i="20"/>
  <c r="V1046" i="20"/>
  <c r="W1046" i="20" s="1"/>
  <c r="X1046" i="20" s="1"/>
  <c r="U1046" i="20"/>
  <c r="S1046" i="20"/>
  <c r="K1046" i="20"/>
  <c r="AC1045" i="20"/>
  <c r="AA1045" i="20"/>
  <c r="AB1045" i="20" s="1"/>
  <c r="W1045" i="20"/>
  <c r="X1045" i="20" s="1"/>
  <c r="Z1045" i="20" s="1"/>
  <c r="J1045" i="20" s="1"/>
  <c r="V1045" i="20"/>
  <c r="U1045" i="20"/>
  <c r="S1045" i="20"/>
  <c r="L1045" i="20"/>
  <c r="K1045" i="20"/>
  <c r="M1045" i="20" s="1"/>
  <c r="Q1045" i="20" s="1"/>
  <c r="AA1044" i="20"/>
  <c r="V1044" i="20"/>
  <c r="W1044" i="20" s="1"/>
  <c r="X1044" i="20" s="1"/>
  <c r="U1044" i="20"/>
  <c r="S1044" i="20"/>
  <c r="M1044" i="20"/>
  <c r="L1044" i="20"/>
  <c r="AB1044" i="20" s="1"/>
  <c r="K1044" i="20"/>
  <c r="AA1043" i="20"/>
  <c r="AB1043" i="20" s="1"/>
  <c r="Z1043" i="20"/>
  <c r="J1043" i="20" s="1"/>
  <c r="Y1043" i="20"/>
  <c r="V1043" i="20"/>
  <c r="W1043" i="20" s="1"/>
  <c r="X1043" i="20" s="1"/>
  <c r="U1043" i="20"/>
  <c r="S1043" i="20"/>
  <c r="M1043" i="20"/>
  <c r="Q1043" i="20" s="1"/>
  <c r="K1043" i="20"/>
  <c r="L1043" i="20" s="1"/>
  <c r="AA1042" i="20"/>
  <c r="X1042" i="20"/>
  <c r="Z1042" i="20" s="1"/>
  <c r="W1042" i="20"/>
  <c r="V1042" i="20"/>
  <c r="U1042" i="20"/>
  <c r="S1042" i="20"/>
  <c r="K1042" i="20"/>
  <c r="M1042" i="20" s="1"/>
  <c r="J1042" i="20"/>
  <c r="AA1041" i="20"/>
  <c r="V1041" i="20"/>
  <c r="W1041" i="20" s="1"/>
  <c r="X1041" i="20" s="1"/>
  <c r="U1041" i="20"/>
  <c r="S1041" i="20"/>
  <c r="M1041" i="20"/>
  <c r="K1041" i="20"/>
  <c r="L1041" i="20" s="1"/>
  <c r="AC1040" i="20"/>
  <c r="AA1040" i="20"/>
  <c r="AB1040" i="20" s="1"/>
  <c r="Z1040" i="20"/>
  <c r="J1040" i="20" s="1"/>
  <c r="P1040" i="20" s="1"/>
  <c r="Y1040" i="20"/>
  <c r="X1040" i="20"/>
  <c r="W1040" i="20"/>
  <c r="V1040" i="20"/>
  <c r="U1040" i="20"/>
  <c r="S1040" i="20"/>
  <c r="Q1040" i="20"/>
  <c r="N1040" i="20"/>
  <c r="O1040" i="20" s="1"/>
  <c r="M1040" i="20"/>
  <c r="L1040" i="20"/>
  <c r="K1040" i="20"/>
  <c r="AB1039" i="20"/>
  <c r="AA1039" i="20"/>
  <c r="W1039" i="20"/>
  <c r="X1039" i="20" s="1"/>
  <c r="V1039" i="20"/>
  <c r="U1039" i="20"/>
  <c r="S1039" i="20"/>
  <c r="M1039" i="20"/>
  <c r="L1039" i="20"/>
  <c r="K1039" i="20"/>
  <c r="AC1038" i="20"/>
  <c r="AB1038" i="20"/>
  <c r="AA1038" i="20"/>
  <c r="W1038" i="20"/>
  <c r="X1038" i="20" s="1"/>
  <c r="V1038" i="20"/>
  <c r="U1038" i="20"/>
  <c r="S1038" i="20"/>
  <c r="M1038" i="20"/>
  <c r="Q1038" i="20" s="1"/>
  <c r="K1038" i="20"/>
  <c r="L1038" i="20" s="1"/>
  <c r="AA1037" i="20"/>
  <c r="X1037" i="20"/>
  <c r="W1037" i="20"/>
  <c r="V1037" i="20"/>
  <c r="U1037" i="20"/>
  <c r="S1037" i="20"/>
  <c r="K1037" i="20"/>
  <c r="L1037" i="20" s="1"/>
  <c r="AA1036" i="20"/>
  <c r="Z1036" i="20"/>
  <c r="V1036" i="20"/>
  <c r="W1036" i="20" s="1"/>
  <c r="X1036" i="20" s="1"/>
  <c r="Y1036" i="20" s="1"/>
  <c r="U1036" i="20"/>
  <c r="S1036" i="20"/>
  <c r="M1036" i="20"/>
  <c r="L1036" i="20"/>
  <c r="K1036" i="20"/>
  <c r="J1036" i="20"/>
  <c r="AC1035" i="20"/>
  <c r="AA1035" i="20"/>
  <c r="AB1035" i="20" s="1"/>
  <c r="Z1035" i="20"/>
  <c r="J1035" i="20" s="1"/>
  <c r="W1035" i="20"/>
  <c r="X1035" i="20" s="1"/>
  <c r="Y1035" i="20" s="1"/>
  <c r="V1035" i="20"/>
  <c r="U1035" i="20"/>
  <c r="S1035" i="20"/>
  <c r="M1035" i="20"/>
  <c r="Q1035" i="20" s="1"/>
  <c r="L1035" i="20"/>
  <c r="K1035" i="20"/>
  <c r="AA1034" i="20"/>
  <c r="X1034" i="20"/>
  <c r="V1034" i="20"/>
  <c r="W1034" i="20" s="1"/>
  <c r="U1034" i="20"/>
  <c r="S1034" i="20"/>
  <c r="K1034" i="20"/>
  <c r="AA1033" i="20"/>
  <c r="W1033" i="20"/>
  <c r="X1033" i="20" s="1"/>
  <c r="V1033" i="20"/>
  <c r="U1033" i="20"/>
  <c r="S1033" i="20"/>
  <c r="K1033" i="20"/>
  <c r="AA1032" i="20"/>
  <c r="X1032" i="20"/>
  <c r="Y1032" i="20" s="1"/>
  <c r="W1032" i="20"/>
  <c r="V1032" i="20"/>
  <c r="U1032" i="20"/>
  <c r="S1032" i="20"/>
  <c r="M1032" i="20"/>
  <c r="K1032" i="20"/>
  <c r="L1032" i="20" s="1"/>
  <c r="AA1031" i="20"/>
  <c r="V1031" i="20"/>
  <c r="W1031" i="20" s="1"/>
  <c r="X1031" i="20" s="1"/>
  <c r="U1031" i="20"/>
  <c r="S1031" i="20"/>
  <c r="Q1031" i="20"/>
  <c r="M1031" i="20"/>
  <c r="AC1031" i="20" s="1"/>
  <c r="K1031" i="20"/>
  <c r="L1031" i="20" s="1"/>
  <c r="N1031" i="20" s="1"/>
  <c r="O1031" i="20" s="1"/>
  <c r="AB1030" i="20"/>
  <c r="AA1030" i="20"/>
  <c r="Z1030" i="20"/>
  <c r="V1030" i="20"/>
  <c r="W1030" i="20" s="1"/>
  <c r="X1030" i="20" s="1"/>
  <c r="Y1030" i="20" s="1"/>
  <c r="U1030" i="20"/>
  <c r="S1030" i="20"/>
  <c r="Q1030" i="20"/>
  <c r="N1030" i="20"/>
  <c r="O1030" i="20" s="1"/>
  <c r="L1030" i="20"/>
  <c r="K1030" i="20"/>
  <c r="M1030" i="20" s="1"/>
  <c r="AC1030" i="20" s="1"/>
  <c r="J1030" i="20"/>
  <c r="AA1029" i="20"/>
  <c r="V1029" i="20"/>
  <c r="W1029" i="20" s="1"/>
  <c r="X1029" i="20" s="1"/>
  <c r="U1029" i="20"/>
  <c r="S1029" i="20"/>
  <c r="K1029" i="20"/>
  <c r="L1029" i="20" s="1"/>
  <c r="AB1029" i="20" s="1"/>
  <c r="AC1028" i="20"/>
  <c r="AA1028" i="20"/>
  <c r="AB1028" i="20" s="1"/>
  <c r="V1028" i="20"/>
  <c r="W1028" i="20" s="1"/>
  <c r="X1028" i="20" s="1"/>
  <c r="U1028" i="20"/>
  <c r="S1028" i="20"/>
  <c r="Q1028" i="20"/>
  <c r="O1028" i="20"/>
  <c r="N1028" i="20"/>
  <c r="M1028" i="20"/>
  <c r="L1028" i="20"/>
  <c r="K1028" i="20"/>
  <c r="AA1027" i="20"/>
  <c r="W1027" i="20"/>
  <c r="X1027" i="20" s="1"/>
  <c r="V1027" i="20"/>
  <c r="U1027" i="20"/>
  <c r="S1027" i="20"/>
  <c r="M1027" i="20"/>
  <c r="L1027" i="20"/>
  <c r="K1027" i="20"/>
  <c r="AC1026" i="20"/>
  <c r="AA1026" i="20"/>
  <c r="W1026" i="20"/>
  <c r="X1026" i="20" s="1"/>
  <c r="V1026" i="20"/>
  <c r="U1026" i="20"/>
  <c r="S1026" i="20"/>
  <c r="M1026" i="20"/>
  <c r="Q1026" i="20" s="1"/>
  <c r="L1026" i="20"/>
  <c r="K1026" i="20"/>
  <c r="AA1025" i="20"/>
  <c r="V1025" i="20"/>
  <c r="W1025" i="20" s="1"/>
  <c r="X1025" i="20" s="1"/>
  <c r="U1025" i="20"/>
  <c r="S1025" i="20"/>
  <c r="Q1025" i="20"/>
  <c r="M1025" i="20"/>
  <c r="AC1025" i="20" s="1"/>
  <c r="K1025" i="20"/>
  <c r="L1025" i="20" s="1"/>
  <c r="AA1024" i="20"/>
  <c r="W1024" i="20"/>
  <c r="X1024" i="20" s="1"/>
  <c r="V1024" i="20"/>
  <c r="U1024" i="20"/>
  <c r="S1024" i="20"/>
  <c r="K1024" i="20"/>
  <c r="M1024" i="20" s="1"/>
  <c r="AB1023" i="20"/>
  <c r="AA1023" i="20"/>
  <c r="W1023" i="20"/>
  <c r="X1023" i="20" s="1"/>
  <c r="V1023" i="20"/>
  <c r="U1023" i="20"/>
  <c r="S1023" i="20"/>
  <c r="M1023" i="20"/>
  <c r="L1023" i="20"/>
  <c r="K1023" i="20"/>
  <c r="AA1022" i="20"/>
  <c r="V1022" i="20"/>
  <c r="W1022" i="20" s="1"/>
  <c r="X1022" i="20" s="1"/>
  <c r="U1022" i="20"/>
  <c r="S1022" i="20"/>
  <c r="K1022" i="20"/>
  <c r="AA1021" i="20"/>
  <c r="W1021" i="20"/>
  <c r="X1021" i="20" s="1"/>
  <c r="V1021" i="20"/>
  <c r="U1021" i="20"/>
  <c r="S1021" i="20"/>
  <c r="K1021" i="20"/>
  <c r="M1021" i="20" s="1"/>
  <c r="AC1020" i="20"/>
  <c r="AA1020" i="20"/>
  <c r="V1020" i="20"/>
  <c r="W1020" i="20" s="1"/>
  <c r="X1020" i="20" s="1"/>
  <c r="U1020" i="20"/>
  <c r="S1020" i="20"/>
  <c r="Q1020" i="20"/>
  <c r="N1020" i="20"/>
  <c r="O1020" i="20" s="1"/>
  <c r="M1020" i="20"/>
  <c r="L1020" i="20"/>
  <c r="K1020" i="20"/>
  <c r="AC1019" i="20"/>
  <c r="AA1019" i="20"/>
  <c r="W1019" i="20"/>
  <c r="X1019" i="20" s="1"/>
  <c r="V1019" i="20"/>
  <c r="U1019" i="20"/>
  <c r="S1019" i="20"/>
  <c r="L1019" i="20"/>
  <c r="K1019" i="20"/>
  <c r="M1019" i="20" s="1"/>
  <c r="Q1019" i="20" s="1"/>
  <c r="AA1018" i="20"/>
  <c r="V1018" i="20"/>
  <c r="W1018" i="20" s="1"/>
  <c r="X1018" i="20" s="1"/>
  <c r="U1018" i="20"/>
  <c r="S1018" i="20"/>
  <c r="M1018" i="20"/>
  <c r="K1018" i="20"/>
  <c r="L1018" i="20" s="1"/>
  <c r="AA1017" i="20"/>
  <c r="V1017" i="20"/>
  <c r="W1017" i="20" s="1"/>
  <c r="X1017" i="20" s="1"/>
  <c r="U1017" i="20"/>
  <c r="S1017" i="20"/>
  <c r="M1017" i="20"/>
  <c r="L1017" i="20"/>
  <c r="K1017" i="20"/>
  <c r="AA1016" i="20"/>
  <c r="V1016" i="20"/>
  <c r="W1016" i="20" s="1"/>
  <c r="X1016" i="20" s="1"/>
  <c r="U1016" i="20"/>
  <c r="S1016" i="20"/>
  <c r="Q1016" i="20"/>
  <c r="M1016" i="20"/>
  <c r="AC1016" i="20" s="1"/>
  <c r="K1016" i="20"/>
  <c r="L1016" i="20" s="1"/>
  <c r="AA1015" i="20"/>
  <c r="Z1015" i="20"/>
  <c r="J1015" i="20" s="1"/>
  <c r="W1015" i="20"/>
  <c r="X1015" i="20" s="1"/>
  <c r="Y1015" i="20" s="1"/>
  <c r="V1015" i="20"/>
  <c r="U1015" i="20"/>
  <c r="S1015" i="20"/>
  <c r="K1015" i="20"/>
  <c r="M1015" i="20" s="1"/>
  <c r="AA1014" i="20"/>
  <c r="V1014" i="20"/>
  <c r="W1014" i="20" s="1"/>
  <c r="X1014" i="20" s="1"/>
  <c r="U1014" i="20"/>
  <c r="S1014" i="20"/>
  <c r="L1014" i="20"/>
  <c r="K1014" i="20"/>
  <c r="M1014" i="20" s="1"/>
  <c r="Q1014" i="20" s="1"/>
  <c r="AB1013" i="20"/>
  <c r="AA1013" i="20"/>
  <c r="W1013" i="20"/>
  <c r="X1013" i="20" s="1"/>
  <c r="V1013" i="20"/>
  <c r="U1013" i="20"/>
  <c r="S1013" i="20"/>
  <c r="L1013" i="20"/>
  <c r="K1013" i="20"/>
  <c r="M1013" i="20" s="1"/>
  <c r="Q1013" i="20" s="1"/>
  <c r="AA1012" i="20"/>
  <c r="W1012" i="20"/>
  <c r="X1012" i="20" s="1"/>
  <c r="V1012" i="20"/>
  <c r="U1012" i="20"/>
  <c r="S1012" i="20"/>
  <c r="K1012" i="20"/>
  <c r="M1012" i="20" s="1"/>
  <c r="AA1011" i="20"/>
  <c r="X1011" i="20"/>
  <c r="W1011" i="20"/>
  <c r="V1011" i="20"/>
  <c r="U1011" i="20"/>
  <c r="S1011" i="20"/>
  <c r="M1011" i="20"/>
  <c r="Q1011" i="20" s="1"/>
  <c r="L1011" i="20"/>
  <c r="K1011" i="20"/>
  <c r="AA1010" i="20"/>
  <c r="V1010" i="20"/>
  <c r="W1010" i="20" s="1"/>
  <c r="X1010" i="20" s="1"/>
  <c r="U1010" i="20"/>
  <c r="S1010" i="20"/>
  <c r="K1010" i="20"/>
  <c r="AA1009" i="20"/>
  <c r="W1009" i="20"/>
  <c r="X1009" i="20" s="1"/>
  <c r="V1009" i="20"/>
  <c r="U1009" i="20"/>
  <c r="S1009" i="20"/>
  <c r="K1009" i="20"/>
  <c r="AB1008" i="20"/>
  <c r="AA1008" i="20"/>
  <c r="V1008" i="20"/>
  <c r="W1008" i="20" s="1"/>
  <c r="X1008" i="20" s="1"/>
  <c r="U1008" i="20"/>
  <c r="S1008" i="20"/>
  <c r="Q1008" i="20"/>
  <c r="O1008" i="20"/>
  <c r="N1008" i="20"/>
  <c r="M1008" i="20"/>
  <c r="AC1008" i="20" s="1"/>
  <c r="L1008" i="20"/>
  <c r="K1008" i="20"/>
  <c r="AA1007" i="20"/>
  <c r="V1007" i="20"/>
  <c r="W1007" i="20" s="1"/>
  <c r="X1007" i="20" s="1"/>
  <c r="U1007" i="20"/>
  <c r="S1007" i="20"/>
  <c r="Q1007" i="20"/>
  <c r="L1007" i="20"/>
  <c r="AB1007" i="20" s="1"/>
  <c r="K1007" i="20"/>
  <c r="M1007" i="20" s="1"/>
  <c r="AC1007" i="20" s="1"/>
  <c r="AA1006" i="20"/>
  <c r="X1006" i="20"/>
  <c r="V1006" i="20"/>
  <c r="W1006" i="20" s="1"/>
  <c r="U1006" i="20"/>
  <c r="S1006" i="20"/>
  <c r="M1006" i="20"/>
  <c r="AC1006" i="20" s="1"/>
  <c r="L1006" i="20"/>
  <c r="K1006" i="20"/>
  <c r="AA1005" i="20"/>
  <c r="X1005" i="20"/>
  <c r="W1005" i="20"/>
  <c r="V1005" i="20"/>
  <c r="U1005" i="20"/>
  <c r="S1005" i="20"/>
  <c r="Q1005" i="20"/>
  <c r="M1005" i="20"/>
  <c r="AC1005" i="20" s="1"/>
  <c r="L1005" i="20"/>
  <c r="AB1005" i="20" s="1"/>
  <c r="K1005" i="20"/>
  <c r="AA1004" i="20"/>
  <c r="W1004" i="20"/>
  <c r="X1004" i="20" s="1"/>
  <c r="V1004" i="20"/>
  <c r="U1004" i="20"/>
  <c r="S1004" i="20"/>
  <c r="Q1004" i="20"/>
  <c r="K1004" i="20"/>
  <c r="M1004" i="20" s="1"/>
  <c r="AC1004" i="20" s="1"/>
  <c r="AC1003" i="20"/>
  <c r="AA1003" i="20"/>
  <c r="X1003" i="20"/>
  <c r="V1003" i="20"/>
  <c r="W1003" i="20" s="1"/>
  <c r="U1003" i="20"/>
  <c r="S1003" i="20"/>
  <c r="M1003" i="20"/>
  <c r="Q1003" i="20" s="1"/>
  <c r="L1003" i="20"/>
  <c r="K1003" i="20"/>
  <c r="AA1002" i="20"/>
  <c r="W1002" i="20"/>
  <c r="X1002" i="20" s="1"/>
  <c r="V1002" i="20"/>
  <c r="U1002" i="20"/>
  <c r="S1002" i="20"/>
  <c r="M1002" i="20"/>
  <c r="L1002" i="20"/>
  <c r="K1002" i="20"/>
  <c r="AA1001" i="20"/>
  <c r="Z1001" i="20"/>
  <c r="J1001" i="20" s="1"/>
  <c r="W1001" i="20"/>
  <c r="X1001" i="20" s="1"/>
  <c r="Y1001" i="20" s="1"/>
  <c r="V1001" i="20"/>
  <c r="U1001" i="20"/>
  <c r="S1001" i="20"/>
  <c r="K1001" i="20"/>
  <c r="AA1000" i="20"/>
  <c r="V1000" i="20"/>
  <c r="W1000" i="20" s="1"/>
  <c r="X1000" i="20" s="1"/>
  <c r="U1000" i="20"/>
  <c r="S1000" i="20"/>
  <c r="L1000" i="20"/>
  <c r="K1000" i="20"/>
  <c r="M1000" i="20" s="1"/>
  <c r="AC999" i="20"/>
  <c r="AA999" i="20"/>
  <c r="Z999" i="20"/>
  <c r="V999" i="20"/>
  <c r="W999" i="20" s="1"/>
  <c r="X999" i="20" s="1"/>
  <c r="Y999" i="20" s="1"/>
  <c r="U999" i="20"/>
  <c r="S999" i="20"/>
  <c r="M999" i="20"/>
  <c r="Q999" i="20" s="1"/>
  <c r="K999" i="20"/>
  <c r="L999" i="20" s="1"/>
  <c r="AC998" i="20"/>
  <c r="AA998" i="20"/>
  <c r="Z998" i="20"/>
  <c r="V998" i="20"/>
  <c r="W998" i="20" s="1"/>
  <c r="X998" i="20" s="1"/>
  <c r="Y998" i="20" s="1"/>
  <c r="U998" i="20"/>
  <c r="S998" i="20"/>
  <c r="K998" i="20"/>
  <c r="M998" i="20" s="1"/>
  <c r="Q998" i="20" s="1"/>
  <c r="J998" i="20"/>
  <c r="AA997" i="20"/>
  <c r="W997" i="20"/>
  <c r="X997" i="20" s="1"/>
  <c r="V997" i="20"/>
  <c r="U997" i="20"/>
  <c r="S997" i="20"/>
  <c r="K997" i="20"/>
  <c r="M997" i="20" s="1"/>
  <c r="AC996" i="20"/>
  <c r="AA996" i="20"/>
  <c r="W996" i="20"/>
  <c r="X996" i="20" s="1"/>
  <c r="V996" i="20"/>
  <c r="U996" i="20"/>
  <c r="S996" i="20"/>
  <c r="M996" i="20"/>
  <c r="Q996" i="20" s="1"/>
  <c r="K996" i="20"/>
  <c r="L996" i="20" s="1"/>
  <c r="AA995" i="20"/>
  <c r="V995" i="20"/>
  <c r="W995" i="20" s="1"/>
  <c r="X995" i="20" s="1"/>
  <c r="Y995" i="20" s="1"/>
  <c r="U995" i="20"/>
  <c r="S995" i="20"/>
  <c r="M995" i="20"/>
  <c r="K995" i="20"/>
  <c r="L995" i="20" s="1"/>
  <c r="AC994" i="20"/>
  <c r="AB994" i="20"/>
  <c r="AA994" i="20"/>
  <c r="Y994" i="20"/>
  <c r="W994" i="20"/>
  <c r="X994" i="20" s="1"/>
  <c r="Z994" i="20" s="1"/>
  <c r="J994" i="20" s="1"/>
  <c r="V994" i="20"/>
  <c r="U994" i="20"/>
  <c r="S994" i="20"/>
  <c r="Q994" i="20"/>
  <c r="M994" i="20"/>
  <c r="L994" i="20"/>
  <c r="K994" i="20"/>
  <c r="AA993" i="20"/>
  <c r="X993" i="20"/>
  <c r="W993" i="20"/>
  <c r="V993" i="20"/>
  <c r="U993" i="20"/>
  <c r="S993" i="20"/>
  <c r="M993" i="20"/>
  <c r="AC993" i="20" s="1"/>
  <c r="L993" i="20"/>
  <c r="K993" i="20"/>
  <c r="AA992" i="20"/>
  <c r="W992" i="20"/>
  <c r="X992" i="20" s="1"/>
  <c r="V992" i="20"/>
  <c r="U992" i="20"/>
  <c r="S992" i="20"/>
  <c r="K992" i="20"/>
  <c r="AA991" i="20"/>
  <c r="Z991" i="20"/>
  <c r="Y991" i="20"/>
  <c r="X991" i="20"/>
  <c r="W991" i="20"/>
  <c r="V991" i="20"/>
  <c r="U991" i="20"/>
  <c r="S991" i="20"/>
  <c r="Q991" i="20"/>
  <c r="K991" i="20"/>
  <c r="M991" i="20" s="1"/>
  <c r="AC991" i="20" s="1"/>
  <c r="J991" i="20"/>
  <c r="AA990" i="20"/>
  <c r="Y990" i="20"/>
  <c r="V990" i="20"/>
  <c r="W990" i="20" s="1"/>
  <c r="X990" i="20" s="1"/>
  <c r="Z990" i="20" s="1"/>
  <c r="U990" i="20"/>
  <c r="S990" i="20"/>
  <c r="K990" i="20"/>
  <c r="J990" i="20"/>
  <c r="AA989" i="20"/>
  <c r="V989" i="20"/>
  <c r="W989" i="20" s="1"/>
  <c r="X989" i="20" s="1"/>
  <c r="U989" i="20"/>
  <c r="S989" i="20"/>
  <c r="K989" i="20"/>
  <c r="AA988" i="20"/>
  <c r="X988" i="20"/>
  <c r="W988" i="20"/>
  <c r="V988" i="20"/>
  <c r="U988" i="20"/>
  <c r="S988" i="20"/>
  <c r="M988" i="20"/>
  <c r="L988" i="20"/>
  <c r="K988" i="20"/>
  <c r="AC987" i="20"/>
  <c r="AA987" i="20"/>
  <c r="V987" i="20"/>
  <c r="W987" i="20" s="1"/>
  <c r="X987" i="20" s="1"/>
  <c r="U987" i="20"/>
  <c r="S987" i="20"/>
  <c r="Q987" i="20"/>
  <c r="M987" i="20"/>
  <c r="L987" i="20"/>
  <c r="K987" i="20"/>
  <c r="AC986" i="20"/>
  <c r="AA986" i="20"/>
  <c r="AB986" i="20" s="1"/>
  <c r="X986" i="20"/>
  <c r="Y986" i="20" s="1"/>
  <c r="W986" i="20"/>
  <c r="V986" i="20"/>
  <c r="U986" i="20"/>
  <c r="S986" i="20"/>
  <c r="M986" i="20"/>
  <c r="Q986" i="20" s="1"/>
  <c r="L986" i="20"/>
  <c r="K986" i="20"/>
  <c r="AA985" i="20"/>
  <c r="V985" i="20"/>
  <c r="W985" i="20" s="1"/>
  <c r="X985" i="20" s="1"/>
  <c r="U985" i="20"/>
  <c r="S985" i="20"/>
  <c r="M985" i="20"/>
  <c r="K985" i="20"/>
  <c r="L985" i="20" s="1"/>
  <c r="AC984" i="20"/>
  <c r="AB984" i="20"/>
  <c r="AA984" i="20"/>
  <c r="W984" i="20"/>
  <c r="X984" i="20" s="1"/>
  <c r="V984" i="20"/>
  <c r="U984" i="20"/>
  <c r="S984" i="20"/>
  <c r="Q984" i="20"/>
  <c r="O984" i="20"/>
  <c r="N984" i="20"/>
  <c r="M984" i="20"/>
  <c r="L984" i="20"/>
  <c r="K984" i="20"/>
  <c r="AA983" i="20"/>
  <c r="Z983" i="20"/>
  <c r="J983" i="20" s="1"/>
  <c r="P983" i="20" s="1"/>
  <c r="V983" i="20"/>
  <c r="W983" i="20" s="1"/>
  <c r="X983" i="20" s="1"/>
  <c r="Y983" i="20" s="1"/>
  <c r="U983" i="20"/>
  <c r="S983" i="20"/>
  <c r="Q983" i="20"/>
  <c r="N983" i="20"/>
  <c r="O983" i="20" s="1"/>
  <c r="L983" i="20"/>
  <c r="AB983" i="20" s="1"/>
  <c r="K983" i="20"/>
  <c r="M983" i="20" s="1"/>
  <c r="AC983" i="20" s="1"/>
  <c r="AC982" i="20"/>
  <c r="AA982" i="20"/>
  <c r="AB982" i="20" s="1"/>
  <c r="Z982" i="20"/>
  <c r="J982" i="20" s="1"/>
  <c r="P982" i="20" s="1"/>
  <c r="X982" i="20"/>
  <c r="Y982" i="20" s="1"/>
  <c r="V982" i="20"/>
  <c r="W982" i="20" s="1"/>
  <c r="U982" i="20"/>
  <c r="S982" i="20"/>
  <c r="L982" i="20"/>
  <c r="N982" i="20" s="1"/>
  <c r="O982" i="20" s="1"/>
  <c r="K982" i="20"/>
  <c r="M982" i="20" s="1"/>
  <c r="Q982" i="20" s="1"/>
  <c r="AA981" i="20"/>
  <c r="V981" i="20"/>
  <c r="W981" i="20" s="1"/>
  <c r="X981" i="20" s="1"/>
  <c r="U981" i="20"/>
  <c r="S981" i="20"/>
  <c r="K981" i="20"/>
  <c r="M981" i="20" s="1"/>
  <c r="AA980" i="20"/>
  <c r="Z980" i="20"/>
  <c r="Y980" i="20"/>
  <c r="W980" i="20"/>
  <c r="X980" i="20" s="1"/>
  <c r="V980" i="20"/>
  <c r="U980" i="20"/>
  <c r="S980" i="20"/>
  <c r="K980" i="20"/>
  <c r="J980" i="20"/>
  <c r="AA979" i="20"/>
  <c r="X979" i="20"/>
  <c r="Z979" i="20" s="1"/>
  <c r="J979" i="20" s="1"/>
  <c r="W979" i="20"/>
  <c r="V979" i="20"/>
  <c r="U979" i="20"/>
  <c r="S979" i="20"/>
  <c r="P979" i="20"/>
  <c r="M979" i="20"/>
  <c r="L979" i="20"/>
  <c r="AB979" i="20" s="1"/>
  <c r="K979" i="20"/>
  <c r="AC978" i="20"/>
  <c r="AA978" i="20"/>
  <c r="X978" i="20"/>
  <c r="Z978" i="20" s="1"/>
  <c r="J978" i="20" s="1"/>
  <c r="V978" i="20"/>
  <c r="W978" i="20" s="1"/>
  <c r="U978" i="20"/>
  <c r="S978" i="20"/>
  <c r="M978" i="20"/>
  <c r="Q978" i="20" s="1"/>
  <c r="K978" i="20"/>
  <c r="L978" i="20" s="1"/>
  <c r="AA977" i="20"/>
  <c r="W977" i="20"/>
  <c r="X977" i="20" s="1"/>
  <c r="Y977" i="20" s="1"/>
  <c r="V977" i="20"/>
  <c r="U977" i="20"/>
  <c r="S977" i="20"/>
  <c r="K977" i="20"/>
  <c r="AA976" i="20"/>
  <c r="AB976" i="20" s="1"/>
  <c r="V976" i="20"/>
  <c r="W976" i="20" s="1"/>
  <c r="X976" i="20" s="1"/>
  <c r="U976" i="20"/>
  <c r="S976" i="20"/>
  <c r="N976" i="20"/>
  <c r="O976" i="20" s="1"/>
  <c r="M976" i="20"/>
  <c r="K976" i="20"/>
  <c r="L976" i="20" s="1"/>
  <c r="AA975" i="20"/>
  <c r="V975" i="20"/>
  <c r="W975" i="20" s="1"/>
  <c r="X975" i="20" s="1"/>
  <c r="U975" i="20"/>
  <c r="S975" i="20"/>
  <c r="M975" i="20"/>
  <c r="K975" i="20"/>
  <c r="L975" i="20" s="1"/>
  <c r="AC974" i="20"/>
  <c r="AA974" i="20"/>
  <c r="X974" i="20"/>
  <c r="Y974" i="20" s="1"/>
  <c r="W974" i="20"/>
  <c r="V974" i="20"/>
  <c r="U974" i="20"/>
  <c r="S974" i="20"/>
  <c r="M974" i="20"/>
  <c r="Q974" i="20" s="1"/>
  <c r="K974" i="20"/>
  <c r="L974" i="20" s="1"/>
  <c r="AA973" i="20"/>
  <c r="W973" i="20"/>
  <c r="X973" i="20" s="1"/>
  <c r="V973" i="20"/>
  <c r="U973" i="20"/>
  <c r="S973" i="20"/>
  <c r="K973" i="20"/>
  <c r="M973" i="20" s="1"/>
  <c r="AC972" i="20"/>
  <c r="AA972" i="20"/>
  <c r="V972" i="20"/>
  <c r="W972" i="20" s="1"/>
  <c r="X972" i="20" s="1"/>
  <c r="U972" i="20"/>
  <c r="S972" i="20"/>
  <c r="Q972" i="20"/>
  <c r="K972" i="20"/>
  <c r="M972" i="20" s="1"/>
  <c r="AA971" i="20"/>
  <c r="X971" i="20"/>
  <c r="V971" i="20"/>
  <c r="W971" i="20" s="1"/>
  <c r="U971" i="20"/>
  <c r="S971" i="20"/>
  <c r="K971" i="20"/>
  <c r="M971" i="20" s="1"/>
  <c r="AA970" i="20"/>
  <c r="W970" i="20"/>
  <c r="X970" i="20" s="1"/>
  <c r="V970" i="20"/>
  <c r="U970" i="20"/>
  <c r="S970" i="20"/>
  <c r="K970" i="20"/>
  <c r="M970" i="20" s="1"/>
  <c r="AA969" i="20"/>
  <c r="V969" i="20"/>
  <c r="W969" i="20" s="1"/>
  <c r="X969" i="20" s="1"/>
  <c r="U969" i="20"/>
  <c r="S969" i="20"/>
  <c r="K969" i="20"/>
  <c r="AA968" i="20"/>
  <c r="V968" i="20"/>
  <c r="W968" i="20" s="1"/>
  <c r="X968" i="20" s="1"/>
  <c r="U968" i="20"/>
  <c r="S968" i="20"/>
  <c r="L968" i="20"/>
  <c r="K968" i="20"/>
  <c r="M968" i="20" s="1"/>
  <c r="AB967" i="20"/>
  <c r="AA967" i="20"/>
  <c r="W967" i="20"/>
  <c r="X967" i="20" s="1"/>
  <c r="V967" i="20"/>
  <c r="U967" i="20"/>
  <c r="S967" i="20"/>
  <c r="M967" i="20"/>
  <c r="K967" i="20"/>
  <c r="L967" i="20" s="1"/>
  <c r="AA966" i="20"/>
  <c r="X966" i="20"/>
  <c r="Z966" i="20" s="1"/>
  <c r="V966" i="20"/>
  <c r="W966" i="20" s="1"/>
  <c r="U966" i="20"/>
  <c r="J966" i="20" s="1"/>
  <c r="S966" i="20"/>
  <c r="K966" i="20"/>
  <c r="AC965" i="20"/>
  <c r="AB965" i="20"/>
  <c r="AA965" i="20"/>
  <c r="W965" i="20"/>
  <c r="X965" i="20" s="1"/>
  <c r="V965" i="20"/>
  <c r="U965" i="20"/>
  <c r="S965" i="20"/>
  <c r="O965" i="20"/>
  <c r="N965" i="20"/>
  <c r="L965" i="20"/>
  <c r="K965" i="20"/>
  <c r="M965" i="20" s="1"/>
  <c r="Q965" i="20" s="1"/>
  <c r="AA964" i="20"/>
  <c r="AB964" i="20" s="1"/>
  <c r="W964" i="20"/>
  <c r="X964" i="20" s="1"/>
  <c r="V964" i="20"/>
  <c r="U964" i="20"/>
  <c r="S964" i="20"/>
  <c r="L964" i="20"/>
  <c r="K964" i="20"/>
  <c r="M964" i="20" s="1"/>
  <c r="AA963" i="20"/>
  <c r="V963" i="20"/>
  <c r="W963" i="20" s="1"/>
  <c r="X963" i="20" s="1"/>
  <c r="Y963" i="20" s="1"/>
  <c r="U963" i="20"/>
  <c r="S963" i="20"/>
  <c r="K963" i="20"/>
  <c r="M963" i="20" s="1"/>
  <c r="AC962" i="20"/>
  <c r="AB962" i="20"/>
  <c r="AA962" i="20"/>
  <c r="Z962" i="20"/>
  <c r="V962" i="20"/>
  <c r="W962" i="20" s="1"/>
  <c r="X962" i="20" s="1"/>
  <c r="Y962" i="20" s="1"/>
  <c r="U962" i="20"/>
  <c r="S962" i="20"/>
  <c r="Q962" i="20"/>
  <c r="N962" i="20"/>
  <c r="O962" i="20" s="1"/>
  <c r="M962" i="20"/>
  <c r="L962" i="20"/>
  <c r="K962" i="20"/>
  <c r="AA961" i="20"/>
  <c r="Y961" i="20"/>
  <c r="W961" i="20"/>
  <c r="X961" i="20" s="1"/>
  <c r="Z961" i="20" s="1"/>
  <c r="V961" i="20"/>
  <c r="U961" i="20"/>
  <c r="S961" i="20"/>
  <c r="M961" i="20"/>
  <c r="L961" i="20"/>
  <c r="K961" i="20"/>
  <c r="J961" i="20"/>
  <c r="AC960" i="20"/>
  <c r="AA960" i="20"/>
  <c r="AB960" i="20" s="1"/>
  <c r="V960" i="20"/>
  <c r="W960" i="20" s="1"/>
  <c r="X960" i="20" s="1"/>
  <c r="U960" i="20"/>
  <c r="S960" i="20"/>
  <c r="M960" i="20"/>
  <c r="Q960" i="20" s="1"/>
  <c r="K960" i="20"/>
  <c r="L960" i="20" s="1"/>
  <c r="AB959" i="20"/>
  <c r="AA959" i="20"/>
  <c r="Z959" i="20"/>
  <c r="X959" i="20"/>
  <c r="Y959" i="20" s="1"/>
  <c r="V959" i="20"/>
  <c r="W959" i="20" s="1"/>
  <c r="U959" i="20"/>
  <c r="S959" i="20"/>
  <c r="K959" i="20"/>
  <c r="L959" i="20" s="1"/>
  <c r="J959" i="20"/>
  <c r="AA958" i="20"/>
  <c r="AB958" i="20" s="1"/>
  <c r="V958" i="20"/>
  <c r="W958" i="20" s="1"/>
  <c r="X958" i="20" s="1"/>
  <c r="Z958" i="20" s="1"/>
  <c r="U958" i="20"/>
  <c r="J958" i="20" s="1"/>
  <c r="S958" i="20"/>
  <c r="P958" i="20"/>
  <c r="N958" i="20"/>
  <c r="O958" i="20" s="1"/>
  <c r="M958" i="20"/>
  <c r="L958" i="20"/>
  <c r="K958" i="20"/>
  <c r="AA957" i="20"/>
  <c r="AB957" i="20" s="1"/>
  <c r="Z957" i="20"/>
  <c r="J957" i="20" s="1"/>
  <c r="Y957" i="20"/>
  <c r="X957" i="20"/>
  <c r="W957" i="20"/>
  <c r="V957" i="20"/>
  <c r="U957" i="20"/>
  <c r="S957" i="20"/>
  <c r="K957" i="20"/>
  <c r="L957" i="20" s="1"/>
  <c r="AA956" i="20"/>
  <c r="V956" i="20"/>
  <c r="W956" i="20" s="1"/>
  <c r="X956" i="20" s="1"/>
  <c r="U956" i="20"/>
  <c r="S956" i="20"/>
  <c r="K956" i="20"/>
  <c r="L956" i="20" s="1"/>
  <c r="AC955" i="20"/>
  <c r="AB955" i="20"/>
  <c r="AA955" i="20"/>
  <c r="Z955" i="20"/>
  <c r="J955" i="20" s="1"/>
  <c r="Y955" i="20"/>
  <c r="X955" i="20"/>
  <c r="W955" i="20"/>
  <c r="V955" i="20"/>
  <c r="U955" i="20"/>
  <c r="S955" i="20"/>
  <c r="M955" i="20"/>
  <c r="Q955" i="20" s="1"/>
  <c r="L955" i="20"/>
  <c r="K955" i="20"/>
  <c r="AA954" i="20"/>
  <c r="Y954" i="20"/>
  <c r="X954" i="20"/>
  <c r="Z954" i="20" s="1"/>
  <c r="J954" i="20" s="1"/>
  <c r="W954" i="20"/>
  <c r="V954" i="20"/>
  <c r="U954" i="20"/>
  <c r="S954" i="20"/>
  <c r="K954" i="20"/>
  <c r="M954" i="20" s="1"/>
  <c r="AC953" i="20"/>
  <c r="AA953" i="20"/>
  <c r="AB953" i="20" s="1"/>
  <c r="Z953" i="20"/>
  <c r="X953" i="20"/>
  <c r="Y953" i="20" s="1"/>
  <c r="V953" i="20"/>
  <c r="W953" i="20" s="1"/>
  <c r="U953" i="20"/>
  <c r="S953" i="20"/>
  <c r="M953" i="20"/>
  <c r="Q953" i="20" s="1"/>
  <c r="K953" i="20"/>
  <c r="L953" i="20" s="1"/>
  <c r="J953" i="20"/>
  <c r="AA952" i="20"/>
  <c r="X952" i="20"/>
  <c r="V952" i="20"/>
  <c r="W952" i="20" s="1"/>
  <c r="U952" i="20"/>
  <c r="S952" i="20"/>
  <c r="Q952" i="20"/>
  <c r="M952" i="20"/>
  <c r="AC952" i="20" s="1"/>
  <c r="L952" i="20"/>
  <c r="AB952" i="20" s="1"/>
  <c r="K952" i="20"/>
  <c r="AA951" i="20"/>
  <c r="V951" i="20"/>
  <c r="W951" i="20" s="1"/>
  <c r="X951" i="20" s="1"/>
  <c r="U951" i="20"/>
  <c r="S951" i="20"/>
  <c r="M951" i="20"/>
  <c r="L951" i="20"/>
  <c r="K951" i="20"/>
  <c r="AA950" i="20"/>
  <c r="V950" i="20"/>
  <c r="W950" i="20" s="1"/>
  <c r="X950" i="20" s="1"/>
  <c r="U950" i="20"/>
  <c r="S950" i="20"/>
  <c r="K950" i="20"/>
  <c r="AC949" i="20"/>
  <c r="AA949" i="20"/>
  <c r="W949" i="20"/>
  <c r="X949" i="20" s="1"/>
  <c r="V949" i="20"/>
  <c r="U949" i="20"/>
  <c r="S949" i="20"/>
  <c r="K949" i="20"/>
  <c r="M949" i="20" s="1"/>
  <c r="Q949" i="20" s="1"/>
  <c r="AA948" i="20"/>
  <c r="AB948" i="20" s="1"/>
  <c r="Z948" i="20"/>
  <c r="J948" i="20" s="1"/>
  <c r="W948" i="20"/>
  <c r="X948" i="20" s="1"/>
  <c r="Y948" i="20" s="1"/>
  <c r="V948" i="20"/>
  <c r="U948" i="20"/>
  <c r="S948" i="20"/>
  <c r="M948" i="20"/>
  <c r="L948" i="20"/>
  <c r="K948" i="20"/>
  <c r="AA947" i="20"/>
  <c r="X947" i="20"/>
  <c r="V947" i="20"/>
  <c r="W947" i="20" s="1"/>
  <c r="U947" i="20"/>
  <c r="S947" i="20"/>
  <c r="K947" i="20"/>
  <c r="M947" i="20" s="1"/>
  <c r="AA946" i="20"/>
  <c r="V946" i="20"/>
  <c r="W946" i="20" s="1"/>
  <c r="X946" i="20" s="1"/>
  <c r="U946" i="20"/>
  <c r="S946" i="20"/>
  <c r="K946" i="20"/>
  <c r="AC945" i="20"/>
  <c r="AA945" i="20"/>
  <c r="X945" i="20"/>
  <c r="W945" i="20"/>
  <c r="V945" i="20"/>
  <c r="U945" i="20"/>
  <c r="S945" i="20"/>
  <c r="L945" i="20"/>
  <c r="K945" i="20"/>
  <c r="M945" i="20" s="1"/>
  <c r="Q945" i="20" s="1"/>
  <c r="AA944" i="20"/>
  <c r="Z944" i="20"/>
  <c r="J944" i="20" s="1"/>
  <c r="X944" i="20"/>
  <c r="Y944" i="20" s="1"/>
  <c r="V944" i="20"/>
  <c r="W944" i="20" s="1"/>
  <c r="U944" i="20"/>
  <c r="S944" i="20"/>
  <c r="K944" i="20"/>
  <c r="M944" i="20" s="1"/>
  <c r="AA943" i="20"/>
  <c r="V943" i="20"/>
  <c r="W943" i="20" s="1"/>
  <c r="X943" i="20" s="1"/>
  <c r="U943" i="20"/>
  <c r="S943" i="20"/>
  <c r="K943" i="20"/>
  <c r="AC942" i="20"/>
  <c r="AA942" i="20"/>
  <c r="Z942" i="20"/>
  <c r="Y942" i="20"/>
  <c r="X942" i="20"/>
  <c r="W942" i="20"/>
  <c r="V942" i="20"/>
  <c r="U942" i="20"/>
  <c r="S942" i="20"/>
  <c r="Q942" i="20"/>
  <c r="L942" i="20"/>
  <c r="K942" i="20"/>
  <c r="M942" i="20" s="1"/>
  <c r="J942" i="20"/>
  <c r="AA941" i="20"/>
  <c r="W941" i="20"/>
  <c r="X941" i="20" s="1"/>
  <c r="V941" i="20"/>
  <c r="U941" i="20"/>
  <c r="S941" i="20"/>
  <c r="K941" i="20"/>
  <c r="M941" i="20" s="1"/>
  <c r="AA940" i="20"/>
  <c r="V940" i="20"/>
  <c r="W940" i="20" s="1"/>
  <c r="X940" i="20" s="1"/>
  <c r="U940" i="20"/>
  <c r="S940" i="20"/>
  <c r="K940" i="20"/>
  <c r="AC939" i="20"/>
  <c r="AA939" i="20"/>
  <c r="V939" i="20"/>
  <c r="W939" i="20" s="1"/>
  <c r="X939" i="20" s="1"/>
  <c r="U939" i="20"/>
  <c r="S939" i="20"/>
  <c r="K939" i="20"/>
  <c r="M939" i="20" s="1"/>
  <c r="Q939" i="20" s="1"/>
  <c r="AA938" i="20"/>
  <c r="Y938" i="20"/>
  <c r="X938" i="20"/>
  <c r="Z938" i="20" s="1"/>
  <c r="W938" i="20"/>
  <c r="V938" i="20"/>
  <c r="U938" i="20"/>
  <c r="S938" i="20"/>
  <c r="K938" i="20"/>
  <c r="J938" i="20"/>
  <c r="AC937" i="20"/>
  <c r="AA937" i="20"/>
  <c r="AB937" i="20" s="1"/>
  <c r="Z937" i="20"/>
  <c r="J937" i="20" s="1"/>
  <c r="P937" i="20" s="1"/>
  <c r="Y937" i="20"/>
  <c r="W937" i="20"/>
  <c r="X937" i="20" s="1"/>
  <c r="V937" i="20"/>
  <c r="U937" i="20"/>
  <c r="S937" i="20"/>
  <c r="Q937" i="20"/>
  <c r="N937" i="20"/>
  <c r="O937" i="20" s="1"/>
  <c r="M937" i="20"/>
  <c r="L937" i="20"/>
  <c r="K937" i="20"/>
  <c r="AA936" i="20"/>
  <c r="W936" i="20"/>
  <c r="X936" i="20" s="1"/>
  <c r="V936" i="20"/>
  <c r="U936" i="20"/>
  <c r="S936" i="20"/>
  <c r="K936" i="20"/>
  <c r="M936" i="20" s="1"/>
  <c r="AC936" i="20" s="1"/>
  <c r="AC935" i="20"/>
  <c r="AA935" i="20"/>
  <c r="Z935" i="20"/>
  <c r="J935" i="20" s="1"/>
  <c r="V935" i="20"/>
  <c r="W935" i="20" s="1"/>
  <c r="X935" i="20" s="1"/>
  <c r="Y935" i="20" s="1"/>
  <c r="U935" i="20"/>
  <c r="S935" i="20"/>
  <c r="Q935" i="20"/>
  <c r="M935" i="20"/>
  <c r="K935" i="20"/>
  <c r="L935" i="20" s="1"/>
  <c r="AA934" i="20"/>
  <c r="W934" i="20"/>
  <c r="X934" i="20" s="1"/>
  <c r="V934" i="20"/>
  <c r="U934" i="20"/>
  <c r="S934" i="20"/>
  <c r="Q934" i="20"/>
  <c r="M934" i="20"/>
  <c r="AC934" i="20" s="1"/>
  <c r="L934" i="20"/>
  <c r="K934" i="20"/>
  <c r="AA933" i="20"/>
  <c r="W933" i="20"/>
  <c r="X933" i="20" s="1"/>
  <c r="V933" i="20"/>
  <c r="U933" i="20"/>
  <c r="S933" i="20"/>
  <c r="K933" i="20"/>
  <c r="M933" i="20" s="1"/>
  <c r="AA932" i="20"/>
  <c r="V932" i="20"/>
  <c r="W932" i="20" s="1"/>
  <c r="X932" i="20" s="1"/>
  <c r="U932" i="20"/>
  <c r="S932" i="20"/>
  <c r="Q932" i="20"/>
  <c r="O932" i="20"/>
  <c r="N932" i="20"/>
  <c r="L932" i="20"/>
  <c r="AB932" i="20" s="1"/>
  <c r="K932" i="20"/>
  <c r="M932" i="20" s="1"/>
  <c r="AC932" i="20" s="1"/>
  <c r="AA931" i="20"/>
  <c r="Z931" i="20"/>
  <c r="W931" i="20"/>
  <c r="X931" i="20" s="1"/>
  <c r="Y931" i="20" s="1"/>
  <c r="V931" i="20"/>
  <c r="U931" i="20"/>
  <c r="J931" i="20" s="1"/>
  <c r="S931" i="20"/>
  <c r="Q931" i="20"/>
  <c r="K931" i="20"/>
  <c r="M931" i="20" s="1"/>
  <c r="AC931" i="20" s="1"/>
  <c r="AC930" i="20"/>
  <c r="AB930" i="20"/>
  <c r="AA930" i="20"/>
  <c r="V930" i="20"/>
  <c r="W930" i="20" s="1"/>
  <c r="X930" i="20" s="1"/>
  <c r="U930" i="20"/>
  <c r="S930" i="20"/>
  <c r="Q930" i="20"/>
  <c r="M930" i="20"/>
  <c r="L930" i="20"/>
  <c r="N930" i="20" s="1"/>
  <c r="O930" i="20" s="1"/>
  <c r="K930" i="20"/>
  <c r="AA929" i="20"/>
  <c r="V929" i="20"/>
  <c r="W929" i="20" s="1"/>
  <c r="X929" i="20" s="1"/>
  <c r="U929" i="20"/>
  <c r="S929" i="20"/>
  <c r="M929" i="20"/>
  <c r="L929" i="20"/>
  <c r="K929" i="20"/>
  <c r="AC928" i="20"/>
  <c r="AA928" i="20"/>
  <c r="AB928" i="20" s="1"/>
  <c r="V928" i="20"/>
  <c r="W928" i="20" s="1"/>
  <c r="X928" i="20" s="1"/>
  <c r="U928" i="20"/>
  <c r="S928" i="20"/>
  <c r="N928" i="20"/>
  <c r="O928" i="20" s="1"/>
  <c r="M928" i="20"/>
  <c r="Q928" i="20" s="1"/>
  <c r="L928" i="20"/>
  <c r="K928" i="20"/>
  <c r="AA927" i="20"/>
  <c r="Y927" i="20"/>
  <c r="V927" i="20"/>
  <c r="W927" i="20" s="1"/>
  <c r="X927" i="20" s="1"/>
  <c r="Z927" i="20" s="1"/>
  <c r="U927" i="20"/>
  <c r="S927" i="20"/>
  <c r="M927" i="20"/>
  <c r="L927" i="20"/>
  <c r="K927" i="20"/>
  <c r="AC926" i="20"/>
  <c r="AA926" i="20"/>
  <c r="V926" i="20"/>
  <c r="W926" i="20" s="1"/>
  <c r="X926" i="20" s="1"/>
  <c r="Z926" i="20" s="1"/>
  <c r="U926" i="20"/>
  <c r="J926" i="20" s="1"/>
  <c r="S926" i="20"/>
  <c r="K926" i="20"/>
  <c r="M926" i="20" s="1"/>
  <c r="Q926" i="20" s="1"/>
  <c r="AA925" i="20"/>
  <c r="V925" i="20"/>
  <c r="W925" i="20" s="1"/>
  <c r="X925" i="20" s="1"/>
  <c r="Z925" i="20" s="1"/>
  <c r="J925" i="20" s="1"/>
  <c r="U925" i="20"/>
  <c r="S925" i="20"/>
  <c r="K925" i="20"/>
  <c r="AA924" i="20"/>
  <c r="X924" i="20"/>
  <c r="V924" i="20"/>
  <c r="W924" i="20" s="1"/>
  <c r="U924" i="20"/>
  <c r="S924" i="20"/>
  <c r="K924" i="20"/>
  <c r="AA923" i="20"/>
  <c r="X923" i="20"/>
  <c r="Z923" i="20" s="1"/>
  <c r="W923" i="20"/>
  <c r="V923" i="20"/>
  <c r="U923" i="20"/>
  <c r="S923" i="20"/>
  <c r="Q923" i="20"/>
  <c r="N923" i="20"/>
  <c r="O923" i="20" s="1"/>
  <c r="L923" i="20"/>
  <c r="K923" i="20"/>
  <c r="M923" i="20" s="1"/>
  <c r="AC923" i="20" s="1"/>
  <c r="J923" i="20"/>
  <c r="AC922" i="20"/>
  <c r="AA922" i="20"/>
  <c r="AB922" i="20" s="1"/>
  <c r="Z922" i="20"/>
  <c r="J922" i="20" s="1"/>
  <c r="Y922" i="20"/>
  <c r="X922" i="20"/>
  <c r="W922" i="20"/>
  <c r="V922" i="20"/>
  <c r="U922" i="20"/>
  <c r="S922" i="20"/>
  <c r="M922" i="20"/>
  <c r="Q922" i="20" s="1"/>
  <c r="L922" i="20"/>
  <c r="K922" i="20"/>
  <c r="AA921" i="20"/>
  <c r="X921" i="20"/>
  <c r="V921" i="20"/>
  <c r="W921" i="20" s="1"/>
  <c r="U921" i="20"/>
  <c r="S921" i="20"/>
  <c r="Q921" i="20"/>
  <c r="K921" i="20"/>
  <c r="M921" i="20" s="1"/>
  <c r="AC921" i="20" s="1"/>
  <c r="AC920" i="20"/>
  <c r="AB920" i="20"/>
  <c r="AA920" i="20"/>
  <c r="W920" i="20"/>
  <c r="X920" i="20" s="1"/>
  <c r="V920" i="20"/>
  <c r="U920" i="20"/>
  <c r="S920" i="20"/>
  <c r="Q920" i="20"/>
  <c r="N920" i="20"/>
  <c r="O920" i="20" s="1"/>
  <c r="M920" i="20"/>
  <c r="L920" i="20"/>
  <c r="K920" i="20"/>
  <c r="AA919" i="20"/>
  <c r="W919" i="20"/>
  <c r="X919" i="20" s="1"/>
  <c r="V919" i="20"/>
  <c r="U919" i="20"/>
  <c r="S919" i="20"/>
  <c r="Q919" i="20"/>
  <c r="M919" i="20"/>
  <c r="AC919" i="20" s="1"/>
  <c r="L919" i="20"/>
  <c r="K919" i="20"/>
  <c r="AA918" i="20"/>
  <c r="W918" i="20"/>
  <c r="X918" i="20" s="1"/>
  <c r="Z918" i="20" s="1"/>
  <c r="J918" i="20" s="1"/>
  <c r="V918" i="20"/>
  <c r="U918" i="20"/>
  <c r="S918" i="20"/>
  <c r="M918" i="20"/>
  <c r="L918" i="20"/>
  <c r="K918" i="20"/>
  <c r="AA917" i="20"/>
  <c r="W917" i="20"/>
  <c r="X917" i="20" s="1"/>
  <c r="V917" i="20"/>
  <c r="U917" i="20"/>
  <c r="S917" i="20"/>
  <c r="K917" i="20"/>
  <c r="AA916" i="20"/>
  <c r="Y916" i="20"/>
  <c r="W916" i="20"/>
  <c r="X916" i="20" s="1"/>
  <c r="Z916" i="20" s="1"/>
  <c r="J916" i="20" s="1"/>
  <c r="V916" i="20"/>
  <c r="U916" i="20"/>
  <c r="S916" i="20"/>
  <c r="K916" i="20"/>
  <c r="M916" i="20" s="1"/>
  <c r="AA915" i="20"/>
  <c r="V915" i="20"/>
  <c r="W915" i="20" s="1"/>
  <c r="X915" i="20" s="1"/>
  <c r="U915" i="20"/>
  <c r="S915" i="20"/>
  <c r="L915" i="20"/>
  <c r="K915" i="20"/>
  <c r="M915" i="20" s="1"/>
  <c r="AA914" i="20"/>
  <c r="V914" i="20"/>
  <c r="W914" i="20" s="1"/>
  <c r="X914" i="20" s="1"/>
  <c r="U914" i="20"/>
  <c r="S914" i="20"/>
  <c r="Q914" i="20"/>
  <c r="M914" i="20"/>
  <c r="AC914" i="20" s="1"/>
  <c r="L914" i="20"/>
  <c r="K914" i="20"/>
  <c r="AC913" i="20"/>
  <c r="AA913" i="20"/>
  <c r="Z913" i="20"/>
  <c r="Y913" i="20"/>
  <c r="X913" i="20"/>
  <c r="W913" i="20"/>
  <c r="V913" i="20"/>
  <c r="U913" i="20"/>
  <c r="S913" i="20"/>
  <c r="L913" i="20"/>
  <c r="K913" i="20"/>
  <c r="M913" i="20" s="1"/>
  <c r="Q913" i="20" s="1"/>
  <c r="AA912" i="20"/>
  <c r="V912" i="20"/>
  <c r="W912" i="20" s="1"/>
  <c r="X912" i="20" s="1"/>
  <c r="U912" i="20"/>
  <c r="S912" i="20"/>
  <c r="L912" i="20"/>
  <c r="K912" i="20"/>
  <c r="M912" i="20" s="1"/>
  <c r="AC912" i="20" s="1"/>
  <c r="AC911" i="20"/>
  <c r="AB911" i="20"/>
  <c r="AA911" i="20"/>
  <c r="X911" i="20"/>
  <c r="V911" i="20"/>
  <c r="W911" i="20" s="1"/>
  <c r="U911" i="20"/>
  <c r="S911" i="20"/>
  <c r="M911" i="20"/>
  <c r="Q911" i="20" s="1"/>
  <c r="K911" i="20"/>
  <c r="L911" i="20" s="1"/>
  <c r="AA910" i="20"/>
  <c r="V910" i="20"/>
  <c r="W910" i="20" s="1"/>
  <c r="X910" i="20" s="1"/>
  <c r="U910" i="20"/>
  <c r="S910" i="20"/>
  <c r="M910" i="20"/>
  <c r="L910" i="20"/>
  <c r="K910" i="20"/>
  <c r="AA909" i="20"/>
  <c r="V909" i="20"/>
  <c r="W909" i="20" s="1"/>
  <c r="X909" i="20" s="1"/>
  <c r="U909" i="20"/>
  <c r="S909" i="20"/>
  <c r="M909" i="20"/>
  <c r="AC909" i="20" s="1"/>
  <c r="K909" i="20"/>
  <c r="L909" i="20" s="1"/>
  <c r="AA908" i="20"/>
  <c r="W908" i="20"/>
  <c r="X908" i="20" s="1"/>
  <c r="V908" i="20"/>
  <c r="U908" i="20"/>
  <c r="S908" i="20"/>
  <c r="K908" i="20"/>
  <c r="AC907" i="20"/>
  <c r="AA907" i="20"/>
  <c r="X907" i="20"/>
  <c r="V907" i="20"/>
  <c r="W907" i="20" s="1"/>
  <c r="U907" i="20"/>
  <c r="S907" i="20"/>
  <c r="Q907" i="20"/>
  <c r="K907" i="20"/>
  <c r="M907" i="20" s="1"/>
  <c r="AA906" i="20"/>
  <c r="W906" i="20"/>
  <c r="X906" i="20" s="1"/>
  <c r="V906" i="20"/>
  <c r="U906" i="20"/>
  <c r="S906" i="20"/>
  <c r="L906" i="20"/>
  <c r="K906" i="20"/>
  <c r="M906" i="20" s="1"/>
  <c r="AA905" i="20"/>
  <c r="V905" i="20"/>
  <c r="W905" i="20" s="1"/>
  <c r="X905" i="20" s="1"/>
  <c r="U905" i="20"/>
  <c r="S905" i="20"/>
  <c r="K905" i="20"/>
  <c r="AA904" i="20"/>
  <c r="V904" i="20"/>
  <c r="W904" i="20" s="1"/>
  <c r="X904" i="20" s="1"/>
  <c r="U904" i="20"/>
  <c r="S904" i="20"/>
  <c r="M904" i="20"/>
  <c r="L904" i="20"/>
  <c r="K904" i="20"/>
  <c r="AC903" i="20"/>
  <c r="AA903" i="20"/>
  <c r="AB903" i="20" s="1"/>
  <c r="W903" i="20"/>
  <c r="X903" i="20" s="1"/>
  <c r="Z903" i="20" s="1"/>
  <c r="J903" i="20" s="1"/>
  <c r="V903" i="20"/>
  <c r="U903" i="20"/>
  <c r="S903" i="20"/>
  <c r="M903" i="20"/>
  <c r="Q903" i="20" s="1"/>
  <c r="K903" i="20"/>
  <c r="L903" i="20" s="1"/>
  <c r="AA902" i="20"/>
  <c r="Z902" i="20"/>
  <c r="Y902" i="20"/>
  <c r="V902" i="20"/>
  <c r="W902" i="20" s="1"/>
  <c r="X902" i="20" s="1"/>
  <c r="U902" i="20"/>
  <c r="S902" i="20"/>
  <c r="K902" i="20"/>
  <c r="J902" i="20"/>
  <c r="AA901" i="20"/>
  <c r="Z901" i="20"/>
  <c r="W901" i="20"/>
  <c r="X901" i="20" s="1"/>
  <c r="Y901" i="20" s="1"/>
  <c r="V901" i="20"/>
  <c r="U901" i="20"/>
  <c r="S901" i="20"/>
  <c r="K901" i="20"/>
  <c r="L901" i="20" s="1"/>
  <c r="J901" i="20"/>
  <c r="AA900" i="20"/>
  <c r="X900" i="20"/>
  <c r="Z900" i="20" s="1"/>
  <c r="J900" i="20" s="1"/>
  <c r="W900" i="20"/>
  <c r="V900" i="20"/>
  <c r="U900" i="20"/>
  <c r="S900" i="20"/>
  <c r="M900" i="20"/>
  <c r="L900" i="20"/>
  <c r="K900" i="20"/>
  <c r="AA899" i="20"/>
  <c r="Z899" i="20"/>
  <c r="V899" i="20"/>
  <c r="W899" i="20" s="1"/>
  <c r="X899" i="20" s="1"/>
  <c r="Y899" i="20" s="1"/>
  <c r="U899" i="20"/>
  <c r="S899" i="20"/>
  <c r="K899" i="20"/>
  <c r="J899" i="20"/>
  <c r="AC898" i="20"/>
  <c r="AB898" i="20"/>
  <c r="AA898" i="20"/>
  <c r="W898" i="20"/>
  <c r="X898" i="20" s="1"/>
  <c r="V898" i="20"/>
  <c r="U898" i="20"/>
  <c r="S898" i="20"/>
  <c r="M898" i="20"/>
  <c r="Q898" i="20" s="1"/>
  <c r="L898" i="20"/>
  <c r="K898" i="20"/>
  <c r="AC897" i="20"/>
  <c r="AA897" i="20"/>
  <c r="V897" i="20"/>
  <c r="W897" i="20" s="1"/>
  <c r="X897" i="20" s="1"/>
  <c r="U897" i="20"/>
  <c r="S897" i="20"/>
  <c r="K897" i="20"/>
  <c r="M897" i="20" s="1"/>
  <c r="Q897" i="20" s="1"/>
  <c r="AA896" i="20"/>
  <c r="AB896" i="20" s="1"/>
  <c r="Y896" i="20"/>
  <c r="V896" i="20"/>
  <c r="W896" i="20" s="1"/>
  <c r="X896" i="20" s="1"/>
  <c r="Z896" i="20" s="1"/>
  <c r="U896" i="20"/>
  <c r="S896" i="20"/>
  <c r="K896" i="20"/>
  <c r="L896" i="20" s="1"/>
  <c r="AA895" i="20"/>
  <c r="V895" i="20"/>
  <c r="W895" i="20" s="1"/>
  <c r="X895" i="20" s="1"/>
  <c r="Y895" i="20" s="1"/>
  <c r="U895" i="20"/>
  <c r="S895" i="20"/>
  <c r="K895" i="20"/>
  <c r="L895" i="20" s="1"/>
  <c r="AB895" i="20" s="1"/>
  <c r="AC894" i="20"/>
  <c r="AB894" i="20"/>
  <c r="AA894" i="20"/>
  <c r="Z894" i="20"/>
  <c r="J894" i="20" s="1"/>
  <c r="W894" i="20"/>
  <c r="X894" i="20" s="1"/>
  <c r="Y894" i="20" s="1"/>
  <c r="V894" i="20"/>
  <c r="U894" i="20"/>
  <c r="S894" i="20"/>
  <c r="Q894" i="20"/>
  <c r="P894" i="20"/>
  <c r="N894" i="20"/>
  <c r="O894" i="20" s="1"/>
  <c r="L894" i="20"/>
  <c r="K894" i="20"/>
  <c r="M894" i="20" s="1"/>
  <c r="AA893" i="20"/>
  <c r="V893" i="20"/>
  <c r="W893" i="20" s="1"/>
  <c r="X893" i="20" s="1"/>
  <c r="U893" i="20"/>
  <c r="S893" i="20"/>
  <c r="Q893" i="20"/>
  <c r="M893" i="20"/>
  <c r="AC893" i="20" s="1"/>
  <c r="L893" i="20"/>
  <c r="AB893" i="20" s="1"/>
  <c r="K893" i="20"/>
  <c r="AC892" i="20"/>
  <c r="AA892" i="20"/>
  <c r="V892" i="20"/>
  <c r="W892" i="20" s="1"/>
  <c r="X892" i="20" s="1"/>
  <c r="U892" i="20"/>
  <c r="S892" i="20"/>
  <c r="Q892" i="20"/>
  <c r="K892" i="20"/>
  <c r="M892" i="20" s="1"/>
  <c r="AA891" i="20"/>
  <c r="V891" i="20"/>
  <c r="W891" i="20" s="1"/>
  <c r="X891" i="20" s="1"/>
  <c r="U891" i="20"/>
  <c r="S891" i="20"/>
  <c r="M891" i="20"/>
  <c r="AC891" i="20" s="1"/>
  <c r="L891" i="20"/>
  <c r="K891" i="20"/>
  <c r="AA890" i="20"/>
  <c r="X890" i="20"/>
  <c r="Z890" i="20" s="1"/>
  <c r="W890" i="20"/>
  <c r="V890" i="20"/>
  <c r="U890" i="20"/>
  <c r="S890" i="20"/>
  <c r="K890" i="20"/>
  <c r="AA889" i="20"/>
  <c r="V889" i="20"/>
  <c r="W889" i="20" s="1"/>
  <c r="X889" i="20" s="1"/>
  <c r="U889" i="20"/>
  <c r="S889" i="20"/>
  <c r="N889" i="20"/>
  <c r="O889" i="20" s="1"/>
  <c r="L889" i="20"/>
  <c r="AB889" i="20" s="1"/>
  <c r="K889" i="20"/>
  <c r="M889" i="20" s="1"/>
  <c r="AC889" i="20" s="1"/>
  <c r="AA888" i="20"/>
  <c r="W888" i="20"/>
  <c r="X888" i="20" s="1"/>
  <c r="V888" i="20"/>
  <c r="U888" i="20"/>
  <c r="S888" i="20"/>
  <c r="K888" i="20"/>
  <c r="M888" i="20" s="1"/>
  <c r="AA887" i="20"/>
  <c r="V887" i="20"/>
  <c r="W887" i="20" s="1"/>
  <c r="X887" i="20" s="1"/>
  <c r="U887" i="20"/>
  <c r="S887" i="20"/>
  <c r="K887" i="20"/>
  <c r="AA886" i="20"/>
  <c r="Z886" i="20"/>
  <c r="J886" i="20" s="1"/>
  <c r="V886" i="20"/>
  <c r="W886" i="20" s="1"/>
  <c r="X886" i="20" s="1"/>
  <c r="Y886" i="20" s="1"/>
  <c r="U886" i="20"/>
  <c r="S886" i="20"/>
  <c r="Q886" i="20"/>
  <c r="M886" i="20"/>
  <c r="AC886" i="20" s="1"/>
  <c r="L886" i="20"/>
  <c r="AB886" i="20" s="1"/>
  <c r="K886" i="20"/>
  <c r="AC885" i="20"/>
  <c r="AA885" i="20"/>
  <c r="W885" i="20"/>
  <c r="X885" i="20" s="1"/>
  <c r="V885" i="20"/>
  <c r="U885" i="20"/>
  <c r="S885" i="20"/>
  <c r="M885" i="20"/>
  <c r="Q885" i="20" s="1"/>
  <c r="L885" i="20"/>
  <c r="K885" i="20"/>
  <c r="AA884" i="20"/>
  <c r="X884" i="20"/>
  <c r="W884" i="20"/>
  <c r="V884" i="20"/>
  <c r="U884" i="20"/>
  <c r="S884" i="20"/>
  <c r="L884" i="20"/>
  <c r="K884" i="20"/>
  <c r="M884" i="20" s="1"/>
  <c r="AC883" i="20"/>
  <c r="AA883" i="20"/>
  <c r="W883" i="20"/>
  <c r="X883" i="20" s="1"/>
  <c r="V883" i="20"/>
  <c r="U883" i="20"/>
  <c r="S883" i="20"/>
  <c r="K883" i="20"/>
  <c r="M883" i="20" s="1"/>
  <c r="Q883" i="20" s="1"/>
  <c r="AA882" i="20"/>
  <c r="W882" i="20"/>
  <c r="X882" i="20" s="1"/>
  <c r="Z882" i="20" s="1"/>
  <c r="V882" i="20"/>
  <c r="U882" i="20"/>
  <c r="S882" i="20"/>
  <c r="K882" i="20"/>
  <c r="M882" i="20" s="1"/>
  <c r="AC882" i="20" s="1"/>
  <c r="J882" i="20"/>
  <c r="AC881" i="20"/>
  <c r="AB881" i="20"/>
  <c r="AA881" i="20"/>
  <c r="V881" i="20"/>
  <c r="W881" i="20" s="1"/>
  <c r="X881" i="20" s="1"/>
  <c r="U881" i="20"/>
  <c r="S881" i="20"/>
  <c r="N881" i="20"/>
  <c r="O881" i="20" s="1"/>
  <c r="L881" i="20"/>
  <c r="P881" i="20" s="1"/>
  <c r="K881" i="20"/>
  <c r="M881" i="20" s="1"/>
  <c r="Q881" i="20" s="1"/>
  <c r="AA880" i="20"/>
  <c r="V880" i="20"/>
  <c r="W880" i="20" s="1"/>
  <c r="X880" i="20" s="1"/>
  <c r="Y880" i="20" s="1"/>
  <c r="U880" i="20"/>
  <c r="S880" i="20"/>
  <c r="K880" i="20"/>
  <c r="AA879" i="20"/>
  <c r="V879" i="20"/>
  <c r="W879" i="20" s="1"/>
  <c r="X879" i="20" s="1"/>
  <c r="U879" i="20"/>
  <c r="S879" i="20"/>
  <c r="M879" i="20"/>
  <c r="L879" i="20"/>
  <c r="K879" i="20"/>
  <c r="AA878" i="20"/>
  <c r="X878" i="20"/>
  <c r="Z878" i="20" s="1"/>
  <c r="J878" i="20" s="1"/>
  <c r="V878" i="20"/>
  <c r="W878" i="20" s="1"/>
  <c r="U878" i="20"/>
  <c r="S878" i="20"/>
  <c r="K878" i="20"/>
  <c r="AC877" i="20"/>
  <c r="AA877" i="20"/>
  <c r="X877" i="20"/>
  <c r="V877" i="20"/>
  <c r="W877" i="20" s="1"/>
  <c r="U877" i="20"/>
  <c r="S877" i="20"/>
  <c r="M877" i="20"/>
  <c r="Q877" i="20" s="1"/>
  <c r="K877" i="20"/>
  <c r="L877" i="20" s="1"/>
  <c r="AA876" i="20"/>
  <c r="AB876" i="20" s="1"/>
  <c r="V876" i="20"/>
  <c r="W876" i="20" s="1"/>
  <c r="X876" i="20" s="1"/>
  <c r="U876" i="20"/>
  <c r="S876" i="20"/>
  <c r="M876" i="20"/>
  <c r="Q876" i="20" s="1"/>
  <c r="K876" i="20"/>
  <c r="L876" i="20" s="1"/>
  <c r="AB875" i="20"/>
  <c r="AA875" i="20"/>
  <c r="W875" i="20"/>
  <c r="X875" i="20" s="1"/>
  <c r="V875" i="20"/>
  <c r="U875" i="20"/>
  <c r="S875" i="20"/>
  <c r="M875" i="20"/>
  <c r="L875" i="20"/>
  <c r="K875" i="20"/>
  <c r="AC874" i="20"/>
  <c r="AA874" i="20"/>
  <c r="Y874" i="20"/>
  <c r="V874" i="20"/>
  <c r="W874" i="20" s="1"/>
  <c r="X874" i="20" s="1"/>
  <c r="Z874" i="20" s="1"/>
  <c r="J874" i="20" s="1"/>
  <c r="U874" i="20"/>
  <c r="S874" i="20"/>
  <c r="K874" i="20"/>
  <c r="M874" i="20" s="1"/>
  <c r="Q874" i="20" s="1"/>
  <c r="AA873" i="20"/>
  <c r="V873" i="20"/>
  <c r="W873" i="20" s="1"/>
  <c r="X873" i="20" s="1"/>
  <c r="U873" i="20"/>
  <c r="S873" i="20"/>
  <c r="K873" i="20"/>
  <c r="AA872" i="20"/>
  <c r="Y872" i="20"/>
  <c r="W872" i="20"/>
  <c r="X872" i="20" s="1"/>
  <c r="Z872" i="20" s="1"/>
  <c r="J872" i="20" s="1"/>
  <c r="V872" i="20"/>
  <c r="U872" i="20"/>
  <c r="S872" i="20"/>
  <c r="K872" i="20"/>
  <c r="M872" i="20" s="1"/>
  <c r="AC872" i="20" s="1"/>
  <c r="AB871" i="20"/>
  <c r="AA871" i="20"/>
  <c r="V871" i="20"/>
  <c r="W871" i="20" s="1"/>
  <c r="X871" i="20" s="1"/>
  <c r="U871" i="20"/>
  <c r="S871" i="20"/>
  <c r="N871" i="20"/>
  <c r="O871" i="20" s="1"/>
  <c r="M871" i="20"/>
  <c r="L871" i="20"/>
  <c r="K871" i="20"/>
  <c r="AA870" i="20"/>
  <c r="Y870" i="20"/>
  <c r="V870" i="20"/>
  <c r="W870" i="20" s="1"/>
  <c r="X870" i="20" s="1"/>
  <c r="Z870" i="20" s="1"/>
  <c r="U870" i="20"/>
  <c r="S870" i="20"/>
  <c r="K870" i="20"/>
  <c r="AA869" i="20"/>
  <c r="W869" i="20"/>
  <c r="X869" i="20" s="1"/>
  <c r="V869" i="20"/>
  <c r="U869" i="20"/>
  <c r="S869" i="20"/>
  <c r="K869" i="20"/>
  <c r="M869" i="20" s="1"/>
  <c r="AA868" i="20"/>
  <c r="V868" i="20"/>
  <c r="W868" i="20" s="1"/>
  <c r="X868" i="20" s="1"/>
  <c r="U868" i="20"/>
  <c r="S868" i="20"/>
  <c r="L868" i="20"/>
  <c r="K868" i="20"/>
  <c r="M868" i="20" s="1"/>
  <c r="AC868" i="20" s="1"/>
  <c r="AA867" i="20"/>
  <c r="W867" i="20"/>
  <c r="X867" i="20" s="1"/>
  <c r="V867" i="20"/>
  <c r="U867" i="20"/>
  <c r="S867" i="20"/>
  <c r="K867" i="20"/>
  <c r="AA866" i="20"/>
  <c r="Y866" i="20"/>
  <c r="V866" i="20"/>
  <c r="W866" i="20" s="1"/>
  <c r="X866" i="20" s="1"/>
  <c r="Z866" i="20" s="1"/>
  <c r="U866" i="20"/>
  <c r="S866" i="20"/>
  <c r="K866" i="20"/>
  <c r="M866" i="20" s="1"/>
  <c r="AA865" i="20"/>
  <c r="Z865" i="20"/>
  <c r="V865" i="20"/>
  <c r="W865" i="20" s="1"/>
  <c r="X865" i="20" s="1"/>
  <c r="Y865" i="20" s="1"/>
  <c r="U865" i="20"/>
  <c r="J865" i="20" s="1"/>
  <c r="S865" i="20"/>
  <c r="P865" i="20"/>
  <c r="L865" i="20"/>
  <c r="AB865" i="20" s="1"/>
  <c r="K865" i="20"/>
  <c r="M865" i="20" s="1"/>
  <c r="Q865" i="20" s="1"/>
  <c r="AA864" i="20"/>
  <c r="W864" i="20"/>
  <c r="X864" i="20" s="1"/>
  <c r="Z864" i="20" s="1"/>
  <c r="V864" i="20"/>
  <c r="U864" i="20"/>
  <c r="S864" i="20"/>
  <c r="M864" i="20"/>
  <c r="AC864" i="20" s="1"/>
  <c r="K864" i="20"/>
  <c r="L864" i="20" s="1"/>
  <c r="AB864" i="20" s="1"/>
  <c r="AA863" i="20"/>
  <c r="Z863" i="20"/>
  <c r="J863" i="20" s="1"/>
  <c r="V863" i="20"/>
  <c r="W863" i="20" s="1"/>
  <c r="X863" i="20" s="1"/>
  <c r="Y863" i="20" s="1"/>
  <c r="U863" i="20"/>
  <c r="S863" i="20"/>
  <c r="M863" i="20"/>
  <c r="K863" i="20"/>
  <c r="L863" i="20" s="1"/>
  <c r="AA862" i="20"/>
  <c r="W862" i="20"/>
  <c r="X862" i="20" s="1"/>
  <c r="V862" i="20"/>
  <c r="U862" i="20"/>
  <c r="S862" i="20"/>
  <c r="K862" i="20"/>
  <c r="AA861" i="20"/>
  <c r="X861" i="20"/>
  <c r="Z861" i="20" s="1"/>
  <c r="J861" i="20" s="1"/>
  <c r="W861" i="20"/>
  <c r="V861" i="20"/>
  <c r="U861" i="20"/>
  <c r="S861" i="20"/>
  <c r="K861" i="20"/>
  <c r="AA860" i="20"/>
  <c r="Z860" i="20"/>
  <c r="Y860" i="20"/>
  <c r="W860" i="20"/>
  <c r="X860" i="20" s="1"/>
  <c r="V860" i="20"/>
  <c r="U860" i="20"/>
  <c r="S860" i="20"/>
  <c r="Q860" i="20"/>
  <c r="M860" i="20"/>
  <c r="AC860" i="20" s="1"/>
  <c r="L860" i="20"/>
  <c r="K860" i="20"/>
  <c r="J860" i="20"/>
  <c r="AA859" i="20"/>
  <c r="W859" i="20"/>
  <c r="X859" i="20" s="1"/>
  <c r="V859" i="20"/>
  <c r="U859" i="20"/>
  <c r="S859" i="20"/>
  <c r="K859" i="20"/>
  <c r="M859" i="20" s="1"/>
  <c r="AB858" i="20"/>
  <c r="AA858" i="20"/>
  <c r="W858" i="20"/>
  <c r="X858" i="20" s="1"/>
  <c r="V858" i="20"/>
  <c r="U858" i="20"/>
  <c r="S858" i="20"/>
  <c r="M858" i="20"/>
  <c r="L858" i="20"/>
  <c r="K858" i="20"/>
  <c r="AA857" i="20"/>
  <c r="V857" i="20"/>
  <c r="W857" i="20" s="1"/>
  <c r="X857" i="20" s="1"/>
  <c r="U857" i="20"/>
  <c r="S857" i="20"/>
  <c r="P857" i="20"/>
  <c r="M857" i="20"/>
  <c r="AC857" i="20" s="1"/>
  <c r="K857" i="20"/>
  <c r="L857" i="20" s="1"/>
  <c r="AB856" i="20"/>
  <c r="AA856" i="20"/>
  <c r="X856" i="20"/>
  <c r="Z856" i="20" s="1"/>
  <c r="J856" i="20" s="1"/>
  <c r="V856" i="20"/>
  <c r="W856" i="20" s="1"/>
  <c r="U856" i="20"/>
  <c r="S856" i="20"/>
  <c r="Q856" i="20"/>
  <c r="P856" i="20"/>
  <c r="L856" i="20"/>
  <c r="K856" i="20"/>
  <c r="M856" i="20" s="1"/>
  <c r="AC856" i="20" s="1"/>
  <c r="AC855" i="20"/>
  <c r="AA855" i="20"/>
  <c r="V855" i="20"/>
  <c r="W855" i="20" s="1"/>
  <c r="X855" i="20" s="1"/>
  <c r="U855" i="20"/>
  <c r="S855" i="20"/>
  <c r="K855" i="20"/>
  <c r="M855" i="20" s="1"/>
  <c r="Q855" i="20" s="1"/>
  <c r="AB854" i="20"/>
  <c r="AA854" i="20"/>
  <c r="V854" i="20"/>
  <c r="W854" i="20" s="1"/>
  <c r="X854" i="20" s="1"/>
  <c r="U854" i="20"/>
  <c r="S854" i="20"/>
  <c r="N854" i="20"/>
  <c r="O854" i="20" s="1"/>
  <c r="M854" i="20"/>
  <c r="L854" i="20"/>
  <c r="K854" i="20"/>
  <c r="AA853" i="20"/>
  <c r="Z853" i="20"/>
  <c r="V853" i="20"/>
  <c r="W853" i="20" s="1"/>
  <c r="X853" i="20" s="1"/>
  <c r="Y853" i="20" s="1"/>
  <c r="U853" i="20"/>
  <c r="S853" i="20"/>
  <c r="K853" i="20"/>
  <c r="J853" i="20"/>
  <c r="AA852" i="20"/>
  <c r="W852" i="20"/>
  <c r="X852" i="20" s="1"/>
  <c r="V852" i="20"/>
  <c r="U852" i="20"/>
  <c r="S852" i="20"/>
  <c r="N852" i="20"/>
  <c r="O852" i="20" s="1"/>
  <c r="M852" i="20"/>
  <c r="AC852" i="20" s="1"/>
  <c r="K852" i="20"/>
  <c r="L852" i="20" s="1"/>
  <c r="AB852" i="20" s="1"/>
  <c r="AA851" i="20"/>
  <c r="V851" i="20"/>
  <c r="W851" i="20" s="1"/>
  <c r="X851" i="20" s="1"/>
  <c r="U851" i="20"/>
  <c r="S851" i="20"/>
  <c r="M851" i="20"/>
  <c r="L851" i="20"/>
  <c r="AB851" i="20" s="1"/>
  <c r="K851" i="20"/>
  <c r="AA850" i="20"/>
  <c r="V850" i="20"/>
  <c r="W850" i="20" s="1"/>
  <c r="X850" i="20" s="1"/>
  <c r="Z850" i="20" s="1"/>
  <c r="U850" i="20"/>
  <c r="S850" i="20"/>
  <c r="K850" i="20"/>
  <c r="AA849" i="20"/>
  <c r="AB849" i="20" s="1"/>
  <c r="V849" i="20"/>
  <c r="W849" i="20" s="1"/>
  <c r="X849" i="20" s="1"/>
  <c r="Z849" i="20" s="1"/>
  <c r="J849" i="20" s="1"/>
  <c r="P849" i="20" s="1"/>
  <c r="U849" i="20"/>
  <c r="S849" i="20"/>
  <c r="L849" i="20"/>
  <c r="N849" i="20" s="1"/>
  <c r="O849" i="20" s="1"/>
  <c r="K849" i="20"/>
  <c r="M849" i="20" s="1"/>
  <c r="AC849" i="20" s="1"/>
  <c r="AA848" i="20"/>
  <c r="X848" i="20"/>
  <c r="Y848" i="20" s="1"/>
  <c r="V848" i="20"/>
  <c r="W848" i="20" s="1"/>
  <c r="U848" i="20"/>
  <c r="S848" i="20"/>
  <c r="K848" i="20"/>
  <c r="L848" i="20" s="1"/>
  <c r="AB848" i="20" s="1"/>
  <c r="AC847" i="20"/>
  <c r="AA847" i="20"/>
  <c r="AB847" i="20" s="1"/>
  <c r="Z847" i="20"/>
  <c r="J847" i="20" s="1"/>
  <c r="P847" i="20" s="1"/>
  <c r="W847" i="20"/>
  <c r="X847" i="20" s="1"/>
  <c r="Y847" i="20" s="1"/>
  <c r="V847" i="20"/>
  <c r="U847" i="20"/>
  <c r="S847" i="20"/>
  <c r="M847" i="20"/>
  <c r="Q847" i="20" s="1"/>
  <c r="L847" i="20"/>
  <c r="K847" i="20"/>
  <c r="AA846" i="20"/>
  <c r="V846" i="20"/>
  <c r="W846" i="20" s="1"/>
  <c r="X846" i="20" s="1"/>
  <c r="U846" i="20"/>
  <c r="S846" i="20"/>
  <c r="K846" i="20"/>
  <c r="AC845" i="20"/>
  <c r="AB845" i="20"/>
  <c r="AA845" i="20"/>
  <c r="V845" i="20"/>
  <c r="W845" i="20" s="1"/>
  <c r="X845" i="20" s="1"/>
  <c r="U845" i="20"/>
  <c r="S845" i="20"/>
  <c r="Q845" i="20"/>
  <c r="P845" i="20"/>
  <c r="O845" i="20"/>
  <c r="M845" i="20"/>
  <c r="K845" i="20"/>
  <c r="L845" i="20" s="1"/>
  <c r="N845" i="20" s="1"/>
  <c r="AA844" i="20"/>
  <c r="Z844" i="20"/>
  <c r="X844" i="20"/>
  <c r="Y844" i="20" s="1"/>
  <c r="W844" i="20"/>
  <c r="V844" i="20"/>
  <c r="U844" i="20"/>
  <c r="S844" i="20"/>
  <c r="K844" i="20"/>
  <c r="J844" i="20"/>
  <c r="AC843" i="20"/>
  <c r="AB843" i="20"/>
  <c r="AA843" i="20"/>
  <c r="W843" i="20"/>
  <c r="X843" i="20" s="1"/>
  <c r="V843" i="20"/>
  <c r="U843" i="20"/>
  <c r="S843" i="20"/>
  <c r="M843" i="20"/>
  <c r="L843" i="20"/>
  <c r="P843" i="20" s="1"/>
  <c r="K843" i="20"/>
  <c r="AA842" i="20"/>
  <c r="Z842" i="20"/>
  <c r="J842" i="20" s="1"/>
  <c r="Y842" i="20"/>
  <c r="X842" i="20"/>
  <c r="V842" i="20"/>
  <c r="W842" i="20" s="1"/>
  <c r="U842" i="20"/>
  <c r="S842" i="20"/>
  <c r="K842" i="20"/>
  <c r="AA841" i="20"/>
  <c r="Y841" i="20"/>
  <c r="W841" i="20"/>
  <c r="X841" i="20" s="1"/>
  <c r="Z841" i="20" s="1"/>
  <c r="V841" i="20"/>
  <c r="U841" i="20"/>
  <c r="S841" i="20"/>
  <c r="M841" i="20"/>
  <c r="K841" i="20"/>
  <c r="L841" i="20" s="1"/>
  <c r="J841" i="20"/>
  <c r="AC840" i="20"/>
  <c r="AA840" i="20"/>
  <c r="AB840" i="20" s="1"/>
  <c r="Y840" i="20"/>
  <c r="X840" i="20"/>
  <c r="Z840" i="20" s="1"/>
  <c r="J840" i="20" s="1"/>
  <c r="W840" i="20"/>
  <c r="V840" i="20"/>
  <c r="U840" i="20"/>
  <c r="S840" i="20"/>
  <c r="M840" i="20"/>
  <c r="Q840" i="20" s="1"/>
  <c r="L840" i="20"/>
  <c r="K840" i="20"/>
  <c r="AA839" i="20"/>
  <c r="V839" i="20"/>
  <c r="W839" i="20" s="1"/>
  <c r="X839" i="20" s="1"/>
  <c r="U839" i="20"/>
  <c r="S839" i="20"/>
  <c r="K839" i="20"/>
  <c r="AC838" i="20"/>
  <c r="AA838" i="20"/>
  <c r="X838" i="20"/>
  <c r="W838" i="20"/>
  <c r="V838" i="20"/>
  <c r="U838" i="20"/>
  <c r="S838" i="20"/>
  <c r="K838" i="20"/>
  <c r="M838" i="20" s="1"/>
  <c r="Q838" i="20" s="1"/>
  <c r="AA837" i="20"/>
  <c r="V837" i="20"/>
  <c r="W837" i="20" s="1"/>
  <c r="X837" i="20" s="1"/>
  <c r="U837" i="20"/>
  <c r="S837" i="20"/>
  <c r="K837" i="20"/>
  <c r="AC836" i="20"/>
  <c r="AB836" i="20"/>
  <c r="AA836" i="20"/>
  <c r="W836" i="20"/>
  <c r="X836" i="20" s="1"/>
  <c r="V836" i="20"/>
  <c r="U836" i="20"/>
  <c r="S836" i="20"/>
  <c r="L836" i="20"/>
  <c r="P836" i="20" s="1"/>
  <c r="K836" i="20"/>
  <c r="M836" i="20" s="1"/>
  <c r="Q836" i="20" s="1"/>
  <c r="AA835" i="20"/>
  <c r="W835" i="20"/>
  <c r="X835" i="20" s="1"/>
  <c r="V835" i="20"/>
  <c r="U835" i="20"/>
  <c r="S835" i="20"/>
  <c r="M835" i="20"/>
  <c r="L835" i="20"/>
  <c r="AB835" i="20" s="1"/>
  <c r="K835" i="20"/>
  <c r="AA834" i="20"/>
  <c r="Z834" i="20"/>
  <c r="J834" i="20" s="1"/>
  <c r="X834" i="20"/>
  <c r="Y834" i="20" s="1"/>
  <c r="V834" i="20"/>
  <c r="W834" i="20" s="1"/>
  <c r="U834" i="20"/>
  <c r="S834" i="20"/>
  <c r="M834" i="20"/>
  <c r="L834" i="20"/>
  <c r="AB834" i="20" s="1"/>
  <c r="K834" i="20"/>
  <c r="AA833" i="20"/>
  <c r="V833" i="20"/>
  <c r="W833" i="20" s="1"/>
  <c r="X833" i="20" s="1"/>
  <c r="U833" i="20"/>
  <c r="S833" i="20"/>
  <c r="O833" i="20"/>
  <c r="N833" i="20"/>
  <c r="M833" i="20"/>
  <c r="K833" i="20"/>
  <c r="L833" i="20" s="1"/>
  <c r="AB833" i="20" s="1"/>
  <c r="AA832" i="20"/>
  <c r="Y832" i="20"/>
  <c r="W832" i="20"/>
  <c r="X832" i="20" s="1"/>
  <c r="Z832" i="20" s="1"/>
  <c r="J832" i="20" s="1"/>
  <c r="P832" i="20" s="1"/>
  <c r="V832" i="20"/>
  <c r="U832" i="20"/>
  <c r="S832" i="20"/>
  <c r="M832" i="20"/>
  <c r="L832" i="20"/>
  <c r="AB832" i="20" s="1"/>
  <c r="K832" i="20"/>
  <c r="AA831" i="20"/>
  <c r="Y831" i="20"/>
  <c r="X831" i="20"/>
  <c r="Z831" i="20" s="1"/>
  <c r="J831" i="20" s="1"/>
  <c r="W831" i="20"/>
  <c r="V831" i="20"/>
  <c r="U831" i="20"/>
  <c r="S831" i="20"/>
  <c r="K831" i="20"/>
  <c r="M831" i="20" s="1"/>
  <c r="AA830" i="20"/>
  <c r="W830" i="20"/>
  <c r="X830" i="20" s="1"/>
  <c r="V830" i="20"/>
  <c r="U830" i="20"/>
  <c r="S830" i="20"/>
  <c r="M830" i="20"/>
  <c r="AC830" i="20" s="1"/>
  <c r="L830" i="20"/>
  <c r="K830" i="20"/>
  <c r="AA829" i="20"/>
  <c r="Y829" i="20"/>
  <c r="X829" i="20"/>
  <c r="Z829" i="20" s="1"/>
  <c r="J829" i="20" s="1"/>
  <c r="W829" i="20"/>
  <c r="V829" i="20"/>
  <c r="U829" i="20"/>
  <c r="S829" i="20"/>
  <c r="K829" i="20"/>
  <c r="M829" i="20" s="1"/>
  <c r="AB828" i="20"/>
  <c r="AA828" i="20"/>
  <c r="V828" i="20"/>
  <c r="W828" i="20" s="1"/>
  <c r="X828" i="20" s="1"/>
  <c r="U828" i="20"/>
  <c r="S828" i="20"/>
  <c r="Q828" i="20"/>
  <c r="P828" i="20"/>
  <c r="M828" i="20"/>
  <c r="AC828" i="20" s="1"/>
  <c r="L828" i="20"/>
  <c r="N828" i="20" s="1"/>
  <c r="O828" i="20" s="1"/>
  <c r="K828" i="20"/>
  <c r="AA827" i="20"/>
  <c r="V827" i="20"/>
  <c r="W827" i="20" s="1"/>
  <c r="X827" i="20" s="1"/>
  <c r="U827" i="20"/>
  <c r="S827" i="20"/>
  <c r="Q827" i="20"/>
  <c r="M827" i="20"/>
  <c r="AC827" i="20" s="1"/>
  <c r="L827" i="20"/>
  <c r="AB827" i="20" s="1"/>
  <c r="K827" i="20"/>
  <c r="AB826" i="20"/>
  <c r="AA826" i="20"/>
  <c r="Y826" i="20"/>
  <c r="V826" i="20"/>
  <c r="W826" i="20" s="1"/>
  <c r="X826" i="20" s="1"/>
  <c r="Z826" i="20" s="1"/>
  <c r="U826" i="20"/>
  <c r="S826" i="20"/>
  <c r="Q826" i="20"/>
  <c r="P826" i="20"/>
  <c r="L826" i="20"/>
  <c r="K826" i="20"/>
  <c r="M826" i="20" s="1"/>
  <c r="AC826" i="20" s="1"/>
  <c r="AA825" i="20"/>
  <c r="X825" i="20"/>
  <c r="V825" i="20"/>
  <c r="W825" i="20" s="1"/>
  <c r="U825" i="20"/>
  <c r="S825" i="20"/>
  <c r="N825" i="20"/>
  <c r="O825" i="20" s="1"/>
  <c r="M825" i="20"/>
  <c r="L825" i="20"/>
  <c r="AB825" i="20" s="1"/>
  <c r="K825" i="20"/>
  <c r="AA824" i="20"/>
  <c r="V824" i="20"/>
  <c r="W824" i="20" s="1"/>
  <c r="X824" i="20" s="1"/>
  <c r="U824" i="20"/>
  <c r="S824" i="20"/>
  <c r="K824" i="20"/>
  <c r="L824" i="20" s="1"/>
  <c r="AA823" i="20"/>
  <c r="V823" i="20"/>
  <c r="W823" i="20" s="1"/>
  <c r="X823" i="20" s="1"/>
  <c r="U823" i="20"/>
  <c r="S823" i="20"/>
  <c r="M823" i="20"/>
  <c r="AC823" i="20" s="1"/>
  <c r="L823" i="20"/>
  <c r="K823" i="20"/>
  <c r="AB822" i="20"/>
  <c r="AA822" i="20"/>
  <c r="W822" i="20"/>
  <c r="X822" i="20" s="1"/>
  <c r="V822" i="20"/>
  <c r="U822" i="20"/>
  <c r="S822" i="20"/>
  <c r="N822" i="20"/>
  <c r="O822" i="20" s="1"/>
  <c r="M822" i="20"/>
  <c r="AC822" i="20" s="1"/>
  <c r="K822" i="20"/>
  <c r="L822" i="20" s="1"/>
  <c r="P822" i="20" s="1"/>
  <c r="AC821" i="20"/>
  <c r="AB821" i="20"/>
  <c r="AA821" i="20"/>
  <c r="V821" i="20"/>
  <c r="W821" i="20" s="1"/>
  <c r="X821" i="20" s="1"/>
  <c r="U821" i="20"/>
  <c r="S821" i="20"/>
  <c r="Q821" i="20"/>
  <c r="O821" i="20"/>
  <c r="N821" i="20"/>
  <c r="L821" i="20"/>
  <c r="K821" i="20"/>
  <c r="M821" i="20" s="1"/>
  <c r="AA820" i="20"/>
  <c r="Y820" i="20"/>
  <c r="V820" i="20"/>
  <c r="W820" i="20" s="1"/>
  <c r="X820" i="20" s="1"/>
  <c r="Z820" i="20" s="1"/>
  <c r="U820" i="20"/>
  <c r="S820" i="20"/>
  <c r="K820" i="20"/>
  <c r="M820" i="20" s="1"/>
  <c r="AA819" i="20"/>
  <c r="Y819" i="20"/>
  <c r="V819" i="20"/>
  <c r="W819" i="20" s="1"/>
  <c r="X819" i="20" s="1"/>
  <c r="Z819" i="20" s="1"/>
  <c r="J819" i="20" s="1"/>
  <c r="U819" i="20"/>
  <c r="S819" i="20"/>
  <c r="Q819" i="20"/>
  <c r="K819" i="20"/>
  <c r="M819" i="20" s="1"/>
  <c r="AC819" i="20" s="1"/>
  <c r="AA818" i="20"/>
  <c r="X818" i="20"/>
  <c r="V818" i="20"/>
  <c r="W818" i="20" s="1"/>
  <c r="U818" i="20"/>
  <c r="S818" i="20"/>
  <c r="Q818" i="20"/>
  <c r="K818" i="20"/>
  <c r="M818" i="20" s="1"/>
  <c r="AC818" i="20" s="1"/>
  <c r="AA817" i="20"/>
  <c r="W817" i="20"/>
  <c r="X817" i="20" s="1"/>
  <c r="V817" i="20"/>
  <c r="U817" i="20"/>
  <c r="S817" i="20"/>
  <c r="K817" i="20"/>
  <c r="AB816" i="20"/>
  <c r="AA816" i="20"/>
  <c r="W816" i="20"/>
  <c r="X816" i="20" s="1"/>
  <c r="Y816" i="20" s="1"/>
  <c r="V816" i="20"/>
  <c r="U816" i="20"/>
  <c r="S816" i="20"/>
  <c r="P816" i="20"/>
  <c r="K816" i="20"/>
  <c r="L816" i="20" s="1"/>
  <c r="AA815" i="20"/>
  <c r="Z815" i="20"/>
  <c r="J815" i="20" s="1"/>
  <c r="V815" i="20"/>
  <c r="W815" i="20" s="1"/>
  <c r="X815" i="20" s="1"/>
  <c r="Y815" i="20" s="1"/>
  <c r="U815" i="20"/>
  <c r="S815" i="20"/>
  <c r="K815" i="20"/>
  <c r="AC814" i="20"/>
  <c r="AB814" i="20"/>
  <c r="AA814" i="20"/>
  <c r="V814" i="20"/>
  <c r="W814" i="20" s="1"/>
  <c r="X814" i="20" s="1"/>
  <c r="U814" i="20"/>
  <c r="S814" i="20"/>
  <c r="Q814" i="20"/>
  <c r="L814" i="20"/>
  <c r="N814" i="20" s="1"/>
  <c r="O814" i="20" s="1"/>
  <c r="K814" i="20"/>
  <c r="M814" i="20" s="1"/>
  <c r="AA813" i="20"/>
  <c r="V813" i="20"/>
  <c r="W813" i="20" s="1"/>
  <c r="X813" i="20" s="1"/>
  <c r="U813" i="20"/>
  <c r="S813" i="20"/>
  <c r="M813" i="20"/>
  <c r="AC813" i="20" s="1"/>
  <c r="L813" i="20"/>
  <c r="AB813" i="20" s="1"/>
  <c r="K813" i="20"/>
  <c r="AC812" i="20"/>
  <c r="AB812" i="20"/>
  <c r="AA812" i="20"/>
  <c r="X812" i="20"/>
  <c r="W812" i="20"/>
  <c r="V812" i="20"/>
  <c r="U812" i="20"/>
  <c r="S812" i="20"/>
  <c r="Q812" i="20"/>
  <c r="M812" i="20"/>
  <c r="L812" i="20"/>
  <c r="K812" i="20"/>
  <c r="AB811" i="20"/>
  <c r="AA811" i="20"/>
  <c r="V811" i="20"/>
  <c r="W811" i="20" s="1"/>
  <c r="X811" i="20" s="1"/>
  <c r="U811" i="20"/>
  <c r="S811" i="20"/>
  <c r="Q811" i="20"/>
  <c r="M811" i="20"/>
  <c r="AC811" i="20" s="1"/>
  <c r="L811" i="20"/>
  <c r="K811" i="20"/>
  <c r="AC810" i="20"/>
  <c r="AB810" i="20"/>
  <c r="AA810" i="20"/>
  <c r="V810" i="20"/>
  <c r="W810" i="20" s="1"/>
  <c r="X810" i="20" s="1"/>
  <c r="U810" i="20"/>
  <c r="S810" i="20"/>
  <c r="O810" i="20"/>
  <c r="M810" i="20"/>
  <c r="Q810" i="20" s="1"/>
  <c r="L810" i="20"/>
  <c r="N810" i="20" s="1"/>
  <c r="K810" i="20"/>
  <c r="AA809" i="20"/>
  <c r="W809" i="20"/>
  <c r="X809" i="20" s="1"/>
  <c r="V809" i="20"/>
  <c r="U809" i="20"/>
  <c r="S809" i="20"/>
  <c r="K809" i="20"/>
  <c r="M809" i="20" s="1"/>
  <c r="AC808" i="20"/>
  <c r="AA808" i="20"/>
  <c r="V808" i="20"/>
  <c r="W808" i="20" s="1"/>
  <c r="X808" i="20" s="1"/>
  <c r="U808" i="20"/>
  <c r="S808" i="20"/>
  <c r="Q808" i="20"/>
  <c r="P808" i="20"/>
  <c r="M808" i="20"/>
  <c r="L808" i="20"/>
  <c r="AB808" i="20" s="1"/>
  <c r="K808" i="20"/>
  <c r="AB807" i="20"/>
  <c r="AA807" i="20"/>
  <c r="Z807" i="20"/>
  <c r="J807" i="20" s="1"/>
  <c r="Y807" i="20"/>
  <c r="W807" i="20"/>
  <c r="X807" i="20" s="1"/>
  <c r="V807" i="20"/>
  <c r="U807" i="20"/>
  <c r="S807" i="20"/>
  <c r="Q807" i="20"/>
  <c r="P807" i="20"/>
  <c r="N807" i="20"/>
  <c r="O807" i="20" s="1"/>
  <c r="L807" i="20"/>
  <c r="K807" i="20"/>
  <c r="M807" i="20" s="1"/>
  <c r="AC807" i="20" s="1"/>
  <c r="AA806" i="20"/>
  <c r="W806" i="20"/>
  <c r="X806" i="20" s="1"/>
  <c r="V806" i="20"/>
  <c r="U806" i="20"/>
  <c r="S806" i="20"/>
  <c r="K806" i="20"/>
  <c r="AA805" i="20"/>
  <c r="X805" i="20"/>
  <c r="V805" i="20"/>
  <c r="W805" i="20" s="1"/>
  <c r="U805" i="20"/>
  <c r="S805" i="20"/>
  <c r="L805" i="20"/>
  <c r="K805" i="20"/>
  <c r="M805" i="20" s="1"/>
  <c r="Q805" i="20" s="1"/>
  <c r="AA804" i="20"/>
  <c r="V804" i="20"/>
  <c r="W804" i="20" s="1"/>
  <c r="X804" i="20" s="1"/>
  <c r="U804" i="20"/>
  <c r="S804" i="20"/>
  <c r="K804" i="20"/>
  <c r="AA803" i="20"/>
  <c r="W803" i="20"/>
  <c r="X803" i="20" s="1"/>
  <c r="Z803" i="20" s="1"/>
  <c r="J803" i="20" s="1"/>
  <c r="V803" i="20"/>
  <c r="U803" i="20"/>
  <c r="S803" i="20"/>
  <c r="K803" i="20"/>
  <c r="AC802" i="20"/>
  <c r="AB802" i="20"/>
  <c r="AA802" i="20"/>
  <c r="V802" i="20"/>
  <c r="W802" i="20" s="1"/>
  <c r="X802" i="20" s="1"/>
  <c r="U802" i="20"/>
  <c r="S802" i="20"/>
  <c r="Q802" i="20"/>
  <c r="M802" i="20"/>
  <c r="L802" i="20"/>
  <c r="K802" i="20"/>
  <c r="AA801" i="20"/>
  <c r="V801" i="20"/>
  <c r="W801" i="20" s="1"/>
  <c r="X801" i="20" s="1"/>
  <c r="S801" i="20"/>
  <c r="M801" i="20"/>
  <c r="AC801" i="20" s="1"/>
  <c r="K801" i="20"/>
  <c r="L801" i="20" s="1"/>
  <c r="AA800" i="20"/>
  <c r="V800" i="20"/>
  <c r="W800" i="20" s="1"/>
  <c r="X800" i="20" s="1"/>
  <c r="Z800" i="20" s="1"/>
  <c r="S800" i="20"/>
  <c r="K800" i="20"/>
  <c r="M800" i="20" s="1"/>
  <c r="AA799" i="20"/>
  <c r="W799" i="20"/>
  <c r="X799" i="20" s="1"/>
  <c r="V799" i="20"/>
  <c r="S799" i="20"/>
  <c r="M799" i="20"/>
  <c r="L799" i="20"/>
  <c r="K799" i="20"/>
  <c r="AA798" i="20"/>
  <c r="W798" i="20"/>
  <c r="X798" i="20" s="1"/>
  <c r="V798" i="20"/>
  <c r="S798" i="20"/>
  <c r="K798" i="20"/>
  <c r="AA797" i="20"/>
  <c r="Z797" i="20"/>
  <c r="W797" i="20"/>
  <c r="X797" i="20" s="1"/>
  <c r="Y797" i="20" s="1"/>
  <c r="V797" i="20"/>
  <c r="S797" i="20"/>
  <c r="K797" i="20"/>
  <c r="AA796" i="20"/>
  <c r="V796" i="20"/>
  <c r="W796" i="20" s="1"/>
  <c r="X796" i="20" s="1"/>
  <c r="S796" i="20"/>
  <c r="K796" i="20"/>
  <c r="AC795" i="20"/>
  <c r="AA795" i="20"/>
  <c r="X795" i="20"/>
  <c r="W795" i="20"/>
  <c r="V795" i="20"/>
  <c r="S795" i="20"/>
  <c r="L795" i="20"/>
  <c r="K795" i="20"/>
  <c r="M795" i="20" s="1"/>
  <c r="Q795" i="20" s="1"/>
  <c r="AA794" i="20"/>
  <c r="V794" i="20"/>
  <c r="W794" i="20" s="1"/>
  <c r="X794" i="20" s="1"/>
  <c r="Z794" i="20" s="1"/>
  <c r="S794" i="20"/>
  <c r="Q794" i="20"/>
  <c r="M794" i="20"/>
  <c r="AC794" i="20" s="1"/>
  <c r="L794" i="20"/>
  <c r="K794" i="20"/>
  <c r="AC793" i="20"/>
  <c r="AA793" i="20"/>
  <c r="AB793" i="20" s="1"/>
  <c r="X793" i="20"/>
  <c r="W793" i="20"/>
  <c r="V793" i="20"/>
  <c r="S793" i="20"/>
  <c r="Q793" i="20"/>
  <c r="M793" i="20"/>
  <c r="L793" i="20"/>
  <c r="K793" i="20"/>
  <c r="AA792" i="20"/>
  <c r="V792" i="20"/>
  <c r="W792" i="20" s="1"/>
  <c r="X792" i="20" s="1"/>
  <c r="S792" i="20"/>
  <c r="L792" i="20"/>
  <c r="K792" i="20"/>
  <c r="M792" i="20" s="1"/>
  <c r="AA791" i="20"/>
  <c r="W791" i="20"/>
  <c r="X791" i="20" s="1"/>
  <c r="V791" i="20"/>
  <c r="S791" i="20"/>
  <c r="K791" i="20"/>
  <c r="AA790" i="20"/>
  <c r="V790" i="20"/>
  <c r="W790" i="20" s="1"/>
  <c r="X790" i="20" s="1"/>
  <c r="S790" i="20"/>
  <c r="K790" i="20"/>
  <c r="AA789" i="20"/>
  <c r="X789" i="20"/>
  <c r="V789" i="20"/>
  <c r="W789" i="20" s="1"/>
  <c r="S789" i="20"/>
  <c r="K789" i="20"/>
  <c r="AC788" i="20"/>
  <c r="AA788" i="20"/>
  <c r="Z788" i="20"/>
  <c r="Y788" i="20"/>
  <c r="V788" i="20"/>
  <c r="W788" i="20" s="1"/>
  <c r="X788" i="20" s="1"/>
  <c r="S788" i="20"/>
  <c r="K788" i="20"/>
  <c r="M788" i="20" s="1"/>
  <c r="Q788" i="20" s="1"/>
  <c r="AA787" i="20"/>
  <c r="V787" i="20"/>
  <c r="W787" i="20" s="1"/>
  <c r="X787" i="20" s="1"/>
  <c r="S787" i="20"/>
  <c r="Q787" i="20"/>
  <c r="N787" i="20"/>
  <c r="O787" i="20" s="1"/>
  <c r="M787" i="20"/>
  <c r="AC787" i="20" s="1"/>
  <c r="K787" i="20"/>
  <c r="L787" i="20" s="1"/>
  <c r="AB787" i="20" s="1"/>
  <c r="AA786" i="20"/>
  <c r="Z786" i="20"/>
  <c r="V786" i="20"/>
  <c r="W786" i="20" s="1"/>
  <c r="X786" i="20" s="1"/>
  <c r="Y786" i="20" s="1"/>
  <c r="S786" i="20"/>
  <c r="K786" i="20"/>
  <c r="AA785" i="20"/>
  <c r="W785" i="20"/>
  <c r="X785" i="20" s="1"/>
  <c r="V785" i="20"/>
  <c r="S785" i="20"/>
  <c r="Q785" i="20"/>
  <c r="M785" i="20"/>
  <c r="AC785" i="20" s="1"/>
  <c r="L785" i="20"/>
  <c r="K785" i="20"/>
  <c r="AB784" i="20"/>
  <c r="AA784" i="20"/>
  <c r="W784" i="20"/>
  <c r="X784" i="20" s="1"/>
  <c r="V784" i="20"/>
  <c r="S784" i="20"/>
  <c r="M784" i="20"/>
  <c r="K784" i="20"/>
  <c r="L784" i="20" s="1"/>
  <c r="AB783" i="20"/>
  <c r="AA783" i="20"/>
  <c r="V783" i="20"/>
  <c r="W783" i="20" s="1"/>
  <c r="X783" i="20" s="1"/>
  <c r="S783" i="20"/>
  <c r="L783" i="20"/>
  <c r="K783" i="20"/>
  <c r="M783" i="20" s="1"/>
  <c r="AA782" i="20"/>
  <c r="V782" i="20"/>
  <c r="W782" i="20" s="1"/>
  <c r="X782" i="20" s="1"/>
  <c r="Z782" i="20" s="1"/>
  <c r="S782" i="20"/>
  <c r="K782" i="20"/>
  <c r="AA781" i="20"/>
  <c r="Z781" i="20"/>
  <c r="X781" i="20"/>
  <c r="Y781" i="20" s="1"/>
  <c r="W781" i="20"/>
  <c r="V781" i="20"/>
  <c r="S781" i="20"/>
  <c r="K781" i="20"/>
  <c r="AA780" i="20"/>
  <c r="Y780" i="20"/>
  <c r="W780" i="20"/>
  <c r="X780" i="20" s="1"/>
  <c r="Z780" i="20" s="1"/>
  <c r="V780" i="20"/>
  <c r="S780" i="20"/>
  <c r="M780" i="20"/>
  <c r="L780" i="20"/>
  <c r="K780" i="20"/>
  <c r="AA779" i="20"/>
  <c r="V779" i="20"/>
  <c r="W779" i="20" s="1"/>
  <c r="X779" i="20" s="1"/>
  <c r="S779" i="20"/>
  <c r="K779" i="20"/>
  <c r="M779" i="20" s="1"/>
  <c r="AA778" i="20"/>
  <c r="W778" i="20"/>
  <c r="X778" i="20" s="1"/>
  <c r="V778" i="20"/>
  <c r="S778" i="20"/>
  <c r="M778" i="20"/>
  <c r="AC778" i="20" s="1"/>
  <c r="K778" i="20"/>
  <c r="L778" i="20" s="1"/>
  <c r="AB777" i="20"/>
  <c r="AA777" i="20"/>
  <c r="V777" i="20"/>
  <c r="W777" i="20" s="1"/>
  <c r="X777" i="20" s="1"/>
  <c r="S777" i="20"/>
  <c r="Q777" i="20"/>
  <c r="N777" i="20"/>
  <c r="O777" i="20" s="1"/>
  <c r="M777" i="20"/>
  <c r="AC777" i="20" s="1"/>
  <c r="L777" i="20"/>
  <c r="K777" i="20"/>
  <c r="AA776" i="20"/>
  <c r="Z776" i="20"/>
  <c r="V776" i="20"/>
  <c r="W776" i="20" s="1"/>
  <c r="X776" i="20" s="1"/>
  <c r="Y776" i="20" s="1"/>
  <c r="S776" i="20"/>
  <c r="L776" i="20"/>
  <c r="K776" i="20"/>
  <c r="M776" i="20" s="1"/>
  <c r="AA775" i="20"/>
  <c r="AB775" i="20" s="1"/>
  <c r="V775" i="20"/>
  <c r="W775" i="20" s="1"/>
  <c r="X775" i="20" s="1"/>
  <c r="Y775" i="20" s="1"/>
  <c r="S775" i="20"/>
  <c r="M775" i="20"/>
  <c r="N775" i="20" s="1"/>
  <c r="O775" i="20" s="1"/>
  <c r="L775" i="20"/>
  <c r="K775" i="20"/>
  <c r="AA774" i="20"/>
  <c r="Z774" i="20"/>
  <c r="V774" i="20"/>
  <c r="W774" i="20" s="1"/>
  <c r="X774" i="20" s="1"/>
  <c r="Y774" i="20" s="1"/>
  <c r="S774" i="20"/>
  <c r="K774" i="20"/>
  <c r="AA773" i="20"/>
  <c r="AB773" i="20" s="1"/>
  <c r="W773" i="20"/>
  <c r="X773" i="20" s="1"/>
  <c r="V773" i="20"/>
  <c r="S773" i="20"/>
  <c r="L773" i="20"/>
  <c r="K773" i="20"/>
  <c r="M773" i="20" s="1"/>
  <c r="AA772" i="20"/>
  <c r="W772" i="20"/>
  <c r="X772" i="20" s="1"/>
  <c r="V772" i="20"/>
  <c r="S772" i="20"/>
  <c r="M772" i="20"/>
  <c r="AC772" i="20" s="1"/>
  <c r="L772" i="20"/>
  <c r="K772" i="20"/>
  <c r="AB771" i="20"/>
  <c r="AA771" i="20"/>
  <c r="X771" i="20"/>
  <c r="V771" i="20"/>
  <c r="W771" i="20" s="1"/>
  <c r="S771" i="20"/>
  <c r="M771" i="20"/>
  <c r="K771" i="20"/>
  <c r="L771" i="20" s="1"/>
  <c r="AC770" i="20"/>
  <c r="AA770" i="20"/>
  <c r="Z770" i="20"/>
  <c r="W770" i="20"/>
  <c r="X770" i="20" s="1"/>
  <c r="Y770" i="20" s="1"/>
  <c r="V770" i="20"/>
  <c r="S770" i="20"/>
  <c r="Q770" i="20"/>
  <c r="K770" i="20"/>
  <c r="M770" i="20" s="1"/>
  <c r="AA769" i="20"/>
  <c r="W769" i="20"/>
  <c r="X769" i="20" s="1"/>
  <c r="V769" i="20"/>
  <c r="S769" i="20"/>
  <c r="K769" i="20"/>
  <c r="L769" i="20" s="1"/>
  <c r="AC768" i="20"/>
  <c r="AA768" i="20"/>
  <c r="AB768" i="20" s="1"/>
  <c r="W768" i="20"/>
  <c r="X768" i="20" s="1"/>
  <c r="V768" i="20"/>
  <c r="S768" i="20"/>
  <c r="Q768" i="20"/>
  <c r="O768" i="20"/>
  <c r="N768" i="20"/>
  <c r="M768" i="20"/>
  <c r="K768" i="20"/>
  <c r="L768" i="20" s="1"/>
  <c r="AA767" i="20"/>
  <c r="V767" i="20"/>
  <c r="W767" i="20" s="1"/>
  <c r="X767" i="20" s="1"/>
  <c r="S767" i="20"/>
  <c r="M767" i="20"/>
  <c r="L767" i="20"/>
  <c r="AB767" i="20" s="1"/>
  <c r="K767" i="20"/>
  <c r="AC766" i="20"/>
  <c r="AB766" i="20"/>
  <c r="AA766" i="20"/>
  <c r="V766" i="20"/>
  <c r="W766" i="20" s="1"/>
  <c r="X766" i="20" s="1"/>
  <c r="S766" i="20"/>
  <c r="Q766" i="20"/>
  <c r="M766" i="20"/>
  <c r="L766" i="20"/>
  <c r="K766" i="20"/>
  <c r="AC765" i="20"/>
  <c r="AA765" i="20"/>
  <c r="Z765" i="20"/>
  <c r="V765" i="20"/>
  <c r="W765" i="20" s="1"/>
  <c r="X765" i="20" s="1"/>
  <c r="Y765" i="20" s="1"/>
  <c r="S765" i="20"/>
  <c r="Q765" i="20"/>
  <c r="K765" i="20"/>
  <c r="M765" i="20" s="1"/>
  <c r="AA764" i="20"/>
  <c r="X764" i="20"/>
  <c r="V764" i="20"/>
  <c r="W764" i="20" s="1"/>
  <c r="S764" i="20"/>
  <c r="K764" i="20"/>
  <c r="AC763" i="20"/>
  <c r="AB763" i="20"/>
  <c r="AA763" i="20"/>
  <c r="Z763" i="20"/>
  <c r="W763" i="20"/>
  <c r="X763" i="20" s="1"/>
  <c r="Y763" i="20" s="1"/>
  <c r="V763" i="20"/>
  <c r="S763" i="20"/>
  <c r="N763" i="20"/>
  <c r="O763" i="20" s="1"/>
  <c r="M763" i="20"/>
  <c r="Q763" i="20" s="1"/>
  <c r="L763" i="20"/>
  <c r="K763" i="20"/>
  <c r="AA762" i="20"/>
  <c r="V762" i="20"/>
  <c r="W762" i="20" s="1"/>
  <c r="X762" i="20" s="1"/>
  <c r="S762" i="20"/>
  <c r="K762" i="20"/>
  <c r="AA761" i="20"/>
  <c r="V761" i="20"/>
  <c r="W761" i="20" s="1"/>
  <c r="X761" i="20" s="1"/>
  <c r="S761" i="20"/>
  <c r="K761" i="20"/>
  <c r="AA760" i="20"/>
  <c r="V760" i="20"/>
  <c r="W760" i="20" s="1"/>
  <c r="X760" i="20" s="1"/>
  <c r="S760" i="20"/>
  <c r="K760" i="20"/>
  <c r="AA759" i="20"/>
  <c r="W759" i="20"/>
  <c r="X759" i="20" s="1"/>
  <c r="V759" i="20"/>
  <c r="S759" i="20"/>
  <c r="M759" i="20"/>
  <c r="L759" i="20"/>
  <c r="K759" i="20"/>
  <c r="AA758" i="20"/>
  <c r="V758" i="20"/>
  <c r="W758" i="20" s="1"/>
  <c r="X758" i="20" s="1"/>
  <c r="S758" i="20"/>
  <c r="M758" i="20"/>
  <c r="L758" i="20"/>
  <c r="K758" i="20"/>
  <c r="AA757" i="20"/>
  <c r="X757" i="20"/>
  <c r="V757" i="20"/>
  <c r="W757" i="20" s="1"/>
  <c r="S757" i="20"/>
  <c r="K757" i="20"/>
  <c r="M757" i="20" s="1"/>
  <c r="AA756" i="20"/>
  <c r="Y756" i="20"/>
  <c r="W756" i="20"/>
  <c r="X756" i="20" s="1"/>
  <c r="Z756" i="20" s="1"/>
  <c r="V756" i="20"/>
  <c r="S756" i="20"/>
  <c r="K756" i="20"/>
  <c r="M756" i="20" s="1"/>
  <c r="AA755" i="20"/>
  <c r="V755" i="20"/>
  <c r="W755" i="20" s="1"/>
  <c r="X755" i="20" s="1"/>
  <c r="S755" i="20"/>
  <c r="K755" i="20"/>
  <c r="AA754" i="20"/>
  <c r="V754" i="20"/>
  <c r="W754" i="20" s="1"/>
  <c r="X754" i="20" s="1"/>
  <c r="S754" i="20"/>
  <c r="M754" i="20"/>
  <c r="L754" i="20"/>
  <c r="AB754" i="20" s="1"/>
  <c r="K754" i="20"/>
  <c r="AA753" i="20"/>
  <c r="V753" i="20"/>
  <c r="W753" i="20" s="1"/>
  <c r="X753" i="20" s="1"/>
  <c r="S753" i="20"/>
  <c r="M753" i="20"/>
  <c r="L753" i="20"/>
  <c r="K753" i="20"/>
  <c r="AA752" i="20"/>
  <c r="W752" i="20"/>
  <c r="X752" i="20" s="1"/>
  <c r="V752" i="20"/>
  <c r="S752" i="20"/>
  <c r="Q752" i="20"/>
  <c r="M752" i="20"/>
  <c r="AC752" i="20" s="1"/>
  <c r="L752" i="20"/>
  <c r="K752" i="20"/>
  <c r="AC751" i="20"/>
  <c r="AA751" i="20"/>
  <c r="AB751" i="20" s="1"/>
  <c r="V751" i="20"/>
  <c r="W751" i="20" s="1"/>
  <c r="X751" i="20" s="1"/>
  <c r="S751" i="20"/>
  <c r="Q751" i="20"/>
  <c r="N751" i="20"/>
  <c r="O751" i="20" s="1"/>
  <c r="L751" i="20"/>
  <c r="K751" i="20"/>
  <c r="M751" i="20" s="1"/>
  <c r="AA750" i="20"/>
  <c r="V750" i="20"/>
  <c r="W750" i="20" s="1"/>
  <c r="X750" i="20" s="1"/>
  <c r="S750" i="20"/>
  <c r="N750" i="20"/>
  <c r="O750" i="20" s="1"/>
  <c r="M750" i="20"/>
  <c r="K750" i="20"/>
  <c r="L750" i="20" s="1"/>
  <c r="AA749" i="20"/>
  <c r="W749" i="20"/>
  <c r="X749" i="20" s="1"/>
  <c r="V749" i="20"/>
  <c r="S749" i="20"/>
  <c r="M749" i="20"/>
  <c r="Q749" i="20" s="1"/>
  <c r="L749" i="20"/>
  <c r="K749" i="20"/>
  <c r="AA748" i="20"/>
  <c r="W748" i="20"/>
  <c r="X748" i="20" s="1"/>
  <c r="V748" i="20"/>
  <c r="S748" i="20"/>
  <c r="M748" i="20"/>
  <c r="K748" i="20"/>
  <c r="L748" i="20" s="1"/>
  <c r="AC747" i="20"/>
  <c r="AA747" i="20"/>
  <c r="V747" i="20"/>
  <c r="W747" i="20" s="1"/>
  <c r="X747" i="20" s="1"/>
  <c r="S747" i="20"/>
  <c r="M747" i="20"/>
  <c r="Q747" i="20" s="1"/>
  <c r="L747" i="20"/>
  <c r="K747" i="20"/>
  <c r="AA746" i="20"/>
  <c r="V746" i="20"/>
  <c r="W746" i="20" s="1"/>
  <c r="X746" i="20" s="1"/>
  <c r="S746" i="20"/>
  <c r="M746" i="20"/>
  <c r="AC746" i="20" s="1"/>
  <c r="K746" i="20"/>
  <c r="L746" i="20" s="1"/>
  <c r="AA745" i="20"/>
  <c r="V745" i="20"/>
  <c r="W745" i="20" s="1"/>
  <c r="X745" i="20" s="1"/>
  <c r="S745" i="20"/>
  <c r="Q745" i="20"/>
  <c r="K745" i="20"/>
  <c r="M745" i="20" s="1"/>
  <c r="AC745" i="20" s="1"/>
  <c r="AA744" i="20"/>
  <c r="V744" i="20"/>
  <c r="W744" i="20" s="1"/>
  <c r="X744" i="20" s="1"/>
  <c r="S744" i="20"/>
  <c r="N744" i="20"/>
  <c r="O744" i="20" s="1"/>
  <c r="L744" i="20"/>
  <c r="K744" i="20"/>
  <c r="M744" i="20" s="1"/>
  <c r="AA743" i="20"/>
  <c r="AB743" i="20" s="1"/>
  <c r="X743" i="20"/>
  <c r="W743" i="20"/>
  <c r="V743" i="20"/>
  <c r="S743" i="20"/>
  <c r="Q743" i="20"/>
  <c r="O743" i="20"/>
  <c r="M743" i="20"/>
  <c r="AC743" i="20" s="1"/>
  <c r="L743" i="20"/>
  <c r="N743" i="20" s="1"/>
  <c r="K743" i="20"/>
  <c r="AA742" i="20"/>
  <c r="Z742" i="20"/>
  <c r="V742" i="20"/>
  <c r="W742" i="20" s="1"/>
  <c r="X742" i="20" s="1"/>
  <c r="Y742" i="20" s="1"/>
  <c r="S742" i="20"/>
  <c r="M742" i="20"/>
  <c r="L742" i="20"/>
  <c r="K742" i="20"/>
  <c r="AC741" i="20"/>
  <c r="AA741" i="20"/>
  <c r="AB741" i="20" s="1"/>
  <c r="Z741" i="20"/>
  <c r="W741" i="20"/>
  <c r="X741" i="20" s="1"/>
  <c r="Y741" i="20" s="1"/>
  <c r="V741" i="20"/>
  <c r="S741" i="20"/>
  <c r="Q741" i="20"/>
  <c r="L741" i="20"/>
  <c r="K741" i="20"/>
  <c r="M741" i="20" s="1"/>
  <c r="N741" i="20" s="1"/>
  <c r="O741" i="20" s="1"/>
  <c r="AA740" i="20"/>
  <c r="X740" i="20"/>
  <c r="W740" i="20"/>
  <c r="V740" i="20"/>
  <c r="S740" i="20"/>
  <c r="K740" i="20"/>
  <c r="AB739" i="20"/>
  <c r="AA739" i="20"/>
  <c r="V739" i="20"/>
  <c r="W739" i="20" s="1"/>
  <c r="X739" i="20" s="1"/>
  <c r="S739" i="20"/>
  <c r="M739" i="20"/>
  <c r="K739" i="20"/>
  <c r="L739" i="20" s="1"/>
  <c r="AA738" i="20"/>
  <c r="V738" i="20"/>
  <c r="W738" i="20" s="1"/>
  <c r="X738" i="20" s="1"/>
  <c r="S738" i="20"/>
  <c r="K738" i="20"/>
  <c r="L738" i="20" s="1"/>
  <c r="AC737" i="20"/>
  <c r="AA737" i="20"/>
  <c r="AB737" i="20" s="1"/>
  <c r="Y737" i="20"/>
  <c r="W737" i="20"/>
  <c r="X737" i="20" s="1"/>
  <c r="Z737" i="20" s="1"/>
  <c r="V737" i="20"/>
  <c r="S737" i="20"/>
  <c r="Q737" i="20"/>
  <c r="M737" i="20"/>
  <c r="L737" i="20"/>
  <c r="N737" i="20" s="1"/>
  <c r="O737" i="20" s="1"/>
  <c r="K737" i="20"/>
  <c r="AA736" i="20"/>
  <c r="AB736" i="20" s="1"/>
  <c r="Y736" i="20"/>
  <c r="X736" i="20"/>
  <c r="Z736" i="20" s="1"/>
  <c r="W736" i="20"/>
  <c r="V736" i="20"/>
  <c r="S736" i="20"/>
  <c r="M736" i="20"/>
  <c r="AC736" i="20" s="1"/>
  <c r="K736" i="20"/>
  <c r="L736" i="20" s="1"/>
  <c r="AA735" i="20"/>
  <c r="Z735" i="20"/>
  <c r="V735" i="20"/>
  <c r="W735" i="20" s="1"/>
  <c r="X735" i="20" s="1"/>
  <c r="Y735" i="20" s="1"/>
  <c r="S735" i="20"/>
  <c r="K735" i="20"/>
  <c r="AC734" i="20"/>
  <c r="AB734" i="20"/>
  <c r="AA734" i="20"/>
  <c r="Y734" i="20"/>
  <c r="X734" i="20"/>
  <c r="Z734" i="20" s="1"/>
  <c r="W734" i="20"/>
  <c r="V734" i="20"/>
  <c r="S734" i="20"/>
  <c r="Q734" i="20"/>
  <c r="M734" i="20"/>
  <c r="L734" i="20"/>
  <c r="K734" i="20"/>
  <c r="AA733" i="20"/>
  <c r="W733" i="20"/>
  <c r="X733" i="20" s="1"/>
  <c r="V733" i="20"/>
  <c r="S733" i="20"/>
  <c r="L733" i="20"/>
  <c r="K733" i="20"/>
  <c r="M733" i="20" s="1"/>
  <c r="AA732" i="20"/>
  <c r="V732" i="20"/>
  <c r="W732" i="20" s="1"/>
  <c r="X732" i="20" s="1"/>
  <c r="S732" i="20"/>
  <c r="K732" i="20"/>
  <c r="AC731" i="20"/>
  <c r="AA731" i="20"/>
  <c r="AB731" i="20" s="1"/>
  <c r="Z731" i="20"/>
  <c r="V731" i="20"/>
  <c r="W731" i="20" s="1"/>
  <c r="X731" i="20" s="1"/>
  <c r="Y731" i="20" s="1"/>
  <c r="S731" i="20"/>
  <c r="M731" i="20"/>
  <c r="Q731" i="20" s="1"/>
  <c r="L731" i="20"/>
  <c r="K731" i="20"/>
  <c r="AA730" i="20"/>
  <c r="V730" i="20"/>
  <c r="W730" i="20" s="1"/>
  <c r="X730" i="20" s="1"/>
  <c r="S730" i="20"/>
  <c r="Q730" i="20"/>
  <c r="K730" i="20"/>
  <c r="M730" i="20" s="1"/>
  <c r="AC730" i="20" s="1"/>
  <c r="AA729" i="20"/>
  <c r="X729" i="20"/>
  <c r="W729" i="20"/>
  <c r="V729" i="20"/>
  <c r="S729" i="20"/>
  <c r="K729" i="20"/>
  <c r="AA728" i="20"/>
  <c r="X728" i="20"/>
  <c r="V728" i="20"/>
  <c r="W728" i="20" s="1"/>
  <c r="S728" i="20"/>
  <c r="Q728" i="20"/>
  <c r="N728" i="20"/>
  <c r="O728" i="20" s="1"/>
  <c r="L728" i="20"/>
  <c r="K728" i="20"/>
  <c r="M728" i="20" s="1"/>
  <c r="AC728" i="20" s="1"/>
  <c r="AA727" i="20"/>
  <c r="AB727" i="20" s="1"/>
  <c r="Z727" i="20"/>
  <c r="W727" i="20"/>
  <c r="X727" i="20" s="1"/>
  <c r="Y727" i="20" s="1"/>
  <c r="V727" i="20"/>
  <c r="S727" i="20"/>
  <c r="M727" i="20"/>
  <c r="Q727" i="20" s="1"/>
  <c r="K727" i="20"/>
  <c r="L727" i="20" s="1"/>
  <c r="AA726" i="20"/>
  <c r="V726" i="20"/>
  <c r="W726" i="20" s="1"/>
  <c r="X726" i="20" s="1"/>
  <c r="S726" i="20"/>
  <c r="M726" i="20"/>
  <c r="AC726" i="20" s="1"/>
  <c r="L726" i="20"/>
  <c r="AB726" i="20" s="1"/>
  <c r="K726" i="20"/>
  <c r="AC725" i="20"/>
  <c r="AA725" i="20"/>
  <c r="V725" i="20"/>
  <c r="W725" i="20" s="1"/>
  <c r="X725" i="20" s="1"/>
  <c r="S725" i="20"/>
  <c r="K725" i="20"/>
  <c r="M725" i="20" s="1"/>
  <c r="Q725" i="20" s="1"/>
  <c r="AC724" i="20"/>
  <c r="AA724" i="20"/>
  <c r="V724" i="20"/>
  <c r="W724" i="20" s="1"/>
  <c r="X724" i="20" s="1"/>
  <c r="S724" i="20"/>
  <c r="K724" i="20"/>
  <c r="M724" i="20" s="1"/>
  <c r="Q724" i="20" s="1"/>
  <c r="AA723" i="20"/>
  <c r="V723" i="20"/>
  <c r="W723" i="20" s="1"/>
  <c r="X723" i="20" s="1"/>
  <c r="S723" i="20"/>
  <c r="M723" i="20"/>
  <c r="K723" i="20"/>
  <c r="L723" i="20" s="1"/>
  <c r="AA722" i="20"/>
  <c r="X722" i="20"/>
  <c r="Y722" i="20" s="1"/>
  <c r="V722" i="20"/>
  <c r="W722" i="20" s="1"/>
  <c r="S722" i="20"/>
  <c r="K722" i="20"/>
  <c r="M722" i="20" s="1"/>
  <c r="AA721" i="20"/>
  <c r="V721" i="20"/>
  <c r="W721" i="20" s="1"/>
  <c r="X721" i="20" s="1"/>
  <c r="S721" i="20"/>
  <c r="K721" i="20"/>
  <c r="M721" i="20" s="1"/>
  <c r="AA720" i="20"/>
  <c r="W720" i="20"/>
  <c r="X720" i="20" s="1"/>
  <c r="V720" i="20"/>
  <c r="S720" i="20"/>
  <c r="K720" i="20"/>
  <c r="M720" i="20" s="1"/>
  <c r="AA719" i="20"/>
  <c r="AB719" i="20" s="1"/>
  <c r="X719" i="20"/>
  <c r="V719" i="20"/>
  <c r="W719" i="20" s="1"/>
  <c r="S719" i="20"/>
  <c r="N719" i="20"/>
  <c r="O719" i="20" s="1"/>
  <c r="L719" i="20"/>
  <c r="K719" i="20"/>
  <c r="M719" i="20" s="1"/>
  <c r="AA718" i="20"/>
  <c r="W718" i="20"/>
  <c r="X718" i="20" s="1"/>
  <c r="V718" i="20"/>
  <c r="S718" i="20"/>
  <c r="K718" i="20"/>
  <c r="M718" i="20" s="1"/>
  <c r="AA717" i="20"/>
  <c r="W717" i="20"/>
  <c r="X717" i="20" s="1"/>
  <c r="Y717" i="20" s="1"/>
  <c r="V717" i="20"/>
  <c r="S717" i="20"/>
  <c r="K717" i="20"/>
  <c r="AA716" i="20"/>
  <c r="W716" i="20"/>
  <c r="X716" i="20" s="1"/>
  <c r="V716" i="20"/>
  <c r="S716" i="20"/>
  <c r="K716" i="20"/>
  <c r="AA715" i="20"/>
  <c r="V715" i="20"/>
  <c r="W715" i="20" s="1"/>
  <c r="X715" i="20" s="1"/>
  <c r="S715" i="20"/>
  <c r="K715" i="20"/>
  <c r="AB714" i="20"/>
  <c r="AA714" i="20"/>
  <c r="W714" i="20"/>
  <c r="X714" i="20" s="1"/>
  <c r="V714" i="20"/>
  <c r="S714" i="20"/>
  <c r="M714" i="20"/>
  <c r="AC714" i="20" s="1"/>
  <c r="K714" i="20"/>
  <c r="L714" i="20" s="1"/>
  <c r="AA713" i="20"/>
  <c r="X713" i="20"/>
  <c r="V713" i="20"/>
  <c r="W713" i="20" s="1"/>
  <c r="S713" i="20"/>
  <c r="M713" i="20"/>
  <c r="L713" i="20"/>
  <c r="K713" i="20"/>
  <c r="AA712" i="20"/>
  <c r="Z712" i="20"/>
  <c r="Y712" i="20"/>
  <c r="W712" i="20"/>
  <c r="X712" i="20" s="1"/>
  <c r="V712" i="20"/>
  <c r="S712" i="20"/>
  <c r="L712" i="20"/>
  <c r="K712" i="20"/>
  <c r="M712" i="20" s="1"/>
  <c r="AC711" i="20"/>
  <c r="AB711" i="20"/>
  <c r="AA711" i="20"/>
  <c r="Z711" i="20"/>
  <c r="V711" i="20"/>
  <c r="W711" i="20" s="1"/>
  <c r="X711" i="20" s="1"/>
  <c r="Y711" i="20" s="1"/>
  <c r="S711" i="20"/>
  <c r="Q711" i="20"/>
  <c r="L711" i="20"/>
  <c r="K711" i="20"/>
  <c r="M711" i="20" s="1"/>
  <c r="AA710" i="20"/>
  <c r="Z710" i="20"/>
  <c r="V710" i="20"/>
  <c r="W710" i="20" s="1"/>
  <c r="X710" i="20" s="1"/>
  <c r="Y710" i="20" s="1"/>
  <c r="S710" i="20"/>
  <c r="M710" i="20"/>
  <c r="L710" i="20"/>
  <c r="K710" i="20"/>
  <c r="AC709" i="20"/>
  <c r="AA709" i="20"/>
  <c r="V709" i="20"/>
  <c r="W709" i="20" s="1"/>
  <c r="X709" i="20" s="1"/>
  <c r="S709" i="20"/>
  <c r="Q709" i="20"/>
  <c r="N709" i="20"/>
  <c r="O709" i="20" s="1"/>
  <c r="L709" i="20"/>
  <c r="K709" i="20"/>
  <c r="M709" i="20" s="1"/>
  <c r="AA708" i="20"/>
  <c r="X708" i="20"/>
  <c r="Z708" i="20" s="1"/>
  <c r="W708" i="20"/>
  <c r="V708" i="20"/>
  <c r="S708" i="20"/>
  <c r="K708" i="20"/>
  <c r="AA707" i="20"/>
  <c r="W707" i="20"/>
  <c r="X707" i="20" s="1"/>
  <c r="V707" i="20"/>
  <c r="S707" i="20"/>
  <c r="K707" i="20"/>
  <c r="AA706" i="20"/>
  <c r="Z706" i="20"/>
  <c r="Y706" i="20"/>
  <c r="X706" i="20"/>
  <c r="W706" i="20"/>
  <c r="V706" i="20"/>
  <c r="S706" i="20"/>
  <c r="K706" i="20"/>
  <c r="M706" i="20" s="1"/>
  <c r="AA705" i="20"/>
  <c r="W705" i="20"/>
  <c r="X705" i="20" s="1"/>
  <c r="Z705" i="20" s="1"/>
  <c r="V705" i="20"/>
  <c r="S705" i="20"/>
  <c r="L705" i="20"/>
  <c r="K705" i="20"/>
  <c r="M705" i="20" s="1"/>
  <c r="AA704" i="20"/>
  <c r="V704" i="20"/>
  <c r="W704" i="20" s="1"/>
  <c r="X704" i="20" s="1"/>
  <c r="S704" i="20"/>
  <c r="N704" i="20"/>
  <c r="O704" i="20" s="1"/>
  <c r="M704" i="20"/>
  <c r="K704" i="20"/>
  <c r="L704" i="20" s="1"/>
  <c r="AA703" i="20"/>
  <c r="W703" i="20"/>
  <c r="X703" i="20" s="1"/>
  <c r="V703" i="20"/>
  <c r="S703" i="20"/>
  <c r="N703" i="20"/>
  <c r="O703" i="20" s="1"/>
  <c r="M703" i="20"/>
  <c r="AC703" i="20" s="1"/>
  <c r="L703" i="20"/>
  <c r="K703" i="20"/>
  <c r="AC702" i="20"/>
  <c r="AA702" i="20"/>
  <c r="W702" i="20"/>
  <c r="X702" i="20" s="1"/>
  <c r="V702" i="20"/>
  <c r="S702" i="20"/>
  <c r="Q702" i="20"/>
  <c r="M702" i="20"/>
  <c r="L702" i="20"/>
  <c r="K702" i="20"/>
  <c r="AA701" i="20"/>
  <c r="V701" i="20"/>
  <c r="W701" i="20" s="1"/>
  <c r="X701" i="20" s="1"/>
  <c r="U701" i="20"/>
  <c r="S701" i="20"/>
  <c r="K701" i="20"/>
  <c r="M701" i="20" s="1"/>
  <c r="AC701" i="20" s="1"/>
  <c r="AB700" i="20"/>
  <c r="AA700" i="20"/>
  <c r="Z700" i="20"/>
  <c r="J700" i="20" s="1"/>
  <c r="V700" i="20"/>
  <c r="W700" i="20" s="1"/>
  <c r="X700" i="20" s="1"/>
  <c r="Y700" i="20" s="1"/>
  <c r="U700" i="20"/>
  <c r="S700" i="20"/>
  <c r="P700" i="20"/>
  <c r="L700" i="20"/>
  <c r="K700" i="20"/>
  <c r="M700" i="20" s="1"/>
  <c r="AA699" i="20"/>
  <c r="V699" i="20"/>
  <c r="W699" i="20" s="1"/>
  <c r="X699" i="20" s="1"/>
  <c r="U699" i="20"/>
  <c r="S699" i="20"/>
  <c r="Q699" i="20"/>
  <c r="N699" i="20"/>
  <c r="O699" i="20" s="1"/>
  <c r="M699" i="20"/>
  <c r="AC699" i="20" s="1"/>
  <c r="L699" i="20"/>
  <c r="K699" i="20"/>
  <c r="AA698" i="20"/>
  <c r="V698" i="20"/>
  <c r="W698" i="20" s="1"/>
  <c r="X698" i="20" s="1"/>
  <c r="U698" i="20"/>
  <c r="S698" i="20"/>
  <c r="Q698" i="20"/>
  <c r="P698" i="20"/>
  <c r="N698" i="20"/>
  <c r="O698" i="20" s="1"/>
  <c r="M698" i="20"/>
  <c r="AC698" i="20" s="1"/>
  <c r="K698" i="20"/>
  <c r="L698" i="20" s="1"/>
  <c r="AB698" i="20" s="1"/>
  <c r="AA697" i="20"/>
  <c r="X697" i="20"/>
  <c r="V697" i="20"/>
  <c r="W697" i="20" s="1"/>
  <c r="U697" i="20"/>
  <c r="S697" i="20"/>
  <c r="K697" i="20"/>
  <c r="AC696" i="20"/>
  <c r="AB696" i="20"/>
  <c r="AA696" i="20"/>
  <c r="V696" i="20"/>
  <c r="W696" i="20" s="1"/>
  <c r="X696" i="20" s="1"/>
  <c r="U696" i="20"/>
  <c r="S696" i="20"/>
  <c r="Q696" i="20"/>
  <c r="P696" i="20"/>
  <c r="N696" i="20"/>
  <c r="O696" i="20" s="1"/>
  <c r="M696" i="20"/>
  <c r="K696" i="20"/>
  <c r="L696" i="20" s="1"/>
  <c r="AA695" i="20"/>
  <c r="Y695" i="20"/>
  <c r="W695" i="20"/>
  <c r="X695" i="20" s="1"/>
  <c r="Z695" i="20" s="1"/>
  <c r="J695" i="20" s="1"/>
  <c r="V695" i="20"/>
  <c r="U695" i="20"/>
  <c r="S695" i="20"/>
  <c r="K695" i="20"/>
  <c r="AA694" i="20"/>
  <c r="V694" i="20"/>
  <c r="W694" i="20" s="1"/>
  <c r="X694" i="20" s="1"/>
  <c r="U694" i="20"/>
  <c r="S694" i="20"/>
  <c r="P694" i="20"/>
  <c r="M694" i="20"/>
  <c r="K694" i="20"/>
  <c r="L694" i="20" s="1"/>
  <c r="AA693" i="20"/>
  <c r="X693" i="20"/>
  <c r="V693" i="20"/>
  <c r="W693" i="20" s="1"/>
  <c r="U693" i="20"/>
  <c r="S693" i="20"/>
  <c r="N693" i="20"/>
  <c r="O693" i="20" s="1"/>
  <c r="M693" i="20"/>
  <c r="AC693" i="20" s="1"/>
  <c r="L693" i="20"/>
  <c r="AB693" i="20" s="1"/>
  <c r="K693" i="20"/>
  <c r="AC692" i="20"/>
  <c r="AA692" i="20"/>
  <c r="Z692" i="20"/>
  <c r="J692" i="20" s="1"/>
  <c r="W692" i="20"/>
  <c r="X692" i="20" s="1"/>
  <c r="Y692" i="20" s="1"/>
  <c r="V692" i="20"/>
  <c r="U692" i="20"/>
  <c r="S692" i="20"/>
  <c r="Q692" i="20"/>
  <c r="K692" i="20"/>
  <c r="M692" i="20" s="1"/>
  <c r="AA691" i="20"/>
  <c r="Y691" i="20"/>
  <c r="V691" i="20"/>
  <c r="W691" i="20" s="1"/>
  <c r="X691" i="20" s="1"/>
  <c r="Z691" i="20" s="1"/>
  <c r="U691" i="20"/>
  <c r="S691" i="20"/>
  <c r="K691" i="20"/>
  <c r="AA690" i="20"/>
  <c r="V690" i="20"/>
  <c r="W690" i="20" s="1"/>
  <c r="X690" i="20" s="1"/>
  <c r="U690" i="20"/>
  <c r="S690" i="20"/>
  <c r="K690" i="20"/>
  <c r="AA689" i="20"/>
  <c r="V689" i="20"/>
  <c r="W689" i="20" s="1"/>
  <c r="X689" i="20" s="1"/>
  <c r="U689" i="20"/>
  <c r="S689" i="20"/>
  <c r="Q689" i="20"/>
  <c r="K689" i="20"/>
  <c r="M689" i="20" s="1"/>
  <c r="AC689" i="20" s="1"/>
  <c r="AA688" i="20"/>
  <c r="W688" i="20"/>
  <c r="X688" i="20" s="1"/>
  <c r="V688" i="20"/>
  <c r="U688" i="20"/>
  <c r="S688" i="20"/>
  <c r="K688" i="20"/>
  <c r="L688" i="20" s="1"/>
  <c r="AA687" i="20"/>
  <c r="AB687" i="20" s="1"/>
  <c r="W687" i="20"/>
  <c r="X687" i="20" s="1"/>
  <c r="V687" i="20"/>
  <c r="U687" i="20"/>
  <c r="S687" i="20"/>
  <c r="L687" i="20"/>
  <c r="K687" i="20"/>
  <c r="M687" i="20" s="1"/>
  <c r="AA686" i="20"/>
  <c r="V686" i="20"/>
  <c r="W686" i="20" s="1"/>
  <c r="X686" i="20" s="1"/>
  <c r="U686" i="20"/>
  <c r="S686" i="20"/>
  <c r="M686" i="20"/>
  <c r="K686" i="20"/>
  <c r="L686" i="20" s="1"/>
  <c r="AA685" i="20"/>
  <c r="X685" i="20"/>
  <c r="Z685" i="20" s="1"/>
  <c r="J685" i="20" s="1"/>
  <c r="W685" i="20"/>
  <c r="V685" i="20"/>
  <c r="U685" i="20"/>
  <c r="S685" i="20"/>
  <c r="K685" i="20"/>
  <c r="AA684" i="20"/>
  <c r="Z684" i="20"/>
  <c r="Y684" i="20"/>
  <c r="V684" i="20"/>
  <c r="W684" i="20" s="1"/>
  <c r="X684" i="20" s="1"/>
  <c r="U684" i="20"/>
  <c r="S684" i="20"/>
  <c r="K684" i="20"/>
  <c r="J684" i="20"/>
  <c r="AA683" i="20"/>
  <c r="V683" i="20"/>
  <c r="W683" i="20" s="1"/>
  <c r="X683" i="20" s="1"/>
  <c r="U683" i="20"/>
  <c r="S683" i="20"/>
  <c r="K683" i="20"/>
  <c r="AC682" i="20"/>
  <c r="AB682" i="20"/>
  <c r="AA682" i="20"/>
  <c r="W682" i="20"/>
  <c r="X682" i="20" s="1"/>
  <c r="V682" i="20"/>
  <c r="U682" i="20"/>
  <c r="S682" i="20"/>
  <c r="M682" i="20"/>
  <c r="Q682" i="20" s="1"/>
  <c r="K682" i="20"/>
  <c r="L682" i="20" s="1"/>
  <c r="AA681" i="20"/>
  <c r="V681" i="20"/>
  <c r="W681" i="20" s="1"/>
  <c r="X681" i="20" s="1"/>
  <c r="U681" i="20"/>
  <c r="S681" i="20"/>
  <c r="K681" i="20"/>
  <c r="M681" i="20" s="1"/>
  <c r="AC680" i="20"/>
  <c r="AB680" i="20"/>
  <c r="AA680" i="20"/>
  <c r="V680" i="20"/>
  <c r="W680" i="20" s="1"/>
  <c r="X680" i="20" s="1"/>
  <c r="U680" i="20"/>
  <c r="S680" i="20"/>
  <c r="L680" i="20"/>
  <c r="K680" i="20"/>
  <c r="M680" i="20" s="1"/>
  <c r="Q680" i="20" s="1"/>
  <c r="AA679" i="20"/>
  <c r="Y679" i="20"/>
  <c r="V679" i="20"/>
  <c r="W679" i="20" s="1"/>
  <c r="X679" i="20" s="1"/>
  <c r="Z679" i="20" s="1"/>
  <c r="U679" i="20"/>
  <c r="J679" i="20" s="1"/>
  <c r="S679" i="20"/>
  <c r="L679" i="20"/>
  <c r="K679" i="20"/>
  <c r="M679" i="20" s="1"/>
  <c r="AA678" i="20"/>
  <c r="Z678" i="20"/>
  <c r="J678" i="20" s="1"/>
  <c r="V678" i="20"/>
  <c r="W678" i="20" s="1"/>
  <c r="X678" i="20" s="1"/>
  <c r="Y678" i="20" s="1"/>
  <c r="U678" i="20"/>
  <c r="S678" i="20"/>
  <c r="M678" i="20"/>
  <c r="K678" i="20"/>
  <c r="L678" i="20" s="1"/>
  <c r="AA677" i="20"/>
  <c r="X677" i="20"/>
  <c r="V677" i="20"/>
  <c r="W677" i="20" s="1"/>
  <c r="U677" i="20"/>
  <c r="S677" i="20"/>
  <c r="L677" i="20"/>
  <c r="K677" i="20"/>
  <c r="M677" i="20" s="1"/>
  <c r="AC677" i="20" s="1"/>
  <c r="AA676" i="20"/>
  <c r="W676" i="20"/>
  <c r="X676" i="20" s="1"/>
  <c r="V676" i="20"/>
  <c r="U676" i="20"/>
  <c r="S676" i="20"/>
  <c r="K676" i="20"/>
  <c r="AA675" i="20"/>
  <c r="X675" i="20"/>
  <c r="V675" i="20"/>
  <c r="W675" i="20" s="1"/>
  <c r="U675" i="20"/>
  <c r="S675" i="20"/>
  <c r="M675" i="20"/>
  <c r="K675" i="20"/>
  <c r="L675" i="20" s="1"/>
  <c r="AA674" i="20"/>
  <c r="W674" i="20"/>
  <c r="X674" i="20" s="1"/>
  <c r="V674" i="20"/>
  <c r="U674" i="20"/>
  <c r="S674" i="20"/>
  <c r="N674" i="20"/>
  <c r="O674" i="20" s="1"/>
  <c r="L674" i="20"/>
  <c r="K674" i="20"/>
  <c r="M674" i="20" s="1"/>
  <c r="AC674" i="20" s="1"/>
  <c r="AA673" i="20"/>
  <c r="Y673" i="20"/>
  <c r="W673" i="20"/>
  <c r="X673" i="20" s="1"/>
  <c r="Z673" i="20" s="1"/>
  <c r="V673" i="20"/>
  <c r="U673" i="20"/>
  <c r="S673" i="20"/>
  <c r="M673" i="20"/>
  <c r="K673" i="20"/>
  <c r="L673" i="20" s="1"/>
  <c r="J673" i="20"/>
  <c r="AC672" i="20"/>
  <c r="AB672" i="20"/>
  <c r="AA672" i="20"/>
  <c r="V672" i="20"/>
  <c r="W672" i="20" s="1"/>
  <c r="X672" i="20" s="1"/>
  <c r="U672" i="20"/>
  <c r="S672" i="20"/>
  <c r="M672" i="20"/>
  <c r="Q672" i="20" s="1"/>
  <c r="K672" i="20"/>
  <c r="L672" i="20" s="1"/>
  <c r="P672" i="20" s="1"/>
  <c r="AA671" i="20"/>
  <c r="W671" i="20"/>
  <c r="X671" i="20" s="1"/>
  <c r="V671" i="20"/>
  <c r="U671" i="20"/>
  <c r="S671" i="20"/>
  <c r="N671" i="20"/>
  <c r="O671" i="20" s="1"/>
  <c r="M671" i="20"/>
  <c r="L671" i="20"/>
  <c r="AB671" i="20" s="1"/>
  <c r="K671" i="20"/>
  <c r="AC670" i="20"/>
  <c r="AA670" i="20"/>
  <c r="W670" i="20"/>
  <c r="X670" i="20" s="1"/>
  <c r="V670" i="20"/>
  <c r="U670" i="20"/>
  <c r="S670" i="20"/>
  <c r="Q670" i="20"/>
  <c r="M670" i="20"/>
  <c r="L670" i="20"/>
  <c r="K670" i="20"/>
  <c r="AC669" i="20"/>
  <c r="AA669" i="20"/>
  <c r="V669" i="20"/>
  <c r="W669" i="20" s="1"/>
  <c r="X669" i="20" s="1"/>
  <c r="U669" i="20"/>
  <c r="S669" i="20"/>
  <c r="K669" i="20"/>
  <c r="M669" i="20" s="1"/>
  <c r="Q669" i="20" s="1"/>
  <c r="AA668" i="20"/>
  <c r="Z668" i="20"/>
  <c r="J668" i="20" s="1"/>
  <c r="X668" i="20"/>
  <c r="Y668" i="20" s="1"/>
  <c r="V668" i="20"/>
  <c r="W668" i="20" s="1"/>
  <c r="U668" i="20"/>
  <c r="S668" i="20"/>
  <c r="K668" i="20"/>
  <c r="M668" i="20" s="1"/>
  <c r="Q668" i="20" s="1"/>
  <c r="AB667" i="20"/>
  <c r="AA667" i="20"/>
  <c r="W667" i="20"/>
  <c r="X667" i="20" s="1"/>
  <c r="V667" i="20"/>
  <c r="U667" i="20"/>
  <c r="S667" i="20"/>
  <c r="Q667" i="20"/>
  <c r="P667" i="20"/>
  <c r="N667" i="20"/>
  <c r="O667" i="20" s="1"/>
  <c r="M667" i="20"/>
  <c r="AC667" i="20" s="1"/>
  <c r="L667" i="20"/>
  <c r="K667" i="20"/>
  <c r="AA666" i="20"/>
  <c r="V666" i="20"/>
  <c r="W666" i="20" s="1"/>
  <c r="X666" i="20" s="1"/>
  <c r="U666" i="20"/>
  <c r="S666" i="20"/>
  <c r="Q666" i="20"/>
  <c r="P666" i="20"/>
  <c r="M666" i="20"/>
  <c r="AC666" i="20" s="1"/>
  <c r="L666" i="20"/>
  <c r="K666" i="20"/>
  <c r="AA665" i="20"/>
  <c r="V665" i="20"/>
  <c r="W665" i="20" s="1"/>
  <c r="X665" i="20" s="1"/>
  <c r="Z665" i="20" s="1"/>
  <c r="U665" i="20"/>
  <c r="S665" i="20"/>
  <c r="K665" i="20"/>
  <c r="AC664" i="20"/>
  <c r="AA664" i="20"/>
  <c r="Z664" i="20"/>
  <c r="J664" i="20" s="1"/>
  <c r="W664" i="20"/>
  <c r="X664" i="20" s="1"/>
  <c r="Y664" i="20" s="1"/>
  <c r="V664" i="20"/>
  <c r="U664" i="20"/>
  <c r="S664" i="20"/>
  <c r="M664" i="20"/>
  <c r="Q664" i="20" s="1"/>
  <c r="L664" i="20"/>
  <c r="K664" i="20"/>
  <c r="AA663" i="20"/>
  <c r="W663" i="20"/>
  <c r="X663" i="20" s="1"/>
  <c r="Z663" i="20" s="1"/>
  <c r="J663" i="20" s="1"/>
  <c r="V663" i="20"/>
  <c r="U663" i="20"/>
  <c r="S663" i="20"/>
  <c r="Q663" i="20"/>
  <c r="M663" i="20"/>
  <c r="AC663" i="20" s="1"/>
  <c r="L663" i="20"/>
  <c r="K663" i="20"/>
  <c r="AC662" i="20"/>
  <c r="AA662" i="20"/>
  <c r="W662" i="20"/>
  <c r="X662" i="20" s="1"/>
  <c r="V662" i="20"/>
  <c r="U662" i="20"/>
  <c r="S662" i="20"/>
  <c r="P662" i="20"/>
  <c r="N662" i="20"/>
  <c r="O662" i="20" s="1"/>
  <c r="M662" i="20"/>
  <c r="Q662" i="20" s="1"/>
  <c r="L662" i="20"/>
  <c r="AB662" i="20" s="1"/>
  <c r="K662" i="20"/>
  <c r="AA661" i="20"/>
  <c r="V661" i="20"/>
  <c r="W661" i="20" s="1"/>
  <c r="X661" i="20" s="1"/>
  <c r="U661" i="20"/>
  <c r="S661" i="20"/>
  <c r="P661" i="20"/>
  <c r="M661" i="20"/>
  <c r="K661" i="20"/>
  <c r="L661" i="20" s="1"/>
  <c r="AB661" i="20" s="1"/>
  <c r="AA660" i="20"/>
  <c r="X660" i="20"/>
  <c r="V660" i="20"/>
  <c r="W660" i="20" s="1"/>
  <c r="U660" i="20"/>
  <c r="S660" i="20"/>
  <c r="K660" i="20"/>
  <c r="M660" i="20" s="1"/>
  <c r="AA659" i="20"/>
  <c r="V659" i="20"/>
  <c r="W659" i="20" s="1"/>
  <c r="X659" i="20" s="1"/>
  <c r="U659" i="20"/>
  <c r="S659" i="20"/>
  <c r="K659" i="20"/>
  <c r="M659" i="20" s="1"/>
  <c r="AC658" i="20"/>
  <c r="AA658" i="20"/>
  <c r="X658" i="20"/>
  <c r="Z658" i="20" s="1"/>
  <c r="J658" i="20" s="1"/>
  <c r="V658" i="20"/>
  <c r="W658" i="20" s="1"/>
  <c r="U658" i="20"/>
  <c r="S658" i="20"/>
  <c r="N658" i="20"/>
  <c r="O658" i="20" s="1"/>
  <c r="M658" i="20"/>
  <c r="Q658" i="20" s="1"/>
  <c r="L658" i="20"/>
  <c r="P658" i="20" s="1"/>
  <c r="K658" i="20"/>
  <c r="AB657" i="20"/>
  <c r="AA657" i="20"/>
  <c r="V657" i="20"/>
  <c r="W657" i="20" s="1"/>
  <c r="X657" i="20" s="1"/>
  <c r="U657" i="20"/>
  <c r="S657" i="20"/>
  <c r="K657" i="20"/>
  <c r="L657" i="20" s="1"/>
  <c r="P657" i="20" s="1"/>
  <c r="AB656" i="20"/>
  <c r="AA656" i="20"/>
  <c r="W656" i="20"/>
  <c r="X656" i="20" s="1"/>
  <c r="V656" i="20"/>
  <c r="U656" i="20"/>
  <c r="S656" i="20"/>
  <c r="Q656" i="20"/>
  <c r="N656" i="20"/>
  <c r="O656" i="20" s="1"/>
  <c r="M656" i="20"/>
  <c r="AC656" i="20" s="1"/>
  <c r="L656" i="20"/>
  <c r="K656" i="20"/>
  <c r="AB655" i="20"/>
  <c r="AA655" i="20"/>
  <c r="Z655" i="20"/>
  <c r="J655" i="20" s="1"/>
  <c r="V655" i="20"/>
  <c r="W655" i="20" s="1"/>
  <c r="X655" i="20" s="1"/>
  <c r="Y655" i="20" s="1"/>
  <c r="U655" i="20"/>
  <c r="S655" i="20"/>
  <c r="P655" i="20"/>
  <c r="L655" i="20"/>
  <c r="K655" i="20"/>
  <c r="M655" i="20" s="1"/>
  <c r="AA654" i="20"/>
  <c r="X654" i="20"/>
  <c r="W654" i="20"/>
  <c r="V654" i="20"/>
  <c r="U654" i="20"/>
  <c r="S654" i="20"/>
  <c r="K654" i="20"/>
  <c r="AA653" i="20"/>
  <c r="W653" i="20"/>
  <c r="X653" i="20" s="1"/>
  <c r="V653" i="20"/>
  <c r="U653" i="20"/>
  <c r="S653" i="20"/>
  <c r="K653" i="20"/>
  <c r="AA652" i="20"/>
  <c r="X652" i="20"/>
  <c r="Y652" i="20" s="1"/>
  <c r="V652" i="20"/>
  <c r="W652" i="20" s="1"/>
  <c r="U652" i="20"/>
  <c r="S652" i="20"/>
  <c r="K652" i="20"/>
  <c r="M652" i="20" s="1"/>
  <c r="AA651" i="20"/>
  <c r="W651" i="20"/>
  <c r="X651" i="20" s="1"/>
  <c r="V651" i="20"/>
  <c r="U651" i="20"/>
  <c r="S651" i="20"/>
  <c r="K651" i="20"/>
  <c r="AA650" i="20"/>
  <c r="V650" i="20"/>
  <c r="W650" i="20" s="1"/>
  <c r="X650" i="20" s="1"/>
  <c r="U650" i="20"/>
  <c r="S650" i="20"/>
  <c r="M650" i="20"/>
  <c r="K650" i="20"/>
  <c r="L650" i="20" s="1"/>
  <c r="AA649" i="20"/>
  <c r="V649" i="20"/>
  <c r="W649" i="20" s="1"/>
  <c r="X649" i="20" s="1"/>
  <c r="U649" i="20"/>
  <c r="S649" i="20"/>
  <c r="K649" i="20"/>
  <c r="AA648" i="20"/>
  <c r="X648" i="20"/>
  <c r="Y648" i="20" s="1"/>
  <c r="V648" i="20"/>
  <c r="W648" i="20" s="1"/>
  <c r="U648" i="20"/>
  <c r="S648" i="20"/>
  <c r="L648" i="20"/>
  <c r="K648" i="20"/>
  <c r="M648" i="20" s="1"/>
  <c r="AA647" i="20"/>
  <c r="V647" i="20"/>
  <c r="W647" i="20" s="1"/>
  <c r="X647" i="20" s="1"/>
  <c r="U647" i="20"/>
  <c r="S647" i="20"/>
  <c r="K647" i="20"/>
  <c r="AA646" i="20"/>
  <c r="Z646" i="20"/>
  <c r="V646" i="20"/>
  <c r="W646" i="20" s="1"/>
  <c r="X646" i="20" s="1"/>
  <c r="Y646" i="20" s="1"/>
  <c r="U646" i="20"/>
  <c r="S646" i="20"/>
  <c r="K646" i="20"/>
  <c r="J646" i="20"/>
  <c r="AC645" i="20"/>
  <c r="AB645" i="20"/>
  <c r="AA645" i="20"/>
  <c r="V645" i="20"/>
  <c r="W645" i="20" s="1"/>
  <c r="X645" i="20" s="1"/>
  <c r="U645" i="20"/>
  <c r="S645" i="20"/>
  <c r="L645" i="20"/>
  <c r="P645" i="20" s="1"/>
  <c r="K645" i="20"/>
  <c r="M645" i="20" s="1"/>
  <c r="Q645" i="20" s="1"/>
  <c r="AB644" i="20"/>
  <c r="AA644" i="20"/>
  <c r="W644" i="20"/>
  <c r="X644" i="20" s="1"/>
  <c r="V644" i="20"/>
  <c r="U644" i="20"/>
  <c r="S644" i="20"/>
  <c r="L644" i="20"/>
  <c r="K644" i="20"/>
  <c r="M644" i="20" s="1"/>
  <c r="AA643" i="20"/>
  <c r="V643" i="20"/>
  <c r="W643" i="20" s="1"/>
  <c r="X643" i="20" s="1"/>
  <c r="U643" i="20"/>
  <c r="S643" i="20"/>
  <c r="K643" i="20"/>
  <c r="L643" i="20" s="1"/>
  <c r="AB642" i="20"/>
  <c r="AA642" i="20"/>
  <c r="V642" i="20"/>
  <c r="W642" i="20" s="1"/>
  <c r="X642" i="20" s="1"/>
  <c r="Z642" i="20" s="1"/>
  <c r="J642" i="20" s="1"/>
  <c r="U642" i="20"/>
  <c r="S642" i="20"/>
  <c r="P642" i="20"/>
  <c r="M642" i="20"/>
  <c r="L642" i="20"/>
  <c r="K642" i="20"/>
  <c r="AA641" i="20"/>
  <c r="W641" i="20"/>
  <c r="X641" i="20" s="1"/>
  <c r="V641" i="20"/>
  <c r="U641" i="20"/>
  <c r="S641" i="20"/>
  <c r="K641" i="20"/>
  <c r="M641" i="20" s="1"/>
  <c r="AA640" i="20"/>
  <c r="W640" i="20"/>
  <c r="X640" i="20" s="1"/>
  <c r="V640" i="20"/>
  <c r="U640" i="20"/>
  <c r="S640" i="20"/>
  <c r="K640" i="20"/>
  <c r="AA639" i="20"/>
  <c r="W639" i="20"/>
  <c r="X639" i="20" s="1"/>
  <c r="V639" i="20"/>
  <c r="U639" i="20"/>
  <c r="S639" i="20"/>
  <c r="K639" i="20"/>
  <c r="AA638" i="20"/>
  <c r="V638" i="20"/>
  <c r="W638" i="20" s="1"/>
  <c r="X638" i="20" s="1"/>
  <c r="U638" i="20"/>
  <c r="S638" i="20"/>
  <c r="M638" i="20"/>
  <c r="L638" i="20"/>
  <c r="K638" i="20"/>
  <c r="AC637" i="20"/>
  <c r="AA637" i="20"/>
  <c r="Z637" i="20"/>
  <c r="J637" i="20" s="1"/>
  <c r="X637" i="20"/>
  <c r="Y637" i="20" s="1"/>
  <c r="W637" i="20"/>
  <c r="V637" i="20"/>
  <c r="U637" i="20"/>
  <c r="S637" i="20"/>
  <c r="P637" i="20"/>
  <c r="M637" i="20"/>
  <c r="Q637" i="20" s="1"/>
  <c r="L637" i="20"/>
  <c r="K637" i="20"/>
  <c r="AA636" i="20"/>
  <c r="Z636" i="20"/>
  <c r="V636" i="20"/>
  <c r="W636" i="20" s="1"/>
  <c r="X636" i="20" s="1"/>
  <c r="Y636" i="20" s="1"/>
  <c r="U636" i="20"/>
  <c r="S636" i="20"/>
  <c r="K636" i="20"/>
  <c r="J636" i="20"/>
  <c r="AA635" i="20"/>
  <c r="Z635" i="20"/>
  <c r="J635" i="20" s="1"/>
  <c r="V635" i="20"/>
  <c r="W635" i="20" s="1"/>
  <c r="X635" i="20" s="1"/>
  <c r="Y635" i="20" s="1"/>
  <c r="U635" i="20"/>
  <c r="S635" i="20"/>
  <c r="M635" i="20"/>
  <c r="L635" i="20"/>
  <c r="K635" i="20"/>
  <c r="AA634" i="20"/>
  <c r="V634" i="20"/>
  <c r="W634" i="20" s="1"/>
  <c r="X634" i="20" s="1"/>
  <c r="U634" i="20"/>
  <c r="S634" i="20"/>
  <c r="M634" i="20"/>
  <c r="L634" i="20"/>
  <c r="K634" i="20"/>
  <c r="AA633" i="20"/>
  <c r="V633" i="20"/>
  <c r="W633" i="20" s="1"/>
  <c r="X633" i="20" s="1"/>
  <c r="U633" i="20"/>
  <c r="S633" i="20"/>
  <c r="L633" i="20"/>
  <c r="K633" i="20"/>
  <c r="M633" i="20" s="1"/>
  <c r="Q633" i="20" s="1"/>
  <c r="AA632" i="20"/>
  <c r="Z632" i="20"/>
  <c r="J632" i="20" s="1"/>
  <c r="X632" i="20"/>
  <c r="Y632" i="20" s="1"/>
  <c r="W632" i="20"/>
  <c r="V632" i="20"/>
  <c r="U632" i="20"/>
  <c r="S632" i="20"/>
  <c r="K632" i="20"/>
  <c r="AA631" i="20"/>
  <c r="W631" i="20"/>
  <c r="X631" i="20" s="1"/>
  <c r="Z631" i="20" s="1"/>
  <c r="V631" i="20"/>
  <c r="U631" i="20"/>
  <c r="S631" i="20"/>
  <c r="K631" i="20"/>
  <c r="J631" i="20"/>
  <c r="AB630" i="20"/>
  <c r="AA630" i="20"/>
  <c r="X630" i="20"/>
  <c r="V630" i="20"/>
  <c r="W630" i="20" s="1"/>
  <c r="U630" i="20"/>
  <c r="S630" i="20"/>
  <c r="P630" i="20"/>
  <c r="M630" i="20"/>
  <c r="L630" i="20"/>
  <c r="K630" i="20"/>
  <c r="AA629" i="20"/>
  <c r="W629" i="20"/>
  <c r="X629" i="20" s="1"/>
  <c r="V629" i="20"/>
  <c r="U629" i="20"/>
  <c r="S629" i="20"/>
  <c r="K629" i="20"/>
  <c r="AA628" i="20"/>
  <c r="V628" i="20"/>
  <c r="W628" i="20" s="1"/>
  <c r="X628" i="20" s="1"/>
  <c r="U628" i="20"/>
  <c r="S628" i="20"/>
  <c r="K628" i="20"/>
  <c r="AA627" i="20"/>
  <c r="V627" i="20"/>
  <c r="W627" i="20" s="1"/>
  <c r="X627" i="20" s="1"/>
  <c r="U627" i="20"/>
  <c r="S627" i="20"/>
  <c r="O627" i="20"/>
  <c r="N627" i="20"/>
  <c r="M627" i="20"/>
  <c r="AC627" i="20" s="1"/>
  <c r="L627" i="20"/>
  <c r="AB627" i="20" s="1"/>
  <c r="K627" i="20"/>
  <c r="AA626" i="20"/>
  <c r="Z626" i="20"/>
  <c r="J626" i="20" s="1"/>
  <c r="Y626" i="20"/>
  <c r="X626" i="20"/>
  <c r="V626" i="20"/>
  <c r="W626" i="20" s="1"/>
  <c r="U626" i="20"/>
  <c r="S626" i="20"/>
  <c r="K626" i="20"/>
  <c r="M626" i="20" s="1"/>
  <c r="AA625" i="20"/>
  <c r="V625" i="20"/>
  <c r="W625" i="20" s="1"/>
  <c r="X625" i="20" s="1"/>
  <c r="U625" i="20"/>
  <c r="S625" i="20"/>
  <c r="K625" i="20"/>
  <c r="AA624" i="20"/>
  <c r="W624" i="20"/>
  <c r="X624" i="20" s="1"/>
  <c r="V624" i="20"/>
  <c r="U624" i="20"/>
  <c r="S624" i="20"/>
  <c r="K624" i="20"/>
  <c r="AA623" i="20"/>
  <c r="AB623" i="20" s="1"/>
  <c r="X623" i="20"/>
  <c r="W623" i="20"/>
  <c r="V623" i="20"/>
  <c r="U623" i="20"/>
  <c r="S623" i="20"/>
  <c r="N623" i="20"/>
  <c r="O623" i="20" s="1"/>
  <c r="L623" i="20"/>
  <c r="K623" i="20"/>
  <c r="M623" i="20" s="1"/>
  <c r="AA622" i="20"/>
  <c r="W622" i="20"/>
  <c r="X622" i="20" s="1"/>
  <c r="V622" i="20"/>
  <c r="U622" i="20"/>
  <c r="S622" i="20"/>
  <c r="K622" i="20"/>
  <c r="AC621" i="20"/>
  <c r="AA621" i="20"/>
  <c r="Y621" i="20"/>
  <c r="W621" i="20"/>
  <c r="X621" i="20" s="1"/>
  <c r="Z621" i="20" s="1"/>
  <c r="V621" i="20"/>
  <c r="U621" i="20"/>
  <c r="S621" i="20"/>
  <c r="K621" i="20"/>
  <c r="M621" i="20" s="1"/>
  <c r="Q621" i="20" s="1"/>
  <c r="J621" i="20"/>
  <c r="AA620" i="20"/>
  <c r="V620" i="20"/>
  <c r="W620" i="20" s="1"/>
  <c r="X620" i="20" s="1"/>
  <c r="U620" i="20"/>
  <c r="S620" i="20"/>
  <c r="M620" i="20"/>
  <c r="L620" i="20"/>
  <c r="K620" i="20"/>
  <c r="AC619" i="20"/>
  <c r="AA619" i="20"/>
  <c r="W619" i="20"/>
  <c r="X619" i="20" s="1"/>
  <c r="V619" i="20"/>
  <c r="U619" i="20"/>
  <c r="S619" i="20"/>
  <c r="Q619" i="20"/>
  <c r="P619" i="20"/>
  <c r="N619" i="20"/>
  <c r="O619" i="20" s="1"/>
  <c r="M619" i="20"/>
  <c r="L619" i="20"/>
  <c r="AB619" i="20" s="1"/>
  <c r="K619" i="20"/>
  <c r="AA618" i="20"/>
  <c r="V618" i="20"/>
  <c r="W618" i="20" s="1"/>
  <c r="X618" i="20" s="1"/>
  <c r="U618" i="20"/>
  <c r="S618" i="20"/>
  <c r="M618" i="20"/>
  <c r="AC618" i="20" s="1"/>
  <c r="K618" i="20"/>
  <c r="L618" i="20" s="1"/>
  <c r="AA617" i="20"/>
  <c r="Y617" i="20"/>
  <c r="V617" i="20"/>
  <c r="W617" i="20" s="1"/>
  <c r="X617" i="20" s="1"/>
  <c r="Z617" i="20" s="1"/>
  <c r="J617" i="20" s="1"/>
  <c r="U617" i="20"/>
  <c r="S617" i="20"/>
  <c r="M617" i="20"/>
  <c r="L617" i="20"/>
  <c r="K617" i="20"/>
  <c r="AA616" i="20"/>
  <c r="W616" i="20"/>
  <c r="X616" i="20" s="1"/>
  <c r="V616" i="20"/>
  <c r="U616" i="20"/>
  <c r="S616" i="20"/>
  <c r="N616" i="20"/>
  <c r="O616" i="20" s="1"/>
  <c r="L616" i="20"/>
  <c r="K616" i="20"/>
  <c r="M616" i="20" s="1"/>
  <c r="AA615" i="20"/>
  <c r="Z615" i="20"/>
  <c r="J615" i="20" s="1"/>
  <c r="Y615" i="20"/>
  <c r="V615" i="20"/>
  <c r="W615" i="20" s="1"/>
  <c r="X615" i="20" s="1"/>
  <c r="U615" i="20"/>
  <c r="S615" i="20"/>
  <c r="K615" i="20"/>
  <c r="M615" i="20" s="1"/>
  <c r="Q615" i="20" s="1"/>
  <c r="AB614" i="20"/>
  <c r="AA614" i="20"/>
  <c r="V614" i="20"/>
  <c r="W614" i="20" s="1"/>
  <c r="X614" i="20" s="1"/>
  <c r="U614" i="20"/>
  <c r="S614" i="20"/>
  <c r="M614" i="20"/>
  <c r="K614" i="20"/>
  <c r="L614" i="20" s="1"/>
  <c r="AC613" i="20"/>
  <c r="AA613" i="20"/>
  <c r="AB613" i="20" s="1"/>
  <c r="Z613" i="20"/>
  <c r="J613" i="20" s="1"/>
  <c r="W613" i="20"/>
  <c r="X613" i="20" s="1"/>
  <c r="Y613" i="20" s="1"/>
  <c r="V613" i="20"/>
  <c r="U613" i="20"/>
  <c r="S613" i="20"/>
  <c r="Q613" i="20"/>
  <c r="L613" i="20"/>
  <c r="K613" i="20"/>
  <c r="M613" i="20" s="1"/>
  <c r="AB612" i="20"/>
  <c r="AA612" i="20"/>
  <c r="W612" i="20"/>
  <c r="X612" i="20" s="1"/>
  <c r="V612" i="20"/>
  <c r="U612" i="20"/>
  <c r="S612" i="20"/>
  <c r="M612" i="20"/>
  <c r="K612" i="20"/>
  <c r="L612" i="20" s="1"/>
  <c r="AA611" i="20"/>
  <c r="V611" i="20"/>
  <c r="W611" i="20" s="1"/>
  <c r="X611" i="20" s="1"/>
  <c r="U611" i="20"/>
  <c r="S611" i="20"/>
  <c r="K611" i="20"/>
  <c r="AB610" i="20"/>
  <c r="AA610" i="20"/>
  <c r="X610" i="20"/>
  <c r="W610" i="20"/>
  <c r="V610" i="20"/>
  <c r="U610" i="20"/>
  <c r="S610" i="20"/>
  <c r="Q610" i="20"/>
  <c r="L610" i="20"/>
  <c r="K610" i="20"/>
  <c r="M610" i="20" s="1"/>
  <c r="AC610" i="20" s="1"/>
  <c r="AA609" i="20"/>
  <c r="W609" i="20"/>
  <c r="X609" i="20" s="1"/>
  <c r="V609" i="20"/>
  <c r="U609" i="20"/>
  <c r="S609" i="20"/>
  <c r="K609" i="20"/>
  <c r="AA608" i="20"/>
  <c r="AB608" i="20" s="1"/>
  <c r="W608" i="20"/>
  <c r="X608" i="20" s="1"/>
  <c r="V608" i="20"/>
  <c r="U608" i="20"/>
  <c r="S608" i="20"/>
  <c r="K608" i="20"/>
  <c r="L608" i="20" s="1"/>
  <c r="AA607" i="20"/>
  <c r="Z607" i="20"/>
  <c r="Y607" i="20"/>
  <c r="X607" i="20"/>
  <c r="W607" i="20"/>
  <c r="V607" i="20"/>
  <c r="U607" i="20"/>
  <c r="S607" i="20"/>
  <c r="K607" i="20"/>
  <c r="J607" i="20"/>
  <c r="AA606" i="20"/>
  <c r="Z606" i="20"/>
  <c r="J606" i="20" s="1"/>
  <c r="V606" i="20"/>
  <c r="W606" i="20" s="1"/>
  <c r="X606" i="20" s="1"/>
  <c r="Y606" i="20" s="1"/>
  <c r="U606" i="20"/>
  <c r="S606" i="20"/>
  <c r="M606" i="20"/>
  <c r="Q606" i="20" s="1"/>
  <c r="L606" i="20"/>
  <c r="K606" i="20"/>
  <c r="AA605" i="20"/>
  <c r="W605" i="20"/>
  <c r="X605" i="20" s="1"/>
  <c r="V605" i="20"/>
  <c r="U605" i="20"/>
  <c r="S605" i="20"/>
  <c r="M605" i="20"/>
  <c r="K605" i="20"/>
  <c r="L605" i="20" s="1"/>
  <c r="AA604" i="20"/>
  <c r="Z604" i="20"/>
  <c r="J604" i="20" s="1"/>
  <c r="X604" i="20"/>
  <c r="Y604" i="20" s="1"/>
  <c r="V604" i="20"/>
  <c r="W604" i="20" s="1"/>
  <c r="U604" i="20"/>
  <c r="S604" i="20"/>
  <c r="K604" i="20"/>
  <c r="AA603" i="20"/>
  <c r="W603" i="20"/>
  <c r="X603" i="20" s="1"/>
  <c r="V603" i="20"/>
  <c r="U603" i="20"/>
  <c r="S603" i="20"/>
  <c r="P603" i="20"/>
  <c r="M603" i="20"/>
  <c r="L603" i="20"/>
  <c r="K603" i="20"/>
  <c r="AA602" i="20"/>
  <c r="Y602" i="20"/>
  <c r="W602" i="20"/>
  <c r="X602" i="20" s="1"/>
  <c r="Z602" i="20" s="1"/>
  <c r="J602" i="20" s="1"/>
  <c r="V602" i="20"/>
  <c r="U602" i="20"/>
  <c r="S602" i="20"/>
  <c r="Q602" i="20"/>
  <c r="K602" i="20"/>
  <c r="M602" i="20" s="1"/>
  <c r="AC602" i="20" s="1"/>
  <c r="AA601" i="20"/>
  <c r="V601" i="20"/>
  <c r="W601" i="20" s="1"/>
  <c r="X601" i="20" s="1"/>
  <c r="S601" i="20"/>
  <c r="K601" i="20"/>
  <c r="AA600" i="20"/>
  <c r="W600" i="20"/>
  <c r="X600" i="20" s="1"/>
  <c r="Y600" i="20" s="1"/>
  <c r="V600" i="20"/>
  <c r="S600" i="20"/>
  <c r="K600" i="20"/>
  <c r="AA599" i="20"/>
  <c r="W599" i="20"/>
  <c r="X599" i="20" s="1"/>
  <c r="V599" i="20"/>
  <c r="S599" i="20"/>
  <c r="M599" i="20"/>
  <c r="AC599" i="20" s="1"/>
  <c r="L599" i="20"/>
  <c r="K599" i="20"/>
  <c r="AC598" i="20"/>
  <c r="AA598" i="20"/>
  <c r="X598" i="20"/>
  <c r="W598" i="20"/>
  <c r="V598" i="20"/>
  <c r="S598" i="20"/>
  <c r="N598" i="20"/>
  <c r="O598" i="20" s="1"/>
  <c r="L598" i="20"/>
  <c r="K598" i="20"/>
  <c r="M598" i="20" s="1"/>
  <c r="Q598" i="20" s="1"/>
  <c r="AA597" i="20"/>
  <c r="Y597" i="20"/>
  <c r="X597" i="20"/>
  <c r="Z597" i="20" s="1"/>
  <c r="V597" i="20"/>
  <c r="W597" i="20" s="1"/>
  <c r="S597" i="20"/>
  <c r="K597" i="20"/>
  <c r="AA596" i="20"/>
  <c r="Z596" i="20"/>
  <c r="Y596" i="20"/>
  <c r="W596" i="20"/>
  <c r="X596" i="20" s="1"/>
  <c r="V596" i="20"/>
  <c r="S596" i="20"/>
  <c r="K596" i="20"/>
  <c r="L596" i="20" s="1"/>
  <c r="AB595" i="20"/>
  <c r="AA595" i="20"/>
  <c r="X595" i="20"/>
  <c r="V595" i="20"/>
  <c r="W595" i="20" s="1"/>
  <c r="S595" i="20"/>
  <c r="Q595" i="20"/>
  <c r="N595" i="20"/>
  <c r="O595" i="20" s="1"/>
  <c r="M595" i="20"/>
  <c r="AC595" i="20" s="1"/>
  <c r="L595" i="20"/>
  <c r="K595" i="20"/>
  <c r="AA594" i="20"/>
  <c r="Z594" i="20"/>
  <c r="Y594" i="20"/>
  <c r="X594" i="20"/>
  <c r="V594" i="20"/>
  <c r="W594" i="20" s="1"/>
  <c r="S594" i="20"/>
  <c r="K594" i="20"/>
  <c r="AA593" i="20"/>
  <c r="Y593" i="20"/>
  <c r="V593" i="20"/>
  <c r="W593" i="20" s="1"/>
  <c r="X593" i="20" s="1"/>
  <c r="Z593" i="20" s="1"/>
  <c r="S593" i="20"/>
  <c r="M593" i="20"/>
  <c r="AC593" i="20" s="1"/>
  <c r="L593" i="20"/>
  <c r="K593" i="20"/>
  <c r="AA592" i="20"/>
  <c r="W592" i="20"/>
  <c r="X592" i="20" s="1"/>
  <c r="V592" i="20"/>
  <c r="S592" i="20"/>
  <c r="M592" i="20"/>
  <c r="L592" i="20"/>
  <c r="K592" i="20"/>
  <c r="AA591" i="20"/>
  <c r="V591" i="20"/>
  <c r="W591" i="20" s="1"/>
  <c r="X591" i="20" s="1"/>
  <c r="S591" i="20"/>
  <c r="K591" i="20"/>
  <c r="AA590" i="20"/>
  <c r="W590" i="20"/>
  <c r="X590" i="20" s="1"/>
  <c r="V590" i="20"/>
  <c r="S590" i="20"/>
  <c r="K590" i="20"/>
  <c r="AC589" i="20"/>
  <c r="AA589" i="20"/>
  <c r="AB589" i="20" s="1"/>
  <c r="X589" i="20"/>
  <c r="Y589" i="20" s="1"/>
  <c r="W589" i="20"/>
  <c r="V589" i="20"/>
  <c r="S589" i="20"/>
  <c r="Q589" i="20"/>
  <c r="O589" i="20"/>
  <c r="N589" i="20"/>
  <c r="M589" i="20"/>
  <c r="L589" i="20"/>
  <c r="K589" i="20"/>
  <c r="AA588" i="20"/>
  <c r="X588" i="20"/>
  <c r="W588" i="20"/>
  <c r="V588" i="20"/>
  <c r="S588" i="20"/>
  <c r="K588" i="20"/>
  <c r="AA587" i="20"/>
  <c r="W587" i="20"/>
  <c r="X587" i="20" s="1"/>
  <c r="V587" i="20"/>
  <c r="S587" i="20"/>
  <c r="K587" i="20"/>
  <c r="AA586" i="20"/>
  <c r="V586" i="20"/>
  <c r="W586" i="20" s="1"/>
  <c r="X586" i="20" s="1"/>
  <c r="S586" i="20"/>
  <c r="K586" i="20"/>
  <c r="AA585" i="20"/>
  <c r="AB585" i="20" s="1"/>
  <c r="V585" i="20"/>
  <c r="W585" i="20" s="1"/>
  <c r="X585" i="20" s="1"/>
  <c r="S585" i="20"/>
  <c r="M585" i="20"/>
  <c r="L585" i="20"/>
  <c r="K585" i="20"/>
  <c r="AA584" i="20"/>
  <c r="W584" i="20"/>
  <c r="X584" i="20" s="1"/>
  <c r="V584" i="20"/>
  <c r="S584" i="20"/>
  <c r="K584" i="20"/>
  <c r="AA583" i="20"/>
  <c r="V583" i="20"/>
  <c r="W583" i="20" s="1"/>
  <c r="X583" i="20" s="1"/>
  <c r="Y583" i="20" s="1"/>
  <c r="S583" i="20"/>
  <c r="M583" i="20"/>
  <c r="K583" i="20"/>
  <c r="L583" i="20" s="1"/>
  <c r="AC582" i="20"/>
  <c r="AA582" i="20"/>
  <c r="X582" i="20"/>
  <c r="Y582" i="20" s="1"/>
  <c r="W582" i="20"/>
  <c r="V582" i="20"/>
  <c r="S582" i="20"/>
  <c r="K582" i="20"/>
  <c r="M582" i="20" s="1"/>
  <c r="Q582" i="20" s="1"/>
  <c r="AA581" i="20"/>
  <c r="W581" i="20"/>
  <c r="X581" i="20" s="1"/>
  <c r="V581" i="20"/>
  <c r="S581" i="20"/>
  <c r="L581" i="20"/>
  <c r="AB581" i="20" s="1"/>
  <c r="K581" i="20"/>
  <c r="M581" i="20" s="1"/>
  <c r="AA580" i="20"/>
  <c r="AB580" i="20" s="1"/>
  <c r="X580" i="20"/>
  <c r="W580" i="20"/>
  <c r="V580" i="20"/>
  <c r="S580" i="20"/>
  <c r="Q580" i="20"/>
  <c r="M580" i="20"/>
  <c r="L580" i="20"/>
  <c r="K580" i="20"/>
  <c r="AA579" i="20"/>
  <c r="V579" i="20"/>
  <c r="W579" i="20" s="1"/>
  <c r="X579" i="20" s="1"/>
  <c r="S579" i="20"/>
  <c r="L579" i="20"/>
  <c r="AB579" i="20" s="1"/>
  <c r="K579" i="20"/>
  <c r="M579" i="20" s="1"/>
  <c r="AA578" i="20"/>
  <c r="AB578" i="20" s="1"/>
  <c r="W578" i="20"/>
  <c r="X578" i="20" s="1"/>
  <c r="V578" i="20"/>
  <c r="S578" i="20"/>
  <c r="L578" i="20"/>
  <c r="K578" i="20"/>
  <c r="M578" i="20" s="1"/>
  <c r="AC578" i="20" s="1"/>
  <c r="AA577" i="20"/>
  <c r="V577" i="20"/>
  <c r="W577" i="20" s="1"/>
  <c r="X577" i="20" s="1"/>
  <c r="S577" i="20"/>
  <c r="M577" i="20"/>
  <c r="L577" i="20"/>
  <c r="AB577" i="20" s="1"/>
  <c r="K577" i="20"/>
  <c r="AA576" i="20"/>
  <c r="V576" i="20"/>
  <c r="W576" i="20" s="1"/>
  <c r="X576" i="20" s="1"/>
  <c r="S576" i="20"/>
  <c r="K576" i="20"/>
  <c r="AA575" i="20"/>
  <c r="Y575" i="20"/>
  <c r="V575" i="20"/>
  <c r="W575" i="20" s="1"/>
  <c r="X575" i="20" s="1"/>
  <c r="Z575" i="20" s="1"/>
  <c r="S575" i="20"/>
  <c r="K575" i="20"/>
  <c r="AA574" i="20"/>
  <c r="W574" i="20"/>
  <c r="X574" i="20" s="1"/>
  <c r="V574" i="20"/>
  <c r="S574" i="20"/>
  <c r="K574" i="20"/>
  <c r="L574" i="20" s="1"/>
  <c r="AA573" i="20"/>
  <c r="Y573" i="20"/>
  <c r="V573" i="20"/>
  <c r="W573" i="20" s="1"/>
  <c r="X573" i="20" s="1"/>
  <c r="Z573" i="20" s="1"/>
  <c r="S573" i="20"/>
  <c r="Q573" i="20"/>
  <c r="N573" i="20"/>
  <c r="O573" i="20" s="1"/>
  <c r="L573" i="20"/>
  <c r="K573" i="20"/>
  <c r="M573" i="20" s="1"/>
  <c r="AC573" i="20" s="1"/>
  <c r="AA572" i="20"/>
  <c r="V572" i="20"/>
  <c r="W572" i="20" s="1"/>
  <c r="X572" i="20" s="1"/>
  <c r="S572" i="20"/>
  <c r="K572" i="20"/>
  <c r="AC571" i="20"/>
  <c r="AB571" i="20"/>
  <c r="AA571" i="20"/>
  <c r="X571" i="20"/>
  <c r="Z571" i="20" s="1"/>
  <c r="W571" i="20"/>
  <c r="V571" i="20"/>
  <c r="S571" i="20"/>
  <c r="N571" i="20"/>
  <c r="O571" i="20" s="1"/>
  <c r="M571" i="20"/>
  <c r="Q571" i="20" s="1"/>
  <c r="L571" i="20"/>
  <c r="K571" i="20"/>
  <c r="AA570" i="20"/>
  <c r="V570" i="20"/>
  <c r="W570" i="20" s="1"/>
  <c r="X570" i="20" s="1"/>
  <c r="S570" i="20"/>
  <c r="K570" i="20"/>
  <c r="AC569" i="20"/>
  <c r="AB569" i="20"/>
  <c r="AA569" i="20"/>
  <c r="Y569" i="20"/>
  <c r="V569" i="20"/>
  <c r="W569" i="20" s="1"/>
  <c r="X569" i="20" s="1"/>
  <c r="Z569" i="20" s="1"/>
  <c r="S569" i="20"/>
  <c r="M569" i="20"/>
  <c r="Q569" i="20" s="1"/>
  <c r="L569" i="20"/>
  <c r="K569" i="20"/>
  <c r="AA568" i="20"/>
  <c r="X568" i="20"/>
  <c r="Z568" i="20" s="1"/>
  <c r="V568" i="20"/>
  <c r="W568" i="20" s="1"/>
  <c r="S568" i="20"/>
  <c r="K568" i="20"/>
  <c r="AA567" i="20"/>
  <c r="Y567" i="20"/>
  <c r="W567" i="20"/>
  <c r="X567" i="20" s="1"/>
  <c r="Z567" i="20" s="1"/>
  <c r="V567" i="20"/>
  <c r="S567" i="20"/>
  <c r="K567" i="20"/>
  <c r="AA566" i="20"/>
  <c r="W566" i="20"/>
  <c r="X566" i="20" s="1"/>
  <c r="V566" i="20"/>
  <c r="S566" i="20"/>
  <c r="M566" i="20"/>
  <c r="K566" i="20"/>
  <c r="L566" i="20" s="1"/>
  <c r="AB566" i="20" s="1"/>
  <c r="AC565" i="20"/>
  <c r="AA565" i="20"/>
  <c r="V565" i="20"/>
  <c r="W565" i="20" s="1"/>
  <c r="X565" i="20" s="1"/>
  <c r="S565" i="20"/>
  <c r="K565" i="20"/>
  <c r="M565" i="20" s="1"/>
  <c r="Q565" i="20" s="1"/>
  <c r="AB564" i="20"/>
  <c r="AA564" i="20"/>
  <c r="Y564" i="20"/>
  <c r="X564" i="20"/>
  <c r="Z564" i="20" s="1"/>
  <c r="V564" i="20"/>
  <c r="W564" i="20" s="1"/>
  <c r="S564" i="20"/>
  <c r="M564" i="20"/>
  <c r="L564" i="20"/>
  <c r="K564" i="20"/>
  <c r="AA563" i="20"/>
  <c r="Z563" i="20"/>
  <c r="Y563" i="20"/>
  <c r="X563" i="20"/>
  <c r="W563" i="20"/>
  <c r="V563" i="20"/>
  <c r="S563" i="20"/>
  <c r="K563" i="20"/>
  <c r="AA562" i="20"/>
  <c r="Y562" i="20"/>
  <c r="V562" i="20"/>
  <c r="W562" i="20" s="1"/>
  <c r="X562" i="20" s="1"/>
  <c r="Z562" i="20" s="1"/>
  <c r="S562" i="20"/>
  <c r="L562" i="20"/>
  <c r="AB562" i="20" s="1"/>
  <c r="K562" i="20"/>
  <c r="M562" i="20" s="1"/>
  <c r="AA561" i="20"/>
  <c r="V561" i="20"/>
  <c r="W561" i="20" s="1"/>
  <c r="X561" i="20" s="1"/>
  <c r="S561" i="20"/>
  <c r="K561" i="20"/>
  <c r="AA560" i="20"/>
  <c r="Y560" i="20"/>
  <c r="W560" i="20"/>
  <c r="X560" i="20" s="1"/>
  <c r="Z560" i="20" s="1"/>
  <c r="V560" i="20"/>
  <c r="S560" i="20"/>
  <c r="Q560" i="20"/>
  <c r="M560" i="20"/>
  <c r="AC560" i="20" s="1"/>
  <c r="L560" i="20"/>
  <c r="AB560" i="20" s="1"/>
  <c r="K560" i="20"/>
  <c r="AA559" i="20"/>
  <c r="W559" i="20"/>
  <c r="X559" i="20" s="1"/>
  <c r="V559" i="20"/>
  <c r="S559" i="20"/>
  <c r="Q559" i="20"/>
  <c r="K559" i="20"/>
  <c r="M559" i="20" s="1"/>
  <c r="AC559" i="20" s="1"/>
  <c r="AA558" i="20"/>
  <c r="V558" i="20"/>
  <c r="W558" i="20" s="1"/>
  <c r="X558" i="20" s="1"/>
  <c r="S558" i="20"/>
  <c r="Q558" i="20"/>
  <c r="K558" i="20"/>
  <c r="M558" i="20" s="1"/>
  <c r="AC558" i="20" s="1"/>
  <c r="AC557" i="20"/>
  <c r="AA557" i="20"/>
  <c r="X557" i="20"/>
  <c r="W557" i="20"/>
  <c r="V557" i="20"/>
  <c r="S557" i="20"/>
  <c r="Q557" i="20"/>
  <c r="K557" i="20"/>
  <c r="M557" i="20" s="1"/>
  <c r="AA556" i="20"/>
  <c r="X556" i="20"/>
  <c r="W556" i="20"/>
  <c r="V556" i="20"/>
  <c r="S556" i="20"/>
  <c r="K556" i="20"/>
  <c r="M556" i="20" s="1"/>
  <c r="AA555" i="20"/>
  <c r="V555" i="20"/>
  <c r="W555" i="20" s="1"/>
  <c r="X555" i="20" s="1"/>
  <c r="S555" i="20"/>
  <c r="M555" i="20"/>
  <c r="L555" i="20"/>
  <c r="K555" i="20"/>
  <c r="AB554" i="20"/>
  <c r="AA554" i="20"/>
  <c r="Z554" i="20"/>
  <c r="W554" i="20"/>
  <c r="X554" i="20" s="1"/>
  <c r="Y554" i="20" s="1"/>
  <c r="V554" i="20"/>
  <c r="S554" i="20"/>
  <c r="M554" i="20"/>
  <c r="K554" i="20"/>
  <c r="L554" i="20" s="1"/>
  <c r="AC553" i="20"/>
  <c r="AA553" i="20"/>
  <c r="X553" i="20"/>
  <c r="Z553" i="20" s="1"/>
  <c r="W553" i="20"/>
  <c r="V553" i="20"/>
  <c r="S553" i="20"/>
  <c r="Q553" i="20"/>
  <c r="M553" i="20"/>
  <c r="K553" i="20"/>
  <c r="L553" i="20" s="1"/>
  <c r="AC552" i="20"/>
  <c r="AA552" i="20"/>
  <c r="W552" i="20"/>
  <c r="X552" i="20" s="1"/>
  <c r="V552" i="20"/>
  <c r="S552" i="20"/>
  <c r="M552" i="20"/>
  <c r="Q552" i="20" s="1"/>
  <c r="L552" i="20"/>
  <c r="K552" i="20"/>
  <c r="AC551" i="20"/>
  <c r="AB551" i="20"/>
  <c r="AA551" i="20"/>
  <c r="W551" i="20"/>
  <c r="X551" i="20" s="1"/>
  <c r="V551" i="20"/>
  <c r="S551" i="20"/>
  <c r="Q551" i="20"/>
  <c r="M551" i="20"/>
  <c r="L551" i="20"/>
  <c r="N551" i="20" s="1"/>
  <c r="O551" i="20" s="1"/>
  <c r="K551" i="20"/>
  <c r="AA550" i="20"/>
  <c r="Z550" i="20"/>
  <c r="V550" i="20"/>
  <c r="W550" i="20" s="1"/>
  <c r="X550" i="20" s="1"/>
  <c r="Y550" i="20" s="1"/>
  <c r="S550" i="20"/>
  <c r="Q550" i="20"/>
  <c r="M550" i="20"/>
  <c r="AC550" i="20" s="1"/>
  <c r="K550" i="20"/>
  <c r="L550" i="20" s="1"/>
  <c r="AB550" i="20" s="1"/>
  <c r="AC549" i="20"/>
  <c r="AB549" i="20"/>
  <c r="AA549" i="20"/>
  <c r="Z549" i="20"/>
  <c r="Y549" i="20"/>
  <c r="V549" i="20"/>
  <c r="W549" i="20" s="1"/>
  <c r="X549" i="20" s="1"/>
  <c r="S549" i="20"/>
  <c r="Q549" i="20"/>
  <c r="L549" i="20"/>
  <c r="N549" i="20" s="1"/>
  <c r="O549" i="20" s="1"/>
  <c r="K549" i="20"/>
  <c r="M549" i="20" s="1"/>
  <c r="AA548" i="20"/>
  <c r="Z548" i="20"/>
  <c r="W548" i="20"/>
  <c r="X548" i="20" s="1"/>
  <c r="Y548" i="20" s="1"/>
  <c r="V548" i="20"/>
  <c r="S548" i="20"/>
  <c r="M548" i="20"/>
  <c r="K548" i="20"/>
  <c r="L548" i="20" s="1"/>
  <c r="AC547" i="20"/>
  <c r="AA547" i="20"/>
  <c r="W547" i="20"/>
  <c r="X547" i="20" s="1"/>
  <c r="V547" i="20"/>
  <c r="S547" i="20"/>
  <c r="L547" i="20"/>
  <c r="K547" i="20"/>
  <c r="M547" i="20" s="1"/>
  <c r="Q547" i="20" s="1"/>
  <c r="AA546" i="20"/>
  <c r="W546" i="20"/>
  <c r="X546" i="20" s="1"/>
  <c r="V546" i="20"/>
  <c r="S546" i="20"/>
  <c r="M546" i="20"/>
  <c r="L546" i="20"/>
  <c r="K546" i="20"/>
  <c r="AC545" i="20"/>
  <c r="AB545" i="20"/>
  <c r="AA545" i="20"/>
  <c r="Y545" i="20"/>
  <c r="W545" i="20"/>
  <c r="X545" i="20" s="1"/>
  <c r="Z545" i="20" s="1"/>
  <c r="V545" i="20"/>
  <c r="S545" i="20"/>
  <c r="O545" i="20"/>
  <c r="N545" i="20"/>
  <c r="M545" i="20"/>
  <c r="Q545" i="20" s="1"/>
  <c r="L545" i="20"/>
  <c r="K545" i="20"/>
  <c r="AA544" i="20"/>
  <c r="V544" i="20"/>
  <c r="W544" i="20" s="1"/>
  <c r="X544" i="20" s="1"/>
  <c r="S544" i="20"/>
  <c r="K544" i="20"/>
  <c r="AC543" i="20"/>
  <c r="AB543" i="20"/>
  <c r="AA543" i="20"/>
  <c r="V543" i="20"/>
  <c r="W543" i="20" s="1"/>
  <c r="X543" i="20" s="1"/>
  <c r="S543" i="20"/>
  <c r="Q543" i="20"/>
  <c r="M543" i="20"/>
  <c r="L543" i="20"/>
  <c r="K543" i="20"/>
  <c r="AA542" i="20"/>
  <c r="V542" i="20"/>
  <c r="W542" i="20" s="1"/>
  <c r="X542" i="20" s="1"/>
  <c r="S542" i="20"/>
  <c r="K542" i="20"/>
  <c r="M542" i="20" s="1"/>
  <c r="AC542" i="20" s="1"/>
  <c r="AA541" i="20"/>
  <c r="V541" i="20"/>
  <c r="W541" i="20" s="1"/>
  <c r="X541" i="20" s="1"/>
  <c r="S541" i="20"/>
  <c r="M541" i="20"/>
  <c r="L541" i="20"/>
  <c r="K541" i="20"/>
  <c r="AA540" i="20"/>
  <c r="AB540" i="20" s="1"/>
  <c r="V540" i="20"/>
  <c r="W540" i="20" s="1"/>
  <c r="X540" i="20" s="1"/>
  <c r="Y540" i="20" s="1"/>
  <c r="S540" i="20"/>
  <c r="M540" i="20"/>
  <c r="L540" i="20"/>
  <c r="K540" i="20"/>
  <c r="AA539" i="20"/>
  <c r="Z539" i="20"/>
  <c r="V539" i="20"/>
  <c r="W539" i="20" s="1"/>
  <c r="X539" i="20" s="1"/>
  <c r="Y539" i="20" s="1"/>
  <c r="S539" i="20"/>
  <c r="M539" i="20"/>
  <c r="L539" i="20"/>
  <c r="K539" i="20"/>
  <c r="AA538" i="20"/>
  <c r="W538" i="20"/>
  <c r="X538" i="20" s="1"/>
  <c r="V538" i="20"/>
  <c r="S538" i="20"/>
  <c r="K538" i="20"/>
  <c r="AA537" i="20"/>
  <c r="V537" i="20"/>
  <c r="W537" i="20" s="1"/>
  <c r="X537" i="20" s="1"/>
  <c r="S537" i="20"/>
  <c r="L537" i="20"/>
  <c r="K537" i="20"/>
  <c r="M537" i="20" s="1"/>
  <c r="AB536" i="20"/>
  <c r="AA536" i="20"/>
  <c r="W536" i="20"/>
  <c r="X536" i="20" s="1"/>
  <c r="V536" i="20"/>
  <c r="S536" i="20"/>
  <c r="M536" i="20"/>
  <c r="K536" i="20"/>
  <c r="L536" i="20" s="1"/>
  <c r="AA535" i="20"/>
  <c r="W535" i="20"/>
  <c r="X535" i="20" s="1"/>
  <c r="Z535" i="20" s="1"/>
  <c r="V535" i="20"/>
  <c r="S535" i="20"/>
  <c r="K535" i="20"/>
  <c r="AA534" i="20"/>
  <c r="V534" i="20"/>
  <c r="W534" i="20" s="1"/>
  <c r="X534" i="20" s="1"/>
  <c r="Z534" i="20" s="1"/>
  <c r="S534" i="20"/>
  <c r="K534" i="20"/>
  <c r="AC533" i="20"/>
  <c r="AA533" i="20"/>
  <c r="W533" i="20"/>
  <c r="X533" i="20" s="1"/>
  <c r="V533" i="20"/>
  <c r="S533" i="20"/>
  <c r="M533" i="20"/>
  <c r="L533" i="20"/>
  <c r="K533" i="20"/>
  <c r="AC532" i="20"/>
  <c r="AA532" i="20"/>
  <c r="V532" i="20"/>
  <c r="W532" i="20" s="1"/>
  <c r="X532" i="20" s="1"/>
  <c r="S532" i="20"/>
  <c r="Q532" i="20"/>
  <c r="M532" i="20"/>
  <c r="K532" i="20"/>
  <c r="L532" i="20" s="1"/>
  <c r="AC531" i="20"/>
  <c r="AA531" i="20"/>
  <c r="AB531" i="20" s="1"/>
  <c r="Y531" i="20"/>
  <c r="V531" i="20"/>
  <c r="W531" i="20" s="1"/>
  <c r="X531" i="20" s="1"/>
  <c r="Z531" i="20" s="1"/>
  <c r="S531" i="20"/>
  <c r="Q531" i="20"/>
  <c r="M531" i="20"/>
  <c r="L531" i="20"/>
  <c r="N531" i="20" s="1"/>
  <c r="O531" i="20" s="1"/>
  <c r="K531" i="20"/>
  <c r="AA530" i="20"/>
  <c r="Z530" i="20"/>
  <c r="Y530" i="20"/>
  <c r="X530" i="20"/>
  <c r="V530" i="20"/>
  <c r="W530" i="20" s="1"/>
  <c r="S530" i="20"/>
  <c r="K530" i="20"/>
  <c r="AC529" i="20"/>
  <c r="AA529" i="20"/>
  <c r="AB529" i="20" s="1"/>
  <c r="W529" i="20"/>
  <c r="X529" i="20" s="1"/>
  <c r="Z529" i="20" s="1"/>
  <c r="V529" i="20"/>
  <c r="S529" i="20"/>
  <c r="L529" i="20"/>
  <c r="N529" i="20" s="1"/>
  <c r="O529" i="20" s="1"/>
  <c r="K529" i="20"/>
  <c r="M529" i="20" s="1"/>
  <c r="Q529" i="20" s="1"/>
  <c r="AA528" i="20"/>
  <c r="X528" i="20"/>
  <c r="Z528" i="20" s="1"/>
  <c r="W528" i="20"/>
  <c r="V528" i="20"/>
  <c r="S528" i="20"/>
  <c r="K528" i="20"/>
  <c r="AA527" i="20"/>
  <c r="V527" i="20"/>
  <c r="W527" i="20" s="1"/>
  <c r="X527" i="20" s="1"/>
  <c r="S527" i="20"/>
  <c r="K527" i="20"/>
  <c r="AA526" i="20"/>
  <c r="X526" i="20"/>
  <c r="W526" i="20"/>
  <c r="V526" i="20"/>
  <c r="S526" i="20"/>
  <c r="K526" i="20"/>
  <c r="M526" i="20" s="1"/>
  <c r="AA525" i="20"/>
  <c r="Z525" i="20"/>
  <c r="W525" i="20"/>
  <c r="X525" i="20" s="1"/>
  <c r="Y525" i="20" s="1"/>
  <c r="V525" i="20"/>
  <c r="S525" i="20"/>
  <c r="M525" i="20"/>
  <c r="L525" i="20"/>
  <c r="K525" i="20"/>
  <c r="AC524" i="20"/>
  <c r="AA524" i="20"/>
  <c r="Z524" i="20"/>
  <c r="V524" i="20"/>
  <c r="W524" i="20" s="1"/>
  <c r="X524" i="20" s="1"/>
  <c r="Y524" i="20" s="1"/>
  <c r="S524" i="20"/>
  <c r="M524" i="20"/>
  <c r="Q524" i="20" s="1"/>
  <c r="K524" i="20"/>
  <c r="L524" i="20" s="1"/>
  <c r="AA523" i="20"/>
  <c r="W523" i="20"/>
  <c r="X523" i="20" s="1"/>
  <c r="V523" i="20"/>
  <c r="S523" i="20"/>
  <c r="M523" i="20"/>
  <c r="L523" i="20"/>
  <c r="K523" i="20"/>
  <c r="AC522" i="20"/>
  <c r="AB522" i="20"/>
  <c r="AA522" i="20"/>
  <c r="Z522" i="20"/>
  <c r="V522" i="20"/>
  <c r="W522" i="20" s="1"/>
  <c r="X522" i="20" s="1"/>
  <c r="Y522" i="20" s="1"/>
  <c r="S522" i="20"/>
  <c r="Q522" i="20"/>
  <c r="M522" i="20"/>
  <c r="K522" i="20"/>
  <c r="L522" i="20" s="1"/>
  <c r="AA521" i="20"/>
  <c r="W521" i="20"/>
  <c r="X521" i="20" s="1"/>
  <c r="V521" i="20"/>
  <c r="S521" i="20"/>
  <c r="K521" i="20"/>
  <c r="AC520" i="20"/>
  <c r="AA520" i="20"/>
  <c r="V520" i="20"/>
  <c r="W520" i="20" s="1"/>
  <c r="X520" i="20" s="1"/>
  <c r="S520" i="20"/>
  <c r="K520" i="20"/>
  <c r="M520" i="20" s="1"/>
  <c r="Q520" i="20" s="1"/>
  <c r="AC519" i="20"/>
  <c r="AA519" i="20"/>
  <c r="AB519" i="20" s="1"/>
  <c r="Y519" i="20"/>
  <c r="X519" i="20"/>
  <c r="Z519" i="20" s="1"/>
  <c r="W519" i="20"/>
  <c r="V519" i="20"/>
  <c r="S519" i="20"/>
  <c r="Q519" i="20"/>
  <c r="L519" i="20"/>
  <c r="K519" i="20"/>
  <c r="M519" i="20" s="1"/>
  <c r="AA518" i="20"/>
  <c r="Z518" i="20"/>
  <c r="X518" i="20"/>
  <c r="Y518" i="20" s="1"/>
  <c r="W518" i="20"/>
  <c r="V518" i="20"/>
  <c r="S518" i="20"/>
  <c r="K518" i="20"/>
  <c r="AC517" i="20"/>
  <c r="AA517" i="20"/>
  <c r="AB517" i="20" s="1"/>
  <c r="Z517" i="20"/>
  <c r="X517" i="20"/>
  <c r="Y517" i="20" s="1"/>
  <c r="W517" i="20"/>
  <c r="V517" i="20"/>
  <c r="S517" i="20"/>
  <c r="Q517" i="20"/>
  <c r="L517" i="20"/>
  <c r="K517" i="20"/>
  <c r="M517" i="20" s="1"/>
  <c r="AC516" i="20"/>
  <c r="AA516" i="20"/>
  <c r="V516" i="20"/>
  <c r="W516" i="20" s="1"/>
  <c r="X516" i="20" s="1"/>
  <c r="S516" i="20"/>
  <c r="M516" i="20"/>
  <c r="L516" i="20"/>
  <c r="K516" i="20"/>
  <c r="AA515" i="20"/>
  <c r="AB515" i="20" s="1"/>
  <c r="V515" i="20"/>
  <c r="W515" i="20" s="1"/>
  <c r="X515" i="20" s="1"/>
  <c r="S515" i="20"/>
  <c r="N515" i="20"/>
  <c r="O515" i="20" s="1"/>
  <c r="M515" i="20"/>
  <c r="L515" i="20"/>
  <c r="K515" i="20"/>
  <c r="AA514" i="20"/>
  <c r="V514" i="20"/>
  <c r="W514" i="20" s="1"/>
  <c r="X514" i="20" s="1"/>
  <c r="Y514" i="20" s="1"/>
  <c r="S514" i="20"/>
  <c r="M514" i="20"/>
  <c r="L514" i="20"/>
  <c r="K514" i="20"/>
  <c r="AC513" i="20"/>
  <c r="AA513" i="20"/>
  <c r="Y513" i="20"/>
  <c r="X513" i="20"/>
  <c r="Z513" i="20" s="1"/>
  <c r="V513" i="20"/>
  <c r="W513" i="20" s="1"/>
  <c r="S513" i="20"/>
  <c r="K513" i="20"/>
  <c r="M513" i="20" s="1"/>
  <c r="Q513" i="20" s="1"/>
  <c r="AA512" i="20"/>
  <c r="AB512" i="20" s="1"/>
  <c r="V512" i="20"/>
  <c r="W512" i="20" s="1"/>
  <c r="X512" i="20" s="1"/>
  <c r="Y512" i="20" s="1"/>
  <c r="S512" i="20"/>
  <c r="K512" i="20"/>
  <c r="L512" i="20" s="1"/>
  <c r="AA511" i="20"/>
  <c r="Z511" i="20"/>
  <c r="X511" i="20"/>
  <c r="Y511" i="20" s="1"/>
  <c r="W511" i="20"/>
  <c r="V511" i="20"/>
  <c r="S511" i="20"/>
  <c r="L511" i="20"/>
  <c r="K511" i="20"/>
  <c r="M511" i="20" s="1"/>
  <c r="AC510" i="20"/>
  <c r="AA510" i="20"/>
  <c r="W510" i="20"/>
  <c r="X510" i="20" s="1"/>
  <c r="V510" i="20"/>
  <c r="S510" i="20"/>
  <c r="L510" i="20"/>
  <c r="AB510" i="20" s="1"/>
  <c r="K510" i="20"/>
  <c r="M510" i="20" s="1"/>
  <c r="Q510" i="20" s="1"/>
  <c r="AA509" i="20"/>
  <c r="V509" i="20"/>
  <c r="W509" i="20" s="1"/>
  <c r="X509" i="20" s="1"/>
  <c r="S509" i="20"/>
  <c r="M509" i="20"/>
  <c r="L509" i="20"/>
  <c r="K509" i="20"/>
  <c r="AA508" i="20"/>
  <c r="Z508" i="20"/>
  <c r="X508" i="20"/>
  <c r="Y508" i="20" s="1"/>
  <c r="W508" i="20"/>
  <c r="V508" i="20"/>
  <c r="S508" i="20"/>
  <c r="K508" i="20"/>
  <c r="M508" i="20" s="1"/>
  <c r="AC508" i="20" s="1"/>
  <c r="AC507" i="20"/>
  <c r="AA507" i="20"/>
  <c r="V507" i="20"/>
  <c r="W507" i="20" s="1"/>
  <c r="X507" i="20" s="1"/>
  <c r="S507" i="20"/>
  <c r="Q507" i="20"/>
  <c r="M507" i="20"/>
  <c r="L507" i="20"/>
  <c r="K507" i="20"/>
  <c r="AA506" i="20"/>
  <c r="Z506" i="20"/>
  <c r="V506" i="20"/>
  <c r="W506" i="20" s="1"/>
  <c r="X506" i="20" s="1"/>
  <c r="Y506" i="20" s="1"/>
  <c r="S506" i="20"/>
  <c r="K506" i="20"/>
  <c r="AC505" i="20"/>
  <c r="AB505" i="20"/>
  <c r="AA505" i="20"/>
  <c r="V505" i="20"/>
  <c r="W505" i="20" s="1"/>
  <c r="X505" i="20" s="1"/>
  <c r="S505" i="20"/>
  <c r="N505" i="20"/>
  <c r="O505" i="20" s="1"/>
  <c r="M505" i="20"/>
  <c r="Q505" i="20" s="1"/>
  <c r="L505" i="20"/>
  <c r="K505" i="20"/>
  <c r="AA504" i="20"/>
  <c r="V504" i="20"/>
  <c r="W504" i="20" s="1"/>
  <c r="X504" i="20" s="1"/>
  <c r="S504" i="20"/>
  <c r="Q504" i="20"/>
  <c r="M504" i="20"/>
  <c r="AC504" i="20" s="1"/>
  <c r="K504" i="20"/>
  <c r="L504" i="20" s="1"/>
  <c r="AC503" i="20"/>
  <c r="AA503" i="20"/>
  <c r="AB503" i="20" s="1"/>
  <c r="Z503" i="20"/>
  <c r="Y503" i="20"/>
  <c r="W503" i="20"/>
  <c r="X503" i="20" s="1"/>
  <c r="V503" i="20"/>
  <c r="S503" i="20"/>
  <c r="Q503" i="20"/>
  <c r="N503" i="20"/>
  <c r="O503" i="20" s="1"/>
  <c r="M503" i="20"/>
  <c r="L503" i="20"/>
  <c r="K503" i="20"/>
  <c r="AA502" i="20"/>
  <c r="Y502" i="20"/>
  <c r="X502" i="20"/>
  <c r="Z502" i="20" s="1"/>
  <c r="V502" i="20"/>
  <c r="W502" i="20" s="1"/>
  <c r="S502" i="20"/>
  <c r="M502" i="20"/>
  <c r="L502" i="20"/>
  <c r="K502" i="20"/>
  <c r="AA501" i="20"/>
  <c r="X501" i="20"/>
  <c r="W501" i="20"/>
  <c r="V501" i="20"/>
  <c r="U501" i="20"/>
  <c r="S501" i="20"/>
  <c r="O501" i="20"/>
  <c r="K501" i="20"/>
  <c r="J501" i="20"/>
  <c r="AA500" i="20"/>
  <c r="V500" i="20"/>
  <c r="W500" i="20" s="1"/>
  <c r="X500" i="20" s="1"/>
  <c r="Z500" i="20" s="1"/>
  <c r="U500" i="20"/>
  <c r="S500" i="20"/>
  <c r="Q500" i="20"/>
  <c r="O500" i="20"/>
  <c r="M500" i="20"/>
  <c r="AC500" i="20" s="1"/>
  <c r="L500" i="20"/>
  <c r="K500" i="20"/>
  <c r="J500" i="20"/>
  <c r="AC499" i="20"/>
  <c r="AA499" i="20"/>
  <c r="Z499" i="20"/>
  <c r="W499" i="20"/>
  <c r="X499" i="20" s="1"/>
  <c r="Y499" i="20" s="1"/>
  <c r="V499" i="20"/>
  <c r="U499" i="20"/>
  <c r="S499" i="20"/>
  <c r="O499" i="20"/>
  <c r="K499" i="20"/>
  <c r="M499" i="20" s="1"/>
  <c r="Q499" i="20" s="1"/>
  <c r="J499" i="20"/>
  <c r="AA498" i="20"/>
  <c r="W498" i="20"/>
  <c r="X498" i="20" s="1"/>
  <c r="V498" i="20"/>
  <c r="U498" i="20"/>
  <c r="S498" i="20"/>
  <c r="O498" i="20"/>
  <c r="K498" i="20"/>
  <c r="J498" i="20"/>
  <c r="AC497" i="20"/>
  <c r="AA497" i="20"/>
  <c r="W497" i="20"/>
  <c r="X497" i="20" s="1"/>
  <c r="V497" i="20"/>
  <c r="U497" i="20"/>
  <c r="S497" i="20"/>
  <c r="Q497" i="20"/>
  <c r="O497" i="20"/>
  <c r="L497" i="20"/>
  <c r="K497" i="20"/>
  <c r="M497" i="20" s="1"/>
  <c r="J497" i="20"/>
  <c r="AA496" i="20"/>
  <c r="W496" i="20"/>
  <c r="X496" i="20" s="1"/>
  <c r="V496" i="20"/>
  <c r="U496" i="20"/>
  <c r="S496" i="20"/>
  <c r="Q496" i="20"/>
  <c r="O496" i="20"/>
  <c r="K496" i="20"/>
  <c r="M496" i="20" s="1"/>
  <c r="AC496" i="20" s="1"/>
  <c r="J496" i="20"/>
  <c r="AC495" i="20"/>
  <c r="AA495" i="20"/>
  <c r="Z495" i="20"/>
  <c r="W495" i="20"/>
  <c r="X495" i="20" s="1"/>
  <c r="Y495" i="20" s="1"/>
  <c r="V495" i="20"/>
  <c r="U495" i="20"/>
  <c r="S495" i="20"/>
  <c r="O495" i="20"/>
  <c r="N495" i="20"/>
  <c r="M495" i="20"/>
  <c r="Q495" i="20" s="1"/>
  <c r="K495" i="20"/>
  <c r="L495" i="20" s="1"/>
  <c r="J495" i="20"/>
  <c r="AA494" i="20"/>
  <c r="V494" i="20"/>
  <c r="W494" i="20" s="1"/>
  <c r="X494" i="20" s="1"/>
  <c r="U494" i="20"/>
  <c r="S494" i="20"/>
  <c r="O494" i="20"/>
  <c r="K494" i="20"/>
  <c r="J494" i="20"/>
  <c r="AB493" i="20"/>
  <c r="AA493" i="20"/>
  <c r="X493" i="20"/>
  <c r="W493" i="20"/>
  <c r="V493" i="20"/>
  <c r="U493" i="20"/>
  <c r="S493" i="20"/>
  <c r="O493" i="20"/>
  <c r="M493" i="20"/>
  <c r="L493" i="20"/>
  <c r="K493" i="20"/>
  <c r="J493" i="20"/>
  <c r="AA492" i="20"/>
  <c r="V492" i="20"/>
  <c r="W492" i="20" s="1"/>
  <c r="X492" i="20" s="1"/>
  <c r="U492" i="20"/>
  <c r="S492" i="20"/>
  <c r="O492" i="20"/>
  <c r="M492" i="20"/>
  <c r="L492" i="20"/>
  <c r="K492" i="20"/>
  <c r="J492" i="20"/>
  <c r="AA491" i="20"/>
  <c r="Z491" i="20"/>
  <c r="V491" i="20"/>
  <c r="W491" i="20" s="1"/>
  <c r="X491" i="20" s="1"/>
  <c r="Y491" i="20" s="1"/>
  <c r="U491" i="20"/>
  <c r="S491" i="20"/>
  <c r="O491" i="20"/>
  <c r="K491" i="20"/>
  <c r="M491" i="20" s="1"/>
  <c r="J491" i="20"/>
  <c r="AA490" i="20"/>
  <c r="Z490" i="20"/>
  <c r="V490" i="20"/>
  <c r="W490" i="20" s="1"/>
  <c r="X490" i="20" s="1"/>
  <c r="Y490" i="20" s="1"/>
  <c r="U490" i="20"/>
  <c r="S490" i="20"/>
  <c r="O490" i="20"/>
  <c r="K490" i="20"/>
  <c r="J490" i="20"/>
  <c r="AA489" i="20"/>
  <c r="X489" i="20"/>
  <c r="W489" i="20"/>
  <c r="V489" i="20"/>
  <c r="U489" i="20"/>
  <c r="S489" i="20"/>
  <c r="O489" i="20"/>
  <c r="M489" i="20"/>
  <c r="K489" i="20"/>
  <c r="L489" i="20" s="1"/>
  <c r="J489" i="20"/>
  <c r="AC488" i="20"/>
  <c r="AA488" i="20"/>
  <c r="V488" i="20"/>
  <c r="W488" i="20" s="1"/>
  <c r="X488" i="20" s="1"/>
  <c r="U488" i="20"/>
  <c r="S488" i="20"/>
  <c r="O488" i="20"/>
  <c r="M488" i="20"/>
  <c r="Q488" i="20" s="1"/>
  <c r="L488" i="20"/>
  <c r="K488" i="20"/>
  <c r="J488" i="20"/>
  <c r="AA487" i="20"/>
  <c r="V487" i="20"/>
  <c r="W487" i="20" s="1"/>
  <c r="X487" i="20" s="1"/>
  <c r="U487" i="20"/>
  <c r="S487" i="20"/>
  <c r="O487" i="20"/>
  <c r="L487" i="20"/>
  <c r="K487" i="20"/>
  <c r="M487" i="20" s="1"/>
  <c r="J487" i="20"/>
  <c r="P487" i="20" s="1"/>
  <c r="AC486" i="20"/>
  <c r="AB486" i="20"/>
  <c r="AA486" i="20"/>
  <c r="X486" i="20"/>
  <c r="Z486" i="20" s="1"/>
  <c r="W486" i="20"/>
  <c r="V486" i="20"/>
  <c r="U486" i="20"/>
  <c r="S486" i="20"/>
  <c r="Q486" i="20"/>
  <c r="P486" i="20"/>
  <c r="O486" i="20"/>
  <c r="N486" i="20"/>
  <c r="M486" i="20"/>
  <c r="L486" i="20"/>
  <c r="K486" i="20"/>
  <c r="J486" i="20"/>
  <c r="AA485" i="20"/>
  <c r="Z485" i="20"/>
  <c r="Y485" i="20"/>
  <c r="V485" i="20"/>
  <c r="W485" i="20" s="1"/>
  <c r="X485" i="20" s="1"/>
  <c r="U485" i="20"/>
  <c r="S485" i="20"/>
  <c r="Q485" i="20"/>
  <c r="O485" i="20"/>
  <c r="M485" i="20"/>
  <c r="AC485" i="20" s="1"/>
  <c r="K485" i="20"/>
  <c r="L485" i="20" s="1"/>
  <c r="J485" i="20"/>
  <c r="AC484" i="20"/>
  <c r="AA484" i="20"/>
  <c r="Z484" i="20"/>
  <c r="Y484" i="20"/>
  <c r="W484" i="20"/>
  <c r="X484" i="20" s="1"/>
  <c r="V484" i="20"/>
  <c r="U484" i="20"/>
  <c r="S484" i="20"/>
  <c r="O484" i="20"/>
  <c r="K484" i="20"/>
  <c r="M484" i="20" s="1"/>
  <c r="Q484" i="20" s="1"/>
  <c r="J484" i="20"/>
  <c r="AA483" i="20"/>
  <c r="V483" i="20"/>
  <c r="W483" i="20" s="1"/>
  <c r="X483" i="20" s="1"/>
  <c r="U483" i="20"/>
  <c r="S483" i="20"/>
  <c r="Q483" i="20"/>
  <c r="O483" i="20"/>
  <c r="K483" i="20"/>
  <c r="M483" i="20" s="1"/>
  <c r="AC483" i="20" s="1"/>
  <c r="J483" i="20"/>
  <c r="AA482" i="20"/>
  <c r="V482" i="20"/>
  <c r="W482" i="20" s="1"/>
  <c r="X482" i="20" s="1"/>
  <c r="Y482" i="20" s="1"/>
  <c r="U482" i="20"/>
  <c r="S482" i="20"/>
  <c r="O482" i="20"/>
  <c r="K482" i="20"/>
  <c r="J482" i="20"/>
  <c r="AA481" i="20"/>
  <c r="X481" i="20"/>
  <c r="W481" i="20"/>
  <c r="V481" i="20"/>
  <c r="U481" i="20"/>
  <c r="S481" i="20"/>
  <c r="P481" i="20"/>
  <c r="O481" i="20"/>
  <c r="M481" i="20"/>
  <c r="L481" i="20"/>
  <c r="K481" i="20"/>
  <c r="J481" i="20"/>
  <c r="AA480" i="20"/>
  <c r="X480" i="20"/>
  <c r="Z480" i="20" s="1"/>
  <c r="W480" i="20"/>
  <c r="V480" i="20"/>
  <c r="U480" i="20"/>
  <c r="S480" i="20"/>
  <c r="O480" i="20"/>
  <c r="K480" i="20"/>
  <c r="J480" i="20"/>
  <c r="AA479" i="20"/>
  <c r="V479" i="20"/>
  <c r="W479" i="20" s="1"/>
  <c r="X479" i="20" s="1"/>
  <c r="U479" i="20"/>
  <c r="S479" i="20"/>
  <c r="O479" i="20"/>
  <c r="L479" i="20"/>
  <c r="K479" i="20"/>
  <c r="M479" i="20" s="1"/>
  <c r="J479" i="20"/>
  <c r="AC478" i="20"/>
  <c r="AA478" i="20"/>
  <c r="Z478" i="20"/>
  <c r="Y478" i="20"/>
  <c r="V478" i="20"/>
  <c r="W478" i="20" s="1"/>
  <c r="X478" i="20" s="1"/>
  <c r="U478" i="20"/>
  <c r="S478" i="20"/>
  <c r="O478" i="20"/>
  <c r="K478" i="20"/>
  <c r="M478" i="20" s="1"/>
  <c r="Q478" i="20" s="1"/>
  <c r="J478" i="20"/>
  <c r="AA477" i="20"/>
  <c r="Z477" i="20"/>
  <c r="Y477" i="20"/>
  <c r="V477" i="20"/>
  <c r="W477" i="20" s="1"/>
  <c r="X477" i="20" s="1"/>
  <c r="U477" i="20"/>
  <c r="S477" i="20"/>
  <c r="O477" i="20"/>
  <c r="K477" i="20"/>
  <c r="L477" i="20" s="1"/>
  <c r="J477" i="20"/>
  <c r="AC476" i="20"/>
  <c r="AB476" i="20"/>
  <c r="AA476" i="20"/>
  <c r="W476" i="20"/>
  <c r="X476" i="20" s="1"/>
  <c r="V476" i="20"/>
  <c r="U476" i="20"/>
  <c r="S476" i="20"/>
  <c r="Q476" i="20"/>
  <c r="P476" i="20"/>
  <c r="O476" i="20"/>
  <c r="L476" i="20"/>
  <c r="N476" i="20" s="1"/>
  <c r="K476" i="20"/>
  <c r="M476" i="20" s="1"/>
  <c r="J476" i="20"/>
  <c r="AA475" i="20"/>
  <c r="W475" i="20"/>
  <c r="X475" i="20" s="1"/>
  <c r="V475" i="20"/>
  <c r="U475" i="20"/>
  <c r="S475" i="20"/>
  <c r="O475" i="20"/>
  <c r="M475" i="20"/>
  <c r="L475" i="20"/>
  <c r="K475" i="20"/>
  <c r="J475" i="20"/>
  <c r="AA474" i="20"/>
  <c r="V474" i="20"/>
  <c r="W474" i="20" s="1"/>
  <c r="X474" i="20" s="1"/>
  <c r="U474" i="20"/>
  <c r="S474" i="20"/>
  <c r="O474" i="20"/>
  <c r="K474" i="20"/>
  <c r="J474" i="20"/>
  <c r="AB473" i="20"/>
  <c r="AA473" i="20"/>
  <c r="V473" i="20"/>
  <c r="W473" i="20" s="1"/>
  <c r="X473" i="20" s="1"/>
  <c r="U473" i="20"/>
  <c r="S473" i="20"/>
  <c r="P473" i="20"/>
  <c r="O473" i="20"/>
  <c r="M473" i="20"/>
  <c r="AC473" i="20" s="1"/>
  <c r="L473" i="20"/>
  <c r="K473" i="20"/>
  <c r="J473" i="20"/>
  <c r="AA472" i="20"/>
  <c r="Z472" i="20"/>
  <c r="X472" i="20"/>
  <c r="Y472" i="20" s="1"/>
  <c r="W472" i="20"/>
  <c r="V472" i="20"/>
  <c r="U472" i="20"/>
  <c r="S472" i="20"/>
  <c r="Q472" i="20"/>
  <c r="O472" i="20"/>
  <c r="K472" i="20"/>
  <c r="M472" i="20" s="1"/>
  <c r="AC472" i="20" s="1"/>
  <c r="J472" i="20"/>
  <c r="AB471" i="20"/>
  <c r="AA471" i="20"/>
  <c r="W471" i="20"/>
  <c r="X471" i="20" s="1"/>
  <c r="V471" i="20"/>
  <c r="U471" i="20"/>
  <c r="S471" i="20"/>
  <c r="O471" i="20"/>
  <c r="M471" i="20"/>
  <c r="L471" i="20"/>
  <c r="K471" i="20"/>
  <c r="J471" i="20"/>
  <c r="AA470" i="20"/>
  <c r="V470" i="20"/>
  <c r="W470" i="20" s="1"/>
  <c r="X470" i="20" s="1"/>
  <c r="U470" i="20"/>
  <c r="S470" i="20"/>
  <c r="Q470" i="20"/>
  <c r="P470" i="20"/>
  <c r="O470" i="20"/>
  <c r="N470" i="20"/>
  <c r="L470" i="20"/>
  <c r="AB470" i="20" s="1"/>
  <c r="K470" i="20"/>
  <c r="M470" i="20" s="1"/>
  <c r="AC470" i="20" s="1"/>
  <c r="J470" i="20"/>
  <c r="AA469" i="20"/>
  <c r="V469" i="20"/>
  <c r="W469" i="20" s="1"/>
  <c r="X469" i="20" s="1"/>
  <c r="U469" i="20"/>
  <c r="S469" i="20"/>
  <c r="O469" i="20"/>
  <c r="K469" i="20"/>
  <c r="M469" i="20" s="1"/>
  <c r="J469" i="20"/>
  <c r="AA468" i="20"/>
  <c r="Z468" i="20"/>
  <c r="V468" i="20"/>
  <c r="W468" i="20" s="1"/>
  <c r="X468" i="20" s="1"/>
  <c r="Y468" i="20" s="1"/>
  <c r="U468" i="20"/>
  <c r="S468" i="20"/>
  <c r="O468" i="20"/>
  <c r="N468" i="20"/>
  <c r="M468" i="20"/>
  <c r="AC468" i="20" s="1"/>
  <c r="L468" i="20"/>
  <c r="AB468" i="20" s="1"/>
  <c r="K468" i="20"/>
  <c r="J468" i="20"/>
  <c r="AA467" i="20"/>
  <c r="Z467" i="20"/>
  <c r="Y467" i="20"/>
  <c r="X467" i="20"/>
  <c r="W467" i="20"/>
  <c r="V467" i="20"/>
  <c r="U467" i="20"/>
  <c r="S467" i="20"/>
  <c r="O467" i="20"/>
  <c r="K467" i="20"/>
  <c r="J467" i="20"/>
  <c r="AC466" i="20"/>
  <c r="AB466" i="20"/>
  <c r="AA466" i="20"/>
  <c r="W466" i="20"/>
  <c r="X466" i="20" s="1"/>
  <c r="V466" i="20"/>
  <c r="U466" i="20"/>
  <c r="S466" i="20"/>
  <c r="P466" i="20"/>
  <c r="O466" i="20"/>
  <c r="N466" i="20"/>
  <c r="L466" i="20"/>
  <c r="K466" i="20"/>
  <c r="M466" i="20" s="1"/>
  <c r="Q466" i="20" s="1"/>
  <c r="J466" i="20"/>
  <c r="AA465" i="20"/>
  <c r="W465" i="20"/>
  <c r="X465" i="20" s="1"/>
  <c r="V465" i="20"/>
  <c r="U465" i="20"/>
  <c r="S465" i="20"/>
  <c r="O465" i="20"/>
  <c r="K465" i="20"/>
  <c r="J465" i="20"/>
  <c r="AC464" i="20"/>
  <c r="AA464" i="20"/>
  <c r="W464" i="20"/>
  <c r="X464" i="20" s="1"/>
  <c r="V464" i="20"/>
  <c r="U464" i="20"/>
  <c r="S464" i="20"/>
  <c r="O464" i="20"/>
  <c r="K464" i="20"/>
  <c r="M464" i="20" s="1"/>
  <c r="Q464" i="20" s="1"/>
  <c r="J464" i="20"/>
  <c r="AA463" i="20"/>
  <c r="V463" i="20"/>
  <c r="W463" i="20" s="1"/>
  <c r="X463" i="20" s="1"/>
  <c r="U463" i="20"/>
  <c r="S463" i="20"/>
  <c r="O463" i="20"/>
  <c r="M463" i="20"/>
  <c r="L463" i="20"/>
  <c r="K463" i="20"/>
  <c r="J463" i="20"/>
  <c r="AC462" i="20"/>
  <c r="AA462" i="20"/>
  <c r="V462" i="20"/>
  <c r="W462" i="20" s="1"/>
  <c r="X462" i="20" s="1"/>
  <c r="U462" i="20"/>
  <c r="S462" i="20"/>
  <c r="O462" i="20"/>
  <c r="M462" i="20"/>
  <c r="Q462" i="20" s="1"/>
  <c r="L462" i="20"/>
  <c r="K462" i="20"/>
  <c r="J462" i="20"/>
  <c r="AA461" i="20"/>
  <c r="X461" i="20"/>
  <c r="Z461" i="20" s="1"/>
  <c r="V461" i="20"/>
  <c r="W461" i="20" s="1"/>
  <c r="U461" i="20"/>
  <c r="S461" i="20"/>
  <c r="O461" i="20"/>
  <c r="K461" i="20"/>
  <c r="J461" i="20"/>
  <c r="AC460" i="20"/>
  <c r="AB460" i="20"/>
  <c r="AA460" i="20"/>
  <c r="W460" i="20"/>
  <c r="X460" i="20" s="1"/>
  <c r="V460" i="20"/>
  <c r="U460" i="20"/>
  <c r="S460" i="20"/>
  <c r="Q460" i="20"/>
  <c r="P460" i="20"/>
  <c r="O460" i="20"/>
  <c r="M460" i="20"/>
  <c r="K460" i="20"/>
  <c r="L460" i="20" s="1"/>
  <c r="N460" i="20" s="1"/>
  <c r="J460" i="20"/>
  <c r="AC459" i="20"/>
  <c r="AA459" i="20"/>
  <c r="W459" i="20"/>
  <c r="X459" i="20" s="1"/>
  <c r="V459" i="20"/>
  <c r="U459" i="20"/>
  <c r="S459" i="20"/>
  <c r="O459" i="20"/>
  <c r="K459" i="20"/>
  <c r="M459" i="20" s="1"/>
  <c r="Q459" i="20" s="1"/>
  <c r="J459" i="20"/>
  <c r="AA458" i="20"/>
  <c r="V458" i="20"/>
  <c r="W458" i="20" s="1"/>
  <c r="X458" i="20" s="1"/>
  <c r="U458" i="20"/>
  <c r="S458" i="20"/>
  <c r="O458" i="20"/>
  <c r="K458" i="20"/>
  <c r="J458" i="20"/>
  <c r="AA457" i="20"/>
  <c r="AB457" i="20" s="1"/>
  <c r="W457" i="20"/>
  <c r="X457" i="20" s="1"/>
  <c r="V457" i="20"/>
  <c r="U457" i="20"/>
  <c r="S457" i="20"/>
  <c r="O457" i="20"/>
  <c r="L457" i="20"/>
  <c r="K457" i="20"/>
  <c r="M457" i="20" s="1"/>
  <c r="J457" i="20"/>
  <c r="AA456" i="20"/>
  <c r="Y456" i="20"/>
  <c r="X456" i="20"/>
  <c r="Z456" i="20" s="1"/>
  <c r="W456" i="20"/>
  <c r="V456" i="20"/>
  <c r="U456" i="20"/>
  <c r="S456" i="20"/>
  <c r="O456" i="20"/>
  <c r="K456" i="20"/>
  <c r="J456" i="20"/>
  <c r="AA455" i="20"/>
  <c r="V455" i="20"/>
  <c r="W455" i="20" s="1"/>
  <c r="X455" i="20" s="1"/>
  <c r="U455" i="20"/>
  <c r="S455" i="20"/>
  <c r="O455" i="20"/>
  <c r="K455" i="20"/>
  <c r="J455" i="20"/>
  <c r="AC454" i="20"/>
  <c r="AB454" i="20"/>
  <c r="AA454" i="20"/>
  <c r="Y454" i="20"/>
  <c r="X454" i="20"/>
  <c r="Z454" i="20" s="1"/>
  <c r="W454" i="20"/>
  <c r="V454" i="20"/>
  <c r="U454" i="20"/>
  <c r="S454" i="20"/>
  <c r="P454" i="20"/>
  <c r="O454" i="20"/>
  <c r="M454" i="20"/>
  <c r="N454" i="20" s="1"/>
  <c r="L454" i="20"/>
  <c r="K454" i="20"/>
  <c r="J454" i="20"/>
  <c r="AA453" i="20"/>
  <c r="Z453" i="20"/>
  <c r="Y453" i="20"/>
  <c r="W453" i="20"/>
  <c r="X453" i="20" s="1"/>
  <c r="V453" i="20"/>
  <c r="U453" i="20"/>
  <c r="S453" i="20"/>
  <c r="O453" i="20"/>
  <c r="N453" i="20"/>
  <c r="L453" i="20"/>
  <c r="K453" i="20"/>
  <c r="M453" i="20" s="1"/>
  <c r="J453" i="20"/>
  <c r="AA452" i="20"/>
  <c r="V452" i="20"/>
  <c r="W452" i="20" s="1"/>
  <c r="X452" i="20" s="1"/>
  <c r="U452" i="20"/>
  <c r="S452" i="20"/>
  <c r="O452" i="20"/>
  <c r="K452" i="20"/>
  <c r="J452" i="20"/>
  <c r="AB451" i="20"/>
  <c r="AA451" i="20"/>
  <c r="Z451" i="20"/>
  <c r="W451" i="20"/>
  <c r="X451" i="20" s="1"/>
  <c r="Y451" i="20" s="1"/>
  <c r="V451" i="20"/>
  <c r="U451" i="20"/>
  <c r="S451" i="20"/>
  <c r="P451" i="20"/>
  <c r="O451" i="20"/>
  <c r="M451" i="20"/>
  <c r="L451" i="20"/>
  <c r="K451" i="20"/>
  <c r="J451" i="20"/>
  <c r="AA450" i="20"/>
  <c r="Z450" i="20"/>
  <c r="V450" i="20"/>
  <c r="W450" i="20" s="1"/>
  <c r="X450" i="20" s="1"/>
  <c r="Y450" i="20" s="1"/>
  <c r="U450" i="20"/>
  <c r="S450" i="20"/>
  <c r="O450" i="20"/>
  <c r="K450" i="20"/>
  <c r="J450" i="20"/>
  <c r="AC449" i="20"/>
  <c r="AB449" i="20"/>
  <c r="AA449" i="20"/>
  <c r="W449" i="20"/>
  <c r="X449" i="20" s="1"/>
  <c r="V449" i="20"/>
  <c r="U449" i="20"/>
  <c r="S449" i="20"/>
  <c r="Q449" i="20"/>
  <c r="P449" i="20"/>
  <c r="O449" i="20"/>
  <c r="M449" i="20"/>
  <c r="L449" i="20"/>
  <c r="N449" i="20" s="1"/>
  <c r="K449" i="20"/>
  <c r="J449" i="20"/>
  <c r="AA448" i="20"/>
  <c r="W448" i="20"/>
  <c r="X448" i="20" s="1"/>
  <c r="Z448" i="20" s="1"/>
  <c r="V448" i="20"/>
  <c r="U448" i="20"/>
  <c r="S448" i="20"/>
  <c r="O448" i="20"/>
  <c r="K448" i="20"/>
  <c r="J448" i="20"/>
  <c r="AA447" i="20"/>
  <c r="W447" i="20"/>
  <c r="X447" i="20" s="1"/>
  <c r="V447" i="20"/>
  <c r="U447" i="20"/>
  <c r="S447" i="20"/>
  <c r="O447" i="20"/>
  <c r="N447" i="20"/>
  <c r="M447" i="20"/>
  <c r="L447" i="20"/>
  <c r="K447" i="20"/>
  <c r="J447" i="20"/>
  <c r="AC446" i="20"/>
  <c r="AA446" i="20"/>
  <c r="Z446" i="20"/>
  <c r="X446" i="20"/>
  <c r="Y446" i="20" s="1"/>
  <c r="W446" i="20"/>
  <c r="V446" i="20"/>
  <c r="U446" i="20"/>
  <c r="S446" i="20"/>
  <c r="O446" i="20"/>
  <c r="M446" i="20"/>
  <c r="Q446" i="20" s="1"/>
  <c r="K446" i="20"/>
  <c r="L446" i="20" s="1"/>
  <c r="J446" i="20"/>
  <c r="AA445" i="20"/>
  <c r="Z445" i="20"/>
  <c r="Y445" i="20"/>
  <c r="V445" i="20"/>
  <c r="W445" i="20" s="1"/>
  <c r="X445" i="20" s="1"/>
  <c r="U445" i="20"/>
  <c r="S445" i="20"/>
  <c r="Q445" i="20"/>
  <c r="O445" i="20"/>
  <c r="M445" i="20"/>
  <c r="AC445" i="20" s="1"/>
  <c r="L445" i="20"/>
  <c r="K445" i="20"/>
  <c r="J445" i="20"/>
  <c r="AC444" i="20"/>
  <c r="AA444" i="20"/>
  <c r="Z444" i="20"/>
  <c r="V444" i="20"/>
  <c r="W444" i="20" s="1"/>
  <c r="X444" i="20" s="1"/>
  <c r="Y444" i="20" s="1"/>
  <c r="U444" i="20"/>
  <c r="S444" i="20"/>
  <c r="Q444" i="20"/>
  <c r="O444" i="20"/>
  <c r="K444" i="20"/>
  <c r="M444" i="20" s="1"/>
  <c r="J444" i="20"/>
  <c r="AA443" i="20"/>
  <c r="W443" i="20"/>
  <c r="X443" i="20" s="1"/>
  <c r="V443" i="20"/>
  <c r="U443" i="20"/>
  <c r="S443" i="20"/>
  <c r="O443" i="20"/>
  <c r="K443" i="20"/>
  <c r="J443" i="20"/>
  <c r="AB442" i="20"/>
  <c r="AA442" i="20"/>
  <c r="V442" i="20"/>
  <c r="W442" i="20" s="1"/>
  <c r="X442" i="20" s="1"/>
  <c r="U442" i="20"/>
  <c r="S442" i="20"/>
  <c r="O442" i="20"/>
  <c r="M442" i="20"/>
  <c r="L442" i="20"/>
  <c r="K442" i="20"/>
  <c r="J442" i="20"/>
  <c r="AA441" i="20"/>
  <c r="V441" i="20"/>
  <c r="W441" i="20" s="1"/>
  <c r="X441" i="20" s="1"/>
  <c r="U441" i="20"/>
  <c r="S441" i="20"/>
  <c r="O441" i="20"/>
  <c r="K441" i="20"/>
  <c r="J441" i="20"/>
  <c r="AA440" i="20"/>
  <c r="X440" i="20"/>
  <c r="W440" i="20"/>
  <c r="V440" i="20"/>
  <c r="U440" i="20"/>
  <c r="S440" i="20"/>
  <c r="O440" i="20"/>
  <c r="M440" i="20"/>
  <c r="L440" i="20"/>
  <c r="K440" i="20"/>
  <c r="J440" i="20"/>
  <c r="AA439" i="20"/>
  <c r="X439" i="20"/>
  <c r="W439" i="20"/>
  <c r="V439" i="20"/>
  <c r="U439" i="20"/>
  <c r="S439" i="20"/>
  <c r="O439" i="20"/>
  <c r="N439" i="20"/>
  <c r="M439" i="20"/>
  <c r="AC439" i="20" s="1"/>
  <c r="L439" i="20"/>
  <c r="AB439" i="20" s="1"/>
  <c r="K439" i="20"/>
  <c r="J439" i="20"/>
  <c r="AA438" i="20"/>
  <c r="X438" i="20"/>
  <c r="Z438" i="20" s="1"/>
  <c r="W438" i="20"/>
  <c r="V438" i="20"/>
  <c r="U438" i="20"/>
  <c r="S438" i="20"/>
  <c r="Q438" i="20"/>
  <c r="O438" i="20"/>
  <c r="L438" i="20"/>
  <c r="K438" i="20"/>
  <c r="M438" i="20" s="1"/>
  <c r="AC438" i="20" s="1"/>
  <c r="J438" i="20"/>
  <c r="AA437" i="20"/>
  <c r="V437" i="20"/>
  <c r="W437" i="20" s="1"/>
  <c r="X437" i="20" s="1"/>
  <c r="U437" i="20"/>
  <c r="S437" i="20"/>
  <c r="O437" i="20"/>
  <c r="K437" i="20"/>
  <c r="J437" i="20"/>
  <c r="AA436" i="20"/>
  <c r="V436" i="20"/>
  <c r="W436" i="20" s="1"/>
  <c r="X436" i="20" s="1"/>
  <c r="U436" i="20"/>
  <c r="S436" i="20"/>
  <c r="O436" i="20"/>
  <c r="K436" i="20"/>
  <c r="J436" i="20"/>
  <c r="AA435" i="20"/>
  <c r="X435" i="20"/>
  <c r="W435" i="20"/>
  <c r="V435" i="20"/>
  <c r="U435" i="20"/>
  <c r="S435" i="20"/>
  <c r="Q435" i="20"/>
  <c r="P435" i="20"/>
  <c r="O435" i="20"/>
  <c r="N435" i="20"/>
  <c r="M435" i="20"/>
  <c r="AC435" i="20" s="1"/>
  <c r="L435" i="20"/>
  <c r="AB435" i="20" s="1"/>
  <c r="K435" i="20"/>
  <c r="J435" i="20"/>
  <c r="AA434" i="20"/>
  <c r="Z434" i="20"/>
  <c r="Y434" i="20"/>
  <c r="V434" i="20"/>
  <c r="W434" i="20" s="1"/>
  <c r="X434" i="20" s="1"/>
  <c r="U434" i="20"/>
  <c r="S434" i="20"/>
  <c r="Q434" i="20"/>
  <c r="O434" i="20"/>
  <c r="M434" i="20"/>
  <c r="AC434" i="20" s="1"/>
  <c r="L434" i="20"/>
  <c r="K434" i="20"/>
  <c r="J434" i="20"/>
  <c r="AA433" i="20"/>
  <c r="W433" i="20"/>
  <c r="X433" i="20" s="1"/>
  <c r="V433" i="20"/>
  <c r="U433" i="20"/>
  <c r="S433" i="20"/>
  <c r="O433" i="20"/>
  <c r="K433" i="20"/>
  <c r="J433" i="20"/>
  <c r="AA432" i="20"/>
  <c r="V432" i="20"/>
  <c r="W432" i="20" s="1"/>
  <c r="X432" i="20" s="1"/>
  <c r="U432" i="20"/>
  <c r="S432" i="20"/>
  <c r="O432" i="20"/>
  <c r="K432" i="20"/>
  <c r="J432" i="20"/>
  <c r="AA431" i="20"/>
  <c r="V431" i="20"/>
  <c r="W431" i="20" s="1"/>
  <c r="X431" i="20" s="1"/>
  <c r="U431" i="20"/>
  <c r="S431" i="20"/>
  <c r="O431" i="20"/>
  <c r="M431" i="20"/>
  <c r="L431" i="20"/>
  <c r="K431" i="20"/>
  <c r="J431" i="20"/>
  <c r="AC430" i="20"/>
  <c r="AB430" i="20"/>
  <c r="AA430" i="20"/>
  <c r="W430" i="20"/>
  <c r="X430" i="20" s="1"/>
  <c r="Z430" i="20" s="1"/>
  <c r="V430" i="20"/>
  <c r="U430" i="20"/>
  <c r="S430" i="20"/>
  <c r="O430" i="20"/>
  <c r="M430" i="20"/>
  <c r="L430" i="20"/>
  <c r="P430" i="20" s="1"/>
  <c r="K430" i="20"/>
  <c r="J430" i="20"/>
  <c r="AA429" i="20"/>
  <c r="Z429" i="20"/>
  <c r="Y429" i="20"/>
  <c r="V429" i="20"/>
  <c r="W429" i="20" s="1"/>
  <c r="X429" i="20" s="1"/>
  <c r="U429" i="20"/>
  <c r="S429" i="20"/>
  <c r="O429" i="20"/>
  <c r="M429" i="20"/>
  <c r="L429" i="20"/>
  <c r="K429" i="20"/>
  <c r="J429" i="20"/>
  <c r="AC428" i="20"/>
  <c r="AA428" i="20"/>
  <c r="X428" i="20"/>
  <c r="W428" i="20"/>
  <c r="V428" i="20"/>
  <c r="U428" i="20"/>
  <c r="S428" i="20"/>
  <c r="O428" i="20"/>
  <c r="M428" i="20"/>
  <c r="Q428" i="20" s="1"/>
  <c r="K428" i="20"/>
  <c r="L428" i="20" s="1"/>
  <c r="J428" i="20"/>
  <c r="AA427" i="20"/>
  <c r="W427" i="20"/>
  <c r="X427" i="20" s="1"/>
  <c r="V427" i="20"/>
  <c r="U427" i="20"/>
  <c r="S427" i="20"/>
  <c r="Q427" i="20"/>
  <c r="O427" i="20"/>
  <c r="K427" i="20"/>
  <c r="M427" i="20" s="1"/>
  <c r="AC427" i="20" s="1"/>
  <c r="J427" i="20"/>
  <c r="AC426" i="20"/>
  <c r="AB426" i="20"/>
  <c r="AA426" i="20"/>
  <c r="W426" i="20"/>
  <c r="X426" i="20" s="1"/>
  <c r="V426" i="20"/>
  <c r="U426" i="20"/>
  <c r="S426" i="20"/>
  <c r="Q426" i="20"/>
  <c r="O426" i="20"/>
  <c r="M426" i="20"/>
  <c r="N426" i="20" s="1"/>
  <c r="L426" i="20"/>
  <c r="K426" i="20"/>
  <c r="J426" i="20"/>
  <c r="P426" i="20" s="1"/>
  <c r="AA425" i="20"/>
  <c r="W425" i="20"/>
  <c r="X425" i="20" s="1"/>
  <c r="V425" i="20"/>
  <c r="U425" i="20"/>
  <c r="S425" i="20"/>
  <c r="O425" i="20"/>
  <c r="N425" i="20"/>
  <c r="M425" i="20"/>
  <c r="K425" i="20"/>
  <c r="L425" i="20" s="1"/>
  <c r="J425" i="20"/>
  <c r="AC424" i="20"/>
  <c r="AA424" i="20"/>
  <c r="V424" i="20"/>
  <c r="W424" i="20" s="1"/>
  <c r="X424" i="20" s="1"/>
  <c r="U424" i="20"/>
  <c r="S424" i="20"/>
  <c r="Q424" i="20"/>
  <c r="O424" i="20"/>
  <c r="L424" i="20"/>
  <c r="K424" i="20"/>
  <c r="M424" i="20" s="1"/>
  <c r="J424" i="20"/>
  <c r="AA423" i="20"/>
  <c r="V423" i="20"/>
  <c r="W423" i="20" s="1"/>
  <c r="X423" i="20" s="1"/>
  <c r="U423" i="20"/>
  <c r="S423" i="20"/>
  <c r="O423" i="20"/>
  <c r="K423" i="20"/>
  <c r="J423" i="20"/>
  <c r="AB422" i="20"/>
  <c r="AA422" i="20"/>
  <c r="X422" i="20"/>
  <c r="W422" i="20"/>
  <c r="V422" i="20"/>
  <c r="U422" i="20"/>
  <c r="S422" i="20"/>
  <c r="P422" i="20"/>
  <c r="O422" i="20"/>
  <c r="M422" i="20"/>
  <c r="L422" i="20"/>
  <c r="K422" i="20"/>
  <c r="J422" i="20"/>
  <c r="AA421" i="20"/>
  <c r="W421" i="20"/>
  <c r="X421" i="20" s="1"/>
  <c r="V421" i="20"/>
  <c r="U421" i="20"/>
  <c r="S421" i="20"/>
  <c r="O421" i="20"/>
  <c r="K421" i="20"/>
  <c r="J421" i="20"/>
  <c r="AA420" i="20"/>
  <c r="W420" i="20"/>
  <c r="X420" i="20" s="1"/>
  <c r="V420" i="20"/>
  <c r="U420" i="20"/>
  <c r="S420" i="20"/>
  <c r="O420" i="20"/>
  <c r="M420" i="20"/>
  <c r="L420" i="20"/>
  <c r="P420" i="20" s="1"/>
  <c r="K420" i="20"/>
  <c r="J420" i="20"/>
  <c r="AA419" i="20"/>
  <c r="X419" i="20"/>
  <c r="W419" i="20"/>
  <c r="V419" i="20"/>
  <c r="U419" i="20"/>
  <c r="S419" i="20"/>
  <c r="O419" i="20"/>
  <c r="K419" i="20"/>
  <c r="J419" i="20"/>
  <c r="AA418" i="20"/>
  <c r="Z418" i="20"/>
  <c r="V418" i="20"/>
  <c r="W418" i="20" s="1"/>
  <c r="X418" i="20" s="1"/>
  <c r="Y418" i="20" s="1"/>
  <c r="U418" i="20"/>
  <c r="S418" i="20"/>
  <c r="P418" i="20"/>
  <c r="O418" i="20"/>
  <c r="N418" i="20"/>
  <c r="M418" i="20"/>
  <c r="AC418" i="20" s="1"/>
  <c r="L418" i="20"/>
  <c r="AB418" i="20" s="1"/>
  <c r="K418" i="20"/>
  <c r="J418" i="20"/>
  <c r="AC417" i="20"/>
  <c r="AA417" i="20"/>
  <c r="AB417" i="20" s="1"/>
  <c r="X417" i="20"/>
  <c r="W417" i="20"/>
  <c r="V417" i="20"/>
  <c r="U417" i="20"/>
  <c r="S417" i="20"/>
  <c r="Q417" i="20"/>
  <c r="P417" i="20"/>
  <c r="O417" i="20"/>
  <c r="N417" i="20"/>
  <c r="M417" i="20"/>
  <c r="L417" i="20"/>
  <c r="K417" i="20"/>
  <c r="J417" i="20"/>
  <c r="AB416" i="20"/>
  <c r="AA416" i="20"/>
  <c r="V416" i="20"/>
  <c r="W416" i="20" s="1"/>
  <c r="X416" i="20" s="1"/>
  <c r="U416" i="20"/>
  <c r="S416" i="20"/>
  <c r="Q416" i="20"/>
  <c r="P416" i="20"/>
  <c r="O416" i="20"/>
  <c r="N416" i="20"/>
  <c r="L416" i="20"/>
  <c r="K416" i="20"/>
  <c r="M416" i="20" s="1"/>
  <c r="AC416" i="20" s="1"/>
  <c r="J416" i="20"/>
  <c r="AA415" i="20"/>
  <c r="X415" i="20"/>
  <c r="W415" i="20"/>
  <c r="V415" i="20"/>
  <c r="U415" i="20"/>
  <c r="S415" i="20"/>
  <c r="O415" i="20"/>
  <c r="M415" i="20"/>
  <c r="K415" i="20"/>
  <c r="L415" i="20" s="1"/>
  <c r="J415" i="20"/>
  <c r="AA414" i="20"/>
  <c r="V414" i="20"/>
  <c r="W414" i="20" s="1"/>
  <c r="X414" i="20" s="1"/>
  <c r="U414" i="20"/>
  <c r="S414" i="20"/>
  <c r="Q414" i="20"/>
  <c r="O414" i="20"/>
  <c r="K414" i="20"/>
  <c r="M414" i="20" s="1"/>
  <c r="AC414" i="20" s="1"/>
  <c r="J414" i="20"/>
  <c r="AA413" i="20"/>
  <c r="V413" i="20"/>
  <c r="W413" i="20" s="1"/>
  <c r="X413" i="20" s="1"/>
  <c r="Z413" i="20" s="1"/>
  <c r="U413" i="20"/>
  <c r="S413" i="20"/>
  <c r="O413" i="20"/>
  <c r="K413" i="20"/>
  <c r="J413" i="20"/>
  <c r="AB412" i="20"/>
  <c r="AA412" i="20"/>
  <c r="X412" i="20"/>
  <c r="W412" i="20"/>
  <c r="V412" i="20"/>
  <c r="U412" i="20"/>
  <c r="S412" i="20"/>
  <c r="P412" i="20"/>
  <c r="O412" i="20"/>
  <c r="L412" i="20"/>
  <c r="K412" i="20"/>
  <c r="M412" i="20" s="1"/>
  <c r="J412" i="20"/>
  <c r="AA411" i="20"/>
  <c r="Z411" i="20"/>
  <c r="V411" i="20"/>
  <c r="W411" i="20" s="1"/>
  <c r="X411" i="20" s="1"/>
  <c r="Y411" i="20" s="1"/>
  <c r="U411" i="20"/>
  <c r="S411" i="20"/>
  <c r="O411" i="20"/>
  <c r="K411" i="20"/>
  <c r="J411" i="20"/>
  <c r="AC410" i="20"/>
  <c r="AB410" i="20"/>
  <c r="AA410" i="20"/>
  <c r="V410" i="20"/>
  <c r="W410" i="20" s="1"/>
  <c r="X410" i="20" s="1"/>
  <c r="U410" i="20"/>
  <c r="S410" i="20"/>
  <c r="Q410" i="20"/>
  <c r="O410" i="20"/>
  <c r="M410" i="20"/>
  <c r="K410" i="20"/>
  <c r="L410" i="20" s="1"/>
  <c r="J410" i="20"/>
  <c r="AA409" i="20"/>
  <c r="X409" i="20"/>
  <c r="W409" i="20"/>
  <c r="V409" i="20"/>
  <c r="U409" i="20"/>
  <c r="S409" i="20"/>
  <c r="O409" i="20"/>
  <c r="K409" i="20"/>
  <c r="J409" i="20"/>
  <c r="AC408" i="20"/>
  <c r="AA408" i="20"/>
  <c r="X408" i="20"/>
  <c r="W408" i="20"/>
  <c r="V408" i="20"/>
  <c r="U408" i="20"/>
  <c r="S408" i="20"/>
  <c r="Q408" i="20"/>
  <c r="O408" i="20"/>
  <c r="K408" i="20"/>
  <c r="M408" i="20" s="1"/>
  <c r="J408" i="20"/>
  <c r="AA407" i="20"/>
  <c r="X407" i="20"/>
  <c r="V407" i="20"/>
  <c r="W407" i="20" s="1"/>
  <c r="U407" i="20"/>
  <c r="S407" i="20"/>
  <c r="O407" i="20"/>
  <c r="M407" i="20"/>
  <c r="L407" i="20"/>
  <c r="K407" i="20"/>
  <c r="J407" i="20"/>
  <c r="AA406" i="20"/>
  <c r="W406" i="20"/>
  <c r="X406" i="20" s="1"/>
  <c r="V406" i="20"/>
  <c r="U406" i="20"/>
  <c r="S406" i="20"/>
  <c r="P406" i="20"/>
  <c r="O406" i="20"/>
  <c r="M406" i="20"/>
  <c r="K406" i="20"/>
  <c r="L406" i="20" s="1"/>
  <c r="AB406" i="20" s="1"/>
  <c r="J406" i="20"/>
  <c r="AA405" i="20"/>
  <c r="V405" i="20"/>
  <c r="W405" i="20" s="1"/>
  <c r="X405" i="20" s="1"/>
  <c r="U405" i="20"/>
  <c r="S405" i="20"/>
  <c r="O405" i="20"/>
  <c r="K405" i="20"/>
  <c r="M405" i="20" s="1"/>
  <c r="AC405" i="20" s="1"/>
  <c r="J405" i="20"/>
  <c r="AB404" i="20"/>
  <c r="AA404" i="20"/>
  <c r="V404" i="20"/>
  <c r="W404" i="20" s="1"/>
  <c r="X404" i="20" s="1"/>
  <c r="U404" i="20"/>
  <c r="S404" i="20"/>
  <c r="O404" i="20"/>
  <c r="L404" i="20"/>
  <c r="P404" i="20" s="1"/>
  <c r="K404" i="20"/>
  <c r="M404" i="20" s="1"/>
  <c r="J404" i="20"/>
  <c r="AA403" i="20"/>
  <c r="X403" i="20"/>
  <c r="Z403" i="20" s="1"/>
  <c r="W403" i="20"/>
  <c r="V403" i="20"/>
  <c r="U403" i="20"/>
  <c r="S403" i="20"/>
  <c r="O403" i="20"/>
  <c r="K403" i="20"/>
  <c r="J403" i="20"/>
  <c r="AA402" i="20"/>
  <c r="Z402" i="20"/>
  <c r="Y402" i="20"/>
  <c r="X402" i="20"/>
  <c r="W402" i="20"/>
  <c r="V402" i="20"/>
  <c r="U402" i="20"/>
  <c r="S402" i="20"/>
  <c r="O402" i="20"/>
  <c r="M402" i="20"/>
  <c r="AC402" i="20" s="1"/>
  <c r="L402" i="20"/>
  <c r="K402" i="20"/>
  <c r="J402" i="20"/>
  <c r="AC401" i="20"/>
  <c r="AA401" i="20"/>
  <c r="V401" i="20"/>
  <c r="W401" i="20" s="1"/>
  <c r="X401" i="20" s="1"/>
  <c r="U401" i="20"/>
  <c r="S401" i="20"/>
  <c r="Q401" i="20"/>
  <c r="N401" i="20"/>
  <c r="O401" i="20" s="1"/>
  <c r="M401" i="20"/>
  <c r="K401" i="20"/>
  <c r="L401" i="20" s="1"/>
  <c r="AB401" i="20" s="1"/>
  <c r="AA400" i="20"/>
  <c r="W400" i="20"/>
  <c r="X400" i="20" s="1"/>
  <c r="V400" i="20"/>
  <c r="U400" i="20"/>
  <c r="S400" i="20"/>
  <c r="K400" i="20"/>
  <c r="AA399" i="20"/>
  <c r="W399" i="20"/>
  <c r="X399" i="20" s="1"/>
  <c r="Z399" i="20" s="1"/>
  <c r="J399" i="20" s="1"/>
  <c r="V399" i="20"/>
  <c r="U399" i="20"/>
  <c r="S399" i="20"/>
  <c r="L399" i="20"/>
  <c r="K399" i="20"/>
  <c r="M399" i="20" s="1"/>
  <c r="AA398" i="20"/>
  <c r="V398" i="20"/>
  <c r="W398" i="20" s="1"/>
  <c r="X398" i="20" s="1"/>
  <c r="U398" i="20"/>
  <c r="S398" i="20"/>
  <c r="Q398" i="20"/>
  <c r="K398" i="20"/>
  <c r="M398" i="20" s="1"/>
  <c r="AC398" i="20" s="1"/>
  <c r="AA397" i="20"/>
  <c r="Z397" i="20"/>
  <c r="J397" i="20" s="1"/>
  <c r="W397" i="20"/>
  <c r="X397" i="20" s="1"/>
  <c r="Y397" i="20" s="1"/>
  <c r="V397" i="20"/>
  <c r="U397" i="20"/>
  <c r="S397" i="20"/>
  <c r="K397" i="20"/>
  <c r="AA396" i="20"/>
  <c r="W396" i="20"/>
  <c r="X396" i="20" s="1"/>
  <c r="V396" i="20"/>
  <c r="U396" i="20"/>
  <c r="S396" i="20"/>
  <c r="K396" i="20"/>
  <c r="AC395" i="20"/>
  <c r="AA395" i="20"/>
  <c r="W395" i="20"/>
  <c r="X395" i="20" s="1"/>
  <c r="V395" i="20"/>
  <c r="U395" i="20"/>
  <c r="S395" i="20"/>
  <c r="Q395" i="20"/>
  <c r="M395" i="20"/>
  <c r="K395" i="20"/>
  <c r="L395" i="20" s="1"/>
  <c r="N395" i="20" s="1"/>
  <c r="O395" i="20" s="1"/>
  <c r="AC394" i="20"/>
  <c r="AB394" i="20"/>
  <c r="AA394" i="20"/>
  <c r="X394" i="20"/>
  <c r="V394" i="20"/>
  <c r="W394" i="20" s="1"/>
  <c r="U394" i="20"/>
  <c r="S394" i="20"/>
  <c r="M394" i="20"/>
  <c r="L394" i="20"/>
  <c r="K394" i="20"/>
  <c r="AA393" i="20"/>
  <c r="Z393" i="20"/>
  <c r="V393" i="20"/>
  <c r="W393" i="20" s="1"/>
  <c r="X393" i="20" s="1"/>
  <c r="Y393" i="20" s="1"/>
  <c r="U393" i="20"/>
  <c r="S393" i="20"/>
  <c r="K393" i="20"/>
  <c r="J393" i="20"/>
  <c r="AC392" i="20"/>
  <c r="AA392" i="20"/>
  <c r="W392" i="20"/>
  <c r="X392" i="20" s="1"/>
  <c r="Y392" i="20" s="1"/>
  <c r="V392" i="20"/>
  <c r="U392" i="20"/>
  <c r="S392" i="20"/>
  <c r="K392" i="20"/>
  <c r="M392" i="20" s="1"/>
  <c r="Q392" i="20" s="1"/>
  <c r="AA391" i="20"/>
  <c r="W391" i="20"/>
  <c r="X391" i="20" s="1"/>
  <c r="V391" i="20"/>
  <c r="U391" i="20"/>
  <c r="S391" i="20"/>
  <c r="K391" i="20"/>
  <c r="AC390" i="20"/>
  <c r="AA390" i="20"/>
  <c r="AB390" i="20" s="1"/>
  <c r="X390" i="20"/>
  <c r="W390" i="20"/>
  <c r="V390" i="20"/>
  <c r="U390" i="20"/>
  <c r="S390" i="20"/>
  <c r="M390" i="20"/>
  <c r="Q390" i="20" s="1"/>
  <c r="L390" i="20"/>
  <c r="K390" i="20"/>
  <c r="AA389" i="20"/>
  <c r="W389" i="20"/>
  <c r="X389" i="20" s="1"/>
  <c r="V389" i="20"/>
  <c r="U389" i="20"/>
  <c r="S389" i="20"/>
  <c r="K389" i="20"/>
  <c r="AC388" i="20"/>
  <c r="AA388" i="20"/>
  <c r="V388" i="20"/>
  <c r="W388" i="20" s="1"/>
  <c r="X388" i="20" s="1"/>
  <c r="U388" i="20"/>
  <c r="S388" i="20"/>
  <c r="K388" i="20"/>
  <c r="M388" i="20" s="1"/>
  <c r="Q388" i="20" s="1"/>
  <c r="AA387" i="20"/>
  <c r="X387" i="20"/>
  <c r="W387" i="20"/>
  <c r="V387" i="20"/>
  <c r="U387" i="20"/>
  <c r="S387" i="20"/>
  <c r="Q387" i="20"/>
  <c r="M387" i="20"/>
  <c r="AC387" i="20" s="1"/>
  <c r="K387" i="20"/>
  <c r="L387" i="20" s="1"/>
  <c r="N387" i="20" s="1"/>
  <c r="O387" i="20" s="1"/>
  <c r="AC386" i="20"/>
  <c r="AA386" i="20"/>
  <c r="V386" i="20"/>
  <c r="W386" i="20" s="1"/>
  <c r="X386" i="20" s="1"/>
  <c r="U386" i="20"/>
  <c r="S386" i="20"/>
  <c r="N386" i="20"/>
  <c r="O386" i="20" s="1"/>
  <c r="L386" i="20"/>
  <c r="K386" i="20"/>
  <c r="M386" i="20" s="1"/>
  <c r="Q386" i="20" s="1"/>
  <c r="AA385" i="20"/>
  <c r="W385" i="20"/>
  <c r="X385" i="20" s="1"/>
  <c r="V385" i="20"/>
  <c r="U385" i="20"/>
  <c r="S385" i="20"/>
  <c r="M385" i="20"/>
  <c r="L385" i="20"/>
  <c r="K385" i="20"/>
  <c r="AA384" i="20"/>
  <c r="Z384" i="20"/>
  <c r="J384" i="20" s="1"/>
  <c r="W384" i="20"/>
  <c r="X384" i="20" s="1"/>
  <c r="Y384" i="20" s="1"/>
  <c r="V384" i="20"/>
  <c r="U384" i="20"/>
  <c r="S384" i="20"/>
  <c r="K384" i="20"/>
  <c r="M384" i="20" s="1"/>
  <c r="AC384" i="20" s="1"/>
  <c r="AA383" i="20"/>
  <c r="AB383" i="20" s="1"/>
  <c r="X383" i="20"/>
  <c r="W383" i="20"/>
  <c r="V383" i="20"/>
  <c r="U383" i="20"/>
  <c r="S383" i="20"/>
  <c r="M383" i="20"/>
  <c r="L383" i="20"/>
  <c r="K383" i="20"/>
  <c r="AC382" i="20"/>
  <c r="AA382" i="20"/>
  <c r="V382" i="20"/>
  <c r="W382" i="20" s="1"/>
  <c r="X382" i="20" s="1"/>
  <c r="U382" i="20"/>
  <c r="S382" i="20"/>
  <c r="Q382" i="20"/>
  <c r="K382" i="20"/>
  <c r="M382" i="20" s="1"/>
  <c r="AA381" i="20"/>
  <c r="V381" i="20"/>
  <c r="W381" i="20" s="1"/>
  <c r="X381" i="20" s="1"/>
  <c r="U381" i="20"/>
  <c r="S381" i="20"/>
  <c r="K381" i="20"/>
  <c r="AA380" i="20"/>
  <c r="Z380" i="20"/>
  <c r="J380" i="20" s="1"/>
  <c r="P380" i="20" s="1"/>
  <c r="Y380" i="20"/>
  <c r="X380" i="20"/>
  <c r="V380" i="20"/>
  <c r="W380" i="20" s="1"/>
  <c r="U380" i="20"/>
  <c r="S380" i="20"/>
  <c r="L380" i="20"/>
  <c r="K380" i="20"/>
  <c r="M380" i="20" s="1"/>
  <c r="AC380" i="20" s="1"/>
  <c r="AA379" i="20"/>
  <c r="W379" i="20"/>
  <c r="X379" i="20" s="1"/>
  <c r="V379" i="20"/>
  <c r="U379" i="20"/>
  <c r="S379" i="20"/>
  <c r="M379" i="20"/>
  <c r="K379" i="20"/>
  <c r="L379" i="20" s="1"/>
  <c r="AA378" i="20"/>
  <c r="AB378" i="20" s="1"/>
  <c r="W378" i="20"/>
  <c r="X378" i="20" s="1"/>
  <c r="V378" i="20"/>
  <c r="U378" i="20"/>
  <c r="S378" i="20"/>
  <c r="M378" i="20"/>
  <c r="K378" i="20"/>
  <c r="L378" i="20" s="1"/>
  <c r="AA377" i="20"/>
  <c r="Z377" i="20"/>
  <c r="J377" i="20" s="1"/>
  <c r="Y377" i="20"/>
  <c r="X377" i="20"/>
  <c r="W377" i="20"/>
  <c r="V377" i="20"/>
  <c r="U377" i="20"/>
  <c r="S377" i="20"/>
  <c r="Q377" i="20"/>
  <c r="L377" i="20"/>
  <c r="K377" i="20"/>
  <c r="M377" i="20" s="1"/>
  <c r="AC377" i="20" s="1"/>
  <c r="AA376" i="20"/>
  <c r="Y376" i="20"/>
  <c r="X376" i="20"/>
  <c r="Z376" i="20" s="1"/>
  <c r="W376" i="20"/>
  <c r="V376" i="20"/>
  <c r="U376" i="20"/>
  <c r="S376" i="20"/>
  <c r="Q376" i="20"/>
  <c r="K376" i="20"/>
  <c r="M376" i="20" s="1"/>
  <c r="AC376" i="20" s="1"/>
  <c r="J376" i="20"/>
  <c r="AA375" i="20"/>
  <c r="W375" i="20"/>
  <c r="X375" i="20" s="1"/>
  <c r="V375" i="20"/>
  <c r="U375" i="20"/>
  <c r="S375" i="20"/>
  <c r="N375" i="20"/>
  <c r="O375" i="20" s="1"/>
  <c r="M375" i="20"/>
  <c r="AC375" i="20" s="1"/>
  <c r="L375" i="20"/>
  <c r="AB375" i="20" s="1"/>
  <c r="K375" i="20"/>
  <c r="AA374" i="20"/>
  <c r="X374" i="20"/>
  <c r="V374" i="20"/>
  <c r="W374" i="20" s="1"/>
  <c r="U374" i="20"/>
  <c r="S374" i="20"/>
  <c r="Q374" i="20"/>
  <c r="M374" i="20"/>
  <c r="AC374" i="20" s="1"/>
  <c r="K374" i="20"/>
  <c r="L374" i="20" s="1"/>
  <c r="AA373" i="20"/>
  <c r="X373" i="20"/>
  <c r="W373" i="20"/>
  <c r="V373" i="20"/>
  <c r="U373" i="20"/>
  <c r="S373" i="20"/>
  <c r="L373" i="20"/>
  <c r="K373" i="20"/>
  <c r="M373" i="20" s="1"/>
  <c r="AC373" i="20" s="1"/>
  <c r="AC372" i="20"/>
  <c r="AA372" i="20"/>
  <c r="AB372" i="20" s="1"/>
  <c r="Z372" i="20"/>
  <c r="J372" i="20" s="1"/>
  <c r="W372" i="20"/>
  <c r="X372" i="20" s="1"/>
  <c r="Y372" i="20" s="1"/>
  <c r="V372" i="20"/>
  <c r="U372" i="20"/>
  <c r="S372" i="20"/>
  <c r="L372" i="20"/>
  <c r="K372" i="20"/>
  <c r="M372" i="20" s="1"/>
  <c r="Q372" i="20" s="1"/>
  <c r="AA371" i="20"/>
  <c r="X371" i="20"/>
  <c r="W371" i="20"/>
  <c r="V371" i="20"/>
  <c r="U371" i="20"/>
  <c r="S371" i="20"/>
  <c r="K371" i="20"/>
  <c r="AC370" i="20"/>
  <c r="AB370" i="20"/>
  <c r="AA370" i="20"/>
  <c r="Y370" i="20"/>
  <c r="X370" i="20"/>
  <c r="Z370" i="20" s="1"/>
  <c r="J370" i="20" s="1"/>
  <c r="W370" i="20"/>
  <c r="V370" i="20"/>
  <c r="U370" i="20"/>
  <c r="S370" i="20"/>
  <c r="L370" i="20"/>
  <c r="N370" i="20" s="1"/>
  <c r="O370" i="20" s="1"/>
  <c r="K370" i="20"/>
  <c r="M370" i="20" s="1"/>
  <c r="Q370" i="20" s="1"/>
  <c r="AA369" i="20"/>
  <c r="X369" i="20"/>
  <c r="V369" i="20"/>
  <c r="W369" i="20" s="1"/>
  <c r="U369" i="20"/>
  <c r="S369" i="20"/>
  <c r="K369" i="20"/>
  <c r="L369" i="20" s="1"/>
  <c r="AA368" i="20"/>
  <c r="V368" i="20"/>
  <c r="W368" i="20" s="1"/>
  <c r="X368" i="20" s="1"/>
  <c r="U368" i="20"/>
  <c r="S368" i="20"/>
  <c r="K368" i="20"/>
  <c r="AA367" i="20"/>
  <c r="Z367" i="20"/>
  <c r="J367" i="20" s="1"/>
  <c r="W367" i="20"/>
  <c r="X367" i="20" s="1"/>
  <c r="Y367" i="20" s="1"/>
  <c r="V367" i="20"/>
  <c r="U367" i="20"/>
  <c r="S367" i="20"/>
  <c r="O367" i="20"/>
  <c r="N367" i="20"/>
  <c r="M367" i="20"/>
  <c r="Q367" i="20" s="1"/>
  <c r="L367" i="20"/>
  <c r="AB367" i="20" s="1"/>
  <c r="K367" i="20"/>
  <c r="AA366" i="20"/>
  <c r="Y366" i="20"/>
  <c r="V366" i="20"/>
  <c r="W366" i="20" s="1"/>
  <c r="X366" i="20" s="1"/>
  <c r="Z366" i="20" s="1"/>
  <c r="J366" i="20" s="1"/>
  <c r="U366" i="20"/>
  <c r="S366" i="20"/>
  <c r="Q366" i="20"/>
  <c r="K366" i="20"/>
  <c r="M366" i="20" s="1"/>
  <c r="AC366" i="20" s="1"/>
  <c r="AA365" i="20"/>
  <c r="Z365" i="20"/>
  <c r="W365" i="20"/>
  <c r="X365" i="20" s="1"/>
  <c r="Y365" i="20" s="1"/>
  <c r="V365" i="20"/>
  <c r="U365" i="20"/>
  <c r="S365" i="20"/>
  <c r="M365" i="20"/>
  <c r="AC365" i="20" s="1"/>
  <c r="K365" i="20"/>
  <c r="L365" i="20" s="1"/>
  <c r="AA364" i="20"/>
  <c r="V364" i="20"/>
  <c r="W364" i="20" s="1"/>
  <c r="X364" i="20" s="1"/>
  <c r="U364" i="20"/>
  <c r="S364" i="20"/>
  <c r="Q364" i="20"/>
  <c r="L364" i="20"/>
  <c r="K364" i="20"/>
  <c r="M364" i="20" s="1"/>
  <c r="AC364" i="20" s="1"/>
  <c r="AC363" i="20"/>
  <c r="AB363" i="20"/>
  <c r="AA363" i="20"/>
  <c r="X363" i="20"/>
  <c r="V363" i="20"/>
  <c r="W363" i="20" s="1"/>
  <c r="U363" i="20"/>
  <c r="S363" i="20"/>
  <c r="Q363" i="20"/>
  <c r="N363" i="20"/>
  <c r="O363" i="20" s="1"/>
  <c r="M363" i="20"/>
  <c r="K363" i="20"/>
  <c r="L363" i="20" s="1"/>
  <c r="AA362" i="20"/>
  <c r="AB362" i="20" s="1"/>
  <c r="Y362" i="20"/>
  <c r="V362" i="20"/>
  <c r="W362" i="20" s="1"/>
  <c r="X362" i="20" s="1"/>
  <c r="Z362" i="20" s="1"/>
  <c r="U362" i="20"/>
  <c r="S362" i="20"/>
  <c r="M362" i="20"/>
  <c r="L362" i="20"/>
  <c r="K362" i="20"/>
  <c r="AC361" i="20"/>
  <c r="AB361" i="20"/>
  <c r="AA361" i="20"/>
  <c r="V361" i="20"/>
  <c r="W361" i="20" s="1"/>
  <c r="X361" i="20" s="1"/>
  <c r="U361" i="20"/>
  <c r="S361" i="20"/>
  <c r="M361" i="20"/>
  <c r="Q361" i="20" s="1"/>
  <c r="L361" i="20"/>
  <c r="K361" i="20"/>
  <c r="AC360" i="20"/>
  <c r="AB360" i="20"/>
  <c r="AA360" i="20"/>
  <c r="W360" i="20"/>
  <c r="X360" i="20" s="1"/>
  <c r="V360" i="20"/>
  <c r="U360" i="20"/>
  <c r="S360" i="20"/>
  <c r="O360" i="20"/>
  <c r="N360" i="20"/>
  <c r="M360" i="20"/>
  <c r="Q360" i="20" s="1"/>
  <c r="L360" i="20"/>
  <c r="K360" i="20"/>
  <c r="AA359" i="20"/>
  <c r="V359" i="20"/>
  <c r="W359" i="20" s="1"/>
  <c r="X359" i="20" s="1"/>
  <c r="Y359" i="20" s="1"/>
  <c r="U359" i="20"/>
  <c r="S359" i="20"/>
  <c r="K359" i="20"/>
  <c r="AC358" i="20"/>
  <c r="AB358" i="20"/>
  <c r="AA358" i="20"/>
  <c r="Y358" i="20"/>
  <c r="W358" i="20"/>
  <c r="X358" i="20" s="1"/>
  <c r="Z358" i="20" s="1"/>
  <c r="J358" i="20" s="1"/>
  <c r="V358" i="20"/>
  <c r="U358" i="20"/>
  <c r="S358" i="20"/>
  <c r="N358" i="20"/>
  <c r="O358" i="20" s="1"/>
  <c r="M358" i="20"/>
  <c r="Q358" i="20" s="1"/>
  <c r="L358" i="20"/>
  <c r="K358" i="20"/>
  <c r="AA357" i="20"/>
  <c r="Y357" i="20"/>
  <c r="V357" i="20"/>
  <c r="W357" i="20" s="1"/>
  <c r="X357" i="20" s="1"/>
  <c r="Z357" i="20" s="1"/>
  <c r="U357" i="20"/>
  <c r="S357" i="20"/>
  <c r="Q357" i="20"/>
  <c r="M357" i="20"/>
  <c r="AC357" i="20" s="1"/>
  <c r="K357" i="20"/>
  <c r="L357" i="20" s="1"/>
  <c r="AC356" i="20"/>
  <c r="AA356" i="20"/>
  <c r="AB356" i="20" s="1"/>
  <c r="Z356" i="20"/>
  <c r="V356" i="20"/>
  <c r="W356" i="20" s="1"/>
  <c r="X356" i="20" s="1"/>
  <c r="Y356" i="20" s="1"/>
  <c r="U356" i="20"/>
  <c r="S356" i="20"/>
  <c r="M356" i="20"/>
  <c r="Q356" i="20" s="1"/>
  <c r="L356" i="20"/>
  <c r="K356" i="20"/>
  <c r="J356" i="20"/>
  <c r="P356" i="20" s="1"/>
  <c r="AA355" i="20"/>
  <c r="W355" i="20"/>
  <c r="X355" i="20" s="1"/>
  <c r="V355" i="20"/>
  <c r="U355" i="20"/>
  <c r="S355" i="20"/>
  <c r="K355" i="20"/>
  <c r="AA354" i="20"/>
  <c r="V354" i="20"/>
  <c r="W354" i="20" s="1"/>
  <c r="X354" i="20" s="1"/>
  <c r="U354" i="20"/>
  <c r="S354" i="20"/>
  <c r="L354" i="20"/>
  <c r="K354" i="20"/>
  <c r="M354" i="20" s="1"/>
  <c r="AA353" i="20"/>
  <c r="X353" i="20"/>
  <c r="W353" i="20"/>
  <c r="V353" i="20"/>
  <c r="U353" i="20"/>
  <c r="S353" i="20"/>
  <c r="K353" i="20"/>
  <c r="AA352" i="20"/>
  <c r="W352" i="20"/>
  <c r="X352" i="20" s="1"/>
  <c r="V352" i="20"/>
  <c r="U352" i="20"/>
  <c r="S352" i="20"/>
  <c r="K352" i="20"/>
  <c r="AA351" i="20"/>
  <c r="W351" i="20"/>
  <c r="X351" i="20" s="1"/>
  <c r="V351" i="20"/>
  <c r="U351" i="20"/>
  <c r="S351" i="20"/>
  <c r="M351" i="20"/>
  <c r="Q351" i="20" s="1"/>
  <c r="L351" i="20"/>
  <c r="K351" i="20"/>
  <c r="AC350" i="20"/>
  <c r="AA350" i="20"/>
  <c r="W350" i="20"/>
  <c r="X350" i="20" s="1"/>
  <c r="V350" i="20"/>
  <c r="U350" i="20"/>
  <c r="S350" i="20"/>
  <c r="Q350" i="20"/>
  <c r="L350" i="20"/>
  <c r="K350" i="20"/>
  <c r="M350" i="20" s="1"/>
  <c r="AA349" i="20"/>
  <c r="V349" i="20"/>
  <c r="W349" i="20" s="1"/>
  <c r="X349" i="20" s="1"/>
  <c r="Y349" i="20" s="1"/>
  <c r="U349" i="20"/>
  <c r="S349" i="20"/>
  <c r="Q349" i="20"/>
  <c r="L349" i="20"/>
  <c r="K349" i="20"/>
  <c r="M349" i="20" s="1"/>
  <c r="AC349" i="20" s="1"/>
  <c r="AA348" i="20"/>
  <c r="AB348" i="20" s="1"/>
  <c r="V348" i="20"/>
  <c r="W348" i="20" s="1"/>
  <c r="X348" i="20" s="1"/>
  <c r="U348" i="20"/>
  <c r="S348" i="20"/>
  <c r="N348" i="20"/>
  <c r="O348" i="20" s="1"/>
  <c r="M348" i="20"/>
  <c r="L348" i="20"/>
  <c r="K348" i="20"/>
  <c r="AA347" i="20"/>
  <c r="Z347" i="20"/>
  <c r="J347" i="20" s="1"/>
  <c r="X347" i="20"/>
  <c r="Y347" i="20" s="1"/>
  <c r="W347" i="20"/>
  <c r="V347" i="20"/>
  <c r="U347" i="20"/>
  <c r="S347" i="20"/>
  <c r="M347" i="20"/>
  <c r="AC347" i="20" s="1"/>
  <c r="L347" i="20"/>
  <c r="K347" i="20"/>
  <c r="AA346" i="20"/>
  <c r="V346" i="20"/>
  <c r="W346" i="20" s="1"/>
  <c r="X346" i="20" s="1"/>
  <c r="U346" i="20"/>
  <c r="S346" i="20"/>
  <c r="K346" i="20"/>
  <c r="AA345" i="20"/>
  <c r="X345" i="20"/>
  <c r="Z345" i="20" s="1"/>
  <c r="V345" i="20"/>
  <c r="W345" i="20" s="1"/>
  <c r="U345" i="20"/>
  <c r="S345" i="20"/>
  <c r="K345" i="20"/>
  <c r="M345" i="20" s="1"/>
  <c r="AC345" i="20" s="1"/>
  <c r="AA344" i="20"/>
  <c r="W344" i="20"/>
  <c r="X344" i="20" s="1"/>
  <c r="V344" i="20"/>
  <c r="U344" i="20"/>
  <c r="S344" i="20"/>
  <c r="K344" i="20"/>
  <c r="AC343" i="20"/>
  <c r="AA343" i="20"/>
  <c r="V343" i="20"/>
  <c r="W343" i="20" s="1"/>
  <c r="X343" i="20" s="1"/>
  <c r="U343" i="20"/>
  <c r="S343" i="20"/>
  <c r="M343" i="20"/>
  <c r="Q343" i="20" s="1"/>
  <c r="K343" i="20"/>
  <c r="L343" i="20" s="1"/>
  <c r="AA342" i="20"/>
  <c r="V342" i="20"/>
  <c r="W342" i="20" s="1"/>
  <c r="X342" i="20" s="1"/>
  <c r="U342" i="20"/>
  <c r="S342" i="20"/>
  <c r="K342" i="20"/>
  <c r="AA341" i="20"/>
  <c r="AB341" i="20" s="1"/>
  <c r="V341" i="20"/>
  <c r="W341" i="20" s="1"/>
  <c r="X341" i="20" s="1"/>
  <c r="Z341" i="20" s="1"/>
  <c r="J341" i="20" s="1"/>
  <c r="P341" i="20" s="1"/>
  <c r="U341" i="20"/>
  <c r="S341" i="20"/>
  <c r="Q341" i="20"/>
  <c r="M341" i="20"/>
  <c r="AC341" i="20" s="1"/>
  <c r="L341" i="20"/>
  <c r="K341" i="20"/>
  <c r="AA340" i="20"/>
  <c r="V340" i="20"/>
  <c r="W340" i="20" s="1"/>
  <c r="X340" i="20" s="1"/>
  <c r="U340" i="20"/>
  <c r="S340" i="20"/>
  <c r="K340" i="20"/>
  <c r="AA339" i="20"/>
  <c r="V339" i="20"/>
  <c r="W339" i="20" s="1"/>
  <c r="X339" i="20" s="1"/>
  <c r="U339" i="20"/>
  <c r="S339" i="20"/>
  <c r="M339" i="20"/>
  <c r="L339" i="20"/>
  <c r="K339" i="20"/>
  <c r="AA338" i="20"/>
  <c r="W338" i="20"/>
  <c r="X338" i="20" s="1"/>
  <c r="V338" i="20"/>
  <c r="U338" i="20"/>
  <c r="S338" i="20"/>
  <c r="L338" i="20"/>
  <c r="AB338" i="20" s="1"/>
  <c r="K338" i="20"/>
  <c r="M338" i="20" s="1"/>
  <c r="AB337" i="20"/>
  <c r="AA337" i="20"/>
  <c r="V337" i="20"/>
  <c r="W337" i="20" s="1"/>
  <c r="X337" i="20" s="1"/>
  <c r="U337" i="20"/>
  <c r="S337" i="20"/>
  <c r="M337" i="20"/>
  <c r="AC337" i="20" s="1"/>
  <c r="L337" i="20"/>
  <c r="K337" i="20"/>
  <c r="AA336" i="20"/>
  <c r="V336" i="20"/>
  <c r="W336" i="20" s="1"/>
  <c r="X336" i="20" s="1"/>
  <c r="Z336" i="20" s="1"/>
  <c r="U336" i="20"/>
  <c r="S336" i="20"/>
  <c r="K336" i="20"/>
  <c r="AA335" i="20"/>
  <c r="V335" i="20"/>
  <c r="W335" i="20" s="1"/>
  <c r="X335" i="20" s="1"/>
  <c r="U335" i="20"/>
  <c r="S335" i="20"/>
  <c r="N335" i="20"/>
  <c r="O335" i="20" s="1"/>
  <c r="L335" i="20"/>
  <c r="K335" i="20"/>
  <c r="M335" i="20" s="1"/>
  <c r="AA334" i="20"/>
  <c r="X334" i="20"/>
  <c r="W334" i="20"/>
  <c r="V334" i="20"/>
  <c r="U334" i="20"/>
  <c r="S334" i="20"/>
  <c r="K334" i="20"/>
  <c r="L334" i="20" s="1"/>
  <c r="AA333" i="20"/>
  <c r="V333" i="20"/>
  <c r="W333" i="20" s="1"/>
  <c r="X333" i="20" s="1"/>
  <c r="Z333" i="20" s="1"/>
  <c r="J333" i="20" s="1"/>
  <c r="U333" i="20"/>
  <c r="S333" i="20"/>
  <c r="K333" i="20"/>
  <c r="M333" i="20" s="1"/>
  <c r="AA332" i="20"/>
  <c r="Y332" i="20"/>
  <c r="X332" i="20"/>
  <c r="Z332" i="20" s="1"/>
  <c r="W332" i="20"/>
  <c r="V332" i="20"/>
  <c r="U332" i="20"/>
  <c r="S332" i="20"/>
  <c r="K332" i="20"/>
  <c r="J332" i="20"/>
  <c r="AC331" i="20"/>
  <c r="AA331" i="20"/>
  <c r="AB331" i="20" s="1"/>
  <c r="Z331" i="20"/>
  <c r="J331" i="20" s="1"/>
  <c r="Y331" i="20"/>
  <c r="W331" i="20"/>
  <c r="X331" i="20" s="1"/>
  <c r="V331" i="20"/>
  <c r="U331" i="20"/>
  <c r="S331" i="20"/>
  <c r="M331" i="20"/>
  <c r="Q331" i="20" s="1"/>
  <c r="L331" i="20"/>
  <c r="K331" i="20"/>
  <c r="AA330" i="20"/>
  <c r="W330" i="20"/>
  <c r="X330" i="20" s="1"/>
  <c r="Z330" i="20" s="1"/>
  <c r="V330" i="20"/>
  <c r="U330" i="20"/>
  <c r="S330" i="20"/>
  <c r="Q330" i="20"/>
  <c r="N330" i="20"/>
  <c r="O330" i="20" s="1"/>
  <c r="M330" i="20"/>
  <c r="AC330" i="20" s="1"/>
  <c r="L330" i="20"/>
  <c r="K330" i="20"/>
  <c r="J330" i="20"/>
  <c r="AC329" i="20"/>
  <c r="AB329" i="20"/>
  <c r="AA329" i="20"/>
  <c r="V329" i="20"/>
  <c r="W329" i="20" s="1"/>
  <c r="X329" i="20" s="1"/>
  <c r="U329" i="20"/>
  <c r="S329" i="20"/>
  <c r="Q329" i="20"/>
  <c r="L329" i="20"/>
  <c r="N329" i="20" s="1"/>
  <c r="O329" i="20" s="1"/>
  <c r="K329" i="20"/>
  <c r="M329" i="20" s="1"/>
  <c r="AA328" i="20"/>
  <c r="Y328" i="20"/>
  <c r="V328" i="20"/>
  <c r="W328" i="20" s="1"/>
  <c r="X328" i="20" s="1"/>
  <c r="Z328" i="20" s="1"/>
  <c r="U328" i="20"/>
  <c r="S328" i="20"/>
  <c r="M328" i="20"/>
  <c r="L328" i="20"/>
  <c r="K328" i="20"/>
  <c r="J328" i="20"/>
  <c r="AC327" i="20"/>
  <c r="AB327" i="20"/>
  <c r="AA327" i="20"/>
  <c r="Z327" i="20"/>
  <c r="J327" i="20" s="1"/>
  <c r="X327" i="20"/>
  <c r="Y327" i="20" s="1"/>
  <c r="W327" i="20"/>
  <c r="V327" i="20"/>
  <c r="U327" i="20"/>
  <c r="S327" i="20"/>
  <c r="Q327" i="20"/>
  <c r="L327" i="20"/>
  <c r="K327" i="20"/>
  <c r="M327" i="20" s="1"/>
  <c r="AA326" i="20"/>
  <c r="V326" i="20"/>
  <c r="W326" i="20" s="1"/>
  <c r="X326" i="20" s="1"/>
  <c r="U326" i="20"/>
  <c r="S326" i="20"/>
  <c r="M326" i="20"/>
  <c r="L326" i="20"/>
  <c r="AB326" i="20" s="1"/>
  <c r="K326" i="20"/>
  <c r="AC325" i="20"/>
  <c r="AA325" i="20"/>
  <c r="W325" i="20"/>
  <c r="X325" i="20" s="1"/>
  <c r="V325" i="20"/>
  <c r="U325" i="20"/>
  <c r="S325" i="20"/>
  <c r="L325" i="20"/>
  <c r="K325" i="20"/>
  <c r="M325" i="20" s="1"/>
  <c r="Q325" i="20" s="1"/>
  <c r="AA324" i="20"/>
  <c r="X324" i="20"/>
  <c r="V324" i="20"/>
  <c r="W324" i="20" s="1"/>
  <c r="U324" i="20"/>
  <c r="S324" i="20"/>
  <c r="K324" i="20"/>
  <c r="AA323" i="20"/>
  <c r="V323" i="20"/>
  <c r="W323" i="20" s="1"/>
  <c r="X323" i="20" s="1"/>
  <c r="U323" i="20"/>
  <c r="S323" i="20"/>
  <c r="M323" i="20"/>
  <c r="K323" i="20"/>
  <c r="L323" i="20" s="1"/>
  <c r="AC322" i="20"/>
  <c r="AB322" i="20"/>
  <c r="AA322" i="20"/>
  <c r="V322" i="20"/>
  <c r="W322" i="20" s="1"/>
  <c r="X322" i="20" s="1"/>
  <c r="U322" i="20"/>
  <c r="S322" i="20"/>
  <c r="Q322" i="20"/>
  <c r="N322" i="20"/>
  <c r="O322" i="20" s="1"/>
  <c r="L322" i="20"/>
  <c r="K322" i="20"/>
  <c r="M322" i="20" s="1"/>
  <c r="AA321" i="20"/>
  <c r="V321" i="20"/>
  <c r="W321" i="20" s="1"/>
  <c r="X321" i="20" s="1"/>
  <c r="U321" i="20"/>
  <c r="S321" i="20"/>
  <c r="Q321" i="20"/>
  <c r="M321" i="20"/>
  <c r="AC321" i="20" s="1"/>
  <c r="L321" i="20"/>
  <c r="K321" i="20"/>
  <c r="AC320" i="20"/>
  <c r="AA320" i="20"/>
  <c r="X320" i="20"/>
  <c r="W320" i="20"/>
  <c r="V320" i="20"/>
  <c r="U320" i="20"/>
  <c r="S320" i="20"/>
  <c r="K320" i="20"/>
  <c r="M320" i="20" s="1"/>
  <c r="Q320" i="20" s="1"/>
  <c r="AC319" i="20"/>
  <c r="AB319" i="20"/>
  <c r="AA319" i="20"/>
  <c r="V319" i="20"/>
  <c r="W319" i="20" s="1"/>
  <c r="X319" i="20" s="1"/>
  <c r="U319" i="20"/>
  <c r="S319" i="20"/>
  <c r="Q319" i="20"/>
  <c r="O319" i="20"/>
  <c r="N319" i="20"/>
  <c r="M319" i="20"/>
  <c r="K319" i="20"/>
  <c r="L319" i="20" s="1"/>
  <c r="AC318" i="20"/>
  <c r="AA318" i="20"/>
  <c r="AB318" i="20" s="1"/>
  <c r="V318" i="20"/>
  <c r="W318" i="20" s="1"/>
  <c r="X318" i="20" s="1"/>
  <c r="U318" i="20"/>
  <c r="S318" i="20"/>
  <c r="M318" i="20"/>
  <c r="Q318" i="20" s="1"/>
  <c r="L318" i="20"/>
  <c r="K318" i="20"/>
  <c r="AA317" i="20"/>
  <c r="V317" i="20"/>
  <c r="W317" i="20" s="1"/>
  <c r="X317" i="20" s="1"/>
  <c r="U317" i="20"/>
  <c r="S317" i="20"/>
  <c r="K317" i="20"/>
  <c r="AC316" i="20"/>
  <c r="AA316" i="20"/>
  <c r="W316" i="20"/>
  <c r="X316" i="20" s="1"/>
  <c r="V316" i="20"/>
  <c r="U316" i="20"/>
  <c r="S316" i="20"/>
  <c r="K316" i="20"/>
  <c r="M316" i="20" s="1"/>
  <c r="Q316" i="20" s="1"/>
  <c r="AA315" i="20"/>
  <c r="V315" i="20"/>
  <c r="W315" i="20" s="1"/>
  <c r="X315" i="20" s="1"/>
  <c r="U315" i="20"/>
  <c r="S315" i="20"/>
  <c r="K315" i="20"/>
  <c r="AC314" i="20"/>
  <c r="AA314" i="20"/>
  <c r="AB314" i="20" s="1"/>
  <c r="V314" i="20"/>
  <c r="W314" i="20" s="1"/>
  <c r="X314" i="20" s="1"/>
  <c r="U314" i="20"/>
  <c r="S314" i="20"/>
  <c r="O314" i="20"/>
  <c r="N314" i="20"/>
  <c r="M314" i="20"/>
  <c r="Q314" i="20" s="1"/>
  <c r="L314" i="20"/>
  <c r="K314" i="20"/>
  <c r="AA313" i="20"/>
  <c r="V313" i="20"/>
  <c r="W313" i="20" s="1"/>
  <c r="X313" i="20" s="1"/>
  <c r="U313" i="20"/>
  <c r="S313" i="20"/>
  <c r="K313" i="20"/>
  <c r="AA312" i="20"/>
  <c r="W312" i="20"/>
  <c r="X312" i="20" s="1"/>
  <c r="V312" i="20"/>
  <c r="U312" i="20"/>
  <c r="S312" i="20"/>
  <c r="M312" i="20"/>
  <c r="L312" i="20"/>
  <c r="K312" i="20"/>
  <c r="AB311" i="20"/>
  <c r="AA311" i="20"/>
  <c r="V311" i="20"/>
  <c r="W311" i="20" s="1"/>
  <c r="X311" i="20" s="1"/>
  <c r="U311" i="20"/>
  <c r="S311" i="20"/>
  <c r="L311" i="20"/>
  <c r="K311" i="20"/>
  <c r="M311" i="20" s="1"/>
  <c r="AA310" i="20"/>
  <c r="Z310" i="20"/>
  <c r="V310" i="20"/>
  <c r="W310" i="20" s="1"/>
  <c r="X310" i="20" s="1"/>
  <c r="Y310" i="20" s="1"/>
  <c r="U310" i="20"/>
  <c r="S310" i="20"/>
  <c r="K310" i="20"/>
  <c r="M310" i="20" s="1"/>
  <c r="J310" i="20"/>
  <c r="AC309" i="20"/>
  <c r="AA309" i="20"/>
  <c r="AB309" i="20" s="1"/>
  <c r="Z309" i="20"/>
  <c r="J309" i="20" s="1"/>
  <c r="P309" i="20" s="1"/>
  <c r="W309" i="20"/>
  <c r="X309" i="20" s="1"/>
  <c r="Y309" i="20" s="1"/>
  <c r="V309" i="20"/>
  <c r="U309" i="20"/>
  <c r="S309" i="20"/>
  <c r="Q309" i="20"/>
  <c r="M309" i="20"/>
  <c r="L309" i="20"/>
  <c r="N309" i="20" s="1"/>
  <c r="O309" i="20" s="1"/>
  <c r="K309" i="20"/>
  <c r="AA308" i="20"/>
  <c r="W308" i="20"/>
  <c r="X308" i="20" s="1"/>
  <c r="V308" i="20"/>
  <c r="U308" i="20"/>
  <c r="S308" i="20"/>
  <c r="M308" i="20"/>
  <c r="K308" i="20"/>
  <c r="L308" i="20" s="1"/>
  <c r="AA307" i="20"/>
  <c r="AB307" i="20" s="1"/>
  <c r="Y307" i="20"/>
  <c r="X307" i="20"/>
  <c r="Z307" i="20" s="1"/>
  <c r="J307" i="20" s="1"/>
  <c r="W307" i="20"/>
  <c r="V307" i="20"/>
  <c r="U307" i="20"/>
  <c r="S307" i="20"/>
  <c r="L307" i="20"/>
  <c r="K307" i="20"/>
  <c r="M307" i="20" s="1"/>
  <c r="AA306" i="20"/>
  <c r="W306" i="20"/>
  <c r="X306" i="20" s="1"/>
  <c r="V306" i="20"/>
  <c r="U306" i="20"/>
  <c r="S306" i="20"/>
  <c r="K306" i="20"/>
  <c r="AA305" i="20"/>
  <c r="Z305" i="20"/>
  <c r="Y305" i="20"/>
  <c r="V305" i="20"/>
  <c r="W305" i="20" s="1"/>
  <c r="X305" i="20" s="1"/>
  <c r="U305" i="20"/>
  <c r="S305" i="20"/>
  <c r="K305" i="20"/>
  <c r="AA304" i="20"/>
  <c r="X304" i="20"/>
  <c r="V304" i="20"/>
  <c r="W304" i="20" s="1"/>
  <c r="U304" i="20"/>
  <c r="S304" i="20"/>
  <c r="K304" i="20"/>
  <c r="M304" i="20" s="1"/>
  <c r="AA303" i="20"/>
  <c r="Z303" i="20"/>
  <c r="Y303" i="20"/>
  <c r="X303" i="20"/>
  <c r="V303" i="20"/>
  <c r="W303" i="20" s="1"/>
  <c r="U303" i="20"/>
  <c r="S303" i="20"/>
  <c r="M303" i="20"/>
  <c r="L303" i="20"/>
  <c r="K303" i="20"/>
  <c r="AB302" i="20"/>
  <c r="AA302" i="20"/>
  <c r="V302" i="20"/>
  <c r="W302" i="20" s="1"/>
  <c r="X302" i="20" s="1"/>
  <c r="U302" i="20"/>
  <c r="S302" i="20"/>
  <c r="Q302" i="20"/>
  <c r="M302" i="20"/>
  <c r="AC302" i="20" s="1"/>
  <c r="L302" i="20"/>
  <c r="K302" i="20"/>
  <c r="AA301" i="20"/>
  <c r="Z301" i="20"/>
  <c r="J301" i="20" s="1"/>
  <c r="Y301" i="20"/>
  <c r="X301" i="20"/>
  <c r="W301" i="20"/>
  <c r="V301" i="20"/>
  <c r="U301" i="20"/>
  <c r="S301" i="20"/>
  <c r="K301" i="20"/>
  <c r="M301" i="20" s="1"/>
  <c r="AB300" i="20"/>
  <c r="AA300" i="20"/>
  <c r="Z300" i="20"/>
  <c r="J300" i="20" s="1"/>
  <c r="Y300" i="20"/>
  <c r="X300" i="20"/>
  <c r="W300" i="20"/>
  <c r="V300" i="20"/>
  <c r="U300" i="20"/>
  <c r="S300" i="20"/>
  <c r="K300" i="20"/>
  <c r="L300" i="20" s="1"/>
  <c r="AC299" i="20"/>
  <c r="AA299" i="20"/>
  <c r="V299" i="20"/>
  <c r="W299" i="20" s="1"/>
  <c r="X299" i="20" s="1"/>
  <c r="U299" i="20"/>
  <c r="S299" i="20"/>
  <c r="N299" i="20"/>
  <c r="O299" i="20" s="1"/>
  <c r="L299" i="20"/>
  <c r="K299" i="20"/>
  <c r="M299" i="20" s="1"/>
  <c r="Q299" i="20" s="1"/>
  <c r="AA298" i="20"/>
  <c r="W298" i="20"/>
  <c r="X298" i="20" s="1"/>
  <c r="V298" i="20"/>
  <c r="U298" i="20"/>
  <c r="S298" i="20"/>
  <c r="M298" i="20"/>
  <c r="AC298" i="20" s="1"/>
  <c r="L298" i="20"/>
  <c r="K298" i="20"/>
  <c r="AA297" i="20"/>
  <c r="V297" i="20"/>
  <c r="W297" i="20" s="1"/>
  <c r="X297" i="20" s="1"/>
  <c r="U297" i="20"/>
  <c r="S297" i="20"/>
  <c r="K297" i="20"/>
  <c r="AC296" i="20"/>
  <c r="AA296" i="20"/>
  <c r="Y296" i="20"/>
  <c r="X296" i="20"/>
  <c r="Z296" i="20" s="1"/>
  <c r="W296" i="20"/>
  <c r="V296" i="20"/>
  <c r="U296" i="20"/>
  <c r="S296" i="20"/>
  <c r="L296" i="20"/>
  <c r="K296" i="20"/>
  <c r="M296" i="20" s="1"/>
  <c r="Q296" i="20" s="1"/>
  <c r="AA295" i="20"/>
  <c r="W295" i="20"/>
  <c r="X295" i="20" s="1"/>
  <c r="V295" i="20"/>
  <c r="U295" i="20"/>
  <c r="S295" i="20"/>
  <c r="K295" i="20"/>
  <c r="AA294" i="20"/>
  <c r="W294" i="20"/>
  <c r="X294" i="20" s="1"/>
  <c r="V294" i="20"/>
  <c r="U294" i="20"/>
  <c r="S294" i="20"/>
  <c r="K294" i="20"/>
  <c r="AA293" i="20"/>
  <c r="W293" i="20"/>
  <c r="X293" i="20" s="1"/>
  <c r="V293" i="20"/>
  <c r="U293" i="20"/>
  <c r="S293" i="20"/>
  <c r="K293" i="20"/>
  <c r="L293" i="20" s="1"/>
  <c r="AA292" i="20"/>
  <c r="W292" i="20"/>
  <c r="X292" i="20" s="1"/>
  <c r="V292" i="20"/>
  <c r="U292" i="20"/>
  <c r="S292" i="20"/>
  <c r="K292" i="20"/>
  <c r="AB291" i="20"/>
  <c r="AA291" i="20"/>
  <c r="V291" i="20"/>
  <c r="W291" i="20" s="1"/>
  <c r="X291" i="20" s="1"/>
  <c r="U291" i="20"/>
  <c r="S291" i="20"/>
  <c r="Q291" i="20"/>
  <c r="N291" i="20"/>
  <c r="O291" i="20" s="1"/>
  <c r="M291" i="20"/>
  <c r="AC291" i="20" s="1"/>
  <c r="L291" i="20"/>
  <c r="K291" i="20"/>
  <c r="AA290" i="20"/>
  <c r="AB290" i="20" s="1"/>
  <c r="V290" i="20"/>
  <c r="W290" i="20" s="1"/>
  <c r="X290" i="20" s="1"/>
  <c r="Y290" i="20" s="1"/>
  <c r="U290" i="20"/>
  <c r="S290" i="20"/>
  <c r="L290" i="20"/>
  <c r="K290" i="20"/>
  <c r="M290" i="20" s="1"/>
  <c r="AA289" i="20"/>
  <c r="Z289" i="20"/>
  <c r="J289" i="20" s="1"/>
  <c r="Y289" i="20"/>
  <c r="V289" i="20"/>
  <c r="W289" i="20" s="1"/>
  <c r="X289" i="20" s="1"/>
  <c r="U289" i="20"/>
  <c r="S289" i="20"/>
  <c r="N289" i="20"/>
  <c r="O289" i="20" s="1"/>
  <c r="M289" i="20"/>
  <c r="Q289" i="20" s="1"/>
  <c r="L289" i="20"/>
  <c r="K289" i="20"/>
  <c r="AA288" i="20"/>
  <c r="V288" i="20"/>
  <c r="W288" i="20" s="1"/>
  <c r="X288" i="20" s="1"/>
  <c r="U288" i="20"/>
  <c r="S288" i="20"/>
  <c r="Q288" i="20"/>
  <c r="L288" i="20"/>
  <c r="K288" i="20"/>
  <c r="M288" i="20" s="1"/>
  <c r="AC288" i="20" s="1"/>
  <c r="AC287" i="20"/>
  <c r="AB287" i="20"/>
  <c r="AA287" i="20"/>
  <c r="X287" i="20"/>
  <c r="Z287" i="20" s="1"/>
  <c r="J287" i="20" s="1"/>
  <c r="P287" i="20" s="1"/>
  <c r="W287" i="20"/>
  <c r="V287" i="20"/>
  <c r="U287" i="20"/>
  <c r="S287" i="20"/>
  <c r="Q287" i="20"/>
  <c r="O287" i="20"/>
  <c r="M287" i="20"/>
  <c r="K287" i="20"/>
  <c r="L287" i="20" s="1"/>
  <c r="N287" i="20" s="1"/>
  <c r="AA286" i="20"/>
  <c r="X286" i="20"/>
  <c r="W286" i="20"/>
  <c r="V286" i="20"/>
  <c r="U286" i="20"/>
  <c r="S286" i="20"/>
  <c r="K286" i="20"/>
  <c r="M286" i="20" s="1"/>
  <c r="AC286" i="20" s="1"/>
  <c r="AA285" i="20"/>
  <c r="Z285" i="20"/>
  <c r="J285" i="20" s="1"/>
  <c r="Y285" i="20"/>
  <c r="X285" i="20"/>
  <c r="W285" i="20"/>
  <c r="V285" i="20"/>
  <c r="U285" i="20"/>
  <c r="S285" i="20"/>
  <c r="K285" i="20"/>
  <c r="AA284" i="20"/>
  <c r="Y284" i="20"/>
  <c r="V284" i="20"/>
  <c r="W284" i="20" s="1"/>
  <c r="X284" i="20" s="1"/>
  <c r="Z284" i="20" s="1"/>
  <c r="U284" i="20"/>
  <c r="S284" i="20"/>
  <c r="M284" i="20"/>
  <c r="L284" i="20"/>
  <c r="K284" i="20"/>
  <c r="J284" i="20"/>
  <c r="AA283" i="20"/>
  <c r="V283" i="20"/>
  <c r="W283" i="20" s="1"/>
  <c r="X283" i="20" s="1"/>
  <c r="U283" i="20"/>
  <c r="S283" i="20"/>
  <c r="K283" i="20"/>
  <c r="AB282" i="20"/>
  <c r="AA282" i="20"/>
  <c r="V282" i="20"/>
  <c r="W282" i="20" s="1"/>
  <c r="X282" i="20" s="1"/>
  <c r="U282" i="20"/>
  <c r="S282" i="20"/>
  <c r="M282" i="20"/>
  <c r="L282" i="20"/>
  <c r="K282" i="20"/>
  <c r="AC281" i="20"/>
  <c r="AB281" i="20"/>
  <c r="AA281" i="20"/>
  <c r="W281" i="20"/>
  <c r="X281" i="20" s="1"/>
  <c r="V281" i="20"/>
  <c r="U281" i="20"/>
  <c r="S281" i="20"/>
  <c r="N281" i="20"/>
  <c r="O281" i="20" s="1"/>
  <c r="M281" i="20"/>
  <c r="Q281" i="20" s="1"/>
  <c r="L281" i="20"/>
  <c r="K281" i="20"/>
  <c r="AA280" i="20"/>
  <c r="W280" i="20"/>
  <c r="X280" i="20" s="1"/>
  <c r="V280" i="20"/>
  <c r="U280" i="20"/>
  <c r="S280" i="20"/>
  <c r="M280" i="20"/>
  <c r="L280" i="20"/>
  <c r="K280" i="20"/>
  <c r="AA279" i="20"/>
  <c r="X279" i="20"/>
  <c r="W279" i="20"/>
  <c r="V279" i="20"/>
  <c r="U279" i="20"/>
  <c r="S279" i="20"/>
  <c r="K279" i="20"/>
  <c r="AC278" i="20"/>
  <c r="AB278" i="20"/>
  <c r="AA278" i="20"/>
  <c r="Z278" i="20"/>
  <c r="J278" i="20" s="1"/>
  <c r="V278" i="20"/>
  <c r="W278" i="20" s="1"/>
  <c r="X278" i="20" s="1"/>
  <c r="Y278" i="20" s="1"/>
  <c r="U278" i="20"/>
  <c r="S278" i="20"/>
  <c r="P278" i="20"/>
  <c r="O278" i="20"/>
  <c r="N278" i="20"/>
  <c r="L278" i="20"/>
  <c r="K278" i="20"/>
  <c r="M278" i="20" s="1"/>
  <c r="Q278" i="20" s="1"/>
  <c r="AA277" i="20"/>
  <c r="X277" i="20"/>
  <c r="W277" i="20"/>
  <c r="V277" i="20"/>
  <c r="U277" i="20"/>
  <c r="S277" i="20"/>
  <c r="M277" i="20"/>
  <c r="AC277" i="20" s="1"/>
  <c r="L277" i="20"/>
  <c r="K277" i="20"/>
  <c r="AA276" i="20"/>
  <c r="X276" i="20"/>
  <c r="Y276" i="20" s="1"/>
  <c r="W276" i="20"/>
  <c r="V276" i="20"/>
  <c r="U276" i="20"/>
  <c r="S276" i="20"/>
  <c r="K276" i="20"/>
  <c r="AB275" i="20"/>
  <c r="AA275" i="20"/>
  <c r="X275" i="20"/>
  <c r="W275" i="20"/>
  <c r="V275" i="20"/>
  <c r="U275" i="20"/>
  <c r="S275" i="20"/>
  <c r="M275" i="20"/>
  <c r="L275" i="20"/>
  <c r="K275" i="20"/>
  <c r="AA274" i="20"/>
  <c r="W274" i="20"/>
  <c r="X274" i="20" s="1"/>
  <c r="Y274" i="20" s="1"/>
  <c r="V274" i="20"/>
  <c r="U274" i="20"/>
  <c r="S274" i="20"/>
  <c r="K274" i="20"/>
  <c r="AA273" i="20"/>
  <c r="Z273" i="20"/>
  <c r="Y273" i="20"/>
  <c r="V273" i="20"/>
  <c r="W273" i="20" s="1"/>
  <c r="X273" i="20" s="1"/>
  <c r="U273" i="20"/>
  <c r="S273" i="20"/>
  <c r="L273" i="20"/>
  <c r="K273" i="20"/>
  <c r="M273" i="20" s="1"/>
  <c r="J273" i="20"/>
  <c r="P273" i="20" s="1"/>
  <c r="AA272" i="20"/>
  <c r="Z272" i="20"/>
  <c r="J272" i="20" s="1"/>
  <c r="V272" i="20"/>
  <c r="W272" i="20" s="1"/>
  <c r="X272" i="20" s="1"/>
  <c r="Y272" i="20" s="1"/>
  <c r="U272" i="20"/>
  <c r="S272" i="20"/>
  <c r="M272" i="20"/>
  <c r="K272" i="20"/>
  <c r="L272" i="20" s="1"/>
  <c r="AA271" i="20"/>
  <c r="V271" i="20"/>
  <c r="W271" i="20" s="1"/>
  <c r="X271" i="20" s="1"/>
  <c r="U271" i="20"/>
  <c r="S271" i="20"/>
  <c r="K271" i="20"/>
  <c r="M271" i="20" s="1"/>
  <c r="AA270" i="20"/>
  <c r="V270" i="20"/>
  <c r="W270" i="20" s="1"/>
  <c r="X270" i="20" s="1"/>
  <c r="U270" i="20"/>
  <c r="S270" i="20"/>
  <c r="K270" i="20"/>
  <c r="AA269" i="20"/>
  <c r="Y269" i="20"/>
  <c r="X269" i="20"/>
  <c r="Z269" i="20" s="1"/>
  <c r="J269" i="20" s="1"/>
  <c r="P269" i="20" s="1"/>
  <c r="W269" i="20"/>
  <c r="V269" i="20"/>
  <c r="U269" i="20"/>
  <c r="S269" i="20"/>
  <c r="M269" i="20"/>
  <c r="L269" i="20"/>
  <c r="K269" i="20"/>
  <c r="AA268" i="20"/>
  <c r="Z268" i="20"/>
  <c r="Y268" i="20"/>
  <c r="X268" i="20"/>
  <c r="W268" i="20"/>
  <c r="V268" i="20"/>
  <c r="U268" i="20"/>
  <c r="S268" i="20"/>
  <c r="K268" i="20"/>
  <c r="M268" i="20" s="1"/>
  <c r="J268" i="20"/>
  <c r="AA267" i="20"/>
  <c r="V267" i="20"/>
  <c r="W267" i="20" s="1"/>
  <c r="X267" i="20" s="1"/>
  <c r="U267" i="20"/>
  <c r="S267" i="20"/>
  <c r="K267" i="20"/>
  <c r="AA266" i="20"/>
  <c r="X266" i="20"/>
  <c r="W266" i="20"/>
  <c r="V266" i="20"/>
  <c r="U266" i="20"/>
  <c r="S266" i="20"/>
  <c r="Q266" i="20"/>
  <c r="M266" i="20"/>
  <c r="AC266" i="20" s="1"/>
  <c r="L266" i="20"/>
  <c r="K266" i="20"/>
  <c r="AA265" i="20"/>
  <c r="Y265" i="20"/>
  <c r="X265" i="20"/>
  <c r="Z265" i="20" s="1"/>
  <c r="J265" i="20" s="1"/>
  <c r="V265" i="20"/>
  <c r="W265" i="20" s="1"/>
  <c r="U265" i="20"/>
  <c r="S265" i="20"/>
  <c r="K265" i="20"/>
  <c r="AA264" i="20"/>
  <c r="W264" i="20"/>
  <c r="X264" i="20" s="1"/>
  <c r="V264" i="20"/>
  <c r="U264" i="20"/>
  <c r="S264" i="20"/>
  <c r="M264" i="20"/>
  <c r="L264" i="20"/>
  <c r="K264" i="20"/>
  <c r="AC263" i="20"/>
  <c r="AB263" i="20"/>
  <c r="AA263" i="20"/>
  <c r="V263" i="20"/>
  <c r="W263" i="20" s="1"/>
  <c r="X263" i="20" s="1"/>
  <c r="U263" i="20"/>
  <c r="S263" i="20"/>
  <c r="M263" i="20"/>
  <c r="Q263" i="20" s="1"/>
  <c r="K263" i="20"/>
  <c r="L263" i="20" s="1"/>
  <c r="AC262" i="20"/>
  <c r="AA262" i="20"/>
  <c r="Z262" i="20"/>
  <c r="J262" i="20" s="1"/>
  <c r="Y262" i="20"/>
  <c r="X262" i="20"/>
  <c r="W262" i="20"/>
  <c r="V262" i="20"/>
  <c r="U262" i="20"/>
  <c r="S262" i="20"/>
  <c r="M262" i="20"/>
  <c r="Q262" i="20" s="1"/>
  <c r="K262" i="20"/>
  <c r="L262" i="20" s="1"/>
  <c r="AB262" i="20" s="1"/>
  <c r="AA261" i="20"/>
  <c r="Y261" i="20"/>
  <c r="V261" i="20"/>
  <c r="W261" i="20" s="1"/>
  <c r="X261" i="20" s="1"/>
  <c r="Z261" i="20" s="1"/>
  <c r="U261" i="20"/>
  <c r="S261" i="20"/>
  <c r="Q261" i="20"/>
  <c r="L261" i="20"/>
  <c r="AB261" i="20" s="1"/>
  <c r="K261" i="20"/>
  <c r="M261" i="20" s="1"/>
  <c r="AC261" i="20" s="1"/>
  <c r="AA260" i="20"/>
  <c r="V260" i="20"/>
  <c r="W260" i="20" s="1"/>
  <c r="X260" i="20" s="1"/>
  <c r="U260" i="20"/>
  <c r="S260" i="20"/>
  <c r="K260" i="20"/>
  <c r="AA259" i="20"/>
  <c r="X259" i="20"/>
  <c r="V259" i="20"/>
  <c r="W259" i="20" s="1"/>
  <c r="U259" i="20"/>
  <c r="S259" i="20"/>
  <c r="K259" i="20"/>
  <c r="M259" i="20" s="1"/>
  <c r="AC259" i="20" s="1"/>
  <c r="AA258" i="20"/>
  <c r="X258" i="20"/>
  <c r="W258" i="20"/>
  <c r="V258" i="20"/>
  <c r="U258" i="20"/>
  <c r="S258" i="20"/>
  <c r="K258" i="20"/>
  <c r="AA257" i="20"/>
  <c r="AB257" i="20" s="1"/>
  <c r="Z257" i="20"/>
  <c r="J257" i="20" s="1"/>
  <c r="P257" i="20" s="1"/>
  <c r="Y257" i="20"/>
  <c r="X257" i="20"/>
  <c r="W257" i="20"/>
  <c r="V257" i="20"/>
  <c r="U257" i="20"/>
  <c r="S257" i="20"/>
  <c r="L257" i="20"/>
  <c r="K257" i="20"/>
  <c r="M257" i="20" s="1"/>
  <c r="Q257" i="20" s="1"/>
  <c r="AA256" i="20"/>
  <c r="V256" i="20"/>
  <c r="W256" i="20" s="1"/>
  <c r="X256" i="20" s="1"/>
  <c r="U256" i="20"/>
  <c r="S256" i="20"/>
  <c r="M256" i="20"/>
  <c r="L256" i="20"/>
  <c r="K256" i="20"/>
  <c r="AC255" i="20"/>
  <c r="AA255" i="20"/>
  <c r="AB255" i="20" s="1"/>
  <c r="V255" i="20"/>
  <c r="W255" i="20" s="1"/>
  <c r="X255" i="20" s="1"/>
  <c r="U255" i="20"/>
  <c r="S255" i="20"/>
  <c r="Q255" i="20"/>
  <c r="M255" i="20"/>
  <c r="K255" i="20"/>
  <c r="L255" i="20" s="1"/>
  <c r="N255" i="20" s="1"/>
  <c r="O255" i="20" s="1"/>
  <c r="AA254" i="20"/>
  <c r="X254" i="20"/>
  <c r="Z254" i="20" s="1"/>
  <c r="W254" i="20"/>
  <c r="V254" i="20"/>
  <c r="U254" i="20"/>
  <c r="S254" i="20"/>
  <c r="K254" i="20"/>
  <c r="J254" i="20"/>
  <c r="AC253" i="20"/>
  <c r="AB253" i="20"/>
  <c r="AA253" i="20"/>
  <c r="V253" i="20"/>
  <c r="W253" i="20" s="1"/>
  <c r="X253" i="20" s="1"/>
  <c r="U253" i="20"/>
  <c r="S253" i="20"/>
  <c r="L253" i="20"/>
  <c r="N253" i="20" s="1"/>
  <c r="O253" i="20" s="1"/>
  <c r="K253" i="20"/>
  <c r="M253" i="20" s="1"/>
  <c r="Q253" i="20" s="1"/>
  <c r="AA252" i="20"/>
  <c r="V252" i="20"/>
  <c r="W252" i="20" s="1"/>
  <c r="X252" i="20" s="1"/>
  <c r="U252" i="20"/>
  <c r="S252" i="20"/>
  <c r="N252" i="20"/>
  <c r="O252" i="20" s="1"/>
  <c r="L252" i="20"/>
  <c r="K252" i="20"/>
  <c r="M252" i="20" s="1"/>
  <c r="AC252" i="20" s="1"/>
  <c r="AC251" i="20"/>
  <c r="AA251" i="20"/>
  <c r="AB251" i="20" s="1"/>
  <c r="Z251" i="20"/>
  <c r="J251" i="20" s="1"/>
  <c r="V251" i="20"/>
  <c r="W251" i="20" s="1"/>
  <c r="X251" i="20" s="1"/>
  <c r="Y251" i="20" s="1"/>
  <c r="U251" i="20"/>
  <c r="S251" i="20"/>
  <c r="M251" i="20"/>
  <c r="L251" i="20"/>
  <c r="K251" i="20"/>
  <c r="AA250" i="20"/>
  <c r="X250" i="20"/>
  <c r="V250" i="20"/>
  <c r="W250" i="20" s="1"/>
  <c r="U250" i="20"/>
  <c r="S250" i="20"/>
  <c r="M250" i="20"/>
  <c r="AC250" i="20" s="1"/>
  <c r="L250" i="20"/>
  <c r="K250" i="20"/>
  <c r="AA249" i="20"/>
  <c r="V249" i="20"/>
  <c r="W249" i="20" s="1"/>
  <c r="X249" i="20" s="1"/>
  <c r="U249" i="20"/>
  <c r="S249" i="20"/>
  <c r="K249" i="20"/>
  <c r="AA248" i="20"/>
  <c r="X248" i="20"/>
  <c r="V248" i="20"/>
  <c r="W248" i="20" s="1"/>
  <c r="U248" i="20"/>
  <c r="S248" i="20"/>
  <c r="O248" i="20"/>
  <c r="N248" i="20"/>
  <c r="M248" i="20"/>
  <c r="L248" i="20"/>
  <c r="K248" i="20"/>
  <c r="AA247" i="20"/>
  <c r="W247" i="20"/>
  <c r="X247" i="20" s="1"/>
  <c r="V247" i="20"/>
  <c r="U247" i="20"/>
  <c r="S247" i="20"/>
  <c r="K247" i="20"/>
  <c r="M247" i="20" s="1"/>
  <c r="AB246" i="20"/>
  <c r="AA246" i="20"/>
  <c r="V246" i="20"/>
  <c r="W246" i="20" s="1"/>
  <c r="X246" i="20" s="1"/>
  <c r="U246" i="20"/>
  <c r="S246" i="20"/>
  <c r="L246" i="20"/>
  <c r="K246" i="20"/>
  <c r="M246" i="20" s="1"/>
  <c r="AB245" i="20"/>
  <c r="AA245" i="20"/>
  <c r="X245" i="20"/>
  <c r="W245" i="20"/>
  <c r="V245" i="20"/>
  <c r="U245" i="20"/>
  <c r="S245" i="20"/>
  <c r="M245" i="20"/>
  <c r="L245" i="20"/>
  <c r="N245" i="20" s="1"/>
  <c r="O245" i="20" s="1"/>
  <c r="K245" i="20"/>
  <c r="AB244" i="20"/>
  <c r="AA244" i="20"/>
  <c r="V244" i="20"/>
  <c r="W244" i="20" s="1"/>
  <c r="X244" i="20" s="1"/>
  <c r="U244" i="20"/>
  <c r="S244" i="20"/>
  <c r="L244" i="20"/>
  <c r="K244" i="20"/>
  <c r="M244" i="20" s="1"/>
  <c r="AB243" i="20"/>
  <c r="AA243" i="20"/>
  <c r="V243" i="20"/>
  <c r="W243" i="20" s="1"/>
  <c r="X243" i="20" s="1"/>
  <c r="U243" i="20"/>
  <c r="S243" i="20"/>
  <c r="N243" i="20"/>
  <c r="O243" i="20" s="1"/>
  <c r="M243" i="20"/>
  <c r="L243" i="20"/>
  <c r="K243" i="20"/>
  <c r="AC242" i="20"/>
  <c r="AA242" i="20"/>
  <c r="Z242" i="20"/>
  <c r="Y242" i="20"/>
  <c r="X242" i="20"/>
  <c r="W242" i="20"/>
  <c r="V242" i="20"/>
  <c r="U242" i="20"/>
  <c r="S242" i="20"/>
  <c r="K242" i="20"/>
  <c r="M242" i="20" s="1"/>
  <c r="Q242" i="20" s="1"/>
  <c r="J242" i="20"/>
  <c r="AC241" i="20"/>
  <c r="AB241" i="20"/>
  <c r="AA241" i="20"/>
  <c r="Z241" i="20"/>
  <c r="J241" i="20" s="1"/>
  <c r="P241" i="20" s="1"/>
  <c r="Y241" i="20"/>
  <c r="X241" i="20"/>
  <c r="V241" i="20"/>
  <c r="W241" i="20" s="1"/>
  <c r="U241" i="20"/>
  <c r="S241" i="20"/>
  <c r="M241" i="20"/>
  <c r="Q241" i="20" s="1"/>
  <c r="L241" i="20"/>
  <c r="N241" i="20" s="1"/>
  <c r="O241" i="20" s="1"/>
  <c r="K241" i="20"/>
  <c r="AA240" i="20"/>
  <c r="V240" i="20"/>
  <c r="W240" i="20" s="1"/>
  <c r="X240" i="20" s="1"/>
  <c r="U240" i="20"/>
  <c r="S240" i="20"/>
  <c r="M240" i="20"/>
  <c r="Q240" i="20" s="1"/>
  <c r="K240" i="20"/>
  <c r="L240" i="20" s="1"/>
  <c r="AA239" i="20"/>
  <c r="V239" i="20"/>
  <c r="W239" i="20" s="1"/>
  <c r="X239" i="20" s="1"/>
  <c r="U239" i="20"/>
  <c r="S239" i="20"/>
  <c r="Q239" i="20"/>
  <c r="N239" i="20"/>
  <c r="O239" i="20" s="1"/>
  <c r="M239" i="20"/>
  <c r="AC239" i="20" s="1"/>
  <c r="L239" i="20"/>
  <c r="AB239" i="20" s="1"/>
  <c r="K239" i="20"/>
  <c r="AA238" i="20"/>
  <c r="Z238" i="20"/>
  <c r="V238" i="20"/>
  <c r="W238" i="20" s="1"/>
  <c r="X238" i="20" s="1"/>
  <c r="Y238" i="20" s="1"/>
  <c r="U238" i="20"/>
  <c r="S238" i="20"/>
  <c r="K238" i="20"/>
  <c r="M238" i="20" s="1"/>
  <c r="AA237" i="20"/>
  <c r="AB237" i="20" s="1"/>
  <c r="V237" i="20"/>
  <c r="W237" i="20" s="1"/>
  <c r="X237" i="20" s="1"/>
  <c r="Z237" i="20" s="1"/>
  <c r="U237" i="20"/>
  <c r="S237" i="20"/>
  <c r="L237" i="20"/>
  <c r="K237" i="20"/>
  <c r="M237" i="20" s="1"/>
  <c r="AC236" i="20"/>
  <c r="AA236" i="20"/>
  <c r="W236" i="20"/>
  <c r="X236" i="20" s="1"/>
  <c r="V236" i="20"/>
  <c r="U236" i="20"/>
  <c r="S236" i="20"/>
  <c r="M236" i="20"/>
  <c r="Q236" i="20" s="1"/>
  <c r="L236" i="20"/>
  <c r="K236" i="20"/>
  <c r="AA235" i="20"/>
  <c r="W235" i="20"/>
  <c r="X235" i="20" s="1"/>
  <c r="V235" i="20"/>
  <c r="U235" i="20"/>
  <c r="S235" i="20"/>
  <c r="K235" i="20"/>
  <c r="AA234" i="20"/>
  <c r="V234" i="20"/>
  <c r="W234" i="20" s="1"/>
  <c r="X234" i="20" s="1"/>
  <c r="U234" i="20"/>
  <c r="S234" i="20"/>
  <c r="M234" i="20"/>
  <c r="K234" i="20"/>
  <c r="L234" i="20" s="1"/>
  <c r="AC233" i="20"/>
  <c r="AB233" i="20"/>
  <c r="AA233" i="20"/>
  <c r="V233" i="20"/>
  <c r="W233" i="20" s="1"/>
  <c r="X233" i="20" s="1"/>
  <c r="U233" i="20"/>
  <c r="S233" i="20"/>
  <c r="Q233" i="20"/>
  <c r="L233" i="20"/>
  <c r="N233" i="20" s="1"/>
  <c r="O233" i="20" s="1"/>
  <c r="K233" i="20"/>
  <c r="M233" i="20" s="1"/>
  <c r="AC232" i="20"/>
  <c r="AA232" i="20"/>
  <c r="Z232" i="20"/>
  <c r="J232" i="20" s="1"/>
  <c r="Y232" i="20"/>
  <c r="W232" i="20"/>
  <c r="X232" i="20" s="1"/>
  <c r="V232" i="20"/>
  <c r="U232" i="20"/>
  <c r="S232" i="20"/>
  <c r="M232" i="20"/>
  <c r="Q232" i="20" s="1"/>
  <c r="L232" i="20"/>
  <c r="K232" i="20"/>
  <c r="AA231" i="20"/>
  <c r="Z231" i="20"/>
  <c r="J231" i="20" s="1"/>
  <c r="V231" i="20"/>
  <c r="W231" i="20" s="1"/>
  <c r="X231" i="20" s="1"/>
  <c r="Y231" i="20" s="1"/>
  <c r="U231" i="20"/>
  <c r="S231" i="20"/>
  <c r="M231" i="20"/>
  <c r="L231" i="20"/>
  <c r="K231" i="20"/>
  <c r="AA230" i="20"/>
  <c r="V230" i="20"/>
  <c r="W230" i="20" s="1"/>
  <c r="X230" i="20" s="1"/>
  <c r="U230" i="20"/>
  <c r="S230" i="20"/>
  <c r="K230" i="20"/>
  <c r="AA229" i="20"/>
  <c r="V229" i="20"/>
  <c r="W229" i="20" s="1"/>
  <c r="X229" i="20" s="1"/>
  <c r="U229" i="20"/>
  <c r="S229" i="20"/>
  <c r="Q229" i="20"/>
  <c r="N229" i="20"/>
  <c r="O229" i="20" s="1"/>
  <c r="M229" i="20"/>
  <c r="AC229" i="20" s="1"/>
  <c r="L229" i="20"/>
  <c r="AB229" i="20" s="1"/>
  <c r="K229" i="20"/>
  <c r="AA228" i="20"/>
  <c r="Z228" i="20"/>
  <c r="J228" i="20" s="1"/>
  <c r="Y228" i="20"/>
  <c r="X228" i="20"/>
  <c r="W228" i="20"/>
  <c r="V228" i="20"/>
  <c r="U228" i="20"/>
  <c r="S228" i="20"/>
  <c r="K228" i="20"/>
  <c r="AA227" i="20"/>
  <c r="Y227" i="20"/>
  <c r="V227" i="20"/>
  <c r="W227" i="20" s="1"/>
  <c r="X227" i="20" s="1"/>
  <c r="Z227" i="20" s="1"/>
  <c r="U227" i="20"/>
  <c r="S227" i="20"/>
  <c r="M227" i="20"/>
  <c r="K227" i="20"/>
  <c r="L227" i="20" s="1"/>
  <c r="AB227" i="20" s="1"/>
  <c r="AC226" i="20"/>
  <c r="AA226" i="20"/>
  <c r="AB226" i="20" s="1"/>
  <c r="W226" i="20"/>
  <c r="X226" i="20" s="1"/>
  <c r="V226" i="20"/>
  <c r="U226" i="20"/>
  <c r="S226" i="20"/>
  <c r="O226" i="20"/>
  <c r="N226" i="20"/>
  <c r="M226" i="20"/>
  <c r="Q226" i="20" s="1"/>
  <c r="L226" i="20"/>
  <c r="K226" i="20"/>
  <c r="AA225" i="20"/>
  <c r="V225" i="20"/>
  <c r="W225" i="20" s="1"/>
  <c r="X225" i="20" s="1"/>
  <c r="U225" i="20"/>
  <c r="S225" i="20"/>
  <c r="M225" i="20"/>
  <c r="L225" i="20"/>
  <c r="AB225" i="20" s="1"/>
  <c r="K225" i="20"/>
  <c r="AA224" i="20"/>
  <c r="X224" i="20"/>
  <c r="W224" i="20"/>
  <c r="V224" i="20"/>
  <c r="U224" i="20"/>
  <c r="S224" i="20"/>
  <c r="Q224" i="20"/>
  <c r="M224" i="20"/>
  <c r="L224" i="20"/>
  <c r="AB224" i="20" s="1"/>
  <c r="K224" i="20"/>
  <c r="AC223" i="20"/>
  <c r="AA223" i="20"/>
  <c r="AB223" i="20" s="1"/>
  <c r="Z223" i="20"/>
  <c r="J223" i="20" s="1"/>
  <c r="P223" i="20" s="1"/>
  <c r="W223" i="20"/>
  <c r="X223" i="20" s="1"/>
  <c r="Y223" i="20" s="1"/>
  <c r="V223" i="20"/>
  <c r="U223" i="20"/>
  <c r="S223" i="20"/>
  <c r="Q223" i="20"/>
  <c r="M223" i="20"/>
  <c r="K223" i="20"/>
  <c r="L223" i="20" s="1"/>
  <c r="N223" i="20" s="1"/>
  <c r="O223" i="20" s="1"/>
  <c r="AC222" i="20"/>
  <c r="AA222" i="20"/>
  <c r="W222" i="20"/>
  <c r="X222" i="20" s="1"/>
  <c r="Z222" i="20" s="1"/>
  <c r="J222" i="20" s="1"/>
  <c r="V222" i="20"/>
  <c r="U222" i="20"/>
  <c r="S222" i="20"/>
  <c r="Q222" i="20"/>
  <c r="K222" i="20"/>
  <c r="M222" i="20" s="1"/>
  <c r="AA221" i="20"/>
  <c r="W221" i="20"/>
  <c r="X221" i="20" s="1"/>
  <c r="V221" i="20"/>
  <c r="U221" i="20"/>
  <c r="S221" i="20"/>
  <c r="N221" i="20"/>
  <c r="O221" i="20" s="1"/>
  <c r="M221" i="20"/>
  <c r="L221" i="20"/>
  <c r="K221" i="20"/>
  <c r="AC220" i="20"/>
  <c r="AA220" i="20"/>
  <c r="W220" i="20"/>
  <c r="X220" i="20" s="1"/>
  <c r="V220" i="20"/>
  <c r="U220" i="20"/>
  <c r="S220" i="20"/>
  <c r="Q220" i="20"/>
  <c r="M220" i="20"/>
  <c r="K220" i="20"/>
  <c r="L220" i="20" s="1"/>
  <c r="N220" i="20" s="1"/>
  <c r="O220" i="20" s="1"/>
  <c r="AA219" i="20"/>
  <c r="W219" i="20"/>
  <c r="X219" i="20" s="1"/>
  <c r="Y219" i="20" s="1"/>
  <c r="V219" i="20"/>
  <c r="U219" i="20"/>
  <c r="S219" i="20"/>
  <c r="M219" i="20"/>
  <c r="Q219" i="20" s="1"/>
  <c r="K219" i="20"/>
  <c r="L219" i="20" s="1"/>
  <c r="AC218" i="20"/>
  <c r="AB218" i="20"/>
  <c r="AA218" i="20"/>
  <c r="W218" i="20"/>
  <c r="X218" i="20" s="1"/>
  <c r="V218" i="20"/>
  <c r="U218" i="20"/>
  <c r="S218" i="20"/>
  <c r="Q218" i="20"/>
  <c r="N218" i="20"/>
  <c r="O218" i="20" s="1"/>
  <c r="M218" i="20"/>
  <c r="L218" i="20"/>
  <c r="K218" i="20"/>
  <c r="AA217" i="20"/>
  <c r="V217" i="20"/>
  <c r="W217" i="20" s="1"/>
  <c r="X217" i="20" s="1"/>
  <c r="U217" i="20"/>
  <c r="S217" i="20"/>
  <c r="M217" i="20"/>
  <c r="K217" i="20"/>
  <c r="L217" i="20" s="1"/>
  <c r="AC216" i="20"/>
  <c r="AA216" i="20"/>
  <c r="AB216" i="20" s="1"/>
  <c r="W216" i="20"/>
  <c r="X216" i="20" s="1"/>
  <c r="V216" i="20"/>
  <c r="U216" i="20"/>
  <c r="S216" i="20"/>
  <c r="L216" i="20"/>
  <c r="K216" i="20"/>
  <c r="M216" i="20" s="1"/>
  <c r="Q216" i="20" s="1"/>
  <c r="AA215" i="20"/>
  <c r="V215" i="20"/>
  <c r="W215" i="20" s="1"/>
  <c r="X215" i="20" s="1"/>
  <c r="U215" i="20"/>
  <c r="S215" i="20"/>
  <c r="M215" i="20"/>
  <c r="AC215" i="20" s="1"/>
  <c r="L215" i="20"/>
  <c r="AB215" i="20" s="1"/>
  <c r="K215" i="20"/>
  <c r="AC214" i="20"/>
  <c r="AB214" i="20"/>
  <c r="AA214" i="20"/>
  <c r="V214" i="20"/>
  <c r="W214" i="20" s="1"/>
  <c r="X214" i="20" s="1"/>
  <c r="U214" i="20"/>
  <c r="S214" i="20"/>
  <c r="L214" i="20"/>
  <c r="K214" i="20"/>
  <c r="M214" i="20" s="1"/>
  <c r="Q214" i="20" s="1"/>
  <c r="AA213" i="20"/>
  <c r="W213" i="20"/>
  <c r="X213" i="20" s="1"/>
  <c r="V213" i="20"/>
  <c r="U213" i="20"/>
  <c r="S213" i="20"/>
  <c r="Q213" i="20"/>
  <c r="M213" i="20"/>
  <c r="AC213" i="20" s="1"/>
  <c r="L213" i="20"/>
  <c r="AB213" i="20" s="1"/>
  <c r="K213" i="20"/>
  <c r="AA212" i="20"/>
  <c r="W212" i="20"/>
  <c r="X212" i="20" s="1"/>
  <c r="V212" i="20"/>
  <c r="U212" i="20"/>
  <c r="S212" i="20"/>
  <c r="L212" i="20"/>
  <c r="K212" i="20"/>
  <c r="M212" i="20" s="1"/>
  <c r="AA211" i="20"/>
  <c r="X211" i="20"/>
  <c r="V211" i="20"/>
  <c r="W211" i="20" s="1"/>
  <c r="U211" i="20"/>
  <c r="S211" i="20"/>
  <c r="N211" i="20"/>
  <c r="O211" i="20" s="1"/>
  <c r="M211" i="20"/>
  <c r="K211" i="20"/>
  <c r="L211" i="20" s="1"/>
  <c r="AA210" i="20"/>
  <c r="W210" i="20"/>
  <c r="X210" i="20" s="1"/>
  <c r="V210" i="20"/>
  <c r="U210" i="20"/>
  <c r="S210" i="20"/>
  <c r="K210" i="20"/>
  <c r="L210" i="20" s="1"/>
  <c r="AA209" i="20"/>
  <c r="X209" i="20"/>
  <c r="V209" i="20"/>
  <c r="W209" i="20" s="1"/>
  <c r="U209" i="20"/>
  <c r="S209" i="20"/>
  <c r="Q209" i="20"/>
  <c r="M209" i="20"/>
  <c r="AC209" i="20" s="1"/>
  <c r="L209" i="20"/>
  <c r="AB209" i="20" s="1"/>
  <c r="K209" i="20"/>
  <c r="AA208" i="20"/>
  <c r="Z208" i="20"/>
  <c r="V208" i="20"/>
  <c r="W208" i="20" s="1"/>
  <c r="X208" i="20" s="1"/>
  <c r="Y208" i="20" s="1"/>
  <c r="U208" i="20"/>
  <c r="S208" i="20"/>
  <c r="N208" i="20"/>
  <c r="O208" i="20" s="1"/>
  <c r="M208" i="20"/>
  <c r="L208" i="20"/>
  <c r="AB208" i="20" s="1"/>
  <c r="K208" i="20"/>
  <c r="AA207" i="20"/>
  <c r="W207" i="20"/>
  <c r="X207" i="20" s="1"/>
  <c r="V207" i="20"/>
  <c r="U207" i="20"/>
  <c r="S207" i="20"/>
  <c r="L207" i="20"/>
  <c r="K207" i="20"/>
  <c r="M207" i="20" s="1"/>
  <c r="AA206" i="20"/>
  <c r="V206" i="20"/>
  <c r="W206" i="20" s="1"/>
  <c r="X206" i="20" s="1"/>
  <c r="U206" i="20"/>
  <c r="S206" i="20"/>
  <c r="K206" i="20"/>
  <c r="M206" i="20" s="1"/>
  <c r="AA205" i="20"/>
  <c r="X205" i="20"/>
  <c r="V205" i="20"/>
  <c r="W205" i="20" s="1"/>
  <c r="U205" i="20"/>
  <c r="S205" i="20"/>
  <c r="N205" i="20"/>
  <c r="O205" i="20" s="1"/>
  <c r="M205" i="20"/>
  <c r="L205" i="20"/>
  <c r="K205" i="20"/>
  <c r="AC204" i="20"/>
  <c r="AA204" i="20"/>
  <c r="AB204" i="20" s="1"/>
  <c r="Z204" i="20"/>
  <c r="J204" i="20" s="1"/>
  <c r="P204" i="20" s="1"/>
  <c r="W204" i="20"/>
  <c r="X204" i="20" s="1"/>
  <c r="Y204" i="20" s="1"/>
  <c r="V204" i="20"/>
  <c r="U204" i="20"/>
  <c r="S204" i="20"/>
  <c r="M204" i="20"/>
  <c r="Q204" i="20" s="1"/>
  <c r="L204" i="20"/>
  <c r="K204" i="20"/>
  <c r="AA203" i="20"/>
  <c r="W203" i="20"/>
  <c r="X203" i="20" s="1"/>
  <c r="V203" i="20"/>
  <c r="U203" i="20"/>
  <c r="S203" i="20"/>
  <c r="M203" i="20"/>
  <c r="L203" i="20"/>
  <c r="K203" i="20"/>
  <c r="AC202" i="20"/>
  <c r="AA202" i="20"/>
  <c r="X202" i="20"/>
  <c r="W202" i="20"/>
  <c r="V202" i="20"/>
  <c r="U202" i="20"/>
  <c r="S202" i="20"/>
  <c r="Q202" i="20"/>
  <c r="N202" i="20"/>
  <c r="O202" i="20" s="1"/>
  <c r="M202" i="20"/>
  <c r="L202" i="20"/>
  <c r="AB202" i="20" s="1"/>
  <c r="K202" i="20"/>
  <c r="AA201" i="20"/>
  <c r="X201" i="20"/>
  <c r="V201" i="20"/>
  <c r="W201" i="20" s="1"/>
  <c r="U201" i="20"/>
  <c r="S201" i="20"/>
  <c r="K201" i="20"/>
  <c r="M201" i="20" s="1"/>
  <c r="AC201" i="20" s="1"/>
  <c r="AC200" i="20"/>
  <c r="AA200" i="20"/>
  <c r="AB200" i="20" s="1"/>
  <c r="V200" i="20"/>
  <c r="W200" i="20" s="1"/>
  <c r="X200" i="20" s="1"/>
  <c r="U200" i="20"/>
  <c r="S200" i="20"/>
  <c r="Q200" i="20"/>
  <c r="L200" i="20"/>
  <c r="K200" i="20"/>
  <c r="M200" i="20" s="1"/>
  <c r="AA199" i="20"/>
  <c r="V199" i="20"/>
  <c r="W199" i="20" s="1"/>
  <c r="X199" i="20" s="1"/>
  <c r="U199" i="20"/>
  <c r="S199" i="20"/>
  <c r="Q199" i="20"/>
  <c r="K199" i="20"/>
  <c r="M199" i="20" s="1"/>
  <c r="AC199" i="20" s="1"/>
  <c r="AA198" i="20"/>
  <c r="AB198" i="20" s="1"/>
  <c r="W198" i="20"/>
  <c r="X198" i="20" s="1"/>
  <c r="Z198" i="20" s="1"/>
  <c r="J198" i="20" s="1"/>
  <c r="V198" i="20"/>
  <c r="U198" i="20"/>
  <c r="S198" i="20"/>
  <c r="M198" i="20"/>
  <c r="K198" i="20"/>
  <c r="L198" i="20" s="1"/>
  <c r="AA197" i="20"/>
  <c r="X197" i="20"/>
  <c r="V197" i="20"/>
  <c r="W197" i="20" s="1"/>
  <c r="U197" i="20"/>
  <c r="S197" i="20"/>
  <c r="Q197" i="20"/>
  <c r="M197" i="20"/>
  <c r="AC197" i="20" s="1"/>
  <c r="L197" i="20"/>
  <c r="K197" i="20"/>
  <c r="AA196" i="20"/>
  <c r="W196" i="20"/>
  <c r="X196" i="20" s="1"/>
  <c r="V196" i="20"/>
  <c r="U196" i="20"/>
  <c r="S196" i="20"/>
  <c r="K196" i="20"/>
  <c r="AA195" i="20"/>
  <c r="V195" i="20"/>
  <c r="W195" i="20" s="1"/>
  <c r="X195" i="20" s="1"/>
  <c r="U195" i="20"/>
  <c r="S195" i="20"/>
  <c r="K195" i="20"/>
  <c r="AA194" i="20"/>
  <c r="W194" i="20"/>
  <c r="X194" i="20" s="1"/>
  <c r="V194" i="20"/>
  <c r="U194" i="20"/>
  <c r="S194" i="20"/>
  <c r="Q194" i="20"/>
  <c r="N194" i="20"/>
  <c r="O194" i="20" s="1"/>
  <c r="M194" i="20"/>
  <c r="AC194" i="20" s="1"/>
  <c r="L194" i="20"/>
  <c r="AB194" i="20" s="1"/>
  <c r="K194" i="20"/>
  <c r="AA193" i="20"/>
  <c r="AB193" i="20" s="1"/>
  <c r="Y193" i="20"/>
  <c r="V193" i="20"/>
  <c r="W193" i="20" s="1"/>
  <c r="X193" i="20" s="1"/>
  <c r="Z193" i="20" s="1"/>
  <c r="U193" i="20"/>
  <c r="J193" i="20" s="1"/>
  <c r="P193" i="20" s="1"/>
  <c r="S193" i="20"/>
  <c r="L193" i="20"/>
  <c r="K193" i="20"/>
  <c r="M193" i="20" s="1"/>
  <c r="AB192" i="20"/>
  <c r="AA192" i="20"/>
  <c r="W192" i="20"/>
  <c r="X192" i="20" s="1"/>
  <c r="V192" i="20"/>
  <c r="U192" i="20"/>
  <c r="S192" i="20"/>
  <c r="P192" i="20"/>
  <c r="M192" i="20"/>
  <c r="L192" i="20"/>
  <c r="K192" i="20"/>
  <c r="AA191" i="20"/>
  <c r="W191" i="20"/>
  <c r="X191" i="20" s="1"/>
  <c r="V191" i="20"/>
  <c r="U191" i="20"/>
  <c r="S191" i="20"/>
  <c r="N191" i="20"/>
  <c r="O191" i="20" s="1"/>
  <c r="M191" i="20"/>
  <c r="K191" i="20"/>
  <c r="L191" i="20" s="1"/>
  <c r="AC190" i="20"/>
  <c r="AB190" i="20"/>
  <c r="AA190" i="20"/>
  <c r="Z190" i="20"/>
  <c r="J190" i="20" s="1"/>
  <c r="P190" i="20" s="1"/>
  <c r="X190" i="20"/>
  <c r="Y190" i="20" s="1"/>
  <c r="W190" i="20"/>
  <c r="V190" i="20"/>
  <c r="U190" i="20"/>
  <c r="S190" i="20"/>
  <c r="N190" i="20"/>
  <c r="O190" i="20" s="1"/>
  <c r="M190" i="20"/>
  <c r="Q190" i="20" s="1"/>
  <c r="L190" i="20"/>
  <c r="K190" i="20"/>
  <c r="AA189" i="20"/>
  <c r="Z189" i="20"/>
  <c r="V189" i="20"/>
  <c r="W189" i="20" s="1"/>
  <c r="X189" i="20" s="1"/>
  <c r="Y189" i="20" s="1"/>
  <c r="U189" i="20"/>
  <c r="S189" i="20"/>
  <c r="K189" i="20"/>
  <c r="J189" i="20"/>
  <c r="AA188" i="20"/>
  <c r="V188" i="20"/>
  <c r="W188" i="20" s="1"/>
  <c r="X188" i="20" s="1"/>
  <c r="Y188" i="20" s="1"/>
  <c r="U188" i="20"/>
  <c r="S188" i="20"/>
  <c r="K188" i="20"/>
  <c r="M188" i="20" s="1"/>
  <c r="AA187" i="20"/>
  <c r="V187" i="20"/>
  <c r="W187" i="20" s="1"/>
  <c r="X187" i="20" s="1"/>
  <c r="U187" i="20"/>
  <c r="S187" i="20"/>
  <c r="K187" i="20"/>
  <c r="M187" i="20" s="1"/>
  <c r="AC186" i="20"/>
  <c r="AB186" i="20"/>
  <c r="AA186" i="20"/>
  <c r="V186" i="20"/>
  <c r="W186" i="20" s="1"/>
  <c r="X186" i="20" s="1"/>
  <c r="U186" i="20"/>
  <c r="S186" i="20"/>
  <c r="Q186" i="20"/>
  <c r="P186" i="20"/>
  <c r="O186" i="20"/>
  <c r="M186" i="20"/>
  <c r="L186" i="20"/>
  <c r="N186" i="20" s="1"/>
  <c r="K186" i="20"/>
  <c r="AA185" i="20"/>
  <c r="V185" i="20"/>
  <c r="W185" i="20" s="1"/>
  <c r="X185" i="20" s="1"/>
  <c r="U185" i="20"/>
  <c r="S185" i="20"/>
  <c r="K185" i="20"/>
  <c r="AA184" i="20"/>
  <c r="W184" i="20"/>
  <c r="X184" i="20" s="1"/>
  <c r="V184" i="20"/>
  <c r="U184" i="20"/>
  <c r="S184" i="20"/>
  <c r="K184" i="20"/>
  <c r="AA183" i="20"/>
  <c r="V183" i="20"/>
  <c r="W183" i="20" s="1"/>
  <c r="X183" i="20" s="1"/>
  <c r="U183" i="20"/>
  <c r="S183" i="20"/>
  <c r="K183" i="20"/>
  <c r="AA182" i="20"/>
  <c r="Z182" i="20"/>
  <c r="Y182" i="20"/>
  <c r="V182" i="20"/>
  <c r="W182" i="20" s="1"/>
  <c r="X182" i="20" s="1"/>
  <c r="U182" i="20"/>
  <c r="S182" i="20"/>
  <c r="K182" i="20"/>
  <c r="J182" i="20"/>
  <c r="AA181" i="20"/>
  <c r="V181" i="20"/>
  <c r="W181" i="20" s="1"/>
  <c r="X181" i="20" s="1"/>
  <c r="U181" i="20"/>
  <c r="S181" i="20"/>
  <c r="M181" i="20"/>
  <c r="AC181" i="20" s="1"/>
  <c r="L181" i="20"/>
  <c r="AB181" i="20" s="1"/>
  <c r="K181" i="20"/>
  <c r="AA180" i="20"/>
  <c r="W180" i="20"/>
  <c r="X180" i="20" s="1"/>
  <c r="V180" i="20"/>
  <c r="U180" i="20"/>
  <c r="S180" i="20"/>
  <c r="M180" i="20"/>
  <c r="K180" i="20"/>
  <c r="L180" i="20" s="1"/>
  <c r="AA179" i="20"/>
  <c r="V179" i="20"/>
  <c r="W179" i="20" s="1"/>
  <c r="X179" i="20" s="1"/>
  <c r="U179" i="20"/>
  <c r="S179" i="20"/>
  <c r="M179" i="20"/>
  <c r="K179" i="20"/>
  <c r="L179" i="20" s="1"/>
  <c r="AA178" i="20"/>
  <c r="X178" i="20"/>
  <c r="Z178" i="20" s="1"/>
  <c r="W178" i="20"/>
  <c r="V178" i="20"/>
  <c r="U178" i="20"/>
  <c r="S178" i="20"/>
  <c r="M178" i="20"/>
  <c r="K178" i="20"/>
  <c r="L178" i="20" s="1"/>
  <c r="J178" i="20"/>
  <c r="AC177" i="20"/>
  <c r="AB177" i="20"/>
  <c r="AA177" i="20"/>
  <c r="V177" i="20"/>
  <c r="W177" i="20" s="1"/>
  <c r="X177" i="20" s="1"/>
  <c r="U177" i="20"/>
  <c r="S177" i="20"/>
  <c r="Q177" i="20"/>
  <c r="P177" i="20"/>
  <c r="L177" i="20"/>
  <c r="N177" i="20" s="1"/>
  <c r="O177" i="20" s="1"/>
  <c r="K177" i="20"/>
  <c r="M177" i="20" s="1"/>
  <c r="AC176" i="20"/>
  <c r="AA176" i="20"/>
  <c r="W176" i="20"/>
  <c r="X176" i="20" s="1"/>
  <c r="V176" i="20"/>
  <c r="U176" i="20"/>
  <c r="S176" i="20"/>
  <c r="L176" i="20"/>
  <c r="K176" i="20"/>
  <c r="M176" i="20" s="1"/>
  <c r="Q176" i="20" s="1"/>
  <c r="AA175" i="20"/>
  <c r="W175" i="20"/>
  <c r="X175" i="20" s="1"/>
  <c r="V175" i="20"/>
  <c r="U175" i="20"/>
  <c r="S175" i="20"/>
  <c r="K175" i="20"/>
  <c r="L175" i="20" s="1"/>
  <c r="AB174" i="20"/>
  <c r="AA174" i="20"/>
  <c r="W174" i="20"/>
  <c r="X174" i="20" s="1"/>
  <c r="V174" i="20"/>
  <c r="U174" i="20"/>
  <c r="S174" i="20"/>
  <c r="P174" i="20"/>
  <c r="M174" i="20"/>
  <c r="L174" i="20"/>
  <c r="K174" i="20"/>
  <c r="AA173" i="20"/>
  <c r="W173" i="20"/>
  <c r="X173" i="20" s="1"/>
  <c r="V173" i="20"/>
  <c r="U173" i="20"/>
  <c r="S173" i="20"/>
  <c r="N173" i="20"/>
  <c r="O173" i="20" s="1"/>
  <c r="M173" i="20"/>
  <c r="K173" i="20"/>
  <c r="L173" i="20" s="1"/>
  <c r="AA172" i="20"/>
  <c r="AB172" i="20" s="1"/>
  <c r="W172" i="20"/>
  <c r="X172" i="20" s="1"/>
  <c r="V172" i="20"/>
  <c r="U172" i="20"/>
  <c r="S172" i="20"/>
  <c r="M172" i="20"/>
  <c r="K172" i="20"/>
  <c r="L172" i="20" s="1"/>
  <c r="AA171" i="20"/>
  <c r="V171" i="20"/>
  <c r="W171" i="20" s="1"/>
  <c r="X171" i="20" s="1"/>
  <c r="U171" i="20"/>
  <c r="S171" i="20"/>
  <c r="K171" i="20"/>
  <c r="AA170" i="20"/>
  <c r="Z170" i="20"/>
  <c r="J170" i="20" s="1"/>
  <c r="Y170" i="20"/>
  <c r="W170" i="20"/>
  <c r="X170" i="20" s="1"/>
  <c r="V170" i="20"/>
  <c r="U170" i="20"/>
  <c r="S170" i="20"/>
  <c r="L170" i="20"/>
  <c r="K170" i="20"/>
  <c r="M170" i="20" s="1"/>
  <c r="Q170" i="20" s="1"/>
  <c r="AB169" i="20"/>
  <c r="AA169" i="20"/>
  <c r="V169" i="20"/>
  <c r="W169" i="20" s="1"/>
  <c r="X169" i="20" s="1"/>
  <c r="U169" i="20"/>
  <c r="S169" i="20"/>
  <c r="P169" i="20"/>
  <c r="M169" i="20"/>
  <c r="L169" i="20"/>
  <c r="K169" i="20"/>
  <c r="AA168" i="20"/>
  <c r="V168" i="20"/>
  <c r="W168" i="20" s="1"/>
  <c r="X168" i="20" s="1"/>
  <c r="U168" i="20"/>
  <c r="S168" i="20"/>
  <c r="M168" i="20"/>
  <c r="L168" i="20"/>
  <c r="K168" i="20"/>
  <c r="AA167" i="20"/>
  <c r="V167" i="20"/>
  <c r="W167" i="20" s="1"/>
  <c r="X167" i="20" s="1"/>
  <c r="U167" i="20"/>
  <c r="S167" i="20"/>
  <c r="K167" i="20"/>
  <c r="M167" i="20" s="1"/>
  <c r="AA166" i="20"/>
  <c r="W166" i="20"/>
  <c r="X166" i="20" s="1"/>
  <c r="V166" i="20"/>
  <c r="U166" i="20"/>
  <c r="S166" i="20"/>
  <c r="M166" i="20"/>
  <c r="L166" i="20"/>
  <c r="K166" i="20"/>
  <c r="AB165" i="20"/>
  <c r="AA165" i="20"/>
  <c r="X165" i="20"/>
  <c r="V165" i="20"/>
  <c r="W165" i="20" s="1"/>
  <c r="U165" i="20"/>
  <c r="S165" i="20"/>
  <c r="L165" i="20"/>
  <c r="N165" i="20" s="1"/>
  <c r="O165" i="20" s="1"/>
  <c r="K165" i="20"/>
  <c r="M165" i="20" s="1"/>
  <c r="AC164" i="20"/>
  <c r="AB164" i="20"/>
  <c r="AA164" i="20"/>
  <c r="Z164" i="20"/>
  <c r="J164" i="20" s="1"/>
  <c r="Y164" i="20"/>
  <c r="X164" i="20"/>
  <c r="W164" i="20"/>
  <c r="V164" i="20"/>
  <c r="U164" i="20"/>
  <c r="S164" i="20"/>
  <c r="Q164" i="20"/>
  <c r="P164" i="20"/>
  <c r="N164" i="20"/>
  <c r="O164" i="20" s="1"/>
  <c r="L164" i="20"/>
  <c r="K164" i="20"/>
  <c r="M164" i="20" s="1"/>
  <c r="AA163" i="20"/>
  <c r="V163" i="20"/>
  <c r="W163" i="20" s="1"/>
  <c r="X163" i="20" s="1"/>
  <c r="U163" i="20"/>
  <c r="S163" i="20"/>
  <c r="M163" i="20"/>
  <c r="K163" i="20"/>
  <c r="L163" i="20" s="1"/>
  <c r="AC162" i="20"/>
  <c r="AA162" i="20"/>
  <c r="X162" i="20"/>
  <c r="Z162" i="20" s="1"/>
  <c r="W162" i="20"/>
  <c r="V162" i="20"/>
  <c r="U162" i="20"/>
  <c r="S162" i="20"/>
  <c r="K162" i="20"/>
  <c r="M162" i="20" s="1"/>
  <c r="Q162" i="20" s="1"/>
  <c r="AA161" i="20"/>
  <c r="W161" i="20"/>
  <c r="X161" i="20" s="1"/>
  <c r="V161" i="20"/>
  <c r="U161" i="20"/>
  <c r="S161" i="20"/>
  <c r="K161" i="20"/>
  <c r="AC160" i="20"/>
  <c r="AB160" i="20"/>
  <c r="AA160" i="20"/>
  <c r="W160" i="20"/>
  <c r="X160" i="20" s="1"/>
  <c r="V160" i="20"/>
  <c r="U160" i="20"/>
  <c r="S160" i="20"/>
  <c r="Q160" i="20"/>
  <c r="O160" i="20"/>
  <c r="M160" i="20"/>
  <c r="L160" i="20"/>
  <c r="N160" i="20" s="1"/>
  <c r="K160" i="20"/>
  <c r="AA159" i="20"/>
  <c r="V159" i="20"/>
  <c r="W159" i="20" s="1"/>
  <c r="X159" i="20" s="1"/>
  <c r="U159" i="20"/>
  <c r="S159" i="20"/>
  <c r="K159" i="20"/>
  <c r="L159" i="20" s="1"/>
  <c r="AB159" i="20" s="1"/>
  <c r="AA158" i="20"/>
  <c r="Y158" i="20"/>
  <c r="X158" i="20"/>
  <c r="Z158" i="20" s="1"/>
  <c r="V158" i="20"/>
  <c r="W158" i="20" s="1"/>
  <c r="U158" i="20"/>
  <c r="S158" i="20"/>
  <c r="K158" i="20"/>
  <c r="AA157" i="20"/>
  <c r="W157" i="20"/>
  <c r="X157" i="20" s="1"/>
  <c r="V157" i="20"/>
  <c r="U157" i="20"/>
  <c r="S157" i="20"/>
  <c r="K157" i="20"/>
  <c r="AB156" i="20"/>
  <c r="AA156" i="20"/>
  <c r="Z156" i="20"/>
  <c r="J156" i="20" s="1"/>
  <c r="V156" i="20"/>
  <c r="W156" i="20" s="1"/>
  <c r="X156" i="20" s="1"/>
  <c r="Y156" i="20" s="1"/>
  <c r="U156" i="20"/>
  <c r="S156" i="20"/>
  <c r="P156" i="20"/>
  <c r="M156" i="20"/>
  <c r="AC156" i="20" s="1"/>
  <c r="L156" i="20"/>
  <c r="K156" i="20"/>
  <c r="AA155" i="20"/>
  <c r="V155" i="20"/>
  <c r="W155" i="20" s="1"/>
  <c r="X155" i="20" s="1"/>
  <c r="U155" i="20"/>
  <c r="S155" i="20"/>
  <c r="L155" i="20"/>
  <c r="K155" i="20"/>
  <c r="M155" i="20" s="1"/>
  <c r="AA154" i="20"/>
  <c r="W154" i="20"/>
  <c r="X154" i="20" s="1"/>
  <c r="V154" i="20"/>
  <c r="U154" i="20"/>
  <c r="S154" i="20"/>
  <c r="Q154" i="20"/>
  <c r="N154" i="20"/>
  <c r="O154" i="20" s="1"/>
  <c r="M154" i="20"/>
  <c r="AC154" i="20" s="1"/>
  <c r="L154" i="20"/>
  <c r="AB154" i="20" s="1"/>
  <c r="K154" i="20"/>
  <c r="AA153" i="20"/>
  <c r="W153" i="20"/>
  <c r="X153" i="20" s="1"/>
  <c r="V153" i="20"/>
  <c r="U153" i="20"/>
  <c r="S153" i="20"/>
  <c r="K153" i="20"/>
  <c r="M153" i="20" s="1"/>
  <c r="AC153" i="20" s="1"/>
  <c r="AB152" i="20"/>
  <c r="AA152" i="20"/>
  <c r="W152" i="20"/>
  <c r="X152" i="20" s="1"/>
  <c r="V152" i="20"/>
  <c r="U152" i="20"/>
  <c r="S152" i="20"/>
  <c r="M152" i="20"/>
  <c r="L152" i="20"/>
  <c r="K152" i="20"/>
  <c r="AA151" i="20"/>
  <c r="Z151" i="20"/>
  <c r="J151" i="20" s="1"/>
  <c r="V151" i="20"/>
  <c r="W151" i="20" s="1"/>
  <c r="X151" i="20" s="1"/>
  <c r="Y151" i="20" s="1"/>
  <c r="U151" i="20"/>
  <c r="S151" i="20"/>
  <c r="M151" i="20"/>
  <c r="L151" i="20"/>
  <c r="K151" i="20"/>
  <c r="AC150" i="20"/>
  <c r="AA150" i="20"/>
  <c r="Z150" i="20"/>
  <c r="J150" i="20" s="1"/>
  <c r="Y150" i="20"/>
  <c r="W150" i="20"/>
  <c r="X150" i="20" s="1"/>
  <c r="V150" i="20"/>
  <c r="U150" i="20"/>
  <c r="S150" i="20"/>
  <c r="K150" i="20"/>
  <c r="M150" i="20" s="1"/>
  <c r="Q150" i="20" s="1"/>
  <c r="AA149" i="20"/>
  <c r="V149" i="20"/>
  <c r="W149" i="20" s="1"/>
  <c r="X149" i="20" s="1"/>
  <c r="Y149" i="20" s="1"/>
  <c r="U149" i="20"/>
  <c r="S149" i="20"/>
  <c r="K149" i="20"/>
  <c r="L149" i="20" s="1"/>
  <c r="AC148" i="20"/>
  <c r="AA148" i="20"/>
  <c r="AB148" i="20" s="1"/>
  <c r="V148" i="20"/>
  <c r="W148" i="20" s="1"/>
  <c r="X148" i="20" s="1"/>
  <c r="U148" i="20"/>
  <c r="S148" i="20"/>
  <c r="Q148" i="20"/>
  <c r="L148" i="20"/>
  <c r="N148" i="20" s="1"/>
  <c r="O148" i="20" s="1"/>
  <c r="K148" i="20"/>
  <c r="M148" i="20" s="1"/>
  <c r="AA147" i="20"/>
  <c r="X147" i="20"/>
  <c r="W147" i="20"/>
  <c r="V147" i="20"/>
  <c r="U147" i="20"/>
  <c r="S147" i="20"/>
  <c r="K147" i="20"/>
  <c r="M147" i="20" s="1"/>
  <c r="AC146" i="20"/>
  <c r="AB146" i="20"/>
  <c r="AA146" i="20"/>
  <c r="W146" i="20"/>
  <c r="X146" i="20" s="1"/>
  <c r="V146" i="20"/>
  <c r="U146" i="20"/>
  <c r="S146" i="20"/>
  <c r="Q146" i="20"/>
  <c r="L146" i="20"/>
  <c r="N146" i="20" s="1"/>
  <c r="O146" i="20" s="1"/>
  <c r="K146" i="20"/>
  <c r="M146" i="20" s="1"/>
  <c r="AA145" i="20"/>
  <c r="Z145" i="20"/>
  <c r="V145" i="20"/>
  <c r="W145" i="20" s="1"/>
  <c r="X145" i="20" s="1"/>
  <c r="Y145" i="20" s="1"/>
  <c r="U145" i="20"/>
  <c r="J145" i="20" s="1"/>
  <c r="S145" i="20"/>
  <c r="P145" i="20"/>
  <c r="M145" i="20"/>
  <c r="L145" i="20"/>
  <c r="K145" i="20"/>
  <c r="AC144" i="20"/>
  <c r="AA144" i="20"/>
  <c r="V144" i="20"/>
  <c r="W144" i="20" s="1"/>
  <c r="X144" i="20" s="1"/>
  <c r="U144" i="20"/>
  <c r="S144" i="20"/>
  <c r="Q144" i="20"/>
  <c r="M144" i="20"/>
  <c r="K144" i="20"/>
  <c r="L144" i="20" s="1"/>
  <c r="AA143" i="20"/>
  <c r="Y143" i="20"/>
  <c r="X143" i="20"/>
  <c r="Z143" i="20" s="1"/>
  <c r="W143" i="20"/>
  <c r="V143" i="20"/>
  <c r="U143" i="20"/>
  <c r="S143" i="20"/>
  <c r="K143" i="20"/>
  <c r="J143" i="20"/>
  <c r="AC142" i="20"/>
  <c r="AA142" i="20"/>
  <c r="W142" i="20"/>
  <c r="X142" i="20" s="1"/>
  <c r="V142" i="20"/>
  <c r="U142" i="20"/>
  <c r="S142" i="20"/>
  <c r="K142" i="20"/>
  <c r="M142" i="20" s="1"/>
  <c r="Q142" i="20" s="1"/>
  <c r="AA141" i="20"/>
  <c r="V141" i="20"/>
  <c r="W141" i="20" s="1"/>
  <c r="X141" i="20" s="1"/>
  <c r="U141" i="20"/>
  <c r="S141" i="20"/>
  <c r="M141" i="20"/>
  <c r="L141" i="20"/>
  <c r="K141" i="20"/>
  <c r="AA140" i="20"/>
  <c r="W140" i="20"/>
  <c r="X140" i="20" s="1"/>
  <c r="V140" i="20"/>
  <c r="U140" i="20"/>
  <c r="S140" i="20"/>
  <c r="K140" i="20"/>
  <c r="AC139" i="20"/>
  <c r="AB139" i="20"/>
  <c r="AA139" i="20"/>
  <c r="V139" i="20"/>
  <c r="W139" i="20" s="1"/>
  <c r="X139" i="20" s="1"/>
  <c r="U139" i="20"/>
  <c r="S139" i="20"/>
  <c r="N139" i="20"/>
  <c r="O139" i="20" s="1"/>
  <c r="L139" i="20"/>
  <c r="P139" i="20" s="1"/>
  <c r="K139" i="20"/>
  <c r="M139" i="20" s="1"/>
  <c r="Q139" i="20" s="1"/>
  <c r="AA138" i="20"/>
  <c r="Z138" i="20"/>
  <c r="X138" i="20"/>
  <c r="Y138" i="20" s="1"/>
  <c r="W138" i="20"/>
  <c r="V138" i="20"/>
  <c r="U138" i="20"/>
  <c r="S138" i="20"/>
  <c r="M138" i="20"/>
  <c r="K138" i="20"/>
  <c r="L138" i="20" s="1"/>
  <c r="J138" i="20"/>
  <c r="AC137" i="20"/>
  <c r="AB137" i="20"/>
  <c r="AA137" i="20"/>
  <c r="W137" i="20"/>
  <c r="X137" i="20" s="1"/>
  <c r="Y137" i="20" s="1"/>
  <c r="V137" i="20"/>
  <c r="U137" i="20"/>
  <c r="S137" i="20"/>
  <c r="Q137" i="20"/>
  <c r="P137" i="20"/>
  <c r="N137" i="20"/>
  <c r="O137" i="20" s="1"/>
  <c r="M137" i="20"/>
  <c r="L137" i="20"/>
  <c r="K137" i="20"/>
  <c r="AA136" i="20"/>
  <c r="V136" i="20"/>
  <c r="W136" i="20" s="1"/>
  <c r="X136" i="20" s="1"/>
  <c r="U136" i="20"/>
  <c r="S136" i="20"/>
  <c r="M136" i="20"/>
  <c r="K136" i="20"/>
  <c r="L136" i="20" s="1"/>
  <c r="AA135" i="20"/>
  <c r="W135" i="20"/>
  <c r="X135" i="20" s="1"/>
  <c r="Z135" i="20" s="1"/>
  <c r="V135" i="20"/>
  <c r="U135" i="20"/>
  <c r="S135" i="20"/>
  <c r="K135" i="20"/>
  <c r="M135" i="20" s="1"/>
  <c r="J135" i="20"/>
  <c r="AA134" i="20"/>
  <c r="W134" i="20"/>
  <c r="X134" i="20" s="1"/>
  <c r="V134" i="20"/>
  <c r="U134" i="20"/>
  <c r="S134" i="20"/>
  <c r="K134" i="20"/>
  <c r="L134" i="20" s="1"/>
  <c r="AA133" i="20"/>
  <c r="V133" i="20"/>
  <c r="W133" i="20" s="1"/>
  <c r="X133" i="20" s="1"/>
  <c r="U133" i="20"/>
  <c r="S133" i="20"/>
  <c r="Q133" i="20"/>
  <c r="P133" i="20"/>
  <c r="N133" i="20"/>
  <c r="O133" i="20" s="1"/>
  <c r="M133" i="20"/>
  <c r="AC133" i="20" s="1"/>
  <c r="L133" i="20"/>
  <c r="AB133" i="20" s="1"/>
  <c r="K133" i="20"/>
  <c r="AA132" i="20"/>
  <c r="V132" i="20"/>
  <c r="W132" i="20" s="1"/>
  <c r="X132" i="20" s="1"/>
  <c r="Z132" i="20" s="1"/>
  <c r="U132" i="20"/>
  <c r="S132" i="20"/>
  <c r="N132" i="20"/>
  <c r="O132" i="20" s="1"/>
  <c r="M132" i="20"/>
  <c r="K132" i="20"/>
  <c r="L132" i="20" s="1"/>
  <c r="J132" i="20"/>
  <c r="AC131" i="20"/>
  <c r="AA131" i="20"/>
  <c r="V131" i="20"/>
  <c r="W131" i="20" s="1"/>
  <c r="X131" i="20" s="1"/>
  <c r="U131" i="20"/>
  <c r="S131" i="20"/>
  <c r="Q131" i="20"/>
  <c r="K131" i="20"/>
  <c r="M131" i="20" s="1"/>
  <c r="AA130" i="20"/>
  <c r="V130" i="20"/>
  <c r="W130" i="20" s="1"/>
  <c r="X130" i="20" s="1"/>
  <c r="U130" i="20"/>
  <c r="S130" i="20"/>
  <c r="K130" i="20"/>
  <c r="AC129" i="20"/>
  <c r="AB129" i="20"/>
  <c r="AA129" i="20"/>
  <c r="W129" i="20"/>
  <c r="X129" i="20" s="1"/>
  <c r="V129" i="20"/>
  <c r="U129" i="20"/>
  <c r="S129" i="20"/>
  <c r="L129" i="20"/>
  <c r="K129" i="20"/>
  <c r="M129" i="20" s="1"/>
  <c r="Q129" i="20" s="1"/>
  <c r="AA128" i="20"/>
  <c r="V128" i="20"/>
  <c r="W128" i="20" s="1"/>
  <c r="X128" i="20" s="1"/>
  <c r="U128" i="20"/>
  <c r="S128" i="20"/>
  <c r="K128" i="20"/>
  <c r="M128" i="20" s="1"/>
  <c r="AA127" i="20"/>
  <c r="Y127" i="20"/>
  <c r="X127" i="20"/>
  <c r="Z127" i="20" s="1"/>
  <c r="J127" i="20" s="1"/>
  <c r="W127" i="20"/>
  <c r="V127" i="20"/>
  <c r="U127" i="20"/>
  <c r="S127" i="20"/>
  <c r="K127" i="20"/>
  <c r="AC126" i="20"/>
  <c r="AA126" i="20"/>
  <c r="Z126" i="20"/>
  <c r="J126" i="20" s="1"/>
  <c r="W126" i="20"/>
  <c r="X126" i="20" s="1"/>
  <c r="Y126" i="20" s="1"/>
  <c r="V126" i="20"/>
  <c r="U126" i="20"/>
  <c r="S126" i="20"/>
  <c r="K126" i="20"/>
  <c r="M126" i="20" s="1"/>
  <c r="Q126" i="20" s="1"/>
  <c r="AA125" i="20"/>
  <c r="V125" i="20"/>
  <c r="W125" i="20" s="1"/>
  <c r="X125" i="20" s="1"/>
  <c r="U125" i="20"/>
  <c r="S125" i="20"/>
  <c r="Q125" i="20"/>
  <c r="L125" i="20"/>
  <c r="K125" i="20"/>
  <c r="M125" i="20" s="1"/>
  <c r="AC125" i="20" s="1"/>
  <c r="AA124" i="20"/>
  <c r="Y124" i="20"/>
  <c r="X124" i="20"/>
  <c r="Z124" i="20" s="1"/>
  <c r="J124" i="20" s="1"/>
  <c r="V124" i="20"/>
  <c r="W124" i="20" s="1"/>
  <c r="U124" i="20"/>
  <c r="S124" i="20"/>
  <c r="K124" i="20"/>
  <c r="AA123" i="20"/>
  <c r="V123" i="20"/>
  <c r="W123" i="20" s="1"/>
  <c r="X123" i="20" s="1"/>
  <c r="U123" i="20"/>
  <c r="S123" i="20"/>
  <c r="M123" i="20"/>
  <c r="Q123" i="20" s="1"/>
  <c r="L123" i="20"/>
  <c r="K123" i="20"/>
  <c r="AC122" i="20"/>
  <c r="AA122" i="20"/>
  <c r="V122" i="20"/>
  <c r="W122" i="20" s="1"/>
  <c r="X122" i="20" s="1"/>
  <c r="U122" i="20"/>
  <c r="S122" i="20"/>
  <c r="Q122" i="20"/>
  <c r="L122" i="20"/>
  <c r="K122" i="20"/>
  <c r="M122" i="20" s="1"/>
  <c r="AA121" i="20"/>
  <c r="V121" i="20"/>
  <c r="W121" i="20" s="1"/>
  <c r="X121" i="20" s="1"/>
  <c r="U121" i="20"/>
  <c r="S121" i="20"/>
  <c r="K121" i="20"/>
  <c r="AA120" i="20"/>
  <c r="V120" i="20"/>
  <c r="W120" i="20" s="1"/>
  <c r="X120" i="20" s="1"/>
  <c r="U120" i="20"/>
  <c r="S120" i="20"/>
  <c r="K120" i="20"/>
  <c r="M120" i="20" s="1"/>
  <c r="AB119" i="20"/>
  <c r="AA119" i="20"/>
  <c r="V119" i="20"/>
  <c r="W119" i="20" s="1"/>
  <c r="X119" i="20" s="1"/>
  <c r="U119" i="20"/>
  <c r="S119" i="20"/>
  <c r="P119" i="20"/>
  <c r="L119" i="20"/>
  <c r="K119" i="20"/>
  <c r="M119" i="20" s="1"/>
  <c r="AA118" i="20"/>
  <c r="V118" i="20"/>
  <c r="W118" i="20" s="1"/>
  <c r="X118" i="20" s="1"/>
  <c r="U118" i="20"/>
  <c r="S118" i="20"/>
  <c r="K118" i="20"/>
  <c r="AA117" i="20"/>
  <c r="V117" i="20"/>
  <c r="W117" i="20" s="1"/>
  <c r="X117" i="20" s="1"/>
  <c r="U117" i="20"/>
  <c r="S117" i="20"/>
  <c r="M117" i="20"/>
  <c r="L117" i="20"/>
  <c r="K117" i="20"/>
  <c r="AA116" i="20"/>
  <c r="X116" i="20"/>
  <c r="V116" i="20"/>
  <c r="W116" i="20" s="1"/>
  <c r="U116" i="20"/>
  <c r="S116" i="20"/>
  <c r="K116" i="20"/>
  <c r="AC115" i="20"/>
  <c r="AA115" i="20"/>
  <c r="W115" i="20"/>
  <c r="X115" i="20" s="1"/>
  <c r="V115" i="20"/>
  <c r="U115" i="20"/>
  <c r="S115" i="20"/>
  <c r="Q115" i="20"/>
  <c r="K115" i="20"/>
  <c r="M115" i="20" s="1"/>
  <c r="AC114" i="20"/>
  <c r="AA114" i="20"/>
  <c r="V114" i="20"/>
  <c r="W114" i="20" s="1"/>
  <c r="X114" i="20" s="1"/>
  <c r="Z114" i="20" s="1"/>
  <c r="J114" i="20" s="1"/>
  <c r="U114" i="20"/>
  <c r="S114" i="20"/>
  <c r="Q114" i="20"/>
  <c r="M114" i="20"/>
  <c r="K114" i="20"/>
  <c r="L114" i="20" s="1"/>
  <c r="AC113" i="20"/>
  <c r="AA113" i="20"/>
  <c r="Y113" i="20"/>
  <c r="V113" i="20"/>
  <c r="W113" i="20" s="1"/>
  <c r="X113" i="20" s="1"/>
  <c r="Z113" i="20" s="1"/>
  <c r="J113" i="20" s="1"/>
  <c r="U113" i="20"/>
  <c r="S113" i="20"/>
  <c r="Q113" i="20"/>
  <c r="P113" i="20"/>
  <c r="N113" i="20"/>
  <c r="O113" i="20" s="1"/>
  <c r="M113" i="20"/>
  <c r="L113" i="20"/>
  <c r="AB113" i="20" s="1"/>
  <c r="K113" i="20"/>
  <c r="AA112" i="20"/>
  <c r="V112" i="20"/>
  <c r="W112" i="20" s="1"/>
  <c r="X112" i="20" s="1"/>
  <c r="U112" i="20"/>
  <c r="S112" i="20"/>
  <c r="K112" i="20"/>
  <c r="AA111" i="20"/>
  <c r="W111" i="20"/>
  <c r="X111" i="20" s="1"/>
  <c r="V111" i="20"/>
  <c r="U111" i="20"/>
  <c r="S111" i="20"/>
  <c r="M111" i="20"/>
  <c r="L111" i="20"/>
  <c r="K111" i="20"/>
  <c r="AA110" i="20"/>
  <c r="V110" i="20"/>
  <c r="W110" i="20" s="1"/>
  <c r="X110" i="20" s="1"/>
  <c r="Y110" i="20" s="1"/>
  <c r="U110" i="20"/>
  <c r="S110" i="20"/>
  <c r="Q110" i="20"/>
  <c r="K110" i="20"/>
  <c r="M110" i="20" s="1"/>
  <c r="AC110" i="20" s="1"/>
  <c r="AC109" i="20"/>
  <c r="AB109" i="20"/>
  <c r="AA109" i="20"/>
  <c r="V109" i="20"/>
  <c r="W109" i="20" s="1"/>
  <c r="X109" i="20" s="1"/>
  <c r="U109" i="20"/>
  <c r="S109" i="20"/>
  <c r="Q109" i="20"/>
  <c r="P109" i="20"/>
  <c r="N109" i="20"/>
  <c r="O109" i="20" s="1"/>
  <c r="M109" i="20"/>
  <c r="L109" i="20"/>
  <c r="K109" i="20"/>
  <c r="AA108" i="20"/>
  <c r="V108" i="20"/>
  <c r="W108" i="20" s="1"/>
  <c r="X108" i="20" s="1"/>
  <c r="U108" i="20"/>
  <c r="S108" i="20"/>
  <c r="K108" i="20"/>
  <c r="M108" i="20" s="1"/>
  <c r="AC108" i="20" s="1"/>
  <c r="AC107" i="20"/>
  <c r="AA107" i="20"/>
  <c r="X107" i="20"/>
  <c r="V107" i="20"/>
  <c r="W107" i="20" s="1"/>
  <c r="U107" i="20"/>
  <c r="S107" i="20"/>
  <c r="K107" i="20"/>
  <c r="M107" i="20" s="1"/>
  <c r="Q107" i="20" s="1"/>
  <c r="AA106" i="20"/>
  <c r="W106" i="20"/>
  <c r="X106" i="20" s="1"/>
  <c r="V106" i="20"/>
  <c r="U106" i="20"/>
  <c r="S106" i="20"/>
  <c r="M106" i="20"/>
  <c r="L106" i="20"/>
  <c r="AB106" i="20" s="1"/>
  <c r="K106" i="20"/>
  <c r="AA105" i="20"/>
  <c r="W105" i="20"/>
  <c r="X105" i="20" s="1"/>
  <c r="V105" i="20"/>
  <c r="U105" i="20"/>
  <c r="S105" i="20"/>
  <c r="K105" i="20"/>
  <c r="AA104" i="20"/>
  <c r="Y104" i="20"/>
  <c r="W104" i="20"/>
  <c r="X104" i="20" s="1"/>
  <c r="Z104" i="20" s="1"/>
  <c r="J104" i="20" s="1"/>
  <c r="V104" i="20"/>
  <c r="U104" i="20"/>
  <c r="S104" i="20"/>
  <c r="K104" i="20"/>
  <c r="M104" i="20" s="1"/>
  <c r="AA103" i="20"/>
  <c r="Z103" i="20"/>
  <c r="J103" i="20" s="1"/>
  <c r="Y103" i="20"/>
  <c r="W103" i="20"/>
  <c r="X103" i="20" s="1"/>
  <c r="V103" i="20"/>
  <c r="U103" i="20"/>
  <c r="S103" i="20"/>
  <c r="K103" i="20"/>
  <c r="AA102" i="20"/>
  <c r="Z102" i="20"/>
  <c r="J102" i="20" s="1"/>
  <c r="V102" i="20"/>
  <c r="W102" i="20" s="1"/>
  <c r="X102" i="20" s="1"/>
  <c r="Y102" i="20" s="1"/>
  <c r="U102" i="20"/>
  <c r="S102" i="20"/>
  <c r="M102" i="20"/>
  <c r="L102" i="20"/>
  <c r="K102" i="20"/>
  <c r="AA101" i="20"/>
  <c r="AB101" i="20" s="1"/>
  <c r="Z101" i="20"/>
  <c r="Y101" i="20"/>
  <c r="V101" i="20"/>
  <c r="W101" i="20" s="1"/>
  <c r="X101" i="20" s="1"/>
  <c r="S101" i="20"/>
  <c r="M101" i="20"/>
  <c r="L101" i="20"/>
  <c r="K101" i="20"/>
  <c r="AA100" i="20"/>
  <c r="Z100" i="20"/>
  <c r="V100" i="20"/>
  <c r="W100" i="20" s="1"/>
  <c r="X100" i="20" s="1"/>
  <c r="Y100" i="20" s="1"/>
  <c r="S100" i="20"/>
  <c r="K100" i="20"/>
  <c r="AC99" i="20"/>
  <c r="AA99" i="20"/>
  <c r="V99" i="20"/>
  <c r="W99" i="20" s="1"/>
  <c r="X99" i="20" s="1"/>
  <c r="S99" i="20"/>
  <c r="K99" i="20"/>
  <c r="M99" i="20" s="1"/>
  <c r="Q99" i="20" s="1"/>
  <c r="AA98" i="20"/>
  <c r="V98" i="20"/>
  <c r="W98" i="20" s="1"/>
  <c r="X98" i="20" s="1"/>
  <c r="S98" i="20"/>
  <c r="Q98" i="20"/>
  <c r="M98" i="20"/>
  <c r="L98" i="20"/>
  <c r="AB98" i="20" s="1"/>
  <c r="K98" i="20"/>
  <c r="AA97" i="20"/>
  <c r="Z97" i="20"/>
  <c r="V97" i="20"/>
  <c r="W97" i="20" s="1"/>
  <c r="X97" i="20" s="1"/>
  <c r="Y97" i="20" s="1"/>
  <c r="S97" i="20"/>
  <c r="K97" i="20"/>
  <c r="M97" i="20" s="1"/>
  <c r="AC96" i="20"/>
  <c r="AB96" i="20"/>
  <c r="AA96" i="20"/>
  <c r="V96" i="20"/>
  <c r="W96" i="20" s="1"/>
  <c r="X96" i="20" s="1"/>
  <c r="Y96" i="20" s="1"/>
  <c r="S96" i="20"/>
  <c r="Q96" i="20"/>
  <c r="M96" i="20"/>
  <c r="K96" i="20"/>
  <c r="L96" i="20" s="1"/>
  <c r="AA95" i="20"/>
  <c r="X95" i="20"/>
  <c r="W95" i="20"/>
  <c r="V95" i="20"/>
  <c r="S95" i="20"/>
  <c r="K95" i="20"/>
  <c r="AC94" i="20"/>
  <c r="AA94" i="20"/>
  <c r="AB94" i="20" s="1"/>
  <c r="Z94" i="20"/>
  <c r="Y94" i="20"/>
  <c r="X94" i="20"/>
  <c r="W94" i="20"/>
  <c r="V94" i="20"/>
  <c r="S94" i="20"/>
  <c r="M94" i="20"/>
  <c r="Q94" i="20" s="1"/>
  <c r="K94" i="20"/>
  <c r="L94" i="20" s="1"/>
  <c r="AA93" i="20"/>
  <c r="V93" i="20"/>
  <c r="W93" i="20" s="1"/>
  <c r="X93" i="20" s="1"/>
  <c r="S93" i="20"/>
  <c r="L93" i="20"/>
  <c r="K93" i="20"/>
  <c r="M93" i="20" s="1"/>
  <c r="AA92" i="20"/>
  <c r="Z92" i="20"/>
  <c r="Y92" i="20"/>
  <c r="V92" i="20"/>
  <c r="W92" i="20" s="1"/>
  <c r="X92" i="20" s="1"/>
  <c r="S92" i="20"/>
  <c r="K92" i="20"/>
  <c r="AA91" i="20"/>
  <c r="W91" i="20"/>
  <c r="X91" i="20" s="1"/>
  <c r="Y91" i="20" s="1"/>
  <c r="V91" i="20"/>
  <c r="S91" i="20"/>
  <c r="M91" i="20"/>
  <c r="AC91" i="20" s="1"/>
  <c r="L91" i="20"/>
  <c r="K91" i="20"/>
  <c r="AA90" i="20"/>
  <c r="V90" i="20"/>
  <c r="W90" i="20" s="1"/>
  <c r="X90" i="20" s="1"/>
  <c r="S90" i="20"/>
  <c r="K90" i="20"/>
  <c r="L90" i="20" s="1"/>
  <c r="AA89" i="20"/>
  <c r="V89" i="20"/>
  <c r="W89" i="20" s="1"/>
  <c r="X89" i="20" s="1"/>
  <c r="S89" i="20"/>
  <c r="Q89" i="20"/>
  <c r="M89" i="20"/>
  <c r="L89" i="20"/>
  <c r="AB89" i="20" s="1"/>
  <c r="K89" i="20"/>
  <c r="AA88" i="20"/>
  <c r="W88" i="20"/>
  <c r="X88" i="20" s="1"/>
  <c r="V88" i="20"/>
  <c r="S88" i="20"/>
  <c r="L88" i="20"/>
  <c r="K88" i="20"/>
  <c r="M88" i="20" s="1"/>
  <c r="AC87" i="20"/>
  <c r="AA87" i="20"/>
  <c r="AB87" i="20" s="1"/>
  <c r="X87" i="20"/>
  <c r="W87" i="20"/>
  <c r="V87" i="20"/>
  <c r="S87" i="20"/>
  <c r="Q87" i="20"/>
  <c r="L87" i="20"/>
  <c r="K87" i="20"/>
  <c r="M87" i="20" s="1"/>
  <c r="N87" i="20" s="1"/>
  <c r="O87" i="20" s="1"/>
  <c r="AA86" i="20"/>
  <c r="Y86" i="20"/>
  <c r="X86" i="20"/>
  <c r="Z86" i="20" s="1"/>
  <c r="V86" i="20"/>
  <c r="W86" i="20" s="1"/>
  <c r="S86" i="20"/>
  <c r="K86" i="20"/>
  <c r="M86" i="20" s="1"/>
  <c r="AC85" i="20"/>
  <c r="AA85" i="20"/>
  <c r="X85" i="20"/>
  <c r="W85" i="20"/>
  <c r="V85" i="20"/>
  <c r="S85" i="20"/>
  <c r="M85" i="20"/>
  <c r="Q85" i="20" s="1"/>
  <c r="L85" i="20"/>
  <c r="K85" i="20"/>
  <c r="AA84" i="20"/>
  <c r="W84" i="20"/>
  <c r="X84" i="20" s="1"/>
  <c r="Y84" i="20" s="1"/>
  <c r="V84" i="20"/>
  <c r="S84" i="20"/>
  <c r="K84" i="20"/>
  <c r="M84" i="20" s="1"/>
  <c r="AC84" i="20" s="1"/>
  <c r="AC83" i="20"/>
  <c r="AA83" i="20"/>
  <c r="W83" i="20"/>
  <c r="X83" i="20" s="1"/>
  <c r="V83" i="20"/>
  <c r="S83" i="20"/>
  <c r="L83" i="20"/>
  <c r="K83" i="20"/>
  <c r="M83" i="20" s="1"/>
  <c r="Q83" i="20" s="1"/>
  <c r="AC82" i="20"/>
  <c r="AA82" i="20"/>
  <c r="AB82" i="20" s="1"/>
  <c r="V82" i="20"/>
  <c r="W82" i="20" s="1"/>
  <c r="X82" i="20" s="1"/>
  <c r="Z82" i="20" s="1"/>
  <c r="S82" i="20"/>
  <c r="Q82" i="20"/>
  <c r="M82" i="20"/>
  <c r="K82" i="20"/>
  <c r="L82" i="20" s="1"/>
  <c r="N82" i="20" s="1"/>
  <c r="O82" i="20" s="1"/>
  <c r="AA81" i="20"/>
  <c r="V81" i="20"/>
  <c r="W81" i="20" s="1"/>
  <c r="X81" i="20" s="1"/>
  <c r="S81" i="20"/>
  <c r="K81" i="20"/>
  <c r="AA80" i="20"/>
  <c r="V80" i="20"/>
  <c r="W80" i="20" s="1"/>
  <c r="X80" i="20" s="1"/>
  <c r="S80" i="20"/>
  <c r="M80" i="20"/>
  <c r="K80" i="20"/>
  <c r="L80" i="20" s="1"/>
  <c r="AA79" i="20"/>
  <c r="X79" i="20"/>
  <c r="V79" i="20"/>
  <c r="W79" i="20" s="1"/>
  <c r="S79" i="20"/>
  <c r="Q79" i="20"/>
  <c r="K79" i="20"/>
  <c r="M79" i="20" s="1"/>
  <c r="AC79" i="20" s="1"/>
  <c r="AA78" i="20"/>
  <c r="V78" i="20"/>
  <c r="W78" i="20" s="1"/>
  <c r="X78" i="20" s="1"/>
  <c r="S78" i="20"/>
  <c r="Q78" i="20"/>
  <c r="K78" i="20"/>
  <c r="M78" i="20" s="1"/>
  <c r="AC78" i="20" s="1"/>
  <c r="AA77" i="20"/>
  <c r="X77" i="20"/>
  <c r="V77" i="20"/>
  <c r="W77" i="20" s="1"/>
  <c r="S77" i="20"/>
  <c r="M77" i="20"/>
  <c r="AC77" i="20" s="1"/>
  <c r="L77" i="20"/>
  <c r="K77" i="20"/>
  <c r="AA76" i="20"/>
  <c r="V76" i="20"/>
  <c r="W76" i="20" s="1"/>
  <c r="X76" i="20" s="1"/>
  <c r="S76" i="20"/>
  <c r="K76" i="20"/>
  <c r="AA75" i="20"/>
  <c r="V75" i="20"/>
  <c r="W75" i="20" s="1"/>
  <c r="X75" i="20" s="1"/>
  <c r="S75" i="20"/>
  <c r="K75" i="20"/>
  <c r="AA74" i="20"/>
  <c r="X74" i="20"/>
  <c r="Y74" i="20" s="1"/>
  <c r="W74" i="20"/>
  <c r="V74" i="20"/>
  <c r="S74" i="20"/>
  <c r="K74" i="20"/>
  <c r="AC73" i="20"/>
  <c r="AA73" i="20"/>
  <c r="W73" i="20"/>
  <c r="X73" i="20" s="1"/>
  <c r="Z73" i="20" s="1"/>
  <c r="V73" i="20"/>
  <c r="S73" i="20"/>
  <c r="M73" i="20"/>
  <c r="Q73" i="20" s="1"/>
  <c r="L73" i="20"/>
  <c r="AB73" i="20" s="1"/>
  <c r="K73" i="20"/>
  <c r="AA72" i="20"/>
  <c r="V72" i="20"/>
  <c r="W72" i="20" s="1"/>
  <c r="X72" i="20" s="1"/>
  <c r="S72" i="20"/>
  <c r="K72" i="20"/>
  <c r="M72" i="20" s="1"/>
  <c r="Q72" i="20" s="1"/>
  <c r="AA71" i="20"/>
  <c r="V71" i="20"/>
  <c r="W71" i="20" s="1"/>
  <c r="X71" i="20" s="1"/>
  <c r="S71" i="20"/>
  <c r="Q71" i="20"/>
  <c r="M71" i="20"/>
  <c r="AC71" i="20" s="1"/>
  <c r="L71" i="20"/>
  <c r="K71" i="20"/>
  <c r="AA70" i="20"/>
  <c r="W70" i="20"/>
  <c r="X70" i="20" s="1"/>
  <c r="V70" i="20"/>
  <c r="S70" i="20"/>
  <c r="K70" i="20"/>
  <c r="M70" i="20" s="1"/>
  <c r="AC69" i="20"/>
  <c r="AB69" i="20"/>
  <c r="AA69" i="20"/>
  <c r="W69" i="20"/>
  <c r="X69" i="20" s="1"/>
  <c r="V69" i="20"/>
  <c r="S69" i="20"/>
  <c r="M69" i="20"/>
  <c r="L69" i="20"/>
  <c r="K69" i="20"/>
  <c r="AA68" i="20"/>
  <c r="V68" i="20"/>
  <c r="W68" i="20" s="1"/>
  <c r="X68" i="20" s="1"/>
  <c r="Y68" i="20" s="1"/>
  <c r="S68" i="20"/>
  <c r="Q68" i="20"/>
  <c r="M68" i="20"/>
  <c r="AC68" i="20" s="1"/>
  <c r="L68" i="20"/>
  <c r="AB68" i="20" s="1"/>
  <c r="K68" i="20"/>
  <c r="AA67" i="20"/>
  <c r="V67" i="20"/>
  <c r="W67" i="20" s="1"/>
  <c r="X67" i="20" s="1"/>
  <c r="S67" i="20"/>
  <c r="Q67" i="20"/>
  <c r="K67" i="20"/>
  <c r="M67" i="20" s="1"/>
  <c r="AC67" i="20" s="1"/>
  <c r="AA66" i="20"/>
  <c r="Y66" i="20"/>
  <c r="V66" i="20"/>
  <c r="W66" i="20" s="1"/>
  <c r="X66" i="20" s="1"/>
  <c r="Z66" i="20" s="1"/>
  <c r="S66" i="20"/>
  <c r="K66" i="20"/>
  <c r="AA65" i="20"/>
  <c r="Z65" i="20"/>
  <c r="V65" i="20"/>
  <c r="W65" i="20" s="1"/>
  <c r="X65" i="20" s="1"/>
  <c r="Y65" i="20" s="1"/>
  <c r="S65" i="20"/>
  <c r="K65" i="20"/>
  <c r="AA64" i="20"/>
  <c r="X64" i="20"/>
  <c r="Z64" i="20" s="1"/>
  <c r="W64" i="20"/>
  <c r="V64" i="20"/>
  <c r="S64" i="20"/>
  <c r="M64" i="20"/>
  <c r="AC64" i="20" s="1"/>
  <c r="K64" i="20"/>
  <c r="L64" i="20" s="1"/>
  <c r="AC63" i="20"/>
  <c r="AA63" i="20"/>
  <c r="Z63" i="20"/>
  <c r="Y63" i="20"/>
  <c r="X63" i="20"/>
  <c r="W63" i="20"/>
  <c r="V63" i="20"/>
  <c r="S63" i="20"/>
  <c r="K63" i="20"/>
  <c r="M63" i="20" s="1"/>
  <c r="Q63" i="20" s="1"/>
  <c r="AA62" i="20"/>
  <c r="V62" i="20"/>
  <c r="W62" i="20" s="1"/>
  <c r="X62" i="20" s="1"/>
  <c r="S62" i="20"/>
  <c r="M62" i="20"/>
  <c r="K62" i="20"/>
  <c r="L62" i="20" s="1"/>
  <c r="AC61" i="20"/>
  <c r="AA61" i="20"/>
  <c r="V61" i="20"/>
  <c r="W61" i="20" s="1"/>
  <c r="X61" i="20" s="1"/>
  <c r="S61" i="20"/>
  <c r="N61" i="20"/>
  <c r="O61" i="20" s="1"/>
  <c r="M61" i="20"/>
  <c r="Q61" i="20" s="1"/>
  <c r="L61" i="20"/>
  <c r="AB61" i="20" s="1"/>
  <c r="K61" i="20"/>
  <c r="AA60" i="20"/>
  <c r="V60" i="20"/>
  <c r="W60" i="20" s="1"/>
  <c r="X60" i="20" s="1"/>
  <c r="S60" i="20"/>
  <c r="K60" i="20"/>
  <c r="AA59" i="20"/>
  <c r="W59" i="20"/>
  <c r="X59" i="20" s="1"/>
  <c r="V59" i="20"/>
  <c r="S59" i="20"/>
  <c r="K59" i="20"/>
  <c r="AA58" i="20"/>
  <c r="V58" i="20"/>
  <c r="W58" i="20" s="1"/>
  <c r="X58" i="20" s="1"/>
  <c r="S58" i="20"/>
  <c r="Q58" i="20"/>
  <c r="K58" i="20"/>
  <c r="M58" i="20" s="1"/>
  <c r="AC58" i="20" s="1"/>
  <c r="AA57" i="20"/>
  <c r="X57" i="20"/>
  <c r="W57" i="20"/>
  <c r="V57" i="20"/>
  <c r="S57" i="20"/>
  <c r="M57" i="20"/>
  <c r="L57" i="20"/>
  <c r="K57" i="20"/>
  <c r="AC56" i="20"/>
  <c r="AB56" i="20"/>
  <c r="AA56" i="20"/>
  <c r="V56" i="20"/>
  <c r="W56" i="20" s="1"/>
  <c r="X56" i="20" s="1"/>
  <c r="S56" i="20"/>
  <c r="M56" i="20"/>
  <c r="Q56" i="20" s="1"/>
  <c r="L56" i="20"/>
  <c r="K56" i="20"/>
  <c r="AC55" i="20"/>
  <c r="AB55" i="20"/>
  <c r="AA55" i="20"/>
  <c r="Z55" i="20"/>
  <c r="X55" i="20"/>
  <c r="Y55" i="20" s="1"/>
  <c r="W55" i="20"/>
  <c r="V55" i="20"/>
  <c r="S55" i="20"/>
  <c r="L55" i="20"/>
  <c r="K55" i="20"/>
  <c r="M55" i="20" s="1"/>
  <c r="Q55" i="20" s="1"/>
  <c r="AC54" i="20"/>
  <c r="AB54" i="20"/>
  <c r="AA54" i="20"/>
  <c r="Z54" i="20"/>
  <c r="Y54" i="20"/>
  <c r="V54" i="20"/>
  <c r="W54" i="20" s="1"/>
  <c r="X54" i="20" s="1"/>
  <c r="S54" i="20"/>
  <c r="N54" i="20"/>
  <c r="O54" i="20" s="1"/>
  <c r="M54" i="20"/>
  <c r="Q54" i="20" s="1"/>
  <c r="K54" i="20"/>
  <c r="L54" i="20" s="1"/>
  <c r="AA53" i="20"/>
  <c r="W53" i="20"/>
  <c r="X53" i="20" s="1"/>
  <c r="V53" i="20"/>
  <c r="S53" i="20"/>
  <c r="K53" i="20"/>
  <c r="M53" i="20" s="1"/>
  <c r="AA52" i="20"/>
  <c r="V52" i="20"/>
  <c r="W52" i="20" s="1"/>
  <c r="X52" i="20" s="1"/>
  <c r="S52" i="20"/>
  <c r="K52" i="20"/>
  <c r="AA51" i="20"/>
  <c r="AB51" i="20" s="1"/>
  <c r="W51" i="20"/>
  <c r="X51" i="20" s="1"/>
  <c r="Z51" i="20" s="1"/>
  <c r="V51" i="20"/>
  <c r="S51" i="20"/>
  <c r="M51" i="20"/>
  <c r="L51" i="20"/>
  <c r="K51" i="20"/>
  <c r="AA50" i="20"/>
  <c r="W50" i="20"/>
  <c r="X50" i="20" s="1"/>
  <c r="V50" i="20"/>
  <c r="S50" i="20"/>
  <c r="K50" i="20"/>
  <c r="L50" i="20" s="1"/>
  <c r="AB50" i="20" s="1"/>
  <c r="AA49" i="20"/>
  <c r="W49" i="20"/>
  <c r="X49" i="20" s="1"/>
  <c r="V49" i="20"/>
  <c r="S49" i="20"/>
  <c r="Q49" i="20"/>
  <c r="K49" i="20"/>
  <c r="M49" i="20" s="1"/>
  <c r="AC49" i="20" s="1"/>
  <c r="AA48" i="20"/>
  <c r="Z48" i="20"/>
  <c r="W48" i="20"/>
  <c r="X48" i="20" s="1"/>
  <c r="Y48" i="20" s="1"/>
  <c r="V48" i="20"/>
  <c r="S48" i="20"/>
  <c r="Q48" i="20"/>
  <c r="M48" i="20"/>
  <c r="AC48" i="20" s="1"/>
  <c r="L48" i="20"/>
  <c r="K48" i="20"/>
  <c r="AA47" i="20"/>
  <c r="Z47" i="20"/>
  <c r="Y47" i="20"/>
  <c r="W47" i="20"/>
  <c r="X47" i="20" s="1"/>
  <c r="V47" i="20"/>
  <c r="S47" i="20"/>
  <c r="K47" i="20"/>
  <c r="M47" i="20" s="1"/>
  <c r="AA46" i="20"/>
  <c r="V46" i="20"/>
  <c r="W46" i="20" s="1"/>
  <c r="X46" i="20" s="1"/>
  <c r="S46" i="20"/>
  <c r="K46" i="20"/>
  <c r="AA45" i="20"/>
  <c r="V45" i="20"/>
  <c r="W45" i="20" s="1"/>
  <c r="X45" i="20" s="1"/>
  <c r="S45" i="20"/>
  <c r="M45" i="20"/>
  <c r="L45" i="20"/>
  <c r="K45" i="20"/>
  <c r="AA44" i="20"/>
  <c r="V44" i="20"/>
  <c r="W44" i="20" s="1"/>
  <c r="X44" i="20" s="1"/>
  <c r="S44" i="20"/>
  <c r="N44" i="20"/>
  <c r="O44" i="20" s="1"/>
  <c r="M44" i="20"/>
  <c r="AC44" i="20" s="1"/>
  <c r="L44" i="20"/>
  <c r="K44" i="20"/>
  <c r="AA43" i="20"/>
  <c r="Y43" i="20"/>
  <c r="V43" i="20"/>
  <c r="W43" i="20" s="1"/>
  <c r="X43" i="20" s="1"/>
  <c r="Z43" i="20" s="1"/>
  <c r="S43" i="20"/>
  <c r="M43" i="20"/>
  <c r="K43" i="20"/>
  <c r="L43" i="20" s="1"/>
  <c r="AC42" i="20"/>
  <c r="AA42" i="20"/>
  <c r="AB42" i="20" s="1"/>
  <c r="X42" i="20"/>
  <c r="Z42" i="20" s="1"/>
  <c r="W42" i="20"/>
  <c r="V42" i="20"/>
  <c r="S42" i="20"/>
  <c r="Q42" i="20"/>
  <c r="M42" i="20"/>
  <c r="K42" i="20"/>
  <c r="L42" i="20" s="1"/>
  <c r="N42" i="20" s="1"/>
  <c r="O42" i="20" s="1"/>
  <c r="AC41" i="20"/>
  <c r="AA41" i="20"/>
  <c r="W41" i="20"/>
  <c r="X41" i="20" s="1"/>
  <c r="V41" i="20"/>
  <c r="S41" i="20"/>
  <c r="M41" i="20"/>
  <c r="Q41" i="20" s="1"/>
  <c r="K41" i="20"/>
  <c r="L41" i="20" s="1"/>
  <c r="AA40" i="20"/>
  <c r="Y40" i="20"/>
  <c r="X40" i="20"/>
  <c r="Z40" i="20" s="1"/>
  <c r="V40" i="20"/>
  <c r="W40" i="20" s="1"/>
  <c r="S40" i="20"/>
  <c r="K40" i="20"/>
  <c r="AA39" i="20"/>
  <c r="V39" i="20"/>
  <c r="W39" i="20" s="1"/>
  <c r="X39" i="20" s="1"/>
  <c r="S39" i="20"/>
  <c r="K39" i="20"/>
  <c r="AA38" i="20"/>
  <c r="Z38" i="20"/>
  <c r="W38" i="20"/>
  <c r="X38" i="20" s="1"/>
  <c r="Y38" i="20" s="1"/>
  <c r="V38" i="20"/>
  <c r="S38" i="20"/>
  <c r="L38" i="20"/>
  <c r="K38" i="20"/>
  <c r="M38" i="20" s="1"/>
  <c r="AC37" i="20"/>
  <c r="AA37" i="20"/>
  <c r="Z37" i="20"/>
  <c r="Y37" i="20"/>
  <c r="W37" i="20"/>
  <c r="X37" i="20" s="1"/>
  <c r="V37" i="20"/>
  <c r="S37" i="20"/>
  <c r="K37" i="20"/>
  <c r="M37" i="20" s="1"/>
  <c r="Q37" i="20" s="1"/>
  <c r="AA36" i="20"/>
  <c r="V36" i="20"/>
  <c r="W36" i="20" s="1"/>
  <c r="X36" i="20" s="1"/>
  <c r="S36" i="20"/>
  <c r="K36" i="20"/>
  <c r="M36" i="20" s="1"/>
  <c r="AC35" i="20"/>
  <c r="AA35" i="20"/>
  <c r="V35" i="20"/>
  <c r="W35" i="20" s="1"/>
  <c r="X35" i="20" s="1"/>
  <c r="S35" i="20"/>
  <c r="Q35" i="20"/>
  <c r="K35" i="20"/>
  <c r="M35" i="20" s="1"/>
  <c r="AA34" i="20"/>
  <c r="V34" i="20"/>
  <c r="W34" i="20" s="1"/>
  <c r="X34" i="20" s="1"/>
  <c r="S34" i="20"/>
  <c r="L34" i="20"/>
  <c r="K34" i="20"/>
  <c r="M34" i="20" s="1"/>
  <c r="AC33" i="20"/>
  <c r="AA33" i="20"/>
  <c r="Y33" i="20"/>
  <c r="X33" i="20"/>
  <c r="Z33" i="20" s="1"/>
  <c r="V33" i="20"/>
  <c r="W33" i="20" s="1"/>
  <c r="S33" i="20"/>
  <c r="K33" i="20"/>
  <c r="M33" i="20" s="1"/>
  <c r="Q33" i="20" s="1"/>
  <c r="AA32" i="20"/>
  <c r="X32" i="20"/>
  <c r="W32" i="20"/>
  <c r="V32" i="20"/>
  <c r="S32" i="20"/>
  <c r="M32" i="20"/>
  <c r="AC32" i="20" s="1"/>
  <c r="L32" i="20"/>
  <c r="K32" i="20"/>
  <c r="AA31" i="20"/>
  <c r="Z31" i="20"/>
  <c r="Y31" i="20"/>
  <c r="X31" i="20"/>
  <c r="W31" i="20"/>
  <c r="V31" i="20"/>
  <c r="S31" i="20"/>
  <c r="K31" i="20"/>
  <c r="M31" i="20" s="1"/>
  <c r="AC30" i="20"/>
  <c r="AA30" i="20"/>
  <c r="Z30" i="20"/>
  <c r="Y30" i="20"/>
  <c r="X30" i="20"/>
  <c r="W30" i="20"/>
  <c r="V30" i="20"/>
  <c r="S30" i="20"/>
  <c r="Q30" i="20"/>
  <c r="M30" i="20"/>
  <c r="L30" i="20"/>
  <c r="K30" i="20"/>
  <c r="AA29" i="20"/>
  <c r="V29" i="20"/>
  <c r="W29" i="20" s="1"/>
  <c r="X29" i="20" s="1"/>
  <c r="S29" i="20"/>
  <c r="K29" i="20"/>
  <c r="AA28" i="20"/>
  <c r="AB28" i="20" s="1"/>
  <c r="X28" i="20"/>
  <c r="Y28" i="20" s="1"/>
  <c r="W28" i="20"/>
  <c r="V28" i="20"/>
  <c r="S28" i="20"/>
  <c r="K28" i="20"/>
  <c r="L28" i="20" s="1"/>
  <c r="AA27" i="20"/>
  <c r="V27" i="20"/>
  <c r="W27" i="20" s="1"/>
  <c r="X27" i="20" s="1"/>
  <c r="S27" i="20"/>
  <c r="K27" i="20"/>
  <c r="M27" i="20" s="1"/>
  <c r="AC26" i="20"/>
  <c r="AA26" i="20"/>
  <c r="AB26" i="20" s="1"/>
  <c r="X26" i="20"/>
  <c r="V26" i="20"/>
  <c r="W26" i="20" s="1"/>
  <c r="S26" i="20"/>
  <c r="Q26" i="20"/>
  <c r="M26" i="20"/>
  <c r="K26" i="20"/>
  <c r="L26" i="20" s="1"/>
  <c r="N26" i="20" s="1"/>
  <c r="O26" i="20" s="1"/>
  <c r="AA25" i="20"/>
  <c r="X25" i="20"/>
  <c r="V25" i="20"/>
  <c r="W25" i="20" s="1"/>
  <c r="S25" i="20"/>
  <c r="Q25" i="20"/>
  <c r="L25" i="20"/>
  <c r="AB25" i="20" s="1"/>
  <c r="K25" i="20"/>
  <c r="M25" i="20" s="1"/>
  <c r="AC25" i="20" s="1"/>
  <c r="AA24" i="20"/>
  <c r="W24" i="20"/>
  <c r="X24" i="20" s="1"/>
  <c r="V24" i="20"/>
  <c r="S24" i="20"/>
  <c r="K24" i="20"/>
  <c r="AA23" i="20"/>
  <c r="Z23" i="20"/>
  <c r="Y23" i="20"/>
  <c r="V23" i="20"/>
  <c r="W23" i="20" s="1"/>
  <c r="X23" i="20" s="1"/>
  <c r="S23" i="20"/>
  <c r="L23" i="20"/>
  <c r="K23" i="20"/>
  <c r="M23" i="20" s="1"/>
  <c r="AC22" i="20"/>
  <c r="AA22" i="20"/>
  <c r="AB22" i="20" s="1"/>
  <c r="V22" i="20"/>
  <c r="W22" i="20" s="1"/>
  <c r="X22" i="20" s="1"/>
  <c r="S22" i="20"/>
  <c r="M22" i="20"/>
  <c r="Q22" i="20" s="1"/>
  <c r="L22" i="20"/>
  <c r="K22" i="20"/>
  <c r="AA21" i="20"/>
  <c r="V21" i="20"/>
  <c r="W21" i="20" s="1"/>
  <c r="X21" i="20" s="1"/>
  <c r="S21" i="20"/>
  <c r="N21" i="20"/>
  <c r="O21" i="20" s="1"/>
  <c r="M21" i="20"/>
  <c r="L21" i="20"/>
  <c r="AB21" i="20" s="1"/>
  <c r="K21" i="20"/>
  <c r="AA20" i="20"/>
  <c r="X20" i="20"/>
  <c r="V20" i="20"/>
  <c r="W20" i="20" s="1"/>
  <c r="S20" i="20"/>
  <c r="M20" i="20"/>
  <c r="L20" i="20"/>
  <c r="AB20" i="20" s="1"/>
  <c r="K20" i="20"/>
  <c r="AB19" i="20"/>
  <c r="AA19" i="20"/>
  <c r="V19" i="20"/>
  <c r="W19" i="20" s="1"/>
  <c r="X19" i="20" s="1"/>
  <c r="S19" i="20"/>
  <c r="L19" i="20"/>
  <c r="N19" i="20" s="1"/>
  <c r="O19" i="20" s="1"/>
  <c r="K19" i="20"/>
  <c r="M19" i="20" s="1"/>
  <c r="AA18" i="20"/>
  <c r="V18" i="20"/>
  <c r="W18" i="20" s="1"/>
  <c r="X18" i="20" s="1"/>
  <c r="Z18" i="20" s="1"/>
  <c r="S18" i="20"/>
  <c r="M18" i="20"/>
  <c r="K18" i="20"/>
  <c r="L18" i="20" s="1"/>
  <c r="AC17" i="20"/>
  <c r="AA17" i="20"/>
  <c r="AB17" i="20" s="1"/>
  <c r="Z17" i="20"/>
  <c r="V17" i="20"/>
  <c r="W17" i="20" s="1"/>
  <c r="X17" i="20" s="1"/>
  <c r="Y17" i="20" s="1"/>
  <c r="S17" i="20"/>
  <c r="M17" i="20"/>
  <c r="Q17" i="20" s="1"/>
  <c r="L17" i="20"/>
  <c r="K17" i="20"/>
  <c r="AA16" i="20"/>
  <c r="X16" i="20"/>
  <c r="W16" i="20"/>
  <c r="V16" i="20"/>
  <c r="S16" i="20"/>
  <c r="L16" i="20"/>
  <c r="K16" i="20"/>
  <c r="M16" i="20" s="1"/>
  <c r="AC16" i="20" s="1"/>
  <c r="AC15" i="20"/>
  <c r="AB15" i="20"/>
  <c r="AA15" i="20"/>
  <c r="Z15" i="20"/>
  <c r="Y15" i="20"/>
  <c r="V15" i="20"/>
  <c r="W15" i="20" s="1"/>
  <c r="X15" i="20" s="1"/>
  <c r="S15" i="20"/>
  <c r="M15" i="20"/>
  <c r="Q15" i="20" s="1"/>
  <c r="L15" i="20"/>
  <c r="K15" i="20"/>
  <c r="AA14" i="20"/>
  <c r="X14" i="20"/>
  <c r="Y14" i="20" s="1"/>
  <c r="V14" i="20"/>
  <c r="W14" i="20" s="1"/>
  <c r="S14" i="20"/>
  <c r="Q14" i="20"/>
  <c r="K14" i="20"/>
  <c r="M14" i="20" s="1"/>
  <c r="AC14" i="20" s="1"/>
  <c r="AC13" i="20"/>
  <c r="AA13" i="20"/>
  <c r="V13" i="20"/>
  <c r="W13" i="20" s="1"/>
  <c r="X13" i="20" s="1"/>
  <c r="S13" i="20"/>
  <c r="Q13" i="20"/>
  <c r="M13" i="20"/>
  <c r="L13" i="20"/>
  <c r="AB13" i="20" s="1"/>
  <c r="K13" i="20"/>
  <c r="AA12" i="20"/>
  <c r="W12" i="20"/>
  <c r="X12" i="20" s="1"/>
  <c r="V12" i="20"/>
  <c r="S12" i="20"/>
  <c r="K12" i="20"/>
  <c r="M12" i="20" s="1"/>
  <c r="AC12" i="20" s="1"/>
  <c r="AB11" i="20"/>
  <c r="AA11" i="20"/>
  <c r="W11" i="20"/>
  <c r="X11" i="20" s="1"/>
  <c r="V11" i="20"/>
  <c r="S11" i="20"/>
  <c r="M11" i="20"/>
  <c r="L11" i="20"/>
  <c r="K11" i="20"/>
  <c r="AA10" i="20"/>
  <c r="W10" i="20"/>
  <c r="X10" i="20" s="1"/>
  <c r="Y10" i="20" s="1"/>
  <c r="V10" i="20"/>
  <c r="S10" i="20"/>
  <c r="L10" i="20"/>
  <c r="K10" i="20"/>
  <c r="M10" i="20" s="1"/>
  <c r="AA9" i="20"/>
  <c r="W9" i="20"/>
  <c r="X9" i="20" s="1"/>
  <c r="Z9" i="20" s="1"/>
  <c r="V9" i="20"/>
  <c r="S9" i="20"/>
  <c r="K9" i="20"/>
  <c r="M9" i="20" s="1"/>
  <c r="AA8" i="20"/>
  <c r="Y8" i="20"/>
  <c r="X8" i="20"/>
  <c r="Z8" i="20" s="1"/>
  <c r="W8" i="20"/>
  <c r="V8" i="20"/>
  <c r="S8" i="20"/>
  <c r="M8" i="20"/>
  <c r="L8" i="20"/>
  <c r="K8" i="20"/>
  <c r="AA7" i="20"/>
  <c r="Z7" i="20"/>
  <c r="W7" i="20"/>
  <c r="X7" i="20" s="1"/>
  <c r="Y7" i="20" s="1"/>
  <c r="V7" i="20"/>
  <c r="S7" i="20"/>
  <c r="K7" i="20"/>
  <c r="AA6" i="20"/>
  <c r="V6" i="20"/>
  <c r="W6" i="20" s="1"/>
  <c r="X6" i="20" s="1"/>
  <c r="S6" i="20"/>
  <c r="M6" i="20"/>
  <c r="L6" i="20"/>
  <c r="K6" i="20"/>
  <c r="AC5" i="20"/>
  <c r="AB5" i="20"/>
  <c r="AA5" i="20"/>
  <c r="W5" i="20"/>
  <c r="X5" i="20" s="1"/>
  <c r="V5" i="20"/>
  <c r="S5" i="20"/>
  <c r="M5" i="20"/>
  <c r="Q5" i="20" s="1"/>
  <c r="L5" i="20"/>
  <c r="K5" i="20"/>
  <c r="AA4" i="20"/>
  <c r="Z4" i="20"/>
  <c r="Y4" i="20"/>
  <c r="V4" i="20"/>
  <c r="W4" i="20" s="1"/>
  <c r="X4" i="20" s="1"/>
  <c r="S4" i="20"/>
  <c r="K4" i="20"/>
  <c r="AC3" i="20"/>
  <c r="AA3" i="20"/>
  <c r="AB3" i="20" s="1"/>
  <c r="Z3" i="20"/>
  <c r="V3" i="20"/>
  <c r="W3" i="20" s="1"/>
  <c r="X3" i="20" s="1"/>
  <c r="Y3" i="20" s="1"/>
  <c r="S3" i="20"/>
  <c r="Q3" i="20"/>
  <c r="M3" i="20"/>
  <c r="K3" i="20"/>
  <c r="L3" i="20" s="1"/>
  <c r="N3" i="20" s="1"/>
  <c r="O3" i="20" s="1"/>
  <c r="AA2" i="20"/>
  <c r="Y2" i="20"/>
  <c r="X2" i="20"/>
  <c r="Z2" i="20" s="1"/>
  <c r="W2" i="20"/>
  <c r="V2" i="20"/>
  <c r="S2" i="20"/>
  <c r="M2" i="20"/>
  <c r="L2" i="20"/>
  <c r="K2" i="20"/>
  <c r="D68" i="17"/>
  <c r="C43" i="5"/>
  <c r="Z1575" i="20" s="1"/>
  <c r="J1575" i="20" s="1"/>
  <c r="C42" i="5"/>
  <c r="C41" i="5"/>
  <c r="C40" i="5"/>
  <c r="Z1579" i="20" s="1"/>
  <c r="J1579" i="20" s="1"/>
  <c r="C39" i="5"/>
  <c r="C38" i="5"/>
  <c r="Z2258" i="20" s="1"/>
  <c r="C37" i="5"/>
  <c r="C36" i="5"/>
  <c r="C35" i="5"/>
  <c r="Z1730" i="20" s="1"/>
  <c r="J1730" i="20" s="1"/>
  <c r="C34" i="5"/>
  <c r="C33" i="5"/>
  <c r="C32" i="5"/>
  <c r="Z1488" i="20" s="1"/>
  <c r="J1488" i="20" s="1"/>
  <c r="C31" i="5"/>
  <c r="C30" i="5"/>
  <c r="C29" i="5"/>
  <c r="C28" i="5"/>
  <c r="C27" i="5"/>
  <c r="C26" i="5"/>
  <c r="C25" i="5"/>
  <c r="Z1436" i="20" s="1"/>
  <c r="C24" i="5"/>
  <c r="C23" i="5"/>
  <c r="Z1600" i="20" s="1"/>
  <c r="J1600" i="20" s="1"/>
  <c r="C22" i="5"/>
  <c r="C21" i="5"/>
  <c r="C20" i="5"/>
  <c r="C19" i="5"/>
  <c r="C18" i="5"/>
  <c r="C17" i="5"/>
  <c r="Z2229" i="20" s="1"/>
  <c r="J2229" i="20" s="1"/>
  <c r="C16" i="5"/>
  <c r="C15" i="5"/>
  <c r="C14" i="5"/>
  <c r="Z1667" i="20" s="1"/>
  <c r="C13" i="5"/>
  <c r="C12" i="5"/>
  <c r="Z1684" i="20" s="1"/>
  <c r="C11" i="5"/>
  <c r="Z1451" i="20" s="1"/>
  <c r="C10" i="5"/>
  <c r="C9" i="5"/>
  <c r="Z1695" i="20" s="1"/>
  <c r="C8" i="5"/>
  <c r="C7" i="5"/>
  <c r="Z1635" i="20" s="1"/>
  <c r="C6" i="5"/>
  <c r="C5" i="5"/>
  <c r="C4" i="5"/>
  <c r="C3" i="5"/>
  <c r="C2" i="5"/>
  <c r="Z2043" i="20" s="1"/>
  <c r="B105" i="4"/>
  <c r="B104" i="4"/>
  <c r="B103" i="4"/>
  <c r="B102" i="4"/>
  <c r="F95" i="4"/>
  <c r="D95" i="4"/>
  <c r="B95" i="4"/>
  <c r="F94" i="4"/>
  <c r="D94" i="4"/>
  <c r="B94" i="4"/>
  <c r="F93" i="4"/>
  <c r="D93" i="4"/>
  <c r="B93" i="4"/>
  <c r="F92" i="4"/>
  <c r="D92" i="4"/>
  <c r="B92" i="4"/>
  <c r="F91" i="4"/>
  <c r="D91" i="4"/>
  <c r="B91" i="4"/>
  <c r="F90" i="4"/>
  <c r="D90" i="4"/>
  <c r="B90" i="4"/>
  <c r="I90" i="4" s="1"/>
  <c r="F89" i="4"/>
  <c r="D89" i="4"/>
  <c r="B89" i="4"/>
  <c r="F88" i="4"/>
  <c r="D88" i="4"/>
  <c r="B88" i="4"/>
  <c r="F87" i="4"/>
  <c r="D87" i="4"/>
  <c r="B87" i="4"/>
  <c r="F86" i="4"/>
  <c r="D86" i="4"/>
  <c r="B86" i="4"/>
  <c r="F85" i="4"/>
  <c r="D85" i="4"/>
  <c r="B85" i="4"/>
  <c r="F84" i="4"/>
  <c r="D84" i="4"/>
  <c r="B84" i="4"/>
  <c r="F83" i="4"/>
  <c r="D83" i="4"/>
  <c r="B83" i="4"/>
  <c r="F82" i="4"/>
  <c r="D82" i="4"/>
  <c r="B82" i="4"/>
  <c r="L81" i="4"/>
  <c r="B81" i="4"/>
  <c r="L80" i="4"/>
  <c r="B80" i="4"/>
  <c r="L79" i="4"/>
  <c r="B79" i="4"/>
  <c r="F78" i="4"/>
  <c r="D78" i="4"/>
  <c r="B78" i="4"/>
  <c r="F77" i="4"/>
  <c r="D77" i="4"/>
  <c r="B77" i="4"/>
  <c r="F76" i="4"/>
  <c r="D76" i="4"/>
  <c r="B76" i="4"/>
  <c r="H75" i="4"/>
  <c r="F75" i="4"/>
  <c r="D75" i="4"/>
  <c r="B75" i="4"/>
  <c r="F74" i="4"/>
  <c r="D74" i="4"/>
  <c r="B74" i="4"/>
  <c r="F73" i="4"/>
  <c r="D73" i="4"/>
  <c r="B73" i="4"/>
  <c r="F72" i="4"/>
  <c r="D72" i="4"/>
  <c r="B72" i="4"/>
  <c r="F71" i="4"/>
  <c r="D71" i="4"/>
  <c r="B71" i="4"/>
  <c r="F70" i="4"/>
  <c r="D70" i="4"/>
  <c r="B70" i="4"/>
  <c r="F69" i="4"/>
  <c r="D69" i="4"/>
  <c r="B69" i="4"/>
  <c r="L68" i="4"/>
  <c r="B68" i="4"/>
  <c r="L67" i="4"/>
  <c r="B67" i="4"/>
  <c r="L66" i="4"/>
  <c r="B66" i="4"/>
  <c r="L65" i="4"/>
  <c r="B65" i="4"/>
  <c r="F64" i="4"/>
  <c r="D64" i="4"/>
  <c r="B64" i="4"/>
  <c r="L63" i="4"/>
  <c r="B63" i="4"/>
  <c r="F62" i="4"/>
  <c r="D62" i="4"/>
  <c r="B62" i="4"/>
  <c r="L61" i="4"/>
  <c r="B61" i="4"/>
  <c r="F60" i="4"/>
  <c r="D60" i="4"/>
  <c r="B60" i="4"/>
  <c r="G59" i="4"/>
  <c r="F59" i="4"/>
  <c r="D59" i="4"/>
  <c r="B59" i="4"/>
  <c r="F58" i="4"/>
  <c r="D58" i="4"/>
  <c r="B58" i="4"/>
  <c r="L57" i="4"/>
  <c r="B57" i="4"/>
  <c r="L56" i="4"/>
  <c r="B56" i="4"/>
  <c r="L55" i="4"/>
  <c r="B55" i="4"/>
  <c r="L54" i="4"/>
  <c r="B54" i="4"/>
  <c r="L53" i="4"/>
  <c r="B53" i="4"/>
  <c r="L52" i="4"/>
  <c r="B52" i="4"/>
  <c r="L51" i="4"/>
  <c r="B51" i="4"/>
  <c r="L50" i="4"/>
  <c r="B50" i="4"/>
  <c r="L49" i="4"/>
  <c r="B49" i="4"/>
  <c r="L48" i="4"/>
  <c r="B48" i="4"/>
  <c r="L47" i="4"/>
  <c r="B47" i="4"/>
  <c r="L46" i="4"/>
  <c r="B46" i="4"/>
  <c r="L45" i="4"/>
  <c r="B45" i="4"/>
  <c r="L44" i="4"/>
  <c r="B44" i="4"/>
  <c r="L43" i="4"/>
  <c r="B43" i="4"/>
  <c r="L42" i="4"/>
  <c r="B42" i="4"/>
  <c r="L41" i="4"/>
  <c r="B41" i="4"/>
  <c r="L40" i="4"/>
  <c r="B40" i="4"/>
  <c r="L39" i="4"/>
  <c r="B39" i="4"/>
  <c r="L38" i="4"/>
  <c r="B38" i="4"/>
  <c r="L37" i="4"/>
  <c r="B37" i="4"/>
  <c r="L36" i="4"/>
  <c r="B36" i="4"/>
  <c r="L35" i="4"/>
  <c r="B35" i="4"/>
  <c r="L34" i="4"/>
  <c r="B34" i="4"/>
  <c r="L33" i="4"/>
  <c r="B33" i="4"/>
  <c r="L32" i="4"/>
  <c r="B32" i="4"/>
  <c r="L31" i="4"/>
  <c r="B31" i="4"/>
  <c r="L30" i="4"/>
  <c r="B30" i="4"/>
  <c r="L29" i="4"/>
  <c r="B29" i="4"/>
  <c r="L28" i="4"/>
  <c r="B28" i="4"/>
  <c r="L27" i="4"/>
  <c r="B27" i="4"/>
  <c r="L26" i="4"/>
  <c r="B26" i="4"/>
  <c r="L25" i="4"/>
  <c r="B25" i="4"/>
  <c r="L24" i="4"/>
  <c r="B24" i="4"/>
  <c r="H17" i="4"/>
  <c r="G17" i="4"/>
  <c r="F17" i="4"/>
  <c r="E17" i="4"/>
  <c r="D17" i="4"/>
  <c r="C17" i="4"/>
  <c r="L6" i="4"/>
  <c r="K6" i="4"/>
  <c r="B6" i="4"/>
  <c r="G75" i="4" s="1"/>
  <c r="L5" i="4"/>
  <c r="K5" i="4"/>
  <c r="K7" i="4" s="1"/>
  <c r="L4" i="4"/>
  <c r="K4" i="4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T328" i="20" s="1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B135" i="2"/>
  <c r="I134" i="2"/>
  <c r="B134" i="2"/>
  <c r="I133" i="2"/>
  <c r="B133" i="2"/>
  <c r="B129" i="2"/>
  <c r="B128" i="2"/>
  <c r="K123" i="2"/>
  <c r="J123" i="2"/>
  <c r="D123" i="2"/>
  <c r="C123" i="2"/>
  <c r="B123" i="2"/>
  <c r="B122" i="2"/>
  <c r="B121" i="2"/>
  <c r="K120" i="2"/>
  <c r="J120" i="2"/>
  <c r="D120" i="2"/>
  <c r="C120" i="2"/>
  <c r="G120" i="2" s="1"/>
  <c r="B120" i="2"/>
  <c r="B119" i="2"/>
  <c r="D118" i="2"/>
  <c r="C118" i="2"/>
  <c r="B118" i="2"/>
  <c r="B117" i="2"/>
  <c r="D110" i="2"/>
  <c r="B110" i="2"/>
  <c r="K109" i="2"/>
  <c r="D109" i="2"/>
  <c r="B109" i="2"/>
  <c r="D108" i="2"/>
  <c r="C108" i="2"/>
  <c r="B108" i="2"/>
  <c r="B107" i="2"/>
  <c r="D106" i="2"/>
  <c r="B106" i="2"/>
  <c r="D105" i="2"/>
  <c r="C105" i="2"/>
  <c r="B105" i="2"/>
  <c r="B111" i="2" s="1"/>
  <c r="B104" i="2"/>
  <c r="B103" i="2"/>
  <c r="B102" i="2"/>
  <c r="B98" i="2"/>
  <c r="B97" i="2"/>
  <c r="B96" i="2"/>
  <c r="B95" i="2"/>
  <c r="B94" i="2"/>
  <c r="B93" i="2"/>
  <c r="K89" i="2"/>
  <c r="D89" i="2"/>
  <c r="C89" i="2"/>
  <c r="B89" i="2"/>
  <c r="J88" i="2"/>
  <c r="D88" i="2"/>
  <c r="C88" i="2"/>
  <c r="B88" i="2"/>
  <c r="D87" i="2"/>
  <c r="C87" i="2"/>
  <c r="B87" i="2"/>
  <c r="B86" i="2"/>
  <c r="D84" i="2"/>
  <c r="C84" i="2"/>
  <c r="B84" i="2"/>
  <c r="D83" i="2"/>
  <c r="C83" i="2"/>
  <c r="B83" i="2"/>
  <c r="B82" i="2"/>
  <c r="B81" i="2"/>
  <c r="B80" i="2"/>
  <c r="B77" i="2"/>
  <c r="B76" i="2"/>
  <c r="B75" i="2"/>
  <c r="B74" i="2"/>
  <c r="B73" i="2"/>
  <c r="B69" i="2"/>
  <c r="B68" i="2"/>
  <c r="B64" i="2"/>
  <c r="B63" i="2"/>
  <c r="B60" i="2"/>
  <c r="B59" i="2"/>
  <c r="B58" i="2"/>
  <c r="B54" i="2"/>
  <c r="B53" i="2"/>
  <c r="B55" i="2" s="1"/>
  <c r="B49" i="2"/>
  <c r="B45" i="2"/>
  <c r="B44" i="2"/>
  <c r="B43" i="2"/>
  <c r="B41" i="2"/>
  <c r="B40" i="2"/>
  <c r="B39" i="2"/>
  <c r="B36" i="2"/>
  <c r="B35" i="2"/>
  <c r="B34" i="2"/>
  <c r="B33" i="2"/>
  <c r="B32" i="2"/>
  <c r="B31" i="2"/>
  <c r="B30" i="2"/>
  <c r="B29" i="2"/>
  <c r="B26" i="2"/>
  <c r="B25" i="2"/>
  <c r="B24" i="2"/>
  <c r="B23" i="2"/>
  <c r="B22" i="2"/>
  <c r="B21" i="2"/>
  <c r="B20" i="2"/>
  <c r="B16" i="2"/>
  <c r="B15" i="2"/>
  <c r="B14" i="2"/>
  <c r="B13" i="2"/>
  <c r="B12" i="2"/>
  <c r="B11" i="2"/>
  <c r="B10" i="2"/>
  <c r="A5" i="2"/>
  <c r="N2349" i="20" l="1"/>
  <c r="O2349" i="20" s="1"/>
  <c r="P2349" i="20"/>
  <c r="N2052" i="20"/>
  <c r="O2052" i="20" s="1"/>
  <c r="AB2052" i="20"/>
  <c r="AC2052" i="20"/>
  <c r="N2111" i="20"/>
  <c r="O2111" i="20" s="1"/>
  <c r="E87" i="2"/>
  <c r="H87" i="2" s="1"/>
  <c r="L888" i="20"/>
  <c r="E83" i="2"/>
  <c r="H83" i="2" s="1"/>
  <c r="E89" i="2"/>
  <c r="H89" i="2" s="1"/>
  <c r="L120" i="2"/>
  <c r="E105" i="2"/>
  <c r="H105" i="2" s="1"/>
  <c r="E108" i="2"/>
  <c r="F108" i="2" s="1"/>
  <c r="E88" i="2"/>
  <c r="E118" i="2"/>
  <c r="F118" i="2" s="1"/>
  <c r="L89" i="2"/>
  <c r="G88" i="2"/>
  <c r="F89" i="2"/>
  <c r="E120" i="2"/>
  <c r="L201" i="20"/>
  <c r="E84" i="2"/>
  <c r="F84" i="2" s="1"/>
  <c r="P1755" i="20"/>
  <c r="P1939" i="20"/>
  <c r="P1614" i="20"/>
  <c r="L88" i="2"/>
  <c r="L123" i="2"/>
  <c r="Y316" i="20"/>
  <c r="Z316" i="20"/>
  <c r="J316" i="20" s="1"/>
  <c r="AC475" i="20"/>
  <c r="Q475" i="20"/>
  <c r="J3" i="20"/>
  <c r="P3" i="20" s="1"/>
  <c r="AB284" i="20"/>
  <c r="N284" i="20"/>
  <c r="O284" i="20" s="1"/>
  <c r="P284" i="20"/>
  <c r="AC8" i="20"/>
  <c r="Q8" i="20"/>
  <c r="AC304" i="20"/>
  <c r="Q304" i="20"/>
  <c r="D14" i="2"/>
  <c r="T224" i="20"/>
  <c r="T390" i="20"/>
  <c r="T271" i="20"/>
  <c r="T141" i="20"/>
  <c r="T189" i="20"/>
  <c r="T35" i="20"/>
  <c r="U35" i="20" s="1"/>
  <c r="T535" i="20"/>
  <c r="U535" i="20" s="1"/>
  <c r="J535" i="20" s="1"/>
  <c r="T160" i="20"/>
  <c r="T102" i="20"/>
  <c r="T172" i="20"/>
  <c r="T374" i="20"/>
  <c r="T529" i="20"/>
  <c r="U529" i="20" s="1"/>
  <c r="AC128" i="20"/>
  <c r="Q128" i="20"/>
  <c r="G87" i="2"/>
  <c r="F87" i="2"/>
  <c r="Z260" i="20"/>
  <c r="J260" i="20" s="1"/>
  <c r="Y260" i="20"/>
  <c r="G123" i="2"/>
  <c r="E123" i="2"/>
  <c r="F123" i="2" s="1"/>
  <c r="AC9" i="20"/>
  <c r="Q9" i="20"/>
  <c r="AC18" i="20"/>
  <c r="Q18" i="20"/>
  <c r="Y128" i="20"/>
  <c r="Z128" i="20"/>
  <c r="J128" i="20" s="1"/>
  <c r="Z248" i="20"/>
  <c r="J248" i="20" s="1"/>
  <c r="Y248" i="20"/>
  <c r="Z119" i="20"/>
  <c r="J119" i="20" s="1"/>
  <c r="Y119" i="20"/>
  <c r="Z326" i="20"/>
  <c r="J326" i="20" s="1"/>
  <c r="P326" i="20" s="1"/>
  <c r="Y326" i="20"/>
  <c r="T640" i="20"/>
  <c r="B65" i="2"/>
  <c r="AC525" i="20"/>
  <c r="Q525" i="20"/>
  <c r="I135" i="2"/>
  <c r="Y129" i="20"/>
  <c r="Z129" i="20"/>
  <c r="J129" i="20" s="1"/>
  <c r="Z400" i="20"/>
  <c r="J400" i="20" s="1"/>
  <c r="Y400" i="20"/>
  <c r="AC442" i="20"/>
  <c r="Q442" i="20"/>
  <c r="T445" i="20"/>
  <c r="T448" i="20"/>
  <c r="Z93" i="20"/>
  <c r="Y93" i="20"/>
  <c r="H118" i="2"/>
  <c r="G118" i="2"/>
  <c r="M684" i="20"/>
  <c r="L684" i="20"/>
  <c r="T203" i="20"/>
  <c r="T215" i="20"/>
  <c r="T442" i="20"/>
  <c r="N30" i="20"/>
  <c r="O30" i="20" s="1"/>
  <c r="AB30" i="20"/>
  <c r="AC246" i="20"/>
  <c r="N246" i="20"/>
  <c r="O246" i="20" s="1"/>
  <c r="Q246" i="20"/>
  <c r="G105" i="2"/>
  <c r="Z79" i="20"/>
  <c r="Y79" i="20"/>
  <c r="T597" i="20"/>
  <c r="U597" i="20" s="1"/>
  <c r="T30" i="20"/>
  <c r="U30" i="20" s="1"/>
  <c r="T550" i="20"/>
  <c r="U550" i="20" s="1"/>
  <c r="Z20" i="20"/>
  <c r="Y20" i="20"/>
  <c r="AB48" i="20"/>
  <c r="N48" i="20"/>
  <c r="O48" i="20" s="1"/>
  <c r="Z146" i="20"/>
  <c r="J146" i="20" s="1"/>
  <c r="P146" i="20" s="1"/>
  <c r="Y146" i="20"/>
  <c r="Z293" i="20"/>
  <c r="J293" i="20" s="1"/>
  <c r="Y293" i="20"/>
  <c r="B50" i="2"/>
  <c r="B90" i="2"/>
  <c r="T339" i="20"/>
  <c r="Z433" i="20"/>
  <c r="Y433" i="20"/>
  <c r="F105" i="2"/>
  <c r="T25" i="20"/>
  <c r="U25" i="20" s="1"/>
  <c r="Y163" i="20"/>
  <c r="Z163" i="20"/>
  <c r="J163" i="20" s="1"/>
  <c r="T227" i="20"/>
  <c r="T335" i="20"/>
  <c r="Q167" i="20"/>
  <c r="AC167" i="20"/>
  <c r="AC179" i="20"/>
  <c r="Q179" i="20"/>
  <c r="E64" i="4"/>
  <c r="T3" i="20"/>
  <c r="U3" i="20" s="1"/>
  <c r="J33" i="20"/>
  <c r="T93" i="20"/>
  <c r="U93" i="20" s="1"/>
  <c r="Z174" i="20"/>
  <c r="J174" i="20" s="1"/>
  <c r="Y174" i="20"/>
  <c r="Z206" i="20"/>
  <c r="J206" i="20" s="1"/>
  <c r="Y206" i="20"/>
  <c r="AB43" i="20"/>
  <c r="N43" i="20"/>
  <c r="O43" i="20" s="1"/>
  <c r="Y155" i="20"/>
  <c r="Z155" i="20"/>
  <c r="J155" i="20" s="1"/>
  <c r="J237" i="20"/>
  <c r="P237" i="20" s="1"/>
  <c r="AC308" i="20"/>
  <c r="Q308" i="20"/>
  <c r="T470" i="20"/>
  <c r="T473" i="20"/>
  <c r="B17" i="2"/>
  <c r="Q43" i="20"/>
  <c r="AC43" i="20"/>
  <c r="Z74" i="20"/>
  <c r="Q80" i="20"/>
  <c r="AC80" i="20"/>
  <c r="AB111" i="20"/>
  <c r="N111" i="20"/>
  <c r="O111" i="20" s="1"/>
  <c r="M140" i="20"/>
  <c r="L140" i="20"/>
  <c r="T207" i="20"/>
  <c r="Z291" i="20"/>
  <c r="J291" i="20" s="1"/>
  <c r="Y291" i="20"/>
  <c r="Z587" i="20"/>
  <c r="Y587" i="20"/>
  <c r="E91" i="4"/>
  <c r="H86" i="4"/>
  <c r="H82" i="4"/>
  <c r="E87" i="4"/>
  <c r="G82" i="4"/>
  <c r="E74" i="4"/>
  <c r="H69" i="4"/>
  <c r="H78" i="4"/>
  <c r="G69" i="4"/>
  <c r="H91" i="4"/>
  <c r="E82" i="4"/>
  <c r="G78" i="4"/>
  <c r="G91" i="4"/>
  <c r="E69" i="4"/>
  <c r="H95" i="4"/>
  <c r="G95" i="4"/>
  <c r="E73" i="4"/>
  <c r="G89" i="4"/>
  <c r="G84" i="4"/>
  <c r="H94" i="4"/>
  <c r="G94" i="4"/>
  <c r="E89" i="4"/>
  <c r="E84" i="4"/>
  <c r="I74" i="4"/>
  <c r="H60" i="4"/>
  <c r="H74" i="4"/>
  <c r="G60" i="4"/>
  <c r="H88" i="4"/>
  <c r="H83" i="4"/>
  <c r="G64" i="4"/>
  <c r="G88" i="4"/>
  <c r="G83" i="4"/>
  <c r="E95" i="4"/>
  <c r="E83" i="4"/>
  <c r="G72" i="4"/>
  <c r="H62" i="4"/>
  <c r="H77" i="4"/>
  <c r="G62" i="4"/>
  <c r="G77" i="4"/>
  <c r="E72" i="4"/>
  <c r="E62" i="4"/>
  <c r="E94" i="4"/>
  <c r="E88" i="4"/>
  <c r="E77" i="4"/>
  <c r="H93" i="4"/>
  <c r="I87" i="4"/>
  <c r="G71" i="4"/>
  <c r="G93" i="4"/>
  <c r="H87" i="4"/>
  <c r="H76" i="4"/>
  <c r="G87" i="4"/>
  <c r="G76" i="4"/>
  <c r="E71" i="4"/>
  <c r="E93" i="4"/>
  <c r="E76" i="4"/>
  <c r="H92" i="4"/>
  <c r="I75" i="4"/>
  <c r="G70" i="4"/>
  <c r="G85" i="4"/>
  <c r="E59" i="4"/>
  <c r="G74" i="4"/>
  <c r="G90" i="4"/>
  <c r="H73" i="4"/>
  <c r="G58" i="4"/>
  <c r="I85" i="4"/>
  <c r="I70" i="4"/>
  <c r="H85" i="4"/>
  <c r="E78" i="4"/>
  <c r="H70" i="4"/>
  <c r="I92" i="4"/>
  <c r="G92" i="4"/>
  <c r="E85" i="4"/>
  <c r="E70" i="4"/>
  <c r="E92" i="4"/>
  <c r="H84" i="4"/>
  <c r="I62" i="4"/>
  <c r="B10" i="4"/>
  <c r="B11" i="4" s="1"/>
  <c r="E90" i="4"/>
  <c r="E75" i="4"/>
  <c r="I89" i="4"/>
  <c r="H89" i="4"/>
  <c r="H59" i="4"/>
  <c r="I72" i="4"/>
  <c r="H58" i="4"/>
  <c r="H72" i="4"/>
  <c r="H64" i="4"/>
  <c r="E58" i="4"/>
  <c r="E86" i="4"/>
  <c r="M4" i="20"/>
  <c r="L4" i="20"/>
  <c r="T8" i="20"/>
  <c r="U8" i="20" s="1"/>
  <c r="Q53" i="20"/>
  <c r="AC53" i="20"/>
  <c r="T111" i="20"/>
  <c r="Z229" i="20"/>
  <c r="J229" i="20" s="1"/>
  <c r="Y229" i="20"/>
  <c r="T325" i="20"/>
  <c r="M411" i="20"/>
  <c r="L411" i="20"/>
  <c r="M521" i="20"/>
  <c r="L521" i="20"/>
  <c r="L535" i="20"/>
  <c r="M535" i="20"/>
  <c r="Z566" i="20"/>
  <c r="Y566" i="20"/>
  <c r="T730" i="20"/>
  <c r="U730" i="20" s="1"/>
  <c r="Z773" i="20"/>
  <c r="Y773" i="20"/>
  <c r="Z778" i="20"/>
  <c r="Y778" i="20"/>
  <c r="Z25" i="20"/>
  <c r="J25" i="20" s="1"/>
  <c r="P25" i="20" s="1"/>
  <c r="Y25" i="20"/>
  <c r="AB62" i="20"/>
  <c r="N62" i="20"/>
  <c r="O62" i="20" s="1"/>
  <c r="M75" i="20"/>
  <c r="L75" i="20"/>
  <c r="Z80" i="20"/>
  <c r="Y80" i="20"/>
  <c r="T89" i="20"/>
  <c r="U89" i="20" s="1"/>
  <c r="Z207" i="20"/>
  <c r="J207" i="20" s="1"/>
  <c r="P207" i="20" s="1"/>
  <c r="Y207" i="20"/>
  <c r="Z308" i="20"/>
  <c r="J308" i="20" s="1"/>
  <c r="P308" i="20" s="1"/>
  <c r="Y308" i="20"/>
  <c r="G86" i="4"/>
  <c r="M66" i="20"/>
  <c r="L66" i="20"/>
  <c r="Z89" i="20"/>
  <c r="Y89" i="20"/>
  <c r="Z211" i="20"/>
  <c r="J211" i="20" s="1"/>
  <c r="Y211" i="20"/>
  <c r="Z317" i="20"/>
  <c r="J317" i="20" s="1"/>
  <c r="Y317" i="20"/>
  <c r="P670" i="20"/>
  <c r="N670" i="20"/>
  <c r="O670" i="20" s="1"/>
  <c r="AB670" i="20"/>
  <c r="Q678" i="20"/>
  <c r="AC678" i="20"/>
  <c r="Z53" i="20"/>
  <c r="Y53" i="20"/>
  <c r="T66" i="20"/>
  <c r="U66" i="20" s="1"/>
  <c r="Y111" i="20"/>
  <c r="Z111" i="20"/>
  <c r="J111" i="20" s="1"/>
  <c r="P111" i="20" s="1"/>
  <c r="T148" i="20"/>
  <c r="T152" i="20"/>
  <c r="AC172" i="20"/>
  <c r="Q172" i="20"/>
  <c r="Z401" i="20"/>
  <c r="J401" i="20" s="1"/>
  <c r="P401" i="20" s="1"/>
  <c r="Y401" i="20"/>
  <c r="M458" i="20"/>
  <c r="L458" i="20"/>
  <c r="L870" i="20"/>
  <c r="M870" i="20"/>
  <c r="T921" i="20"/>
  <c r="Z924" i="20"/>
  <c r="J924" i="20" s="1"/>
  <c r="Y924" i="20"/>
  <c r="T4" i="20"/>
  <c r="U4" i="20" s="1"/>
  <c r="J4" i="20" s="1"/>
  <c r="AB71" i="20"/>
  <c r="N71" i="20"/>
  <c r="O71" i="20" s="1"/>
  <c r="Y140" i="20"/>
  <c r="Z140" i="20"/>
  <c r="J140" i="20" s="1"/>
  <c r="T411" i="20"/>
  <c r="Z1643" i="20"/>
  <c r="Y1643" i="20"/>
  <c r="G83" i="2"/>
  <c r="AB44" i="20"/>
  <c r="J66" i="20"/>
  <c r="Z85" i="20"/>
  <c r="Y85" i="20"/>
  <c r="J94" i="20"/>
  <c r="P94" i="20" s="1"/>
  <c r="AB125" i="20"/>
  <c r="P125" i="20"/>
  <c r="N125" i="20"/>
  <c r="O125" i="20" s="1"/>
  <c r="AC168" i="20"/>
  <c r="Q168" i="20"/>
  <c r="N172" i="20"/>
  <c r="O172" i="20" s="1"/>
  <c r="P176" i="20"/>
  <c r="N176" i="20"/>
  <c r="O176" i="20" s="1"/>
  <c r="AB176" i="20"/>
  <c r="A6" i="1"/>
  <c r="B99" i="2"/>
  <c r="J48" i="20"/>
  <c r="P48" i="20" s="1"/>
  <c r="T99" i="20"/>
  <c r="U99" i="20" s="1"/>
  <c r="Z148" i="20"/>
  <c r="J148" i="20" s="1"/>
  <c r="P148" i="20" s="1"/>
  <c r="Y148" i="20"/>
  <c r="Z160" i="20"/>
  <c r="J160" i="20" s="1"/>
  <c r="P160" i="20" s="1"/>
  <c r="Y160" i="20"/>
  <c r="L189" i="20"/>
  <c r="M189" i="20"/>
  <c r="Z196" i="20"/>
  <c r="J196" i="20" s="1"/>
  <c r="Y196" i="20"/>
  <c r="Z200" i="20"/>
  <c r="J200" i="20" s="1"/>
  <c r="P200" i="20" s="1"/>
  <c r="Y200" i="20"/>
  <c r="AC208" i="20"/>
  <c r="Q208" i="20"/>
  <c r="AB212" i="20"/>
  <c r="N212" i="20"/>
  <c r="O212" i="20" s="1"/>
  <c r="Z230" i="20"/>
  <c r="J230" i="20" s="1"/>
  <c r="Y230" i="20"/>
  <c r="Q234" i="20"/>
  <c r="AC234" i="20"/>
  <c r="Z288" i="20"/>
  <c r="J288" i="20" s="1"/>
  <c r="P288" i="20" s="1"/>
  <c r="Y288" i="20"/>
  <c r="T297" i="20"/>
  <c r="T332" i="20"/>
  <c r="Z892" i="20"/>
  <c r="J892" i="20" s="1"/>
  <c r="Y892" i="20"/>
  <c r="B46" i="2"/>
  <c r="M254" i="20"/>
  <c r="L254" i="20"/>
  <c r="Z458" i="20"/>
  <c r="Y458" i="20"/>
  <c r="Z26" i="20"/>
  <c r="Y26" i="20"/>
  <c r="M95" i="20"/>
  <c r="L95" i="20"/>
  <c r="P149" i="20"/>
  <c r="AB149" i="20"/>
  <c r="N149" i="20"/>
  <c r="O149" i="20" s="1"/>
  <c r="AC227" i="20"/>
  <c r="Q227" i="20"/>
  <c r="T254" i="20"/>
  <c r="M381" i="20"/>
  <c r="L381" i="20"/>
  <c r="I59" i="4"/>
  <c r="Z35" i="20"/>
  <c r="J35" i="20" s="1"/>
  <c r="Y35" i="20"/>
  <c r="T44" i="20"/>
  <c r="U44" i="20" s="1"/>
  <c r="Z71" i="20"/>
  <c r="J71" i="20" s="1"/>
  <c r="P71" i="20" s="1"/>
  <c r="Y71" i="20"/>
  <c r="Z121" i="20"/>
  <c r="J121" i="20" s="1"/>
  <c r="Y121" i="20"/>
  <c r="M149" i="20"/>
  <c r="M157" i="20"/>
  <c r="L157" i="20"/>
  <c r="M161" i="20"/>
  <c r="L161" i="20"/>
  <c r="N227" i="20"/>
  <c r="O227" i="20" s="1"/>
  <c r="AC231" i="20"/>
  <c r="Q231" i="20"/>
  <c r="M270" i="20"/>
  <c r="L270" i="20"/>
  <c r="Z318" i="20"/>
  <c r="J318" i="20" s="1"/>
  <c r="Y318" i="20"/>
  <c r="Y329" i="20"/>
  <c r="Z329" i="20"/>
  <c r="J329" i="20" s="1"/>
  <c r="P329" i="20" s="1"/>
  <c r="Y424" i="20"/>
  <c r="Z424" i="20"/>
  <c r="Y640" i="20"/>
  <c r="Z640" i="20"/>
  <c r="J640" i="20" s="1"/>
  <c r="Y714" i="20"/>
  <c r="Z714" i="20"/>
  <c r="J714" i="20" s="1"/>
  <c r="P714" i="20" s="1"/>
  <c r="I58" i="4"/>
  <c r="Z76" i="20"/>
  <c r="Y76" i="20"/>
  <c r="Z90" i="20"/>
  <c r="Y90" i="20"/>
  <c r="Z168" i="20"/>
  <c r="J168" i="20" s="1"/>
  <c r="P168" i="20" s="1"/>
  <c r="Y168" i="20"/>
  <c r="AB231" i="20"/>
  <c r="P231" i="20"/>
  <c r="N231" i="20"/>
  <c r="O231" i="20" s="1"/>
  <c r="AB18" i="20"/>
  <c r="P18" i="20"/>
  <c r="N18" i="20"/>
  <c r="O18" i="20" s="1"/>
  <c r="Z44" i="20"/>
  <c r="J44" i="20" s="1"/>
  <c r="P44" i="20" s="1"/>
  <c r="Y44" i="20"/>
  <c r="T95" i="20"/>
  <c r="U95" i="20" s="1"/>
  <c r="Z116" i="20"/>
  <c r="J116" i="20" s="1"/>
  <c r="Y116" i="20"/>
  <c r="Y141" i="20"/>
  <c r="Z141" i="20"/>
  <c r="J141" i="20" s="1"/>
  <c r="P141" i="20" s="1"/>
  <c r="T201" i="20"/>
  <c r="T231" i="20"/>
  <c r="T239" i="20"/>
  <c r="T278" i="20"/>
  <c r="AB434" i="20"/>
  <c r="P434" i="20"/>
  <c r="N434" i="20"/>
  <c r="Z5" i="20"/>
  <c r="J5" i="20" s="1"/>
  <c r="P5" i="20" s="1"/>
  <c r="Y5" i="20"/>
  <c r="T18" i="20"/>
  <c r="U18" i="20" s="1"/>
  <c r="J18" i="20" s="1"/>
  <c r="Z58" i="20"/>
  <c r="J58" i="20" s="1"/>
  <c r="Y58" i="20"/>
  <c r="P122" i="20"/>
  <c r="AB122" i="20"/>
  <c r="N122" i="20"/>
  <c r="O122" i="20" s="1"/>
  <c r="AC217" i="20"/>
  <c r="Q217" i="20"/>
  <c r="N217" i="20"/>
  <c r="O217" i="20" s="1"/>
  <c r="Z220" i="20"/>
  <c r="J220" i="20" s="1"/>
  <c r="P220" i="20" s="1"/>
  <c r="Y220" i="20"/>
  <c r="Z239" i="20"/>
  <c r="J239" i="20" s="1"/>
  <c r="P239" i="20" s="1"/>
  <c r="Y239" i="20"/>
  <c r="Q275" i="20"/>
  <c r="AC275" i="20"/>
  <c r="Z385" i="20"/>
  <c r="J385" i="20" s="1"/>
  <c r="P385" i="20" s="1"/>
  <c r="Y385" i="20"/>
  <c r="T440" i="20"/>
  <c r="AC23" i="20"/>
  <c r="Q23" i="20"/>
  <c r="Z27" i="20"/>
  <c r="Y27" i="20"/>
  <c r="AC36" i="20"/>
  <c r="Q36" i="20"/>
  <c r="AB41" i="20"/>
  <c r="N41" i="20"/>
  <c r="O41" i="20" s="1"/>
  <c r="Z95" i="20"/>
  <c r="J95" i="20" s="1"/>
  <c r="Y95" i="20"/>
  <c r="T142" i="20"/>
  <c r="T193" i="20"/>
  <c r="T217" i="20"/>
  <c r="N263" i="20"/>
  <c r="O263" i="20" s="1"/>
  <c r="Z266" i="20"/>
  <c r="J266" i="20" s="1"/>
  <c r="Y266" i="20"/>
  <c r="N275" i="20"/>
  <c r="O275" i="20" s="1"/>
  <c r="I60" i="4"/>
  <c r="B70" i="2"/>
  <c r="Y18" i="20"/>
  <c r="L36" i="20"/>
  <c r="T165" i="20"/>
  <c r="T275" i="20"/>
  <c r="T314" i="20"/>
  <c r="AB537" i="20"/>
  <c r="N537" i="20"/>
  <c r="O537" i="20" s="1"/>
  <c r="Z77" i="20"/>
  <c r="J77" i="20" s="1"/>
  <c r="P77" i="20" s="1"/>
  <c r="Y77" i="20"/>
  <c r="Z2317" i="20"/>
  <c r="J2317" i="20" s="1"/>
  <c r="P2317" i="20" s="1"/>
  <c r="Z2299" i="20"/>
  <c r="Z2408" i="20"/>
  <c r="Z1612" i="20"/>
  <c r="Z1662" i="20"/>
  <c r="Z10" i="20"/>
  <c r="J10" i="20" s="1"/>
  <c r="P10" i="20" s="1"/>
  <c r="Z91" i="20"/>
  <c r="AC101" i="20"/>
  <c r="Q101" i="20"/>
  <c r="N101" i="20"/>
  <c r="O101" i="20" s="1"/>
  <c r="T109" i="20"/>
  <c r="AC135" i="20"/>
  <c r="Q135" i="20"/>
  <c r="T310" i="20"/>
  <c r="T660" i="20"/>
  <c r="G108" i="2"/>
  <c r="T386" i="20"/>
  <c r="N6" i="20"/>
  <c r="O6" i="20" s="1"/>
  <c r="AB6" i="20"/>
  <c r="T28" i="20"/>
  <c r="U28" i="20" s="1"/>
  <c r="Z41" i="20"/>
  <c r="Y41" i="20"/>
  <c r="N83" i="20"/>
  <c r="O83" i="20" s="1"/>
  <c r="AB83" i="20"/>
  <c r="T87" i="20"/>
  <c r="U87" i="20" s="1"/>
  <c r="T135" i="20"/>
  <c r="T146" i="20"/>
  <c r="T228" i="20"/>
  <c r="Z351" i="20"/>
  <c r="J351" i="20" s="1"/>
  <c r="Y351" i="20"/>
  <c r="N633" i="20"/>
  <c r="O633" i="20" s="1"/>
  <c r="AB633" i="20"/>
  <c r="P633" i="20"/>
  <c r="Z751" i="20"/>
  <c r="J751" i="20" s="1"/>
  <c r="P751" i="20" s="1"/>
  <c r="Y751" i="20"/>
  <c r="H71" i="4"/>
  <c r="I91" i="4"/>
  <c r="Y122" i="20"/>
  <c r="Z122" i="20"/>
  <c r="J122" i="20" s="1"/>
  <c r="M646" i="20"/>
  <c r="L646" i="20"/>
  <c r="B27" i="2"/>
  <c r="T32" i="20"/>
  <c r="U32" i="20" s="1"/>
  <c r="Z109" i="20"/>
  <c r="J109" i="20" s="1"/>
  <c r="Y109" i="20"/>
  <c r="Z247" i="20"/>
  <c r="J247" i="20" s="1"/>
  <c r="Y247" i="20"/>
  <c r="T319" i="20"/>
  <c r="AB323" i="20"/>
  <c r="N323" i="20"/>
  <c r="O323" i="20" s="1"/>
  <c r="Z59" i="20"/>
  <c r="Y59" i="20"/>
  <c r="Z224" i="20"/>
  <c r="J224" i="20" s="1"/>
  <c r="P224" i="20" s="1"/>
  <c r="Y224" i="20"/>
  <c r="Q323" i="20"/>
  <c r="AC323" i="20"/>
  <c r="M352" i="20"/>
  <c r="L352" i="20"/>
  <c r="I73" i="4"/>
  <c r="Y46" i="20"/>
  <c r="Z46" i="20"/>
  <c r="J46" i="20" s="1"/>
  <c r="Z87" i="20"/>
  <c r="J87" i="20" s="1"/>
  <c r="P87" i="20" s="1"/>
  <c r="Y87" i="20"/>
  <c r="Z131" i="20"/>
  <c r="J131" i="20" s="1"/>
  <c r="Y131" i="20"/>
  <c r="L143" i="20"/>
  <c r="M143" i="20"/>
  <c r="M182" i="20"/>
  <c r="L182" i="20"/>
  <c r="P272" i="20"/>
  <c r="N272" i="20"/>
  <c r="O272" i="20" s="1"/>
  <c r="AB272" i="20"/>
  <c r="Z488" i="20"/>
  <c r="Y488" i="20"/>
  <c r="AC502" i="20"/>
  <c r="Q502" i="20"/>
  <c r="T68" i="20"/>
  <c r="U68" i="20" s="1"/>
  <c r="Z32" i="20"/>
  <c r="J32" i="20" s="1"/>
  <c r="P32" i="20" s="1"/>
  <c r="Y32" i="20"/>
  <c r="T51" i="20"/>
  <c r="U51" i="20" s="1"/>
  <c r="J51" i="20" s="1"/>
  <c r="P51" i="20" s="1"/>
  <c r="Y135" i="20"/>
  <c r="AB166" i="20"/>
  <c r="N166" i="20"/>
  <c r="O166" i="20" s="1"/>
  <c r="Z205" i="20"/>
  <c r="J205" i="20" s="1"/>
  <c r="P205" i="20" s="1"/>
  <c r="Y205" i="20"/>
  <c r="N311" i="20"/>
  <c r="O311" i="20" s="1"/>
  <c r="AC311" i="20"/>
  <c r="Q311" i="20"/>
  <c r="Z551" i="20"/>
  <c r="J551" i="20" s="1"/>
  <c r="P551" i="20" s="1"/>
  <c r="Y551" i="20"/>
  <c r="T595" i="20"/>
  <c r="U595" i="20" s="1"/>
  <c r="Z599" i="20"/>
  <c r="Y599" i="20"/>
  <c r="Z629" i="20"/>
  <c r="J629" i="20" s="1"/>
  <c r="Y629" i="20"/>
  <c r="Y343" i="20"/>
  <c r="Z343" i="20"/>
  <c r="J343" i="20" s="1"/>
  <c r="P343" i="20" s="1"/>
  <c r="M7" i="20"/>
  <c r="L7" i="20"/>
  <c r="T11" i="20"/>
  <c r="U11" i="20" s="1"/>
  <c r="T24" i="20"/>
  <c r="U24" i="20" s="1"/>
  <c r="T60" i="20"/>
  <c r="U60" i="20" s="1"/>
  <c r="Y73" i="20"/>
  <c r="P114" i="20"/>
  <c r="N114" i="20"/>
  <c r="O114" i="20" s="1"/>
  <c r="AB114" i="20"/>
  <c r="Z118" i="20"/>
  <c r="J118" i="20" s="1"/>
  <c r="Y118" i="20"/>
  <c r="T182" i="20"/>
  <c r="Z186" i="20"/>
  <c r="J186" i="20" s="1"/>
  <c r="Y186" i="20"/>
  <c r="T210" i="20"/>
  <c r="AB264" i="20"/>
  <c r="N264" i="20"/>
  <c r="O264" i="20" s="1"/>
  <c r="G84" i="2"/>
  <c r="AB2" i="20"/>
  <c r="N2" i="20"/>
  <c r="O2" i="20" s="1"/>
  <c r="G73" i="4"/>
  <c r="T7" i="20"/>
  <c r="U7" i="20" s="1"/>
  <c r="M29" i="20"/>
  <c r="L29" i="20"/>
  <c r="Z60" i="20"/>
  <c r="J60" i="20" s="1"/>
  <c r="Y60" i="20"/>
  <c r="T64" i="20"/>
  <c r="U64" i="20" s="1"/>
  <c r="J64" i="20" s="1"/>
  <c r="P64" i="20" s="1"/>
  <c r="AC97" i="20"/>
  <c r="Q97" i="20"/>
  <c r="AC106" i="20"/>
  <c r="Q106" i="20"/>
  <c r="T174" i="20"/>
  <c r="M609" i="20"/>
  <c r="L609" i="20"/>
  <c r="AB617" i="20"/>
  <c r="N617" i="20"/>
  <c r="O617" i="20" s="1"/>
  <c r="P617" i="20"/>
  <c r="T177" i="20"/>
  <c r="T213" i="20"/>
  <c r="G89" i="2"/>
  <c r="I64" i="4"/>
  <c r="I83" i="4"/>
  <c r="Z69" i="20"/>
  <c r="Y69" i="20"/>
  <c r="Q84" i="20"/>
  <c r="AB88" i="20"/>
  <c r="N88" i="20"/>
  <c r="O88" i="20" s="1"/>
  <c r="AC93" i="20"/>
  <c r="Q93" i="20"/>
  <c r="L97" i="20"/>
  <c r="N106" i="20"/>
  <c r="O106" i="20" s="1"/>
  <c r="AC136" i="20"/>
  <c r="Q136" i="20"/>
  <c r="T139" i="20"/>
  <c r="Z214" i="20"/>
  <c r="J214" i="20" s="1"/>
  <c r="Y214" i="20"/>
  <c r="T264" i="20"/>
  <c r="T613" i="20"/>
  <c r="AC617" i="20"/>
  <c r="Q617" i="20"/>
  <c r="E60" i="4"/>
  <c r="H90" i="4"/>
  <c r="Y51" i="20"/>
  <c r="N136" i="20"/>
  <c r="O136" i="20" s="1"/>
  <c r="Z218" i="20"/>
  <c r="J218" i="20" s="1"/>
  <c r="Y218" i="20"/>
  <c r="T248" i="20"/>
  <c r="Z16" i="20"/>
  <c r="Y16" i="20"/>
  <c r="T20" i="20"/>
  <c r="U20" i="20" s="1"/>
  <c r="Y50" i="20"/>
  <c r="Z50" i="20"/>
  <c r="AC62" i="20"/>
  <c r="Q62" i="20"/>
  <c r="Z115" i="20"/>
  <c r="J115" i="20" s="1"/>
  <c r="Y115" i="20"/>
  <c r="Y130" i="20"/>
  <c r="Z130" i="20"/>
  <c r="J130" i="20" s="1"/>
  <c r="AC141" i="20"/>
  <c r="Q141" i="20"/>
  <c r="Z159" i="20"/>
  <c r="J159" i="20" s="1"/>
  <c r="P159" i="20" s="1"/>
  <c r="Y159" i="20"/>
  <c r="Q163" i="20"/>
  <c r="AC163" i="20"/>
  <c r="L185" i="20"/>
  <c r="M185" i="20"/>
  <c r="Z202" i="20"/>
  <c r="J202" i="20" s="1"/>
  <c r="Y202" i="20"/>
  <c r="Z236" i="20"/>
  <c r="J236" i="20" s="1"/>
  <c r="Y236" i="20"/>
  <c r="T273" i="20"/>
  <c r="P350" i="20"/>
  <c r="AB350" i="20"/>
  <c r="N350" i="20"/>
  <c r="O350" i="20" s="1"/>
  <c r="Z368" i="20"/>
  <c r="J368" i="20" s="1"/>
  <c r="Y368" i="20"/>
  <c r="Z375" i="20"/>
  <c r="J375" i="20" s="1"/>
  <c r="P375" i="20" s="1"/>
  <c r="Y375" i="20"/>
  <c r="Z578" i="20"/>
  <c r="Y578" i="20"/>
  <c r="AC6" i="20"/>
  <c r="Q6" i="20"/>
  <c r="T82" i="20"/>
  <c r="U82" i="20" s="1"/>
  <c r="N138" i="20"/>
  <c r="O138" i="20" s="1"/>
  <c r="AB138" i="20"/>
  <c r="P138" i="20"/>
  <c r="T185" i="20"/>
  <c r="Z199" i="20"/>
  <c r="J199" i="20" s="1"/>
  <c r="Y199" i="20"/>
  <c r="AC206" i="20"/>
  <c r="Q206" i="20"/>
  <c r="T229" i="20"/>
  <c r="T244" i="20"/>
  <c r="AC284" i="20"/>
  <c r="Q284" i="20"/>
  <c r="Y314" i="20"/>
  <c r="Z314" i="20"/>
  <c r="J314" i="20" s="1"/>
  <c r="P314" i="20" s="1"/>
  <c r="Z322" i="20"/>
  <c r="J322" i="20" s="1"/>
  <c r="P322" i="20" s="1"/>
  <c r="Y322" i="20"/>
  <c r="T361" i="20"/>
  <c r="N365" i="20"/>
  <c r="O365" i="20" s="1"/>
  <c r="AB365" i="20"/>
  <c r="AB369" i="20"/>
  <c r="N369" i="20"/>
  <c r="O369" i="20" s="1"/>
  <c r="M611" i="20"/>
  <c r="L611" i="20"/>
  <c r="L636" i="20"/>
  <c r="M636" i="20"/>
  <c r="Z654" i="20"/>
  <c r="J654" i="20" s="1"/>
  <c r="Y654" i="20"/>
  <c r="T765" i="20"/>
  <c r="U765" i="20" s="1"/>
  <c r="T6" i="20"/>
  <c r="U6" i="20" s="1"/>
  <c r="T10" i="20"/>
  <c r="U10" i="20" s="1"/>
  <c r="L14" i="20"/>
  <c r="Y24" i="20"/>
  <c r="Z24" i="20"/>
  <c r="J24" i="20" s="1"/>
  <c r="T39" i="20"/>
  <c r="U39" i="20" s="1"/>
  <c r="AC51" i="20"/>
  <c r="N51" i="20"/>
  <c r="O51" i="20" s="1"/>
  <c r="Z62" i="20"/>
  <c r="Y62" i="20"/>
  <c r="AC86" i="20"/>
  <c r="Q86" i="20"/>
  <c r="L135" i="20"/>
  <c r="Q138" i="20"/>
  <c r="AC138" i="20"/>
  <c r="AB203" i="20"/>
  <c r="N203" i="20"/>
  <c r="O203" i="20" s="1"/>
  <c r="L206" i="20"/>
  <c r="AC237" i="20"/>
  <c r="Q237" i="20"/>
  <c r="T241" i="20"/>
  <c r="AB266" i="20"/>
  <c r="P266" i="20"/>
  <c r="N266" i="20"/>
  <c r="O266" i="20" s="1"/>
  <c r="Y354" i="20"/>
  <c r="Z354" i="20"/>
  <c r="J354" i="20" s="1"/>
  <c r="M369" i="20"/>
  <c r="AC404" i="20"/>
  <c r="Q404" i="20"/>
  <c r="T492" i="20"/>
  <c r="Y537" i="20"/>
  <c r="Z537" i="20"/>
  <c r="Z2479" i="20"/>
  <c r="J2479" i="20" s="1"/>
  <c r="Z2471" i="20"/>
  <c r="Z39" i="20"/>
  <c r="J39" i="20" s="1"/>
  <c r="Y39" i="20"/>
  <c r="AC70" i="20"/>
  <c r="Q70" i="20"/>
  <c r="J82" i="20"/>
  <c r="P82" i="20" s="1"/>
  <c r="T86" i="20"/>
  <c r="U86" i="20" s="1"/>
  <c r="J86" i="20" s="1"/>
  <c r="AB90" i="20"/>
  <c r="T97" i="20"/>
  <c r="U97" i="20" s="1"/>
  <c r="J97" i="20" s="1"/>
  <c r="M124" i="20"/>
  <c r="L124" i="20"/>
  <c r="T131" i="20"/>
  <c r="T138" i="20"/>
  <c r="Q152" i="20"/>
  <c r="AC152" i="20"/>
  <c r="N152" i="20"/>
  <c r="O152" i="20" s="1"/>
  <c r="AC174" i="20"/>
  <c r="Q174" i="20"/>
  <c r="Q203" i="20"/>
  <c r="AC203" i="20"/>
  <c r="N237" i="20"/>
  <c r="O237" i="20" s="1"/>
  <c r="Z255" i="20"/>
  <c r="J255" i="20" s="1"/>
  <c r="P255" i="20" s="1"/>
  <c r="Y255" i="20"/>
  <c r="Y350" i="20"/>
  <c r="Z350" i="20"/>
  <c r="J350" i="20" s="1"/>
  <c r="T396" i="20"/>
  <c r="Z407" i="20"/>
  <c r="Y407" i="20"/>
  <c r="M448" i="20"/>
  <c r="L448" i="20"/>
  <c r="Z479" i="20"/>
  <c r="Y479" i="20"/>
  <c r="AC1208" i="20"/>
  <c r="Q1208" i="20"/>
  <c r="Z1321" i="20"/>
  <c r="J1321" i="20" s="1"/>
  <c r="Y1321" i="20"/>
  <c r="I88" i="4"/>
  <c r="Z28" i="20"/>
  <c r="Q51" i="20"/>
  <c r="T70" i="20"/>
  <c r="U70" i="20" s="1"/>
  <c r="T78" i="20"/>
  <c r="U78" i="20" s="1"/>
  <c r="Y82" i="20"/>
  <c r="M90" i="20"/>
  <c r="AC120" i="20"/>
  <c r="Q120" i="20"/>
  <c r="N174" i="20"/>
  <c r="O174" i="20" s="1"/>
  <c r="T237" i="20"/>
  <c r="AB252" i="20"/>
  <c r="M315" i="20"/>
  <c r="L315" i="20"/>
  <c r="T543" i="20"/>
  <c r="U543" i="20" s="1"/>
  <c r="T688" i="20"/>
  <c r="M59" i="20"/>
  <c r="L59" i="20"/>
  <c r="AC102" i="20"/>
  <c r="Q102" i="20"/>
  <c r="Z120" i="20"/>
  <c r="J120" i="20" s="1"/>
  <c r="Y120" i="20"/>
  <c r="T124" i="20"/>
  <c r="T200" i="20"/>
  <c r="T252" i="20"/>
  <c r="Z259" i="20"/>
  <c r="J259" i="20" s="1"/>
  <c r="Y259" i="20"/>
  <c r="AB288" i="20"/>
  <c r="N288" i="20"/>
  <c r="O288" i="20" s="1"/>
  <c r="Z319" i="20"/>
  <c r="J319" i="20" s="1"/>
  <c r="P319" i="20" s="1"/>
  <c r="Y319" i="20"/>
  <c r="N343" i="20"/>
  <c r="O343" i="20" s="1"/>
  <c r="AB343" i="20"/>
  <c r="T355" i="20"/>
  <c r="Z404" i="20"/>
  <c r="Y404" i="20"/>
  <c r="Z473" i="20"/>
  <c r="Y473" i="20"/>
  <c r="Z623" i="20"/>
  <c r="J623" i="20" s="1"/>
  <c r="Y623" i="20"/>
  <c r="Z2098" i="20"/>
  <c r="Z2159" i="20"/>
  <c r="Z2279" i="20"/>
  <c r="Z2173" i="20"/>
  <c r="Z1743" i="20"/>
  <c r="J1743" i="20" s="1"/>
  <c r="Z2088" i="20"/>
  <c r="Q11" i="20"/>
  <c r="AC11" i="20"/>
  <c r="N11" i="20"/>
  <c r="O11" i="20" s="1"/>
  <c r="Z21" i="20"/>
  <c r="J21" i="20" s="1"/>
  <c r="P21" i="20" s="1"/>
  <c r="Y21" i="20"/>
  <c r="AC98" i="20"/>
  <c r="N98" i="20"/>
  <c r="O98" i="20" s="1"/>
  <c r="P106" i="20"/>
  <c r="T113" i="20"/>
  <c r="AB117" i="20"/>
  <c r="P117" i="20"/>
  <c r="N117" i="20"/>
  <c r="O117" i="20" s="1"/>
  <c r="AC132" i="20"/>
  <c r="Q132" i="20"/>
  <c r="T256" i="20"/>
  <c r="T260" i="20"/>
  <c r="T281" i="20"/>
  <c r="AB385" i="20"/>
  <c r="N385" i="20"/>
  <c r="O385" i="20" s="1"/>
  <c r="T408" i="20"/>
  <c r="M436" i="20"/>
  <c r="L436" i="20"/>
  <c r="Y442" i="20"/>
  <c r="Z442" i="20"/>
  <c r="Z533" i="20"/>
  <c r="J533" i="20" s="1"/>
  <c r="P533" i="20" s="1"/>
  <c r="Y533" i="20"/>
  <c r="AB548" i="20"/>
  <c r="N548" i="20"/>
  <c r="O548" i="20" s="1"/>
  <c r="I82" i="4"/>
  <c r="Z2345" i="20"/>
  <c r="J2345" i="20" s="1"/>
  <c r="Z2281" i="20"/>
  <c r="Z2549" i="20"/>
  <c r="Z2441" i="20"/>
  <c r="Z2409" i="20"/>
  <c r="Z2227" i="20"/>
  <c r="J2227" i="20" s="1"/>
  <c r="Z2217" i="20"/>
  <c r="J2217" i="20" s="1"/>
  <c r="Z1690" i="20"/>
  <c r="Z2092" i="20"/>
  <c r="J7" i="20"/>
  <c r="M52" i="20"/>
  <c r="L52" i="20"/>
  <c r="T59" i="20"/>
  <c r="U59" i="20" s="1"/>
  <c r="T79" i="20"/>
  <c r="U79" i="20" s="1"/>
  <c r="Q117" i="20"/>
  <c r="AC117" i="20"/>
  <c r="T128" i="20"/>
  <c r="AB136" i="20"/>
  <c r="P136" i="20"/>
  <c r="T186" i="20"/>
  <c r="AB234" i="20"/>
  <c r="N234" i="20"/>
  <c r="O234" i="20" s="1"/>
  <c r="L249" i="20"/>
  <c r="M249" i="20"/>
  <c r="Z338" i="20"/>
  <c r="J338" i="20" s="1"/>
  <c r="P338" i="20" s="1"/>
  <c r="Y338" i="20"/>
  <c r="AC385" i="20"/>
  <c r="Q385" i="20"/>
  <c r="T516" i="20"/>
  <c r="U516" i="20" s="1"/>
  <c r="Z555" i="20"/>
  <c r="Y555" i="20"/>
  <c r="Z2541" i="20"/>
  <c r="Z2404" i="20"/>
  <c r="Z2313" i="20"/>
  <c r="J2313" i="20" s="1"/>
  <c r="Z2054" i="20"/>
  <c r="Z1939" i="20"/>
  <c r="AB64" i="20"/>
  <c r="N64" i="20"/>
  <c r="O64" i="20" s="1"/>
  <c r="Z117" i="20"/>
  <c r="J117" i="20" s="1"/>
  <c r="Y117" i="20"/>
  <c r="T249" i="20"/>
  <c r="T308" i="20"/>
  <c r="AB312" i="20"/>
  <c r="N312" i="20"/>
  <c r="O312" i="20" s="1"/>
  <c r="Z334" i="20"/>
  <c r="J334" i="20" s="1"/>
  <c r="P334" i="20" s="1"/>
  <c r="Y334" i="20"/>
  <c r="N339" i="20"/>
  <c r="O339" i="20" s="1"/>
  <c r="AB339" i="20"/>
  <c r="Z389" i="20"/>
  <c r="J389" i="20" s="1"/>
  <c r="Y389" i="20"/>
  <c r="T424" i="20"/>
  <c r="AB552" i="20"/>
  <c r="N552" i="20"/>
  <c r="O552" i="20" s="1"/>
  <c r="AB664" i="20"/>
  <c r="P664" i="20"/>
  <c r="N664" i="20"/>
  <c r="O664" i="20" s="1"/>
  <c r="Z1726" i="20"/>
  <c r="J1726" i="20" s="1"/>
  <c r="Z1476" i="20"/>
  <c r="J1476" i="20" s="1"/>
  <c r="P1476" i="20" s="1"/>
  <c r="Z2828" i="20"/>
  <c r="Z2342" i="20"/>
  <c r="J2342" i="20" s="1"/>
  <c r="Z2538" i="20"/>
  <c r="Z2025" i="20"/>
  <c r="Z1464" i="20"/>
  <c r="J1464" i="20" s="1"/>
  <c r="P1464" i="20" s="1"/>
  <c r="Z2305" i="20"/>
  <c r="J2305" i="20" s="1"/>
  <c r="Z2330" i="20"/>
  <c r="J2330" i="20" s="1"/>
  <c r="N8" i="20"/>
  <c r="O8" i="20" s="1"/>
  <c r="AB8" i="20"/>
  <c r="Z11" i="20"/>
  <c r="Y11" i="20"/>
  <c r="T71" i="20"/>
  <c r="U71" i="20" s="1"/>
  <c r="Z75" i="20"/>
  <c r="Y75" i="20"/>
  <c r="AB80" i="20"/>
  <c r="N80" i="20"/>
  <c r="O80" i="20" s="1"/>
  <c r="Z106" i="20"/>
  <c r="J106" i="20" s="1"/>
  <c r="Y106" i="20"/>
  <c r="T110" i="20"/>
  <c r="Z139" i="20"/>
  <c r="J139" i="20" s="1"/>
  <c r="Y139" i="20"/>
  <c r="Y153" i="20"/>
  <c r="Z153" i="20"/>
  <c r="J153" i="20" s="1"/>
  <c r="N168" i="20"/>
  <c r="O168" i="20" s="1"/>
  <c r="AB168" i="20"/>
  <c r="AB179" i="20"/>
  <c r="N179" i="20"/>
  <c r="O179" i="20" s="1"/>
  <c r="Z221" i="20"/>
  <c r="J221" i="20" s="1"/>
  <c r="P221" i="20" s="1"/>
  <c r="Y221" i="20"/>
  <c r="Z234" i="20"/>
  <c r="J234" i="20" s="1"/>
  <c r="P234" i="20" s="1"/>
  <c r="Y234" i="20"/>
  <c r="Y253" i="20"/>
  <c r="Z253" i="20"/>
  <c r="J253" i="20" s="1"/>
  <c r="P253" i="20" s="1"/>
  <c r="N257" i="20"/>
  <c r="O257" i="20" s="1"/>
  <c r="Z271" i="20"/>
  <c r="J271" i="20" s="1"/>
  <c r="Y271" i="20"/>
  <c r="AB328" i="20"/>
  <c r="N328" i="20"/>
  <c r="O328" i="20" s="1"/>
  <c r="M452" i="20"/>
  <c r="L452" i="20"/>
  <c r="Y474" i="20"/>
  <c r="Z474" i="20"/>
  <c r="T512" i="20"/>
  <c r="U512" i="20" s="1"/>
  <c r="Q642" i="20"/>
  <c r="AC642" i="20"/>
  <c r="I76" i="4"/>
  <c r="I84" i="4"/>
  <c r="Q19" i="20"/>
  <c r="AC19" i="20"/>
  <c r="T26" i="20"/>
  <c r="U26" i="20" s="1"/>
  <c r="Q64" i="20"/>
  <c r="T118" i="20"/>
  <c r="T125" i="20"/>
  <c r="T179" i="20"/>
  <c r="M183" i="20"/>
  <c r="L183" i="20"/>
  <c r="Q272" i="20"/>
  <c r="AC272" i="20"/>
  <c r="Z297" i="20"/>
  <c r="J297" i="20" s="1"/>
  <c r="Y297" i="20"/>
  <c r="AB325" i="20"/>
  <c r="N325" i="20"/>
  <c r="O325" i="20" s="1"/>
  <c r="P328" i="20"/>
  <c r="Z427" i="20"/>
  <c r="Y427" i="20"/>
  <c r="M455" i="20"/>
  <c r="L455" i="20"/>
  <c r="Z581" i="20"/>
  <c r="Y581" i="20"/>
  <c r="T818" i="20"/>
  <c r="I69" i="4"/>
  <c r="T12" i="20"/>
  <c r="U12" i="20" s="1"/>
  <c r="Y56" i="20"/>
  <c r="Z56" i="20"/>
  <c r="T76" i="20"/>
  <c r="U76" i="20" s="1"/>
  <c r="T80" i="20"/>
  <c r="U80" i="20" s="1"/>
  <c r="T84" i="20"/>
  <c r="U84" i="20" s="1"/>
  <c r="AC88" i="20"/>
  <c r="Q88" i="20"/>
  <c r="T114" i="20"/>
  <c r="M158" i="20"/>
  <c r="L158" i="20"/>
  <c r="T183" i="20"/>
  <c r="AC187" i="20"/>
  <c r="Q187" i="20"/>
  <c r="AC212" i="20"/>
  <c r="Q212" i="20"/>
  <c r="Y215" i="20"/>
  <c r="Z215" i="20"/>
  <c r="J215" i="20" s="1"/>
  <c r="P215" i="20" s="1"/>
  <c r="Z275" i="20"/>
  <c r="J275" i="20" s="1"/>
  <c r="P275" i="20" s="1"/>
  <c r="Y275" i="20"/>
  <c r="L279" i="20"/>
  <c r="M279" i="20"/>
  <c r="Y339" i="20"/>
  <c r="Z339" i="20"/>
  <c r="J339" i="20" s="1"/>
  <c r="P339" i="20" s="1"/>
  <c r="T517" i="20"/>
  <c r="U517" i="20" s="1"/>
  <c r="T617" i="20"/>
  <c r="T763" i="20"/>
  <c r="U763" i="20" s="1"/>
  <c r="I77" i="4"/>
  <c r="Z1699" i="20"/>
  <c r="Z1649" i="20"/>
  <c r="AC2" i="20"/>
  <c r="Q2" i="20"/>
  <c r="Z12" i="20"/>
  <c r="J12" i="20" s="1"/>
  <c r="Y12" i="20"/>
  <c r="AB23" i="20"/>
  <c r="N23" i="20"/>
  <c r="O23" i="20" s="1"/>
  <c r="T88" i="20"/>
  <c r="U88" i="20" s="1"/>
  <c r="Z107" i="20"/>
  <c r="J107" i="20" s="1"/>
  <c r="Y107" i="20"/>
  <c r="AC111" i="20"/>
  <c r="Q111" i="20"/>
  <c r="T158" i="20"/>
  <c r="Z183" i="20"/>
  <c r="J183" i="20" s="1"/>
  <c r="Y183" i="20"/>
  <c r="Q198" i="20"/>
  <c r="AC198" i="20"/>
  <c r="N198" i="20"/>
  <c r="O198" i="20" s="1"/>
  <c r="AB219" i="20"/>
  <c r="AC225" i="20"/>
  <c r="N225" i="20"/>
  <c r="O225" i="20" s="1"/>
  <c r="Z235" i="20"/>
  <c r="J235" i="20" s="1"/>
  <c r="Y235" i="20"/>
  <c r="AB298" i="20"/>
  <c r="P298" i="20"/>
  <c r="N298" i="20"/>
  <c r="O298" i="20" s="1"/>
  <c r="Z394" i="20"/>
  <c r="J394" i="20" s="1"/>
  <c r="Y394" i="20"/>
  <c r="P428" i="20"/>
  <c r="N428" i="20"/>
  <c r="AB428" i="20"/>
  <c r="T478" i="20"/>
  <c r="T481" i="20"/>
  <c r="T487" i="20"/>
  <c r="T5" i="20"/>
  <c r="U5" i="20" s="1"/>
  <c r="AB16" i="20"/>
  <c r="N16" i="20"/>
  <c r="O16" i="20" s="1"/>
  <c r="J30" i="20"/>
  <c r="P30" i="20" s="1"/>
  <c r="AC34" i="20"/>
  <c r="Q34" i="20"/>
  <c r="T49" i="20"/>
  <c r="U49" i="20" s="1"/>
  <c r="M100" i="20"/>
  <c r="L100" i="20"/>
  <c r="AC104" i="20"/>
  <c r="Q104" i="20"/>
  <c r="T133" i="20"/>
  <c r="T140" i="20"/>
  <c r="AC147" i="20"/>
  <c r="Q147" i="20"/>
  <c r="T154" i="20"/>
  <c r="T176" i="20"/>
  <c r="J208" i="20"/>
  <c r="P208" i="20" s="1"/>
  <c r="T222" i="20"/>
  <c r="T261" i="20"/>
  <c r="Z363" i="20"/>
  <c r="J363" i="20" s="1"/>
  <c r="P363" i="20" s="1"/>
  <c r="Y363" i="20"/>
  <c r="Z412" i="20"/>
  <c r="Y412" i="20"/>
  <c r="Z437" i="20"/>
  <c r="Y437" i="20"/>
  <c r="AB485" i="20"/>
  <c r="N485" i="20"/>
  <c r="P485" i="20"/>
  <c r="M46" i="20"/>
  <c r="L46" i="20"/>
  <c r="Z68" i="20"/>
  <c r="J68" i="20" s="1"/>
  <c r="P68" i="20" s="1"/>
  <c r="Z72" i="20"/>
  <c r="J72" i="20" s="1"/>
  <c r="Y72" i="20"/>
  <c r="Z84" i="20"/>
  <c r="J92" i="20"/>
  <c r="Z172" i="20"/>
  <c r="J172" i="20" s="1"/>
  <c r="P172" i="20" s="1"/>
  <c r="Y172" i="20"/>
  <c r="N219" i="20"/>
  <c r="O219" i="20" s="1"/>
  <c r="Q225" i="20"/>
  <c r="T276" i="20"/>
  <c r="T294" i="20"/>
  <c r="T378" i="20"/>
  <c r="T567" i="20"/>
  <c r="U567" i="20" s="1"/>
  <c r="B124" i="2"/>
  <c r="L9" i="20"/>
  <c r="Q16" i="20"/>
  <c r="T23" i="20"/>
  <c r="U23" i="20" s="1"/>
  <c r="J23" i="20" s="1"/>
  <c r="P23" i="20" s="1"/>
  <c r="AC27" i="20"/>
  <c r="Q27" i="20"/>
  <c r="T34" i="20"/>
  <c r="U34" i="20" s="1"/>
  <c r="Q38" i="20"/>
  <c r="AC38" i="20"/>
  <c r="T42" i="20"/>
  <c r="U42" i="20" s="1"/>
  <c r="T61" i="20"/>
  <c r="U61" i="20" s="1"/>
  <c r="Z133" i="20"/>
  <c r="J133" i="20" s="1"/>
  <c r="Y133" i="20"/>
  <c r="P144" i="20"/>
  <c r="N144" i="20"/>
  <c r="O144" i="20" s="1"/>
  <c r="AB144" i="20"/>
  <c r="J158" i="20"/>
  <c r="AB180" i="20"/>
  <c r="N180" i="20"/>
  <c r="O180" i="20" s="1"/>
  <c r="M184" i="20"/>
  <c r="L184" i="20"/>
  <c r="Z212" i="20"/>
  <c r="J212" i="20" s="1"/>
  <c r="P212" i="20" s="1"/>
  <c r="Y212" i="20"/>
  <c r="T216" i="20"/>
  <c r="T225" i="20"/>
  <c r="AC243" i="20"/>
  <c r="Q243" i="20"/>
  <c r="Q290" i="20"/>
  <c r="AC290" i="20"/>
  <c r="M336" i="20"/>
  <c r="L336" i="20"/>
  <c r="Z390" i="20"/>
  <c r="J390" i="20" s="1"/>
  <c r="P390" i="20" s="1"/>
  <c r="Y390" i="20"/>
  <c r="Q469" i="20"/>
  <c r="AC469" i="20"/>
  <c r="Z557" i="20"/>
  <c r="J557" i="20" s="1"/>
  <c r="Y557" i="20"/>
  <c r="T27" i="20"/>
  <c r="U27" i="20" s="1"/>
  <c r="Q31" i="20"/>
  <c r="AC31" i="20"/>
  <c r="N38" i="20"/>
  <c r="O38" i="20" s="1"/>
  <c r="AB38" i="20"/>
  <c r="Z49" i="20"/>
  <c r="Y49" i="20"/>
  <c r="AB57" i="20"/>
  <c r="N57" i="20"/>
  <c r="O57" i="20" s="1"/>
  <c r="AC119" i="20"/>
  <c r="Q119" i="20"/>
  <c r="N119" i="20"/>
  <c r="O119" i="20" s="1"/>
  <c r="Z154" i="20"/>
  <c r="J154" i="20" s="1"/>
  <c r="P154" i="20" s="1"/>
  <c r="Y154" i="20"/>
  <c r="J162" i="20"/>
  <c r="Z176" i="20"/>
  <c r="J176" i="20" s="1"/>
  <c r="Y176" i="20"/>
  <c r="AC180" i="20"/>
  <c r="Q180" i="20"/>
  <c r="Z194" i="20"/>
  <c r="J194" i="20" s="1"/>
  <c r="Y194" i="20"/>
  <c r="AB236" i="20"/>
  <c r="P236" i="20"/>
  <c r="N236" i="20"/>
  <c r="O236" i="20" s="1"/>
  <c r="N240" i="20"/>
  <c r="O240" i="20" s="1"/>
  <c r="AB240" i="20"/>
  <c r="AC257" i="20"/>
  <c r="Z321" i="20"/>
  <c r="J321" i="20" s="1"/>
  <c r="P321" i="20" s="1"/>
  <c r="Y321" i="20"/>
  <c r="Z371" i="20"/>
  <c r="J371" i="20" s="1"/>
  <c r="Y371" i="20"/>
  <c r="Y406" i="20"/>
  <c r="Z406" i="20"/>
  <c r="Q431" i="20"/>
  <c r="AC431" i="20"/>
  <c r="I93" i="4"/>
  <c r="T16" i="20"/>
  <c r="U16" i="20" s="1"/>
  <c r="AC20" i="20"/>
  <c r="N20" i="20"/>
  <c r="O20" i="20" s="1"/>
  <c r="L31" i="20"/>
  <c r="T46" i="20"/>
  <c r="U46" i="20" s="1"/>
  <c r="AC57" i="20"/>
  <c r="Q57" i="20"/>
  <c r="N77" i="20"/>
  <c r="O77" i="20" s="1"/>
  <c r="Q108" i="20"/>
  <c r="Y162" i="20"/>
  <c r="P180" i="20"/>
  <c r="T188" i="20"/>
  <c r="T191" i="20"/>
  <c r="Y222" i="20"/>
  <c r="Z225" i="20"/>
  <c r="J225" i="20" s="1"/>
  <c r="P225" i="20" s="1"/>
  <c r="Y225" i="20"/>
  <c r="AC247" i="20"/>
  <c r="Q247" i="20"/>
  <c r="AB273" i="20"/>
  <c r="N273" i="20"/>
  <c r="O273" i="20" s="1"/>
  <c r="Y294" i="20"/>
  <c r="Z294" i="20"/>
  <c r="J294" i="20" s="1"/>
  <c r="T336" i="20"/>
  <c r="Z378" i="20"/>
  <c r="J378" i="20" s="1"/>
  <c r="Y378" i="20"/>
  <c r="T466" i="20"/>
  <c r="AC509" i="20"/>
  <c r="Q509" i="20"/>
  <c r="Z588" i="20"/>
  <c r="Y588" i="20"/>
  <c r="T2833" i="20"/>
  <c r="T2830" i="20"/>
  <c r="T2792" i="20"/>
  <c r="U2792" i="20" s="1"/>
  <c r="T2757" i="20"/>
  <c r="U2757" i="20" s="1"/>
  <c r="T2732" i="20"/>
  <c r="U2732" i="20" s="1"/>
  <c r="T2709" i="20"/>
  <c r="U2709" i="20" s="1"/>
  <c r="T2844" i="20"/>
  <c r="T2828" i="20"/>
  <c r="T2750" i="20"/>
  <c r="U2750" i="20" s="1"/>
  <c r="T2729" i="20"/>
  <c r="U2729" i="20" s="1"/>
  <c r="J2729" i="20" s="1"/>
  <c r="P2729" i="20" s="1"/>
  <c r="T2727" i="20"/>
  <c r="U2727" i="20" s="1"/>
  <c r="T2748" i="20"/>
  <c r="U2748" i="20" s="1"/>
  <c r="J2748" i="20" s="1"/>
  <c r="P2748" i="20" s="1"/>
  <c r="T2693" i="20"/>
  <c r="U2693" i="20" s="1"/>
  <c r="T2794" i="20"/>
  <c r="U2794" i="20" s="1"/>
  <c r="T2783" i="20"/>
  <c r="U2783" i="20" s="1"/>
  <c r="T2740" i="20"/>
  <c r="U2740" i="20" s="1"/>
  <c r="T2738" i="20"/>
  <c r="U2738" i="20" s="1"/>
  <c r="T2736" i="20"/>
  <c r="U2736" i="20" s="1"/>
  <c r="J2736" i="20" s="1"/>
  <c r="P2736" i="20" s="1"/>
  <c r="T2697" i="20"/>
  <c r="U2697" i="20" s="1"/>
  <c r="J2697" i="20" s="1"/>
  <c r="P2697" i="20" s="1"/>
  <c r="T2685" i="20"/>
  <c r="U2685" i="20" s="1"/>
  <c r="T2714" i="20"/>
  <c r="U2714" i="20" s="1"/>
  <c r="T2641" i="20"/>
  <c r="U2641" i="20" s="1"/>
  <c r="T2628" i="20"/>
  <c r="U2628" i="20" s="1"/>
  <c r="J2628" i="20" s="1"/>
  <c r="T2612" i="20"/>
  <c r="U2612" i="20" s="1"/>
  <c r="T2593" i="20"/>
  <c r="U2593" i="20" s="1"/>
  <c r="T2574" i="20"/>
  <c r="U2574" i="20" s="1"/>
  <c r="T2837" i="20"/>
  <c r="T2699" i="20"/>
  <c r="U2699" i="20" s="1"/>
  <c r="T2776" i="20"/>
  <c r="U2776" i="20" s="1"/>
  <c r="T2744" i="20"/>
  <c r="U2744" i="20" s="1"/>
  <c r="T2708" i="20"/>
  <c r="U2708" i="20" s="1"/>
  <c r="J2708" i="20" s="1"/>
  <c r="P2708" i="20" s="1"/>
  <c r="T2694" i="20"/>
  <c r="U2694" i="20" s="1"/>
  <c r="T2687" i="20"/>
  <c r="U2687" i="20" s="1"/>
  <c r="T2658" i="20"/>
  <c r="U2658" i="20" s="1"/>
  <c r="T2600" i="20"/>
  <c r="U2600" i="20" s="1"/>
  <c r="J2600" i="20" s="1"/>
  <c r="P2600" i="20" s="1"/>
  <c r="T2585" i="20"/>
  <c r="U2585" i="20" s="1"/>
  <c r="T2502" i="20"/>
  <c r="T2520" i="20"/>
  <c r="T2793" i="20"/>
  <c r="U2793" i="20" s="1"/>
  <c r="T2771" i="20"/>
  <c r="U2771" i="20" s="1"/>
  <c r="T2751" i="20"/>
  <c r="U2751" i="20" s="1"/>
  <c r="T2717" i="20"/>
  <c r="U2717" i="20" s="1"/>
  <c r="J2717" i="20" s="1"/>
  <c r="P2717" i="20" s="1"/>
  <c r="T2703" i="20"/>
  <c r="U2703" i="20" s="1"/>
  <c r="T2680" i="20"/>
  <c r="U2680" i="20" s="1"/>
  <c r="T2673" i="20"/>
  <c r="U2673" i="20" s="1"/>
  <c r="J2673" i="20" s="1"/>
  <c r="P2673" i="20" s="1"/>
  <c r="T2660" i="20"/>
  <c r="U2660" i="20" s="1"/>
  <c r="T2645" i="20"/>
  <c r="U2645" i="20" s="1"/>
  <c r="J2645" i="20" s="1"/>
  <c r="T2583" i="20"/>
  <c r="U2583" i="20" s="1"/>
  <c r="T2739" i="20"/>
  <c r="U2739" i="20" s="1"/>
  <c r="T2696" i="20"/>
  <c r="U2696" i="20" s="1"/>
  <c r="T2493" i="20"/>
  <c r="T2841" i="20"/>
  <c r="T2769" i="20"/>
  <c r="U2769" i="20" s="1"/>
  <c r="T2711" i="20"/>
  <c r="U2711" i="20" s="1"/>
  <c r="T2772" i="20"/>
  <c r="U2772" i="20" s="1"/>
  <c r="T2638" i="20"/>
  <c r="U2638" i="20" s="1"/>
  <c r="T2629" i="20"/>
  <c r="U2629" i="20" s="1"/>
  <c r="T2674" i="20"/>
  <c r="U2674" i="20" s="1"/>
  <c r="T2341" i="20"/>
  <c r="T2614" i="20"/>
  <c r="U2614" i="20" s="1"/>
  <c r="J2614" i="20" s="1"/>
  <c r="T2481" i="20"/>
  <c r="T2522" i="20"/>
  <c r="T2817" i="20"/>
  <c r="U2817" i="20" s="1"/>
  <c r="T2820" i="20"/>
  <c r="U2820" i="20" s="1"/>
  <c r="T2805" i="20"/>
  <c r="U2805" i="20" s="1"/>
  <c r="T2790" i="20"/>
  <c r="U2790" i="20" s="1"/>
  <c r="T2702" i="20"/>
  <c r="U2702" i="20" s="1"/>
  <c r="T2688" i="20"/>
  <c r="U2688" i="20" s="1"/>
  <c r="J2688" i="20" s="1"/>
  <c r="T2661" i="20"/>
  <c r="U2661" i="20" s="1"/>
  <c r="J2661" i="20" s="1"/>
  <c r="T2635" i="20"/>
  <c r="U2635" i="20" s="1"/>
  <c r="T2594" i="20"/>
  <c r="U2594" i="20" s="1"/>
  <c r="T2725" i="20"/>
  <c r="U2725" i="20" s="1"/>
  <c r="J2725" i="20" s="1"/>
  <c r="T2619" i="20"/>
  <c r="U2619" i="20" s="1"/>
  <c r="T2835" i="20"/>
  <c r="T2743" i="20"/>
  <c r="U2743" i="20" s="1"/>
  <c r="T2718" i="20"/>
  <c r="U2718" i="20" s="1"/>
  <c r="T2670" i="20"/>
  <c r="U2670" i="20" s="1"/>
  <c r="T2639" i="20"/>
  <c r="U2639" i="20" s="1"/>
  <c r="T2633" i="20"/>
  <c r="U2633" i="20" s="1"/>
  <c r="T2478" i="20"/>
  <c r="T2834" i="20"/>
  <c r="T2802" i="20"/>
  <c r="U2802" i="20" s="1"/>
  <c r="T2664" i="20"/>
  <c r="U2664" i="20" s="1"/>
  <c r="T2721" i="20"/>
  <c r="U2721" i="20" s="1"/>
  <c r="T2590" i="20"/>
  <c r="U2590" i="20" s="1"/>
  <c r="T2571" i="20"/>
  <c r="U2571" i="20" s="1"/>
  <c r="T2500" i="20"/>
  <c r="T2430" i="20"/>
  <c r="T2352" i="20"/>
  <c r="T2339" i="20"/>
  <c r="T2443" i="20"/>
  <c r="T2428" i="20"/>
  <c r="T2384" i="20"/>
  <c r="T2365" i="20"/>
  <c r="T2730" i="20"/>
  <c r="U2730" i="20" s="1"/>
  <c r="J2730" i="20" s="1"/>
  <c r="P2730" i="20" s="1"/>
  <c r="T2644" i="20"/>
  <c r="U2644" i="20" s="1"/>
  <c r="J2644" i="20" s="1"/>
  <c r="P2644" i="20" s="1"/>
  <c r="T2602" i="20"/>
  <c r="U2602" i="20" s="1"/>
  <c r="T2595" i="20"/>
  <c r="U2595" i="20" s="1"/>
  <c r="T2811" i="20"/>
  <c r="U2811" i="20" s="1"/>
  <c r="T2798" i="20"/>
  <c r="U2798" i="20" s="1"/>
  <c r="T2810" i="20"/>
  <c r="U2810" i="20" s="1"/>
  <c r="T2681" i="20"/>
  <c r="U2681" i="20" s="1"/>
  <c r="J2681" i="20" s="1"/>
  <c r="T2575" i="20"/>
  <c r="U2575" i="20" s="1"/>
  <c r="T2498" i="20"/>
  <c r="T2485" i="20"/>
  <c r="T2480" i="20"/>
  <c r="T2450" i="20"/>
  <c r="T2321" i="20"/>
  <c r="T2291" i="20"/>
  <c r="T2271" i="20"/>
  <c r="T2452" i="20"/>
  <c r="T2448" i="20"/>
  <c r="T2446" i="20"/>
  <c r="T2444" i="20"/>
  <c r="T2440" i="20"/>
  <c r="T2438" i="20"/>
  <c r="T2432" i="20"/>
  <c r="T2319" i="20"/>
  <c r="T2300" i="20"/>
  <c r="T2280" i="20"/>
  <c r="T2260" i="20"/>
  <c r="T2231" i="20"/>
  <c r="T2208" i="20"/>
  <c r="T2572" i="20"/>
  <c r="U2572" i="20" s="1"/>
  <c r="T2765" i="20"/>
  <c r="U2765" i="20" s="1"/>
  <c r="J2765" i="20" s="1"/>
  <c r="T2758" i="20"/>
  <c r="U2758" i="20" s="1"/>
  <c r="T2755" i="20"/>
  <c r="U2755" i="20" s="1"/>
  <c r="J2755" i="20" s="1"/>
  <c r="P2755" i="20" s="1"/>
  <c r="T2735" i="20"/>
  <c r="U2735" i="20" s="1"/>
  <c r="T2813" i="20"/>
  <c r="U2813" i="20" s="1"/>
  <c r="J2813" i="20" s="1"/>
  <c r="P2813" i="20" s="1"/>
  <c r="T2704" i="20"/>
  <c r="U2704" i="20" s="1"/>
  <c r="J2704" i="20" s="1"/>
  <c r="P2704" i="20" s="1"/>
  <c r="T2505" i="20"/>
  <c r="T2608" i="20"/>
  <c r="U2608" i="20" s="1"/>
  <c r="T2775" i="20"/>
  <c r="U2775" i="20" s="1"/>
  <c r="T2723" i="20"/>
  <c r="U2723" i="20" s="1"/>
  <c r="T2486" i="20"/>
  <c r="T2672" i="20"/>
  <c r="U2672" i="20" s="1"/>
  <c r="T2659" i="20"/>
  <c r="U2659" i="20" s="1"/>
  <c r="T2618" i="20"/>
  <c r="U2618" i="20" s="1"/>
  <c r="T2615" i="20"/>
  <c r="U2615" i="20" s="1"/>
  <c r="T2624" i="20"/>
  <c r="U2624" i="20" s="1"/>
  <c r="T2510" i="20"/>
  <c r="T2766" i="20"/>
  <c r="U2766" i="20" s="1"/>
  <c r="J2766" i="20" s="1"/>
  <c r="P2766" i="20" s="1"/>
  <c r="T2675" i="20"/>
  <c r="U2675" i="20" s="1"/>
  <c r="T2668" i="20"/>
  <c r="U2668" i="20" s="1"/>
  <c r="T2646" i="20"/>
  <c r="U2646" i="20" s="1"/>
  <c r="T2686" i="20"/>
  <c r="U2686" i="20" s="1"/>
  <c r="T2494" i="20"/>
  <c r="T2477" i="20"/>
  <c r="T2475" i="20"/>
  <c r="T2761" i="20"/>
  <c r="U2761" i="20" s="1"/>
  <c r="T2777" i="20"/>
  <c r="U2777" i="20" s="1"/>
  <c r="T2632" i="20"/>
  <c r="U2632" i="20" s="1"/>
  <c r="T2610" i="20"/>
  <c r="U2610" i="20" s="1"/>
  <c r="T2209" i="20"/>
  <c r="T2332" i="20"/>
  <c r="T2504" i="20"/>
  <c r="T2345" i="20"/>
  <c r="T2239" i="20"/>
  <c r="T2724" i="20"/>
  <c r="U2724" i="20" s="1"/>
  <c r="T2435" i="20"/>
  <c r="T2315" i="20"/>
  <c r="T2336" i="20"/>
  <c r="T2235" i="20"/>
  <c r="T2652" i="20"/>
  <c r="U2652" i="20" s="1"/>
  <c r="T2512" i="20"/>
  <c r="T2482" i="20"/>
  <c r="T2470" i="20"/>
  <c r="T2656" i="20"/>
  <c r="U2656" i="20" s="1"/>
  <c r="T2804" i="20"/>
  <c r="U2804" i="20" s="1"/>
  <c r="T2692" i="20"/>
  <c r="U2692" i="20" s="1"/>
  <c r="T2728" i="20"/>
  <c r="U2728" i="20" s="1"/>
  <c r="T2277" i="20"/>
  <c r="T2258" i="20"/>
  <c r="T2256" i="20"/>
  <c r="T2198" i="20"/>
  <c r="T2135" i="20"/>
  <c r="T2126" i="20"/>
  <c r="T2429" i="20"/>
  <c r="T2449" i="20"/>
  <c r="T2153" i="20"/>
  <c r="T2809" i="20"/>
  <c r="U2809" i="20" s="1"/>
  <c r="T2431" i="20"/>
  <c r="T2343" i="20"/>
  <c r="T2521" i="20"/>
  <c r="T2387" i="20"/>
  <c r="T2350" i="20"/>
  <c r="T2474" i="20"/>
  <c r="T2293" i="20"/>
  <c r="T2223" i="20"/>
  <c r="T2392" i="20"/>
  <c r="T2781" i="20"/>
  <c r="U2781" i="20" s="1"/>
  <c r="T2471" i="20"/>
  <c r="T2596" i="20"/>
  <c r="U2596" i="20" s="1"/>
  <c r="T2747" i="20"/>
  <c r="U2747" i="20" s="1"/>
  <c r="T2451" i="20"/>
  <c r="T2369" i="20"/>
  <c r="T2261" i="20"/>
  <c r="T2726" i="20"/>
  <c r="U2726" i="20" s="1"/>
  <c r="T2634" i="20"/>
  <c r="U2634" i="20" s="1"/>
  <c r="T2588" i="20"/>
  <c r="U2588" i="20" s="1"/>
  <c r="T2263" i="20"/>
  <c r="T2437" i="20"/>
  <c r="T2295" i="20"/>
  <c r="T2177" i="20"/>
  <c r="T2150" i="20"/>
  <c r="T2129" i="20"/>
  <c r="T2357" i="20"/>
  <c r="T2127" i="20"/>
  <c r="T2363" i="20"/>
  <c r="T2326" i="20"/>
  <c r="T2286" i="20"/>
  <c r="T2267" i="20"/>
  <c r="T2194" i="20"/>
  <c r="T2165" i="20"/>
  <c r="T2240" i="20"/>
  <c r="T2323" i="20"/>
  <c r="T2274" i="20"/>
  <c r="T2242" i="20"/>
  <c r="T2200" i="20"/>
  <c r="T2374" i="20"/>
  <c r="T2334" i="20"/>
  <c r="T2650" i="20"/>
  <c r="U2650" i="20" s="1"/>
  <c r="T2589" i="20"/>
  <c r="U2589" i="20" s="1"/>
  <c r="J2589" i="20" s="1"/>
  <c r="P2589" i="20" s="1"/>
  <c r="T2749" i="20"/>
  <c r="U2749" i="20" s="1"/>
  <c r="T2606" i="20"/>
  <c r="U2606" i="20" s="1"/>
  <c r="T2397" i="20"/>
  <c r="T2362" i="20"/>
  <c r="T2317" i="20"/>
  <c r="T2237" i="20"/>
  <c r="T2224" i="20"/>
  <c r="T2376" i="20"/>
  <c r="T2157" i="20"/>
  <c r="T2115" i="20"/>
  <c r="T2226" i="20"/>
  <c r="T2252" i="20"/>
  <c r="T2186" i="20"/>
  <c r="T2181" i="20"/>
  <c r="T2159" i="20"/>
  <c r="T2123" i="20"/>
  <c r="T2033" i="20"/>
  <c r="T2580" i="20"/>
  <c r="U2580" i="20" s="1"/>
  <c r="T2516" i="20"/>
  <c r="T2191" i="20"/>
  <c r="T2136" i="20"/>
  <c r="T2299" i="20"/>
  <c r="T2167" i="20"/>
  <c r="T2272" i="20"/>
  <c r="T2169" i="20"/>
  <c r="T2338" i="20"/>
  <c r="T2358" i="20"/>
  <c r="T2354" i="20"/>
  <c r="T2298" i="20"/>
  <c r="T2173" i="20"/>
  <c r="T2630" i="20"/>
  <c r="U2630" i="20" s="1"/>
  <c r="T2391" i="20"/>
  <c r="T2238" i="20"/>
  <c r="T2309" i="20"/>
  <c r="T2137" i="20"/>
  <c r="T2433" i="20"/>
  <c r="T2378" i="20"/>
  <c r="T2216" i="20"/>
  <c r="T2180" i="20"/>
  <c r="T1804" i="20"/>
  <c r="T1770" i="20"/>
  <c r="T1738" i="20"/>
  <c r="T1706" i="20"/>
  <c r="T1674" i="20"/>
  <c r="U1674" i="20" s="1"/>
  <c r="T2371" i="20"/>
  <c r="T2124" i="20"/>
  <c r="T2492" i="20"/>
  <c r="T2243" i="20"/>
  <c r="T2023" i="20"/>
  <c r="T1848" i="20"/>
  <c r="T2752" i="20"/>
  <c r="U2752" i="20" s="1"/>
  <c r="T2225" i="20"/>
  <c r="T2155" i="20"/>
  <c r="T2472" i="20"/>
  <c r="T2501" i="20"/>
  <c r="T2497" i="20"/>
  <c r="T2141" i="20"/>
  <c r="T1846" i="20"/>
  <c r="T2185" i="20"/>
  <c r="T2131" i="20"/>
  <c r="T2388" i="20"/>
  <c r="T2152" i="20"/>
  <c r="T2439" i="20"/>
  <c r="T2305" i="20"/>
  <c r="T2247" i="20"/>
  <c r="T2161" i="20"/>
  <c r="T2133" i="20"/>
  <c r="T2609" i="20"/>
  <c r="U2609" i="20" s="1"/>
  <c r="T2145" i="20"/>
  <c r="T1805" i="20"/>
  <c r="T1803" i="20"/>
  <c r="T1778" i="20"/>
  <c r="T1732" i="20"/>
  <c r="T1712" i="20"/>
  <c r="T1618" i="20"/>
  <c r="T2276" i="20"/>
  <c r="T2273" i="20"/>
  <c r="T2202" i="20"/>
  <c r="T2189" i="20"/>
  <c r="T2230" i="20"/>
  <c r="T2335" i="20"/>
  <c r="T2255" i="20"/>
  <c r="T1701" i="20"/>
  <c r="U1701" i="20" s="1"/>
  <c r="T2128" i="20"/>
  <c r="T2175" i="20"/>
  <c r="T2219" i="20"/>
  <c r="T2316" i="20"/>
  <c r="T2122" i="20"/>
  <c r="T2383" i="20"/>
  <c r="T2232" i="20"/>
  <c r="T2379" i="20"/>
  <c r="T2327" i="20"/>
  <c r="T2214" i="20"/>
  <c r="T2241" i="20"/>
  <c r="T2179" i="20"/>
  <c r="T2253" i="20"/>
  <c r="T1821" i="20"/>
  <c r="T1748" i="20"/>
  <c r="T1746" i="20"/>
  <c r="T2163" i="20"/>
  <c r="T1808" i="20"/>
  <c r="T1750" i="20"/>
  <c r="T1698" i="20"/>
  <c r="U1698" i="20" s="1"/>
  <c r="T1694" i="20"/>
  <c r="U1694" i="20" s="1"/>
  <c r="T1688" i="20"/>
  <c r="U1688" i="20" s="1"/>
  <c r="T1642" i="20"/>
  <c r="T1617" i="20"/>
  <c r="T1610" i="20"/>
  <c r="T1587" i="20"/>
  <c r="T1568" i="20"/>
  <c r="T2118" i="20"/>
  <c r="T1684" i="20"/>
  <c r="U1684" i="20" s="1"/>
  <c r="J1684" i="20" s="1"/>
  <c r="T1736" i="20"/>
  <c r="T2617" i="20"/>
  <c r="U2617" i="20" s="1"/>
  <c r="T2130" i="20"/>
  <c r="T2304" i="20"/>
  <c r="T2171" i="20"/>
  <c r="T2046" i="20"/>
  <c r="T2279" i="20"/>
  <c r="T2221" i="20"/>
  <c r="T2797" i="20"/>
  <c r="U2797" i="20" s="1"/>
  <c r="T2361" i="20"/>
  <c r="T2245" i="20"/>
  <c r="T1677" i="20"/>
  <c r="U1677" i="20" s="1"/>
  <c r="T1579" i="20"/>
  <c r="T1554" i="20"/>
  <c r="T1530" i="20"/>
  <c r="T1521" i="20"/>
  <c r="T1503" i="20"/>
  <c r="T1439" i="20"/>
  <c r="U1439" i="20" s="1"/>
  <c r="T2264" i="20"/>
  <c r="T1852" i="20"/>
  <c r="T1604" i="20"/>
  <c r="T1510" i="20"/>
  <c r="T1485" i="20"/>
  <c r="T1449" i="20"/>
  <c r="U1449" i="20" s="1"/>
  <c r="T1768" i="20"/>
  <c r="T1606" i="20"/>
  <c r="T2506" i="20"/>
  <c r="T2227" i="20"/>
  <c r="T1620" i="20"/>
  <c r="T2154" i="20"/>
  <c r="T1816" i="20"/>
  <c r="T1802" i="20"/>
  <c r="T2193" i="20"/>
  <c r="T1809" i="20"/>
  <c r="T1703" i="20"/>
  <c r="T1767" i="20"/>
  <c r="T2265" i="20"/>
  <c r="T2229" i="20"/>
  <c r="T2210" i="20"/>
  <c r="T1547" i="20"/>
  <c r="T1680" i="20"/>
  <c r="U1680" i="20" s="1"/>
  <c r="T1629" i="20"/>
  <c r="T1562" i="20"/>
  <c r="T1486" i="20"/>
  <c r="T1474" i="20"/>
  <c r="T1443" i="20"/>
  <c r="U1443" i="20" s="1"/>
  <c r="T1388" i="20"/>
  <c r="T1341" i="20"/>
  <c r="T1322" i="20"/>
  <c r="T1310" i="20"/>
  <c r="T1737" i="20"/>
  <c r="T1716" i="20"/>
  <c r="T1713" i="20"/>
  <c r="T1654" i="20"/>
  <c r="U1654" i="20" s="1"/>
  <c r="T1488" i="20"/>
  <c r="T1484" i="20"/>
  <c r="T1472" i="20"/>
  <c r="T1413" i="20"/>
  <c r="U1413" i="20" s="1"/>
  <c r="T1395" i="20"/>
  <c r="T1381" i="20"/>
  <c r="T1353" i="20"/>
  <c r="T1262" i="20"/>
  <c r="U1262" i="20" s="1"/>
  <c r="T1230" i="20"/>
  <c r="U1230" i="20" s="1"/>
  <c r="T1198" i="20"/>
  <c r="T1166" i="20"/>
  <c r="T1478" i="20"/>
  <c r="T1437" i="20"/>
  <c r="U1437" i="20" s="1"/>
  <c r="T1638" i="20"/>
  <c r="T1729" i="20"/>
  <c r="T1699" i="20"/>
  <c r="U1699" i="20" s="1"/>
  <c r="T2217" i="20"/>
  <c r="T2019" i="20"/>
  <c r="T1812" i="20"/>
  <c r="T1702" i="20"/>
  <c r="T2201" i="20"/>
  <c r="T1745" i="20"/>
  <c r="T2262" i="20"/>
  <c r="T1780" i="20"/>
  <c r="T1718" i="20"/>
  <c r="T1615" i="20"/>
  <c r="T1742" i="20"/>
  <c r="T1664" i="20"/>
  <c r="U1664" i="20" s="1"/>
  <c r="T1548" i="20"/>
  <c r="T1658" i="20"/>
  <c r="U1658" i="20" s="1"/>
  <c r="T1534" i="20"/>
  <c r="T1733" i="20"/>
  <c r="T1619" i="20"/>
  <c r="T1487" i="20"/>
  <c r="T1325" i="20"/>
  <c r="T1323" i="20"/>
  <c r="T1321" i="20"/>
  <c r="T1163" i="20"/>
  <c r="T1103" i="20"/>
  <c r="T1073" i="20"/>
  <c r="T1066" i="20"/>
  <c r="T1661" i="20"/>
  <c r="U1661" i="20" s="1"/>
  <c r="T1498" i="20"/>
  <c r="T1435" i="20"/>
  <c r="U1435" i="20" s="1"/>
  <c r="T1317" i="20"/>
  <c r="T1311" i="20"/>
  <c r="T1250" i="20"/>
  <c r="U1250" i="20" s="1"/>
  <c r="T1668" i="20"/>
  <c r="U1668" i="20" s="1"/>
  <c r="T1646" i="20"/>
  <c r="T1329" i="20"/>
  <c r="T1815" i="20"/>
  <c r="T1087" i="20"/>
  <c r="T1678" i="20"/>
  <c r="U1678" i="20" s="1"/>
  <c r="T1801" i="20"/>
  <c r="T1536" i="20"/>
  <c r="T1464" i="20"/>
  <c r="T1495" i="20"/>
  <c r="T2184" i="20"/>
  <c r="T1817" i="20"/>
  <c r="T1722" i="20"/>
  <c r="T1705" i="20"/>
  <c r="T1667" i="20"/>
  <c r="U1667" i="20" s="1"/>
  <c r="J1667" i="20" s="1"/>
  <c r="P1667" i="20" s="1"/>
  <c r="T1598" i="20"/>
  <c r="T1565" i="20"/>
  <c r="T1559" i="20"/>
  <c r="T1670" i="20"/>
  <c r="U1670" i="20" s="1"/>
  <c r="T1634" i="20"/>
  <c r="T1631" i="20"/>
  <c r="T1527" i="20"/>
  <c r="T1747" i="20"/>
  <c r="T1434" i="20"/>
  <c r="U1434" i="20" s="1"/>
  <c r="T1588" i="20"/>
  <c r="T1779" i="20"/>
  <c r="T1509" i="20"/>
  <c r="T1621" i="20"/>
  <c r="T1481" i="20"/>
  <c r="T1564" i="20"/>
  <c r="T1343" i="20"/>
  <c r="T1258" i="20"/>
  <c r="U1258" i="20" s="1"/>
  <c r="T1168" i="20"/>
  <c r="T1126" i="20"/>
  <c r="T1085" i="20"/>
  <c r="T1079" i="20"/>
  <c r="T1077" i="20"/>
  <c r="T1056" i="20"/>
  <c r="T915" i="20"/>
  <c r="T1855" i="20"/>
  <c r="T1578" i="20"/>
  <c r="T1467" i="20"/>
  <c r="T1452" i="20"/>
  <c r="T1440" i="20"/>
  <c r="U1440" i="20" s="1"/>
  <c r="T1429" i="20"/>
  <c r="U1429" i="20" s="1"/>
  <c r="T1185" i="20"/>
  <c r="T1170" i="20"/>
  <c r="T1083" i="20"/>
  <c r="T1054" i="20"/>
  <c r="T1046" i="20"/>
  <c r="T1044" i="20"/>
  <c r="T997" i="20"/>
  <c r="T942" i="20"/>
  <c r="T933" i="20"/>
  <c r="T904" i="20"/>
  <c r="T890" i="20"/>
  <c r="T878" i="20"/>
  <c r="T2120" i="20"/>
  <c r="T1662" i="20"/>
  <c r="U1662" i="20" s="1"/>
  <c r="T1232" i="20"/>
  <c r="U1232" i="20" s="1"/>
  <c r="T1172" i="20"/>
  <c r="T1064" i="20"/>
  <c r="T1557" i="20"/>
  <c r="T1052" i="20"/>
  <c r="T955" i="20"/>
  <c r="T1851" i="20"/>
  <c r="T1560" i="20"/>
  <c r="T1535" i="20"/>
  <c r="T1458" i="20"/>
  <c r="T1417" i="20"/>
  <c r="U1417" i="20" s="1"/>
  <c r="T1409" i="20"/>
  <c r="U1409" i="20" s="1"/>
  <c r="T1373" i="20"/>
  <c r="T1357" i="20"/>
  <c r="T1824" i="20"/>
  <c r="T1645" i="20"/>
  <c r="T1508" i="20"/>
  <c r="T1446" i="20"/>
  <c r="U1446" i="20" s="1"/>
  <c r="T1414" i="20"/>
  <c r="U1414" i="20" s="1"/>
  <c r="T1279" i="20"/>
  <c r="U1279" i="20" s="1"/>
  <c r="T1563" i="20"/>
  <c r="T1469" i="20"/>
  <c r="T2349" i="20"/>
  <c r="T1546" i="20"/>
  <c r="T1466" i="20"/>
  <c r="T1383" i="20"/>
  <c r="T2168" i="20"/>
  <c r="T1628" i="20"/>
  <c r="T1537" i="20"/>
  <c r="T1798" i="20"/>
  <c r="T1436" i="20"/>
  <c r="U1436" i="20" s="1"/>
  <c r="J1436" i="20" s="1"/>
  <c r="P1436" i="20" s="1"/>
  <c r="T1324" i="20"/>
  <c r="T1186" i="20"/>
  <c r="T1116" i="20"/>
  <c r="T924" i="20"/>
  <c r="T1730" i="20"/>
  <c r="T1595" i="20"/>
  <c r="T1504" i="20"/>
  <c r="T1389" i="20"/>
  <c r="T1648" i="20"/>
  <c r="T1526" i="20"/>
  <c r="T1215" i="20"/>
  <c r="U1215" i="20" s="1"/>
  <c r="T1379" i="20"/>
  <c r="T1370" i="20"/>
  <c r="T1359" i="20"/>
  <c r="T1281" i="20"/>
  <c r="U1281" i="20" s="1"/>
  <c r="T1256" i="20"/>
  <c r="U1256" i="20" s="1"/>
  <c r="T1118" i="20"/>
  <c r="T1000" i="20"/>
  <c r="T998" i="20"/>
  <c r="T959" i="20"/>
  <c r="T953" i="20"/>
  <c r="T947" i="20"/>
  <c r="T848" i="20"/>
  <c r="T829" i="20"/>
  <c r="T786" i="20"/>
  <c r="U786" i="20" s="1"/>
  <c r="J786" i="20" s="1"/>
  <c r="T754" i="20"/>
  <c r="U754" i="20" s="1"/>
  <c r="T722" i="20"/>
  <c r="U722" i="20" s="1"/>
  <c r="T690" i="20"/>
  <c r="T658" i="20"/>
  <c r="T626" i="20"/>
  <c r="T1133" i="20"/>
  <c r="T990" i="20"/>
  <c r="T901" i="20"/>
  <c r="T1447" i="20"/>
  <c r="U1447" i="20" s="1"/>
  <c r="T1398" i="20"/>
  <c r="T1356" i="20"/>
  <c r="T1298" i="20"/>
  <c r="U1298" i="20" s="1"/>
  <c r="J1298" i="20" s="1"/>
  <c r="P1298" i="20" s="1"/>
  <c r="T1777" i="20"/>
  <c r="T1507" i="20"/>
  <c r="T1450" i="20"/>
  <c r="U1450" i="20" s="1"/>
  <c r="T1522" i="20"/>
  <c r="T1344" i="20"/>
  <c r="T1122" i="20"/>
  <c r="T1653" i="20"/>
  <c r="U1653" i="20" s="1"/>
  <c r="T1165" i="20"/>
  <c r="T1151" i="20"/>
  <c r="T1147" i="20"/>
  <c r="T1570" i="20"/>
  <c r="T1406" i="20"/>
  <c r="U1406" i="20" s="1"/>
  <c r="T1355" i="20"/>
  <c r="T1494" i="20"/>
  <c r="T1463" i="20"/>
  <c r="T1363" i="20"/>
  <c r="T1687" i="20"/>
  <c r="U1687" i="20" s="1"/>
  <c r="T1513" i="20"/>
  <c r="T1423" i="20"/>
  <c r="U1423" i="20" s="1"/>
  <c r="T1397" i="20"/>
  <c r="T1387" i="20"/>
  <c r="T1377" i="20"/>
  <c r="T1314" i="20"/>
  <c r="T1247" i="20"/>
  <c r="U1247" i="20" s="1"/>
  <c r="J1247" i="20" s="1"/>
  <c r="T1218" i="20"/>
  <c r="U1218" i="20" s="1"/>
  <c r="T1649" i="20"/>
  <c r="T1543" i="20"/>
  <c r="T1384" i="20"/>
  <c r="T1189" i="20"/>
  <c r="T1119" i="20"/>
  <c r="T1512" i="20"/>
  <c r="T1330" i="20"/>
  <c r="T1237" i="20"/>
  <c r="U1237" i="20" s="1"/>
  <c r="T1183" i="20"/>
  <c r="T987" i="20"/>
  <c r="T939" i="20"/>
  <c r="T1479" i="20"/>
  <c r="T1276" i="20"/>
  <c r="U1276" i="20" s="1"/>
  <c r="T1173" i="20"/>
  <c r="T1162" i="20"/>
  <c r="T1159" i="20"/>
  <c r="T1093" i="20"/>
  <c r="T1010" i="20"/>
  <c r="T973" i="20"/>
  <c r="T1392" i="20"/>
  <c r="T1345" i="20"/>
  <c r="T1244" i="20"/>
  <c r="U1244" i="20" s="1"/>
  <c r="T1047" i="20"/>
  <c r="T1040" i="20"/>
  <c r="T1030" i="20"/>
  <c r="T1023" i="20"/>
  <c r="T978" i="20"/>
  <c r="T948" i="20"/>
  <c r="T902" i="20"/>
  <c r="T900" i="20"/>
  <c r="T877" i="20"/>
  <c r="T875" i="20"/>
  <c r="T780" i="20"/>
  <c r="U780" i="20" s="1"/>
  <c r="J780" i="20" s="1"/>
  <c r="T778" i="20"/>
  <c r="U778" i="20" s="1"/>
  <c r="T772" i="20"/>
  <c r="U772" i="20" s="1"/>
  <c r="T770" i="20"/>
  <c r="U770" i="20" s="1"/>
  <c r="T729" i="20"/>
  <c r="U729" i="20" s="1"/>
  <c r="T1385" i="20"/>
  <c r="T1015" i="20"/>
  <c r="T776" i="20"/>
  <c r="U776" i="20" s="1"/>
  <c r="J776" i="20" s="1"/>
  <c r="T680" i="20"/>
  <c r="T1201" i="20"/>
  <c r="T1121" i="20"/>
  <c r="T1111" i="20"/>
  <c r="T1069" i="20"/>
  <c r="T941" i="20"/>
  <c r="T1637" i="20"/>
  <c r="T1290" i="20"/>
  <c r="U1290" i="20" s="1"/>
  <c r="T1175" i="20"/>
  <c r="T1146" i="20"/>
  <c r="T881" i="20"/>
  <c r="T1700" i="20"/>
  <c r="U1700" i="20" s="1"/>
  <c r="T1177" i="20"/>
  <c r="T1113" i="20"/>
  <c r="T1354" i="20"/>
  <c r="T1728" i="20"/>
  <c r="T1497" i="20"/>
  <c r="T1336" i="20"/>
  <c r="T1293" i="20"/>
  <c r="U1293" i="20" s="1"/>
  <c r="T1213" i="20"/>
  <c r="U1213" i="20" s="1"/>
  <c r="T1405" i="20"/>
  <c r="U1405" i="20" s="1"/>
  <c r="T1158" i="20"/>
  <c r="T1105" i="20"/>
  <c r="T1285" i="20"/>
  <c r="U1285" i="20" s="1"/>
  <c r="T1253" i="20"/>
  <c r="U1253" i="20" s="1"/>
  <c r="J1253" i="20" s="1"/>
  <c r="T1130" i="20"/>
  <c r="T1715" i="20"/>
  <c r="T1583" i="20"/>
  <c r="T1566" i="20"/>
  <c r="T1394" i="20"/>
  <c r="T1140" i="20"/>
  <c r="T769" i="20"/>
  <c r="U769" i="20" s="1"/>
  <c r="T1799" i="20"/>
  <c r="T1525" i="20"/>
  <c r="T1137" i="20"/>
  <c r="T2020" i="20"/>
  <c r="T1553" i="20"/>
  <c r="T1426" i="20"/>
  <c r="U1426" i="20" s="1"/>
  <c r="T1407" i="20"/>
  <c r="U1407" i="20" s="1"/>
  <c r="T1194" i="20"/>
  <c r="T820" i="20"/>
  <c r="T598" i="20"/>
  <c r="U598" i="20" s="1"/>
  <c r="T565" i="20"/>
  <c r="U565" i="20" s="1"/>
  <c r="T536" i="20"/>
  <c r="U536" i="20" s="1"/>
  <c r="T489" i="20"/>
  <c r="T457" i="20"/>
  <c r="T425" i="20"/>
  <c r="T393" i="20"/>
  <c r="T1275" i="20"/>
  <c r="U1275" i="20" s="1"/>
  <c r="T949" i="20"/>
  <c r="T822" i="20"/>
  <c r="T802" i="20"/>
  <c r="T1081" i="20"/>
  <c r="T1026" i="20"/>
  <c r="T1009" i="20"/>
  <c r="T702" i="20"/>
  <c r="U702" i="20" s="1"/>
  <c r="T641" i="20"/>
  <c r="T594" i="20"/>
  <c r="U594" i="20" s="1"/>
  <c r="T574" i="20"/>
  <c r="U574" i="20" s="1"/>
  <c r="T1586" i="20"/>
  <c r="T954" i="20"/>
  <c r="T923" i="20"/>
  <c r="T740" i="20"/>
  <c r="U740" i="20" s="1"/>
  <c r="T651" i="20"/>
  <c r="T637" i="20"/>
  <c r="T607" i="20"/>
  <c r="T563" i="20"/>
  <c r="U563" i="20" s="1"/>
  <c r="J563" i="20" s="1"/>
  <c r="T518" i="20"/>
  <c r="U518" i="20" s="1"/>
  <c r="J518" i="20" s="1"/>
  <c r="T511" i="20"/>
  <c r="U511" i="20" s="1"/>
  <c r="J511" i="20" s="1"/>
  <c r="T1465" i="20"/>
  <c r="T1109" i="20"/>
  <c r="T783" i="20"/>
  <c r="U783" i="20" s="1"/>
  <c r="T956" i="20"/>
  <c r="T846" i="20"/>
  <c r="T673" i="20"/>
  <c r="T1652" i="20"/>
  <c r="U1652" i="20" s="1"/>
  <c r="T1367" i="20"/>
  <c r="T1182" i="20"/>
  <c r="T1014" i="20"/>
  <c r="T790" i="20"/>
  <c r="U790" i="20" s="1"/>
  <c r="T1070" i="20"/>
  <c r="T972" i="20"/>
  <c r="T961" i="20"/>
  <c r="T855" i="20"/>
  <c r="T1708" i="20"/>
  <c r="T1660" i="20"/>
  <c r="U1660" i="20" s="1"/>
  <c r="T1286" i="20"/>
  <c r="U1286" i="20" s="1"/>
  <c r="T1210" i="20"/>
  <c r="U1210" i="20" s="1"/>
  <c r="T1134" i="20"/>
  <c r="T1055" i="20"/>
  <c r="T1229" i="20"/>
  <c r="U1229" i="20" s="1"/>
  <c r="T1114" i="20"/>
  <c r="T932" i="20"/>
  <c r="T1154" i="20"/>
  <c r="T1058" i="20"/>
  <c r="T1205" i="20"/>
  <c r="U1205" i="20" s="1"/>
  <c r="T1181" i="20"/>
  <c r="T1169" i="20"/>
  <c r="T1049" i="20"/>
  <c r="T1027" i="20"/>
  <c r="T1545" i="20"/>
  <c r="T1224" i="20"/>
  <c r="U1224" i="20" s="1"/>
  <c r="T1125" i="20"/>
  <c r="T1408" i="20"/>
  <c r="U1408" i="20" s="1"/>
  <c r="T965" i="20"/>
  <c r="T1099" i="20"/>
  <c r="T630" i="20"/>
  <c r="T612" i="20"/>
  <c r="T495" i="20"/>
  <c r="T469" i="20"/>
  <c r="T422" i="20"/>
  <c r="T406" i="20"/>
  <c r="T379" i="20"/>
  <c r="T351" i="20"/>
  <c r="T317" i="20"/>
  <c r="T285" i="20"/>
  <c r="T1202" i="20"/>
  <c r="U1202" i="20" s="1"/>
  <c r="J1202" i="20" s="1"/>
  <c r="T1088" i="20"/>
  <c r="T909" i="20"/>
  <c r="T1206" i="20"/>
  <c r="U1206" i="20" s="1"/>
  <c r="T1076" i="20"/>
  <c r="T863" i="20"/>
  <c r="T670" i="20"/>
  <c r="T532" i="20"/>
  <c r="U532" i="20" s="1"/>
  <c r="T1233" i="20"/>
  <c r="U1233" i="20" s="1"/>
  <c r="T1095" i="20"/>
  <c r="T1051" i="20"/>
  <c r="T918" i="20"/>
  <c r="T874" i="20"/>
  <c r="T1102" i="20"/>
  <c r="T966" i="20"/>
  <c r="T616" i="20"/>
  <c r="T520" i="20"/>
  <c r="U520" i="20" s="1"/>
  <c r="T1142" i="20"/>
  <c r="T737" i="20"/>
  <c r="U737" i="20" s="1"/>
  <c r="J737" i="20" s="1"/>
  <c r="P737" i="20" s="1"/>
  <c r="T674" i="20"/>
  <c r="T969" i="20"/>
  <c r="T834" i="20"/>
  <c r="T605" i="20"/>
  <c r="T510" i="20"/>
  <c r="U510" i="20" s="1"/>
  <c r="T452" i="20"/>
  <c r="T1431" i="20"/>
  <c r="U1431" i="20" s="1"/>
  <c r="T873" i="20"/>
  <c r="T1312" i="20"/>
  <c r="T1033" i="20"/>
  <c r="T841" i="20"/>
  <c r="T777" i="20"/>
  <c r="U777" i="20" s="1"/>
  <c r="T870" i="20"/>
  <c r="T854" i="20"/>
  <c r="T828" i="20"/>
  <c r="T785" i="20"/>
  <c r="U785" i="20" s="1"/>
  <c r="T991" i="20"/>
  <c r="T766" i="20"/>
  <c r="U766" i="20" s="1"/>
  <c r="T1144" i="20"/>
  <c r="T1074" i="20"/>
  <c r="T1842" i="20"/>
  <c r="T1375" i="20"/>
  <c r="T1149" i="20"/>
  <c r="T919" i="20"/>
  <c r="T1299" i="20"/>
  <c r="U1299" i="20" s="1"/>
  <c r="T889" i="20"/>
  <c r="T793" i="20"/>
  <c r="U793" i="20" s="1"/>
  <c r="T757" i="20"/>
  <c r="U757" i="20" s="1"/>
  <c r="T629" i="20"/>
  <c r="T503" i="20"/>
  <c r="U503" i="20" s="1"/>
  <c r="J503" i="20" s="1"/>
  <c r="P503" i="20" s="1"/>
  <c r="T482" i="20"/>
  <c r="T455" i="20"/>
  <c r="T283" i="20"/>
  <c r="T274" i="20"/>
  <c r="T221" i="20"/>
  <c r="T198" i="20"/>
  <c r="T175" i="20"/>
  <c r="T163" i="20"/>
  <c r="T144" i="20"/>
  <c r="T122" i="20"/>
  <c r="T90" i="20"/>
  <c r="U90" i="20" s="1"/>
  <c r="T58" i="20"/>
  <c r="U58" i="20" s="1"/>
  <c r="T1308" i="20"/>
  <c r="T711" i="20"/>
  <c r="U711" i="20" s="1"/>
  <c r="J711" i="20" s="1"/>
  <c r="P711" i="20" s="1"/>
  <c r="T747" i="20"/>
  <c r="U747" i="20" s="1"/>
  <c r="T642" i="20"/>
  <c r="T564" i="20"/>
  <c r="U564" i="20" s="1"/>
  <c r="J564" i="20" s="1"/>
  <c r="T490" i="20"/>
  <c r="T488" i="20"/>
  <c r="T356" i="20"/>
  <c r="T329" i="20"/>
  <c r="T265" i="20"/>
  <c r="T168" i="20"/>
  <c r="T156" i="20"/>
  <c r="T958" i="20"/>
  <c r="T734" i="20"/>
  <c r="U734" i="20" s="1"/>
  <c r="J734" i="20" s="1"/>
  <c r="P734" i="20" s="1"/>
  <c r="T484" i="20"/>
  <c r="T1516" i="20"/>
  <c r="T750" i="20"/>
  <c r="U750" i="20" s="1"/>
  <c r="T661" i="20"/>
  <c r="T606" i="20"/>
  <c r="T1018" i="20"/>
  <c r="T812" i="20"/>
  <c r="T720" i="20"/>
  <c r="U720" i="20" s="1"/>
  <c r="T591" i="20"/>
  <c r="U591" i="20" s="1"/>
  <c r="T576" i="20"/>
  <c r="U576" i="20" s="1"/>
  <c r="T323" i="20"/>
  <c r="T299" i="20"/>
  <c r="T240" i="20"/>
  <c r="T233" i="20"/>
  <c r="T689" i="20"/>
  <c r="T431" i="20"/>
  <c r="T342" i="20"/>
  <c r="T1273" i="20"/>
  <c r="U1273" i="20" s="1"/>
  <c r="J1273" i="20" s="1"/>
  <c r="T892" i="20"/>
  <c r="T603" i="20"/>
  <c r="T573" i="20"/>
  <c r="U573" i="20" s="1"/>
  <c r="J573" i="20" s="1"/>
  <c r="T542" i="20"/>
  <c r="U542" i="20" s="1"/>
  <c r="T946" i="20"/>
  <c r="T787" i="20"/>
  <c r="U787" i="20" s="1"/>
  <c r="T964" i="20"/>
  <c r="T726" i="20"/>
  <c r="U726" i="20" s="1"/>
  <c r="T676" i="20"/>
  <c r="T575" i="20"/>
  <c r="U575" i="20" s="1"/>
  <c r="T884" i="20"/>
  <c r="T1266" i="20"/>
  <c r="U1266" i="20" s="1"/>
  <c r="T887" i="20"/>
  <c r="T811" i="20"/>
  <c r="T805" i="20"/>
  <c r="T712" i="20"/>
  <c r="U712" i="20" s="1"/>
  <c r="J712" i="20" s="1"/>
  <c r="P712" i="20" s="1"/>
  <c r="T2447" i="20"/>
  <c r="T849" i="20"/>
  <c r="T691" i="20"/>
  <c r="T1271" i="20"/>
  <c r="U1271" i="20" s="1"/>
  <c r="T944" i="20"/>
  <c r="T692" i="20"/>
  <c r="T628" i="20"/>
  <c r="T566" i="20"/>
  <c r="U566" i="20" s="1"/>
  <c r="T437" i="20"/>
  <c r="T410" i="20"/>
  <c r="T234" i="20"/>
  <c r="T129" i="20"/>
  <c r="T94" i="20"/>
  <c r="U94" i="20" s="1"/>
  <c r="T318" i="20"/>
  <c r="T830" i="20"/>
  <c r="T823" i="20"/>
  <c r="T615" i="20"/>
  <c r="T602" i="20"/>
  <c r="T592" i="20"/>
  <c r="U592" i="20" s="1"/>
  <c r="T582" i="20"/>
  <c r="U582" i="20" s="1"/>
  <c r="T551" i="20"/>
  <c r="U551" i="20" s="1"/>
  <c r="T391" i="20"/>
  <c r="T298" i="20"/>
  <c r="T287" i="20"/>
  <c r="T83" i="20"/>
  <c r="U83" i="20" s="1"/>
  <c r="T47" i="20"/>
  <c r="U47" i="20" s="1"/>
  <c r="J47" i="20" s="1"/>
  <c r="T897" i="20"/>
  <c r="T459" i="20"/>
  <c r="T307" i="20"/>
  <c r="T952" i="20"/>
  <c r="T746" i="20"/>
  <c r="U746" i="20" s="1"/>
  <c r="T705" i="20"/>
  <c r="U705" i="20" s="1"/>
  <c r="J705" i="20" s="1"/>
  <c r="T652" i="20"/>
  <c r="T648" i="20"/>
  <c r="T556" i="20"/>
  <c r="U556" i="20" s="1"/>
  <c r="T372" i="20"/>
  <c r="T559" i="20"/>
  <c r="U559" i="20" s="1"/>
  <c r="T112" i="20"/>
  <c r="T979" i="20"/>
  <c r="T671" i="20"/>
  <c r="T416" i="20"/>
  <c r="T364" i="20"/>
  <c r="T1157" i="20"/>
  <c r="T862" i="20"/>
  <c r="T538" i="20"/>
  <c r="U538" i="20" s="1"/>
  <c r="T725" i="20"/>
  <c r="U725" i="20" s="1"/>
  <c r="T667" i="20"/>
  <c r="T479" i="20"/>
  <c r="T733" i="20"/>
  <c r="U733" i="20" s="1"/>
  <c r="T773" i="20"/>
  <c r="U773" i="20" s="1"/>
  <c r="T761" i="20"/>
  <c r="U761" i="20" s="1"/>
  <c r="T696" i="20"/>
  <c r="T570" i="20"/>
  <c r="U570" i="20" s="1"/>
  <c r="T531" i="20"/>
  <c r="U531" i="20" s="1"/>
  <c r="T402" i="20"/>
  <c r="T1623" i="20"/>
  <c r="T795" i="20"/>
  <c r="U795" i="20" s="1"/>
  <c r="T755" i="20"/>
  <c r="U755" i="20" s="1"/>
  <c r="T625" i="20"/>
  <c r="T869" i="20"/>
  <c r="T326" i="20"/>
  <c r="T255" i="20"/>
  <c r="T238" i="20"/>
  <c r="T202" i="20"/>
  <c r="T178" i="20"/>
  <c r="T132" i="20"/>
  <c r="T41" i="20"/>
  <c r="U41" i="20" s="1"/>
  <c r="T376" i="20"/>
  <c r="T331" i="20"/>
  <c r="T312" i="20"/>
  <c r="T190" i="20"/>
  <c r="T157" i="20"/>
  <c r="T121" i="20"/>
  <c r="T460" i="20"/>
  <c r="T277" i="20"/>
  <c r="T872" i="20"/>
  <c r="T560" i="20"/>
  <c r="U560" i="20" s="1"/>
  <c r="T491" i="20"/>
  <c r="T432" i="20"/>
  <c r="T267" i="20"/>
  <c r="T245" i="20"/>
  <c r="T197" i="20"/>
  <c r="T150" i="20"/>
  <c r="T744" i="20"/>
  <c r="U744" i="20" s="1"/>
  <c r="T446" i="20"/>
  <c r="T123" i="20"/>
  <c r="T45" i="20"/>
  <c r="U45" i="20" s="1"/>
  <c r="T736" i="20"/>
  <c r="U736" i="20" s="1"/>
  <c r="J736" i="20" s="1"/>
  <c r="P736" i="20" s="1"/>
  <c r="T619" i="20"/>
  <c r="T497" i="20"/>
  <c r="T471" i="20"/>
  <c r="T537" i="20"/>
  <c r="U537" i="20" s="1"/>
  <c r="T638" i="20"/>
  <c r="T584" i="20"/>
  <c r="U584" i="20" s="1"/>
  <c r="T549" i="20"/>
  <c r="U549" i="20" s="1"/>
  <c r="J549" i="20" s="1"/>
  <c r="P549" i="20" s="1"/>
  <c r="T385" i="20"/>
  <c r="T388" i="20"/>
  <c r="T330" i="20"/>
  <c r="T230" i="20"/>
  <c r="T1045" i="20"/>
  <c r="T1008" i="20"/>
  <c r="T694" i="20"/>
  <c r="T738" i="20"/>
  <c r="U738" i="20" s="1"/>
  <c r="T826" i="20"/>
  <c r="T587" i="20"/>
  <c r="U587" i="20" s="1"/>
  <c r="T562" i="20"/>
  <c r="U562" i="20" s="1"/>
  <c r="T417" i="20"/>
  <c r="T365" i="20"/>
  <c r="T359" i="20"/>
  <c r="T338" i="20"/>
  <c r="T305" i="20"/>
  <c r="T513" i="20"/>
  <c r="U513" i="20" s="1"/>
  <c r="J513" i="20" s="1"/>
  <c r="T464" i="20"/>
  <c r="T461" i="20"/>
  <c r="T784" i="20"/>
  <c r="U784" i="20" s="1"/>
  <c r="T779" i="20"/>
  <c r="U779" i="20" s="1"/>
  <c r="T644" i="20"/>
  <c r="T498" i="20"/>
  <c r="T347" i="20"/>
  <c r="T341" i="20"/>
  <c r="T321" i="20"/>
  <c r="T803" i="20"/>
  <c r="T236" i="20"/>
  <c r="T519" i="20"/>
  <c r="U519" i="20" s="1"/>
  <c r="J519" i="20" s="1"/>
  <c r="P519" i="20" s="1"/>
  <c r="T553" i="20"/>
  <c r="U553" i="20" s="1"/>
  <c r="T259" i="20"/>
  <c r="T91" i="20"/>
  <c r="U91" i="20" s="1"/>
  <c r="T73" i="20"/>
  <c r="U73" i="20" s="1"/>
  <c r="J73" i="20" s="1"/>
  <c r="P73" i="20" s="1"/>
  <c r="T268" i="20"/>
  <c r="T22" i="20"/>
  <c r="U22" i="20" s="1"/>
  <c r="T852" i="20"/>
  <c r="T395" i="20"/>
  <c r="T353" i="20"/>
  <c r="T218" i="20"/>
  <c r="T196" i="20"/>
  <c r="T170" i="20"/>
  <c r="T126" i="20"/>
  <c r="T107" i="20"/>
  <c r="T104" i="20"/>
  <c r="T50" i="20"/>
  <c r="U50" i="20" s="1"/>
  <c r="T37" i="20"/>
  <c r="U37" i="20" s="1"/>
  <c r="J37" i="20" s="1"/>
  <c r="T17" i="20"/>
  <c r="U17" i="20" s="1"/>
  <c r="J17" i="20" s="1"/>
  <c r="P17" i="20" s="1"/>
  <c r="T380" i="20"/>
  <c r="T324" i="20"/>
  <c r="T280" i="20"/>
  <c r="T232" i="20"/>
  <c r="T147" i="20"/>
  <c r="T96" i="20"/>
  <c r="U96" i="20" s="1"/>
  <c r="T55" i="20"/>
  <c r="U55" i="20" s="1"/>
  <c r="J55" i="20" s="1"/>
  <c r="P55" i="20" s="1"/>
  <c r="T415" i="20"/>
  <c r="T81" i="20"/>
  <c r="U81" i="20" s="1"/>
  <c r="T523" i="20"/>
  <c r="U523" i="20" s="1"/>
  <c r="T29" i="20"/>
  <c r="U29" i="20" s="1"/>
  <c r="T610" i="20"/>
  <c r="T253" i="20"/>
  <c r="T161" i="20"/>
  <c r="T420" i="20"/>
  <c r="T387" i="20"/>
  <c r="T306" i="20"/>
  <c r="T296" i="20"/>
  <c r="T209" i="20"/>
  <c r="T120" i="20"/>
  <c r="T75" i="20"/>
  <c r="U75" i="20" s="1"/>
  <c r="T426" i="20"/>
  <c r="T19" i="20"/>
  <c r="U19" i="20" s="1"/>
  <c r="T664" i="20"/>
  <c r="T552" i="20"/>
  <c r="U552" i="20" s="1"/>
  <c r="T369" i="20"/>
  <c r="T243" i="20"/>
  <c r="T220" i="20"/>
  <c r="T62" i="20"/>
  <c r="U62" i="20" s="1"/>
  <c r="T976" i="20"/>
  <c r="T502" i="20"/>
  <c r="U502" i="20" s="1"/>
  <c r="T192" i="20"/>
  <c r="T149" i="20"/>
  <c r="T106" i="20"/>
  <c r="T14" i="20"/>
  <c r="U14" i="20" s="1"/>
  <c r="T383" i="20"/>
  <c r="T169" i="20"/>
  <c r="T697" i="20"/>
  <c r="T449" i="20"/>
  <c r="T166" i="20"/>
  <c r="T72" i="20"/>
  <c r="U72" i="20" s="1"/>
  <c r="T434" i="20"/>
  <c r="T214" i="20"/>
  <c r="T100" i="20"/>
  <c r="U100" i="20" s="1"/>
  <c r="J100" i="20" s="1"/>
  <c r="T428" i="20"/>
  <c r="T845" i="20"/>
  <c r="T814" i="20"/>
  <c r="T315" i="20"/>
  <c r="T266" i="20"/>
  <c r="T56" i="20"/>
  <c r="U56" i="20" s="1"/>
  <c r="T33" i="20"/>
  <c r="U33" i="20" s="1"/>
  <c r="T577" i="20"/>
  <c r="U577" i="20" s="1"/>
  <c r="T485" i="20"/>
  <c r="T407" i="20"/>
  <c r="T508" i="20"/>
  <c r="U508" i="20" s="1"/>
  <c r="J508" i="20" s="1"/>
  <c r="T463" i="20"/>
  <c r="T284" i="20"/>
  <c r="T436" i="20"/>
  <c r="T304" i="20"/>
  <c r="T48" i="20"/>
  <c r="U48" i="20" s="1"/>
  <c r="T145" i="20"/>
  <c r="J42" i="20"/>
  <c r="P42" i="20" s="1"/>
  <c r="T57" i="20"/>
  <c r="U57" i="20" s="1"/>
  <c r="Q69" i="20"/>
  <c r="N69" i="20"/>
  <c r="O69" i="20" s="1"/>
  <c r="Q77" i="20"/>
  <c r="AC89" i="20"/>
  <c r="N89" i="20"/>
  <c r="O89" i="20" s="1"/>
  <c r="AB93" i="20"/>
  <c r="N93" i="20"/>
  <c r="O93" i="20" s="1"/>
  <c r="T108" i="20"/>
  <c r="T115" i="20"/>
  <c r="Z147" i="20"/>
  <c r="J147" i="20" s="1"/>
  <c r="Y147" i="20"/>
  <c r="AC155" i="20"/>
  <c r="Q155" i="20"/>
  <c r="Z165" i="20"/>
  <c r="J165" i="20" s="1"/>
  <c r="P165" i="20" s="1"/>
  <c r="Y165" i="20"/>
  <c r="T180" i="20"/>
  <c r="M195" i="20"/>
  <c r="L195" i="20"/>
  <c r="Z216" i="20"/>
  <c r="J216" i="20" s="1"/>
  <c r="P216" i="20" s="1"/>
  <c r="Y216" i="20"/>
  <c r="P251" i="20"/>
  <c r="T375" i="20"/>
  <c r="Q383" i="20"/>
  <c r="AC383" i="20"/>
  <c r="N383" i="20"/>
  <c r="O383" i="20" s="1"/>
  <c r="Z793" i="20"/>
  <c r="Y793" i="20"/>
  <c r="Z811" i="20"/>
  <c r="J811" i="20" s="1"/>
  <c r="P811" i="20" s="1"/>
  <c r="Y811" i="20"/>
  <c r="I71" i="4"/>
  <c r="I86" i="4"/>
  <c r="T9" i="20"/>
  <c r="U9" i="20" s="1"/>
  <c r="J9" i="20" s="1"/>
  <c r="T13" i="20"/>
  <c r="U13" i="20" s="1"/>
  <c r="T130" i="20"/>
  <c r="Z137" i="20"/>
  <c r="J137" i="20" s="1"/>
  <c r="T151" i="20"/>
  <c r="AB155" i="20"/>
  <c r="P155" i="20"/>
  <c r="N155" i="20"/>
  <c r="O155" i="20" s="1"/>
  <c r="Z184" i="20"/>
  <c r="J184" i="20" s="1"/>
  <c r="Y184" i="20"/>
  <c r="Y243" i="20"/>
  <c r="Z243" i="20"/>
  <c r="J243" i="20" s="1"/>
  <c r="P243" i="20" s="1"/>
  <c r="T247" i="20"/>
  <c r="Q251" i="20"/>
  <c r="N251" i="20"/>
  <c r="O251" i="20" s="1"/>
  <c r="Q269" i="20"/>
  <c r="AC269" i="20"/>
  <c r="Z276" i="20"/>
  <c r="J276" i="20" s="1"/>
  <c r="M295" i="20"/>
  <c r="L295" i="20"/>
  <c r="M306" i="20"/>
  <c r="L306" i="20"/>
  <c r="J357" i="20"/>
  <c r="P357" i="20" s="1"/>
  <c r="Z428" i="20"/>
  <c r="Y428" i="20"/>
  <c r="Z501" i="20"/>
  <c r="Y501" i="20"/>
  <c r="AB583" i="20"/>
  <c r="N583" i="20"/>
  <c r="O583" i="20" s="1"/>
  <c r="T827" i="20"/>
  <c r="Z13" i="20"/>
  <c r="Y13" i="20"/>
  <c r="Q20" i="20"/>
  <c r="J38" i="20"/>
  <c r="P38" i="20" s="1"/>
  <c r="T69" i="20"/>
  <c r="U69" i="20" s="1"/>
  <c r="T77" i="20"/>
  <c r="U77" i="20" s="1"/>
  <c r="Z108" i="20"/>
  <c r="J108" i="20" s="1"/>
  <c r="Y108" i="20"/>
  <c r="T119" i="20"/>
  <c r="Z144" i="20"/>
  <c r="J144" i="20" s="1"/>
  <c r="Y144" i="20"/>
  <c r="T155" i="20"/>
  <c r="P163" i="20"/>
  <c r="AB163" i="20"/>
  <c r="N163" i="20"/>
  <c r="O163" i="20" s="1"/>
  <c r="Z188" i="20"/>
  <c r="J188" i="20" s="1"/>
  <c r="Y191" i="20"/>
  <c r="Z191" i="20"/>
  <c r="J191" i="20" s="1"/>
  <c r="T195" i="20"/>
  <c r="N213" i="20"/>
  <c r="O213" i="20" s="1"/>
  <c r="AC219" i="20"/>
  <c r="Z290" i="20"/>
  <c r="J290" i="20" s="1"/>
  <c r="P290" i="20" s="1"/>
  <c r="T302" i="20"/>
  <c r="Z466" i="20"/>
  <c r="Y466" i="20"/>
  <c r="T505" i="20"/>
  <c r="U505" i="20" s="1"/>
  <c r="Z509" i="20"/>
  <c r="J509" i="20" s="1"/>
  <c r="P509" i="20" s="1"/>
  <c r="Y509" i="20"/>
  <c r="N799" i="20"/>
  <c r="O799" i="20" s="1"/>
  <c r="AB799" i="20"/>
  <c r="M76" i="20"/>
  <c r="L76" i="20"/>
  <c r="Z99" i="20"/>
  <c r="J99" i="20" s="1"/>
  <c r="Y99" i="20"/>
  <c r="AB132" i="20"/>
  <c r="P132" i="20"/>
  <c r="AC165" i="20"/>
  <c r="Q165" i="20"/>
  <c r="T173" i="20"/>
  <c r="Q188" i="20"/>
  <c r="AC188" i="20"/>
  <c r="Z250" i="20"/>
  <c r="J250" i="20" s="1"/>
  <c r="P250" i="20" s="1"/>
  <c r="Y250" i="20"/>
  <c r="M297" i="20"/>
  <c r="L297" i="20"/>
  <c r="AC328" i="20"/>
  <c r="Q328" i="20"/>
  <c r="Z353" i="20"/>
  <c r="J353" i="20" s="1"/>
  <c r="Y353" i="20"/>
  <c r="AB374" i="20"/>
  <c r="N374" i="20"/>
  <c r="O374" i="20" s="1"/>
  <c r="Y388" i="20"/>
  <c r="Z388" i="20"/>
  <c r="J388" i="20" s="1"/>
  <c r="T403" i="20"/>
  <c r="J562" i="20"/>
  <c r="P562" i="20" s="1"/>
  <c r="Q581" i="20"/>
  <c r="AC581" i="20"/>
  <c r="T586" i="20"/>
  <c r="U586" i="20" s="1"/>
  <c r="Y639" i="20"/>
  <c r="Z639" i="20"/>
  <c r="J639" i="20" s="1"/>
  <c r="AC673" i="20"/>
  <c r="Q673" i="20"/>
  <c r="Z825" i="20"/>
  <c r="J825" i="20" s="1"/>
  <c r="Y825" i="20"/>
  <c r="J553" i="20"/>
  <c r="P553" i="20" s="1"/>
  <c r="T649" i="20"/>
  <c r="T728" i="20"/>
  <c r="U728" i="20" s="1"/>
  <c r="Z817" i="20"/>
  <c r="J817" i="20" s="1"/>
  <c r="Y817" i="20"/>
  <c r="AB752" i="20"/>
  <c r="N752" i="20"/>
  <c r="O752" i="20" s="1"/>
  <c r="Z771" i="20"/>
  <c r="J771" i="20" s="1"/>
  <c r="Y771" i="20"/>
  <c r="T837" i="20"/>
  <c r="T92" i="20"/>
  <c r="U92" i="20" s="1"/>
  <c r="M105" i="20"/>
  <c r="L105" i="20"/>
  <c r="T143" i="20"/>
  <c r="P151" i="20"/>
  <c r="AB151" i="20"/>
  <c r="N151" i="20"/>
  <c r="O151" i="20" s="1"/>
  <c r="M171" i="20"/>
  <c r="L171" i="20"/>
  <c r="Z179" i="20"/>
  <c r="J179" i="20" s="1"/>
  <c r="P179" i="20" s="1"/>
  <c r="Y179" i="20"/>
  <c r="P191" i="20"/>
  <c r="AB191" i="20"/>
  <c r="AB197" i="20"/>
  <c r="N197" i="20"/>
  <c r="O197" i="20" s="1"/>
  <c r="Z210" i="20"/>
  <c r="J210" i="20" s="1"/>
  <c r="P210" i="20" s="1"/>
  <c r="Y210" i="20"/>
  <c r="T251" i="20"/>
  <c r="T343" i="20"/>
  <c r="AB347" i="20"/>
  <c r="P347" i="20"/>
  <c r="N347" i="20"/>
  <c r="O347" i="20" s="1"/>
  <c r="L393" i="20"/>
  <c r="M393" i="20"/>
  <c r="AC407" i="20"/>
  <c r="Q407" i="20"/>
  <c r="Z469" i="20"/>
  <c r="Y469" i="20"/>
  <c r="Z481" i="20"/>
  <c r="Y481" i="20"/>
  <c r="N504" i="20"/>
  <c r="O504" i="20" s="1"/>
  <c r="AB504" i="20"/>
  <c r="J529" i="20"/>
  <c r="P529" i="20" s="1"/>
  <c r="T558" i="20"/>
  <c r="U558" i="20" s="1"/>
  <c r="Q577" i="20"/>
  <c r="AC577" i="20"/>
  <c r="T43" i="20"/>
  <c r="U43" i="20" s="1"/>
  <c r="J43" i="20" s="1"/>
  <c r="P43" i="20" s="1"/>
  <c r="N56" i="20"/>
  <c r="O56" i="20" s="1"/>
  <c r="AB77" i="20"/>
  <c r="M127" i="20"/>
  <c r="L127" i="20"/>
  <c r="Y132" i="20"/>
  <c r="Q151" i="20"/>
  <c r="AC151" i="20"/>
  <c r="AC245" i="20"/>
  <c r="Q245" i="20"/>
  <c r="T257" i="20"/>
  <c r="AB308" i="20"/>
  <c r="N308" i="20"/>
  <c r="O308" i="20" s="1"/>
  <c r="M371" i="20"/>
  <c r="L371" i="20"/>
  <c r="Z381" i="20"/>
  <c r="J381" i="20" s="1"/>
  <c r="Y381" i="20"/>
  <c r="Z396" i="20"/>
  <c r="J396" i="20" s="1"/>
  <c r="Y396" i="20"/>
  <c r="Q425" i="20"/>
  <c r="AC425" i="20"/>
  <c r="Y430" i="20"/>
  <c r="Y448" i="20"/>
  <c r="Q491" i="20"/>
  <c r="AC491" i="20"/>
  <c r="AB525" i="20"/>
  <c r="N525" i="20"/>
  <c r="O525" i="20" s="1"/>
  <c r="Y529" i="20"/>
  <c r="Z558" i="20"/>
  <c r="Y558" i="20"/>
  <c r="N577" i="20"/>
  <c r="O577" i="20" s="1"/>
  <c r="Z595" i="20"/>
  <c r="J595" i="20" s="1"/>
  <c r="P595" i="20" s="1"/>
  <c r="Y595" i="20"/>
  <c r="Q650" i="20"/>
  <c r="AC650" i="20"/>
  <c r="T752" i="20"/>
  <c r="U752" i="20" s="1"/>
  <c r="AC1650" i="20"/>
  <c r="Q1650" i="20"/>
  <c r="N1650" i="20"/>
  <c r="T311" i="20"/>
  <c r="Q422" i="20"/>
  <c r="AC422" i="20"/>
  <c r="Y543" i="20"/>
  <c r="Z543" i="20"/>
  <c r="T604" i="20"/>
  <c r="AC758" i="20"/>
  <c r="Q758" i="20"/>
  <c r="AB830" i="20"/>
  <c r="N830" i="20"/>
  <c r="O830" i="20" s="1"/>
  <c r="Z2518" i="20"/>
  <c r="J2518" i="20" s="1"/>
  <c r="Z2426" i="20"/>
  <c r="Z2443" i="20"/>
  <c r="J2443" i="20" s="1"/>
  <c r="Z2349" i="20"/>
  <c r="J2349" i="20" s="1"/>
  <c r="Z2278" i="20"/>
  <c r="Z2027" i="20"/>
  <c r="Z2042" i="20"/>
  <c r="Z2429" i="20"/>
  <c r="Z2396" i="20"/>
  <c r="J2396" i="20" s="1"/>
  <c r="Z61" i="20"/>
  <c r="J61" i="20" s="1"/>
  <c r="P61" i="20" s="1"/>
  <c r="Y61" i="20"/>
  <c r="Z105" i="20"/>
  <c r="J105" i="20" s="1"/>
  <c r="Y105" i="20"/>
  <c r="M116" i="20"/>
  <c r="L116" i="20"/>
  <c r="Z157" i="20"/>
  <c r="J157" i="20" s="1"/>
  <c r="Y157" i="20"/>
  <c r="P211" i="20"/>
  <c r="AB211" i="20"/>
  <c r="J227" i="20"/>
  <c r="P227" i="20" s="1"/>
  <c r="Z233" i="20"/>
  <c r="J233" i="20" s="1"/>
  <c r="Y233" i="20"/>
  <c r="P351" i="20"/>
  <c r="AB351" i="20"/>
  <c r="N351" i="20"/>
  <c r="O351" i="20" s="1"/>
  <c r="M355" i="20"/>
  <c r="L355" i="20"/>
  <c r="M397" i="20"/>
  <c r="L397" i="20"/>
  <c r="N422" i="20"/>
  <c r="L443" i="20"/>
  <c r="M443" i="20"/>
  <c r="T501" i="20"/>
  <c r="T568" i="20"/>
  <c r="U568" i="20" s="1"/>
  <c r="J568" i="20" s="1"/>
  <c r="P620" i="20"/>
  <c r="AB620" i="20"/>
  <c r="N620" i="20"/>
  <c r="O620" i="20" s="1"/>
  <c r="Z645" i="20"/>
  <c r="J645" i="20" s="1"/>
  <c r="Y645" i="20"/>
  <c r="Z650" i="20"/>
  <c r="J650" i="20" s="1"/>
  <c r="Y650" i="20"/>
  <c r="Z1055" i="20"/>
  <c r="J1055" i="20" s="1"/>
  <c r="Y1055" i="20"/>
  <c r="Z2790" i="20"/>
  <c r="J2790" i="20" s="1"/>
  <c r="Z2206" i="20"/>
  <c r="J2206" i="20" s="1"/>
  <c r="Z2149" i="20"/>
  <c r="Z2341" i="20"/>
  <c r="J2341" i="20" s="1"/>
  <c r="Z2203" i="20"/>
  <c r="J2203" i="20" s="1"/>
  <c r="Z1671" i="20"/>
  <c r="J1671" i="20" s="1"/>
  <c r="P1671" i="20" s="1"/>
  <c r="J8" i="20"/>
  <c r="P8" i="20" s="1"/>
  <c r="T38" i="20"/>
  <c r="U38" i="20" s="1"/>
  <c r="T116" i="20"/>
  <c r="M130" i="20"/>
  <c r="L130" i="20"/>
  <c r="P194" i="20"/>
  <c r="Q205" i="20"/>
  <c r="AC205" i="20"/>
  <c r="AC211" i="20"/>
  <c r="Q211" i="20"/>
  <c r="T219" i="20"/>
  <c r="Z281" i="20"/>
  <c r="J281" i="20" s="1"/>
  <c r="P281" i="20" s="1"/>
  <c r="Y281" i="20"/>
  <c r="AC378" i="20"/>
  <c r="Q378" i="20"/>
  <c r="T382" i="20"/>
  <c r="Z410" i="20"/>
  <c r="Y410" i="20"/>
  <c r="T419" i="20"/>
  <c r="M498" i="20"/>
  <c r="L498" i="20"/>
  <c r="Z521" i="20"/>
  <c r="Y521" i="20"/>
  <c r="AB539" i="20"/>
  <c r="N539" i="20"/>
  <c r="O539" i="20" s="1"/>
  <c r="M588" i="20"/>
  <c r="L588" i="20"/>
  <c r="P592" i="20"/>
  <c r="AB592" i="20"/>
  <c r="N592" i="20"/>
  <c r="O592" i="20" s="1"/>
  <c r="Y628" i="20"/>
  <c r="Z628" i="20"/>
  <c r="J628" i="20" s="1"/>
  <c r="Z696" i="20"/>
  <c r="J696" i="20" s="1"/>
  <c r="Y696" i="20"/>
  <c r="T700" i="20"/>
  <c r="T743" i="20"/>
  <c r="U743" i="20" s="1"/>
  <c r="P440" i="20"/>
  <c r="N440" i="20"/>
  <c r="AB440" i="20"/>
  <c r="P479" i="20"/>
  <c r="N479" i="20"/>
  <c r="AB479" i="20"/>
  <c r="J517" i="20"/>
  <c r="Y547" i="20"/>
  <c r="Z547" i="20"/>
  <c r="J547" i="20" s="1"/>
  <c r="T588" i="20"/>
  <c r="U588" i="20" s="1"/>
  <c r="Z713" i="20"/>
  <c r="Y713" i="20"/>
  <c r="Z772" i="20"/>
  <c r="J772" i="20" s="1"/>
  <c r="Y772" i="20"/>
  <c r="AC1032" i="20"/>
  <c r="Q1032" i="20"/>
  <c r="Q21" i="20"/>
  <c r="AC21" i="20"/>
  <c r="N85" i="20"/>
  <c r="O85" i="20" s="1"/>
  <c r="AB85" i="20"/>
  <c r="AB141" i="20"/>
  <c r="N141" i="20"/>
  <c r="O141" i="20" s="1"/>
  <c r="AC166" i="20"/>
  <c r="Q166" i="20"/>
  <c r="T194" i="20"/>
  <c r="T205" i="20"/>
  <c r="T208" i="20"/>
  <c r="T211" i="20"/>
  <c r="AB217" i="20"/>
  <c r="Z245" i="20"/>
  <c r="J245" i="20" s="1"/>
  <c r="P245" i="20" s="1"/>
  <c r="Y245" i="20"/>
  <c r="AC273" i="20"/>
  <c r="Q273" i="20"/>
  <c r="T291" i="20"/>
  <c r="Z298" i="20"/>
  <c r="J298" i="20" s="1"/>
  <c r="Y298" i="20"/>
  <c r="AC326" i="20"/>
  <c r="Q326" i="20"/>
  <c r="N326" i="20"/>
  <c r="O326" i="20" s="1"/>
  <c r="L332" i="20"/>
  <c r="M332" i="20"/>
  <c r="Y382" i="20"/>
  <c r="Z382" i="20"/>
  <c r="J382" i="20" s="1"/>
  <c r="P431" i="20"/>
  <c r="AB431" i="20"/>
  <c r="N431" i="20"/>
  <c r="Q440" i="20"/>
  <c r="AC440" i="20"/>
  <c r="Z457" i="20"/>
  <c r="Y457" i="20"/>
  <c r="T476" i="20"/>
  <c r="Z582" i="20"/>
  <c r="J582" i="20" s="1"/>
  <c r="M629" i="20"/>
  <c r="L629" i="20"/>
  <c r="Y739" i="20"/>
  <c r="Z739" i="20"/>
  <c r="Z798" i="20"/>
  <c r="Y798" i="20"/>
  <c r="AB1314" i="20"/>
  <c r="P1314" i="20"/>
  <c r="N1314" i="20"/>
  <c r="O1314" i="20" s="1"/>
  <c r="Z1165" i="20"/>
  <c r="Y1165" i="20"/>
  <c r="T21" i="20"/>
  <c r="U21" i="20" s="1"/>
  <c r="M39" i="20"/>
  <c r="L39" i="20"/>
  <c r="Q44" i="20"/>
  <c r="Z177" i="20"/>
  <c r="J177" i="20" s="1"/>
  <c r="Y177" i="20"/>
  <c r="Q192" i="20"/>
  <c r="N192" i="20"/>
  <c r="O192" i="20" s="1"/>
  <c r="Q252" i="20"/>
  <c r="M258" i="20"/>
  <c r="L258" i="20"/>
  <c r="AC264" i="20"/>
  <c r="Q264" i="20"/>
  <c r="T279" i="20"/>
  <c r="Q282" i="20"/>
  <c r="N282" i="20"/>
  <c r="O282" i="20" s="1"/>
  <c r="Q348" i="20"/>
  <c r="AC348" i="20"/>
  <c r="Z355" i="20"/>
  <c r="J355" i="20" s="1"/>
  <c r="Y355" i="20"/>
  <c r="Z422" i="20"/>
  <c r="Y422" i="20"/>
  <c r="Y464" i="20"/>
  <c r="Z464" i="20"/>
  <c r="Z470" i="20"/>
  <c r="Y470" i="20"/>
  <c r="AC492" i="20"/>
  <c r="Q492" i="20"/>
  <c r="N492" i="20"/>
  <c r="Y505" i="20"/>
  <c r="Z505" i="20"/>
  <c r="J505" i="20" s="1"/>
  <c r="P505" i="20" s="1"/>
  <c r="AC514" i="20"/>
  <c r="Q514" i="20"/>
  <c r="Z544" i="20"/>
  <c r="Y544" i="20"/>
  <c r="T555" i="20"/>
  <c r="U555" i="20" s="1"/>
  <c r="Q675" i="20"/>
  <c r="AC675" i="20"/>
  <c r="Z1099" i="20"/>
  <c r="J1099" i="20" s="1"/>
  <c r="P1099" i="20" s="1"/>
  <c r="Y1099" i="20"/>
  <c r="M890" i="20"/>
  <c r="L890" i="20"/>
  <c r="Y1007" i="20"/>
  <c r="Z1007" i="20"/>
  <c r="J1007" i="20" s="1"/>
  <c r="P1007" i="20" s="1"/>
  <c r="Z1412" i="20"/>
  <c r="J1412" i="20" s="1"/>
  <c r="Y1412" i="20"/>
  <c r="T52" i="20"/>
  <c r="U52" i="20" s="1"/>
  <c r="T67" i="20"/>
  <c r="U67" i="20" s="1"/>
  <c r="T98" i="20"/>
  <c r="U98" i="20" s="1"/>
  <c r="Z166" i="20"/>
  <c r="J166" i="20" s="1"/>
  <c r="P166" i="20" s="1"/>
  <c r="Y166" i="20"/>
  <c r="Z252" i="20"/>
  <c r="J252" i="20" s="1"/>
  <c r="P252" i="20" s="1"/>
  <c r="Y252" i="20"/>
  <c r="M359" i="20"/>
  <c r="L359" i="20"/>
  <c r="T405" i="20"/>
  <c r="Z414" i="20"/>
  <c r="Y414" i="20"/>
  <c r="Q420" i="20"/>
  <c r="AC420" i="20"/>
  <c r="AB438" i="20"/>
  <c r="N438" i="20"/>
  <c r="P438" i="20"/>
  <c r="Z449" i="20"/>
  <c r="Y449" i="20"/>
  <c r="Z693" i="20"/>
  <c r="J693" i="20" s="1"/>
  <c r="Y693" i="20"/>
  <c r="T931" i="20"/>
  <c r="Z987" i="20"/>
  <c r="J987" i="20" s="1"/>
  <c r="Y987" i="20"/>
  <c r="Z52" i="20"/>
  <c r="Y52" i="20"/>
  <c r="AC72" i="20"/>
  <c r="T184" i="20"/>
  <c r="Z217" i="20"/>
  <c r="J217" i="20" s="1"/>
  <c r="P217" i="20" s="1"/>
  <c r="Y217" i="20"/>
  <c r="Y237" i="20"/>
  <c r="Y348" i="20"/>
  <c r="Z348" i="20"/>
  <c r="J348" i="20" s="1"/>
  <c r="P348" i="20" s="1"/>
  <c r="N420" i="20"/>
  <c r="M423" i="20"/>
  <c r="L423" i="20"/>
  <c r="P429" i="20"/>
  <c r="AB429" i="20"/>
  <c r="N429" i="20"/>
  <c r="M465" i="20"/>
  <c r="L465" i="20"/>
  <c r="Z483" i="20"/>
  <c r="Y483" i="20"/>
  <c r="M506" i="20"/>
  <c r="L506" i="20"/>
  <c r="T656" i="20"/>
  <c r="Y660" i="20"/>
  <c r="Z660" i="20"/>
  <c r="J660" i="20" s="1"/>
  <c r="Y754" i="20"/>
  <c r="Z754" i="20"/>
  <c r="J754" i="20" s="1"/>
  <c r="P754" i="20" s="1"/>
  <c r="J765" i="20"/>
  <c r="T2" i="20"/>
  <c r="U2" i="20" s="1"/>
  <c r="J2" i="20" s="1"/>
  <c r="P2" i="20" s="1"/>
  <c r="AB34" i="20"/>
  <c r="Z36" i="20"/>
  <c r="Y36" i="20"/>
  <c r="Q47" i="20"/>
  <c r="AC47" i="20"/>
  <c r="M60" i="20"/>
  <c r="L60" i="20"/>
  <c r="Z67" i="20"/>
  <c r="Y67" i="20"/>
  <c r="L70" i="20"/>
  <c r="Z98" i="20"/>
  <c r="Y98" i="20"/>
  <c r="T101" i="20"/>
  <c r="U101" i="20" s="1"/>
  <c r="J101" i="20" s="1"/>
  <c r="P101" i="20" s="1"/>
  <c r="L104" i="20"/>
  <c r="T117" i="20"/>
  <c r="L147" i="20"/>
  <c r="Z152" i="20"/>
  <c r="J152" i="20" s="1"/>
  <c r="P152" i="20" s="1"/>
  <c r="Y152" i="20"/>
  <c r="AB175" i="20"/>
  <c r="AB178" i="20"/>
  <c r="P178" i="20"/>
  <c r="N201" i="20"/>
  <c r="O201" i="20" s="1"/>
  <c r="AB201" i="20"/>
  <c r="T206" i="20"/>
  <c r="T212" i="20"/>
  <c r="T223" i="20"/>
  <c r="AB277" i="20"/>
  <c r="N277" i="20"/>
  <c r="O277" i="20" s="1"/>
  <c r="L317" i="20"/>
  <c r="M317" i="20"/>
  <c r="J365" i="20"/>
  <c r="P365" i="20" s="1"/>
  <c r="Y379" i="20"/>
  <c r="Z379" i="20"/>
  <c r="J379" i="20" s="1"/>
  <c r="Y398" i="20"/>
  <c r="Z398" i="20"/>
  <c r="J398" i="20" s="1"/>
  <c r="AC429" i="20"/>
  <c r="Q429" i="20"/>
  <c r="T444" i="20"/>
  <c r="Q489" i="20"/>
  <c r="AC489" i="20"/>
  <c r="Z579" i="20"/>
  <c r="Y579" i="20"/>
  <c r="Q630" i="20"/>
  <c r="N630" i="20"/>
  <c r="O630" i="20" s="1"/>
  <c r="AC630" i="20"/>
  <c r="Z680" i="20"/>
  <c r="J680" i="20" s="1"/>
  <c r="Y680" i="20"/>
  <c r="T1004" i="20"/>
  <c r="L47" i="20"/>
  <c r="N55" i="20"/>
  <c r="O55" i="20" s="1"/>
  <c r="Y64" i="20"/>
  <c r="L86" i="20"/>
  <c r="M112" i="20"/>
  <c r="L112" i="20"/>
  <c r="T164" i="20"/>
  <c r="L167" i="20"/>
  <c r="M175" i="20"/>
  <c r="N175" i="20" s="1"/>
  <c r="O175" i="20" s="1"/>
  <c r="AC178" i="20"/>
  <c r="Q178" i="20"/>
  <c r="N181" i="20"/>
  <c r="O181" i="20" s="1"/>
  <c r="Z195" i="20"/>
  <c r="J195" i="20" s="1"/>
  <c r="Y195" i="20"/>
  <c r="Y198" i="20"/>
  <c r="Z246" i="20"/>
  <c r="J246" i="20" s="1"/>
  <c r="P246" i="20" s="1"/>
  <c r="Y246" i="20"/>
  <c r="Y249" i="20"/>
  <c r="Z249" i="20"/>
  <c r="J249" i="20" s="1"/>
  <c r="AC282" i="20"/>
  <c r="L286" i="20"/>
  <c r="AB299" i="20"/>
  <c r="M313" i="20"/>
  <c r="L313" i="20"/>
  <c r="AB330" i="20"/>
  <c r="P330" i="20"/>
  <c r="M391" i="20"/>
  <c r="L391" i="20"/>
  <c r="Y408" i="20"/>
  <c r="Z408" i="20"/>
  <c r="P415" i="20"/>
  <c r="N415" i="20"/>
  <c r="AB415" i="20"/>
  <c r="T465" i="20"/>
  <c r="T486" i="20"/>
  <c r="T506" i="20"/>
  <c r="U506" i="20" s="1"/>
  <c r="J531" i="20"/>
  <c r="P531" i="20" s="1"/>
  <c r="N536" i="20"/>
  <c r="O536" i="20" s="1"/>
  <c r="M570" i="20"/>
  <c r="L570" i="20"/>
  <c r="Z574" i="20"/>
  <c r="J574" i="20" s="1"/>
  <c r="Y574" i="20"/>
  <c r="P606" i="20"/>
  <c r="N606" i="20"/>
  <c r="O606" i="20" s="1"/>
  <c r="AB606" i="20"/>
  <c r="AC694" i="20"/>
  <c r="Q694" i="20"/>
  <c r="M755" i="20"/>
  <c r="L755" i="20"/>
  <c r="AB1000" i="20"/>
  <c r="N1000" i="20"/>
  <c r="O1000" i="20" s="1"/>
  <c r="Z2474" i="20"/>
  <c r="Z2771" i="20"/>
  <c r="J2771" i="20" s="1"/>
  <c r="Z2398" i="20"/>
  <c r="Z2442" i="20"/>
  <c r="J2442" i="20" s="1"/>
  <c r="Z2428" i="20"/>
  <c r="Z2109" i="20"/>
  <c r="Z1402" i="20"/>
  <c r="J1402" i="20" s="1"/>
  <c r="Q12" i="20"/>
  <c r="N34" i="20"/>
  <c r="O34" i="20" s="1"/>
  <c r="AB91" i="20"/>
  <c r="N96" i="20"/>
  <c r="O96" i="20" s="1"/>
  <c r="AB123" i="20"/>
  <c r="N123" i="20"/>
  <c r="O123" i="20" s="1"/>
  <c r="Z136" i="20"/>
  <c r="J136" i="20" s="1"/>
  <c r="Y136" i="20"/>
  <c r="N178" i="20"/>
  <c r="O178" i="20" s="1"/>
  <c r="Z192" i="20"/>
  <c r="J192" i="20" s="1"/>
  <c r="Y192" i="20"/>
  <c r="P201" i="20"/>
  <c r="Z203" i="20"/>
  <c r="J203" i="20" s="1"/>
  <c r="P203" i="20" s="1"/>
  <c r="Y203" i="20"/>
  <c r="P218" i="20"/>
  <c r="Z258" i="20"/>
  <c r="J258" i="20" s="1"/>
  <c r="Y258" i="20"/>
  <c r="Z264" i="20"/>
  <c r="J264" i="20" s="1"/>
  <c r="P264" i="20" s="1"/>
  <c r="Y264" i="20"/>
  <c r="AC268" i="20"/>
  <c r="Q268" i="20"/>
  <c r="Z270" i="20"/>
  <c r="J270" i="20" s="1"/>
  <c r="Y270" i="20"/>
  <c r="Y292" i="20"/>
  <c r="Z292" i="20"/>
  <c r="J292" i="20" s="1"/>
  <c r="T333" i="20"/>
  <c r="Z337" i="20"/>
  <c r="J337" i="20" s="1"/>
  <c r="P337" i="20" s="1"/>
  <c r="Y337" i="20"/>
  <c r="T345" i="20"/>
  <c r="Z383" i="20"/>
  <c r="J383" i="20" s="1"/>
  <c r="P383" i="20" s="1"/>
  <c r="Y383" i="20"/>
  <c r="Q415" i="20"/>
  <c r="AC415" i="20"/>
  <c r="T429" i="20"/>
  <c r="AB462" i="20"/>
  <c r="N462" i="20"/>
  <c r="Z510" i="20"/>
  <c r="Y510" i="20"/>
  <c r="AC523" i="20"/>
  <c r="Q523" i="20"/>
  <c r="Y527" i="20"/>
  <c r="Z527" i="20"/>
  <c r="Z584" i="20"/>
  <c r="J584" i="20" s="1"/>
  <c r="Y584" i="20"/>
  <c r="I94" i="4"/>
  <c r="Z14" i="20"/>
  <c r="J14" i="20" s="1"/>
  <c r="Z19" i="20"/>
  <c r="Y19" i="20"/>
  <c r="M81" i="20"/>
  <c r="L81" i="20"/>
  <c r="L187" i="20"/>
  <c r="M196" i="20"/>
  <c r="L196" i="20"/>
  <c r="Q201" i="20"/>
  <c r="N215" i="20"/>
  <c r="O215" i="20" s="1"/>
  <c r="T226" i="20"/>
  <c r="P232" i="20"/>
  <c r="N232" i="20"/>
  <c r="O232" i="20" s="1"/>
  <c r="AB232" i="20"/>
  <c r="L268" i="20"/>
  <c r="Q280" i="20"/>
  <c r="AC280" i="20"/>
  <c r="M283" i="20"/>
  <c r="L283" i="20"/>
  <c r="Q286" i="20"/>
  <c r="T289" i="20"/>
  <c r="P300" i="20"/>
  <c r="M324" i="20"/>
  <c r="L324" i="20"/>
  <c r="Z369" i="20"/>
  <c r="J369" i="20" s="1"/>
  <c r="P369" i="20" s="1"/>
  <c r="Y369" i="20"/>
  <c r="T441" i="20"/>
  <c r="M450" i="20"/>
  <c r="L450" i="20"/>
  <c r="J506" i="20"/>
  <c r="AB541" i="20"/>
  <c r="P541" i="20"/>
  <c r="N541" i="20"/>
  <c r="O541" i="20" s="1"/>
  <c r="Y565" i="20"/>
  <c r="Z565" i="20"/>
  <c r="J565" i="20" s="1"/>
  <c r="Y745" i="20"/>
  <c r="Z745" i="20"/>
  <c r="J745" i="20" s="1"/>
  <c r="Y9" i="20"/>
  <c r="N22" i="20"/>
  <c r="O22" i="20" s="1"/>
  <c r="L27" i="20"/>
  <c r="L53" i="20"/>
  <c r="M65" i="20"/>
  <c r="L65" i="20"/>
  <c r="N73" i="20"/>
  <c r="O73" i="20" s="1"/>
  <c r="N91" i="20"/>
  <c r="O91" i="20" s="1"/>
  <c r="L99" i="20"/>
  <c r="Z112" i="20"/>
  <c r="J112" i="20" s="1"/>
  <c r="Y112" i="20"/>
  <c r="P123" i="20"/>
  <c r="Q156" i="20"/>
  <c r="M159" i="20"/>
  <c r="Q181" i="20"/>
  <c r="M235" i="20"/>
  <c r="L235" i="20"/>
  <c r="N262" i="20"/>
  <c r="O262" i="20" s="1"/>
  <c r="T286" i="20"/>
  <c r="M300" i="20"/>
  <c r="Y341" i="20"/>
  <c r="Z359" i="20"/>
  <c r="J359" i="20" s="1"/>
  <c r="T366" i="20"/>
  <c r="T399" i="20"/>
  <c r="Z426" i="20"/>
  <c r="Y426" i="20"/>
  <c r="T496" i="20"/>
  <c r="Z515" i="20"/>
  <c r="J515" i="20" s="1"/>
  <c r="P515" i="20" s="1"/>
  <c r="Y515" i="20"/>
  <c r="AC541" i="20"/>
  <c r="Q541" i="20"/>
  <c r="Z570" i="20"/>
  <c r="J570" i="20" s="1"/>
  <c r="Y570" i="20"/>
  <c r="AC681" i="20"/>
  <c r="Q681" i="20"/>
  <c r="AB801" i="20"/>
  <c r="N801" i="20"/>
  <c r="O801" i="20" s="1"/>
  <c r="N5" i="20"/>
  <c r="O5" i="20" s="1"/>
  <c r="Z29" i="20"/>
  <c r="J29" i="20" s="1"/>
  <c r="Y29" i="20"/>
  <c r="L84" i="20"/>
  <c r="L115" i="20"/>
  <c r="AB170" i="20"/>
  <c r="P170" i="20"/>
  <c r="N170" i="20"/>
  <c r="O170" i="20" s="1"/>
  <c r="AC192" i="20"/>
  <c r="Z209" i="20"/>
  <c r="J209" i="20" s="1"/>
  <c r="P209" i="20" s="1"/>
  <c r="Y209" i="20"/>
  <c r="L247" i="20"/>
  <c r="AB250" i="20"/>
  <c r="N250" i="20"/>
  <c r="O250" i="20" s="1"/>
  <c r="AC271" i="20"/>
  <c r="Q271" i="20"/>
  <c r="AB293" i="20"/>
  <c r="P293" i="20"/>
  <c r="T303" i="20"/>
  <c r="Z306" i="20"/>
  <c r="J306" i="20" s="1"/>
  <c r="Y306" i="20"/>
  <c r="Y333" i="20"/>
  <c r="J345" i="20"/>
  <c r="T373" i="20"/>
  <c r="T384" i="20"/>
  <c r="Z420" i="20"/>
  <c r="Y420" i="20"/>
  <c r="T435" i="20"/>
  <c r="T450" i="20"/>
  <c r="P462" i="20"/>
  <c r="Z471" i="20"/>
  <c r="Y471" i="20"/>
  <c r="M528" i="20"/>
  <c r="L528" i="20"/>
  <c r="Z536" i="20"/>
  <c r="Y536" i="20"/>
  <c r="T541" i="20"/>
  <c r="U541" i="20" s="1"/>
  <c r="Z589" i="20"/>
  <c r="Z630" i="20"/>
  <c r="J630" i="20" s="1"/>
  <c r="Y630" i="20"/>
  <c r="Z638" i="20"/>
  <c r="J638" i="20" s="1"/>
  <c r="Y638" i="20"/>
  <c r="Z676" i="20"/>
  <c r="J676" i="20" s="1"/>
  <c r="Y676" i="20"/>
  <c r="L681" i="20"/>
  <c r="Z690" i="20"/>
  <c r="J690" i="20" s="1"/>
  <c r="Y690" i="20"/>
  <c r="Y694" i="20"/>
  <c r="Z694" i="20"/>
  <c r="J694" i="20" s="1"/>
  <c r="L707" i="20"/>
  <c r="M707" i="20"/>
  <c r="Z761" i="20"/>
  <c r="J761" i="20" s="1"/>
  <c r="Y761" i="20"/>
  <c r="AB32" i="20"/>
  <c r="N32" i="20"/>
  <c r="O32" i="20" s="1"/>
  <c r="Y34" i="20"/>
  <c r="Z34" i="20"/>
  <c r="J34" i="20" s="1"/>
  <c r="P34" i="20" s="1"/>
  <c r="Z70" i="20"/>
  <c r="J70" i="20" s="1"/>
  <c r="Y70" i="20"/>
  <c r="Y78" i="20"/>
  <c r="Z78" i="20"/>
  <c r="J78" i="20" s="1"/>
  <c r="Z81" i="20"/>
  <c r="J81" i="20" s="1"/>
  <c r="Y81" i="20"/>
  <c r="Z88" i="20"/>
  <c r="J88" i="20" s="1"/>
  <c r="P88" i="20" s="1"/>
  <c r="Y88" i="20"/>
  <c r="AB145" i="20"/>
  <c r="N145" i="20"/>
  <c r="O145" i="20" s="1"/>
  <c r="Q153" i="20"/>
  <c r="T167" i="20"/>
  <c r="Q215" i="20"/>
  <c r="AB220" i="20"/>
  <c r="AB256" i="20"/>
  <c r="T262" i="20"/>
  <c r="L271" i="20"/>
  <c r="Z283" i="20"/>
  <c r="J283" i="20" s="1"/>
  <c r="Y283" i="20"/>
  <c r="M293" i="20"/>
  <c r="J296" i="20"/>
  <c r="P296" i="20" s="1"/>
  <c r="Y313" i="20"/>
  <c r="Z313" i="20"/>
  <c r="J313" i="20" s="1"/>
  <c r="Y345" i="20"/>
  <c r="Z387" i="20"/>
  <c r="J387" i="20" s="1"/>
  <c r="P387" i="20" s="1"/>
  <c r="Y387" i="20"/>
  <c r="Z391" i="20"/>
  <c r="J391" i="20" s="1"/>
  <c r="Y391" i="20"/>
  <c r="Y438" i="20"/>
  <c r="Y486" i="20"/>
  <c r="T493" i="20"/>
  <c r="AB511" i="20"/>
  <c r="N511" i="20"/>
  <c r="O511" i="20" s="1"/>
  <c r="P511" i="20"/>
  <c r="J575" i="20"/>
  <c r="T580" i="20"/>
  <c r="U580" i="20" s="1"/>
  <c r="T622" i="20"/>
  <c r="Z702" i="20"/>
  <c r="J702" i="20" s="1"/>
  <c r="Y702" i="20"/>
  <c r="M791" i="20"/>
  <c r="L791" i="20"/>
  <c r="Q801" i="20"/>
  <c r="I95" i="4"/>
  <c r="M40" i="20"/>
  <c r="L40" i="20"/>
  <c r="Z57" i="20"/>
  <c r="Y57" i="20"/>
  <c r="J65" i="20"/>
  <c r="Q91" i="20"/>
  <c r="N94" i="20"/>
  <c r="O94" i="20" s="1"/>
  <c r="T134" i="20"/>
  <c r="Z142" i="20"/>
  <c r="J142" i="20" s="1"/>
  <c r="Y142" i="20"/>
  <c r="AC145" i="20"/>
  <c r="Q145" i="20"/>
  <c r="T153" i="20"/>
  <c r="Z181" i="20"/>
  <c r="J181" i="20" s="1"/>
  <c r="P181" i="20" s="1"/>
  <c r="Y181" i="20"/>
  <c r="AC193" i="20"/>
  <c r="Q193" i="20"/>
  <c r="AC207" i="20"/>
  <c r="Q207" i="20"/>
  <c r="AB210" i="20"/>
  <c r="J238" i="20"/>
  <c r="Q256" i="20"/>
  <c r="AC256" i="20"/>
  <c r="Q259" i="20"/>
  <c r="Z277" i="20"/>
  <c r="J277" i="20" s="1"/>
  <c r="P277" i="20" s="1"/>
  <c r="Y277" i="20"/>
  <c r="Q307" i="20"/>
  <c r="AC307" i="20"/>
  <c r="Q310" i="20"/>
  <c r="AC310" i="20"/>
  <c r="P424" i="20"/>
  <c r="N424" i="20"/>
  <c r="AB424" i="20"/>
  <c r="Y610" i="20"/>
  <c r="Z610" i="20"/>
  <c r="J610" i="20" s="1"/>
  <c r="M762" i="20"/>
  <c r="L762" i="20"/>
  <c r="Z795" i="20"/>
  <c r="J795" i="20" s="1"/>
  <c r="Y795" i="20"/>
  <c r="L844" i="20"/>
  <c r="M844" i="20"/>
  <c r="AC964" i="20"/>
  <c r="Q964" i="20"/>
  <c r="AC968" i="20"/>
  <c r="Q968" i="20"/>
  <c r="Z2289" i="20"/>
  <c r="Z2389" i="20"/>
  <c r="J2389" i="20" s="1"/>
  <c r="Z2419" i="20"/>
  <c r="Z2415" i="20"/>
  <c r="Z1520" i="20"/>
  <c r="J1520" i="20" s="1"/>
  <c r="P1520" i="20" s="1"/>
  <c r="Z1470" i="20"/>
  <c r="J1470" i="20" s="1"/>
  <c r="P1470" i="20" s="1"/>
  <c r="Q10" i="20"/>
  <c r="AC10" i="20"/>
  <c r="N15" i="20"/>
  <c r="O15" i="20" s="1"/>
  <c r="Y42" i="20"/>
  <c r="AB45" i="20"/>
  <c r="N45" i="20"/>
  <c r="O45" i="20" s="1"/>
  <c r="N68" i="20"/>
  <c r="O68" i="20" s="1"/>
  <c r="Z96" i="20"/>
  <c r="J96" i="20" s="1"/>
  <c r="P96" i="20" s="1"/>
  <c r="M118" i="20"/>
  <c r="L118" i="20"/>
  <c r="T159" i="20"/>
  <c r="AB173" i="20"/>
  <c r="P173" i="20"/>
  <c r="Y178" i="20"/>
  <c r="N193" i="20"/>
  <c r="O193" i="20" s="1"/>
  <c r="L199" i="20"/>
  <c r="Z201" i="20"/>
  <c r="J201" i="20" s="1"/>
  <c r="Y201" i="20"/>
  <c r="M210" i="20"/>
  <c r="P229" i="20"/>
  <c r="AC244" i="20"/>
  <c r="Q244" i="20"/>
  <c r="T250" i="20"/>
  <c r="N256" i="20"/>
  <c r="O256" i="20" s="1"/>
  <c r="Z274" i="20"/>
  <c r="J274" i="20" s="1"/>
  <c r="Z286" i="20"/>
  <c r="J286" i="20" s="1"/>
  <c r="Y286" i="20"/>
  <c r="L310" i="20"/>
  <c r="T334" i="20"/>
  <c r="M342" i="20"/>
  <c r="L342" i="20"/>
  <c r="AB357" i="20"/>
  <c r="N357" i="20"/>
  <c r="O357" i="20" s="1"/>
  <c r="Y399" i="20"/>
  <c r="T409" i="20"/>
  <c r="M421" i="20"/>
  <c r="L421" i="20"/>
  <c r="Z462" i="20"/>
  <c r="Y462" i="20"/>
  <c r="AC481" i="20"/>
  <c r="Q481" i="20"/>
  <c r="Q516" i="20"/>
  <c r="N516" i="20"/>
  <c r="O516" i="20" s="1"/>
  <c r="AB524" i="20"/>
  <c r="N524" i="20"/>
  <c r="O524" i="20" s="1"/>
  <c r="AC562" i="20"/>
  <c r="Q562" i="20"/>
  <c r="Y585" i="20"/>
  <c r="Z585" i="20"/>
  <c r="T665" i="20"/>
  <c r="Z716" i="20"/>
  <c r="Y716" i="20"/>
  <c r="AB733" i="20"/>
  <c r="N733" i="20"/>
  <c r="O733" i="20" s="1"/>
  <c r="Z746" i="20"/>
  <c r="J746" i="20" s="1"/>
  <c r="Y746" i="20"/>
  <c r="T762" i="20"/>
  <c r="U762" i="20" s="1"/>
  <c r="T825" i="20"/>
  <c r="I78" i="4"/>
  <c r="N10" i="20"/>
  <c r="O10" i="20" s="1"/>
  <c r="AB10" i="20"/>
  <c r="Z22" i="20"/>
  <c r="Y22" i="20"/>
  <c r="N25" i="20"/>
  <c r="O25" i="20" s="1"/>
  <c r="Q32" i="20"/>
  <c r="T40" i="20"/>
  <c r="U40" i="20" s="1"/>
  <c r="J40" i="20" s="1"/>
  <c r="Q45" i="20"/>
  <c r="AC45" i="20"/>
  <c r="T53" i="20"/>
  <c r="U53" i="20" s="1"/>
  <c r="P102" i="20"/>
  <c r="N102" i="20"/>
  <c r="O102" i="20" s="1"/>
  <c r="AB102" i="20"/>
  <c r="M121" i="20"/>
  <c r="L121" i="20"/>
  <c r="AC123" i="20"/>
  <c r="Q173" i="20"/>
  <c r="AC173" i="20"/>
  <c r="T204" i="20"/>
  <c r="AC224" i="20"/>
  <c r="N224" i="20"/>
  <c r="O224" i="20" s="1"/>
  <c r="N244" i="20"/>
  <c r="O244" i="20" s="1"/>
  <c r="AC289" i="20"/>
  <c r="AB321" i="20"/>
  <c r="N321" i="20"/>
  <c r="O321" i="20" s="1"/>
  <c r="Z373" i="20"/>
  <c r="J373" i="20" s="1"/>
  <c r="Y373" i="20"/>
  <c r="T392" i="20"/>
  <c r="Z415" i="20"/>
  <c r="Y415" i="20"/>
  <c r="L490" i="20"/>
  <c r="M490" i="20"/>
  <c r="L576" i="20"/>
  <c r="M576" i="20"/>
  <c r="L607" i="20"/>
  <c r="M607" i="20"/>
  <c r="Y622" i="20"/>
  <c r="Z622" i="20"/>
  <c r="J622" i="20" s="1"/>
  <c r="T751" i="20"/>
  <c r="U751" i="20" s="1"/>
  <c r="Z934" i="20"/>
  <c r="J934" i="20" s="1"/>
  <c r="P934" i="20" s="1"/>
  <c r="Y934" i="20"/>
  <c r="AC971" i="20"/>
  <c r="Q971" i="20"/>
  <c r="Z1039" i="20"/>
  <c r="J1039" i="20" s="1"/>
  <c r="P1039" i="20" s="1"/>
  <c r="Y1039" i="20"/>
  <c r="AC1055" i="20"/>
  <c r="Q1055" i="20"/>
  <c r="T1098" i="20"/>
  <c r="N1309" i="20"/>
  <c r="O1309" i="20" s="1"/>
  <c r="AB1309" i="20"/>
  <c r="Z1329" i="20"/>
  <c r="J1329" i="20" s="1"/>
  <c r="Y1329" i="20"/>
  <c r="Z315" i="20"/>
  <c r="J315" i="20" s="1"/>
  <c r="Y315" i="20"/>
  <c r="Z405" i="20"/>
  <c r="Y405" i="20"/>
  <c r="AB425" i="20"/>
  <c r="P425" i="20"/>
  <c r="Q430" i="20"/>
  <c r="N430" i="20"/>
  <c r="M433" i="20"/>
  <c r="L433" i="20"/>
  <c r="T477" i="20"/>
  <c r="T483" i="20"/>
  <c r="M527" i="20"/>
  <c r="L527" i="20"/>
  <c r="P573" i="20"/>
  <c r="AB573" i="20"/>
  <c r="T609" i="20"/>
  <c r="AC620" i="20"/>
  <c r="Q620" i="20"/>
  <c r="T636" i="20"/>
  <c r="L653" i="20"/>
  <c r="M653" i="20"/>
  <c r="T675" i="20"/>
  <c r="Z723" i="20"/>
  <c r="J723" i="20" s="1"/>
  <c r="P723" i="20" s="1"/>
  <c r="Y723" i="20"/>
  <c r="Y810" i="20"/>
  <c r="Z810" i="20"/>
  <c r="J810" i="20" s="1"/>
  <c r="P810" i="20" s="1"/>
  <c r="Z821" i="20"/>
  <c r="J821" i="20" s="1"/>
  <c r="P821" i="20" s="1"/>
  <c r="Y821" i="20"/>
  <c r="Z836" i="20"/>
  <c r="J836" i="20" s="1"/>
  <c r="Y836" i="20"/>
  <c r="T856" i="20"/>
  <c r="Y898" i="20"/>
  <c r="Z898" i="20"/>
  <c r="J898" i="20" s="1"/>
  <c r="P898" i="20" s="1"/>
  <c r="T137" i="20"/>
  <c r="Z169" i="20"/>
  <c r="J169" i="20" s="1"/>
  <c r="Y169" i="20"/>
  <c r="T181" i="20"/>
  <c r="Z226" i="20"/>
  <c r="J226" i="20" s="1"/>
  <c r="P226" i="20" s="1"/>
  <c r="Y226" i="20"/>
  <c r="T293" i="20"/>
  <c r="T316" i="20"/>
  <c r="N327" i="20"/>
  <c r="O327" i="20" s="1"/>
  <c r="P327" i="20"/>
  <c r="AC338" i="20"/>
  <c r="Q338" i="20"/>
  <c r="M344" i="20"/>
  <c r="L344" i="20"/>
  <c r="Z361" i="20"/>
  <c r="J361" i="20" s="1"/>
  <c r="P361" i="20" s="1"/>
  <c r="Y361" i="20"/>
  <c r="Z364" i="20"/>
  <c r="J364" i="20" s="1"/>
  <c r="P364" i="20" s="1"/>
  <c r="Y364" i="20"/>
  <c r="Q380" i="20"/>
  <c r="T400" i="20"/>
  <c r="M403" i="20"/>
  <c r="L403" i="20"/>
  <c r="T433" i="20"/>
  <c r="Z452" i="20"/>
  <c r="Y452" i="20"/>
  <c r="T458" i="20"/>
  <c r="M461" i="20"/>
  <c r="L461" i="20"/>
  <c r="Z504" i="20"/>
  <c r="Y504" i="20"/>
  <c r="P547" i="20"/>
  <c r="N547" i="20"/>
  <c r="O547" i="20" s="1"/>
  <c r="AB547" i="20"/>
  <c r="J550" i="20"/>
  <c r="P550" i="20" s="1"/>
  <c r="Z561" i="20"/>
  <c r="Y561" i="20"/>
  <c r="Y586" i="20"/>
  <c r="Z586" i="20"/>
  <c r="J586" i="20" s="1"/>
  <c r="Z609" i="20"/>
  <c r="J609" i="20" s="1"/>
  <c r="Y609" i="20"/>
  <c r="Z620" i="20"/>
  <c r="J620" i="20" s="1"/>
  <c r="Y620" i="20"/>
  <c r="Z675" i="20"/>
  <c r="J675" i="20" s="1"/>
  <c r="Y675" i="20"/>
  <c r="Z728" i="20"/>
  <c r="J728" i="20" s="1"/>
  <c r="Y728" i="20"/>
  <c r="Q916" i="20"/>
  <c r="AC916" i="20"/>
  <c r="T1086" i="20"/>
  <c r="T270" i="20"/>
  <c r="Z280" i="20"/>
  <c r="J280" i="20" s="1"/>
  <c r="Y280" i="20"/>
  <c r="Z304" i="20"/>
  <c r="J304" i="20" s="1"/>
  <c r="Y304" i="20"/>
  <c r="AC335" i="20"/>
  <c r="Q335" i="20"/>
  <c r="T368" i="20"/>
  <c r="T414" i="20"/>
  <c r="AB475" i="20"/>
  <c r="N475" i="20"/>
  <c r="P489" i="20"/>
  <c r="AB489" i="20"/>
  <c r="N489" i="20"/>
  <c r="L544" i="20"/>
  <c r="M544" i="20"/>
  <c r="Y624" i="20"/>
  <c r="Z624" i="20"/>
  <c r="J624" i="20" s="1"/>
  <c r="AC661" i="20"/>
  <c r="Q661" i="20"/>
  <c r="N661" i="20"/>
  <c r="O661" i="20" s="1"/>
  <c r="T668" i="20"/>
  <c r="Q705" i="20"/>
  <c r="AC705" i="20"/>
  <c r="N705" i="20"/>
  <c r="O705" i="20" s="1"/>
  <c r="Z718" i="20"/>
  <c r="Y718" i="20"/>
  <c r="Y755" i="20"/>
  <c r="Z755" i="20"/>
  <c r="J755" i="20" s="1"/>
  <c r="M837" i="20"/>
  <c r="L837" i="20"/>
  <c r="Z852" i="20"/>
  <c r="J852" i="20" s="1"/>
  <c r="P852" i="20" s="1"/>
  <c r="Y852" i="20"/>
  <c r="Z1003" i="20"/>
  <c r="J1003" i="20" s="1"/>
  <c r="P1003" i="20" s="1"/>
  <c r="Y1003" i="20"/>
  <c r="Z1196" i="20"/>
  <c r="Y1196" i="20"/>
  <c r="J2686" i="20"/>
  <c r="P2686" i="20" s="1"/>
  <c r="Z167" i="20"/>
  <c r="J167" i="20" s="1"/>
  <c r="Y167" i="20"/>
  <c r="Q191" i="20"/>
  <c r="AC191" i="20"/>
  <c r="AB205" i="20"/>
  <c r="T246" i="20"/>
  <c r="Z263" i="20"/>
  <c r="J263" i="20" s="1"/>
  <c r="P263" i="20" s="1"/>
  <c r="Y263" i="20"/>
  <c r="T288" i="20"/>
  <c r="P291" i="20"/>
  <c r="Z299" i="20"/>
  <c r="J299" i="20" s="1"/>
  <c r="P299" i="20" s="1"/>
  <c r="Y299" i="20"/>
  <c r="N302" i="20"/>
  <c r="O302" i="20" s="1"/>
  <c r="T371" i="20"/>
  <c r="T377" i="20"/>
  <c r="M409" i="20"/>
  <c r="L409" i="20"/>
  <c r="Q439" i="20"/>
  <c r="AC453" i="20"/>
  <c r="Q453" i="20"/>
  <c r="P475" i="20"/>
  <c r="Z498" i="20"/>
  <c r="Y498" i="20"/>
  <c r="T528" i="20"/>
  <c r="U528" i="20" s="1"/>
  <c r="L625" i="20"/>
  <c r="M625" i="20"/>
  <c r="Z644" i="20"/>
  <c r="J644" i="20" s="1"/>
  <c r="Y644" i="20"/>
  <c r="M654" i="20"/>
  <c r="L654" i="20"/>
  <c r="Z1011" i="20"/>
  <c r="J1011" i="20" s="1"/>
  <c r="P1011" i="20" s="1"/>
  <c r="Y1011" i="20"/>
  <c r="Z1109" i="20"/>
  <c r="Y1109" i="20"/>
  <c r="AB1113" i="20"/>
  <c r="N1113" i="20"/>
  <c r="P1113" i="20"/>
  <c r="Y1168" i="20"/>
  <c r="Z1168" i="20"/>
  <c r="M294" i="20"/>
  <c r="L294" i="20"/>
  <c r="T313" i="20"/>
  <c r="Z324" i="20"/>
  <c r="J324" i="20" s="1"/>
  <c r="Y324" i="20"/>
  <c r="Z374" i="20"/>
  <c r="J374" i="20" s="1"/>
  <c r="P374" i="20" s="1"/>
  <c r="Y374" i="20"/>
  <c r="Q412" i="20"/>
  <c r="AC412" i="20"/>
  <c r="T439" i="20"/>
  <c r="P453" i="20"/>
  <c r="AB453" i="20"/>
  <c r="T475" i="20"/>
  <c r="AB481" i="20"/>
  <c r="N481" i="20"/>
  <c r="AB502" i="20"/>
  <c r="N502" i="20"/>
  <c r="O502" i="20" s="1"/>
  <c r="AB509" i="20"/>
  <c r="N509" i="20"/>
  <c r="O509" i="20" s="1"/>
  <c r="AC540" i="20"/>
  <c r="Q540" i="20"/>
  <c r="N540" i="20"/>
  <c r="O540" i="20" s="1"/>
  <c r="M591" i="20"/>
  <c r="L591" i="20"/>
  <c r="M649" i="20"/>
  <c r="L649" i="20"/>
  <c r="Z912" i="20"/>
  <c r="J912" i="20" s="1"/>
  <c r="P912" i="20" s="1"/>
  <c r="Y912" i="20"/>
  <c r="AC1113" i="20"/>
  <c r="Q1113" i="20"/>
  <c r="AC1021" i="20"/>
  <c r="Q1021" i="20"/>
  <c r="T1029" i="20"/>
  <c r="T1091" i="20"/>
  <c r="Z1276" i="20"/>
  <c r="Y1276" i="20"/>
  <c r="Z489" i="20"/>
  <c r="Y489" i="20"/>
  <c r="Z520" i="20"/>
  <c r="Y520" i="20"/>
  <c r="Z625" i="20"/>
  <c r="J625" i="20" s="1"/>
  <c r="Y625" i="20"/>
  <c r="Z649" i="20"/>
  <c r="J649" i="20" s="1"/>
  <c r="Y649" i="20"/>
  <c r="Z883" i="20"/>
  <c r="J883" i="20" s="1"/>
  <c r="Y883" i="20"/>
  <c r="Y908" i="20"/>
  <c r="Z908" i="20"/>
  <c r="J908" i="20" s="1"/>
  <c r="AC981" i="20"/>
  <c r="Q981" i="20"/>
  <c r="Z984" i="20"/>
  <c r="J984" i="20" s="1"/>
  <c r="P984" i="20" s="1"/>
  <c r="Y984" i="20"/>
  <c r="P289" i="20"/>
  <c r="Z302" i="20"/>
  <c r="J302" i="20" s="1"/>
  <c r="P302" i="20" s="1"/>
  <c r="Y302" i="20"/>
  <c r="J305" i="20"/>
  <c r="Z335" i="20"/>
  <c r="J335" i="20" s="1"/>
  <c r="P335" i="20" s="1"/>
  <c r="Y335" i="20"/>
  <c r="J362" i="20"/>
  <c r="P362" i="20" s="1"/>
  <c r="T412" i="20"/>
  <c r="AC493" i="20"/>
  <c r="Q493" i="20"/>
  <c r="T548" i="20"/>
  <c r="U548" i="20" s="1"/>
  <c r="AB603" i="20"/>
  <c r="N603" i="20"/>
  <c r="O603" i="20" s="1"/>
  <c r="Y614" i="20"/>
  <c r="Z614" i="20"/>
  <c r="J614" i="20" s="1"/>
  <c r="Z633" i="20"/>
  <c r="J633" i="20" s="1"/>
  <c r="Y633" i="20"/>
  <c r="T681" i="20"/>
  <c r="Y685" i="20"/>
  <c r="Z725" i="20"/>
  <c r="Y725" i="20"/>
  <c r="Z738" i="20"/>
  <c r="Y738" i="20"/>
  <c r="Q757" i="20"/>
  <c r="AC757" i="20"/>
  <c r="M790" i="20"/>
  <c r="L790" i="20"/>
  <c r="T981" i="20"/>
  <c r="Z1306" i="20"/>
  <c r="J1306" i="20" s="1"/>
  <c r="Z1384" i="20"/>
  <c r="J1384" i="20" s="1"/>
  <c r="Y1384" i="20"/>
  <c r="M1393" i="20"/>
  <c r="L1393" i="20"/>
  <c r="Z244" i="20"/>
  <c r="J244" i="20" s="1"/>
  <c r="P244" i="20" s="1"/>
  <c r="Y244" i="20"/>
  <c r="J261" i="20"/>
  <c r="P261" i="20" s="1"/>
  <c r="T300" i="20"/>
  <c r="Q339" i="20"/>
  <c r="AC339" i="20"/>
  <c r="Q345" i="20"/>
  <c r="T348" i="20"/>
  <c r="T357" i="20"/>
  <c r="Q375" i="20"/>
  <c r="P378" i="20"/>
  <c r="N378" i="20"/>
  <c r="O378" i="20" s="1"/>
  <c r="T381" i="20"/>
  <c r="AB387" i="20"/>
  <c r="T401" i="20"/>
  <c r="AB407" i="20"/>
  <c r="N407" i="20"/>
  <c r="M437" i="20"/>
  <c r="L437" i="20"/>
  <c r="T456" i="20"/>
  <c r="AC487" i="20"/>
  <c r="Q487" i="20"/>
  <c r="J502" i="20"/>
  <c r="AB514" i="20"/>
  <c r="N514" i="20"/>
  <c r="O514" i="20" s="1"/>
  <c r="T521" i="20"/>
  <c r="U521" i="20" s="1"/>
  <c r="J548" i="20"/>
  <c r="P548" i="20" s="1"/>
  <c r="Q555" i="20"/>
  <c r="AC555" i="20"/>
  <c r="N555" i="20"/>
  <c r="O555" i="20" s="1"/>
  <c r="J567" i="20"/>
  <c r="AC583" i="20"/>
  <c r="Q583" i="20"/>
  <c r="T662" i="20"/>
  <c r="L691" i="20"/>
  <c r="M691" i="20"/>
  <c r="AC748" i="20"/>
  <c r="Q748" i="20"/>
  <c r="Z757" i="20"/>
  <c r="Y757" i="20"/>
  <c r="Z785" i="20"/>
  <c r="J785" i="20" s="1"/>
  <c r="Y785" i="20"/>
  <c r="AB929" i="20"/>
  <c r="N929" i="20"/>
  <c r="O929" i="20" s="1"/>
  <c r="Y960" i="20"/>
  <c r="Z960" i="20"/>
  <c r="J960" i="20" s="1"/>
  <c r="Z996" i="20"/>
  <c r="J996" i="20" s="1"/>
  <c r="Y996" i="20"/>
  <c r="Y1205" i="20"/>
  <c r="Z1205" i="20"/>
  <c r="Z1255" i="20"/>
  <c r="Y1255" i="20"/>
  <c r="L1366" i="20"/>
  <c r="M1366" i="20"/>
  <c r="T866" i="20"/>
  <c r="Z909" i="20"/>
  <c r="J909" i="20" s="1"/>
  <c r="P909" i="20" s="1"/>
  <c r="Y909" i="20"/>
  <c r="Z949" i="20"/>
  <c r="J949" i="20" s="1"/>
  <c r="Y949" i="20"/>
  <c r="T1041" i="20"/>
  <c r="AC170" i="20"/>
  <c r="N269" i="20"/>
  <c r="O269" i="20" s="1"/>
  <c r="AC303" i="20"/>
  <c r="Q303" i="20"/>
  <c r="N303" i="20"/>
  <c r="O303" i="20" s="1"/>
  <c r="Z311" i="20"/>
  <c r="J311" i="20" s="1"/>
  <c r="P311" i="20" s="1"/>
  <c r="Y311" i="20"/>
  <c r="AC333" i="20"/>
  <c r="Q333" i="20"/>
  <c r="T404" i="20"/>
  <c r="P407" i="20"/>
  <c r="AC451" i="20"/>
  <c r="N451" i="20"/>
  <c r="Z493" i="20"/>
  <c r="Y493" i="20"/>
  <c r="M518" i="20"/>
  <c r="L518" i="20"/>
  <c r="Z541" i="20"/>
  <c r="J541" i="20" s="1"/>
  <c r="Y541" i="20"/>
  <c r="T571" i="20"/>
  <c r="U571" i="20" s="1"/>
  <c r="Z662" i="20"/>
  <c r="J662" i="20" s="1"/>
  <c r="Y662" i="20"/>
  <c r="AB678" i="20"/>
  <c r="P678" i="20"/>
  <c r="N678" i="20"/>
  <c r="O678" i="20" s="1"/>
  <c r="Z698" i="20"/>
  <c r="J698" i="20" s="1"/>
  <c r="Y698" i="20"/>
  <c r="AB758" i="20"/>
  <c r="N758" i="20"/>
  <c r="O758" i="20" s="1"/>
  <c r="T839" i="20"/>
  <c r="T850" i="20"/>
  <c r="Y861" i="20"/>
  <c r="L925" i="20"/>
  <c r="M925" i="20"/>
  <c r="AB1332" i="20"/>
  <c r="P1332" i="20"/>
  <c r="N1332" i="20"/>
  <c r="O1332" i="20" s="1"/>
  <c r="T880" i="20"/>
  <c r="N974" i="20"/>
  <c r="O974" i="20" s="1"/>
  <c r="AB974" i="20"/>
  <c r="T1328" i="20"/>
  <c r="T678" i="20"/>
  <c r="Z726" i="20"/>
  <c r="J726" i="20" s="1"/>
  <c r="P726" i="20" s="1"/>
  <c r="Y726" i="20"/>
  <c r="J763" i="20"/>
  <c r="P763" i="20" s="1"/>
  <c r="Y1641" i="20"/>
  <c r="Z1641" i="20"/>
  <c r="N17" i="20"/>
  <c r="O17" i="20" s="1"/>
  <c r="N28" i="20"/>
  <c r="O28" i="20" s="1"/>
  <c r="T105" i="20"/>
  <c r="P134" i="20"/>
  <c r="N134" i="20"/>
  <c r="O134" i="20" s="1"/>
  <c r="AB134" i="20"/>
  <c r="T136" i="20"/>
  <c r="Z175" i="20"/>
  <c r="J175" i="20" s="1"/>
  <c r="P175" i="20" s="1"/>
  <c r="Y175" i="20"/>
  <c r="T199" i="20"/>
  <c r="T235" i="20"/>
  <c r="T269" i="20"/>
  <c r="T292" i="20"/>
  <c r="J336" i="20"/>
  <c r="M413" i="20"/>
  <c r="L413" i="20"/>
  <c r="P446" i="20"/>
  <c r="N446" i="20"/>
  <c r="AB446" i="20"/>
  <c r="Q451" i="20"/>
  <c r="Q471" i="20"/>
  <c r="AC471" i="20"/>
  <c r="P500" i="20"/>
  <c r="AB500" i="20"/>
  <c r="N500" i="20"/>
  <c r="Y642" i="20"/>
  <c r="Z666" i="20"/>
  <c r="J666" i="20" s="1"/>
  <c r="Y666" i="20"/>
  <c r="AB699" i="20"/>
  <c r="P699" i="20"/>
  <c r="L740" i="20"/>
  <c r="M740" i="20"/>
  <c r="Z801" i="20"/>
  <c r="Y801" i="20"/>
  <c r="T809" i="20"/>
  <c r="AC835" i="20"/>
  <c r="Q835" i="20"/>
  <c r="N835" i="20"/>
  <c r="O835" i="20" s="1"/>
  <c r="AC910" i="20"/>
  <c r="Q910" i="20"/>
  <c r="AC1143" i="20"/>
  <c r="Q1143" i="20"/>
  <c r="Y1173" i="20"/>
  <c r="Z1173" i="20"/>
  <c r="Z1627" i="20"/>
  <c r="Y1627" i="20"/>
  <c r="Z2399" i="20"/>
  <c r="Z2476" i="20"/>
  <c r="Z2431" i="20"/>
  <c r="Z2370" i="20"/>
  <c r="J2370" i="20" s="1"/>
  <c r="Z2036" i="20"/>
  <c r="Z2032" i="20"/>
  <c r="J2032" i="20" s="1"/>
  <c r="Z2363" i="20"/>
  <c r="J2363" i="20" s="1"/>
  <c r="Z1653" i="20"/>
  <c r="J1653" i="20" s="1"/>
  <c r="P1653" i="20" s="1"/>
  <c r="Z1603" i="20"/>
  <c r="M28" i="20"/>
  <c r="T36" i="20"/>
  <c r="U36" i="20" s="1"/>
  <c r="Z125" i="20"/>
  <c r="J125" i="20" s="1"/>
  <c r="Y125" i="20"/>
  <c r="M134" i="20"/>
  <c r="Y187" i="20"/>
  <c r="Z187" i="20"/>
  <c r="J187" i="20" s="1"/>
  <c r="N204" i="20"/>
  <c r="O204" i="20" s="1"/>
  <c r="P262" i="20"/>
  <c r="AB289" i="20"/>
  <c r="Y330" i="20"/>
  <c r="Y336" i="20"/>
  <c r="N349" i="20"/>
  <c r="O349" i="20" s="1"/>
  <c r="T352" i="20"/>
  <c r="Z360" i="20"/>
  <c r="J360" i="20" s="1"/>
  <c r="P360" i="20" s="1"/>
  <c r="Y360" i="20"/>
  <c r="Q418" i="20"/>
  <c r="T421" i="20"/>
  <c r="T443" i="20"/>
  <c r="Z476" i="20"/>
  <c r="Y476" i="20"/>
  <c r="M494" i="20"/>
  <c r="L494" i="20"/>
  <c r="AC511" i="20"/>
  <c r="Q511" i="20"/>
  <c r="Q515" i="20"/>
  <c r="AC515" i="20"/>
  <c r="T522" i="20"/>
  <c r="U522" i="20" s="1"/>
  <c r="J522" i="20" s="1"/>
  <c r="P522" i="20" s="1"/>
  <c r="M600" i="20"/>
  <c r="L600" i="20"/>
  <c r="AC615" i="20"/>
  <c r="AC687" i="20"/>
  <c r="Q687" i="20"/>
  <c r="N687" i="20"/>
  <c r="O687" i="20" s="1"/>
  <c r="Z707" i="20"/>
  <c r="J707" i="20" s="1"/>
  <c r="Y707" i="20"/>
  <c r="T806" i="20"/>
  <c r="N910" i="20"/>
  <c r="O910" i="20" s="1"/>
  <c r="Z1018" i="20"/>
  <c r="J1018" i="20" s="1"/>
  <c r="Y1018" i="20"/>
  <c r="Z670" i="20"/>
  <c r="J670" i="20" s="1"/>
  <c r="Y670" i="20"/>
  <c r="AC753" i="20"/>
  <c r="Q753" i="20"/>
  <c r="L782" i="20"/>
  <c r="M782" i="20"/>
  <c r="Z824" i="20"/>
  <c r="J824" i="20" s="1"/>
  <c r="Y824" i="20"/>
  <c r="AC859" i="20"/>
  <c r="Q859" i="20"/>
  <c r="AB1027" i="20"/>
  <c r="N1027" i="20"/>
  <c r="O1027" i="20" s="1"/>
  <c r="Z1235" i="20"/>
  <c r="J1235" i="20" s="1"/>
  <c r="P1235" i="20" s="1"/>
  <c r="Y1235" i="20"/>
  <c r="Z240" i="20"/>
  <c r="J240" i="20" s="1"/>
  <c r="P240" i="20" s="1"/>
  <c r="Y240" i="20"/>
  <c r="J303" i="20"/>
  <c r="Q312" i="20"/>
  <c r="AC312" i="20"/>
  <c r="M346" i="20"/>
  <c r="L346" i="20"/>
  <c r="T349" i="20"/>
  <c r="N373" i="20"/>
  <c r="O373" i="20" s="1"/>
  <c r="AB373" i="20"/>
  <c r="AC399" i="20"/>
  <c r="Q399" i="20"/>
  <c r="Z440" i="20"/>
  <c r="Y440" i="20"/>
  <c r="Q457" i="20"/>
  <c r="AC457" i="20"/>
  <c r="T515" i="20"/>
  <c r="U515" i="20" s="1"/>
  <c r="AC564" i="20"/>
  <c r="Q564" i="20"/>
  <c r="Z576" i="20"/>
  <c r="Y576" i="20"/>
  <c r="J596" i="20"/>
  <c r="P596" i="20" s="1"/>
  <c r="T659" i="20"/>
  <c r="T687" i="20"/>
  <c r="T753" i="20"/>
  <c r="U753" i="20" s="1"/>
  <c r="Y777" i="20"/>
  <c r="Z777" i="20"/>
  <c r="T792" i="20"/>
  <c r="U792" i="20" s="1"/>
  <c r="Y809" i="20"/>
  <c r="Z809" i="20"/>
  <c r="J809" i="20" s="1"/>
  <c r="Z816" i="20"/>
  <c r="J816" i="20" s="1"/>
  <c r="L859" i="20"/>
  <c r="T876" i="20"/>
  <c r="AC906" i="20"/>
  <c r="Q906" i="20"/>
  <c r="N906" i="20"/>
  <c r="O906" i="20" s="1"/>
  <c r="AB934" i="20"/>
  <c r="N934" i="20"/>
  <c r="O934" i="20" s="1"/>
  <c r="AC1488" i="20"/>
  <c r="Q1488" i="20"/>
  <c r="Z1689" i="20"/>
  <c r="J1689" i="20" s="1"/>
  <c r="P1689" i="20" s="1"/>
  <c r="Z1539" i="20"/>
  <c r="J1539" i="20" s="1"/>
  <c r="Z1528" i="20"/>
  <c r="J1528" i="20" s="1"/>
  <c r="Z1589" i="20"/>
  <c r="J1589" i="20" s="1"/>
  <c r="Z1489" i="20"/>
  <c r="J1489" i="20" s="1"/>
  <c r="Z6" i="20"/>
  <c r="J6" i="20" s="1"/>
  <c r="P6" i="20" s="1"/>
  <c r="Y6" i="20"/>
  <c r="T65" i="20"/>
  <c r="U65" i="20" s="1"/>
  <c r="M74" i="20"/>
  <c r="L74" i="20"/>
  <c r="M103" i="20"/>
  <c r="L103" i="20"/>
  <c r="Z180" i="20"/>
  <c r="J180" i="20" s="1"/>
  <c r="Y180" i="20"/>
  <c r="Z213" i="20"/>
  <c r="J213" i="20" s="1"/>
  <c r="P213" i="20" s="1"/>
  <c r="Y213" i="20"/>
  <c r="Q250" i="20"/>
  <c r="Q277" i="20"/>
  <c r="T295" i="20"/>
  <c r="T309" i="20"/>
  <c r="Z320" i="20"/>
  <c r="J320" i="20" s="1"/>
  <c r="Y320" i="20"/>
  <c r="M340" i="20"/>
  <c r="L340" i="20"/>
  <c r="Z352" i="20"/>
  <c r="J352" i="20" s="1"/>
  <c r="Y352" i="20"/>
  <c r="P373" i="20"/>
  <c r="AB379" i="20"/>
  <c r="P379" i="20"/>
  <c r="N379" i="20"/>
  <c r="O379" i="20" s="1"/>
  <c r="M389" i="20"/>
  <c r="L389" i="20"/>
  <c r="Z421" i="20"/>
  <c r="Y421" i="20"/>
  <c r="Z443" i="20"/>
  <c r="Y443" i="20"/>
  <c r="T468" i="20"/>
  <c r="T500" i="20"/>
  <c r="T507" i="20"/>
  <c r="U507" i="20" s="1"/>
  <c r="Q526" i="20"/>
  <c r="AC526" i="20"/>
  <c r="AB546" i="20"/>
  <c r="N546" i="20"/>
  <c r="O546" i="20" s="1"/>
  <c r="AB553" i="20"/>
  <c r="M572" i="20"/>
  <c r="L572" i="20"/>
  <c r="T608" i="20"/>
  <c r="T635" i="20"/>
  <c r="AC652" i="20"/>
  <c r="Q652" i="20"/>
  <c r="M683" i="20"/>
  <c r="L683" i="20"/>
  <c r="M732" i="20"/>
  <c r="L732" i="20"/>
  <c r="T840" i="20"/>
  <c r="T1002" i="20"/>
  <c r="Z45" i="20"/>
  <c r="J45" i="20" s="1"/>
  <c r="P45" i="20" s="1"/>
  <c r="Y45" i="20"/>
  <c r="T54" i="20"/>
  <c r="U54" i="20" s="1"/>
  <c r="J54" i="20" s="1"/>
  <c r="P54" i="20" s="1"/>
  <c r="Y185" i="20"/>
  <c r="Z185" i="20"/>
  <c r="J185" i="20" s="1"/>
  <c r="T272" i="20"/>
  <c r="Z279" i="20"/>
  <c r="J279" i="20" s="1"/>
  <c r="Y279" i="20"/>
  <c r="AC301" i="20"/>
  <c r="Q301" i="20"/>
  <c r="T340" i="20"/>
  <c r="T358" i="20"/>
  <c r="T438" i="20"/>
  <c r="Z494" i="20"/>
  <c r="Y494" i="20"/>
  <c r="AC546" i="20"/>
  <c r="Q546" i="20"/>
  <c r="Z612" i="20"/>
  <c r="J612" i="20" s="1"/>
  <c r="Y612" i="20"/>
  <c r="Y659" i="20"/>
  <c r="Z659" i="20"/>
  <c r="J659" i="20" s="1"/>
  <c r="AB679" i="20"/>
  <c r="P679" i="20"/>
  <c r="T699" i="20"/>
  <c r="Y768" i="20"/>
  <c r="Z768" i="20"/>
  <c r="T797" i="20"/>
  <c r="U797" i="20" s="1"/>
  <c r="J797" i="20" s="1"/>
  <c r="AB863" i="20"/>
  <c r="P863" i="20"/>
  <c r="N863" i="20"/>
  <c r="O863" i="20" s="1"/>
  <c r="Z1058" i="20"/>
  <c r="J1058" i="20" s="1"/>
  <c r="Y1058" i="20"/>
  <c r="T15" i="20"/>
  <c r="U15" i="20" s="1"/>
  <c r="J15" i="20" s="1"/>
  <c r="P15" i="20" s="1"/>
  <c r="L37" i="20"/>
  <c r="M50" i="20"/>
  <c r="L63" i="20"/>
  <c r="L72" i="20"/>
  <c r="T74" i="20"/>
  <c r="U74" i="20" s="1"/>
  <c r="L79" i="20"/>
  <c r="Z83" i="20"/>
  <c r="J83" i="20" s="1"/>
  <c r="P83" i="20" s="1"/>
  <c r="Y83" i="20"/>
  <c r="T103" i="20"/>
  <c r="L108" i="20"/>
  <c r="L110" i="20"/>
  <c r="Y114" i="20"/>
  <c r="Z123" i="20"/>
  <c r="J123" i="20" s="1"/>
  <c r="Y123" i="20"/>
  <c r="L126" i="20"/>
  <c r="L128" i="20"/>
  <c r="T171" i="20"/>
  <c r="N200" i="20"/>
  <c r="O200" i="20" s="1"/>
  <c r="AC238" i="20"/>
  <c r="Q238" i="20"/>
  <c r="AC240" i="20"/>
  <c r="T282" i="20"/>
  <c r="Y287" i="20"/>
  <c r="L301" i="20"/>
  <c r="L304" i="20"/>
  <c r="N334" i="20"/>
  <c r="O334" i="20" s="1"/>
  <c r="AB334" i="20"/>
  <c r="N337" i="20"/>
  <c r="O337" i="20" s="1"/>
  <c r="T346" i="20"/>
  <c r="T389" i="20"/>
  <c r="Z392" i="20"/>
  <c r="J392" i="20" s="1"/>
  <c r="L405" i="20"/>
  <c r="AB463" i="20"/>
  <c r="P463" i="20"/>
  <c r="N463" i="20"/>
  <c r="AB477" i="20"/>
  <c r="P477" i="20"/>
  <c r="Z497" i="20"/>
  <c r="Y497" i="20"/>
  <c r="N553" i="20"/>
  <c r="O553" i="20" s="1"/>
  <c r="Y568" i="20"/>
  <c r="Q593" i="20"/>
  <c r="Z600" i="20"/>
  <c r="T627" i="20"/>
  <c r="M647" i="20"/>
  <c r="L647" i="20"/>
  <c r="N679" i="20"/>
  <c r="O679" i="20" s="1"/>
  <c r="M817" i="20"/>
  <c r="L817" i="20"/>
  <c r="AC863" i="20"/>
  <c r="Q863" i="20"/>
  <c r="AC951" i="20"/>
  <c r="Q951" i="20"/>
  <c r="Z1140" i="20"/>
  <c r="Y1140" i="20"/>
  <c r="Z1207" i="20"/>
  <c r="J1207" i="20" s="1"/>
  <c r="Y1207" i="20"/>
  <c r="N13" i="20"/>
  <c r="O13" i="20" s="1"/>
  <c r="N50" i="20"/>
  <c r="O50" i="20" s="1"/>
  <c r="M92" i="20"/>
  <c r="L92" i="20"/>
  <c r="Z134" i="20"/>
  <c r="J134" i="20" s="1"/>
  <c r="Y134" i="20"/>
  <c r="N169" i="20"/>
  <c r="O169" i="20" s="1"/>
  <c r="N209" i="20"/>
  <c r="O209" i="20" s="1"/>
  <c r="P214" i="20"/>
  <c r="N214" i="20"/>
  <c r="O214" i="20" s="1"/>
  <c r="AB221" i="20"/>
  <c r="P233" i="20"/>
  <c r="P248" i="20"/>
  <c r="AB248" i="20"/>
  <c r="Z267" i="20"/>
  <c r="J267" i="20" s="1"/>
  <c r="Y267" i="20"/>
  <c r="N290" i="20"/>
  <c r="O290" i="20" s="1"/>
  <c r="Z295" i="20"/>
  <c r="J295" i="20" s="1"/>
  <c r="Y295" i="20"/>
  <c r="T301" i="20"/>
  <c r="M334" i="20"/>
  <c r="Q337" i="20"/>
  <c r="AB349" i="20"/>
  <c r="N361" i="20"/>
  <c r="O361" i="20" s="1"/>
  <c r="AB395" i="20"/>
  <c r="Y413" i="20"/>
  <c r="Y416" i="20"/>
  <c r="Z416" i="20"/>
  <c r="Z432" i="20"/>
  <c r="Y432" i="20"/>
  <c r="M441" i="20"/>
  <c r="L441" i="20"/>
  <c r="Q463" i="20"/>
  <c r="AC463" i="20"/>
  <c r="T474" i="20"/>
  <c r="M477" i="20"/>
  <c r="Y500" i="20"/>
  <c r="M534" i="20"/>
  <c r="L534" i="20"/>
  <c r="Z538" i="20"/>
  <c r="Y538" i="20"/>
  <c r="J560" i="20"/>
  <c r="P560" i="20" s="1"/>
  <c r="Z580" i="20"/>
  <c r="J580" i="20" s="1"/>
  <c r="P580" i="20" s="1"/>
  <c r="Y580" i="20"/>
  <c r="T593" i="20"/>
  <c r="U593" i="20" s="1"/>
  <c r="J593" i="20" s="1"/>
  <c r="P593" i="20" s="1"/>
  <c r="M717" i="20"/>
  <c r="L717" i="20"/>
  <c r="Y732" i="20"/>
  <c r="Z732" i="20"/>
  <c r="J732" i="20" s="1"/>
  <c r="AB975" i="20"/>
  <c r="N975" i="20"/>
  <c r="O975" i="20" s="1"/>
  <c r="AC1125" i="20"/>
  <c r="Q1125" i="20"/>
  <c r="Z1941" i="20"/>
  <c r="Z1611" i="20"/>
  <c r="Z1411" i="20"/>
  <c r="J1411" i="20" s="1"/>
  <c r="P1411" i="20" s="1"/>
  <c r="M24" i="20"/>
  <c r="L24" i="20"/>
  <c r="T162" i="20"/>
  <c r="AC169" i="20"/>
  <c r="Q169" i="20"/>
  <c r="Z171" i="20"/>
  <c r="J171" i="20" s="1"/>
  <c r="Y171" i="20"/>
  <c r="Z197" i="20"/>
  <c r="J197" i="20" s="1"/>
  <c r="P197" i="20" s="1"/>
  <c r="Y197" i="20"/>
  <c r="Q221" i="20"/>
  <c r="AC221" i="20"/>
  <c r="Q248" i="20"/>
  <c r="AC248" i="20"/>
  <c r="AB269" i="20"/>
  <c r="P280" i="20"/>
  <c r="AB280" i="20"/>
  <c r="N280" i="20"/>
  <c r="O280" i="20" s="1"/>
  <c r="Z282" i="20"/>
  <c r="J282" i="20" s="1"/>
  <c r="P282" i="20" s="1"/>
  <c r="Y282" i="20"/>
  <c r="T337" i="20"/>
  <c r="T367" i="20"/>
  <c r="Q405" i="20"/>
  <c r="M419" i="20"/>
  <c r="L419" i="20"/>
  <c r="P495" i="20"/>
  <c r="AB495" i="20"/>
  <c r="Z526" i="20"/>
  <c r="Y526" i="20"/>
  <c r="Q585" i="20"/>
  <c r="AC585" i="20"/>
  <c r="N585" i="20"/>
  <c r="O585" i="20" s="1"/>
  <c r="T647" i="20"/>
  <c r="AC671" i="20"/>
  <c r="Q671" i="20"/>
  <c r="Z787" i="20"/>
  <c r="J787" i="20" s="1"/>
  <c r="P787" i="20" s="1"/>
  <c r="Y787" i="20"/>
  <c r="T813" i="20"/>
  <c r="T836" i="20"/>
  <c r="M902" i="20"/>
  <c r="L902" i="20"/>
  <c r="M938" i="20"/>
  <c r="L938" i="20"/>
  <c r="Z1019" i="20"/>
  <c r="J1019" i="20" s="1"/>
  <c r="P1019" i="20" s="1"/>
  <c r="Y1019" i="20"/>
  <c r="AB1055" i="20"/>
  <c r="P1055" i="20"/>
  <c r="N1055" i="20"/>
  <c r="O1055" i="20" s="1"/>
  <c r="AC1241" i="20"/>
  <c r="Q1241" i="20"/>
  <c r="N1241" i="20"/>
  <c r="O1241" i="20" s="1"/>
  <c r="Z340" i="20"/>
  <c r="J340" i="20" s="1"/>
  <c r="Y340" i="20"/>
  <c r="AC367" i="20"/>
  <c r="T504" i="20"/>
  <c r="U504" i="20" s="1"/>
  <c r="Z507" i="20"/>
  <c r="J507" i="20" s="1"/>
  <c r="Y507" i="20"/>
  <c r="N519" i="20"/>
  <c r="O519" i="20" s="1"/>
  <c r="T557" i="20"/>
  <c r="U557" i="20" s="1"/>
  <c r="AB593" i="20"/>
  <c r="N593" i="20"/>
  <c r="O593" i="20" s="1"/>
  <c r="T666" i="20"/>
  <c r="AB673" i="20"/>
  <c r="P673" i="20"/>
  <c r="N673" i="20"/>
  <c r="O673" i="20" s="1"/>
  <c r="AB747" i="20"/>
  <c r="N747" i="20"/>
  <c r="O747" i="20" s="1"/>
  <c r="M760" i="20"/>
  <c r="L760" i="20"/>
  <c r="Z845" i="20"/>
  <c r="J845" i="20" s="1"/>
  <c r="Y845" i="20"/>
  <c r="Y940" i="20"/>
  <c r="Z940" i="20"/>
  <c r="J940" i="20" s="1"/>
  <c r="Z976" i="20"/>
  <c r="J976" i="20" s="1"/>
  <c r="Y976" i="20"/>
  <c r="Q1314" i="20"/>
  <c r="AC1314" i="20"/>
  <c r="T363" i="20"/>
  <c r="AB402" i="20"/>
  <c r="P402" i="20"/>
  <c r="N402" i="20"/>
  <c r="Z419" i="20"/>
  <c r="Y419" i="20"/>
  <c r="T462" i="20"/>
  <c r="Z487" i="20"/>
  <c r="Y487" i="20"/>
  <c r="Q537" i="20"/>
  <c r="AC537" i="20"/>
  <c r="M587" i="20"/>
  <c r="L587" i="20"/>
  <c r="M622" i="20"/>
  <c r="L622" i="20"/>
  <c r="T632" i="20"/>
  <c r="T677" i="20"/>
  <c r="AC799" i="20"/>
  <c r="Q799" i="20"/>
  <c r="Z813" i="20"/>
  <c r="J813" i="20" s="1"/>
  <c r="Y813" i="20"/>
  <c r="AC854" i="20"/>
  <c r="Q854" i="20"/>
  <c r="M861" i="20"/>
  <c r="L861" i="20"/>
  <c r="M878" i="20"/>
  <c r="L878" i="20"/>
  <c r="T906" i="20"/>
  <c r="AB968" i="20"/>
  <c r="N968" i="20"/>
  <c r="O968" i="20" s="1"/>
  <c r="AB1032" i="20"/>
  <c r="N1032" i="20"/>
  <c r="O1032" i="20" s="1"/>
  <c r="Z325" i="20"/>
  <c r="J325" i="20" s="1"/>
  <c r="P325" i="20" s="1"/>
  <c r="Y325" i="20"/>
  <c r="T350" i="20"/>
  <c r="Q373" i="20"/>
  <c r="T397" i="20"/>
  <c r="Z417" i="20"/>
  <c r="Y417" i="20"/>
  <c r="Z435" i="20"/>
  <c r="Y435" i="20"/>
  <c r="Z455" i="20"/>
  <c r="Y455" i="20"/>
  <c r="Q508" i="20"/>
  <c r="P517" i="20"/>
  <c r="T525" i="20"/>
  <c r="U525" i="20" s="1"/>
  <c r="J525" i="20" s="1"/>
  <c r="P525" i="20" s="1"/>
  <c r="AC580" i="20"/>
  <c r="N580" i="20"/>
  <c r="O580" i="20" s="1"/>
  <c r="Z656" i="20"/>
  <c r="J656" i="20" s="1"/>
  <c r="P656" i="20" s="1"/>
  <c r="Y656" i="20"/>
  <c r="AB703" i="20"/>
  <c r="T707" i="20"/>
  <c r="U707" i="20" s="1"/>
  <c r="AC756" i="20"/>
  <c r="Q756" i="20"/>
  <c r="Z799" i="20"/>
  <c r="Y799" i="20"/>
  <c r="J850" i="20"/>
  <c r="T886" i="20"/>
  <c r="T914" i="20"/>
  <c r="T937" i="20"/>
  <c r="M1137" i="20"/>
  <c r="L1137" i="20"/>
  <c r="M1189" i="20"/>
  <c r="L1189" i="20"/>
  <c r="AC2805" i="20"/>
  <c r="Q2805" i="20"/>
  <c r="T2838" i="20"/>
  <c r="T453" i="20"/>
  <c r="M467" i="20"/>
  <c r="L467" i="20"/>
  <c r="Q479" i="20"/>
  <c r="AC479" i="20"/>
  <c r="N488" i="20"/>
  <c r="N493" i="20"/>
  <c r="J528" i="20"/>
  <c r="T546" i="20"/>
  <c r="U546" i="20" s="1"/>
  <c r="M561" i="20"/>
  <c r="L561" i="20"/>
  <c r="T583" i="20"/>
  <c r="U583" i="20" s="1"/>
  <c r="AC626" i="20"/>
  <c r="Q626" i="20"/>
  <c r="T650" i="20"/>
  <c r="M685" i="20"/>
  <c r="L685" i="20"/>
  <c r="Z719" i="20"/>
  <c r="Y719" i="20"/>
  <c r="Q733" i="20"/>
  <c r="AC733" i="20"/>
  <c r="Z743" i="20"/>
  <c r="J743" i="20" s="1"/>
  <c r="P743" i="20" s="1"/>
  <c r="Y743" i="20"/>
  <c r="AB748" i="20"/>
  <c r="N748" i="20"/>
  <c r="O748" i="20" s="1"/>
  <c r="AC825" i="20"/>
  <c r="Q825" i="20"/>
  <c r="Y850" i="20"/>
  <c r="Y854" i="20"/>
  <c r="Z854" i="20"/>
  <c r="J854" i="20" s="1"/>
  <c r="P854" i="20" s="1"/>
  <c r="Z1016" i="20"/>
  <c r="J1016" i="20" s="1"/>
  <c r="P1016" i="20" s="1"/>
  <c r="Y1016" i="20"/>
  <c r="Z1028" i="20"/>
  <c r="J1028" i="20" s="1"/>
  <c r="P1028" i="20" s="1"/>
  <c r="Y1028" i="20"/>
  <c r="AC1212" i="20"/>
  <c r="Q1212" i="20"/>
  <c r="Y1220" i="20"/>
  <c r="Z1220" i="20"/>
  <c r="J1220" i="20" s="1"/>
  <c r="P1220" i="20" s="1"/>
  <c r="J1225" i="20"/>
  <c r="T1245" i="20"/>
  <c r="U1245" i="20" s="1"/>
  <c r="Z1297" i="20"/>
  <c r="Z312" i="20"/>
  <c r="J312" i="20" s="1"/>
  <c r="P312" i="20" s="1"/>
  <c r="Y312" i="20"/>
  <c r="Z323" i="20"/>
  <c r="J323" i="20" s="1"/>
  <c r="P323" i="20" s="1"/>
  <c r="Y323" i="20"/>
  <c r="M353" i="20"/>
  <c r="L353" i="20"/>
  <c r="T413" i="20"/>
  <c r="P447" i="20"/>
  <c r="AB447" i="20"/>
  <c r="T451" i="20"/>
  <c r="P488" i="20"/>
  <c r="P493" i="20"/>
  <c r="T514" i="20"/>
  <c r="U514" i="20" s="1"/>
  <c r="Z546" i="20"/>
  <c r="Y546" i="20"/>
  <c r="T561" i="20"/>
  <c r="U561" i="20" s="1"/>
  <c r="T600" i="20"/>
  <c r="U600" i="20" s="1"/>
  <c r="AC606" i="20"/>
  <c r="P674" i="20"/>
  <c r="AB674" i="20"/>
  <c r="Y699" i="20"/>
  <c r="Z699" i="20"/>
  <c r="J699" i="20" s="1"/>
  <c r="Q712" i="20"/>
  <c r="AC712" i="20"/>
  <c r="M716" i="20"/>
  <c r="L716" i="20"/>
  <c r="AB744" i="20"/>
  <c r="Y804" i="20"/>
  <c r="Z804" i="20"/>
  <c r="J804" i="20" s="1"/>
  <c r="T883" i="20"/>
  <c r="T907" i="20"/>
  <c r="T985" i="20"/>
  <c r="L989" i="20"/>
  <c r="M989" i="20"/>
  <c r="AB993" i="20"/>
  <c r="N993" i="20"/>
  <c r="O993" i="20" s="1"/>
  <c r="T1128" i="20"/>
  <c r="Z1786" i="20"/>
  <c r="Y1786" i="20"/>
  <c r="N445" i="20"/>
  <c r="AB445" i="20"/>
  <c r="Q447" i="20"/>
  <c r="AC447" i="20"/>
  <c r="M456" i="20"/>
  <c r="L456" i="20"/>
  <c r="Z460" i="20"/>
  <c r="Y460" i="20"/>
  <c r="AB523" i="20"/>
  <c r="N523" i="20"/>
  <c r="O523" i="20" s="1"/>
  <c r="M568" i="20"/>
  <c r="L568" i="20"/>
  <c r="M597" i="20"/>
  <c r="L597" i="20"/>
  <c r="Z619" i="20"/>
  <c r="J619" i="20" s="1"/>
  <c r="Y619" i="20"/>
  <c r="T654" i="20"/>
  <c r="T657" i="20"/>
  <c r="Z681" i="20"/>
  <c r="J681" i="20" s="1"/>
  <c r="Y681" i="20"/>
  <c r="Z689" i="20"/>
  <c r="J689" i="20" s="1"/>
  <c r="Y689" i="20"/>
  <c r="Y703" i="20"/>
  <c r="Z703" i="20"/>
  <c r="J703" i="20" s="1"/>
  <c r="P703" i="20" s="1"/>
  <c r="AB712" i="20"/>
  <c r="N712" i="20"/>
  <c r="O712" i="20" s="1"/>
  <c r="T748" i="20"/>
  <c r="U748" i="20" s="1"/>
  <c r="T782" i="20"/>
  <c r="U782" i="20" s="1"/>
  <c r="J782" i="20" s="1"/>
  <c r="Z814" i="20"/>
  <c r="J814" i="20" s="1"/>
  <c r="P814" i="20" s="1"/>
  <c r="Y814" i="20"/>
  <c r="AC866" i="20"/>
  <c r="Q866" i="20"/>
  <c r="M887" i="20"/>
  <c r="L887" i="20"/>
  <c r="T891" i="20"/>
  <c r="AB942" i="20"/>
  <c r="P942" i="20"/>
  <c r="N942" i="20"/>
  <c r="O942" i="20" s="1"/>
  <c r="T982" i="20"/>
  <c r="Z1118" i="20"/>
  <c r="Y1118" i="20"/>
  <c r="Z431" i="20"/>
  <c r="Y431" i="20"/>
  <c r="P445" i="20"/>
  <c r="T447" i="20"/>
  <c r="T472" i="20"/>
  <c r="T544" i="20"/>
  <c r="U544" i="20" s="1"/>
  <c r="M604" i="20"/>
  <c r="L604" i="20"/>
  <c r="Z667" i="20"/>
  <c r="J667" i="20" s="1"/>
  <c r="Y667" i="20"/>
  <c r="N694" i="20"/>
  <c r="O694" i="20" s="1"/>
  <c r="AB694" i="20"/>
  <c r="Q704" i="20"/>
  <c r="AC704" i="20"/>
  <c r="Z729" i="20"/>
  <c r="J729" i="20" s="1"/>
  <c r="Y729" i="20"/>
  <c r="T741" i="20"/>
  <c r="U741" i="20" s="1"/>
  <c r="J741" i="20" s="1"/>
  <c r="P741" i="20" s="1"/>
  <c r="Z744" i="20"/>
  <c r="J744" i="20" s="1"/>
  <c r="P744" i="20" s="1"/>
  <c r="Y744" i="20"/>
  <c r="Z748" i="20"/>
  <c r="J748" i="20" s="1"/>
  <c r="P748" i="20" s="1"/>
  <c r="Y748" i="20"/>
  <c r="Q783" i="20"/>
  <c r="AC783" i="20"/>
  <c r="N783" i="20"/>
  <c r="O783" i="20" s="1"/>
  <c r="Y792" i="20"/>
  <c r="Z792" i="20"/>
  <c r="J792" i="20" s="1"/>
  <c r="AB805" i="20"/>
  <c r="N805" i="20"/>
  <c r="O805" i="20" s="1"/>
  <c r="J866" i="20"/>
  <c r="Z919" i="20"/>
  <c r="J919" i="20" s="1"/>
  <c r="P919" i="20" s="1"/>
  <c r="Y919" i="20"/>
  <c r="AB1073" i="20"/>
  <c r="N1073" i="20"/>
  <c r="O1073" i="20" s="1"/>
  <c r="Z1125" i="20"/>
  <c r="Y1125" i="20"/>
  <c r="Z1144" i="20"/>
  <c r="Y1144" i="20"/>
  <c r="Z1429" i="20"/>
  <c r="J1429" i="20" s="1"/>
  <c r="Y1429" i="20"/>
  <c r="T1438" i="20"/>
  <c r="U1438" i="20" s="1"/>
  <c r="Z1495" i="20"/>
  <c r="J1495" i="20" s="1"/>
  <c r="Y1495" i="20"/>
  <c r="Q362" i="20"/>
  <c r="N362" i="20"/>
  <c r="O362" i="20" s="1"/>
  <c r="T398" i="20"/>
  <c r="T418" i="20"/>
  <c r="AB420" i="20"/>
  <c r="T427" i="20"/>
  <c r="Z447" i="20"/>
  <c r="Y447" i="20"/>
  <c r="M482" i="20"/>
  <c r="L482" i="20"/>
  <c r="N532" i="20"/>
  <c r="O532" i="20" s="1"/>
  <c r="AB532" i="20"/>
  <c r="Z591" i="20"/>
  <c r="Y591" i="20"/>
  <c r="J594" i="20"/>
  <c r="AC633" i="20"/>
  <c r="AC644" i="20"/>
  <c r="Q644" i="20"/>
  <c r="Y704" i="20"/>
  <c r="Z704" i="20"/>
  <c r="AB709" i="20"/>
  <c r="M797" i="20"/>
  <c r="L797" i="20"/>
  <c r="T801" i="20"/>
  <c r="U801" i="20" s="1"/>
  <c r="AB841" i="20"/>
  <c r="N841" i="20"/>
  <c r="O841" i="20" s="1"/>
  <c r="P841" i="20"/>
  <c r="N856" i="20"/>
  <c r="O856" i="20" s="1"/>
  <c r="M867" i="20"/>
  <c r="L867" i="20"/>
  <c r="AC888" i="20"/>
  <c r="Q888" i="20"/>
  <c r="AB912" i="20"/>
  <c r="N912" i="20"/>
  <c r="O912" i="20" s="1"/>
  <c r="Z1013" i="20"/>
  <c r="J1013" i="20" s="1"/>
  <c r="Y1013" i="20"/>
  <c r="Z346" i="20"/>
  <c r="J346" i="20" s="1"/>
  <c r="Y346" i="20"/>
  <c r="T362" i="20"/>
  <c r="Z395" i="20"/>
  <c r="J395" i="20" s="1"/>
  <c r="P395" i="20" s="1"/>
  <c r="Y395" i="20"/>
  <c r="M432" i="20"/>
  <c r="L432" i="20"/>
  <c r="Z436" i="20"/>
  <c r="Y436" i="20"/>
  <c r="AB488" i="20"/>
  <c r="J571" i="20"/>
  <c r="P571" i="20" s="1"/>
  <c r="J597" i="20"/>
  <c r="M601" i="20"/>
  <c r="L601" i="20"/>
  <c r="T614" i="20"/>
  <c r="P675" i="20"/>
  <c r="N675" i="20"/>
  <c r="O675" i="20" s="1"/>
  <c r="AB675" i="20"/>
  <c r="Z682" i="20"/>
  <c r="J682" i="20" s="1"/>
  <c r="Y682" i="20"/>
  <c r="Q686" i="20"/>
  <c r="AC686" i="20"/>
  <c r="Z721" i="20"/>
  <c r="Y721" i="20"/>
  <c r="AB753" i="20"/>
  <c r="N753" i="20"/>
  <c r="O753" i="20" s="1"/>
  <c r="AC767" i="20"/>
  <c r="Q767" i="20"/>
  <c r="N767" i="20"/>
  <c r="O767" i="20" s="1"/>
  <c r="AC779" i="20"/>
  <c r="Q779" i="20"/>
  <c r="Z805" i="20"/>
  <c r="J805" i="20" s="1"/>
  <c r="P805" i="20" s="1"/>
  <c r="Y805" i="20"/>
  <c r="AC833" i="20"/>
  <c r="Q833" i="20"/>
  <c r="Q841" i="20"/>
  <c r="AC841" i="20"/>
  <c r="T859" i="20"/>
  <c r="AB884" i="20"/>
  <c r="P884" i="20"/>
  <c r="N884" i="20"/>
  <c r="O884" i="20" s="1"/>
  <c r="T916" i="20"/>
  <c r="AC979" i="20"/>
  <c r="Q979" i="20"/>
  <c r="T1269" i="20"/>
  <c r="U1269" i="20" s="1"/>
  <c r="Y1570" i="20"/>
  <c r="Z1570" i="20"/>
  <c r="J1570" i="20" s="1"/>
  <c r="Z2544" i="20"/>
  <c r="Z2403" i="20"/>
  <c r="Z2288" i="20"/>
  <c r="Z2133" i="20"/>
  <c r="Z1657" i="20"/>
  <c r="J1657" i="20" s="1"/>
  <c r="Z256" i="20"/>
  <c r="J256" i="20" s="1"/>
  <c r="P256" i="20" s="1"/>
  <c r="Y256" i="20"/>
  <c r="M267" i="20"/>
  <c r="L267" i="20"/>
  <c r="T344" i="20"/>
  <c r="T360" i="20"/>
  <c r="P367" i="20"/>
  <c r="Y386" i="20"/>
  <c r="Z386" i="20"/>
  <c r="J386" i="20" s="1"/>
  <c r="Z409" i="20"/>
  <c r="Y409" i="20"/>
  <c r="N412" i="20"/>
  <c r="Q454" i="20"/>
  <c r="M480" i="20"/>
  <c r="L480" i="20"/>
  <c r="T509" i="20"/>
  <c r="U509" i="20" s="1"/>
  <c r="AC539" i="20"/>
  <c r="Q539" i="20"/>
  <c r="Q548" i="20"/>
  <c r="AC548" i="20"/>
  <c r="Q556" i="20"/>
  <c r="AC556" i="20"/>
  <c r="Q578" i="20"/>
  <c r="P627" i="20"/>
  <c r="AC634" i="20"/>
  <c r="Q634" i="20"/>
  <c r="N634" i="20"/>
  <c r="O634" i="20" s="1"/>
  <c r="AC641" i="20"/>
  <c r="Q641" i="20"/>
  <c r="Y671" i="20"/>
  <c r="Z671" i="20"/>
  <c r="J671" i="20" s="1"/>
  <c r="T709" i="20"/>
  <c r="U709" i="20" s="1"/>
  <c r="Q722" i="20"/>
  <c r="AC722" i="20"/>
  <c r="Z779" i="20"/>
  <c r="J779" i="20" s="1"/>
  <c r="Y779" i="20"/>
  <c r="T833" i="20"/>
  <c r="N1014" i="20"/>
  <c r="O1014" i="20" s="1"/>
  <c r="AB1014" i="20"/>
  <c r="N1079" i="20"/>
  <c r="O1079" i="20" s="1"/>
  <c r="AB1079" i="20"/>
  <c r="Z1126" i="20"/>
  <c r="Y1126" i="20"/>
  <c r="T1378" i="20"/>
  <c r="Y2135" i="20"/>
  <c r="Z2135" i="20"/>
  <c r="Z149" i="20"/>
  <c r="J149" i="20" s="1"/>
  <c r="Z161" i="20"/>
  <c r="J161" i="20" s="1"/>
  <c r="Y161" i="20"/>
  <c r="T187" i="20"/>
  <c r="L242" i="20"/>
  <c r="T322" i="20"/>
  <c r="Q384" i="20"/>
  <c r="M396" i="20"/>
  <c r="L396" i="20"/>
  <c r="Y425" i="20"/>
  <c r="Z425" i="20"/>
  <c r="P439" i="20"/>
  <c r="T454" i="20"/>
  <c r="Z482" i="20"/>
  <c r="Z512" i="20"/>
  <c r="J512" i="20" s="1"/>
  <c r="P512" i="20" s="1"/>
  <c r="L542" i="20"/>
  <c r="L556" i="20"/>
  <c r="M575" i="20"/>
  <c r="L575" i="20"/>
  <c r="T578" i="20"/>
  <c r="U578" i="20" s="1"/>
  <c r="AB598" i="20"/>
  <c r="Z611" i="20"/>
  <c r="J611" i="20" s="1"/>
  <c r="Y611" i="20"/>
  <c r="T624" i="20"/>
  <c r="Q627" i="20"/>
  <c r="L641" i="20"/>
  <c r="T655" i="20"/>
  <c r="J691" i="20"/>
  <c r="Z697" i="20"/>
  <c r="J697" i="20" s="1"/>
  <c r="Y697" i="20"/>
  <c r="Z709" i="20"/>
  <c r="Y709" i="20"/>
  <c r="Z730" i="20"/>
  <c r="J730" i="20" s="1"/>
  <c r="Y730" i="20"/>
  <c r="N746" i="20"/>
  <c r="O746" i="20" s="1"/>
  <c r="AB746" i="20"/>
  <c r="P746" i="20"/>
  <c r="Q775" i="20"/>
  <c r="AB823" i="20"/>
  <c r="N823" i="20"/>
  <c r="O823" i="20" s="1"/>
  <c r="T962" i="20"/>
  <c r="Z1087" i="20"/>
  <c r="J1087" i="20" s="1"/>
  <c r="Y1087" i="20"/>
  <c r="Y1135" i="20"/>
  <c r="Z1135" i="20"/>
  <c r="M1178" i="20"/>
  <c r="L1178" i="20"/>
  <c r="M276" i="20"/>
  <c r="L276" i="20"/>
  <c r="Z344" i="20"/>
  <c r="J344" i="20" s="1"/>
  <c r="Y344" i="20"/>
  <c r="AC379" i="20"/>
  <c r="Q379" i="20"/>
  <c r="P410" i="20"/>
  <c r="N410" i="20"/>
  <c r="T423" i="20"/>
  <c r="T499" i="20"/>
  <c r="T524" i="20"/>
  <c r="U524" i="20" s="1"/>
  <c r="J524" i="20" s="1"/>
  <c r="P524" i="20" s="1"/>
  <c r="Z559" i="20"/>
  <c r="Y559" i="20"/>
  <c r="AC592" i="20"/>
  <c r="Q592" i="20"/>
  <c r="P605" i="20"/>
  <c r="AB605" i="20"/>
  <c r="M631" i="20"/>
  <c r="L631" i="20"/>
  <c r="T701" i="20"/>
  <c r="Q718" i="20"/>
  <c r="AC718" i="20"/>
  <c r="AC749" i="20"/>
  <c r="P868" i="20"/>
  <c r="AB868" i="20"/>
  <c r="N868" i="20"/>
  <c r="O868" i="20" s="1"/>
  <c r="N913" i="20"/>
  <c r="O913" i="20" s="1"/>
  <c r="AB913" i="20"/>
  <c r="Z971" i="20"/>
  <c r="J971" i="20" s="1"/>
  <c r="Y971" i="20"/>
  <c r="T1019" i="20"/>
  <c r="Q1023" i="20"/>
  <c r="N1023" i="20"/>
  <c r="O1023" i="20" s="1"/>
  <c r="AC1023" i="20"/>
  <c r="T1148" i="20"/>
  <c r="Z1162" i="20"/>
  <c r="Y1162" i="20"/>
  <c r="T1300" i="20"/>
  <c r="U1300" i="20" s="1"/>
  <c r="Z1360" i="20"/>
  <c r="J1360" i="20" s="1"/>
  <c r="Y1360" i="20"/>
  <c r="L33" i="20"/>
  <c r="L49" i="20"/>
  <c r="L67" i="20"/>
  <c r="Z110" i="20"/>
  <c r="J110" i="20" s="1"/>
  <c r="N129" i="20"/>
  <c r="O129" i="20" s="1"/>
  <c r="L131" i="20"/>
  <c r="L142" i="20"/>
  <c r="Z173" i="20"/>
  <c r="J173" i="20" s="1"/>
  <c r="Y173" i="20"/>
  <c r="L238" i="20"/>
  <c r="T242" i="20"/>
  <c r="Y254" i="20"/>
  <c r="M265" i="20"/>
  <c r="L265" i="20"/>
  <c r="Q298" i="20"/>
  <c r="P318" i="20"/>
  <c r="N318" i="20"/>
  <c r="O318" i="20" s="1"/>
  <c r="Z441" i="20"/>
  <c r="Y441" i="20"/>
  <c r="P468" i="20"/>
  <c r="Z496" i="20"/>
  <c r="Y496" i="20"/>
  <c r="M530" i="20"/>
  <c r="L530" i="20"/>
  <c r="T539" i="20"/>
  <c r="U539" i="20" s="1"/>
  <c r="J539" i="20" s="1"/>
  <c r="P539" i="20" s="1"/>
  <c r="Q542" i="20"/>
  <c r="Y553" i="20"/>
  <c r="AC566" i="20"/>
  <c r="Q566" i="20"/>
  <c r="Q605" i="20"/>
  <c r="AC605" i="20"/>
  <c r="Z627" i="20"/>
  <c r="J627" i="20" s="1"/>
  <c r="Y627" i="20"/>
  <c r="M676" i="20"/>
  <c r="L676" i="20"/>
  <c r="T683" i="20"/>
  <c r="M695" i="20"/>
  <c r="L695" i="20"/>
  <c r="L718" i="20"/>
  <c r="Z722" i="20"/>
  <c r="AB750" i="20"/>
  <c r="Z784" i="20"/>
  <c r="J784" i="20" s="1"/>
  <c r="P784" i="20" s="1"/>
  <c r="Y784" i="20"/>
  <c r="Z806" i="20"/>
  <c r="J806" i="20" s="1"/>
  <c r="Y806" i="20"/>
  <c r="P823" i="20"/>
  <c r="T838" i="20"/>
  <c r="Z876" i="20"/>
  <c r="J876" i="20" s="1"/>
  <c r="Y876" i="20"/>
  <c r="J962" i="20"/>
  <c r="P962" i="20" s="1"/>
  <c r="Q1042" i="20"/>
  <c r="AC1042" i="20"/>
  <c r="T1295" i="20"/>
  <c r="U1295" i="20" s="1"/>
  <c r="Z2412" i="20"/>
  <c r="Z2382" i="20"/>
  <c r="J2382" i="20" s="1"/>
  <c r="Z2435" i="20"/>
  <c r="Z2181" i="20"/>
  <c r="J2181" i="20" s="1"/>
  <c r="Z2052" i="20"/>
  <c r="Z1666" i="20"/>
  <c r="T31" i="20"/>
  <c r="U31" i="20" s="1"/>
  <c r="J31" i="20" s="1"/>
  <c r="T63" i="20"/>
  <c r="U63" i="20" s="1"/>
  <c r="J63" i="20" s="1"/>
  <c r="T127" i="20"/>
  <c r="P129" i="20"/>
  <c r="N296" i="20"/>
  <c r="O296" i="20" s="1"/>
  <c r="T320" i="20"/>
  <c r="AC354" i="20"/>
  <c r="Q354" i="20"/>
  <c r="Z423" i="20"/>
  <c r="Y423" i="20"/>
  <c r="Q468" i="20"/>
  <c r="N473" i="20"/>
  <c r="AB507" i="20"/>
  <c r="P507" i="20"/>
  <c r="N566" i="20"/>
  <c r="O566" i="20" s="1"/>
  <c r="N605" i="20"/>
  <c r="O605" i="20" s="1"/>
  <c r="N618" i="20"/>
  <c r="O618" i="20" s="1"/>
  <c r="AB618" i="20"/>
  <c r="P618" i="20"/>
  <c r="Z641" i="20"/>
  <c r="J641" i="20" s="1"/>
  <c r="Y641" i="20"/>
  <c r="L669" i="20"/>
  <c r="Z701" i="20"/>
  <c r="J701" i="20" s="1"/>
  <c r="Y701" i="20"/>
  <c r="AB710" i="20"/>
  <c r="N710" i="20"/>
  <c r="O710" i="20" s="1"/>
  <c r="AC750" i="20"/>
  <c r="Q750" i="20"/>
  <c r="Q759" i="20"/>
  <c r="AC759" i="20"/>
  <c r="N759" i="20"/>
  <c r="O759" i="20" s="1"/>
  <c r="T789" i="20"/>
  <c r="U789" i="20" s="1"/>
  <c r="N885" i="20"/>
  <c r="O885" i="20" s="1"/>
  <c r="AB885" i="20"/>
  <c r="P885" i="20"/>
  <c r="L1042" i="20"/>
  <c r="AB1070" i="20"/>
  <c r="N1070" i="20"/>
  <c r="O1070" i="20" s="1"/>
  <c r="Z1103" i="20"/>
  <c r="Y1103" i="20"/>
  <c r="AC1280" i="20"/>
  <c r="Q1280" i="20"/>
  <c r="T1576" i="20"/>
  <c r="Z2440" i="20"/>
  <c r="Z2321" i="20"/>
  <c r="J2321" i="20" s="1"/>
  <c r="Z2253" i="20"/>
  <c r="Z2252" i="20"/>
  <c r="Z1510" i="20"/>
  <c r="J1510" i="20" s="1"/>
  <c r="M230" i="20"/>
  <c r="L230" i="20"/>
  <c r="M285" i="20"/>
  <c r="L285" i="20"/>
  <c r="P331" i="20"/>
  <c r="N331" i="20"/>
  <c r="O331" i="20" s="1"/>
  <c r="AB354" i="20"/>
  <c r="P354" i="20"/>
  <c r="N354" i="20"/>
  <c r="O354" i="20" s="1"/>
  <c r="AC362" i="20"/>
  <c r="N377" i="20"/>
  <c r="O377" i="20" s="1"/>
  <c r="AB377" i="20"/>
  <c r="P394" i="20"/>
  <c r="P399" i="20"/>
  <c r="N399" i="20"/>
  <c r="O399" i="20" s="1"/>
  <c r="AB399" i="20"/>
  <c r="P457" i="20"/>
  <c r="N457" i="20"/>
  <c r="AB487" i="20"/>
  <c r="T530" i="20"/>
  <c r="U530" i="20" s="1"/>
  <c r="J530" i="20" s="1"/>
  <c r="Q533" i="20"/>
  <c r="N533" i="20"/>
  <c r="O533" i="20" s="1"/>
  <c r="Q536" i="20"/>
  <c r="AC536" i="20"/>
  <c r="Q579" i="20"/>
  <c r="AC579" i="20"/>
  <c r="Z598" i="20"/>
  <c r="Y598" i="20"/>
  <c r="P612" i="20"/>
  <c r="N612" i="20"/>
  <c r="O612" i="20" s="1"/>
  <c r="P635" i="20"/>
  <c r="AB635" i="20"/>
  <c r="AC659" i="20"/>
  <c r="Q659" i="20"/>
  <c r="Z672" i="20"/>
  <c r="J672" i="20" s="1"/>
  <c r="Y672" i="20"/>
  <c r="AC710" i="20"/>
  <c r="Q710" i="20"/>
  <c r="M735" i="20"/>
  <c r="L735" i="20"/>
  <c r="T742" i="20"/>
  <c r="U742" i="20" s="1"/>
  <c r="J742" i="20" s="1"/>
  <c r="P742" i="20" s="1"/>
  <c r="M764" i="20"/>
  <c r="L764" i="20"/>
  <c r="AC775" i="20"/>
  <c r="Z802" i="20"/>
  <c r="J802" i="20" s="1"/>
  <c r="P802" i="20" s="1"/>
  <c r="Y802" i="20"/>
  <c r="AC834" i="20"/>
  <c r="Q834" i="20"/>
  <c r="N834" i="20"/>
  <c r="O834" i="20" s="1"/>
  <c r="AB901" i="20"/>
  <c r="P901" i="20"/>
  <c r="Z928" i="20"/>
  <c r="J928" i="20" s="1"/>
  <c r="Y928" i="20"/>
  <c r="AC967" i="20"/>
  <c r="Q967" i="20"/>
  <c r="Z1061" i="20"/>
  <c r="J1061" i="20" s="1"/>
  <c r="Y1061" i="20"/>
  <c r="AC1070" i="20"/>
  <c r="Q1070" i="20"/>
  <c r="Z1155" i="20"/>
  <c r="Y1155" i="20"/>
  <c r="Z2315" i="20"/>
  <c r="J2315" i="20" s="1"/>
  <c r="Z1496" i="20"/>
  <c r="J1496" i="20" s="1"/>
  <c r="P1496" i="20" s="1"/>
  <c r="Z1718" i="20"/>
  <c r="J1718" i="20" s="1"/>
  <c r="Z1468" i="20"/>
  <c r="J1468" i="20" s="1"/>
  <c r="P1468" i="20" s="1"/>
  <c r="Z1568" i="20"/>
  <c r="J1568" i="20" s="1"/>
  <c r="P1568" i="20" s="1"/>
  <c r="L12" i="20"/>
  <c r="L35" i="20"/>
  <c r="L58" i="20"/>
  <c r="L78" i="20"/>
  <c r="T85" i="20"/>
  <c r="U85" i="20" s="1"/>
  <c r="L107" i="20"/>
  <c r="L120" i="20"/>
  <c r="L150" i="20"/>
  <c r="L162" i="20"/>
  <c r="L188" i="20"/>
  <c r="N216" i="20"/>
  <c r="O216" i="20" s="1"/>
  <c r="L222" i="20"/>
  <c r="L259" i="20"/>
  <c r="M305" i="20"/>
  <c r="L305" i="20"/>
  <c r="L316" i="20"/>
  <c r="Z342" i="20"/>
  <c r="J342" i="20" s="1"/>
  <c r="Y342" i="20"/>
  <c r="L345" i="20"/>
  <c r="Q347" i="20"/>
  <c r="Z349" i="20"/>
  <c r="J349" i="20" s="1"/>
  <c r="P349" i="20" s="1"/>
  <c r="Q365" i="20"/>
  <c r="Q394" i="20"/>
  <c r="N394" i="20"/>
  <c r="O394" i="20" s="1"/>
  <c r="Y403" i="20"/>
  <c r="T430" i="20"/>
  <c r="Y480" i="20"/>
  <c r="L483" i="20"/>
  <c r="N507" i="20"/>
  <c r="O507" i="20" s="1"/>
  <c r="L513" i="20"/>
  <c r="T533" i="20"/>
  <c r="U533" i="20" s="1"/>
  <c r="Y542" i="20"/>
  <c r="Z542" i="20"/>
  <c r="J542" i="20" s="1"/>
  <c r="Z556" i="20"/>
  <c r="Y556" i="20"/>
  <c r="AC612" i="20"/>
  <c r="Q612" i="20"/>
  <c r="Q618" i="20"/>
  <c r="Q635" i="20"/>
  <c r="AC635" i="20"/>
  <c r="P638" i="20"/>
  <c r="N638" i="20"/>
  <c r="O638" i="20" s="1"/>
  <c r="AB638" i="20"/>
  <c r="Z648" i="20"/>
  <c r="J648" i="20" s="1"/>
  <c r="Z652" i="20"/>
  <c r="J652" i="20" s="1"/>
  <c r="L659" i="20"/>
  <c r="AB666" i="20"/>
  <c r="N666" i="20"/>
  <c r="O666" i="20" s="1"/>
  <c r="AC706" i="20"/>
  <c r="Q706" i="20"/>
  <c r="T714" i="20"/>
  <c r="U714" i="20" s="1"/>
  <c r="N723" i="20"/>
  <c r="O723" i="20" s="1"/>
  <c r="AB723" i="20"/>
  <c r="T735" i="20"/>
  <c r="U735" i="20" s="1"/>
  <c r="J735" i="20" s="1"/>
  <c r="T768" i="20"/>
  <c r="U768" i="20" s="1"/>
  <c r="Z789" i="20"/>
  <c r="J789" i="20" s="1"/>
  <c r="Y789" i="20"/>
  <c r="N864" i="20"/>
  <c r="O864" i="20" s="1"/>
  <c r="Z893" i="20"/>
  <c r="J893" i="20" s="1"/>
  <c r="Y893" i="20"/>
  <c r="M901" i="20"/>
  <c r="L905" i="20"/>
  <c r="M905" i="20"/>
  <c r="T936" i="20"/>
  <c r="Z952" i="20"/>
  <c r="J952" i="20" s="1"/>
  <c r="P952" i="20" s="1"/>
  <c r="Y952" i="20"/>
  <c r="Z1023" i="20"/>
  <c r="J1023" i="20" s="1"/>
  <c r="P1023" i="20" s="1"/>
  <c r="Y1023" i="20"/>
  <c r="Y1248" i="20"/>
  <c r="Z1248" i="20"/>
  <c r="J1248" i="20" s="1"/>
  <c r="Z1330" i="20"/>
  <c r="J1330" i="20" s="1"/>
  <c r="Y1330" i="20"/>
  <c r="Z1440" i="20"/>
  <c r="Y1440" i="20"/>
  <c r="Z2364" i="20"/>
  <c r="J2364" i="20" s="1"/>
  <c r="Z2095" i="20"/>
  <c r="Z2170" i="20"/>
  <c r="Z2293" i="20"/>
  <c r="Z1669" i="20"/>
  <c r="J1669" i="20" s="1"/>
  <c r="P1669" i="20" s="1"/>
  <c r="Z2418" i="20"/>
  <c r="Z2119" i="20"/>
  <c r="Z2192" i="20"/>
  <c r="J2192" i="20" s="1"/>
  <c r="P2192" i="20" s="1"/>
  <c r="Z2191" i="20"/>
  <c r="J2191" i="20" s="1"/>
  <c r="N156" i="20"/>
  <c r="O156" i="20" s="1"/>
  <c r="P198" i="20"/>
  <c r="N261" i="20"/>
  <c r="O261" i="20" s="1"/>
  <c r="M274" i="20"/>
  <c r="L274" i="20"/>
  <c r="N338" i="20"/>
  <c r="O338" i="20" s="1"/>
  <c r="AC351" i="20"/>
  <c r="T370" i="20"/>
  <c r="P377" i="20"/>
  <c r="T394" i="20"/>
  <c r="Z439" i="20"/>
  <c r="Y439" i="20"/>
  <c r="Z459" i="20"/>
  <c r="Y459" i="20"/>
  <c r="P471" i="20"/>
  <c r="N471" i="20"/>
  <c r="Q473" i="20"/>
  <c r="Z475" i="20"/>
  <c r="Y475" i="20"/>
  <c r="N487" i="20"/>
  <c r="AB492" i="20"/>
  <c r="P492" i="20"/>
  <c r="AB497" i="20"/>
  <c r="P497" i="20"/>
  <c r="N497" i="20"/>
  <c r="AB516" i="20"/>
  <c r="P516" i="20"/>
  <c r="N560" i="20"/>
  <c r="O560" i="20" s="1"/>
  <c r="T572" i="20"/>
  <c r="U572" i="20" s="1"/>
  <c r="N579" i="20"/>
  <c r="O579" i="20" s="1"/>
  <c r="Z608" i="20"/>
  <c r="J608" i="20" s="1"/>
  <c r="P608" i="20" s="1"/>
  <c r="Y608" i="20"/>
  <c r="N635" i="20"/>
  <c r="O635" i="20" s="1"/>
  <c r="AC638" i="20"/>
  <c r="Q638" i="20"/>
  <c r="N642" i="20"/>
  <c r="O642" i="20" s="1"/>
  <c r="Z687" i="20"/>
  <c r="J687" i="20" s="1"/>
  <c r="P687" i="20" s="1"/>
  <c r="Y687" i="20"/>
  <c r="P702" i="20"/>
  <c r="N702" i="20"/>
  <c r="O702" i="20" s="1"/>
  <c r="AB702" i="20"/>
  <c r="AC723" i="20"/>
  <c r="Q723" i="20"/>
  <c r="Z759" i="20"/>
  <c r="J759" i="20" s="1"/>
  <c r="P759" i="20" s="1"/>
  <c r="Y759" i="20"/>
  <c r="AB772" i="20"/>
  <c r="P772" i="20"/>
  <c r="N772" i="20"/>
  <c r="O772" i="20" s="1"/>
  <c r="P776" i="20"/>
  <c r="N776" i="20"/>
  <c r="O776" i="20" s="1"/>
  <c r="AB776" i="20"/>
  <c r="Z838" i="20"/>
  <c r="J838" i="20" s="1"/>
  <c r="Y838" i="20"/>
  <c r="Q864" i="20"/>
  <c r="AC869" i="20"/>
  <c r="Q869" i="20"/>
  <c r="M873" i="20"/>
  <c r="L873" i="20"/>
  <c r="Z881" i="20"/>
  <c r="J881" i="20" s="1"/>
  <c r="Y881" i="20"/>
  <c r="Z1075" i="20"/>
  <c r="J1075" i="20" s="1"/>
  <c r="Y1075" i="20"/>
  <c r="Q904" i="20"/>
  <c r="N904" i="20"/>
  <c r="O904" i="20" s="1"/>
  <c r="T971" i="20"/>
  <c r="AC975" i="20"/>
  <c r="Q975" i="20"/>
  <c r="Q1000" i="20"/>
  <c r="AC1000" i="20"/>
  <c r="AC1027" i="20"/>
  <c r="Q1027" i="20"/>
  <c r="Z1041" i="20"/>
  <c r="J1041" i="20" s="1"/>
  <c r="Y1041" i="20"/>
  <c r="AB1053" i="20"/>
  <c r="N1053" i="20"/>
  <c r="O1053" i="20" s="1"/>
  <c r="T1143" i="20"/>
  <c r="T1234" i="20"/>
  <c r="U1234" i="20" s="1"/>
  <c r="J1234" i="20" s="1"/>
  <c r="P1234" i="20" s="1"/>
  <c r="P1326" i="20"/>
  <c r="AB1326" i="20"/>
  <c r="N1326" i="20"/>
  <c r="O1326" i="20" s="1"/>
  <c r="Z1374" i="20"/>
  <c r="J1374" i="20" s="1"/>
  <c r="Y1374" i="20"/>
  <c r="M1610" i="20"/>
  <c r="L1610" i="20"/>
  <c r="M715" i="20"/>
  <c r="L715" i="20"/>
  <c r="T732" i="20"/>
  <c r="U732" i="20" s="1"/>
  <c r="J820" i="20"/>
  <c r="Z823" i="20"/>
  <c r="J823" i="20" s="1"/>
  <c r="Y823" i="20"/>
  <c r="M846" i="20"/>
  <c r="L846" i="20"/>
  <c r="M853" i="20"/>
  <c r="L853" i="20"/>
  <c r="AC884" i="20"/>
  <c r="Q884" i="20"/>
  <c r="AC904" i="20"/>
  <c r="AB927" i="20"/>
  <c r="N927" i="20"/>
  <c r="O927" i="20" s="1"/>
  <c r="M1046" i="20"/>
  <c r="L1046" i="20"/>
  <c r="Y1086" i="20"/>
  <c r="Z1086" i="20"/>
  <c r="J1086" i="20" s="1"/>
  <c r="Y1334" i="20"/>
  <c r="Z1334" i="20"/>
  <c r="J1334" i="20" s="1"/>
  <c r="Z1655" i="20"/>
  <c r="Y1655" i="20"/>
  <c r="AB2682" i="20"/>
  <c r="N2682" i="20"/>
  <c r="O2682" i="20" s="1"/>
  <c r="N688" i="20"/>
  <c r="O688" i="20" s="1"/>
  <c r="AB688" i="20"/>
  <c r="AB742" i="20"/>
  <c r="T745" i="20"/>
  <c r="U745" i="20" s="1"/>
  <c r="Z758" i="20"/>
  <c r="Y758" i="20"/>
  <c r="Z790" i="20"/>
  <c r="Y790" i="20"/>
  <c r="T843" i="20"/>
  <c r="Y859" i="20"/>
  <c r="Z859" i="20"/>
  <c r="J859" i="20" s="1"/>
  <c r="AB877" i="20"/>
  <c r="P877" i="20"/>
  <c r="N877" i="20"/>
  <c r="O877" i="20" s="1"/>
  <c r="T894" i="20"/>
  <c r="T913" i="20"/>
  <c r="Z941" i="20"/>
  <c r="J941" i="20" s="1"/>
  <c r="Y941" i="20"/>
  <c r="N945" i="20"/>
  <c r="O945" i="20" s="1"/>
  <c r="AB945" i="20"/>
  <c r="Y956" i="20"/>
  <c r="Z956" i="20"/>
  <c r="J956" i="20" s="1"/>
  <c r="P956" i="20" s="1"/>
  <c r="Q997" i="20"/>
  <c r="AC997" i="20"/>
  <c r="AC1039" i="20"/>
  <c r="Q1039" i="20"/>
  <c r="T1061" i="20"/>
  <c r="Z1078" i="20"/>
  <c r="J1078" i="20" s="1"/>
  <c r="P1078" i="20" s="1"/>
  <c r="Y1078" i="20"/>
  <c r="Z1082" i="20"/>
  <c r="J1082" i="20" s="1"/>
  <c r="Y1082" i="20"/>
  <c r="Q1087" i="20"/>
  <c r="AC1087" i="20"/>
  <c r="AC1095" i="20"/>
  <c r="Q1095" i="20"/>
  <c r="Z1115" i="20"/>
  <c r="Y1115" i="20"/>
  <c r="AC1122" i="20"/>
  <c r="Q1122" i="20"/>
  <c r="Y1134" i="20"/>
  <c r="Z1134" i="20"/>
  <c r="AB1157" i="20"/>
  <c r="P1157" i="20"/>
  <c r="N1157" i="20"/>
  <c r="T1212" i="20"/>
  <c r="U1212" i="20" s="1"/>
  <c r="Z1371" i="20"/>
  <c r="J1371" i="20" s="1"/>
  <c r="P1371" i="20" s="1"/>
  <c r="Y1371" i="20"/>
  <c r="M1450" i="20"/>
  <c r="L1450" i="20"/>
  <c r="Z1704" i="20"/>
  <c r="J1704" i="20" s="1"/>
  <c r="Y1704" i="20"/>
  <c r="M563" i="20"/>
  <c r="L563" i="20"/>
  <c r="Y572" i="20"/>
  <c r="Z572" i="20"/>
  <c r="J572" i="20" s="1"/>
  <c r="Z577" i="20"/>
  <c r="J577" i="20" s="1"/>
  <c r="P577" i="20" s="1"/>
  <c r="Y577" i="20"/>
  <c r="M590" i="20"/>
  <c r="L590" i="20"/>
  <c r="Y592" i="20"/>
  <c r="Z592" i="20"/>
  <c r="J592" i="20" s="1"/>
  <c r="L652" i="20"/>
  <c r="M688" i="20"/>
  <c r="Q739" i="20"/>
  <c r="AC739" i="20"/>
  <c r="AB769" i="20"/>
  <c r="Y782" i="20"/>
  <c r="T853" i="20"/>
  <c r="Y856" i="20"/>
  <c r="T927" i="20"/>
  <c r="Z967" i="20"/>
  <c r="J967" i="20" s="1"/>
  <c r="Y967" i="20"/>
  <c r="L997" i="20"/>
  <c r="T1001" i="20"/>
  <c r="Z1031" i="20"/>
  <c r="J1031" i="20" s="1"/>
  <c r="P1031" i="20" s="1"/>
  <c r="Y1031" i="20"/>
  <c r="Y1065" i="20"/>
  <c r="T1164" i="20"/>
  <c r="L1250" i="20"/>
  <c r="M1250" i="20"/>
  <c r="Y1700" i="20"/>
  <c r="Z1700" i="20"/>
  <c r="J1700" i="20" s="1"/>
  <c r="P1700" i="20" s="1"/>
  <c r="T527" i="20"/>
  <c r="U527" i="20" s="1"/>
  <c r="T534" i="20"/>
  <c r="U534" i="20" s="1"/>
  <c r="J534" i="20" s="1"/>
  <c r="P610" i="20"/>
  <c r="N610" i="20"/>
  <c r="O610" i="20" s="1"/>
  <c r="Y643" i="20"/>
  <c r="Z643" i="20"/>
  <c r="J643" i="20" s="1"/>
  <c r="M657" i="20"/>
  <c r="AC660" i="20"/>
  <c r="Q660" i="20"/>
  <c r="AC679" i="20"/>
  <c r="Q679" i="20"/>
  <c r="P688" i="20"/>
  <c r="M697" i="20"/>
  <c r="L697" i="20"/>
  <c r="Q700" i="20"/>
  <c r="AC700" i="20"/>
  <c r="T706" i="20"/>
  <c r="U706" i="20" s="1"/>
  <c r="Q719" i="20"/>
  <c r="AC719" i="20"/>
  <c r="N726" i="20"/>
  <c r="O726" i="20" s="1"/>
  <c r="T739" i="20"/>
  <c r="U739" i="20" s="1"/>
  <c r="N742" i="20"/>
  <c r="O742" i="20" s="1"/>
  <c r="N749" i="20"/>
  <c r="O749" i="20" s="1"/>
  <c r="AB749" i="20"/>
  <c r="Z762" i="20"/>
  <c r="J762" i="20" s="1"/>
  <c r="Y762" i="20"/>
  <c r="M769" i="20"/>
  <c r="Z775" i="20"/>
  <c r="T794" i="20"/>
  <c r="U794" i="20" s="1"/>
  <c r="J794" i="20" s="1"/>
  <c r="P794" i="20" s="1"/>
  <c r="T808" i="20"/>
  <c r="T817" i="20"/>
  <c r="Q830" i="20"/>
  <c r="Z862" i="20"/>
  <c r="J862" i="20" s="1"/>
  <c r="Y862" i="20"/>
  <c r="Z873" i="20"/>
  <c r="J873" i="20" s="1"/>
  <c r="Y873" i="20"/>
  <c r="Z880" i="20"/>
  <c r="J880" i="20" s="1"/>
  <c r="P891" i="20"/>
  <c r="AB891" i="20"/>
  <c r="N891" i="20"/>
  <c r="O891" i="20" s="1"/>
  <c r="T934" i="20"/>
  <c r="Y979" i="20"/>
  <c r="T983" i="20"/>
  <c r="Z993" i="20"/>
  <c r="J993" i="20" s="1"/>
  <c r="P993" i="20" s="1"/>
  <c r="Y993" i="20"/>
  <c r="Y1046" i="20"/>
  <c r="Z1046" i="20"/>
  <c r="J1046" i="20" s="1"/>
  <c r="AB1226" i="20"/>
  <c r="N1226" i="20"/>
  <c r="O1226" i="20" s="1"/>
  <c r="M1318" i="20"/>
  <c r="L1318" i="20"/>
  <c r="Y1450" i="20"/>
  <c r="Z1450" i="20"/>
  <c r="J1450" i="20" s="1"/>
  <c r="AB1656" i="20"/>
  <c r="N1656" i="20"/>
  <c r="O1656" i="20" s="1"/>
  <c r="N578" i="20"/>
  <c r="O578" i="20" s="1"/>
  <c r="AC603" i="20"/>
  <c r="Q603" i="20"/>
  <c r="AC623" i="20"/>
  <c r="Q623" i="20"/>
  <c r="P644" i="20"/>
  <c r="N644" i="20"/>
  <c r="O644" i="20" s="1"/>
  <c r="Y657" i="20"/>
  <c r="Z657" i="20"/>
  <c r="J657" i="20" s="1"/>
  <c r="T716" i="20"/>
  <c r="U716" i="20" s="1"/>
  <c r="T719" i="20"/>
  <c r="U719" i="20" s="1"/>
  <c r="T723" i="20"/>
  <c r="U723" i="20" s="1"/>
  <c r="Z766" i="20"/>
  <c r="J766" i="20" s="1"/>
  <c r="P766" i="20" s="1"/>
  <c r="Y766" i="20"/>
  <c r="Q773" i="20"/>
  <c r="AC773" i="20"/>
  <c r="Z877" i="20"/>
  <c r="J877" i="20" s="1"/>
  <c r="Y877" i="20"/>
  <c r="Z884" i="20"/>
  <c r="J884" i="20" s="1"/>
  <c r="Y884" i="20"/>
  <c r="Z891" i="20"/>
  <c r="J891" i="20" s="1"/>
  <c r="Y891" i="20"/>
  <c r="M950" i="20"/>
  <c r="L950" i="20"/>
  <c r="Y997" i="20"/>
  <c r="Z997" i="20"/>
  <c r="J997" i="20" s="1"/>
  <c r="T1005" i="20"/>
  <c r="AB1066" i="20"/>
  <c r="N1066" i="20"/>
  <c r="O1066" i="20" s="1"/>
  <c r="Z1079" i="20"/>
  <c r="J1079" i="20" s="1"/>
  <c r="P1079" i="20" s="1"/>
  <c r="Y1079" i="20"/>
  <c r="T1150" i="20"/>
  <c r="N1262" i="20"/>
  <c r="O1262" i="20" s="1"/>
  <c r="AB1262" i="20"/>
  <c r="T1297" i="20"/>
  <c r="U1297" i="20" s="1"/>
  <c r="Z1318" i="20"/>
  <c r="J1318" i="20" s="1"/>
  <c r="Y1318" i="20"/>
  <c r="AB1588" i="20"/>
  <c r="N1588" i="20"/>
  <c r="O1588" i="20" s="1"/>
  <c r="Z1675" i="20"/>
  <c r="J1675" i="20" s="1"/>
  <c r="P1675" i="20" s="1"/>
  <c r="Y1675" i="20"/>
  <c r="P613" i="20"/>
  <c r="T620" i="20"/>
  <c r="P623" i="20"/>
  <c r="T633" i="20"/>
  <c r="J706" i="20"/>
  <c r="Z749" i="20"/>
  <c r="Y749" i="20"/>
  <c r="T759" i="20"/>
  <c r="U759" i="20" s="1"/>
  <c r="Z769" i="20"/>
  <c r="Y769" i="20"/>
  <c r="Q776" i="20"/>
  <c r="AC776" i="20"/>
  <c r="Y783" i="20"/>
  <c r="Z783" i="20"/>
  <c r="Z791" i="20"/>
  <c r="Y791" i="20"/>
  <c r="Q809" i="20"/>
  <c r="AC809" i="20"/>
  <c r="T821" i="20"/>
  <c r="Z827" i="20"/>
  <c r="J827" i="20" s="1"/>
  <c r="P827" i="20" s="1"/>
  <c r="Y827" i="20"/>
  <c r="Z830" i="20"/>
  <c r="J830" i="20" s="1"/>
  <c r="P830" i="20" s="1"/>
  <c r="Y830" i="20"/>
  <c r="AB910" i="20"/>
  <c r="Z917" i="20"/>
  <c r="J917" i="20" s="1"/>
  <c r="Y917" i="20"/>
  <c r="T950" i="20"/>
  <c r="N1025" i="20"/>
  <c r="O1025" i="20" s="1"/>
  <c r="AB1025" i="20"/>
  <c r="T1032" i="20"/>
  <c r="Q1036" i="20"/>
  <c r="AC1036" i="20"/>
  <c r="M1110" i="20"/>
  <c r="L1110" i="20"/>
  <c r="AB1208" i="20"/>
  <c r="N1208" i="20"/>
  <c r="O1208" i="20" s="1"/>
  <c r="Z1231" i="20"/>
  <c r="Y1231" i="20"/>
  <c r="AC1311" i="20"/>
  <c r="Q1311" i="20"/>
  <c r="Y1323" i="20"/>
  <c r="Z1323" i="20"/>
  <c r="J1323" i="20" s="1"/>
  <c r="Z1431" i="20"/>
  <c r="Y1431" i="20"/>
  <c r="AC1588" i="20"/>
  <c r="Q1588" i="20"/>
  <c r="AC720" i="20"/>
  <c r="Q720" i="20"/>
  <c r="Z733" i="20"/>
  <c r="J733" i="20" s="1"/>
  <c r="P733" i="20" s="1"/>
  <c r="Y733" i="20"/>
  <c r="T756" i="20"/>
  <c r="U756" i="20" s="1"/>
  <c r="J756" i="20" s="1"/>
  <c r="AC780" i="20"/>
  <c r="Q780" i="20"/>
  <c r="AC792" i="20"/>
  <c r="Q792" i="20"/>
  <c r="T844" i="20"/>
  <c r="Z857" i="20"/>
  <c r="J857" i="20" s="1"/>
  <c r="Y857" i="20"/>
  <c r="T910" i="20"/>
  <c r="AB914" i="20"/>
  <c r="N914" i="20"/>
  <c r="O914" i="20" s="1"/>
  <c r="N918" i="20"/>
  <c r="O918" i="20" s="1"/>
  <c r="AB918" i="20"/>
  <c r="P918" i="20"/>
  <c r="P961" i="20"/>
  <c r="N961" i="20"/>
  <c r="O961" i="20" s="1"/>
  <c r="AB961" i="20"/>
  <c r="M969" i="20"/>
  <c r="L969" i="20"/>
  <c r="T1025" i="20"/>
  <c r="T1129" i="20"/>
  <c r="Z1138" i="20"/>
  <c r="Y1138" i="20"/>
  <c r="Z1287" i="20"/>
  <c r="Y1287" i="20"/>
  <c r="Z1292" i="20"/>
  <c r="J1292" i="20" s="1"/>
  <c r="Y1292" i="20"/>
  <c r="Z1773" i="20"/>
  <c r="J1773" i="20" s="1"/>
  <c r="Y1773" i="20"/>
  <c r="N650" i="20"/>
  <c r="O650" i="20" s="1"/>
  <c r="AB650" i="20"/>
  <c r="AC668" i="20"/>
  <c r="P671" i="20"/>
  <c r="N780" i="20"/>
  <c r="O780" i="20" s="1"/>
  <c r="AC784" i="20"/>
  <c r="Q784" i="20"/>
  <c r="P825" i="20"/>
  <c r="T895" i="20"/>
  <c r="Z906" i="20"/>
  <c r="J906" i="20" s="1"/>
  <c r="P906" i="20" s="1"/>
  <c r="Y906" i="20"/>
  <c r="AC961" i="20"/>
  <c r="Q961" i="20"/>
  <c r="T1021" i="20"/>
  <c r="M1218" i="20"/>
  <c r="L1218" i="20"/>
  <c r="M228" i="20"/>
  <c r="L228" i="20"/>
  <c r="P358" i="20"/>
  <c r="T494" i="20"/>
  <c r="Z516" i="20"/>
  <c r="J516" i="20" s="1"/>
  <c r="Y516" i="20"/>
  <c r="N554" i="20"/>
  <c r="O554" i="20" s="1"/>
  <c r="Z603" i="20"/>
  <c r="J603" i="20" s="1"/>
  <c r="Y603" i="20"/>
  <c r="AC616" i="20"/>
  <c r="Q616" i="20"/>
  <c r="P650" i="20"/>
  <c r="AB677" i="20"/>
  <c r="P677" i="20"/>
  <c r="N677" i="20"/>
  <c r="O677" i="20" s="1"/>
  <c r="N714" i="20"/>
  <c r="O714" i="20" s="1"/>
  <c r="Z740" i="20"/>
  <c r="J740" i="20" s="1"/>
  <c r="Y740" i="20"/>
  <c r="T799" i="20"/>
  <c r="U799" i="20" s="1"/>
  <c r="M803" i="20"/>
  <c r="L803" i="20"/>
  <c r="AC851" i="20"/>
  <c r="Q851" i="20"/>
  <c r="N851" i="20"/>
  <c r="O851" i="20" s="1"/>
  <c r="T903" i="20"/>
  <c r="AC958" i="20"/>
  <c r="Q958" i="20"/>
  <c r="Z969" i="20"/>
  <c r="J969" i="20" s="1"/>
  <c r="Y969" i="20"/>
  <c r="Z1009" i="20"/>
  <c r="J1009" i="20" s="1"/>
  <c r="Y1009" i="20"/>
  <c r="Y1021" i="20"/>
  <c r="Z1021" i="20"/>
  <c r="J1021" i="20" s="1"/>
  <c r="Y1123" i="20"/>
  <c r="Z1123" i="20"/>
  <c r="T1155" i="20"/>
  <c r="AC1288" i="20"/>
  <c r="Q1288" i="20"/>
  <c r="AC1354" i="20"/>
  <c r="N1354" i="20"/>
  <c r="O1354" i="20" s="1"/>
  <c r="Q1354" i="20"/>
  <c r="AB1452" i="20"/>
  <c r="P1452" i="20"/>
  <c r="N1452" i="20"/>
  <c r="O1452" i="20" s="1"/>
  <c r="Z1928" i="20"/>
  <c r="Y1928" i="20"/>
  <c r="T263" i="20"/>
  <c r="M292" i="20"/>
  <c r="L292" i="20"/>
  <c r="AB303" i="20"/>
  <c r="N356" i="20"/>
  <c r="O356" i="20" s="1"/>
  <c r="AB533" i="20"/>
  <c r="Q554" i="20"/>
  <c r="AC554" i="20"/>
  <c r="P564" i="20"/>
  <c r="N564" i="20"/>
  <c r="O564" i="20" s="1"/>
  <c r="L586" i="20"/>
  <c r="M586" i="20"/>
  <c r="T601" i="20"/>
  <c r="U601" i="20" s="1"/>
  <c r="P616" i="20"/>
  <c r="AB616" i="20"/>
  <c r="Z618" i="20"/>
  <c r="J618" i="20" s="1"/>
  <c r="Y618" i="20"/>
  <c r="AB634" i="20"/>
  <c r="P634" i="20"/>
  <c r="Z647" i="20"/>
  <c r="J647" i="20" s="1"/>
  <c r="Y647" i="20"/>
  <c r="Q674" i="20"/>
  <c r="AB686" i="20"/>
  <c r="P686" i="20"/>
  <c r="N686" i="20"/>
  <c r="O686" i="20" s="1"/>
  <c r="T698" i="20"/>
  <c r="Q701" i="20"/>
  <c r="T704" i="20"/>
  <c r="U704" i="20" s="1"/>
  <c r="J727" i="20"/>
  <c r="J770" i="20"/>
  <c r="Z818" i="20"/>
  <c r="J818" i="20" s="1"/>
  <c r="Y818" i="20"/>
  <c r="P864" i="20"/>
  <c r="Y921" i="20"/>
  <c r="Z921" i="20"/>
  <c r="J921" i="20" s="1"/>
  <c r="AC947" i="20"/>
  <c r="Q947" i="20"/>
  <c r="Z1029" i="20"/>
  <c r="J1029" i="20" s="1"/>
  <c r="P1029" i="20" s="1"/>
  <c r="Y1029" i="20"/>
  <c r="Z1084" i="20"/>
  <c r="J1084" i="20" s="1"/>
  <c r="P1084" i="20" s="1"/>
  <c r="Y1084" i="20"/>
  <c r="Z1151" i="20"/>
  <c r="Y1151" i="20"/>
  <c r="T1178" i="20"/>
  <c r="T1209" i="20"/>
  <c r="U1209" i="20" s="1"/>
  <c r="Z1465" i="20"/>
  <c r="J1465" i="20" s="1"/>
  <c r="P1465" i="20" s="1"/>
  <c r="Z1485" i="20"/>
  <c r="J1485" i="20" s="1"/>
  <c r="Y1485" i="20"/>
  <c r="Y1545" i="20"/>
  <c r="Z1545" i="20"/>
  <c r="J1545" i="20" s="1"/>
  <c r="P1545" i="20" s="1"/>
  <c r="Y1558" i="20"/>
  <c r="Z1558" i="20"/>
  <c r="J1558" i="20" s="1"/>
  <c r="P1558" i="20" s="1"/>
  <c r="T290" i="20"/>
  <c r="T327" i="20"/>
  <c r="M400" i="20"/>
  <c r="L400" i="20"/>
  <c r="N596" i="20"/>
  <c r="O596" i="20" s="1"/>
  <c r="AB596" i="20"/>
  <c r="Z601" i="20"/>
  <c r="Y601" i="20"/>
  <c r="T621" i="20"/>
  <c r="Z720" i="20"/>
  <c r="J720" i="20" s="1"/>
  <c r="Y720" i="20"/>
  <c r="Z753" i="20"/>
  <c r="Y753" i="20"/>
  <c r="Z828" i="20"/>
  <c r="J828" i="20" s="1"/>
  <c r="Y828" i="20"/>
  <c r="T864" i="20"/>
  <c r="AC875" i="20"/>
  <c r="N875" i="20"/>
  <c r="O875" i="20" s="1"/>
  <c r="T882" i="20"/>
  <c r="Q915" i="20"/>
  <c r="AC915" i="20"/>
  <c r="AC929" i="20"/>
  <c r="Q929" i="20"/>
  <c r="Z939" i="20"/>
  <c r="J939" i="20" s="1"/>
  <c r="Y939" i="20"/>
  <c r="M1010" i="20"/>
  <c r="L1010" i="20"/>
  <c r="Z1033" i="20"/>
  <c r="J1033" i="20" s="1"/>
  <c r="Y1033" i="20"/>
  <c r="Y1067" i="20"/>
  <c r="Z1067" i="20"/>
  <c r="J1067" i="20" s="1"/>
  <c r="P1067" i="20" s="1"/>
  <c r="Y1107" i="20"/>
  <c r="Z1107" i="20"/>
  <c r="M1204" i="20"/>
  <c r="L1204" i="20"/>
  <c r="Z1362" i="20"/>
  <c r="J1362" i="20" s="1"/>
  <c r="Y1362" i="20"/>
  <c r="Y1389" i="20"/>
  <c r="Z1389" i="20"/>
  <c r="J1389" i="20" s="1"/>
  <c r="M260" i="20"/>
  <c r="L260" i="20"/>
  <c r="L366" i="20"/>
  <c r="M368" i="20"/>
  <c r="L368" i="20"/>
  <c r="L376" i="20"/>
  <c r="L382" i="20"/>
  <c r="L384" i="20"/>
  <c r="L392" i="20"/>
  <c r="L398" i="20"/>
  <c r="Z463" i="20"/>
  <c r="Y463" i="20"/>
  <c r="L478" i="20"/>
  <c r="M512" i="20"/>
  <c r="L526" i="20"/>
  <c r="T540" i="20"/>
  <c r="U540" i="20" s="1"/>
  <c r="T545" i="20"/>
  <c r="U545" i="20" s="1"/>
  <c r="J545" i="20" s="1"/>
  <c r="P545" i="20" s="1"/>
  <c r="T554" i="20"/>
  <c r="U554" i="20" s="1"/>
  <c r="J554" i="20" s="1"/>
  <c r="P554" i="20" s="1"/>
  <c r="N581" i="20"/>
  <c r="O581" i="20" s="1"/>
  <c r="Z583" i="20"/>
  <c r="M596" i="20"/>
  <c r="M624" i="20"/>
  <c r="L624" i="20"/>
  <c r="T634" i="20"/>
  <c r="Y658" i="20"/>
  <c r="T686" i="20"/>
  <c r="AB704" i="20"/>
  <c r="Q714" i="20"/>
  <c r="AC727" i="20"/>
  <c r="M848" i="20"/>
  <c r="Q868" i="20"/>
  <c r="Q875" i="20"/>
  <c r="P889" i="20"/>
  <c r="J896" i="20"/>
  <c r="P896" i="20" s="1"/>
  <c r="AC900" i="20"/>
  <c r="Q900" i="20"/>
  <c r="Y903" i="20"/>
  <c r="Q995" i="20"/>
  <c r="AC995" i="20"/>
  <c r="N995" i="20"/>
  <c r="O995" i="20" s="1"/>
  <c r="Z1037" i="20"/>
  <c r="J1037" i="20" s="1"/>
  <c r="P1037" i="20" s="1"/>
  <c r="Y1037" i="20"/>
  <c r="Z1048" i="20"/>
  <c r="J1048" i="20" s="1"/>
  <c r="Y1048" i="20"/>
  <c r="T1072" i="20"/>
  <c r="P1152" i="20"/>
  <c r="N1152" i="20"/>
  <c r="AB1152" i="20"/>
  <c r="N1264" i="20"/>
  <c r="O1264" i="20" s="1"/>
  <c r="AB1264" i="20"/>
  <c r="Z1269" i="20"/>
  <c r="AC1433" i="20"/>
  <c r="Q1433" i="20"/>
  <c r="Z1512" i="20"/>
  <c r="J1512" i="20" s="1"/>
  <c r="P1512" i="20" s="1"/>
  <c r="Y1512" i="20"/>
  <c r="AB207" i="20"/>
  <c r="P303" i="20"/>
  <c r="P307" i="20"/>
  <c r="T354" i="20"/>
  <c r="AB364" i="20"/>
  <c r="P372" i="20"/>
  <c r="N372" i="20"/>
  <c r="O372" i="20" s="1"/>
  <c r="AB380" i="20"/>
  <c r="Z492" i="20"/>
  <c r="Y492" i="20"/>
  <c r="Z523" i="20"/>
  <c r="Y523" i="20"/>
  <c r="N569" i="20"/>
  <c r="O569" i="20" s="1"/>
  <c r="P574" i="20"/>
  <c r="AB574" i="20"/>
  <c r="T596" i="20"/>
  <c r="U596" i="20" s="1"/>
  <c r="L640" i="20"/>
  <c r="M640" i="20"/>
  <c r="N645" i="20"/>
  <c r="O645" i="20" s="1"/>
  <c r="Z661" i="20"/>
  <c r="J661" i="20" s="1"/>
  <c r="Y661" i="20"/>
  <c r="T669" i="20"/>
  <c r="Z674" i="20"/>
  <c r="J674" i="20" s="1"/>
  <c r="Y674" i="20"/>
  <c r="Z677" i="20"/>
  <c r="J677" i="20" s="1"/>
  <c r="Y677" i="20"/>
  <c r="M708" i="20"/>
  <c r="L708" i="20"/>
  <c r="Q721" i="20"/>
  <c r="AC721" i="20"/>
  <c r="Z750" i="20"/>
  <c r="Y750" i="20"/>
  <c r="M774" i="20"/>
  <c r="L774" i="20"/>
  <c r="T807" i="20"/>
  <c r="Y812" i="20"/>
  <c r="Z812" i="20"/>
  <c r="J812" i="20" s="1"/>
  <c r="P812" i="20" s="1"/>
  <c r="T819" i="20"/>
  <c r="Z822" i="20"/>
  <c r="J822" i="20" s="1"/>
  <c r="Y822" i="20"/>
  <c r="AC832" i="20"/>
  <c r="Q832" i="20"/>
  <c r="N832" i="20"/>
  <c r="O832" i="20" s="1"/>
  <c r="P835" i="20"/>
  <c r="N848" i="20"/>
  <c r="O848" i="20" s="1"/>
  <c r="Z858" i="20"/>
  <c r="J858" i="20" s="1"/>
  <c r="Y858" i="20"/>
  <c r="T868" i="20"/>
  <c r="Q889" i="20"/>
  <c r="Y907" i="20"/>
  <c r="Z907" i="20"/>
  <c r="J907" i="20" s="1"/>
  <c r="T925" i="20"/>
  <c r="Z947" i="20"/>
  <c r="J947" i="20" s="1"/>
  <c r="Y947" i="20"/>
  <c r="Y981" i="20"/>
  <c r="Z981" i="20"/>
  <c r="J981" i="20" s="1"/>
  <c r="T999" i="20"/>
  <c r="Z1014" i="20"/>
  <c r="J1014" i="20" s="1"/>
  <c r="P1014" i="20" s="1"/>
  <c r="Y1014" i="20"/>
  <c r="P1081" i="20"/>
  <c r="AB1081" i="20"/>
  <c r="N1081" i="20"/>
  <c r="O1081" i="20" s="1"/>
  <c r="AB1085" i="20"/>
  <c r="N1085" i="20"/>
  <c r="O1085" i="20" s="1"/>
  <c r="T1104" i="20"/>
  <c r="Z1127" i="20"/>
  <c r="Y1127" i="20"/>
  <c r="AC1320" i="20"/>
  <c r="Q1320" i="20"/>
  <c r="N1320" i="20"/>
  <c r="O1320" i="20" s="1"/>
  <c r="AC1342" i="20"/>
  <c r="Q1342" i="20"/>
  <c r="Q1643" i="20"/>
  <c r="N1643" i="20"/>
  <c r="AC1643" i="20"/>
  <c r="Z2796" i="20"/>
  <c r="Z1631" i="20"/>
  <c r="Z1731" i="20"/>
  <c r="J1731" i="20" s="1"/>
  <c r="Z1727" i="20"/>
  <c r="J1727" i="20" s="1"/>
  <c r="P1727" i="20" s="1"/>
  <c r="L153" i="20"/>
  <c r="T258" i="20"/>
  <c r="L320" i="20"/>
  <c r="L333" i="20"/>
  <c r="L388" i="20"/>
  <c r="N390" i="20"/>
  <c r="O390" i="20" s="1"/>
  <c r="AC406" i="20"/>
  <c r="Q406" i="20"/>
  <c r="L408" i="20"/>
  <c r="L414" i="20"/>
  <c r="L444" i="20"/>
  <c r="Y461" i="20"/>
  <c r="L472" i="20"/>
  <c r="Z514" i="20"/>
  <c r="N517" i="20"/>
  <c r="O517" i="20" s="1"/>
  <c r="Y528" i="20"/>
  <c r="Y535" i="20"/>
  <c r="M538" i="20"/>
  <c r="L538" i="20"/>
  <c r="Z540" i="20"/>
  <c r="J540" i="20" s="1"/>
  <c r="P540" i="20" s="1"/>
  <c r="N543" i="20"/>
  <c r="O543" i="20" s="1"/>
  <c r="N550" i="20"/>
  <c r="O550" i="20" s="1"/>
  <c r="T569" i="20"/>
  <c r="U569" i="20" s="1"/>
  <c r="J569" i="20" s="1"/>
  <c r="P569" i="20" s="1"/>
  <c r="Y571" i="20"/>
  <c r="M574" i="20"/>
  <c r="AB599" i="20"/>
  <c r="Z616" i="20"/>
  <c r="J616" i="20" s="1"/>
  <c r="Y616" i="20"/>
  <c r="Z634" i="20"/>
  <c r="J634" i="20" s="1"/>
  <c r="Y634" i="20"/>
  <c r="Q648" i="20"/>
  <c r="AC648" i="20"/>
  <c r="N672" i="20"/>
  <c r="O672" i="20" s="1"/>
  <c r="Z686" i="20"/>
  <c r="J686" i="20" s="1"/>
  <c r="Y686" i="20"/>
  <c r="L721" i="20"/>
  <c r="P771" i="20"/>
  <c r="N771" i="20"/>
  <c r="O771" i="20" s="1"/>
  <c r="Y803" i="20"/>
  <c r="T832" i="20"/>
  <c r="M839" i="20"/>
  <c r="L839" i="20"/>
  <c r="P879" i="20"/>
  <c r="AB879" i="20"/>
  <c r="N879" i="20"/>
  <c r="O879" i="20" s="1"/>
  <c r="N919" i="20"/>
  <c r="O919" i="20" s="1"/>
  <c r="T922" i="20"/>
  <c r="Z974" i="20"/>
  <c r="J974" i="20" s="1"/>
  <c r="P974" i="20" s="1"/>
  <c r="AB985" i="20"/>
  <c r="N985" i="20"/>
  <c r="O985" i="20" s="1"/>
  <c r="Z1010" i="20"/>
  <c r="J1010" i="20" s="1"/>
  <c r="Y1010" i="20"/>
  <c r="AC1048" i="20"/>
  <c r="AC1085" i="20"/>
  <c r="Q1085" i="20"/>
  <c r="Z1159" i="20"/>
  <c r="Y1159" i="20"/>
  <c r="AC1238" i="20"/>
  <c r="Q1238" i="20"/>
  <c r="Q1333" i="20"/>
  <c r="AC1333" i="20"/>
  <c r="Z1747" i="20"/>
  <c r="J1747" i="20" s="1"/>
  <c r="Y1747" i="20"/>
  <c r="N207" i="20"/>
  <c r="O207" i="20" s="1"/>
  <c r="AB296" i="20"/>
  <c r="N307" i="20"/>
  <c r="O307" i="20" s="1"/>
  <c r="AB335" i="20"/>
  <c r="N364" i="20"/>
  <c r="O364" i="20" s="1"/>
  <c r="P370" i="20"/>
  <c r="N380" i="20"/>
  <c r="O380" i="20" s="1"/>
  <c r="AB386" i="20"/>
  <c r="P386" i="20"/>
  <c r="Q402" i="20"/>
  <c r="N404" i="20"/>
  <c r="N406" i="20"/>
  <c r="T480" i="20"/>
  <c r="N510" i="20"/>
  <c r="O510" i="20" s="1"/>
  <c r="T526" i="20"/>
  <c r="U526" i="20" s="1"/>
  <c r="N562" i="20"/>
  <c r="O562" i="20" s="1"/>
  <c r="M584" i="20"/>
  <c r="L584" i="20"/>
  <c r="P614" i="20"/>
  <c r="N614" i="20"/>
  <c r="O614" i="20" s="1"/>
  <c r="T645" i="20"/>
  <c r="P648" i="20"/>
  <c r="AB648" i="20"/>
  <c r="AB658" i="20"/>
  <c r="Z669" i="20"/>
  <c r="J669" i="20" s="1"/>
  <c r="Y669" i="20"/>
  <c r="AB705" i="20"/>
  <c r="P705" i="20"/>
  <c r="P728" i="20"/>
  <c r="AB728" i="20"/>
  <c r="Z760" i="20"/>
  <c r="Y760" i="20"/>
  <c r="Q771" i="20"/>
  <c r="AC771" i="20"/>
  <c r="P785" i="20"/>
  <c r="AB785" i="20"/>
  <c r="N785" i="20"/>
  <c r="O785" i="20" s="1"/>
  <c r="M789" i="20"/>
  <c r="L789" i="20"/>
  <c r="T796" i="20"/>
  <c r="U796" i="20" s="1"/>
  <c r="T816" i="20"/>
  <c r="T835" i="20"/>
  <c r="T861" i="20"/>
  <c r="Z868" i="20"/>
  <c r="J868" i="20" s="1"/>
  <c r="Y868" i="20"/>
  <c r="Q872" i="20"/>
  <c r="Q879" i="20"/>
  <c r="AC879" i="20"/>
  <c r="N886" i="20"/>
  <c r="O886" i="20" s="1"/>
  <c r="Z915" i="20"/>
  <c r="J915" i="20" s="1"/>
  <c r="Y915" i="20"/>
  <c r="Z929" i="20"/>
  <c r="J929" i="20" s="1"/>
  <c r="P929" i="20" s="1"/>
  <c r="Y929" i="20"/>
  <c r="Q933" i="20"/>
  <c r="AC933" i="20"/>
  <c r="Z936" i="20"/>
  <c r="J936" i="20" s="1"/>
  <c r="Y936" i="20"/>
  <c r="L992" i="20"/>
  <c r="M992" i="20"/>
  <c r="AC1015" i="20"/>
  <c r="Q1015" i="20"/>
  <c r="AC1049" i="20"/>
  <c r="Q1049" i="20"/>
  <c r="Z1130" i="20"/>
  <c r="Y1130" i="20"/>
  <c r="T1219" i="20"/>
  <c r="U1219" i="20" s="1"/>
  <c r="T1259" i="20"/>
  <c r="U1259" i="20" s="1"/>
  <c r="T1294" i="20"/>
  <c r="U1294" i="20" s="1"/>
  <c r="Z1433" i="20"/>
  <c r="Y1433" i="20"/>
  <c r="Z1448" i="20"/>
  <c r="Y1448" i="20"/>
  <c r="Q1573" i="20"/>
  <c r="AC1573" i="20"/>
  <c r="N1573" i="20"/>
  <c r="O1573" i="20" s="1"/>
  <c r="L1712" i="20"/>
  <c r="M1712" i="20"/>
  <c r="Z2486" i="20"/>
  <c r="J2486" i="20" s="1"/>
  <c r="Z2240" i="20"/>
  <c r="J2240" i="20" s="1"/>
  <c r="Z2176" i="20"/>
  <c r="Z2216" i="20"/>
  <c r="J2216" i="20" s="1"/>
  <c r="Z219" i="20"/>
  <c r="J219" i="20" s="1"/>
  <c r="P219" i="20" s="1"/>
  <c r="N341" i="20"/>
  <c r="O341" i="20" s="1"/>
  <c r="P442" i="20"/>
  <c r="N442" i="20"/>
  <c r="M474" i="20"/>
  <c r="L474" i="20"/>
  <c r="M567" i="20"/>
  <c r="L567" i="20"/>
  <c r="T581" i="20"/>
  <c r="U581" i="20" s="1"/>
  <c r="T589" i="20"/>
  <c r="U589" i="20" s="1"/>
  <c r="M594" i="20"/>
  <c r="L594" i="20"/>
  <c r="N599" i="20"/>
  <c r="O599" i="20" s="1"/>
  <c r="Q614" i="20"/>
  <c r="AC614" i="20"/>
  <c r="M632" i="20"/>
  <c r="L632" i="20"/>
  <c r="N648" i="20"/>
  <c r="O648" i="20" s="1"/>
  <c r="T672" i="20"/>
  <c r="Z683" i="20"/>
  <c r="J683" i="20" s="1"/>
  <c r="Y683" i="20"/>
  <c r="L725" i="20"/>
  <c r="Q744" i="20"/>
  <c r="AC744" i="20"/>
  <c r="Y764" i="20"/>
  <c r="Z764" i="20"/>
  <c r="T771" i="20"/>
  <c r="U771" i="20" s="1"/>
  <c r="Z796" i="20"/>
  <c r="J796" i="20" s="1"/>
  <c r="Y796" i="20"/>
  <c r="Y800" i="20"/>
  <c r="Y875" i="20"/>
  <c r="Z875" i="20"/>
  <c r="J875" i="20" s="1"/>
  <c r="P875" i="20" s="1"/>
  <c r="P886" i="20"/>
  <c r="T893" i="20"/>
  <c r="L933" i="20"/>
  <c r="P985" i="20"/>
  <c r="Y988" i="20"/>
  <c r="Z988" i="20"/>
  <c r="J988" i="20" s="1"/>
  <c r="P988" i="20" s="1"/>
  <c r="N1007" i="20"/>
  <c r="O1007" i="20" s="1"/>
  <c r="L1049" i="20"/>
  <c r="Q1064" i="20"/>
  <c r="AC1064" i="20"/>
  <c r="AB1143" i="20"/>
  <c r="P1143" i="20"/>
  <c r="N1143" i="20"/>
  <c r="Z1316" i="20"/>
  <c r="J1316" i="20" s="1"/>
  <c r="Y1316" i="20"/>
  <c r="T760" i="20"/>
  <c r="U760" i="20" s="1"/>
  <c r="N766" i="20"/>
  <c r="O766" i="20" s="1"/>
  <c r="M796" i="20"/>
  <c r="L796" i="20"/>
  <c r="T804" i="20"/>
  <c r="AC820" i="20"/>
  <c r="Q820" i="20"/>
  <c r="Q843" i="20"/>
  <c r="N843" i="20"/>
  <c r="O843" i="20" s="1"/>
  <c r="T1039" i="20"/>
  <c r="AC1093" i="20"/>
  <c r="Q1093" i="20"/>
  <c r="T1100" i="20"/>
  <c r="T1110" i="20"/>
  <c r="T1156" i="20"/>
  <c r="AC1226" i="20"/>
  <c r="Q1226" i="20"/>
  <c r="Y1383" i="20"/>
  <c r="Z1383" i="20"/>
  <c r="J1383" i="20" s="1"/>
  <c r="N1410" i="20"/>
  <c r="O1410" i="20" s="1"/>
  <c r="AB1410" i="20"/>
  <c r="Z1562" i="20"/>
  <c r="J1562" i="20" s="1"/>
  <c r="Y1562" i="20"/>
  <c r="Z964" i="20"/>
  <c r="J964" i="20" s="1"/>
  <c r="P964" i="20" s="1"/>
  <c r="Y964" i="20"/>
  <c r="Z1004" i="20"/>
  <c r="J1004" i="20" s="1"/>
  <c r="Y1004" i="20"/>
  <c r="T1011" i="20"/>
  <c r="L1022" i="20"/>
  <c r="M1022" i="20"/>
  <c r="N1107" i="20"/>
  <c r="AB1107" i="20"/>
  <c r="T1221" i="20"/>
  <c r="U1221" i="20" s="1"/>
  <c r="N1249" i="20"/>
  <c r="O1249" i="20" s="1"/>
  <c r="AB1249" i="20"/>
  <c r="AB1400" i="20"/>
  <c r="P1400" i="20"/>
  <c r="N1400" i="20"/>
  <c r="O1400" i="20" s="1"/>
  <c r="Q1410" i="20"/>
  <c r="AC1410" i="20"/>
  <c r="Z1542" i="20"/>
  <c r="J1542" i="20" s="1"/>
  <c r="P1542" i="20" s="1"/>
  <c r="Y1542" i="20"/>
  <c r="M1737" i="20"/>
  <c r="L1737" i="20"/>
  <c r="Y1100" i="20"/>
  <c r="Z1100" i="20"/>
  <c r="J1100" i="20" s="1"/>
  <c r="P1100" i="20" s="1"/>
  <c r="AC1107" i="20"/>
  <c r="Q1107" i="20"/>
  <c r="Z1113" i="20"/>
  <c r="Y1113" i="20"/>
  <c r="M1141" i="20"/>
  <c r="L1141" i="20"/>
  <c r="Q1160" i="20"/>
  <c r="AC1160" i="20"/>
  <c r="Y1213" i="20"/>
  <c r="Z1213" i="20"/>
  <c r="Z1259" i="20"/>
  <c r="J1259" i="20" s="1"/>
  <c r="P1259" i="20" s="1"/>
  <c r="Y1259" i="20"/>
  <c r="Z1283" i="20"/>
  <c r="Y1283" i="20"/>
  <c r="Z1340" i="20"/>
  <c r="J1340" i="20" s="1"/>
  <c r="Y1340" i="20"/>
  <c r="Z1705" i="20"/>
  <c r="J1705" i="20" s="1"/>
  <c r="Y1705" i="20"/>
  <c r="N802" i="20"/>
  <c r="O802" i="20" s="1"/>
  <c r="J864" i="20"/>
  <c r="Z867" i="20"/>
  <c r="J867" i="20" s="1"/>
  <c r="Y867" i="20"/>
  <c r="Z889" i="20"/>
  <c r="J889" i="20" s="1"/>
  <c r="Y889" i="20"/>
  <c r="Y910" i="20"/>
  <c r="Z910" i="20"/>
  <c r="J910" i="20" s="1"/>
  <c r="P910" i="20" s="1"/>
  <c r="T945" i="20"/>
  <c r="N979" i="20"/>
  <c r="O979" i="20" s="1"/>
  <c r="AB988" i="20"/>
  <c r="N988" i="20"/>
  <c r="O988" i="20" s="1"/>
  <c r="M1082" i="20"/>
  <c r="L1082" i="20"/>
  <c r="M1086" i="20"/>
  <c r="L1086" i="20"/>
  <c r="M1097" i="20"/>
  <c r="L1097" i="20"/>
  <c r="Z1110" i="20"/>
  <c r="Y1116" i="20"/>
  <c r="Z1156" i="20"/>
  <c r="Y1156" i="20"/>
  <c r="AC1185" i="20"/>
  <c r="Q1185" i="20"/>
  <c r="Z1200" i="20"/>
  <c r="Z1410" i="20"/>
  <c r="Y1410" i="20"/>
  <c r="Z1486" i="20"/>
  <c r="J1486" i="20" s="1"/>
  <c r="Y1486" i="20"/>
  <c r="N1546" i="20"/>
  <c r="O1546" i="20" s="1"/>
  <c r="AB1546" i="20"/>
  <c r="N734" i="20"/>
  <c r="O734" i="20" s="1"/>
  <c r="Z747" i="20"/>
  <c r="J747" i="20" s="1"/>
  <c r="P747" i="20" s="1"/>
  <c r="Y747" i="20"/>
  <c r="Z752" i="20"/>
  <c r="Y752" i="20"/>
  <c r="Z833" i="20"/>
  <c r="J833" i="20" s="1"/>
  <c r="P833" i="20" s="1"/>
  <c r="Y833" i="20"/>
  <c r="N836" i="20"/>
  <c r="O836" i="20" s="1"/>
  <c r="Z843" i="20"/>
  <c r="J843" i="20" s="1"/>
  <c r="Y843" i="20"/>
  <c r="Z848" i="20"/>
  <c r="J848" i="20" s="1"/>
  <c r="P848" i="20" s="1"/>
  <c r="Y851" i="20"/>
  <c r="Z851" i="20"/>
  <c r="J851" i="20" s="1"/>
  <c r="Y864" i="20"/>
  <c r="Z895" i="20"/>
  <c r="J895" i="20" s="1"/>
  <c r="AB904" i="20"/>
  <c r="Y925" i="20"/>
  <c r="T935" i="20"/>
  <c r="Z1022" i="20"/>
  <c r="J1022" i="20" s="1"/>
  <c r="Y1022" i="20"/>
  <c r="AB1036" i="20"/>
  <c r="N1036" i="20"/>
  <c r="O1036" i="20" s="1"/>
  <c r="P1036" i="20"/>
  <c r="N1063" i="20"/>
  <c r="O1063" i="20" s="1"/>
  <c r="T1082" i="20"/>
  <c r="P1107" i="20"/>
  <c r="AC1153" i="20"/>
  <c r="Q1153" i="20"/>
  <c r="T1231" i="20"/>
  <c r="U1231" i="20" s="1"/>
  <c r="AB1240" i="20"/>
  <c r="N1240" i="20"/>
  <c r="O1240" i="20" s="1"/>
  <c r="T1249" i="20"/>
  <c r="U1249" i="20" s="1"/>
  <c r="AB1265" i="20"/>
  <c r="N1265" i="20"/>
  <c r="O1265" i="20" s="1"/>
  <c r="L1416" i="20"/>
  <c r="Z1504" i="20"/>
  <c r="J1504" i="20" s="1"/>
  <c r="Y1504" i="20"/>
  <c r="Z1697" i="20"/>
  <c r="Y1697" i="20"/>
  <c r="L1742" i="20"/>
  <c r="M1742" i="20"/>
  <c r="AC742" i="20"/>
  <c r="Q742" i="20"/>
  <c r="T758" i="20"/>
  <c r="U758" i="20" s="1"/>
  <c r="Q831" i="20"/>
  <c r="AC831" i="20"/>
  <c r="N857" i="20"/>
  <c r="O857" i="20" s="1"/>
  <c r="AB857" i="20"/>
  <c r="Y972" i="20"/>
  <c r="Z972" i="20"/>
  <c r="J972" i="20" s="1"/>
  <c r="T1036" i="20"/>
  <c r="AC1053" i="20"/>
  <c r="Q1053" i="20"/>
  <c r="AB1060" i="20"/>
  <c r="N1060" i="20"/>
  <c r="O1060" i="20" s="1"/>
  <c r="T1138" i="20"/>
  <c r="T1191" i="20"/>
  <c r="M1260" i="20"/>
  <c r="L1260" i="20"/>
  <c r="AB1308" i="20"/>
  <c r="P1308" i="20"/>
  <c r="N1308" i="20"/>
  <c r="O1308" i="20" s="1"/>
  <c r="Z1349" i="20"/>
  <c r="J1349" i="20" s="1"/>
  <c r="Y1349" i="20"/>
  <c r="P1358" i="20"/>
  <c r="N1358" i="20"/>
  <c r="O1358" i="20" s="1"/>
  <c r="AB1358" i="20"/>
  <c r="T1453" i="20"/>
  <c r="P780" i="20"/>
  <c r="T791" i="20"/>
  <c r="U791" i="20" s="1"/>
  <c r="M815" i="20"/>
  <c r="L815" i="20"/>
  <c r="T831" i="20"/>
  <c r="M862" i="20"/>
  <c r="L862" i="20"/>
  <c r="T896" i="20"/>
  <c r="T929" i="20"/>
  <c r="Z945" i="20"/>
  <c r="J945" i="20" s="1"/>
  <c r="P945" i="20" s="1"/>
  <c r="Y945" i="20"/>
  <c r="Q1012" i="20"/>
  <c r="AC1012" i="20"/>
  <c r="AB1016" i="20"/>
  <c r="N1016" i="20"/>
  <c r="O1016" i="20" s="1"/>
  <c r="Q1050" i="20"/>
  <c r="AC1050" i="20"/>
  <c r="T1067" i="20"/>
  <c r="AC1120" i="20"/>
  <c r="Q1120" i="20"/>
  <c r="T1123" i="20"/>
  <c r="M1176" i="20"/>
  <c r="L1176" i="20"/>
  <c r="Z1303" i="20"/>
  <c r="J1303" i="20" s="1"/>
  <c r="Y1303" i="20"/>
  <c r="T1380" i="20"/>
  <c r="AC1555" i="20"/>
  <c r="Q1555" i="20"/>
  <c r="N1555" i="20"/>
  <c r="O1555" i="20" s="1"/>
  <c r="Z1719" i="20"/>
  <c r="J1719" i="20" s="1"/>
  <c r="Y1719" i="20"/>
  <c r="Z1965" i="20"/>
  <c r="Y1965" i="20"/>
  <c r="Q655" i="20"/>
  <c r="N655" i="20"/>
  <c r="O655" i="20" s="1"/>
  <c r="N700" i="20"/>
  <c r="O700" i="20" s="1"/>
  <c r="Q726" i="20"/>
  <c r="T810" i="20"/>
  <c r="Q823" i="20"/>
  <c r="Q849" i="20"/>
  <c r="Q857" i="20"/>
  <c r="M899" i="20"/>
  <c r="L899" i="20"/>
  <c r="Z904" i="20"/>
  <c r="J904" i="20" s="1"/>
  <c r="Y904" i="20"/>
  <c r="T908" i="20"/>
  <c r="Z911" i="20"/>
  <c r="J911" i="20" s="1"/>
  <c r="Y911" i="20"/>
  <c r="T917" i="20"/>
  <c r="Z932" i="20"/>
  <c r="J932" i="20" s="1"/>
  <c r="P932" i="20" s="1"/>
  <c r="Y932" i="20"/>
  <c r="AB956" i="20"/>
  <c r="AC973" i="20"/>
  <c r="Q973" i="20"/>
  <c r="T1012" i="20"/>
  <c r="AB1063" i="20"/>
  <c r="T1120" i="20"/>
  <c r="AC1164" i="20"/>
  <c r="Q1164" i="20"/>
  <c r="Q1198" i="20"/>
  <c r="AC1198" i="20"/>
  <c r="Y1214" i="20"/>
  <c r="Z1214" i="20"/>
  <c r="N1236" i="20"/>
  <c r="O1236" i="20" s="1"/>
  <c r="AB1236" i="20"/>
  <c r="AB1261" i="20"/>
  <c r="N1261" i="20"/>
  <c r="O1261" i="20" s="1"/>
  <c r="AC1285" i="20"/>
  <c r="Q1285" i="20"/>
  <c r="T1369" i="20"/>
  <c r="Z1426" i="20"/>
  <c r="J1426" i="20" s="1"/>
  <c r="Y1426" i="20"/>
  <c r="Z1500" i="20"/>
  <c r="J1500" i="20" s="1"/>
  <c r="P1500" i="20" s="1"/>
  <c r="Y1500" i="20"/>
  <c r="AC1613" i="20"/>
  <c r="Q1613" i="20"/>
  <c r="M786" i="20"/>
  <c r="L786" i="20"/>
  <c r="T800" i="20"/>
  <c r="U800" i="20" s="1"/>
  <c r="J800" i="20" s="1"/>
  <c r="P834" i="20"/>
  <c r="Q852" i="20"/>
  <c r="T857" i="20"/>
  <c r="P860" i="20"/>
  <c r="N860" i="20"/>
  <c r="O860" i="20" s="1"/>
  <c r="L882" i="20"/>
  <c r="J890" i="20"/>
  <c r="M956" i="20"/>
  <c r="Y985" i="20"/>
  <c r="Z985" i="20"/>
  <c r="J985" i="20" s="1"/>
  <c r="T1016" i="20"/>
  <c r="T1057" i="20"/>
  <c r="Z1060" i="20"/>
  <c r="J1060" i="20" s="1"/>
  <c r="P1060" i="20" s="1"/>
  <c r="Y1060" i="20"/>
  <c r="T1090" i="20"/>
  <c r="J1271" i="20"/>
  <c r="T1280" i="20"/>
  <c r="U1280" i="20" s="1"/>
  <c r="J1299" i="20"/>
  <c r="AB1385" i="20"/>
  <c r="P1385" i="20"/>
  <c r="N1385" i="20"/>
  <c r="O1385" i="20" s="1"/>
  <c r="Z1683" i="20"/>
  <c r="Y1683" i="20"/>
  <c r="T579" i="20"/>
  <c r="U579" i="20" s="1"/>
  <c r="T618" i="20"/>
  <c r="M665" i="20"/>
  <c r="L665" i="20"/>
  <c r="M690" i="20"/>
  <c r="L690" i="20"/>
  <c r="T710" i="20"/>
  <c r="U710" i="20" s="1"/>
  <c r="J710" i="20" s="1"/>
  <c r="P710" i="20" s="1"/>
  <c r="N713" i="20"/>
  <c r="O713" i="20" s="1"/>
  <c r="T764" i="20"/>
  <c r="U764" i="20" s="1"/>
  <c r="Q829" i="20"/>
  <c r="AC829" i="20"/>
  <c r="AC927" i="20"/>
  <c r="Q927" i="20"/>
  <c r="Z946" i="20"/>
  <c r="J946" i="20" s="1"/>
  <c r="Y946" i="20"/>
  <c r="Z973" i="20"/>
  <c r="J973" i="20" s="1"/>
  <c r="Y973" i="20"/>
  <c r="N999" i="20"/>
  <c r="O999" i="20" s="1"/>
  <c r="P999" i="20"/>
  <c r="AC1043" i="20"/>
  <c r="T1068" i="20"/>
  <c r="T1127" i="20"/>
  <c r="Z1150" i="20"/>
  <c r="Y1150" i="20"/>
  <c r="AB1228" i="20"/>
  <c r="N1228" i="20"/>
  <c r="O1228" i="20" s="1"/>
  <c r="T1246" i="20"/>
  <c r="U1246" i="20" s="1"/>
  <c r="P1338" i="20"/>
  <c r="N1338" i="20"/>
  <c r="O1338" i="20" s="1"/>
  <c r="AB1338" i="20"/>
  <c r="T1393" i="20"/>
  <c r="L520" i="20"/>
  <c r="Z552" i="20"/>
  <c r="J552" i="20" s="1"/>
  <c r="P552" i="20" s="1"/>
  <c r="Y552" i="20"/>
  <c r="T679" i="20"/>
  <c r="T718" i="20"/>
  <c r="U718" i="20" s="1"/>
  <c r="N816" i="20"/>
  <c r="O816" i="20" s="1"/>
  <c r="J826" i="20"/>
  <c r="N847" i="20"/>
  <c r="O847" i="20" s="1"/>
  <c r="Y849" i="20"/>
  <c r="AC865" i="20"/>
  <c r="AC871" i="20"/>
  <c r="Q871" i="20"/>
  <c r="T879" i="20"/>
  <c r="Q882" i="20"/>
  <c r="Y914" i="20"/>
  <c r="Z914" i="20"/>
  <c r="J914" i="20" s="1"/>
  <c r="P914" i="20" s="1"/>
  <c r="AB1006" i="20"/>
  <c r="N1006" i="20"/>
  <c r="O1006" i="20" s="1"/>
  <c r="AB1095" i="20"/>
  <c r="N1095" i="20"/>
  <c r="O1095" i="20" s="1"/>
  <c r="P1095" i="20"/>
  <c r="Z1098" i="20"/>
  <c r="J1098" i="20" s="1"/>
  <c r="Y1098" i="20"/>
  <c r="Y1117" i="20"/>
  <c r="Z1117" i="20"/>
  <c r="Z1210" i="20"/>
  <c r="J1210" i="20" s="1"/>
  <c r="Y1210" i="20"/>
  <c r="AC1228" i="20"/>
  <c r="Q1228" i="20"/>
  <c r="T1241" i="20"/>
  <c r="U1241" i="20" s="1"/>
  <c r="Z1251" i="20"/>
  <c r="Y1251" i="20"/>
  <c r="Q1267" i="20"/>
  <c r="AC1267" i="20"/>
  <c r="Z1295" i="20"/>
  <c r="Y1295" i="20"/>
  <c r="T1342" i="20"/>
  <c r="T1603" i="20"/>
  <c r="Z605" i="20"/>
  <c r="J605" i="20" s="1"/>
  <c r="Y605" i="20"/>
  <c r="T721" i="20"/>
  <c r="U721" i="20" s="1"/>
  <c r="P727" i="20"/>
  <c r="N727" i="20"/>
  <c r="O727" i="20" s="1"/>
  <c r="T767" i="20"/>
  <c r="U767" i="20" s="1"/>
  <c r="T775" i="20"/>
  <c r="U775" i="20" s="1"/>
  <c r="P792" i="20"/>
  <c r="N792" i="20"/>
  <c r="O792" i="20" s="1"/>
  <c r="AB792" i="20"/>
  <c r="Y879" i="20"/>
  <c r="Z879" i="20"/>
  <c r="J879" i="20" s="1"/>
  <c r="Z905" i="20"/>
  <c r="J905" i="20" s="1"/>
  <c r="Y905" i="20"/>
  <c r="Q918" i="20"/>
  <c r="AC918" i="20"/>
  <c r="M943" i="20"/>
  <c r="L943" i="20"/>
  <c r="T986" i="20"/>
  <c r="AB1017" i="20"/>
  <c r="N1017" i="20"/>
  <c r="O1017" i="20" s="1"/>
  <c r="Q1024" i="20"/>
  <c r="AC1024" i="20"/>
  <c r="M1034" i="20"/>
  <c r="L1034" i="20"/>
  <c r="Q1044" i="20"/>
  <c r="AC1044" i="20"/>
  <c r="Y1068" i="20"/>
  <c r="Z1068" i="20"/>
  <c r="J1068" i="20" s="1"/>
  <c r="T1139" i="20"/>
  <c r="Z1154" i="20"/>
  <c r="Y1154" i="20"/>
  <c r="N1202" i="20"/>
  <c r="O1202" i="20" s="1"/>
  <c r="AB1202" i="20"/>
  <c r="Z1215" i="20"/>
  <c r="J1215" i="20" s="1"/>
  <c r="Y1215" i="20"/>
  <c r="L1252" i="20"/>
  <c r="M1252" i="20"/>
  <c r="Q1262" i="20"/>
  <c r="AC1262" i="20"/>
  <c r="Y1290" i="20"/>
  <c r="Z1290" i="20"/>
  <c r="AC1296" i="20"/>
  <c r="Q1296" i="20"/>
  <c r="Z1407" i="20"/>
  <c r="J1407" i="20" s="1"/>
  <c r="Y1407" i="20"/>
  <c r="Z1441" i="20"/>
  <c r="J1441" i="20" s="1"/>
  <c r="Y1441" i="20"/>
  <c r="Y1479" i="20"/>
  <c r="Z1479" i="20"/>
  <c r="J1479" i="20" s="1"/>
  <c r="Y767" i="20"/>
  <c r="Z767" i="20"/>
  <c r="N773" i="20"/>
  <c r="O773" i="20" s="1"/>
  <c r="Y794" i="20"/>
  <c r="M842" i="20"/>
  <c r="L842" i="20"/>
  <c r="L855" i="20"/>
  <c r="L866" i="20"/>
  <c r="T885" i="20"/>
  <c r="L897" i="20"/>
  <c r="Y923" i="20"/>
  <c r="T930" i="20"/>
  <c r="L947" i="20"/>
  <c r="Z950" i="20"/>
  <c r="J950" i="20" s="1"/>
  <c r="Y950" i="20"/>
  <c r="P960" i="20"/>
  <c r="Q970" i="20"/>
  <c r="AC970" i="20"/>
  <c r="T977" i="20"/>
  <c r="Z992" i="20"/>
  <c r="J992" i="20" s="1"/>
  <c r="Y992" i="20"/>
  <c r="T1006" i="20"/>
  <c r="AC1017" i="20"/>
  <c r="Q1017" i="20"/>
  <c r="L1024" i="20"/>
  <c r="N1044" i="20"/>
  <c r="O1044" i="20" s="1"/>
  <c r="P1058" i="20"/>
  <c r="N1058" i="20"/>
  <c r="O1058" i="20" s="1"/>
  <c r="Y1124" i="20"/>
  <c r="AC1171" i="20"/>
  <c r="Q1171" i="20"/>
  <c r="Y1300" i="20"/>
  <c r="Z1300" i="20"/>
  <c r="J1300" i="20" s="1"/>
  <c r="P1300" i="20" s="1"/>
  <c r="M1351" i="20"/>
  <c r="L1351" i="20"/>
  <c r="L1363" i="20"/>
  <c r="M1363" i="20"/>
  <c r="T1451" i="20"/>
  <c r="U1451" i="20" s="1"/>
  <c r="J1451" i="20" s="1"/>
  <c r="P1451" i="20" s="1"/>
  <c r="M1548" i="20"/>
  <c r="L1548" i="20"/>
  <c r="Y1664" i="20"/>
  <c r="Z1664" i="20"/>
  <c r="J1664" i="20" s="1"/>
  <c r="T467" i="20"/>
  <c r="M628" i="20"/>
  <c r="L628" i="20"/>
  <c r="M639" i="20"/>
  <c r="L639" i="20"/>
  <c r="T646" i="20"/>
  <c r="AC655" i="20"/>
  <c r="P663" i="20"/>
  <c r="AB663" i="20"/>
  <c r="J665" i="20"/>
  <c r="N778" i="20"/>
  <c r="O778" i="20" s="1"/>
  <c r="AB778" i="20"/>
  <c r="AB780" i="20"/>
  <c r="P824" i="20"/>
  <c r="AB824" i="20"/>
  <c r="Z839" i="20"/>
  <c r="J839" i="20" s="1"/>
  <c r="Y839" i="20"/>
  <c r="T847" i="20"/>
  <c r="M850" i="20"/>
  <c r="L850" i="20"/>
  <c r="AC858" i="20"/>
  <c r="Q858" i="20"/>
  <c r="T871" i="20"/>
  <c r="AC876" i="20"/>
  <c r="T888" i="20"/>
  <c r="AB915" i="20"/>
  <c r="N915" i="20"/>
  <c r="O915" i="20" s="1"/>
  <c r="AC954" i="20"/>
  <c r="Q954" i="20"/>
  <c r="P996" i="20"/>
  <c r="N996" i="20"/>
  <c r="O996" i="20" s="1"/>
  <c r="AB996" i="20"/>
  <c r="J999" i="20"/>
  <c r="Z1027" i="20"/>
  <c r="J1027" i="20" s="1"/>
  <c r="P1027" i="20" s="1"/>
  <c r="Y1027" i="20"/>
  <c r="M1065" i="20"/>
  <c r="L1065" i="20"/>
  <c r="Z1139" i="20"/>
  <c r="Y1139" i="20"/>
  <c r="Y1183" i="20"/>
  <c r="Z1183" i="20"/>
  <c r="Z1237" i="20"/>
  <c r="J1237" i="20" s="1"/>
  <c r="Y1237" i="20"/>
  <c r="Z1257" i="20"/>
  <c r="Y1257" i="20"/>
  <c r="T1326" i="20"/>
  <c r="M1442" i="20"/>
  <c r="L1442" i="20"/>
  <c r="AC1557" i="20"/>
  <c r="Q1557" i="20"/>
  <c r="AB1561" i="20"/>
  <c r="L484" i="20"/>
  <c r="L499" i="20"/>
  <c r="Y534" i="20"/>
  <c r="L559" i="20"/>
  <c r="L565" i="20"/>
  <c r="L582" i="20"/>
  <c r="T590" i="20"/>
  <c r="U590" i="20" s="1"/>
  <c r="L621" i="20"/>
  <c r="M651" i="20"/>
  <c r="L651" i="20"/>
  <c r="Z653" i="20"/>
  <c r="J653" i="20" s="1"/>
  <c r="Y653" i="20"/>
  <c r="Y665" i="20"/>
  <c r="Q677" i="20"/>
  <c r="T708" i="20"/>
  <c r="U708" i="20" s="1"/>
  <c r="J708" i="20" s="1"/>
  <c r="L757" i="20"/>
  <c r="L765" i="20"/>
  <c r="M781" i="20"/>
  <c r="L781" i="20"/>
  <c r="M798" i="20"/>
  <c r="L798" i="20"/>
  <c r="M824" i="20"/>
  <c r="N824" i="20" s="1"/>
  <c r="O824" i="20" s="1"/>
  <c r="T842" i="20"/>
  <c r="T858" i="20"/>
  <c r="Q891" i="20"/>
  <c r="Q912" i="20"/>
  <c r="J927" i="20"/>
  <c r="P927" i="20" s="1"/>
  <c r="Z930" i="20"/>
  <c r="J930" i="20" s="1"/>
  <c r="P930" i="20" s="1"/>
  <c r="Y930" i="20"/>
  <c r="L954" i="20"/>
  <c r="N960" i="20"/>
  <c r="O960" i="20" s="1"/>
  <c r="N1038" i="20"/>
  <c r="O1038" i="20" s="1"/>
  <c r="Y1047" i="20"/>
  <c r="Z1072" i="20"/>
  <c r="J1072" i="20" s="1"/>
  <c r="Y1072" i="20"/>
  <c r="T1112" i="20"/>
  <c r="Z1133" i="20"/>
  <c r="Y1133" i="20"/>
  <c r="AB1155" i="20"/>
  <c r="P1155" i="20"/>
  <c r="N1155" i="20"/>
  <c r="L1199" i="20"/>
  <c r="M1199" i="20"/>
  <c r="AB1339" i="20"/>
  <c r="P1339" i="20"/>
  <c r="N1339" i="20"/>
  <c r="O1339" i="20" s="1"/>
  <c r="T1374" i="20"/>
  <c r="T1418" i="20"/>
  <c r="U1418" i="20" s="1"/>
  <c r="N1561" i="20"/>
  <c r="O1561" i="20" s="1"/>
  <c r="T1704" i="20"/>
  <c r="L557" i="20"/>
  <c r="Q599" i="20"/>
  <c r="M608" i="20"/>
  <c r="T623" i="20"/>
  <c r="T639" i="20"/>
  <c r="N663" i="20"/>
  <c r="O663" i="20" s="1"/>
  <c r="L668" i="20"/>
  <c r="P680" i="20"/>
  <c r="N680" i="20"/>
  <c r="O680" i="20" s="1"/>
  <c r="T685" i="20"/>
  <c r="T693" i="20"/>
  <c r="L701" i="20"/>
  <c r="Q703" i="20"/>
  <c r="L706" i="20"/>
  <c r="N711" i="20"/>
  <c r="O711" i="20" s="1"/>
  <c r="Z724" i="20"/>
  <c r="Y724" i="20"/>
  <c r="L730" i="20"/>
  <c r="Q754" i="20"/>
  <c r="AC754" i="20"/>
  <c r="M806" i="20"/>
  <c r="L806" i="20"/>
  <c r="AB860" i="20"/>
  <c r="Y882" i="20"/>
  <c r="AB906" i="20"/>
  <c r="T940" i="20"/>
  <c r="T960" i="20"/>
  <c r="AC963" i="20"/>
  <c r="Q963" i="20"/>
  <c r="AB999" i="20"/>
  <c r="T1003" i="20"/>
  <c r="Z1006" i="20"/>
  <c r="J1006" i="20" s="1"/>
  <c r="P1006" i="20" s="1"/>
  <c r="Y1006" i="20"/>
  <c r="Z1034" i="20"/>
  <c r="J1034" i="20" s="1"/>
  <c r="Y1034" i="20"/>
  <c r="Z1051" i="20"/>
  <c r="J1051" i="20" s="1"/>
  <c r="Y1051" i="20"/>
  <c r="Z1054" i="20"/>
  <c r="J1054" i="20" s="1"/>
  <c r="P1054" i="20" s="1"/>
  <c r="Y1054" i="20"/>
  <c r="T1065" i="20"/>
  <c r="AB1069" i="20"/>
  <c r="P1069" i="20"/>
  <c r="N1069" i="20"/>
  <c r="O1069" i="20" s="1"/>
  <c r="Z1105" i="20"/>
  <c r="Y1105" i="20"/>
  <c r="Z1148" i="20"/>
  <c r="Y1148" i="20"/>
  <c r="M1155" i="20"/>
  <c r="AC1216" i="20"/>
  <c r="Q1216" i="20"/>
  <c r="M1253" i="20"/>
  <c r="L1253" i="20"/>
  <c r="Z1262" i="20"/>
  <c r="J1262" i="20" s="1"/>
  <c r="P1262" i="20" s="1"/>
  <c r="Y1262" i="20"/>
  <c r="Z1313" i="20"/>
  <c r="J1313" i="20" s="1"/>
  <c r="Y1313" i="20"/>
  <c r="Z1317" i="20"/>
  <c r="J1317" i="20" s="1"/>
  <c r="Y1317" i="20"/>
  <c r="M1322" i="20"/>
  <c r="L1322" i="20"/>
  <c r="AC1339" i="20"/>
  <c r="Q1339" i="20"/>
  <c r="Z465" i="20"/>
  <c r="Y465" i="20"/>
  <c r="M501" i="20"/>
  <c r="L501" i="20"/>
  <c r="Z532" i="20"/>
  <c r="Y532" i="20"/>
  <c r="AB555" i="20"/>
  <c r="Z590" i="20"/>
  <c r="J590" i="20" s="1"/>
  <c r="Y590" i="20"/>
  <c r="T599" i="20"/>
  <c r="U599" i="20" s="1"/>
  <c r="AB637" i="20"/>
  <c r="N637" i="20"/>
  <c r="O637" i="20" s="1"/>
  <c r="T703" i="20"/>
  <c r="U703" i="20" s="1"/>
  <c r="AB713" i="20"/>
  <c r="Q746" i="20"/>
  <c r="N754" i="20"/>
  <c r="O754" i="20" s="1"/>
  <c r="AB759" i="20"/>
  <c r="Q778" i="20"/>
  <c r="N784" i="20"/>
  <c r="O784" i="20" s="1"/>
  <c r="Z808" i="20"/>
  <c r="J808" i="20" s="1"/>
  <c r="Y808" i="20"/>
  <c r="N827" i="20"/>
  <c r="O827" i="20" s="1"/>
  <c r="P840" i="20"/>
  <c r="N840" i="20"/>
  <c r="O840" i="20" s="1"/>
  <c r="Z855" i="20"/>
  <c r="J855" i="20" s="1"/>
  <c r="Y855" i="20"/>
  <c r="M880" i="20"/>
  <c r="L880" i="20"/>
  <c r="Y888" i="20"/>
  <c r="Z888" i="20"/>
  <c r="J888" i="20" s="1"/>
  <c r="AB900" i="20"/>
  <c r="P900" i="20"/>
  <c r="N900" i="20"/>
  <c r="O900" i="20" s="1"/>
  <c r="P915" i="20"/>
  <c r="AC944" i="20"/>
  <c r="Q944" i="20"/>
  <c r="AB951" i="20"/>
  <c r="N951" i="20"/>
  <c r="O951" i="20" s="1"/>
  <c r="Y966" i="20"/>
  <c r="Z970" i="20"/>
  <c r="J970" i="20" s="1"/>
  <c r="Y970" i="20"/>
  <c r="Z977" i="20"/>
  <c r="J977" i="20" s="1"/>
  <c r="Z986" i="20"/>
  <c r="J986" i="20" s="1"/>
  <c r="P986" i="20" s="1"/>
  <c r="M990" i="20"/>
  <c r="L990" i="20"/>
  <c r="Z1044" i="20"/>
  <c r="J1044" i="20" s="1"/>
  <c r="Y1044" i="20"/>
  <c r="AC1073" i="20"/>
  <c r="Q1073" i="20"/>
  <c r="L1092" i="20"/>
  <c r="M1092" i="20"/>
  <c r="Z1102" i="20"/>
  <c r="Y1102" i="20"/>
  <c r="Y1112" i="20"/>
  <c r="Z1112" i="20"/>
  <c r="T1115" i="20"/>
  <c r="N1125" i="20"/>
  <c r="AB1125" i="20"/>
  <c r="P1125" i="20"/>
  <c r="AB1216" i="20"/>
  <c r="N1216" i="20"/>
  <c r="O1216" i="20" s="1"/>
  <c r="Z1224" i="20"/>
  <c r="J1224" i="20" s="1"/>
  <c r="P1224" i="20" s="1"/>
  <c r="Y1224" i="20"/>
  <c r="AB1238" i="20"/>
  <c r="N1238" i="20"/>
  <c r="O1238" i="20" s="1"/>
  <c r="Z1343" i="20"/>
  <c r="J1343" i="20" s="1"/>
  <c r="Y1343" i="20"/>
  <c r="AC1356" i="20"/>
  <c r="Q1356" i="20"/>
  <c r="P1360" i="20"/>
  <c r="N1360" i="20"/>
  <c r="O1360" i="20" s="1"/>
  <c r="AB1360" i="20"/>
  <c r="Z1394" i="20"/>
  <c r="J1394" i="20" s="1"/>
  <c r="Y1394" i="20"/>
  <c r="T1533" i="20"/>
  <c r="Y1557" i="20"/>
  <c r="Z1557" i="20"/>
  <c r="J1557" i="20" s="1"/>
  <c r="P1557" i="20" s="1"/>
  <c r="T1007" i="20"/>
  <c r="T1063" i="20"/>
  <c r="AB1122" i="20"/>
  <c r="P1122" i="20"/>
  <c r="N1122" i="20"/>
  <c r="Z1147" i="20"/>
  <c r="Y1147" i="20"/>
  <c r="T1153" i="20"/>
  <c r="Z1177" i="20"/>
  <c r="Y1177" i="20"/>
  <c r="AC1236" i="20"/>
  <c r="Q1236" i="20"/>
  <c r="J1267" i="20"/>
  <c r="P1267" i="20" s="1"/>
  <c r="N1285" i="20"/>
  <c r="O1285" i="20" s="1"/>
  <c r="Z1288" i="20"/>
  <c r="J1288" i="20" s="1"/>
  <c r="P1288" i="20" s="1"/>
  <c r="Y1288" i="20"/>
  <c r="Z1293" i="20"/>
  <c r="J1293" i="20" s="1"/>
  <c r="P1293" i="20" s="1"/>
  <c r="Y1293" i="20"/>
  <c r="T1302" i="20"/>
  <c r="P1307" i="20"/>
  <c r="AB1307" i="20"/>
  <c r="P1311" i="20"/>
  <c r="N1311" i="20"/>
  <c r="O1311" i="20" s="1"/>
  <c r="AB1311" i="20"/>
  <c r="M1391" i="20"/>
  <c r="L1391" i="20"/>
  <c r="T1403" i="20"/>
  <c r="U1403" i="20" s="1"/>
  <c r="Z1427" i="20"/>
  <c r="J1427" i="20" s="1"/>
  <c r="P1427" i="20" s="1"/>
  <c r="Y1427" i="20"/>
  <c r="AC1634" i="20"/>
  <c r="Q1634" i="20"/>
  <c r="P2409" i="20"/>
  <c r="AB2409" i="20"/>
  <c r="AB2805" i="20"/>
  <c r="N2805" i="20"/>
  <c r="O2805" i="20" s="1"/>
  <c r="P953" i="20"/>
  <c r="N953" i="20"/>
  <c r="O953" i="20" s="1"/>
  <c r="T968" i="20"/>
  <c r="T974" i="20"/>
  <c r="T984" i="20"/>
  <c r="T989" i="20"/>
  <c r="N1002" i="20"/>
  <c r="O1002" i="20" s="1"/>
  <c r="AB1002" i="20"/>
  <c r="J1063" i="20"/>
  <c r="P1063" i="20" s="1"/>
  <c r="T1092" i="20"/>
  <c r="Z1153" i="20"/>
  <c r="Y1153" i="20"/>
  <c r="P1160" i="20"/>
  <c r="N1160" i="20"/>
  <c r="AB1160" i="20"/>
  <c r="AB1245" i="20"/>
  <c r="Z1342" i="20"/>
  <c r="J1342" i="20" s="1"/>
  <c r="Y1342" i="20"/>
  <c r="T1372" i="20"/>
  <c r="Z1375" i="20"/>
  <c r="J1375" i="20" s="1"/>
  <c r="Y1375" i="20"/>
  <c r="Z1399" i="20"/>
  <c r="J1399" i="20" s="1"/>
  <c r="Y1399" i="20"/>
  <c r="Z1413" i="20"/>
  <c r="J1413" i="20" s="1"/>
  <c r="Y1413" i="20"/>
  <c r="M1482" i="20"/>
  <c r="L1482" i="20"/>
  <c r="P1607" i="20"/>
  <c r="N1607" i="20"/>
  <c r="AB1607" i="20"/>
  <c r="Y1693" i="20"/>
  <c r="Z1693" i="20"/>
  <c r="P1728" i="20"/>
  <c r="N1728" i="20"/>
  <c r="O1728" i="20" s="1"/>
  <c r="AB1728" i="20"/>
  <c r="AC1738" i="20"/>
  <c r="Q1738" i="20"/>
  <c r="Y2120" i="20"/>
  <c r="Z2120" i="20"/>
  <c r="J870" i="20"/>
  <c r="M917" i="20"/>
  <c r="L917" i="20"/>
  <c r="Z965" i="20"/>
  <c r="J965" i="20" s="1"/>
  <c r="Y965" i="20"/>
  <c r="T994" i="20"/>
  <c r="Q1002" i="20"/>
  <c r="AC1002" i="20"/>
  <c r="N1005" i="20"/>
  <c r="O1005" i="20" s="1"/>
  <c r="T1013" i="20"/>
  <c r="P1030" i="20"/>
  <c r="Z1038" i="20"/>
  <c r="J1038" i="20" s="1"/>
  <c r="P1038" i="20" s="1"/>
  <c r="Y1038" i="20"/>
  <c r="AB1041" i="20"/>
  <c r="P1041" i="20"/>
  <c r="N1041" i="20"/>
  <c r="O1041" i="20" s="1"/>
  <c r="Y1063" i="20"/>
  <c r="Z1104" i="20"/>
  <c r="Y1104" i="20"/>
  <c r="AB1111" i="20"/>
  <c r="N1111" i="20"/>
  <c r="Z1186" i="20"/>
  <c r="Y1186" i="20"/>
  <c r="J1208" i="20"/>
  <c r="P1208" i="20" s="1"/>
  <c r="T1228" i="20"/>
  <c r="U1228" i="20" s="1"/>
  <c r="Q1245" i="20"/>
  <c r="AC1245" i="20"/>
  <c r="T1254" i="20"/>
  <c r="U1254" i="20" s="1"/>
  <c r="AC1268" i="20"/>
  <c r="Q1268" i="20"/>
  <c r="N1277" i="20"/>
  <c r="O1277" i="20" s="1"/>
  <c r="AB1277" i="20"/>
  <c r="AB1289" i="20"/>
  <c r="N1289" i="20"/>
  <c r="O1289" i="20" s="1"/>
  <c r="Y1403" i="20"/>
  <c r="Z1403" i="20"/>
  <c r="Z1408" i="20"/>
  <c r="J1408" i="20" s="1"/>
  <c r="P1408" i="20" s="1"/>
  <c r="Y1408" i="20"/>
  <c r="Y1637" i="20"/>
  <c r="Z1637" i="20"/>
  <c r="Y1673" i="20"/>
  <c r="Z1673" i="20"/>
  <c r="J1673" i="20" s="1"/>
  <c r="P1673" i="20" s="1"/>
  <c r="Z1997" i="20"/>
  <c r="Y1997" i="20"/>
  <c r="Z989" i="20"/>
  <c r="J989" i="20" s="1"/>
  <c r="Y989" i="20"/>
  <c r="N1019" i="20"/>
  <c r="O1019" i="20" s="1"/>
  <c r="AB1019" i="20"/>
  <c r="AC1041" i="20"/>
  <c r="Q1041" i="20"/>
  <c r="T1160" i="20"/>
  <c r="T1192" i="20"/>
  <c r="Z1249" i="20"/>
  <c r="Y1249" i="20"/>
  <c r="Z1263" i="20"/>
  <c r="J1263" i="20" s="1"/>
  <c r="Y1263" i="20"/>
  <c r="L1268" i="20"/>
  <c r="Z1322" i="20"/>
  <c r="J1322" i="20" s="1"/>
  <c r="Y1322" i="20"/>
  <c r="AC1343" i="20"/>
  <c r="Q1343" i="20"/>
  <c r="Y1354" i="20"/>
  <c r="AC1414" i="20"/>
  <c r="Q1414" i="20"/>
  <c r="Y1463" i="20"/>
  <c r="Z1463" i="20"/>
  <c r="J1463" i="20" s="1"/>
  <c r="P1463" i="20" s="1"/>
  <c r="Z1516" i="20"/>
  <c r="J1516" i="20" s="1"/>
  <c r="Y1516" i="20"/>
  <c r="AC1664" i="20"/>
  <c r="Q1664" i="20"/>
  <c r="Z1762" i="20"/>
  <c r="Y1762" i="20"/>
  <c r="Z1819" i="20"/>
  <c r="Y1819" i="20"/>
  <c r="T912" i="20"/>
  <c r="N935" i="20"/>
  <c r="O935" i="20" s="1"/>
  <c r="P935" i="20"/>
  <c r="M940" i="20"/>
  <c r="L940" i="20"/>
  <c r="Q948" i="20"/>
  <c r="N948" i="20"/>
  <c r="O948" i="20" s="1"/>
  <c r="M966" i="20"/>
  <c r="L966" i="20"/>
  <c r="T992" i="20"/>
  <c r="N1011" i="20"/>
  <c r="O1011" i="20" s="1"/>
  <c r="P1044" i="20"/>
  <c r="AC1123" i="20"/>
  <c r="Q1123" i="20"/>
  <c r="N1123" i="20"/>
  <c r="Z1128" i="20"/>
  <c r="Y1128" i="20"/>
  <c r="Z1169" i="20"/>
  <c r="Y1169" i="20"/>
  <c r="M1187" i="20"/>
  <c r="L1187" i="20"/>
  <c r="Z1209" i="20"/>
  <c r="Y1209" i="20"/>
  <c r="AC1400" i="20"/>
  <c r="Q1400" i="20"/>
  <c r="Z1419" i="20"/>
  <c r="J1419" i="20" s="1"/>
  <c r="Y1419" i="20"/>
  <c r="T1433" i="20"/>
  <c r="U1433" i="20" s="1"/>
  <c r="P1539" i="20"/>
  <c r="N1539" i="20"/>
  <c r="O1539" i="20" s="1"/>
  <c r="T1641" i="20"/>
  <c r="M1820" i="20"/>
  <c r="L1820" i="20"/>
  <c r="Y1826" i="20"/>
  <c r="Z1826" i="20"/>
  <c r="T1844" i="20"/>
  <c r="Z1002" i="20"/>
  <c r="J1002" i="20" s="1"/>
  <c r="Y1002" i="20"/>
  <c r="T1022" i="20"/>
  <c r="N1039" i="20"/>
  <c r="O1039" i="20" s="1"/>
  <c r="N1050" i="20"/>
  <c r="O1050" i="20" s="1"/>
  <c r="AB1093" i="20"/>
  <c r="N1093" i="20"/>
  <c r="O1093" i="20" s="1"/>
  <c r="Z1142" i="20"/>
  <c r="Y1142" i="20"/>
  <c r="Q1157" i="20"/>
  <c r="T1184" i="20"/>
  <c r="AB1285" i="20"/>
  <c r="Z1423" i="20"/>
  <c r="Y1423" i="20"/>
  <c r="Q1460" i="20"/>
  <c r="AC1460" i="20"/>
  <c r="Z1554" i="20"/>
  <c r="J1554" i="20" s="1"/>
  <c r="P1554" i="20" s="1"/>
  <c r="Y1554" i="20"/>
  <c r="Q985" i="20"/>
  <c r="AC985" i="20"/>
  <c r="AC1013" i="20"/>
  <c r="Q1117" i="20"/>
  <c r="AC1117" i="20"/>
  <c r="T1167" i="20"/>
  <c r="T1190" i="20"/>
  <c r="Z1233" i="20"/>
  <c r="J1233" i="20" s="1"/>
  <c r="Y1233" i="20"/>
  <c r="T1255" i="20"/>
  <c r="U1255" i="20" s="1"/>
  <c r="AC1308" i="20"/>
  <c r="Q1308" i="20"/>
  <c r="Y1505" i="20"/>
  <c r="Z1505" i="20"/>
  <c r="J1505" i="20" s="1"/>
  <c r="P1505" i="20" s="1"/>
  <c r="AC1536" i="20"/>
  <c r="Q1536" i="20"/>
  <c r="AC1656" i="20"/>
  <c r="Q1656" i="20"/>
  <c r="Z1665" i="20"/>
  <c r="Y1665" i="20"/>
  <c r="N1700" i="20"/>
  <c r="O1700" i="20" s="1"/>
  <c r="AB1700" i="20"/>
  <c r="T920" i="20"/>
  <c r="T951" i="20"/>
  <c r="Y958" i="20"/>
  <c r="P995" i="20"/>
  <c r="Z1025" i="20"/>
  <c r="J1025" i="20" s="1"/>
  <c r="P1025" i="20" s="1"/>
  <c r="Y1025" i="20"/>
  <c r="L1074" i="20"/>
  <c r="M1074" i="20"/>
  <c r="P1117" i="20"/>
  <c r="N1117" i="20"/>
  <c r="Z1157" i="20"/>
  <c r="Y1157" i="20"/>
  <c r="Z1221" i="20"/>
  <c r="J1221" i="20" s="1"/>
  <c r="P1221" i="20" s="1"/>
  <c r="Y1221" i="20"/>
  <c r="M1304" i="20"/>
  <c r="L1304" i="20"/>
  <c r="N1367" i="20"/>
  <c r="O1367" i="20" s="1"/>
  <c r="AB1367" i="20"/>
  <c r="Q1397" i="20"/>
  <c r="AC1397" i="20"/>
  <c r="Z1424" i="20"/>
  <c r="Y1424" i="20"/>
  <c r="AC1438" i="20"/>
  <c r="N1438" i="20"/>
  <c r="O1438" i="20" s="1"/>
  <c r="T1518" i="20"/>
  <c r="M1531" i="20"/>
  <c r="L1531" i="20"/>
  <c r="Y1621" i="20"/>
  <c r="Z1621" i="20"/>
  <c r="Y1859" i="20"/>
  <c r="Z1859" i="20"/>
  <c r="T631" i="20"/>
  <c r="P643" i="20"/>
  <c r="AB643" i="20"/>
  <c r="T663" i="20"/>
  <c r="N731" i="20"/>
  <c r="O731" i="20" s="1"/>
  <c r="T749" i="20"/>
  <c r="U749" i="20" s="1"/>
  <c r="M804" i="20"/>
  <c r="L804" i="20"/>
  <c r="T824" i="20"/>
  <c r="Z837" i="20"/>
  <c r="J837" i="20" s="1"/>
  <c r="Y837" i="20"/>
  <c r="Z871" i="20"/>
  <c r="J871" i="20" s="1"/>
  <c r="P871" i="20" s="1"/>
  <c r="Y871" i="20"/>
  <c r="Z897" i="20"/>
  <c r="J897" i="20" s="1"/>
  <c r="Y897" i="20"/>
  <c r="T905" i="20"/>
  <c r="Z920" i="20"/>
  <c r="J920" i="20" s="1"/>
  <c r="P920" i="20" s="1"/>
  <c r="Y920" i="20"/>
  <c r="AB935" i="20"/>
  <c r="T1028" i="20"/>
  <c r="T1031" i="20"/>
  <c r="T1042" i="20"/>
  <c r="Z1070" i="20"/>
  <c r="J1070" i="20" s="1"/>
  <c r="P1070" i="20" s="1"/>
  <c r="Y1070" i="20"/>
  <c r="AB1090" i="20"/>
  <c r="P1090" i="20"/>
  <c r="N1090" i="20"/>
  <c r="O1090" i="20" s="1"/>
  <c r="T1179" i="20"/>
  <c r="T1196" i="20"/>
  <c r="Z1304" i="20"/>
  <c r="J1304" i="20" s="1"/>
  <c r="Y1304" i="20"/>
  <c r="T1360" i="20"/>
  <c r="Y1405" i="20"/>
  <c r="Z1405" i="20"/>
  <c r="T1430" i="20"/>
  <c r="U1430" i="20" s="1"/>
  <c r="M1456" i="20"/>
  <c r="L1456" i="20"/>
  <c r="Z1514" i="20"/>
  <c r="J1514" i="20" s="1"/>
  <c r="P1514" i="20" s="1"/>
  <c r="Y1514" i="20"/>
  <c r="Z1536" i="20"/>
  <c r="J1536" i="20" s="1"/>
  <c r="P1536" i="20" s="1"/>
  <c r="Y1536" i="20"/>
  <c r="AB1597" i="20"/>
  <c r="M643" i="20"/>
  <c r="Z688" i="20"/>
  <c r="J688" i="20" s="1"/>
  <c r="Y688" i="20"/>
  <c r="T695" i="20"/>
  <c r="T724" i="20"/>
  <c r="U724" i="20" s="1"/>
  <c r="N858" i="20"/>
  <c r="O858" i="20" s="1"/>
  <c r="N876" i="20"/>
  <c r="O876" i="20" s="1"/>
  <c r="Z887" i="20"/>
  <c r="J887" i="20" s="1"/>
  <c r="Y887" i="20"/>
  <c r="M895" i="20"/>
  <c r="P923" i="20"/>
  <c r="AB923" i="20"/>
  <c r="T928" i="20"/>
  <c r="AC948" i="20"/>
  <c r="N967" i="20"/>
  <c r="O967" i="20" s="1"/>
  <c r="Z1008" i="20"/>
  <c r="J1008" i="20" s="1"/>
  <c r="P1008" i="20" s="1"/>
  <c r="Y1008" i="20"/>
  <c r="AC1056" i="20"/>
  <c r="Q1056" i="20"/>
  <c r="Z1077" i="20"/>
  <c r="J1077" i="20" s="1"/>
  <c r="Y1077" i="20"/>
  <c r="T1084" i="20"/>
  <c r="M1132" i="20"/>
  <c r="L1132" i="20"/>
  <c r="Z1170" i="20"/>
  <c r="Y1170" i="20"/>
  <c r="Z1193" i="20"/>
  <c r="Y1193" i="20"/>
  <c r="Y1199" i="20"/>
  <c r="T1222" i="20"/>
  <c r="U1222" i="20" s="1"/>
  <c r="T1226" i="20"/>
  <c r="U1226" i="20" s="1"/>
  <c r="T1238" i="20"/>
  <c r="U1238" i="20" s="1"/>
  <c r="T1274" i="20"/>
  <c r="U1274" i="20" s="1"/>
  <c r="Z1324" i="20"/>
  <c r="J1324" i="20" s="1"/>
  <c r="Y1324" i="20"/>
  <c r="Z1348" i="20"/>
  <c r="J1348" i="20" s="1"/>
  <c r="Y1348" i="20"/>
  <c r="T1352" i="20"/>
  <c r="Q1374" i="20"/>
  <c r="AC1374" i="20"/>
  <c r="Z1397" i="20"/>
  <c r="J1397" i="20" s="1"/>
  <c r="Y1397" i="20"/>
  <c r="T1444" i="20"/>
  <c r="U1444" i="20" s="1"/>
  <c r="M1527" i="20"/>
  <c r="L1527" i="20"/>
  <c r="Z1531" i="20"/>
  <c r="J1531" i="20" s="1"/>
  <c r="N1597" i="20"/>
  <c r="O1597" i="20" s="1"/>
  <c r="Z1962" i="20"/>
  <c r="Y1962" i="20"/>
  <c r="T2199" i="20"/>
  <c r="T643" i="20"/>
  <c r="AC713" i="20"/>
  <c r="Q713" i="20"/>
  <c r="T731" i="20"/>
  <c r="U731" i="20" s="1"/>
  <c r="J731" i="20" s="1"/>
  <c r="P731" i="20" s="1"/>
  <c r="AB738" i="20"/>
  <c r="Z835" i="20"/>
  <c r="J835" i="20" s="1"/>
  <c r="Y835" i="20"/>
  <c r="Z846" i="20"/>
  <c r="J846" i="20" s="1"/>
  <c r="Y846" i="20"/>
  <c r="T860" i="20"/>
  <c r="Z943" i="20"/>
  <c r="J943" i="20" s="1"/>
  <c r="Y943" i="20"/>
  <c r="AC988" i="20"/>
  <c r="Q988" i="20"/>
  <c r="AB1011" i="20"/>
  <c r="P1026" i="20"/>
  <c r="N1026" i="20"/>
  <c r="O1026" i="20" s="1"/>
  <c r="AB1026" i="20"/>
  <c r="AB1050" i="20"/>
  <c r="T1097" i="20"/>
  <c r="AC1152" i="20"/>
  <c r="Q1152" i="20"/>
  <c r="T1305" i="20"/>
  <c r="Q1309" i="20"/>
  <c r="AC1309" i="20"/>
  <c r="Z1352" i="20"/>
  <c r="J1352" i="20" s="1"/>
  <c r="Y1352" i="20"/>
  <c r="L1377" i="20"/>
  <c r="M1377" i="20"/>
  <c r="T1416" i="20"/>
  <c r="U1416" i="20" s="1"/>
  <c r="Z1501" i="20"/>
  <c r="J1501" i="20" s="1"/>
  <c r="T1506" i="20"/>
  <c r="Y631" i="20"/>
  <c r="Y663" i="20"/>
  <c r="N682" i="20"/>
  <c r="O682" i="20" s="1"/>
  <c r="T684" i="20"/>
  <c r="P693" i="20"/>
  <c r="T715" i="20"/>
  <c r="U715" i="20" s="1"/>
  <c r="Z717" i="20"/>
  <c r="J717" i="20" s="1"/>
  <c r="L722" i="20"/>
  <c r="M738" i="20"/>
  <c r="T788" i="20"/>
  <c r="U788" i="20" s="1"/>
  <c r="J788" i="20" s="1"/>
  <c r="P858" i="20"/>
  <c r="P876" i="20"/>
  <c r="P895" i="20"/>
  <c r="N898" i="20"/>
  <c r="O898" i="20" s="1"/>
  <c r="L936" i="20"/>
  <c r="AC941" i="20"/>
  <c r="Q941" i="20"/>
  <c r="L949" i="20"/>
  <c r="P967" i="20"/>
  <c r="L970" i="20"/>
  <c r="Y975" i="20"/>
  <c r="Z975" i="20"/>
  <c r="J975" i="20" s="1"/>
  <c r="P975" i="20" s="1"/>
  <c r="Z995" i="20"/>
  <c r="J995" i="20" s="1"/>
  <c r="L998" i="20"/>
  <c r="Q1006" i="20"/>
  <c r="AC1011" i="20"/>
  <c r="T1017" i="20"/>
  <c r="T1053" i="20"/>
  <c r="AC1068" i="20"/>
  <c r="Q1068" i="20"/>
  <c r="Z1074" i="20"/>
  <c r="J1074" i="20" s="1"/>
  <c r="Y1074" i="20"/>
  <c r="T1094" i="20"/>
  <c r="AB1115" i="20"/>
  <c r="N1115" i="20"/>
  <c r="AB1117" i="20"/>
  <c r="T1132" i="20"/>
  <c r="Z1146" i="20"/>
  <c r="AC1194" i="20"/>
  <c r="Q1194" i="20"/>
  <c r="Q1261" i="20"/>
  <c r="Q1266" i="20"/>
  <c r="AC1266" i="20"/>
  <c r="AB1421" i="20"/>
  <c r="N1421" i="20"/>
  <c r="O1421" i="20" s="1"/>
  <c r="Z1472" i="20"/>
  <c r="J1472" i="20" s="1"/>
  <c r="P1472" i="20" s="1"/>
  <c r="Y1472" i="20"/>
  <c r="Y1501" i="20"/>
  <c r="Z1523" i="20"/>
  <c r="J1523" i="20" s="1"/>
  <c r="Y1523" i="20"/>
  <c r="AB1565" i="20"/>
  <c r="N1565" i="20"/>
  <c r="O1565" i="20" s="1"/>
  <c r="Q1594" i="20"/>
  <c r="AC1594" i="20"/>
  <c r="M1756" i="20"/>
  <c r="L1756" i="20"/>
  <c r="L469" i="20"/>
  <c r="Q693" i="20"/>
  <c r="AB795" i="20"/>
  <c r="L809" i="20"/>
  <c r="N811" i="20"/>
  <c r="O811" i="20" s="1"/>
  <c r="N813" i="20"/>
  <c r="O813" i="20" s="1"/>
  <c r="Q822" i="20"/>
  <c r="P851" i="20"/>
  <c r="Z869" i="20"/>
  <c r="J869" i="20" s="1"/>
  <c r="Y869" i="20"/>
  <c r="L931" i="20"/>
  <c r="T938" i="20"/>
  <c r="L941" i="20"/>
  <c r="N952" i="20"/>
  <c r="O952" i="20" s="1"/>
  <c r="L981" i="20"/>
  <c r="T988" i="20"/>
  <c r="L991" i="20"/>
  <c r="AC1014" i="20"/>
  <c r="T1020" i="20"/>
  <c r="N1037" i="20"/>
  <c r="O1037" i="20" s="1"/>
  <c r="AB1037" i="20"/>
  <c r="L1048" i="20"/>
  <c r="AC1051" i="20"/>
  <c r="Q1051" i="20"/>
  <c r="P1071" i="20"/>
  <c r="Y1090" i="20"/>
  <c r="Z1129" i="20"/>
  <c r="Y1129" i="20"/>
  <c r="Z1158" i="20"/>
  <c r="Y1158" i="20"/>
  <c r="L1171" i="20"/>
  <c r="Y1182" i="20"/>
  <c r="N1191" i="20"/>
  <c r="T1261" i="20"/>
  <c r="U1261" i="20" s="1"/>
  <c r="L1266" i="20"/>
  <c r="M1275" i="20"/>
  <c r="L1275" i="20"/>
  <c r="AB1325" i="20"/>
  <c r="P1325" i="20"/>
  <c r="N1325" i="20"/>
  <c r="O1325" i="20" s="1"/>
  <c r="Z1328" i="20"/>
  <c r="J1328" i="20" s="1"/>
  <c r="Y1328" i="20"/>
  <c r="Z1336" i="20"/>
  <c r="J1336" i="20" s="1"/>
  <c r="AB1435" i="20"/>
  <c r="N1435" i="20"/>
  <c r="O1435" i="20" s="1"/>
  <c r="AB1590" i="20"/>
  <c r="N1590" i="20"/>
  <c r="O1590" i="20" s="1"/>
  <c r="L1594" i="20"/>
  <c r="Z1597" i="20"/>
  <c r="J1597" i="20" s="1"/>
  <c r="P1597" i="20" s="1"/>
  <c r="Y1597" i="20"/>
  <c r="Z1749" i="20"/>
  <c r="J1749" i="20" s="1"/>
  <c r="P1749" i="20" s="1"/>
  <c r="Y1749" i="20"/>
  <c r="L464" i="20"/>
  <c r="L496" i="20"/>
  <c r="L508" i="20"/>
  <c r="L558" i="20"/>
  <c r="L602" i="20"/>
  <c r="N613" i="20"/>
  <c r="O613" i="20" s="1"/>
  <c r="L626" i="20"/>
  <c r="P682" i="20"/>
  <c r="L689" i="20"/>
  <c r="Y708" i="20"/>
  <c r="N736" i="20"/>
  <c r="O736" i="20" s="1"/>
  <c r="M761" i="20"/>
  <c r="L761" i="20"/>
  <c r="L770" i="20"/>
  <c r="Q772" i="20"/>
  <c r="T781" i="20"/>
  <c r="U781" i="20" s="1"/>
  <c r="J781" i="20" s="1"/>
  <c r="N795" i="20"/>
  <c r="O795" i="20" s="1"/>
  <c r="T815" i="20"/>
  <c r="L829" i="20"/>
  <c r="T867" i="20"/>
  <c r="L872" i="20"/>
  <c r="L874" i="20"/>
  <c r="Y878" i="20"/>
  <c r="Z885" i="20"/>
  <c r="J885" i="20" s="1"/>
  <c r="Y885" i="20"/>
  <c r="Y890" i="20"/>
  <c r="N893" i="20"/>
  <c r="O893" i="20" s="1"/>
  <c r="T898" i="20"/>
  <c r="Y900" i="20"/>
  <c r="N903" i="20"/>
  <c r="O903" i="20" s="1"/>
  <c r="P903" i="20"/>
  <c r="L916" i="20"/>
  <c r="Y918" i="20"/>
  <c r="L921" i="20"/>
  <c r="T967" i="20"/>
  <c r="L973" i="20"/>
  <c r="Y978" i="20"/>
  <c r="AB995" i="20"/>
  <c r="Z1017" i="20"/>
  <c r="J1017" i="20" s="1"/>
  <c r="P1017" i="20" s="1"/>
  <c r="Y1017" i="20"/>
  <c r="M1029" i="20"/>
  <c r="N1029" i="20" s="1"/>
  <c r="O1029" i="20" s="1"/>
  <c r="M1037" i="20"/>
  <c r="Y1045" i="20"/>
  <c r="L1051" i="20"/>
  <c r="Y1056" i="20"/>
  <c r="Z1059" i="20"/>
  <c r="J1059" i="20" s="1"/>
  <c r="P1059" i="20" s="1"/>
  <c r="Y1059" i="20"/>
  <c r="N1071" i="20"/>
  <c r="O1071" i="20" s="1"/>
  <c r="AB1078" i="20"/>
  <c r="Z1097" i="20"/>
  <c r="J1097" i="20" s="1"/>
  <c r="Y1097" i="20"/>
  <c r="Y1106" i="20"/>
  <c r="N1231" i="20"/>
  <c r="O1231" i="20" s="1"/>
  <c r="T1239" i="20"/>
  <c r="U1239" i="20" s="1"/>
  <c r="J1239" i="20" s="1"/>
  <c r="T1243" i="20"/>
  <c r="U1243" i="20" s="1"/>
  <c r="J1243" i="20" s="1"/>
  <c r="T1283" i="20"/>
  <c r="U1283" i="20" s="1"/>
  <c r="AC1292" i="20"/>
  <c r="Q1292" i="20"/>
  <c r="T1320" i="20"/>
  <c r="Q1353" i="20"/>
  <c r="AC1353" i="20"/>
  <c r="T1382" i="20"/>
  <c r="AC1398" i="20"/>
  <c r="Q1398" i="20"/>
  <c r="Q1402" i="20"/>
  <c r="AC1402" i="20"/>
  <c r="T1421" i="20"/>
  <c r="U1421" i="20" s="1"/>
  <c r="Y1465" i="20"/>
  <c r="Z1556" i="20"/>
  <c r="J1556" i="20" s="1"/>
  <c r="Y1556" i="20"/>
  <c r="Q1569" i="20"/>
  <c r="AC1569" i="20"/>
  <c r="Z1625" i="20"/>
  <c r="Y1625" i="20"/>
  <c r="L427" i="20"/>
  <c r="L459" i="20"/>
  <c r="L491" i="20"/>
  <c r="N522" i="20"/>
  <c r="O522" i="20" s="1"/>
  <c r="T585" i="20"/>
  <c r="U585" i="20" s="1"/>
  <c r="T611" i="20"/>
  <c r="L615" i="20"/>
  <c r="T682" i="20"/>
  <c r="T713" i="20"/>
  <c r="U713" i="20" s="1"/>
  <c r="L720" i="20"/>
  <c r="L779" i="20"/>
  <c r="P795" i="20"/>
  <c r="P813" i="20"/>
  <c r="T851" i="20"/>
  <c r="N865" i="20"/>
  <c r="O865" i="20" s="1"/>
  <c r="N888" i="20"/>
  <c r="O888" i="20" s="1"/>
  <c r="P911" i="20"/>
  <c r="N911" i="20"/>
  <c r="O911" i="20" s="1"/>
  <c r="Z933" i="20"/>
  <c r="J933" i="20" s="1"/>
  <c r="Y933" i="20"/>
  <c r="L944" i="20"/>
  <c r="AC976" i="20"/>
  <c r="Q976" i="20"/>
  <c r="Q993" i="20"/>
  <c r="L1012" i="20"/>
  <c r="L1015" i="20"/>
  <c r="AB1031" i="20"/>
  <c r="T1034" i="20"/>
  <c r="T1037" i="20"/>
  <c r="Y1053" i="20"/>
  <c r="Z1053" i="20"/>
  <c r="J1053" i="20" s="1"/>
  <c r="P1053" i="20" s="1"/>
  <c r="M1078" i="20"/>
  <c r="AC1088" i="20"/>
  <c r="Q1088" i="20"/>
  <c r="AC1090" i="20"/>
  <c r="P1101" i="20"/>
  <c r="P1115" i="20"/>
  <c r="AC1118" i="20"/>
  <c r="Q1118" i="20"/>
  <c r="Y1132" i="20"/>
  <c r="Z1132" i="20"/>
  <c r="T1135" i="20"/>
  <c r="P1180" i="20"/>
  <c r="N1180" i="20"/>
  <c r="AB1180" i="20"/>
  <c r="Z1185" i="20"/>
  <c r="Y1185" i="20"/>
  <c r="P1191" i="20"/>
  <c r="P1197" i="20"/>
  <c r="AB1197" i="20"/>
  <c r="Y1211" i="20"/>
  <c r="Q1257" i="20"/>
  <c r="AC1257" i="20"/>
  <c r="P1346" i="20"/>
  <c r="AB1346" i="20"/>
  <c r="L1353" i="20"/>
  <c r="AC1357" i="20"/>
  <c r="Q1357" i="20"/>
  <c r="L1402" i="20"/>
  <c r="M1412" i="20"/>
  <c r="L1412" i="20"/>
  <c r="M1493" i="20"/>
  <c r="L1493" i="20"/>
  <c r="Q1565" i="20"/>
  <c r="T547" i="20"/>
  <c r="U547" i="20" s="1"/>
  <c r="Z651" i="20"/>
  <c r="J651" i="20" s="1"/>
  <c r="Y651" i="20"/>
  <c r="Q736" i="20"/>
  <c r="AC800" i="20"/>
  <c r="Q800" i="20"/>
  <c r="Q813" i="20"/>
  <c r="P893" i="20"/>
  <c r="T926" i="20"/>
  <c r="Q936" i="20"/>
  <c r="T970" i="20"/>
  <c r="N986" i="20"/>
  <c r="O986" i="20" s="1"/>
  <c r="T993" i="20"/>
  <c r="P1043" i="20"/>
  <c r="N1043" i="20"/>
  <c r="O1043" i="20" s="1"/>
  <c r="T1075" i="20"/>
  <c r="T1078" i="20"/>
  <c r="AC1091" i="20"/>
  <c r="Q1091" i="20"/>
  <c r="Z1152" i="20"/>
  <c r="Y1152" i="20"/>
  <c r="Q1180" i="20"/>
  <c r="AC1180" i="20"/>
  <c r="Q1191" i="20"/>
  <c r="M1197" i="20"/>
  <c r="Q1223" i="20"/>
  <c r="AC1223" i="20"/>
  <c r="N1235" i="20"/>
  <c r="O1235" i="20" s="1"/>
  <c r="L1257" i="20"/>
  <c r="Z1382" i="20"/>
  <c r="J1382" i="20" s="1"/>
  <c r="Y1382" i="20"/>
  <c r="T1462" i="20"/>
  <c r="Z1691" i="20"/>
  <c r="J1691" i="20" s="1"/>
  <c r="P1691" i="20" s="1"/>
  <c r="Y1691" i="20"/>
  <c r="Y1733" i="20"/>
  <c r="Z1733" i="20"/>
  <c r="J1733" i="20" s="1"/>
  <c r="Z1094" i="20"/>
  <c r="J1094" i="20" s="1"/>
  <c r="Y1094" i="20"/>
  <c r="T1117" i="20"/>
  <c r="Z1122" i="20"/>
  <c r="Y1122" i="20"/>
  <c r="AB1174" i="20"/>
  <c r="N1174" i="20"/>
  <c r="N1200" i="20"/>
  <c r="P1200" i="20"/>
  <c r="AB1200" i="20"/>
  <c r="Z1228" i="20"/>
  <c r="J1228" i="20" s="1"/>
  <c r="P1228" i="20" s="1"/>
  <c r="Y1228" i="20"/>
  <c r="T1263" i="20"/>
  <c r="U1263" i="20" s="1"/>
  <c r="Z1266" i="20"/>
  <c r="Y1266" i="20"/>
  <c r="Z1281" i="20"/>
  <c r="Y1281" i="20"/>
  <c r="T1296" i="20"/>
  <c r="U1296" i="20" s="1"/>
  <c r="J1296" i="20" s="1"/>
  <c r="AB1328" i="20"/>
  <c r="P1328" i="20"/>
  <c r="Z1404" i="20"/>
  <c r="Y1404" i="20"/>
  <c r="T1442" i="20"/>
  <c r="U1442" i="20" s="1"/>
  <c r="Z1473" i="20"/>
  <c r="J1473" i="20" s="1"/>
  <c r="P1473" i="20" s="1"/>
  <c r="Y1473" i="20"/>
  <c r="Z1513" i="20"/>
  <c r="J1513" i="20" s="1"/>
  <c r="Y1513" i="20"/>
  <c r="M1517" i="20"/>
  <c r="L1517" i="20"/>
  <c r="T1529" i="20"/>
  <c r="AB1753" i="20"/>
  <c r="N1753" i="20"/>
  <c r="O1753" i="20" s="1"/>
  <c r="P1753" i="20"/>
  <c r="Z1839" i="20"/>
  <c r="Y1839" i="20"/>
  <c r="Z2166" i="20"/>
  <c r="Y2166" i="20"/>
  <c r="M1145" i="20"/>
  <c r="L1145" i="20"/>
  <c r="T1171" i="20"/>
  <c r="AC1174" i="20"/>
  <c r="Q1174" i="20"/>
  <c r="AC1179" i="20"/>
  <c r="Q1179" i="20"/>
  <c r="AB1206" i="20"/>
  <c r="N1206" i="20"/>
  <c r="O1206" i="20" s="1"/>
  <c r="Z1212" i="20"/>
  <c r="Y1212" i="20"/>
  <c r="J1238" i="20"/>
  <c r="P1238" i="20" s="1"/>
  <c r="M1242" i="20"/>
  <c r="L1242" i="20"/>
  <c r="T1288" i="20"/>
  <c r="U1288" i="20" s="1"/>
  <c r="AC1300" i="20"/>
  <c r="Q1300" i="20"/>
  <c r="N1300" i="20"/>
  <c r="O1300" i="20" s="1"/>
  <c r="Z1369" i="20"/>
  <c r="J1369" i="20" s="1"/>
  <c r="Y1369" i="20"/>
  <c r="P1401" i="20"/>
  <c r="AB1401" i="20"/>
  <c r="N1401" i="20"/>
  <c r="O1401" i="20" s="1"/>
  <c r="Z1442" i="20"/>
  <c r="J1442" i="20" s="1"/>
  <c r="Y1442" i="20"/>
  <c r="Z1477" i="20"/>
  <c r="J1477" i="20" s="1"/>
  <c r="P1477" i="20" s="1"/>
  <c r="Y1477" i="20"/>
  <c r="Q1652" i="20"/>
  <c r="P1787" i="20"/>
  <c r="N1787" i="20"/>
  <c r="O1787" i="20" s="1"/>
  <c r="AB1787" i="20"/>
  <c r="AB1814" i="20"/>
  <c r="P1814" i="20"/>
  <c r="N1814" i="20"/>
  <c r="AB1944" i="20"/>
  <c r="P1944" i="20"/>
  <c r="N1944" i="20"/>
  <c r="O1944" i="20" s="1"/>
  <c r="Z1984" i="20"/>
  <c r="Y1984" i="20"/>
  <c r="Y2263" i="20"/>
  <c r="Z2263" i="20"/>
  <c r="Q1130" i="20"/>
  <c r="AC1130" i="20"/>
  <c r="Y1194" i="20"/>
  <c r="T1197" i="20"/>
  <c r="AC1209" i="20"/>
  <c r="Q1209" i="20"/>
  <c r="M1229" i="20"/>
  <c r="L1229" i="20"/>
  <c r="Y1238" i="20"/>
  <c r="N1271" i="20"/>
  <c r="O1271" i="20" s="1"/>
  <c r="T1292" i="20"/>
  <c r="U1292" i="20" s="1"/>
  <c r="AC1325" i="20"/>
  <c r="Q1325" i="20"/>
  <c r="N1328" i="20"/>
  <c r="O1328" i="20" s="1"/>
  <c r="AB1357" i="20"/>
  <c r="P1357" i="20"/>
  <c r="N1357" i="20"/>
  <c r="O1357" i="20" s="1"/>
  <c r="L1387" i="20"/>
  <c r="M1387" i="20"/>
  <c r="M1401" i="20"/>
  <c r="Q1421" i="20"/>
  <c r="Z1480" i="20"/>
  <c r="J1480" i="20" s="1"/>
  <c r="Y1480" i="20"/>
  <c r="Z1549" i="20"/>
  <c r="J1549" i="20" s="1"/>
  <c r="Y1549" i="20"/>
  <c r="Z1574" i="20"/>
  <c r="J1574" i="20" s="1"/>
  <c r="P1574" i="20" s="1"/>
  <c r="Y1574" i="20"/>
  <c r="M1924" i="20"/>
  <c r="L1924" i="20"/>
  <c r="T2170" i="20"/>
  <c r="N793" i="20"/>
  <c r="O793" i="20" s="1"/>
  <c r="T899" i="20"/>
  <c r="AB919" i="20"/>
  <c r="M977" i="20"/>
  <c r="L977" i="20"/>
  <c r="Q1076" i="20"/>
  <c r="AB1120" i="20"/>
  <c r="P1120" i="20"/>
  <c r="N1120" i="20"/>
  <c r="N1135" i="20"/>
  <c r="T1145" i="20"/>
  <c r="Z1171" i="20"/>
  <c r="Y1171" i="20"/>
  <c r="T1174" i="20"/>
  <c r="T1200" i="20"/>
  <c r="P1206" i="20"/>
  <c r="M1239" i="20"/>
  <c r="L1239" i="20"/>
  <c r="Z1242" i="20"/>
  <c r="J1242" i="20" s="1"/>
  <c r="Y1242" i="20"/>
  <c r="P1271" i="20"/>
  <c r="N1405" i="20"/>
  <c r="O1405" i="20" s="1"/>
  <c r="Z1417" i="20"/>
  <c r="J1417" i="20" s="1"/>
  <c r="P1417" i="20" s="1"/>
  <c r="Y1417" i="20"/>
  <c r="Y1447" i="20"/>
  <c r="Z1447" i="20"/>
  <c r="J1447" i="20" s="1"/>
  <c r="T1459" i="20"/>
  <c r="AB1497" i="20"/>
  <c r="N1497" i="20"/>
  <c r="O1497" i="20" s="1"/>
  <c r="Q1522" i="20"/>
  <c r="AC1522" i="20"/>
  <c r="M1575" i="20"/>
  <c r="L1575" i="20"/>
  <c r="P1056" i="20"/>
  <c r="Z1073" i="20"/>
  <c r="J1073" i="20" s="1"/>
  <c r="P1073" i="20" s="1"/>
  <c r="Y1073" i="20"/>
  <c r="M1158" i="20"/>
  <c r="L1158" i="20"/>
  <c r="AC1169" i="20"/>
  <c r="Q1169" i="20"/>
  <c r="N1203" i="20"/>
  <c r="O1203" i="20" s="1"/>
  <c r="Q1206" i="20"/>
  <c r="Q1271" i="20"/>
  <c r="AB1278" i="20"/>
  <c r="N1278" i="20"/>
  <c r="O1278" i="20" s="1"/>
  <c r="T1304" i="20"/>
  <c r="Z1311" i="20"/>
  <c r="J1311" i="20" s="1"/>
  <c r="Y1311" i="20"/>
  <c r="Q1332" i="20"/>
  <c r="AC1332" i="20"/>
  <c r="AB1347" i="20"/>
  <c r="N1347" i="20"/>
  <c r="O1347" i="20" s="1"/>
  <c r="AB1398" i="20"/>
  <c r="N1398" i="20"/>
  <c r="O1398" i="20" s="1"/>
  <c r="P1398" i="20"/>
  <c r="Z1430" i="20"/>
  <c r="J1430" i="20" s="1"/>
  <c r="P1430" i="20" s="1"/>
  <c r="M1474" i="20"/>
  <c r="L1474" i="20"/>
  <c r="T1514" i="20"/>
  <c r="T1542" i="20"/>
  <c r="Z1578" i="20"/>
  <c r="J1578" i="20" s="1"/>
  <c r="P1578" i="20" s="1"/>
  <c r="Y1578" i="20"/>
  <c r="AC1639" i="20"/>
  <c r="Q1639" i="20"/>
  <c r="N1639" i="20"/>
  <c r="T1675" i="20"/>
  <c r="U1675" i="20" s="1"/>
  <c r="Z1711" i="20"/>
  <c r="J1711" i="20" s="1"/>
  <c r="Y1711" i="20"/>
  <c r="M1720" i="20"/>
  <c r="L1720" i="20"/>
  <c r="Z1724" i="20"/>
  <c r="J1724" i="20" s="1"/>
  <c r="P1724" i="20" s="1"/>
  <c r="Y1724" i="20"/>
  <c r="Z1957" i="20"/>
  <c r="Z1120" i="20"/>
  <c r="Y1120" i="20"/>
  <c r="Q1138" i="20"/>
  <c r="AC1138" i="20"/>
  <c r="AC1172" i="20"/>
  <c r="Q1172" i="20"/>
  <c r="AB1243" i="20"/>
  <c r="P1243" i="20"/>
  <c r="N1243" i="20"/>
  <c r="O1243" i="20" s="1"/>
  <c r="T1318" i="20"/>
  <c r="AB1344" i="20"/>
  <c r="P1344" i="20"/>
  <c r="AB1361" i="20"/>
  <c r="N1361" i="20"/>
  <c r="O1361" i="20" s="1"/>
  <c r="AC1418" i="20"/>
  <c r="Q1418" i="20"/>
  <c r="Z1506" i="20"/>
  <c r="J1506" i="20" s="1"/>
  <c r="P1506" i="20" s="1"/>
  <c r="Y1506" i="20"/>
  <c r="Y1522" i="20"/>
  <c r="Z1522" i="20"/>
  <c r="J1522" i="20" s="1"/>
  <c r="Z1619" i="20"/>
  <c r="P1172" i="20"/>
  <c r="AB1172" i="20"/>
  <c r="J1206" i="20"/>
  <c r="T1216" i="20"/>
  <c r="U1216" i="20" s="1"/>
  <c r="J1222" i="20"/>
  <c r="J1229" i="20"/>
  <c r="AC1243" i="20"/>
  <c r="Q1243" i="20"/>
  <c r="P1247" i="20"/>
  <c r="N1247" i="20"/>
  <c r="O1247" i="20" s="1"/>
  <c r="T1257" i="20"/>
  <c r="U1257" i="20" s="1"/>
  <c r="T1282" i="20"/>
  <c r="U1282" i="20" s="1"/>
  <c r="J1285" i="20"/>
  <c r="P1285" i="20" s="1"/>
  <c r="T1347" i="20"/>
  <c r="Y1387" i="20"/>
  <c r="Z1387" i="20"/>
  <c r="J1387" i="20" s="1"/>
  <c r="AC1435" i="20"/>
  <c r="Q1435" i="20"/>
  <c r="Z1438" i="20"/>
  <c r="J1438" i="20" s="1"/>
  <c r="P1438" i="20" s="1"/>
  <c r="Y1438" i="20"/>
  <c r="AC1448" i="20"/>
  <c r="Q1448" i="20"/>
  <c r="Z1481" i="20"/>
  <c r="J1481" i="20" s="1"/>
  <c r="Y1481" i="20"/>
  <c r="M1486" i="20"/>
  <c r="L1486" i="20"/>
  <c r="T1613" i="20"/>
  <c r="P1626" i="20"/>
  <c r="AB1626" i="20"/>
  <c r="N1626" i="20"/>
  <c r="Z1780" i="20"/>
  <c r="J1780" i="20" s="1"/>
  <c r="Y1780" i="20"/>
  <c r="M1899" i="20"/>
  <c r="L1899" i="20"/>
  <c r="Y1909" i="20"/>
  <c r="T2322" i="20"/>
  <c r="T1108" i="20"/>
  <c r="AB1135" i="20"/>
  <c r="Z1187" i="20"/>
  <c r="Y1187" i="20"/>
  <c r="N1198" i="20"/>
  <c r="P1198" i="20"/>
  <c r="Z1275" i="20"/>
  <c r="J1275" i="20" s="1"/>
  <c r="Y1275" i="20"/>
  <c r="Z1301" i="20"/>
  <c r="J1301" i="20" s="1"/>
  <c r="Y1301" i="20"/>
  <c r="Q1344" i="20"/>
  <c r="T1361" i="20"/>
  <c r="Z1422" i="20"/>
  <c r="Z1444" i="20"/>
  <c r="J1444" i="20" s="1"/>
  <c r="Y1444" i="20"/>
  <c r="T1448" i="20"/>
  <c r="U1448" i="20" s="1"/>
  <c r="Y1467" i="20"/>
  <c r="Z1467" i="20"/>
  <c r="J1467" i="20" s="1"/>
  <c r="P1467" i="20" s="1"/>
  <c r="Z1497" i="20"/>
  <c r="J1497" i="20" s="1"/>
  <c r="P1497" i="20" s="1"/>
  <c r="Y1497" i="20"/>
  <c r="Z1712" i="20"/>
  <c r="J1712" i="20" s="1"/>
  <c r="Y1712" i="20"/>
  <c r="Q1967" i="20"/>
  <c r="N1967" i="20"/>
  <c r="O1967" i="20" s="1"/>
  <c r="AC1967" i="20"/>
  <c r="AB2075" i="20"/>
  <c r="N2075" i="20"/>
  <c r="O2075" i="20" s="1"/>
  <c r="M1059" i="20"/>
  <c r="Q1066" i="20"/>
  <c r="AC1066" i="20"/>
  <c r="Y1071" i="20"/>
  <c r="Z1071" i="20"/>
  <c r="J1071" i="20" s="1"/>
  <c r="N1121" i="20"/>
  <c r="P1153" i="20"/>
  <c r="T1180" i="20"/>
  <c r="AB1203" i="20"/>
  <c r="Z1219" i="20"/>
  <c r="Y1219" i="20"/>
  <c r="N1223" i="20"/>
  <c r="O1223" i="20" s="1"/>
  <c r="AB1223" i="20"/>
  <c r="Z1226" i="20"/>
  <c r="Y1226" i="20"/>
  <c r="Q1233" i="20"/>
  <c r="M1251" i="20"/>
  <c r="L1251" i="20"/>
  <c r="N1279" i="20"/>
  <c r="O1279" i="20" s="1"/>
  <c r="AB1279" i="20"/>
  <c r="P1333" i="20"/>
  <c r="AB1333" i="20"/>
  <c r="N1333" i="20"/>
  <c r="O1333" i="20" s="1"/>
  <c r="T1358" i="20"/>
  <c r="Z1364" i="20"/>
  <c r="J1364" i="20" s="1"/>
  <c r="P1364" i="20" s="1"/>
  <c r="Y1364" i="20"/>
  <c r="T1410" i="20"/>
  <c r="U1410" i="20" s="1"/>
  <c r="Y1422" i="20"/>
  <c r="AB1427" i="20"/>
  <c r="N1427" i="20"/>
  <c r="O1427" i="20" s="1"/>
  <c r="N1494" i="20"/>
  <c r="O1494" i="20" s="1"/>
  <c r="AB1494" i="20"/>
  <c r="M1563" i="20"/>
  <c r="L1563" i="20"/>
  <c r="Q1647" i="20"/>
  <c r="AC1647" i="20"/>
  <c r="N1647" i="20"/>
  <c r="Y1766" i="20"/>
  <c r="Z1766" i="20"/>
  <c r="AC1954" i="20"/>
  <c r="Q1954" i="20"/>
  <c r="P959" i="20"/>
  <c r="T975" i="20"/>
  <c r="Z1012" i="20"/>
  <c r="J1012" i="20" s="1"/>
  <c r="Y1012" i="20"/>
  <c r="N1035" i="20"/>
  <c r="O1035" i="20" s="1"/>
  <c r="P1035" i="20"/>
  <c r="P1052" i="20"/>
  <c r="N1052" i="20"/>
  <c r="O1052" i="20" s="1"/>
  <c r="AC1071" i="20"/>
  <c r="Q1111" i="20"/>
  <c r="Z1143" i="20"/>
  <c r="Y1143" i="20"/>
  <c r="Q1162" i="20"/>
  <c r="AC1162" i="20"/>
  <c r="Z1190" i="20"/>
  <c r="Y1190" i="20"/>
  <c r="P1193" i="20"/>
  <c r="AB1193" i="20"/>
  <c r="AC1214" i="20"/>
  <c r="Q1214" i="20"/>
  <c r="Z1254" i="20"/>
  <c r="Y1254" i="20"/>
  <c r="AC1272" i="20"/>
  <c r="Q1272" i="20"/>
  <c r="Y1286" i="20"/>
  <c r="Z1286" i="20"/>
  <c r="J1286" i="20" s="1"/>
  <c r="Z1312" i="20"/>
  <c r="J1312" i="20" s="1"/>
  <c r="Y1312" i="20"/>
  <c r="AB1337" i="20"/>
  <c r="N1337" i="20"/>
  <c r="O1337" i="20" s="1"/>
  <c r="AC1371" i="20"/>
  <c r="Q1371" i="20"/>
  <c r="AC1385" i="20"/>
  <c r="Q1385" i="20"/>
  <c r="T1399" i="20"/>
  <c r="Y1406" i="20"/>
  <c r="Z1406" i="20"/>
  <c r="T1419" i="20"/>
  <c r="U1419" i="20" s="1"/>
  <c r="T1456" i="20"/>
  <c r="Z1475" i="20"/>
  <c r="J1475" i="20" s="1"/>
  <c r="Y1475" i="20"/>
  <c r="Z1482" i="20"/>
  <c r="J1482" i="20" s="1"/>
  <c r="Y1482" i="20"/>
  <c r="M1640" i="20"/>
  <c r="L1640" i="20"/>
  <c r="Z1686" i="20"/>
  <c r="T1822" i="20"/>
  <c r="Q1946" i="20"/>
  <c r="AC1946" i="20"/>
  <c r="T717" i="20"/>
  <c r="U717" i="20" s="1"/>
  <c r="M729" i="20"/>
  <c r="L729" i="20"/>
  <c r="AC805" i="20"/>
  <c r="T865" i="20"/>
  <c r="M896" i="20"/>
  <c r="Y926" i="20"/>
  <c r="M959" i="20"/>
  <c r="N959" i="20" s="1"/>
  <c r="O959" i="20" s="1"/>
  <c r="AB978" i="20"/>
  <c r="P978" i="20"/>
  <c r="N978" i="20"/>
  <c r="O978" i="20" s="1"/>
  <c r="Z1000" i="20"/>
  <c r="J1000" i="20" s="1"/>
  <c r="P1000" i="20" s="1"/>
  <c r="Y1000" i="20"/>
  <c r="N1003" i="20"/>
  <c r="O1003" i="20" s="1"/>
  <c r="Z1049" i="20"/>
  <c r="J1049" i="20" s="1"/>
  <c r="Y1049" i="20"/>
  <c r="Q1052" i="20"/>
  <c r="AC1052" i="20"/>
  <c r="AB1056" i="20"/>
  <c r="P1096" i="20"/>
  <c r="N1096" i="20"/>
  <c r="O1096" i="20" s="1"/>
  <c r="M1159" i="20"/>
  <c r="L1159" i="20"/>
  <c r="L1162" i="20"/>
  <c r="AC1170" i="20"/>
  <c r="Q1170" i="20"/>
  <c r="M1173" i="20"/>
  <c r="L1173" i="20"/>
  <c r="Y1180" i="20"/>
  <c r="N1193" i="20"/>
  <c r="L1214" i="20"/>
  <c r="Z1223" i="20"/>
  <c r="Y1223" i="20"/>
  <c r="Y1236" i="20"/>
  <c r="AB1247" i="20"/>
  <c r="M1258" i="20"/>
  <c r="Z1261" i="20"/>
  <c r="J1261" i="20" s="1"/>
  <c r="P1261" i="20" s="1"/>
  <c r="Y1261" i="20"/>
  <c r="M1337" i="20"/>
  <c r="T1351" i="20"/>
  <c r="T1368" i="20"/>
  <c r="T1371" i="20"/>
  <c r="N1445" i="20"/>
  <c r="O1445" i="20" s="1"/>
  <c r="AB1445" i="20"/>
  <c r="Z1452" i="20"/>
  <c r="J1452" i="20" s="1"/>
  <c r="Y1452" i="20"/>
  <c r="Z1494" i="20"/>
  <c r="J1494" i="20" s="1"/>
  <c r="P1494" i="20" s="1"/>
  <c r="Y1494" i="20"/>
  <c r="Z1576" i="20"/>
  <c r="J1576" i="20" s="1"/>
  <c r="P1576" i="20" s="1"/>
  <c r="Y1576" i="20"/>
  <c r="Z1580" i="20"/>
  <c r="J1580" i="20" s="1"/>
  <c r="T1607" i="20"/>
  <c r="AC1748" i="20"/>
  <c r="Q1748" i="20"/>
  <c r="AC1759" i="20"/>
  <c r="N1759" i="20"/>
  <c r="O1759" i="20" s="1"/>
  <c r="Q1759" i="20"/>
  <c r="Q1801" i="20"/>
  <c r="AC1801" i="20"/>
  <c r="Z1842" i="20"/>
  <c r="J1842" i="20" s="1"/>
  <c r="Y1842" i="20"/>
  <c r="AC1935" i="20"/>
  <c r="Q1935" i="20"/>
  <c r="N1935" i="20"/>
  <c r="O1935" i="20" s="1"/>
  <c r="AB909" i="20"/>
  <c r="N909" i="20"/>
  <c r="O909" i="20" s="1"/>
  <c r="M924" i="20"/>
  <c r="L924" i="20"/>
  <c r="P957" i="20"/>
  <c r="N957" i="20"/>
  <c r="O957" i="20" s="1"/>
  <c r="P987" i="20"/>
  <c r="N987" i="20"/>
  <c r="O987" i="20" s="1"/>
  <c r="AB987" i="20"/>
  <c r="AB1018" i="20"/>
  <c r="N1018" i="20"/>
  <c r="O1018" i="20" s="1"/>
  <c r="T1035" i="20"/>
  <c r="AB1064" i="20"/>
  <c r="Z1066" i="20"/>
  <c r="J1066" i="20" s="1"/>
  <c r="P1066" i="20" s="1"/>
  <c r="Y1066" i="20"/>
  <c r="AB1080" i="20"/>
  <c r="P1080" i="20"/>
  <c r="AC1083" i="20"/>
  <c r="Q1083" i="20"/>
  <c r="AB1088" i="20"/>
  <c r="P1088" i="20"/>
  <c r="P1109" i="20"/>
  <c r="AB1109" i="20"/>
  <c r="T1131" i="20"/>
  <c r="Z1164" i="20"/>
  <c r="Y1164" i="20"/>
  <c r="AB1170" i="20"/>
  <c r="P1170" i="20"/>
  <c r="N1170" i="20"/>
  <c r="T1204" i="20"/>
  <c r="U1204" i="20" s="1"/>
  <c r="T1217" i="20"/>
  <c r="U1217" i="20" s="1"/>
  <c r="AB1220" i="20"/>
  <c r="Q1244" i="20"/>
  <c r="AC1244" i="20"/>
  <c r="AC1265" i="20"/>
  <c r="Q1265" i="20"/>
  <c r="Z1279" i="20"/>
  <c r="Y1279" i="20"/>
  <c r="N1323" i="20"/>
  <c r="O1323" i="20" s="1"/>
  <c r="AB1323" i="20"/>
  <c r="P1323" i="20"/>
  <c r="Y1326" i="20"/>
  <c r="Z1326" i="20"/>
  <c r="J1326" i="20" s="1"/>
  <c r="Z1333" i="20"/>
  <c r="J1333" i="20" s="1"/>
  <c r="Y1333" i="20"/>
  <c r="P1365" i="20"/>
  <c r="AB1365" i="20"/>
  <c r="N1365" i="20"/>
  <c r="O1365" i="20" s="1"/>
  <c r="AB1432" i="20"/>
  <c r="N1432" i="20"/>
  <c r="O1432" i="20" s="1"/>
  <c r="Y1647" i="20"/>
  <c r="Z1647" i="20"/>
  <c r="Y1822" i="20"/>
  <c r="Z1822" i="20"/>
  <c r="L939" i="20"/>
  <c r="M957" i="20"/>
  <c r="L971" i="20"/>
  <c r="Q1018" i="20"/>
  <c r="AC1018" i="20"/>
  <c r="Z1032" i="20"/>
  <c r="J1032" i="20" s="1"/>
  <c r="P1032" i="20" s="1"/>
  <c r="Y1042" i="20"/>
  <c r="M1072" i="20"/>
  <c r="N1072" i="20" s="1"/>
  <c r="O1072" i="20" s="1"/>
  <c r="AB1083" i="20"/>
  <c r="T1101" i="20"/>
  <c r="Q1106" i="20"/>
  <c r="N1109" i="20"/>
  <c r="M1124" i="20"/>
  <c r="L1124" i="20"/>
  <c r="T1141" i="20"/>
  <c r="L1151" i="20"/>
  <c r="Y1167" i="20"/>
  <c r="T1193" i="20"/>
  <c r="Y1204" i="20"/>
  <c r="Z1204" i="20"/>
  <c r="J1204" i="20" s="1"/>
  <c r="T1214" i="20"/>
  <c r="U1214" i="20" s="1"/>
  <c r="M1220" i="20"/>
  <c r="Q1306" i="20"/>
  <c r="AC1306" i="20"/>
  <c r="T1319" i="20"/>
  <c r="M1323" i="20"/>
  <c r="T1415" i="20"/>
  <c r="U1415" i="20" s="1"/>
  <c r="AB1491" i="20"/>
  <c r="P1491" i="20"/>
  <c r="Z1527" i="20"/>
  <c r="J1527" i="20" s="1"/>
  <c r="T1585" i="20"/>
  <c r="AC1722" i="20"/>
  <c r="N1722" i="20"/>
  <c r="O1722" i="20" s="1"/>
  <c r="Q1722" i="20"/>
  <c r="M1744" i="20"/>
  <c r="L1744" i="20"/>
  <c r="Q1816" i="20"/>
  <c r="AC1816" i="20"/>
  <c r="T774" i="20"/>
  <c r="U774" i="20" s="1"/>
  <c r="J774" i="20" s="1"/>
  <c r="N794" i="20"/>
  <c r="O794" i="20" s="1"/>
  <c r="AB794" i="20"/>
  <c r="T911" i="20"/>
  <c r="P922" i="20"/>
  <c r="N922" i="20"/>
  <c r="O922" i="20" s="1"/>
  <c r="M946" i="20"/>
  <c r="L946" i="20"/>
  <c r="N964" i="20"/>
  <c r="O964" i="20" s="1"/>
  <c r="P994" i="20"/>
  <c r="N1064" i="20"/>
  <c r="O1064" i="20" s="1"/>
  <c r="N1080" i="20"/>
  <c r="O1080" i="20" s="1"/>
  <c r="N1083" i="20"/>
  <c r="O1083" i="20" s="1"/>
  <c r="Y1085" i="20"/>
  <c r="Z1085" i="20"/>
  <c r="J1085" i="20" s="1"/>
  <c r="P1085" i="20" s="1"/>
  <c r="N1088" i="20"/>
  <c r="O1088" i="20" s="1"/>
  <c r="N1099" i="20"/>
  <c r="O1099" i="20" s="1"/>
  <c r="AB1099" i="20"/>
  <c r="T1106" i="20"/>
  <c r="AC1139" i="20"/>
  <c r="Q1139" i="20"/>
  <c r="M1154" i="20"/>
  <c r="L1154" i="20"/>
  <c r="M1196" i="20"/>
  <c r="L1196" i="20"/>
  <c r="AB1198" i="20"/>
  <c r="Z1217" i="20"/>
  <c r="Y1217" i="20"/>
  <c r="N1220" i="20"/>
  <c r="O1220" i="20" s="1"/>
  <c r="AB1224" i="20"/>
  <c r="N1224" i="20"/>
  <c r="O1224" i="20" s="1"/>
  <c r="T1227" i="20"/>
  <c r="U1227" i="20" s="1"/>
  <c r="M1248" i="20"/>
  <c r="L1248" i="20"/>
  <c r="T1265" i="20"/>
  <c r="U1265" i="20" s="1"/>
  <c r="Y1309" i="20"/>
  <c r="Z1309" i="20"/>
  <c r="J1309" i="20" s="1"/>
  <c r="P1309" i="20" s="1"/>
  <c r="Q1316" i="20"/>
  <c r="Q1365" i="20"/>
  <c r="M1396" i="20"/>
  <c r="L1396" i="20"/>
  <c r="Y1415" i="20"/>
  <c r="Z1415" i="20"/>
  <c r="Q1428" i="20"/>
  <c r="T1432" i="20"/>
  <c r="U1432" i="20" s="1"/>
  <c r="AB1472" i="20"/>
  <c r="N1472" i="20"/>
  <c r="O1472" i="20" s="1"/>
  <c r="Z1487" i="20"/>
  <c r="J1487" i="20" s="1"/>
  <c r="Y1487" i="20"/>
  <c r="N1491" i="20"/>
  <c r="O1491" i="20" s="1"/>
  <c r="AB1516" i="20"/>
  <c r="P1516" i="20"/>
  <c r="Y1572" i="20"/>
  <c r="Z1572" i="20"/>
  <c r="J1572" i="20" s="1"/>
  <c r="P1572" i="20" s="1"/>
  <c r="N1816" i="20"/>
  <c r="Y705" i="20"/>
  <c r="L745" i="20"/>
  <c r="M816" i="20"/>
  <c r="L818" i="20"/>
  <c r="L820" i="20"/>
  <c r="J913" i="20"/>
  <c r="P913" i="20" s="1"/>
  <c r="Z968" i="20"/>
  <c r="J968" i="20" s="1"/>
  <c r="P968" i="20" s="1"/>
  <c r="Y968" i="20"/>
  <c r="M1001" i="20"/>
  <c r="L1001" i="20"/>
  <c r="Z1005" i="20"/>
  <c r="J1005" i="20" s="1"/>
  <c r="P1005" i="20" s="1"/>
  <c r="Y1005" i="20"/>
  <c r="P1013" i="20"/>
  <c r="N1013" i="20"/>
  <c r="O1013" i="20" s="1"/>
  <c r="P1018" i="20"/>
  <c r="Z1020" i="20"/>
  <c r="J1020" i="20" s="1"/>
  <c r="P1020" i="20" s="1"/>
  <c r="Y1020" i="20"/>
  <c r="P1045" i="20"/>
  <c r="N1045" i="20"/>
  <c r="O1045" i="20" s="1"/>
  <c r="AC1062" i="20"/>
  <c r="Q1062" i="20"/>
  <c r="P1072" i="20"/>
  <c r="T1080" i="20"/>
  <c r="Z1101" i="20"/>
  <c r="J1101" i="20" s="1"/>
  <c r="Y1101" i="20"/>
  <c r="Z1111" i="20"/>
  <c r="Y1111" i="20"/>
  <c r="Z1121" i="20"/>
  <c r="Y1121" i="20"/>
  <c r="Z1188" i="20"/>
  <c r="Y1188" i="20"/>
  <c r="T1220" i="20"/>
  <c r="U1220" i="20" s="1"/>
  <c r="AB1231" i="20"/>
  <c r="AB1234" i="20"/>
  <c r="AC1255" i="20"/>
  <c r="Q1255" i="20"/>
  <c r="T1316" i="20"/>
  <c r="Q1334" i="20"/>
  <c r="AC1334" i="20"/>
  <c r="M1472" i="20"/>
  <c r="M1499" i="20"/>
  <c r="L1499" i="20"/>
  <c r="AC1504" i="20"/>
  <c r="Q1504" i="20"/>
  <c r="Z1585" i="20"/>
  <c r="J1585" i="20" s="1"/>
  <c r="P1585" i="20" s="1"/>
  <c r="Y1585" i="20"/>
  <c r="T1611" i="20"/>
  <c r="T1669" i="20"/>
  <c r="U1669" i="20" s="1"/>
  <c r="AC1687" i="20"/>
  <c r="N1687" i="20"/>
  <c r="O1687" i="20" s="1"/>
  <c r="Q1687" i="20"/>
  <c r="Y1805" i="20"/>
  <c r="Z1805" i="20"/>
  <c r="J1805" i="20" s="1"/>
  <c r="Z1911" i="20"/>
  <c r="Y1911" i="20"/>
  <c r="L1922" i="20"/>
  <c r="M1922" i="20"/>
  <c r="T653" i="20"/>
  <c r="Z715" i="20"/>
  <c r="Y715" i="20"/>
  <c r="T727" i="20"/>
  <c r="U727" i="20" s="1"/>
  <c r="N739" i="20"/>
  <c r="O739" i="20" s="1"/>
  <c r="T798" i="20"/>
  <c r="U798" i="20" s="1"/>
  <c r="N808" i="20"/>
  <c r="O808" i="20" s="1"/>
  <c r="N812" i="20"/>
  <c r="O812" i="20" s="1"/>
  <c r="N826" i="20"/>
  <c r="O826" i="20" s="1"/>
  <c r="Q909" i="20"/>
  <c r="P955" i="20"/>
  <c r="N955" i="20"/>
  <c r="O955" i="20" s="1"/>
  <c r="P976" i="20"/>
  <c r="N994" i="20"/>
  <c r="O994" i="20" s="1"/>
  <c r="T996" i="20"/>
  <c r="L1062" i="20"/>
  <c r="Y1069" i="20"/>
  <c r="P1083" i="20"/>
  <c r="N1139" i="20"/>
  <c r="Y1141" i="20"/>
  <c r="Q1151" i="20"/>
  <c r="M1181" i="20"/>
  <c r="L1181" i="20"/>
  <c r="Z1201" i="20"/>
  <c r="Y1201" i="20"/>
  <c r="T1211" i="20"/>
  <c r="U1211" i="20" s="1"/>
  <c r="J1211" i="20" s="1"/>
  <c r="Z1227" i="20"/>
  <c r="Y1227" i="20"/>
  <c r="N1255" i="20"/>
  <c r="O1255" i="20" s="1"/>
  <c r="AB1258" i="20"/>
  <c r="AB1280" i="20"/>
  <c r="N1280" i="20"/>
  <c r="O1280" i="20" s="1"/>
  <c r="T1287" i="20"/>
  <c r="U1287" i="20" s="1"/>
  <c r="Z1294" i="20"/>
  <c r="J1294" i="20" s="1"/>
  <c r="Y1294" i="20"/>
  <c r="Z1345" i="20"/>
  <c r="J1345" i="20" s="1"/>
  <c r="Y1345" i="20"/>
  <c r="Y1355" i="20"/>
  <c r="Y1385" i="20"/>
  <c r="Z1385" i="20"/>
  <c r="J1385" i="20" s="1"/>
  <c r="Z1392" i="20"/>
  <c r="J1392" i="20" s="1"/>
  <c r="P1392" i="20" s="1"/>
  <c r="Y1392" i="20"/>
  <c r="Y1445" i="20"/>
  <c r="Z1445" i="20"/>
  <c r="J1445" i="20" s="1"/>
  <c r="P1445" i="20" s="1"/>
  <c r="AB1488" i="20"/>
  <c r="P1488" i="20"/>
  <c r="N1488" i="20"/>
  <c r="O1488" i="20" s="1"/>
  <c r="T1491" i="20"/>
  <c r="N1516" i="20"/>
  <c r="O1516" i="20" s="1"/>
  <c r="Q1520" i="20"/>
  <c r="AC1520" i="20"/>
  <c r="M1533" i="20"/>
  <c r="L1533" i="20"/>
  <c r="Y1547" i="20"/>
  <c r="Z1547" i="20"/>
  <c r="J1547" i="20" s="1"/>
  <c r="P1547" i="20" s="1"/>
  <c r="Z1614" i="20"/>
  <c r="AB1830" i="20"/>
  <c r="P1830" i="20"/>
  <c r="N1830" i="20"/>
  <c r="O1830" i="20" s="1"/>
  <c r="N1901" i="20"/>
  <c r="O1901" i="20" s="1"/>
  <c r="AB1901" i="20"/>
  <c r="Z1108" i="20"/>
  <c r="Y1108" i="20"/>
  <c r="P1130" i="20"/>
  <c r="N1130" i="20"/>
  <c r="T1136" i="20"/>
  <c r="Z1191" i="20"/>
  <c r="Y1191" i="20"/>
  <c r="P1194" i="20"/>
  <c r="N1194" i="20"/>
  <c r="Z1244" i="20"/>
  <c r="J1244" i="20" s="1"/>
  <c r="P1244" i="20" s="1"/>
  <c r="Y1244" i="20"/>
  <c r="T1346" i="20"/>
  <c r="P1372" i="20"/>
  <c r="AB1372" i="20"/>
  <c r="AC1452" i="20"/>
  <c r="Q1452" i="20"/>
  <c r="T1455" i="20"/>
  <c r="P1483" i="20"/>
  <c r="Q1494" i="20"/>
  <c r="AC1494" i="20"/>
  <c r="T1524" i="20"/>
  <c r="M1540" i="20"/>
  <c r="L1540" i="20"/>
  <c r="T1561" i="20"/>
  <c r="T1577" i="20"/>
  <c r="Q1593" i="20"/>
  <c r="N1593" i="20"/>
  <c r="O1593" i="20" s="1"/>
  <c r="N1721" i="20"/>
  <c r="O1721" i="20" s="1"/>
  <c r="P1721" i="20"/>
  <c r="AB1721" i="20"/>
  <c r="Z1728" i="20"/>
  <c r="J1728" i="20" s="1"/>
  <c r="Y1728" i="20"/>
  <c r="Z1779" i="20"/>
  <c r="J1779" i="20" s="1"/>
  <c r="Y1779" i="20"/>
  <c r="M1783" i="20"/>
  <c r="L1783" i="20"/>
  <c r="AB1835" i="20"/>
  <c r="P1835" i="20"/>
  <c r="N1835" i="20"/>
  <c r="O1835" i="20" s="1"/>
  <c r="Y2058" i="20"/>
  <c r="Z2058" i="20"/>
  <c r="AC2187" i="20"/>
  <c r="Q2187" i="20"/>
  <c r="Y2247" i="20"/>
  <c r="Z2247" i="20"/>
  <c r="T1236" i="20"/>
  <c r="U1236" i="20" s="1"/>
  <c r="J1236" i="20" s="1"/>
  <c r="P1236" i="20" s="1"/>
  <c r="Z1241" i="20"/>
  <c r="Y1241" i="20"/>
  <c r="Z1265" i="20"/>
  <c r="J1265" i="20" s="1"/>
  <c r="P1265" i="20" s="1"/>
  <c r="Y1265" i="20"/>
  <c r="T1268" i="20"/>
  <c r="U1268" i="20" s="1"/>
  <c r="T1291" i="20"/>
  <c r="U1291" i="20" s="1"/>
  <c r="Z1325" i="20"/>
  <c r="J1325" i="20" s="1"/>
  <c r="Y1325" i="20"/>
  <c r="T1366" i="20"/>
  <c r="AB1403" i="20"/>
  <c r="N1403" i="20"/>
  <c r="O1403" i="20" s="1"/>
  <c r="AC1406" i="20"/>
  <c r="Q1406" i="20"/>
  <c r="M1413" i="20"/>
  <c r="L1413" i="20"/>
  <c r="Y1416" i="20"/>
  <c r="Z1416" i="20"/>
  <c r="J1416" i="20" s="1"/>
  <c r="Q1483" i="20"/>
  <c r="AC1483" i="20"/>
  <c r="M1502" i="20"/>
  <c r="L1502" i="20"/>
  <c r="Z1509" i="20"/>
  <c r="J1509" i="20" s="1"/>
  <c r="Z1532" i="20"/>
  <c r="J1532" i="20" s="1"/>
  <c r="Y1532" i="20"/>
  <c r="AC1566" i="20"/>
  <c r="Q1566" i="20"/>
  <c r="Q1574" i="20"/>
  <c r="AC1574" i="20"/>
  <c r="M1604" i="20"/>
  <c r="L1604" i="20"/>
  <c r="Q1617" i="20"/>
  <c r="AC1617" i="20"/>
  <c r="Z1652" i="20"/>
  <c r="J1652" i="20" s="1"/>
  <c r="M1666" i="20"/>
  <c r="L1666" i="20"/>
  <c r="AC1791" i="20"/>
  <c r="Q1791" i="20"/>
  <c r="Z1838" i="20"/>
  <c r="Y1838" i="20"/>
  <c r="AB1881" i="20"/>
  <c r="N1881" i="20"/>
  <c r="O1881" i="20" s="1"/>
  <c r="Z1953" i="20"/>
  <c r="Y1953" i="20"/>
  <c r="Z1985" i="20"/>
  <c r="Y1985" i="20"/>
  <c r="M1102" i="20"/>
  <c r="L1102" i="20"/>
  <c r="Z1136" i="20"/>
  <c r="Y1136" i="20"/>
  <c r="AB1147" i="20"/>
  <c r="P1147" i="20"/>
  <c r="N1147" i="20"/>
  <c r="N1185" i="20"/>
  <c r="T1187" i="20"/>
  <c r="T1203" i="20"/>
  <c r="U1203" i="20" s="1"/>
  <c r="J1203" i="20" s="1"/>
  <c r="P1203" i="20" s="1"/>
  <c r="T1208" i="20"/>
  <c r="U1208" i="20" s="1"/>
  <c r="Z1252" i="20"/>
  <c r="Y1252" i="20"/>
  <c r="M1263" i="20"/>
  <c r="L1263" i="20"/>
  <c r="AB1283" i="20"/>
  <c r="Y1285" i="20"/>
  <c r="T1306" i="20"/>
  <c r="Y1319" i="20"/>
  <c r="L1334" i="20"/>
  <c r="L1349" i="20"/>
  <c r="P1375" i="20"/>
  <c r="AB1375" i="20"/>
  <c r="AC1403" i="20"/>
  <c r="Q1403" i="20"/>
  <c r="Z1459" i="20"/>
  <c r="J1459" i="20" s="1"/>
  <c r="Q1466" i="20"/>
  <c r="AC1466" i="20"/>
  <c r="T1473" i="20"/>
  <c r="N1483" i="20"/>
  <c r="O1483" i="20" s="1"/>
  <c r="AB1498" i="20"/>
  <c r="P1498" i="20"/>
  <c r="N1498" i="20"/>
  <c r="O1498" i="20" s="1"/>
  <c r="T1502" i="20"/>
  <c r="Y1509" i="20"/>
  <c r="T1558" i="20"/>
  <c r="N1601" i="20"/>
  <c r="O1601" i="20" s="1"/>
  <c r="Y1646" i="20"/>
  <c r="Z1646" i="20"/>
  <c r="Y1652" i="20"/>
  <c r="T1666" i="20"/>
  <c r="U1666" i="20" s="1"/>
  <c r="L1709" i="20"/>
  <c r="Y1746" i="20"/>
  <c r="Z1746" i="20"/>
  <c r="J1746" i="20" s="1"/>
  <c r="T1773" i="20"/>
  <c r="Z1945" i="20"/>
  <c r="Y1945" i="20"/>
  <c r="Z1949" i="20"/>
  <c r="Y1949" i="20"/>
  <c r="AB2238" i="20"/>
  <c r="P2238" i="20"/>
  <c r="N2238" i="20"/>
  <c r="O2238" i="20" s="1"/>
  <c r="P2245" i="20"/>
  <c r="N2245" i="20"/>
  <c r="AB2245" i="20"/>
  <c r="Z2400" i="20"/>
  <c r="Y2400" i="20"/>
  <c r="T1038" i="20"/>
  <c r="P1057" i="20"/>
  <c r="T1059" i="20"/>
  <c r="Z1268" i="20"/>
  <c r="M1274" i="20"/>
  <c r="L1274" i="20"/>
  <c r="Z1291" i="20"/>
  <c r="J1291" i="20" s="1"/>
  <c r="Q1294" i="20"/>
  <c r="Z1377" i="20"/>
  <c r="J1377" i="20" s="1"/>
  <c r="Y1377" i="20"/>
  <c r="N1417" i="20"/>
  <c r="O1417" i="20" s="1"/>
  <c r="AB1417" i="20"/>
  <c r="Z1434" i="20"/>
  <c r="Y1434" i="20"/>
  <c r="T1441" i="20"/>
  <c r="U1441" i="20" s="1"/>
  <c r="Z1455" i="20"/>
  <c r="J1455" i="20" s="1"/>
  <c r="Y1524" i="20"/>
  <c r="Z1524" i="20"/>
  <c r="J1524" i="20" s="1"/>
  <c r="P1524" i="20" s="1"/>
  <c r="T1540" i="20"/>
  <c r="Q1601" i="20"/>
  <c r="AC1601" i="20"/>
  <c r="Z1607" i="20"/>
  <c r="T1614" i="20"/>
  <c r="Y1679" i="20"/>
  <c r="Z1679" i="20"/>
  <c r="J1679" i="20" s="1"/>
  <c r="AC1705" i="20"/>
  <c r="Q1705" i="20"/>
  <c r="Q1709" i="20"/>
  <c r="Z1716" i="20"/>
  <c r="J1716" i="20" s="1"/>
  <c r="Y1716" i="20"/>
  <c r="AC1810" i="20"/>
  <c r="Q1810" i="20"/>
  <c r="N1810" i="20"/>
  <c r="O1810" i="20" s="1"/>
  <c r="Y1847" i="20"/>
  <c r="Z1847" i="20"/>
  <c r="J1847" i="20" s="1"/>
  <c r="P1165" i="20"/>
  <c r="N1165" i="20"/>
  <c r="Y1216" i="20"/>
  <c r="Z1216" i="20"/>
  <c r="T1242" i="20"/>
  <c r="U1242" i="20" s="1"/>
  <c r="Z1274" i="20"/>
  <c r="Y1274" i="20"/>
  <c r="T1309" i="20"/>
  <c r="T1334" i="20"/>
  <c r="T1340" i="20"/>
  <c r="AC1361" i="20"/>
  <c r="Q1361" i="20"/>
  <c r="Z1381" i="20"/>
  <c r="J1381" i="20" s="1"/>
  <c r="Y1381" i="20"/>
  <c r="N1446" i="20"/>
  <c r="O1446" i="20" s="1"/>
  <c r="AB1446" i="20"/>
  <c r="Z1449" i="20"/>
  <c r="Y1449" i="20"/>
  <c r="M1495" i="20"/>
  <c r="L1495" i="20"/>
  <c r="M1510" i="20"/>
  <c r="L1510" i="20"/>
  <c r="N1514" i="20"/>
  <c r="O1514" i="20" s="1"/>
  <c r="AB1514" i="20"/>
  <c r="Z1540" i="20"/>
  <c r="J1540" i="20" s="1"/>
  <c r="Y1540" i="20"/>
  <c r="Z1601" i="20"/>
  <c r="J1601" i="20" s="1"/>
  <c r="P1601" i="20" s="1"/>
  <c r="T1643" i="20"/>
  <c r="M1680" i="20"/>
  <c r="L1680" i="20"/>
  <c r="T1735" i="20"/>
  <c r="Z1817" i="20"/>
  <c r="Y1817" i="20"/>
  <c r="Z1885" i="20"/>
  <c r="Y1885" i="20"/>
  <c r="Z1954" i="20"/>
  <c r="Y1954" i="20"/>
  <c r="Z2080" i="20"/>
  <c r="Y2080" i="20"/>
  <c r="AB1601" i="20"/>
  <c r="T1627" i="20"/>
  <c r="Z1702" i="20"/>
  <c r="J1702" i="20" s="1"/>
  <c r="Y1702" i="20"/>
  <c r="P1784" i="20"/>
  <c r="N1784" i="20"/>
  <c r="O1784" i="20" s="1"/>
  <c r="AB1784" i="20"/>
  <c r="Z2174" i="20"/>
  <c r="T1199" i="20"/>
  <c r="N1232" i="20"/>
  <c r="O1232" i="20" s="1"/>
  <c r="Z1258" i="20"/>
  <c r="Y1258" i="20"/>
  <c r="AB1272" i="20"/>
  <c r="N1272" i="20"/>
  <c r="O1272" i="20" s="1"/>
  <c r="Y1280" i="20"/>
  <c r="Z1280" i="20"/>
  <c r="J1280" i="20" s="1"/>
  <c r="P1280" i="20" s="1"/>
  <c r="P1292" i="20"/>
  <c r="M1295" i="20"/>
  <c r="L1295" i="20"/>
  <c r="P1320" i="20"/>
  <c r="Y1337" i="20"/>
  <c r="Z1337" i="20"/>
  <c r="J1337" i="20" s="1"/>
  <c r="AB1356" i="20"/>
  <c r="P1356" i="20"/>
  <c r="T1364" i="20"/>
  <c r="Z1378" i="20"/>
  <c r="J1378" i="20" s="1"/>
  <c r="Y1378" i="20"/>
  <c r="N1414" i="20"/>
  <c r="O1414" i="20" s="1"/>
  <c r="T1428" i="20"/>
  <c r="U1428" i="20" s="1"/>
  <c r="Z1460" i="20"/>
  <c r="J1460" i="20" s="1"/>
  <c r="P1460" i="20" s="1"/>
  <c r="Y1460" i="20"/>
  <c r="Z1491" i="20"/>
  <c r="J1491" i="20" s="1"/>
  <c r="Y1491" i="20"/>
  <c r="Z1503" i="20"/>
  <c r="J1503" i="20" s="1"/>
  <c r="P1503" i="20" s="1"/>
  <c r="Y1503" i="20"/>
  <c r="Y1533" i="20"/>
  <c r="Z1533" i="20"/>
  <c r="J1533" i="20" s="1"/>
  <c r="Z1537" i="20"/>
  <c r="J1537" i="20" s="1"/>
  <c r="P1537" i="20" s="1"/>
  <c r="Z1551" i="20"/>
  <c r="J1551" i="20" s="1"/>
  <c r="AC1583" i="20"/>
  <c r="Q1583" i="20"/>
  <c r="Z1586" i="20"/>
  <c r="J1586" i="20" s="1"/>
  <c r="P1586" i="20" s="1"/>
  <c r="T1594" i="20"/>
  <c r="Z1634" i="20"/>
  <c r="Y1634" i="20"/>
  <c r="N1748" i="20"/>
  <c r="O1748" i="20" s="1"/>
  <c r="AB1748" i="20"/>
  <c r="P1748" i="20"/>
  <c r="Y1799" i="20"/>
  <c r="Z1799" i="20"/>
  <c r="J1799" i="20" s="1"/>
  <c r="N1818" i="20"/>
  <c r="P1818" i="20"/>
  <c r="AB1818" i="20"/>
  <c r="Z1906" i="20"/>
  <c r="Y1906" i="20"/>
  <c r="AC2050" i="20"/>
  <c r="Q2050" i="20"/>
  <c r="P1133" i="20"/>
  <c r="N1133" i="20"/>
  <c r="T1188" i="20"/>
  <c r="N1298" i="20"/>
  <c r="O1298" i="20" s="1"/>
  <c r="AB1298" i="20"/>
  <c r="Q1307" i="20"/>
  <c r="Q1341" i="20"/>
  <c r="AC1341" i="20"/>
  <c r="AC1359" i="20"/>
  <c r="Q1359" i="20"/>
  <c r="Q1404" i="20"/>
  <c r="N1404" i="20"/>
  <c r="O1404" i="20" s="1"/>
  <c r="AC1404" i="20"/>
  <c r="L1457" i="20"/>
  <c r="M1457" i="20"/>
  <c r="Z1474" i="20"/>
  <c r="J1474" i="20" s="1"/>
  <c r="Y1474" i="20"/>
  <c r="P1579" i="20"/>
  <c r="AB1579" i="20"/>
  <c r="AB1668" i="20"/>
  <c r="N1668" i="20"/>
  <c r="O1668" i="20" s="1"/>
  <c r="N1681" i="20"/>
  <c r="O1681" i="20" s="1"/>
  <c r="AB1681" i="20"/>
  <c r="N1689" i="20"/>
  <c r="O1689" i="20" s="1"/>
  <c r="AB1689" i="20"/>
  <c r="Q1703" i="20"/>
  <c r="N1703" i="20"/>
  <c r="O1703" i="20" s="1"/>
  <c r="AC1703" i="20"/>
  <c r="AB1733" i="20"/>
  <c r="P1733" i="20"/>
  <c r="N1733" i="20"/>
  <c r="O1733" i="20" s="1"/>
  <c r="M1740" i="20"/>
  <c r="L1740" i="20"/>
  <c r="Q1767" i="20"/>
  <c r="N1767" i="20"/>
  <c r="O1767" i="20" s="1"/>
  <c r="AC1767" i="20"/>
  <c r="Y1796" i="20"/>
  <c r="Z1796" i="20"/>
  <c r="Q1856" i="20"/>
  <c r="AC1856" i="20"/>
  <c r="Z2122" i="20"/>
  <c r="Y2122" i="20"/>
  <c r="Y2129" i="20"/>
  <c r="Z2129" i="20"/>
  <c r="Z2148" i="20"/>
  <c r="Y2148" i="20"/>
  <c r="T963" i="20"/>
  <c r="Z1093" i="20"/>
  <c r="J1093" i="20" s="1"/>
  <c r="P1093" i="20" s="1"/>
  <c r="Y1093" i="20"/>
  <c r="P1118" i="20"/>
  <c r="N1118" i="20"/>
  <c r="Q1135" i="20"/>
  <c r="L1161" i="20"/>
  <c r="Z1245" i="20"/>
  <c r="J1245" i="20" s="1"/>
  <c r="P1245" i="20" s="1"/>
  <c r="T1301" i="20"/>
  <c r="U1301" i="20" s="1"/>
  <c r="T1307" i="20"/>
  <c r="Z1320" i="20"/>
  <c r="J1320" i="20" s="1"/>
  <c r="Y1320" i="20"/>
  <c r="T1338" i="20"/>
  <c r="L1341" i="20"/>
  <c r="T1350" i="20"/>
  <c r="L1359" i="20"/>
  <c r="AB1373" i="20"/>
  <c r="P1373" i="20"/>
  <c r="N1373" i="20"/>
  <c r="O1373" i="20" s="1"/>
  <c r="T1401" i="20"/>
  <c r="T1404" i="20"/>
  <c r="U1404" i="20" s="1"/>
  <c r="N1411" i="20"/>
  <c r="O1411" i="20" s="1"/>
  <c r="AB1411" i="20"/>
  <c r="AB1425" i="20"/>
  <c r="N1425" i="20"/>
  <c r="O1425" i="20" s="1"/>
  <c r="Z1453" i="20"/>
  <c r="J1453" i="20" s="1"/>
  <c r="P1453" i="20" s="1"/>
  <c r="Y1525" i="20"/>
  <c r="Z1525" i="20"/>
  <c r="J1525" i="20" s="1"/>
  <c r="P1525" i="20" s="1"/>
  <c r="M1579" i="20"/>
  <c r="Y1658" i="20"/>
  <c r="Z1658" i="20"/>
  <c r="J1658" i="20" s="1"/>
  <c r="P1658" i="20" s="1"/>
  <c r="AC1668" i="20"/>
  <c r="Q1668" i="20"/>
  <c r="Q1763" i="20"/>
  <c r="AC1763" i="20"/>
  <c r="N1763" i="20"/>
  <c r="O1763" i="20" s="1"/>
  <c r="T1774" i="20"/>
  <c r="AC1860" i="20"/>
  <c r="Q1860" i="20"/>
  <c r="N1896" i="20"/>
  <c r="O1896" i="20" s="1"/>
  <c r="AB1896" i="20"/>
  <c r="AB1335" i="20"/>
  <c r="N1335" i="20"/>
  <c r="O1335" i="20" s="1"/>
  <c r="P1395" i="20"/>
  <c r="N1395" i="20"/>
  <c r="O1395" i="20" s="1"/>
  <c r="Q1411" i="20"/>
  <c r="AC1411" i="20"/>
  <c r="AC1425" i="20"/>
  <c r="Q1425" i="20"/>
  <c r="P1461" i="20"/>
  <c r="N1461" i="20"/>
  <c r="O1461" i="20" s="1"/>
  <c r="AB1461" i="20"/>
  <c r="P1471" i="20"/>
  <c r="N1471" i="20"/>
  <c r="O1471" i="20" s="1"/>
  <c r="AB1500" i="20"/>
  <c r="Z1518" i="20"/>
  <c r="J1518" i="20" s="1"/>
  <c r="Y1529" i="20"/>
  <c r="Z1529" i="20"/>
  <c r="J1529" i="20" s="1"/>
  <c r="P1529" i="20" s="1"/>
  <c r="Z1534" i="20"/>
  <c r="J1534" i="20" s="1"/>
  <c r="Y1534" i="20"/>
  <c r="Z1541" i="20"/>
  <c r="J1541" i="20" s="1"/>
  <c r="Y1541" i="20"/>
  <c r="M1552" i="20"/>
  <c r="L1552" i="20"/>
  <c r="Z1598" i="20"/>
  <c r="J1598" i="20" s="1"/>
  <c r="P1598" i="20" s="1"/>
  <c r="Y1598" i="20"/>
  <c r="Z1615" i="20"/>
  <c r="Y1615" i="20"/>
  <c r="P1635" i="20"/>
  <c r="N1635" i="20"/>
  <c r="AB1635" i="20"/>
  <c r="Q1736" i="20"/>
  <c r="AC1736" i="20"/>
  <c r="M980" i="20"/>
  <c r="L980" i="20"/>
  <c r="P1089" i="20"/>
  <c r="N1168" i="20"/>
  <c r="AB1168" i="20"/>
  <c r="P1168" i="20"/>
  <c r="Q1225" i="20"/>
  <c r="AC1225" i="20"/>
  <c r="AB1232" i="20"/>
  <c r="P1284" i="20"/>
  <c r="AB1284" i="20"/>
  <c r="Q1335" i="20"/>
  <c r="AC1335" i="20"/>
  <c r="Z1344" i="20"/>
  <c r="J1344" i="20" s="1"/>
  <c r="Y1344" i="20"/>
  <c r="P1370" i="20"/>
  <c r="Q1373" i="20"/>
  <c r="Q1395" i="20"/>
  <c r="AC1395" i="20"/>
  <c r="Z1414" i="20"/>
  <c r="J1414" i="20" s="1"/>
  <c r="P1414" i="20" s="1"/>
  <c r="Y1414" i="20"/>
  <c r="T1457" i="20"/>
  <c r="T1461" i="20"/>
  <c r="M1485" i="20"/>
  <c r="L1485" i="20"/>
  <c r="P1489" i="20"/>
  <c r="M1500" i="20"/>
  <c r="N1500" i="20" s="1"/>
  <c r="O1500" i="20" s="1"/>
  <c r="L1504" i="20"/>
  <c r="Y1518" i="20"/>
  <c r="Y1583" i="20"/>
  <c r="Z1618" i="20"/>
  <c r="P1625" i="20"/>
  <c r="AB1625" i="20"/>
  <c r="Q1663" i="20"/>
  <c r="AC1663" i="20"/>
  <c r="Y1681" i="20"/>
  <c r="Z1681" i="20"/>
  <c r="J1681" i="20" s="1"/>
  <c r="P1681" i="20" s="1"/>
  <c r="T1723" i="20"/>
  <c r="N1736" i="20"/>
  <c r="O1736" i="20" s="1"/>
  <c r="T1781" i="20"/>
  <c r="L660" i="20"/>
  <c r="L692" i="20"/>
  <c r="L724" i="20"/>
  <c r="L756" i="20"/>
  <c r="L788" i="20"/>
  <c r="L800" i="20"/>
  <c r="L819" i="20"/>
  <c r="L831" i="20"/>
  <c r="L838" i="20"/>
  <c r="L869" i="20"/>
  <c r="L883" i="20"/>
  <c r="L892" i="20"/>
  <c r="L907" i="20"/>
  <c r="L926" i="20"/>
  <c r="Z963" i="20"/>
  <c r="J963" i="20" s="1"/>
  <c r="M1009" i="20"/>
  <c r="L1009" i="20"/>
  <c r="T1062" i="20"/>
  <c r="L1076" i="20"/>
  <c r="L1087" i="20"/>
  <c r="Q1089" i="20"/>
  <c r="N1089" i="20"/>
  <c r="O1089" i="20" s="1"/>
  <c r="T1096" i="20"/>
  <c r="T1107" i="20"/>
  <c r="L1150" i="20"/>
  <c r="T1152" i="20"/>
  <c r="T1161" i="20"/>
  <c r="M1207" i="20"/>
  <c r="L1207" i="20"/>
  <c r="Q1222" i="20"/>
  <c r="L1225" i="20"/>
  <c r="M1230" i="20"/>
  <c r="L1230" i="20"/>
  <c r="T1248" i="20"/>
  <c r="U1248" i="20" s="1"/>
  <c r="T1278" i="20"/>
  <c r="U1278" i="20" s="1"/>
  <c r="M1284" i="20"/>
  <c r="N1310" i="20"/>
  <c r="O1310" i="20" s="1"/>
  <c r="AB1324" i="20"/>
  <c r="N1324" i="20"/>
  <c r="O1324" i="20" s="1"/>
  <c r="P1324" i="20"/>
  <c r="T1332" i="20"/>
  <c r="P1335" i="20"/>
  <c r="Z1338" i="20"/>
  <c r="J1338" i="20" s="1"/>
  <c r="Z1350" i="20"/>
  <c r="J1350" i="20" s="1"/>
  <c r="AB1392" i="20"/>
  <c r="Z1421" i="20"/>
  <c r="J1421" i="20" s="1"/>
  <c r="P1421" i="20" s="1"/>
  <c r="Y1421" i="20"/>
  <c r="T1425" i="20"/>
  <c r="U1425" i="20" s="1"/>
  <c r="L1439" i="20"/>
  <c r="M1439" i="20"/>
  <c r="Z1443" i="20"/>
  <c r="AC1475" i="20"/>
  <c r="Q1475" i="20"/>
  <c r="N1475" i="20"/>
  <c r="O1475" i="20" s="1"/>
  <c r="M1535" i="20"/>
  <c r="L1535" i="20"/>
  <c r="AC1638" i="20"/>
  <c r="Q1638" i="20"/>
  <c r="N1638" i="20"/>
  <c r="Z1644" i="20"/>
  <c r="Y1644" i="20"/>
  <c r="L1663" i="20"/>
  <c r="T1676" i="20"/>
  <c r="U1676" i="20" s="1"/>
  <c r="Q1711" i="20"/>
  <c r="AC1711" i="20"/>
  <c r="P1752" i="20"/>
  <c r="N1752" i="20"/>
  <c r="O1752" i="20" s="1"/>
  <c r="AB1752" i="20"/>
  <c r="Z1774" i="20"/>
  <c r="J1774" i="20" s="1"/>
  <c r="Y1774" i="20"/>
  <c r="M1883" i="20"/>
  <c r="L1883" i="20"/>
  <c r="T957" i="20"/>
  <c r="T980" i="20"/>
  <c r="AB1020" i="20"/>
  <c r="T1024" i="20"/>
  <c r="Z1026" i="20"/>
  <c r="J1026" i="20" s="1"/>
  <c r="Y1026" i="20"/>
  <c r="T1071" i="20"/>
  <c r="T1089" i="20"/>
  <c r="Z1091" i="20"/>
  <c r="J1091" i="20" s="1"/>
  <c r="Y1091" i="20"/>
  <c r="N1116" i="20"/>
  <c r="AB1165" i="20"/>
  <c r="T1207" i="20"/>
  <c r="U1207" i="20" s="1"/>
  <c r="M1270" i="20"/>
  <c r="L1270" i="20"/>
  <c r="T1335" i="20"/>
  <c r="AC1347" i="20"/>
  <c r="T1362" i="20"/>
  <c r="M1389" i="20"/>
  <c r="L1389" i="20"/>
  <c r="N1392" i="20"/>
  <c r="O1392" i="20" s="1"/>
  <c r="AB1414" i="20"/>
  <c r="Z1418" i="20"/>
  <c r="Y1418" i="20"/>
  <c r="Z1471" i="20"/>
  <c r="J1471" i="20" s="1"/>
  <c r="Z1507" i="20"/>
  <c r="J1507" i="20" s="1"/>
  <c r="P1507" i="20" s="1"/>
  <c r="AB1584" i="20"/>
  <c r="N1584" i="20"/>
  <c r="O1584" i="20" s="1"/>
  <c r="T1591" i="20"/>
  <c r="N1625" i="20"/>
  <c r="Y1755" i="20"/>
  <c r="T1845" i="20"/>
  <c r="AB1849" i="20"/>
  <c r="N1849" i="20"/>
  <c r="O1849" i="20" s="1"/>
  <c r="P1849" i="20"/>
  <c r="Z1874" i="20"/>
  <c r="Y1874" i="20"/>
  <c r="Q1891" i="20"/>
  <c r="AC1956" i="20"/>
  <c r="Q1956" i="20"/>
  <c r="N1956" i="20"/>
  <c r="O1956" i="20" s="1"/>
  <c r="Y2019" i="20"/>
  <c r="Z2019" i="20"/>
  <c r="J2019" i="20" s="1"/>
  <c r="M1033" i="20"/>
  <c r="L1033" i="20"/>
  <c r="T1043" i="20"/>
  <c r="L1094" i="20"/>
  <c r="L1103" i="20"/>
  <c r="N1114" i="20"/>
  <c r="P1114" i="20"/>
  <c r="P1131" i="20"/>
  <c r="Z1161" i="20"/>
  <c r="Y1161" i="20"/>
  <c r="Q1210" i="20"/>
  <c r="AC1210" i="20"/>
  <c r="T1251" i="20"/>
  <c r="U1251" i="20" s="1"/>
  <c r="Z1256" i="20"/>
  <c r="Y1256" i="20"/>
  <c r="T1264" i="20"/>
  <c r="U1264" i="20" s="1"/>
  <c r="L1273" i="20"/>
  <c r="Z1278" i="20"/>
  <c r="J1278" i="20" s="1"/>
  <c r="P1278" i="20" s="1"/>
  <c r="Y1278" i="20"/>
  <c r="Y1298" i="20"/>
  <c r="L1316" i="20"/>
  <c r="L1321" i="20"/>
  <c r="Z1332" i="20"/>
  <c r="J1332" i="20" s="1"/>
  <c r="Y1332" i="20"/>
  <c r="Y1341" i="20"/>
  <c r="Z1341" i="20"/>
  <c r="J1341" i="20" s="1"/>
  <c r="L1345" i="20"/>
  <c r="M1345" i="20"/>
  <c r="Z1353" i="20"/>
  <c r="J1353" i="20" s="1"/>
  <c r="Y1353" i="20"/>
  <c r="Z1356" i="20"/>
  <c r="J1356" i="20" s="1"/>
  <c r="Y1356" i="20"/>
  <c r="T1376" i="20"/>
  <c r="Z1432" i="20"/>
  <c r="Z1461" i="20"/>
  <c r="J1461" i="20" s="1"/>
  <c r="Y1461" i="20"/>
  <c r="N1465" i="20"/>
  <c r="O1465" i="20" s="1"/>
  <c r="AC1465" i="20"/>
  <c r="T1500" i="20"/>
  <c r="Y1507" i="20"/>
  <c r="Q1519" i="20"/>
  <c r="AC1519" i="20"/>
  <c r="Z1587" i="20"/>
  <c r="J1587" i="20" s="1"/>
  <c r="P1587" i="20" s="1"/>
  <c r="Y1587" i="20"/>
  <c r="M1599" i="20"/>
  <c r="L1599" i="20"/>
  <c r="Z1676" i="20"/>
  <c r="Y1676" i="20"/>
  <c r="AB1682" i="20"/>
  <c r="N1682" i="20"/>
  <c r="O1682" i="20" s="1"/>
  <c r="N1711" i="20"/>
  <c r="O1711" i="20" s="1"/>
  <c r="Y1714" i="20"/>
  <c r="Z1714" i="20"/>
  <c r="J1714" i="20" s="1"/>
  <c r="T1771" i="20"/>
  <c r="L1210" i="20"/>
  <c r="T1225" i="20"/>
  <c r="U1225" i="20" s="1"/>
  <c r="Z1230" i="20"/>
  <c r="J1230" i="20" s="1"/>
  <c r="Y1230" i="20"/>
  <c r="L1233" i="20"/>
  <c r="T1235" i="20"/>
  <c r="U1235" i="20" s="1"/>
  <c r="L1246" i="20"/>
  <c r="N1267" i="20"/>
  <c r="O1267" i="20" s="1"/>
  <c r="T1270" i="20"/>
  <c r="U1270" i="20" s="1"/>
  <c r="N1290" i="20"/>
  <c r="O1290" i="20" s="1"/>
  <c r="AC1338" i="20"/>
  <c r="Z1379" i="20"/>
  <c r="J1379" i="20" s="1"/>
  <c r="Y1379" i="20"/>
  <c r="Z1395" i="20"/>
  <c r="J1395" i="20" s="1"/>
  <c r="Y1395" i="20"/>
  <c r="AB1405" i="20"/>
  <c r="AB1454" i="20"/>
  <c r="P1454" i="20"/>
  <c r="Z1478" i="20"/>
  <c r="J1478" i="20" s="1"/>
  <c r="P1478" i="20" s="1"/>
  <c r="Y1478" i="20"/>
  <c r="Z1511" i="20"/>
  <c r="J1511" i="20" s="1"/>
  <c r="P1511" i="20" s="1"/>
  <c r="Y1511" i="20"/>
  <c r="Z1530" i="20"/>
  <c r="J1530" i="20" s="1"/>
  <c r="P1530" i="20" s="1"/>
  <c r="Y1530" i="20"/>
  <c r="T1584" i="20"/>
  <c r="Z1591" i="20"/>
  <c r="J1591" i="20" s="1"/>
  <c r="P1591" i="20" s="1"/>
  <c r="Y1591" i="20"/>
  <c r="T1625" i="20"/>
  <c r="Y1663" i="20"/>
  <c r="Z1663" i="20"/>
  <c r="J1663" i="20" s="1"/>
  <c r="T1749" i="20"/>
  <c r="T1853" i="20"/>
  <c r="Z1870" i="20"/>
  <c r="Y1870" i="20"/>
  <c r="N2007" i="20"/>
  <c r="O2007" i="20" s="1"/>
  <c r="AB2007" i="20"/>
  <c r="T943" i="20"/>
  <c r="Z951" i="20"/>
  <c r="J951" i="20" s="1"/>
  <c r="P951" i="20" s="1"/>
  <c r="Y951" i="20"/>
  <c r="Z1024" i="20"/>
  <c r="J1024" i="20" s="1"/>
  <c r="Y1024" i="20"/>
  <c r="N1067" i="20"/>
  <c r="O1067" i="20" s="1"/>
  <c r="AB1067" i="20"/>
  <c r="Q1148" i="20"/>
  <c r="M1166" i="20"/>
  <c r="L1166" i="20"/>
  <c r="P1182" i="20"/>
  <c r="N1182" i="20"/>
  <c r="Q1193" i="20"/>
  <c r="AC1193" i="20"/>
  <c r="T1195" i="20"/>
  <c r="Z1264" i="20"/>
  <c r="Y1264" i="20"/>
  <c r="Z1270" i="20"/>
  <c r="J1270" i="20" s="1"/>
  <c r="Y1270" i="20"/>
  <c r="N1276" i="20"/>
  <c r="O1276" i="20" s="1"/>
  <c r="Z1310" i="20"/>
  <c r="J1310" i="20" s="1"/>
  <c r="L1330" i="20"/>
  <c r="AB1342" i="20"/>
  <c r="N1342" i="20"/>
  <c r="O1342" i="20" s="1"/>
  <c r="N1368" i="20"/>
  <c r="O1368" i="20" s="1"/>
  <c r="Q1408" i="20"/>
  <c r="Q1415" i="20"/>
  <c r="Z1439" i="20"/>
  <c r="J1439" i="20" s="1"/>
  <c r="Y1439" i="20"/>
  <c r="L1444" i="20"/>
  <c r="M1454" i="20"/>
  <c r="AB1471" i="20"/>
  <c r="T1523" i="20"/>
  <c r="Z1526" i="20"/>
  <c r="J1526" i="20" s="1"/>
  <c r="Y1526" i="20"/>
  <c r="AC1556" i="20"/>
  <c r="Z1609" i="20"/>
  <c r="Y1609" i="20"/>
  <c r="P1613" i="20"/>
  <c r="AB1613" i="20"/>
  <c r="N1613" i="20"/>
  <c r="N1632" i="20"/>
  <c r="AB1632" i="20"/>
  <c r="P1632" i="20"/>
  <c r="M1305" i="20"/>
  <c r="L1305" i="20"/>
  <c r="T1339" i="20"/>
  <c r="Z1367" i="20"/>
  <c r="J1367" i="20" s="1"/>
  <c r="P1367" i="20" s="1"/>
  <c r="Y1367" i="20"/>
  <c r="N1408" i="20"/>
  <c r="O1408" i="20" s="1"/>
  <c r="L1419" i="20"/>
  <c r="M1419" i="20"/>
  <c r="T1445" i="20"/>
  <c r="U1445" i="20" s="1"/>
  <c r="N1460" i="20"/>
  <c r="O1460" i="20" s="1"/>
  <c r="T1477" i="20"/>
  <c r="Z1519" i="20"/>
  <c r="J1519" i="20" s="1"/>
  <c r="P1519" i="20" s="1"/>
  <c r="AC1523" i="20"/>
  <c r="Q1523" i="20"/>
  <c r="Q1701" i="20"/>
  <c r="AC1701" i="20"/>
  <c r="Z1864" i="20"/>
  <c r="Y1864" i="20"/>
  <c r="T2187" i="20"/>
  <c r="Z2241" i="20"/>
  <c r="Y2241" i="20"/>
  <c r="M2321" i="20"/>
  <c r="L2321" i="20"/>
  <c r="T1365" i="20"/>
  <c r="Q1370" i="20"/>
  <c r="AC1370" i="20"/>
  <c r="T1400" i="20"/>
  <c r="AB1433" i="20"/>
  <c r="N1433" i="20"/>
  <c r="O1433" i="20" s="1"/>
  <c r="Z1456" i="20"/>
  <c r="J1456" i="20" s="1"/>
  <c r="Y1456" i="20"/>
  <c r="Q1492" i="20"/>
  <c r="AC1492" i="20"/>
  <c r="AC1498" i="20"/>
  <c r="Q1498" i="20"/>
  <c r="T1501" i="20"/>
  <c r="Z1552" i="20"/>
  <c r="J1552" i="20" s="1"/>
  <c r="T1556" i="20"/>
  <c r="Y1569" i="20"/>
  <c r="Z1569" i="20"/>
  <c r="J1569" i="20" s="1"/>
  <c r="T1597" i="20"/>
  <c r="M1676" i="20"/>
  <c r="L1676" i="20"/>
  <c r="Z1692" i="20"/>
  <c r="Y1692" i="20"/>
  <c r="Z1798" i="20"/>
  <c r="J1798" i="20" s="1"/>
  <c r="Y1798" i="20"/>
  <c r="Q1830" i="20"/>
  <c r="AC1830" i="20"/>
  <c r="Y1989" i="20"/>
  <c r="Z1989" i="20"/>
  <c r="AB2042" i="20"/>
  <c r="N2042" i="20"/>
  <c r="O2042" i="20" s="1"/>
  <c r="Y2610" i="20"/>
  <c r="Z2610" i="20"/>
  <c r="J2610" i="20" s="1"/>
  <c r="P2610" i="20" s="1"/>
  <c r="M1303" i="20"/>
  <c r="L1303" i="20"/>
  <c r="Q1319" i="20"/>
  <c r="N1319" i="20"/>
  <c r="O1319" i="20" s="1"/>
  <c r="T1337" i="20"/>
  <c r="T1349" i="20"/>
  <c r="Z1365" i="20"/>
  <c r="J1365" i="20" s="1"/>
  <c r="Y1365" i="20"/>
  <c r="P1466" i="20"/>
  <c r="N1466" i="20"/>
  <c r="O1466" i="20" s="1"/>
  <c r="T1489" i="20"/>
  <c r="T1492" i="20"/>
  <c r="AB1520" i="20"/>
  <c r="N1520" i="20"/>
  <c r="O1520" i="20" s="1"/>
  <c r="N1553" i="20"/>
  <c r="O1553" i="20" s="1"/>
  <c r="AB1553" i="20"/>
  <c r="N1574" i="20"/>
  <c r="O1574" i="20" s="1"/>
  <c r="Z1584" i="20"/>
  <c r="J1584" i="20" s="1"/>
  <c r="P1584" i="20" s="1"/>
  <c r="Y1584" i="20"/>
  <c r="AB1623" i="20"/>
  <c r="N1623" i="20"/>
  <c r="Q1641" i="20"/>
  <c r="Z1660" i="20"/>
  <c r="AB1788" i="20"/>
  <c r="N1788" i="20"/>
  <c r="O1788" i="20" s="1"/>
  <c r="P1788" i="20"/>
  <c r="Q1799" i="20"/>
  <c r="AC1799" i="20"/>
  <c r="Z1813" i="20"/>
  <c r="Y1813" i="20"/>
  <c r="Q2126" i="20"/>
  <c r="AC2126" i="20"/>
  <c r="N2126" i="20"/>
  <c r="Y2214" i="20"/>
  <c r="Z2214" i="20"/>
  <c r="J2214" i="20" s="1"/>
  <c r="T1520" i="20"/>
  <c r="Z1543" i="20"/>
  <c r="J1543" i="20" s="1"/>
  <c r="P1543" i="20" s="1"/>
  <c r="T1574" i="20"/>
  <c r="N1617" i="20"/>
  <c r="AB1617" i="20"/>
  <c r="AC1689" i="20"/>
  <c r="Q1689" i="20"/>
  <c r="Q1698" i="20"/>
  <c r="N1698" i="20"/>
  <c r="O1698" i="20" s="1"/>
  <c r="AC1698" i="20"/>
  <c r="T1725" i="20"/>
  <c r="AB1738" i="20"/>
  <c r="N1738" i="20"/>
  <c r="O1738" i="20" s="1"/>
  <c r="Z1767" i="20"/>
  <c r="J1767" i="20" s="1"/>
  <c r="Y1767" i="20"/>
  <c r="Y1878" i="20"/>
  <c r="Z1878" i="20"/>
  <c r="AC1950" i="20"/>
  <c r="Q1950" i="20"/>
  <c r="Z1958" i="20"/>
  <c r="Y1958" i="20"/>
  <c r="Z2357" i="20"/>
  <c r="J2357" i="20" s="1"/>
  <c r="Y2357" i="20"/>
  <c r="Z1361" i="20"/>
  <c r="J1361" i="20" s="1"/>
  <c r="Y1361" i="20"/>
  <c r="Q1381" i="20"/>
  <c r="AC1381" i="20"/>
  <c r="Y1398" i="20"/>
  <c r="Z1398" i="20"/>
  <c r="J1398" i="20" s="1"/>
  <c r="N1434" i="20"/>
  <c r="O1434" i="20" s="1"/>
  <c r="Q1446" i="20"/>
  <c r="Z1457" i="20"/>
  <c r="J1457" i="20" s="1"/>
  <c r="Y1457" i="20"/>
  <c r="T1605" i="20"/>
  <c r="P1617" i="20"/>
  <c r="P1648" i="20"/>
  <c r="N1648" i="20"/>
  <c r="AB1648" i="20"/>
  <c r="N1879" i="20"/>
  <c r="O1879" i="20" s="1"/>
  <c r="AB1879" i="20"/>
  <c r="Z1931" i="20"/>
  <c r="Y1931" i="20"/>
  <c r="Z1981" i="20"/>
  <c r="Y1981" i="20"/>
  <c r="AB2009" i="20"/>
  <c r="Z2179" i="20"/>
  <c r="J2179" i="20" s="1"/>
  <c r="AC2232" i="20"/>
  <c r="Q2232" i="20"/>
  <c r="N2232" i="20"/>
  <c r="O2232" i="20" s="1"/>
  <c r="L1296" i="20"/>
  <c r="L1306" i="20"/>
  <c r="P1315" i="20"/>
  <c r="Z1347" i="20"/>
  <c r="J1347" i="20" s="1"/>
  <c r="Y1347" i="20"/>
  <c r="L1381" i="20"/>
  <c r="M1386" i="20"/>
  <c r="L1386" i="20"/>
  <c r="AB1408" i="20"/>
  <c r="T1454" i="20"/>
  <c r="Q1464" i="20"/>
  <c r="AC1464" i="20"/>
  <c r="T1475" i="20"/>
  <c r="T1505" i="20"/>
  <c r="Z1553" i="20"/>
  <c r="J1553" i="20" s="1"/>
  <c r="P1553" i="20" s="1"/>
  <c r="Y1553" i="20"/>
  <c r="Y1577" i="20"/>
  <c r="Z1577" i="20"/>
  <c r="J1577" i="20" s="1"/>
  <c r="P1577" i="20" s="1"/>
  <c r="Z1581" i="20"/>
  <c r="J1581" i="20" s="1"/>
  <c r="P1581" i="20" s="1"/>
  <c r="Y1581" i="20"/>
  <c r="AC1592" i="20"/>
  <c r="Q1592" i="20"/>
  <c r="Y1614" i="20"/>
  <c r="M1645" i="20"/>
  <c r="L1645" i="20"/>
  <c r="T1650" i="20"/>
  <c r="Z1771" i="20"/>
  <c r="J1771" i="20" s="1"/>
  <c r="Y1771" i="20"/>
  <c r="AB1793" i="20"/>
  <c r="P1793" i="20"/>
  <c r="N1793" i="20"/>
  <c r="O1793" i="20" s="1"/>
  <c r="AC1879" i="20"/>
  <c r="Q1879" i="20"/>
  <c r="AB1908" i="20"/>
  <c r="N1908" i="20"/>
  <c r="O1908" i="20" s="1"/>
  <c r="M2009" i="20"/>
  <c r="T1267" i="20"/>
  <c r="U1267" i="20" s="1"/>
  <c r="Q1301" i="20"/>
  <c r="M1315" i="20"/>
  <c r="T1333" i="20"/>
  <c r="N1364" i="20"/>
  <c r="O1364" i="20" s="1"/>
  <c r="N1420" i="20"/>
  <c r="O1420" i="20" s="1"/>
  <c r="Z1428" i="20"/>
  <c r="J1428" i="20" s="1"/>
  <c r="L1443" i="20"/>
  <c r="N1464" i="20"/>
  <c r="O1464" i="20" s="1"/>
  <c r="AB1467" i="20"/>
  <c r="N1467" i="20"/>
  <c r="O1467" i="20" s="1"/>
  <c r="Z1469" i="20"/>
  <c r="J1469" i="20" s="1"/>
  <c r="Y1469" i="20"/>
  <c r="T1531" i="20"/>
  <c r="T1550" i="20"/>
  <c r="M1571" i="20"/>
  <c r="L1571" i="20"/>
  <c r="AB1574" i="20"/>
  <c r="L1592" i="20"/>
  <c r="Z1605" i="20"/>
  <c r="Y1605" i="20"/>
  <c r="AB1636" i="20"/>
  <c r="P1636" i="20"/>
  <c r="N1636" i="20"/>
  <c r="Z1717" i="20"/>
  <c r="J1717" i="20" s="1"/>
  <c r="Q1753" i="20"/>
  <c r="Y1831" i="20"/>
  <c r="Z1831" i="20"/>
  <c r="Z1887" i="20"/>
  <c r="Y1887" i="20"/>
  <c r="Z1912" i="20"/>
  <c r="Y1912" i="20"/>
  <c r="T2146" i="20"/>
  <c r="Y2165" i="20"/>
  <c r="Z2165" i="20"/>
  <c r="Z2073" i="20"/>
  <c r="Y2073" i="20"/>
  <c r="Z1174" i="20"/>
  <c r="Y1174" i="20"/>
  <c r="T1260" i="20"/>
  <c r="U1260" i="20" s="1"/>
  <c r="N1331" i="20"/>
  <c r="O1331" i="20" s="1"/>
  <c r="N1371" i="20"/>
  <c r="O1371" i="20" s="1"/>
  <c r="T1396" i="20"/>
  <c r="Q1490" i="20"/>
  <c r="AC1490" i="20"/>
  <c r="T1511" i="20"/>
  <c r="L1521" i="20"/>
  <c r="M1521" i="20"/>
  <c r="T1541" i="20"/>
  <c r="Z1629" i="20"/>
  <c r="Y1629" i="20"/>
  <c r="N1662" i="20"/>
  <c r="O1662" i="20" s="1"/>
  <c r="AB1662" i="20"/>
  <c r="N1678" i="20"/>
  <c r="O1678" i="20" s="1"/>
  <c r="AC1678" i="20"/>
  <c r="Q1678" i="20"/>
  <c r="J1694" i="20"/>
  <c r="Z1866" i="20"/>
  <c r="Y1866" i="20"/>
  <c r="M1892" i="20"/>
  <c r="L1892" i="20"/>
  <c r="Z2224" i="20"/>
  <c r="J2224" i="20" s="1"/>
  <c r="Y2224" i="20"/>
  <c r="Z1359" i="20"/>
  <c r="J1359" i="20" s="1"/>
  <c r="Y1359" i="20"/>
  <c r="T1391" i="20"/>
  <c r="T1420" i="20"/>
  <c r="U1420" i="20" s="1"/>
  <c r="Z1425" i="20"/>
  <c r="AB1437" i="20"/>
  <c r="N1437" i="20"/>
  <c r="O1437" i="20" s="1"/>
  <c r="Z1446" i="20"/>
  <c r="J1446" i="20" s="1"/>
  <c r="P1446" i="20" s="1"/>
  <c r="Y1446" i="20"/>
  <c r="Z1454" i="20"/>
  <c r="J1454" i="20" s="1"/>
  <c r="Y1454" i="20"/>
  <c r="M1481" i="20"/>
  <c r="L1481" i="20"/>
  <c r="Q1484" i="20"/>
  <c r="AC1484" i="20"/>
  <c r="N1490" i="20"/>
  <c r="O1490" i="20" s="1"/>
  <c r="AB1490" i="20"/>
  <c r="AC1528" i="20"/>
  <c r="Q1528" i="20"/>
  <c r="T1567" i="20"/>
  <c r="AB1578" i="20"/>
  <c r="N1578" i="20"/>
  <c r="O1578" i="20" s="1"/>
  <c r="Z1588" i="20"/>
  <c r="J1588" i="20" s="1"/>
  <c r="P1588" i="20" s="1"/>
  <c r="Y1588" i="20"/>
  <c r="T1592" i="20"/>
  <c r="T1599" i="20"/>
  <c r="AB1609" i="20"/>
  <c r="N1609" i="20"/>
  <c r="Z1617" i="20"/>
  <c r="AB1714" i="20"/>
  <c r="N1714" i="20"/>
  <c r="O1714" i="20" s="1"/>
  <c r="P1714" i="20"/>
  <c r="Y1778" i="20"/>
  <c r="Z1778" i="20"/>
  <c r="J1778" i="20" s="1"/>
  <c r="P1808" i="20"/>
  <c r="N1808" i="20"/>
  <c r="O1808" i="20" s="1"/>
  <c r="AB1808" i="20"/>
  <c r="Q1832" i="20"/>
  <c r="AC1832" i="20"/>
  <c r="Z1836" i="20"/>
  <c r="Y1836" i="20"/>
  <c r="N1880" i="20"/>
  <c r="O1880" i="20" s="1"/>
  <c r="AB1880" i="20"/>
  <c r="Z1959" i="20"/>
  <c r="Y1959" i="20"/>
  <c r="Y1986" i="20"/>
  <c r="Z1986" i="20"/>
  <c r="Q1995" i="20"/>
  <c r="AC1995" i="20"/>
  <c r="N1995" i="20"/>
  <c r="O1995" i="20" s="1"/>
  <c r="AB2064" i="20"/>
  <c r="P2064" i="20"/>
  <c r="N2064" i="20"/>
  <c r="O2064" i="20" s="1"/>
  <c r="L2069" i="20"/>
  <c r="M2069" i="20"/>
  <c r="T1050" i="20"/>
  <c r="M1126" i="20"/>
  <c r="L1126" i="20"/>
  <c r="P1183" i="20"/>
  <c r="N1183" i="20"/>
  <c r="AB1183" i="20"/>
  <c r="N1212" i="20"/>
  <c r="O1212" i="20" s="1"/>
  <c r="N1244" i="20"/>
  <c r="O1244" i="20" s="1"/>
  <c r="AC1310" i="20"/>
  <c r="T1331" i="20"/>
  <c r="P1348" i="20"/>
  <c r="N1348" i="20"/>
  <c r="O1348" i="20" s="1"/>
  <c r="Z1409" i="20"/>
  <c r="J1409" i="20" s="1"/>
  <c r="Y1409" i="20"/>
  <c r="AB1423" i="20"/>
  <c r="N1423" i="20"/>
  <c r="O1423" i="20" s="1"/>
  <c r="Y1425" i="20"/>
  <c r="Q1437" i="20"/>
  <c r="AC1437" i="20"/>
  <c r="Q1440" i="20"/>
  <c r="Y1443" i="20"/>
  <c r="L1484" i="20"/>
  <c r="Y1508" i="20"/>
  <c r="Z1508" i="20"/>
  <c r="J1508" i="20" s="1"/>
  <c r="T1528" i="20"/>
  <c r="Y1531" i="20"/>
  <c r="N1582" i="20"/>
  <c r="O1582" i="20" s="1"/>
  <c r="AB1582" i="20"/>
  <c r="Z1595" i="20"/>
  <c r="J1595" i="20" s="1"/>
  <c r="P1595" i="20" s="1"/>
  <c r="Y1595" i="20"/>
  <c r="AC1621" i="20"/>
  <c r="Q1621" i="20"/>
  <c r="L1690" i="20"/>
  <c r="M1690" i="20"/>
  <c r="M1761" i="20"/>
  <c r="L1761" i="20"/>
  <c r="Z1824" i="20"/>
  <c r="Y1824" i="20"/>
  <c r="Z1955" i="20"/>
  <c r="Y2000" i="20"/>
  <c r="Z2143" i="20"/>
  <c r="Y2143" i="20"/>
  <c r="L963" i="20"/>
  <c r="T1060" i="20"/>
  <c r="AB1100" i="20"/>
  <c r="L1106" i="20"/>
  <c r="L1108" i="20"/>
  <c r="L1134" i="20"/>
  <c r="L1138" i="20"/>
  <c r="L1144" i="20"/>
  <c r="L1164" i="20"/>
  <c r="L1179" i="20"/>
  <c r="M1237" i="20"/>
  <c r="L1237" i="20"/>
  <c r="Z1246" i="20"/>
  <c r="L1256" i="20"/>
  <c r="T1277" i="20"/>
  <c r="U1277" i="20" s="1"/>
  <c r="J1277" i="20" s="1"/>
  <c r="P1277" i="20" s="1"/>
  <c r="L1294" i="20"/>
  <c r="Z1308" i="20"/>
  <c r="J1308" i="20" s="1"/>
  <c r="Y1308" i="20"/>
  <c r="Y1315" i="20"/>
  <c r="AC1319" i="20"/>
  <c r="Y1373" i="20"/>
  <c r="Z1373" i="20"/>
  <c r="J1373" i="20" s="1"/>
  <c r="N1394" i="20"/>
  <c r="O1394" i="20" s="1"/>
  <c r="Z1396" i="20"/>
  <c r="J1396" i="20" s="1"/>
  <c r="T1412" i="20"/>
  <c r="U1412" i="20" s="1"/>
  <c r="AC1455" i="20"/>
  <c r="Q1455" i="20"/>
  <c r="AC1461" i="20"/>
  <c r="Q1518" i="20"/>
  <c r="T1538" i="20"/>
  <c r="Z1567" i="20"/>
  <c r="J1567" i="20" s="1"/>
  <c r="P1567" i="20" s="1"/>
  <c r="Y1567" i="20"/>
  <c r="T1582" i="20"/>
  <c r="AB1606" i="20"/>
  <c r="P1606" i="20"/>
  <c r="N1606" i="20"/>
  <c r="T1612" i="20"/>
  <c r="T1639" i="20"/>
  <c r="Z1645" i="20"/>
  <c r="Z1648" i="20"/>
  <c r="Y1686" i="20"/>
  <c r="Z1703" i="20"/>
  <c r="J1703" i="20" s="1"/>
  <c r="Y1703" i="20"/>
  <c r="Q1718" i="20"/>
  <c r="AC1718" i="20"/>
  <c r="AC1797" i="20"/>
  <c r="Q1797" i="20"/>
  <c r="Y1811" i="20"/>
  <c r="Z1811" i="20"/>
  <c r="J1811" i="20" s="1"/>
  <c r="Z1888" i="20"/>
  <c r="Y1888" i="20"/>
  <c r="AB2049" i="20"/>
  <c r="M908" i="20"/>
  <c r="L908" i="20"/>
  <c r="T995" i="20"/>
  <c r="P1140" i="20"/>
  <c r="N1140" i="20"/>
  <c r="P1156" i="20"/>
  <c r="N1156" i="20"/>
  <c r="Z1189" i="20"/>
  <c r="Y1189" i="20"/>
  <c r="T1223" i="20"/>
  <c r="U1223" i="20" s="1"/>
  <c r="Z1232" i="20"/>
  <c r="Y1232" i="20"/>
  <c r="T1289" i="20"/>
  <c r="U1289" i="20" s="1"/>
  <c r="AC1313" i="20"/>
  <c r="Q1313" i="20"/>
  <c r="N1313" i="20"/>
  <c r="O1313" i="20" s="1"/>
  <c r="P1329" i="20"/>
  <c r="N1329" i="20"/>
  <c r="O1329" i="20" s="1"/>
  <c r="M1336" i="20"/>
  <c r="L1336" i="20"/>
  <c r="J1357" i="20"/>
  <c r="AB1384" i="20"/>
  <c r="P1384" i="20"/>
  <c r="N1384" i="20"/>
  <c r="O1384" i="20" s="1"/>
  <c r="Z1458" i="20"/>
  <c r="J1458" i="20" s="1"/>
  <c r="Y1458" i="20"/>
  <c r="AC1462" i="20"/>
  <c r="Q1462" i="20"/>
  <c r="N1470" i="20"/>
  <c r="O1470" i="20" s="1"/>
  <c r="T1493" i="20"/>
  <c r="Z1499" i="20"/>
  <c r="J1499" i="20" s="1"/>
  <c r="Y1499" i="20"/>
  <c r="Z1521" i="20"/>
  <c r="J1521" i="20" s="1"/>
  <c r="Y1521" i="20"/>
  <c r="Z1535" i="20"/>
  <c r="J1535" i="20" s="1"/>
  <c r="Y1535" i="20"/>
  <c r="Z1560" i="20"/>
  <c r="J1560" i="20" s="1"/>
  <c r="P1560" i="20" s="1"/>
  <c r="Y1560" i="20"/>
  <c r="AC1606" i="20"/>
  <c r="Q1606" i="20"/>
  <c r="P1609" i="20"/>
  <c r="Q1630" i="20"/>
  <c r="AC1630" i="20"/>
  <c r="Y1636" i="20"/>
  <c r="Z1636" i="20"/>
  <c r="Y1645" i="20"/>
  <c r="Z1654" i="20"/>
  <c r="J1654" i="20" s="1"/>
  <c r="T1714" i="20"/>
  <c r="T1726" i="20"/>
  <c r="Z1732" i="20"/>
  <c r="J1732" i="20" s="1"/>
  <c r="AB1765" i="20"/>
  <c r="N1765" i="20"/>
  <c r="O1765" i="20" s="1"/>
  <c r="P1765" i="20"/>
  <c r="Y1800" i="20"/>
  <c r="Z1800" i="20"/>
  <c r="J1800" i="20" s="1"/>
  <c r="P1828" i="20"/>
  <c r="N1828" i="20"/>
  <c r="O1828" i="20" s="1"/>
  <c r="Q1848" i="20"/>
  <c r="AC1848" i="20"/>
  <c r="Q1872" i="20"/>
  <c r="AC1947" i="20"/>
  <c r="Q1947" i="20"/>
  <c r="P928" i="20"/>
  <c r="P948" i="20"/>
  <c r="P965" i="20"/>
  <c r="AB1003" i="20"/>
  <c r="T1048" i="20"/>
  <c r="Z1064" i="20"/>
  <c r="J1064" i="20" s="1"/>
  <c r="P1064" i="20" s="1"/>
  <c r="Y1064" i="20"/>
  <c r="N1146" i="20"/>
  <c r="Z1172" i="20"/>
  <c r="Y1172" i="20"/>
  <c r="AC1282" i="20"/>
  <c r="Q1282" i="20"/>
  <c r="Y1284" i="20"/>
  <c r="N1287" i="20"/>
  <c r="O1287" i="20" s="1"/>
  <c r="Z1289" i="20"/>
  <c r="Y1289" i="20"/>
  <c r="T1313" i="20"/>
  <c r="L1327" i="20"/>
  <c r="Y1357" i="20"/>
  <c r="P1374" i="20"/>
  <c r="N1374" i="20"/>
  <c r="O1374" i="20" s="1"/>
  <c r="AB1374" i="20"/>
  <c r="L1379" i="20"/>
  <c r="Y1391" i="20"/>
  <c r="Z1401" i="20"/>
  <c r="J1401" i="20" s="1"/>
  <c r="N1455" i="20"/>
  <c r="O1455" i="20" s="1"/>
  <c r="L1462" i="20"/>
  <c r="T1470" i="20"/>
  <c r="AC1509" i="20"/>
  <c r="Q1509" i="20"/>
  <c r="AB1515" i="20"/>
  <c r="P1515" i="20"/>
  <c r="N1515" i="20"/>
  <c r="O1515" i="20" s="1"/>
  <c r="P1624" i="20"/>
  <c r="AB1624" i="20"/>
  <c r="N1624" i="20"/>
  <c r="N1630" i="20"/>
  <c r="Y1633" i="20"/>
  <c r="Z1633" i="20"/>
  <c r="T1683" i="20"/>
  <c r="U1683" i="20" s="1"/>
  <c r="Z1722" i="20"/>
  <c r="J1722" i="20" s="1"/>
  <c r="Y1722" i="20"/>
  <c r="Z1735" i="20"/>
  <c r="J1735" i="20" s="1"/>
  <c r="Y1735" i="20"/>
  <c r="M1747" i="20"/>
  <c r="L1747" i="20"/>
  <c r="Z1757" i="20"/>
  <c r="Y1867" i="20"/>
  <c r="Z1867" i="20"/>
  <c r="Y1898" i="20"/>
  <c r="Z1898" i="20"/>
  <c r="Z1923" i="20"/>
  <c r="Y1923" i="20"/>
  <c r="N2049" i="20"/>
  <c r="O2049" i="20" s="1"/>
  <c r="AB1479" i="20"/>
  <c r="N1479" i="20"/>
  <c r="O1479" i="20" s="1"/>
  <c r="Q1532" i="20"/>
  <c r="AC1532" i="20"/>
  <c r="Z1582" i="20"/>
  <c r="J1582" i="20" s="1"/>
  <c r="P1582" i="20" s="1"/>
  <c r="Q1679" i="20"/>
  <c r="AC1679" i="20"/>
  <c r="Z1739" i="20"/>
  <c r="J1739" i="20" s="1"/>
  <c r="Y1739" i="20"/>
  <c r="Q1790" i="20"/>
  <c r="AC1790" i="20"/>
  <c r="M1893" i="20"/>
  <c r="L1893" i="20"/>
  <c r="AB1904" i="20"/>
  <c r="N1904" i="20"/>
  <c r="O1904" i="20" s="1"/>
  <c r="Z1947" i="20"/>
  <c r="Y1947" i="20"/>
  <c r="AB2055" i="20"/>
  <c r="N2055" i="20"/>
  <c r="O2055" i="20" s="1"/>
  <c r="Y2111" i="20"/>
  <c r="Z2111" i="20"/>
  <c r="Q2221" i="20"/>
  <c r="N2221" i="20"/>
  <c r="O2221" i="20" s="1"/>
  <c r="AC2221" i="20"/>
  <c r="M1459" i="20"/>
  <c r="L1459" i="20"/>
  <c r="Z1484" i="20"/>
  <c r="J1484" i="20" s="1"/>
  <c r="Y1484" i="20"/>
  <c r="P1522" i="20"/>
  <c r="N1522" i="20"/>
  <c r="O1522" i="20" s="1"/>
  <c r="AB1522" i="20"/>
  <c r="AB1536" i="20"/>
  <c r="N1536" i="20"/>
  <c r="O1536" i="20" s="1"/>
  <c r="T1551" i="20"/>
  <c r="Z1564" i="20"/>
  <c r="J1564" i="20" s="1"/>
  <c r="Y1564" i="20"/>
  <c r="Q1568" i="20"/>
  <c r="AC1568" i="20"/>
  <c r="N1572" i="20"/>
  <c r="O1572" i="20" s="1"/>
  <c r="Y1582" i="20"/>
  <c r="T1630" i="20"/>
  <c r="M1646" i="20"/>
  <c r="L1646" i="20"/>
  <c r="T1655" i="20"/>
  <c r="U1655" i="20" s="1"/>
  <c r="T1671" i="20"/>
  <c r="U1671" i="20" s="1"/>
  <c r="L1679" i="20"/>
  <c r="Z1782" i="20"/>
  <c r="N1790" i="20"/>
  <c r="O1790" i="20" s="1"/>
  <c r="AB1801" i="20"/>
  <c r="N1801" i="20"/>
  <c r="O1801" i="20" s="1"/>
  <c r="Z1828" i="20"/>
  <c r="Y1828" i="20"/>
  <c r="Y1840" i="20"/>
  <c r="AC1852" i="20"/>
  <c r="Q1852" i="20"/>
  <c r="Y1855" i="20"/>
  <c r="Z1855" i="20"/>
  <c r="J1855" i="20" s="1"/>
  <c r="Z1872" i="20"/>
  <c r="Y1872" i="20"/>
  <c r="Q1960" i="20"/>
  <c r="AC1960" i="20"/>
  <c r="Z2049" i="20"/>
  <c r="Y2049" i="20"/>
  <c r="Z2059" i="20"/>
  <c r="Y2137" i="20"/>
  <c r="Z2137" i="20"/>
  <c r="T1499" i="20"/>
  <c r="AC1559" i="20"/>
  <c r="Q1559" i="20"/>
  <c r="M1562" i="20"/>
  <c r="L1562" i="20"/>
  <c r="T1609" i="20"/>
  <c r="M1631" i="20"/>
  <c r="L1631" i="20"/>
  <c r="T1647" i="20"/>
  <c r="Z1680" i="20"/>
  <c r="J1680" i="20" s="1"/>
  <c r="Y1680" i="20"/>
  <c r="P1684" i="20"/>
  <c r="AB1684" i="20"/>
  <c r="Y1725" i="20"/>
  <c r="Z1725" i="20"/>
  <c r="J1725" i="20" s="1"/>
  <c r="Q1731" i="20"/>
  <c r="AC1731" i="20"/>
  <c r="L1803" i="20"/>
  <c r="M1803" i="20"/>
  <c r="M1807" i="20"/>
  <c r="L1807" i="20"/>
  <c r="Z1851" i="20"/>
  <c r="J1851" i="20" s="1"/>
  <c r="Y1851" i="20"/>
  <c r="M1909" i="20"/>
  <c r="L1909" i="20"/>
  <c r="Z2050" i="20"/>
  <c r="Z1370" i="20"/>
  <c r="J1370" i="20" s="1"/>
  <c r="Y1370" i="20"/>
  <c r="T1427" i="20"/>
  <c r="U1427" i="20" s="1"/>
  <c r="T1483" i="20"/>
  <c r="AB1519" i="20"/>
  <c r="M1551" i="20"/>
  <c r="L1551" i="20"/>
  <c r="L1559" i="20"/>
  <c r="AB1568" i="20"/>
  <c r="T1673" i="20"/>
  <c r="U1673" i="20" s="1"/>
  <c r="Z1698" i="20"/>
  <c r="J1698" i="20" s="1"/>
  <c r="P1698" i="20" s="1"/>
  <c r="M1715" i="20"/>
  <c r="L1715" i="20"/>
  <c r="T1734" i="20"/>
  <c r="Z1770" i="20"/>
  <c r="J1770" i="20" s="1"/>
  <c r="Y1770" i="20"/>
  <c r="T1807" i="20"/>
  <c r="T1810" i="20"/>
  <c r="M1895" i="20"/>
  <c r="Q1905" i="20"/>
  <c r="AC1905" i="20"/>
  <c r="Z1942" i="20"/>
  <c r="Y1942" i="20"/>
  <c r="Y2050" i="20"/>
  <c r="Z1393" i="20"/>
  <c r="J1393" i="20" s="1"/>
  <c r="Y1393" i="20"/>
  <c r="M1441" i="20"/>
  <c r="L1441" i="20"/>
  <c r="Q1497" i="20"/>
  <c r="Z1548" i="20"/>
  <c r="J1548" i="20" s="1"/>
  <c r="Y1548" i="20"/>
  <c r="AC1595" i="20"/>
  <c r="Q1595" i="20"/>
  <c r="AB1615" i="20"/>
  <c r="N1615" i="20"/>
  <c r="Z1656" i="20"/>
  <c r="J1656" i="20" s="1"/>
  <c r="P1656" i="20" s="1"/>
  <c r="Y1656" i="20"/>
  <c r="T1663" i="20"/>
  <c r="U1663" i="20" s="1"/>
  <c r="AC1695" i="20"/>
  <c r="Q1695" i="20"/>
  <c r="Z1708" i="20"/>
  <c r="J1708" i="20" s="1"/>
  <c r="Y1708" i="20"/>
  <c r="P1741" i="20"/>
  <c r="N1741" i="20"/>
  <c r="O1741" i="20" s="1"/>
  <c r="AB1741" i="20"/>
  <c r="T1800" i="20"/>
  <c r="L1863" i="20"/>
  <c r="M1863" i="20"/>
  <c r="Z1900" i="20"/>
  <c r="Y1900" i="20"/>
  <c r="T2162" i="20"/>
  <c r="M2207" i="20"/>
  <c r="L2207" i="20"/>
  <c r="T1519" i="20"/>
  <c r="N1554" i="20"/>
  <c r="O1554" i="20" s="1"/>
  <c r="AB1557" i="20"/>
  <c r="N1557" i="20"/>
  <c r="O1557" i="20" s="1"/>
  <c r="T1589" i="20"/>
  <c r="AB1595" i="20"/>
  <c r="Z1639" i="20"/>
  <c r="Q1648" i="20"/>
  <c r="AC1648" i="20"/>
  <c r="L1677" i="20"/>
  <c r="M1677" i="20"/>
  <c r="AC1681" i="20"/>
  <c r="Q1681" i="20"/>
  <c r="Z1687" i="20"/>
  <c r="J1687" i="20" s="1"/>
  <c r="P1687" i="20" s="1"/>
  <c r="T1691" i="20"/>
  <c r="U1691" i="20" s="1"/>
  <c r="N1695" i="20"/>
  <c r="O1695" i="20" s="1"/>
  <c r="M1699" i="20"/>
  <c r="L1699" i="20"/>
  <c r="Z1737" i="20"/>
  <c r="J1737" i="20" s="1"/>
  <c r="AC1787" i="20"/>
  <c r="Q1787" i="20"/>
  <c r="T1826" i="20"/>
  <c r="Z1879" i="20"/>
  <c r="Y1879" i="20"/>
  <c r="Y2070" i="20"/>
  <c r="Z2070" i="20"/>
  <c r="T2143" i="20"/>
  <c r="AB2401" i="20"/>
  <c r="N2401" i="20"/>
  <c r="O2401" i="20" s="1"/>
  <c r="P2401" i="20"/>
  <c r="T1468" i="20"/>
  <c r="Q1538" i="20"/>
  <c r="P1549" i="20"/>
  <c r="T1580" i="20"/>
  <c r="Z1628" i="20"/>
  <c r="Y1628" i="20"/>
  <c r="Z1677" i="20"/>
  <c r="J1677" i="20" s="1"/>
  <c r="Y1677" i="20"/>
  <c r="M1688" i="20"/>
  <c r="L1688" i="20"/>
  <c r="Z1741" i="20"/>
  <c r="J1741" i="20" s="1"/>
  <c r="Y1741" i="20"/>
  <c r="N1811" i="20"/>
  <c r="O1811" i="20" s="1"/>
  <c r="P1811" i="20"/>
  <c r="AB1811" i="20"/>
  <c r="Z1834" i="20"/>
  <c r="Y1834" i="20"/>
  <c r="Q1845" i="20"/>
  <c r="Y2037" i="20"/>
  <c r="Z2037" i="20"/>
  <c r="AB2124" i="20"/>
  <c r="P2124" i="20"/>
  <c r="N2124" i="20"/>
  <c r="T2284" i="20"/>
  <c r="Z1502" i="20"/>
  <c r="J1502" i="20" s="1"/>
  <c r="Y1502" i="20"/>
  <c r="T1517" i="20"/>
  <c r="Z1538" i="20"/>
  <c r="J1538" i="20" s="1"/>
  <c r="P1538" i="20" s="1"/>
  <c r="Y1538" i="20"/>
  <c r="N1566" i="20"/>
  <c r="O1566" i="20" s="1"/>
  <c r="M1602" i="20"/>
  <c r="L1602" i="20"/>
  <c r="T1626" i="20"/>
  <c r="M1629" i="20"/>
  <c r="L1629" i="20"/>
  <c r="Q1632" i="20"/>
  <c r="AC1632" i="20"/>
  <c r="Y1650" i="20"/>
  <c r="Z1650" i="20"/>
  <c r="T1709" i="20"/>
  <c r="AC1716" i="20"/>
  <c r="Q1716" i="20"/>
  <c r="Y1748" i="20"/>
  <c r="Z1748" i="20"/>
  <c r="J1748" i="20" s="1"/>
  <c r="Q1768" i="20"/>
  <c r="N1768" i="20"/>
  <c r="O1768" i="20" s="1"/>
  <c r="AC1768" i="20"/>
  <c r="Z1804" i="20"/>
  <c r="J1804" i="20" s="1"/>
  <c r="Y1804" i="20"/>
  <c r="Y1845" i="20"/>
  <c r="Z1845" i="20"/>
  <c r="J1845" i="20" s="1"/>
  <c r="Z1863" i="20"/>
  <c r="Y1863" i="20"/>
  <c r="M1920" i="20"/>
  <c r="L1920" i="20"/>
  <c r="AC2005" i="20"/>
  <c r="Q2005" i="20"/>
  <c r="Z2071" i="20"/>
  <c r="Y2071" i="20"/>
  <c r="L2163" i="20"/>
  <c r="M2163" i="20"/>
  <c r="Y2284" i="20"/>
  <c r="Z2284" i="20"/>
  <c r="T1402" i="20"/>
  <c r="U1402" i="20" s="1"/>
  <c r="Z1466" i="20"/>
  <c r="J1466" i="20" s="1"/>
  <c r="Y1466" i="20"/>
  <c r="P1544" i="20"/>
  <c r="Z1546" i="20"/>
  <c r="J1546" i="20" s="1"/>
  <c r="P1546" i="20" s="1"/>
  <c r="Y1546" i="20"/>
  <c r="T1572" i="20"/>
  <c r="Q1682" i="20"/>
  <c r="AC1682" i="20"/>
  <c r="L1692" i="20"/>
  <c r="M1692" i="20"/>
  <c r="Q1700" i="20"/>
  <c r="AC1700" i="20"/>
  <c r="Z1723" i="20"/>
  <c r="J1723" i="20" s="1"/>
  <c r="Z1729" i="20"/>
  <c r="J1729" i="20" s="1"/>
  <c r="Y1761" i="20"/>
  <c r="Z1761" i="20"/>
  <c r="Y1929" i="20"/>
  <c r="Z1929" i="20"/>
  <c r="Z2089" i="20"/>
  <c r="Y2089" i="20"/>
  <c r="M2121" i="20"/>
  <c r="L2121" i="20"/>
  <c r="Z1218" i="20"/>
  <c r="J1218" i="20" s="1"/>
  <c r="Y1218" i="20"/>
  <c r="T1252" i="20"/>
  <c r="U1252" i="20" s="1"/>
  <c r="T1272" i="20"/>
  <c r="U1272" i="20" s="1"/>
  <c r="J1272" i="20" s="1"/>
  <c r="P1272" i="20" s="1"/>
  <c r="M1503" i="20"/>
  <c r="AB1555" i="20"/>
  <c r="P1555" i="20"/>
  <c r="AC1607" i="20"/>
  <c r="AC1626" i="20"/>
  <c r="T1632" i="20"/>
  <c r="AB1638" i="20"/>
  <c r="P1638" i="20"/>
  <c r="P1651" i="20"/>
  <c r="AB1651" i="20"/>
  <c r="N1651" i="20"/>
  <c r="AB1660" i="20"/>
  <c r="T1685" i="20"/>
  <c r="U1685" i="20" s="1"/>
  <c r="Y1723" i="20"/>
  <c r="Q1805" i="20"/>
  <c r="N1815" i="20"/>
  <c r="AB1815" i="20"/>
  <c r="P1815" i="20"/>
  <c r="Z1868" i="20"/>
  <c r="Y1868" i="20"/>
  <c r="Z1884" i="20"/>
  <c r="Y1884" i="20"/>
  <c r="L1916" i="20"/>
  <c r="Y1920" i="20"/>
  <c r="Y2013" i="20"/>
  <c r="Z2013" i="20"/>
  <c r="Z2153" i="20"/>
  <c r="Y2153" i="20"/>
  <c r="T1176" i="20"/>
  <c r="P1317" i="20"/>
  <c r="N1317" i="20"/>
  <c r="O1317" i="20" s="1"/>
  <c r="Z1351" i="20"/>
  <c r="J1351" i="20" s="1"/>
  <c r="Y1351" i="20"/>
  <c r="T1390" i="20"/>
  <c r="Z1437" i="20"/>
  <c r="J1437" i="20" s="1"/>
  <c r="P1437" i="20" s="1"/>
  <c r="Y1437" i="20"/>
  <c r="T1482" i="20"/>
  <c r="AB1547" i="20"/>
  <c r="N1547" i="20"/>
  <c r="O1547" i="20" s="1"/>
  <c r="T1581" i="20"/>
  <c r="T1616" i="20"/>
  <c r="T1651" i="20"/>
  <c r="AB1661" i="20"/>
  <c r="N1661" i="20"/>
  <c r="O1661" i="20" s="1"/>
  <c r="T1682" i="20"/>
  <c r="U1682" i="20" s="1"/>
  <c r="Z1685" i="20"/>
  <c r="Y1685" i="20"/>
  <c r="Y1696" i="20"/>
  <c r="Z1696" i="20"/>
  <c r="J1696" i="20" s="1"/>
  <c r="AB1739" i="20"/>
  <c r="P1739" i="20"/>
  <c r="Q1765" i="20"/>
  <c r="AC1765" i="20"/>
  <c r="T1772" i="20"/>
  <c r="AB1785" i="20"/>
  <c r="P1785" i="20"/>
  <c r="Z1788" i="20"/>
  <c r="Y1788" i="20"/>
  <c r="Y1821" i="20"/>
  <c r="Z1821" i="20"/>
  <c r="Z1853" i="20"/>
  <c r="J1853" i="20" s="1"/>
  <c r="Y1853" i="20"/>
  <c r="Y1948" i="20"/>
  <c r="Z1948" i="20"/>
  <c r="M2039" i="20"/>
  <c r="L2039" i="20"/>
  <c r="M2104" i="20"/>
  <c r="L2104" i="20"/>
  <c r="Z2141" i="20"/>
  <c r="L1075" i="20"/>
  <c r="L1098" i="20"/>
  <c r="L1112" i="20"/>
  <c r="L1119" i="20"/>
  <c r="T1124" i="20"/>
  <c r="L1201" i="20"/>
  <c r="L1209" i="20"/>
  <c r="L1211" i="20"/>
  <c r="Y1272" i="20"/>
  <c r="Z1282" i="20"/>
  <c r="J1282" i="20" s="1"/>
  <c r="P1282" i="20" s="1"/>
  <c r="Y1282" i="20"/>
  <c r="L1297" i="20"/>
  <c r="Z1339" i="20"/>
  <c r="J1339" i="20" s="1"/>
  <c r="Y1339" i="20"/>
  <c r="Z1363" i="20"/>
  <c r="J1363" i="20" s="1"/>
  <c r="Y1363" i="20"/>
  <c r="L1378" i="20"/>
  <c r="L1380" i="20"/>
  <c r="L1388" i="20"/>
  <c r="M1424" i="20"/>
  <c r="L1424" i="20"/>
  <c r="L1458" i="20"/>
  <c r="Z1462" i="20"/>
  <c r="J1462" i="20" s="1"/>
  <c r="Y1462" i="20"/>
  <c r="M1487" i="20"/>
  <c r="L1487" i="20"/>
  <c r="Z1493" i="20"/>
  <c r="J1493" i="20" s="1"/>
  <c r="AC1496" i="20"/>
  <c r="Q1496" i="20"/>
  <c r="L1518" i="20"/>
  <c r="T1539" i="20"/>
  <c r="T1544" i="20"/>
  <c r="T1596" i="20"/>
  <c r="Z1599" i="20"/>
  <c r="J1599" i="20" s="1"/>
  <c r="Z1613" i="20"/>
  <c r="Y1613" i="20"/>
  <c r="M1619" i="20"/>
  <c r="L1619" i="20"/>
  <c r="Y1654" i="20"/>
  <c r="N1658" i="20"/>
  <c r="O1658" i="20" s="1"/>
  <c r="AB1658" i="20"/>
  <c r="Z1706" i="20"/>
  <c r="J1706" i="20" s="1"/>
  <c r="AB1710" i="20"/>
  <c r="P1710" i="20"/>
  <c r="N1710" i="20"/>
  <c r="O1710" i="20" s="1"/>
  <c r="AB1724" i="20"/>
  <c r="N1724" i="20"/>
  <c r="O1724" i="20" s="1"/>
  <c r="Z1745" i="20"/>
  <c r="J1745" i="20" s="1"/>
  <c r="Y1745" i="20"/>
  <c r="N1785" i="20"/>
  <c r="O1785" i="20" s="1"/>
  <c r="Y1792" i="20"/>
  <c r="Z1857" i="20"/>
  <c r="Y1857" i="20"/>
  <c r="T2138" i="20"/>
  <c r="T2213" i="20"/>
  <c r="L972" i="20"/>
  <c r="L1004" i="20"/>
  <c r="L1021" i="20"/>
  <c r="L1061" i="20"/>
  <c r="L1068" i="20"/>
  <c r="L1091" i="20"/>
  <c r="L1105" i="20"/>
  <c r="L1167" i="20"/>
  <c r="L1184" i="20"/>
  <c r="T1240" i="20"/>
  <c r="U1240" i="20" s="1"/>
  <c r="J1240" i="20" s="1"/>
  <c r="P1240" i="20" s="1"/>
  <c r="L1299" i="20"/>
  <c r="L1301" i="20"/>
  <c r="P1313" i="20"/>
  <c r="T1327" i="20"/>
  <c r="M1409" i="20"/>
  <c r="T1424" i="20"/>
  <c r="U1424" i="20" s="1"/>
  <c r="L1469" i="20"/>
  <c r="T1471" i="20"/>
  <c r="N1496" i="20"/>
  <c r="O1496" i="20" s="1"/>
  <c r="L1501" i="20"/>
  <c r="L1508" i="20"/>
  <c r="AC1525" i="20"/>
  <c r="T1555" i="20"/>
  <c r="Z1563" i="20"/>
  <c r="J1563" i="20" s="1"/>
  <c r="Y1563" i="20"/>
  <c r="Q1590" i="20"/>
  <c r="T1593" i="20"/>
  <c r="Q1624" i="20"/>
  <c r="P1643" i="20"/>
  <c r="Q1658" i="20"/>
  <c r="AC1658" i="20"/>
  <c r="Y1682" i="20"/>
  <c r="Z1682" i="20"/>
  <c r="Z1713" i="20"/>
  <c r="J1713" i="20" s="1"/>
  <c r="Y1713" i="20"/>
  <c r="Z1720" i="20"/>
  <c r="J1720" i="20" s="1"/>
  <c r="AC1724" i="20"/>
  <c r="Q1724" i="20"/>
  <c r="N1739" i="20"/>
  <c r="O1739" i="20" s="1"/>
  <c r="Z1801" i="20"/>
  <c r="J1801" i="20" s="1"/>
  <c r="M1854" i="20"/>
  <c r="L1854" i="20"/>
  <c r="AB1861" i="20"/>
  <c r="N1861" i="20"/>
  <c r="O1861" i="20" s="1"/>
  <c r="N1869" i="20"/>
  <c r="O1869" i="20" s="1"/>
  <c r="AB1869" i="20"/>
  <c r="Z2085" i="20"/>
  <c r="M1205" i="20"/>
  <c r="L1205" i="20"/>
  <c r="Z1260" i="20"/>
  <c r="Y1260" i="20"/>
  <c r="T1315" i="20"/>
  <c r="T1411" i="20"/>
  <c r="U1411" i="20" s="1"/>
  <c r="N1431" i="20"/>
  <c r="O1431" i="20" s="1"/>
  <c r="N1478" i="20"/>
  <c r="O1478" i="20" s="1"/>
  <c r="Z1515" i="20"/>
  <c r="J1515" i="20" s="1"/>
  <c r="Y1552" i="20"/>
  <c r="AB1566" i="20"/>
  <c r="T1590" i="20"/>
  <c r="Z1596" i="20"/>
  <c r="J1596" i="20" s="1"/>
  <c r="Y1596" i="20"/>
  <c r="M1611" i="20"/>
  <c r="L1611" i="20"/>
  <c r="L1641" i="20"/>
  <c r="Z1651" i="20"/>
  <c r="Y1651" i="20"/>
  <c r="Z1668" i="20"/>
  <c r="Y1668" i="20"/>
  <c r="AB1672" i="20"/>
  <c r="N1672" i="20"/>
  <c r="O1672" i="20" s="1"/>
  <c r="M1693" i="20"/>
  <c r="L1693" i="20"/>
  <c r="Y1720" i="20"/>
  <c r="N1762" i="20"/>
  <c r="O1762" i="20" s="1"/>
  <c r="AC1779" i="20"/>
  <c r="Q1779" i="20"/>
  <c r="AC1847" i="20"/>
  <c r="Q1847" i="20"/>
  <c r="Z1850" i="20"/>
  <c r="J1850" i="20" s="1"/>
  <c r="Y1850" i="20"/>
  <c r="T1854" i="20"/>
  <c r="Q1861" i="20"/>
  <c r="AC1861" i="20"/>
  <c r="Z1877" i="20"/>
  <c r="Y1877" i="20"/>
  <c r="Q1881" i="20"/>
  <c r="Z1916" i="20"/>
  <c r="Y1916" i="20"/>
  <c r="Z1969" i="20"/>
  <c r="Y1969" i="20"/>
  <c r="Z2138" i="20"/>
  <c r="Y2138" i="20"/>
  <c r="AC2151" i="20"/>
  <c r="Q2151" i="20"/>
  <c r="N2151" i="20"/>
  <c r="Z1250" i="20"/>
  <c r="J1250" i="20" s="1"/>
  <c r="Y1250" i="20"/>
  <c r="P1291" i="20"/>
  <c r="T1303" i="20"/>
  <c r="Q1384" i="20"/>
  <c r="P1407" i="20"/>
  <c r="AB1407" i="20"/>
  <c r="AB1420" i="20"/>
  <c r="Q1429" i="20"/>
  <c r="AC1429" i="20"/>
  <c r="Y1435" i="20"/>
  <c r="Z1435" i="20"/>
  <c r="J1435" i="20" s="1"/>
  <c r="P1435" i="20" s="1"/>
  <c r="T1460" i="20"/>
  <c r="T1480" i="20"/>
  <c r="AB1529" i="20"/>
  <c r="AB1537" i="20"/>
  <c r="AB1550" i="20"/>
  <c r="Z1555" i="20"/>
  <c r="J1555" i="20" s="1"/>
  <c r="Y1555" i="20"/>
  <c r="Q1578" i="20"/>
  <c r="Z1593" i="20"/>
  <c r="J1593" i="20" s="1"/>
  <c r="P1593" i="20" s="1"/>
  <c r="Y1593" i="20"/>
  <c r="M1600" i="20"/>
  <c r="L1600" i="20"/>
  <c r="P1603" i="20"/>
  <c r="N1603" i="20"/>
  <c r="Z1616" i="20"/>
  <c r="Y1616" i="20"/>
  <c r="L1622" i="20"/>
  <c r="M1622" i="20"/>
  <c r="Y1661" i="20"/>
  <c r="Z1661" i="20"/>
  <c r="Q1672" i="20"/>
  <c r="AC1672" i="20"/>
  <c r="T1689" i="20"/>
  <c r="U1689" i="20" s="1"/>
  <c r="T1693" i="20"/>
  <c r="U1693" i="20" s="1"/>
  <c r="T1724" i="20"/>
  <c r="T1727" i="20"/>
  <c r="P1743" i="20"/>
  <c r="N1743" i="20"/>
  <c r="O1743" i="20" s="1"/>
  <c r="Z1772" i="20"/>
  <c r="J1772" i="20" s="1"/>
  <c r="Y1772" i="20"/>
  <c r="AB1779" i="20"/>
  <c r="P1779" i="20"/>
  <c r="AB1789" i="20"/>
  <c r="P1789" i="20"/>
  <c r="N1789" i="20"/>
  <c r="O1789" i="20" s="1"/>
  <c r="N1898" i="20"/>
  <c r="O1898" i="20" s="1"/>
  <c r="AB1903" i="20"/>
  <c r="AB1926" i="20"/>
  <c r="N1926" i="20"/>
  <c r="O1926" i="20" s="1"/>
  <c r="N1975" i="20"/>
  <c r="O1975" i="20" s="1"/>
  <c r="AB1975" i="20"/>
  <c r="Z2001" i="20"/>
  <c r="Y2001" i="20"/>
  <c r="L2058" i="20"/>
  <c r="L1077" i="20"/>
  <c r="P1215" i="20"/>
  <c r="N1215" i="20"/>
  <c r="O1215" i="20" s="1"/>
  <c r="M1291" i="20"/>
  <c r="Q1382" i="20"/>
  <c r="T1386" i="20"/>
  <c r="M1407" i="20"/>
  <c r="P1409" i="20"/>
  <c r="N1422" i="20"/>
  <c r="O1422" i="20" s="1"/>
  <c r="L1429" i="20"/>
  <c r="N1476" i="20"/>
  <c r="O1476" i="20" s="1"/>
  <c r="T1496" i="20"/>
  <c r="Z1498" i="20"/>
  <c r="J1498" i="20" s="1"/>
  <c r="Y1498" i="20"/>
  <c r="Q1542" i="20"/>
  <c r="AC1542" i="20"/>
  <c r="Y1544" i="20"/>
  <c r="Q1550" i="20"/>
  <c r="AC1550" i="20"/>
  <c r="M1564" i="20"/>
  <c r="L1564" i="20"/>
  <c r="M1570" i="20"/>
  <c r="L1570" i="20"/>
  <c r="AB1573" i="20"/>
  <c r="Z1590" i="20"/>
  <c r="J1590" i="20" s="1"/>
  <c r="P1590" i="20" s="1"/>
  <c r="Y1590" i="20"/>
  <c r="M1633" i="20"/>
  <c r="L1633" i="20"/>
  <c r="T1697" i="20"/>
  <c r="U1697" i="20" s="1"/>
  <c r="AB1707" i="20"/>
  <c r="P1707" i="20"/>
  <c r="N1707" i="20"/>
  <c r="O1707" i="20" s="1"/>
  <c r="Z1710" i="20"/>
  <c r="J1710" i="20" s="1"/>
  <c r="Y1710" i="20"/>
  <c r="T1739" i="20"/>
  <c r="P1759" i="20"/>
  <c r="N1779" i="20"/>
  <c r="O1779" i="20" s="1"/>
  <c r="AC1828" i="20"/>
  <c r="Q1828" i="20"/>
  <c r="T1847" i="20"/>
  <c r="Y1881" i="20"/>
  <c r="Z1881" i="20"/>
  <c r="Q1898" i="20"/>
  <c r="AC1898" i="20"/>
  <c r="AC2030" i="20"/>
  <c r="Q2030" i="20"/>
  <c r="N2044" i="20"/>
  <c r="O2044" i="20" s="1"/>
  <c r="P2044" i="20"/>
  <c r="AB2044" i="20"/>
  <c r="Q2058" i="20"/>
  <c r="T1601" i="20"/>
  <c r="Z1678" i="20"/>
  <c r="J1678" i="20" s="1"/>
  <c r="P1678" i="20" s="1"/>
  <c r="Y1678" i="20"/>
  <c r="T1711" i="20"/>
  <c r="Z1904" i="20"/>
  <c r="Y1904" i="20"/>
  <c r="AC1940" i="20"/>
  <c r="Q1940" i="20"/>
  <c r="N1940" i="20"/>
  <c r="O1940" i="20" s="1"/>
  <c r="Y1979" i="20"/>
  <c r="Z1979" i="20"/>
  <c r="Q2100" i="20"/>
  <c r="AC2100" i="20"/>
  <c r="AB2376" i="20"/>
  <c r="P2376" i="20"/>
  <c r="N2376" i="20"/>
  <c r="O2376" i="20" s="1"/>
  <c r="Y2749" i="20"/>
  <c r="Z2749" i="20"/>
  <c r="Z1565" i="20"/>
  <c r="J1565" i="20" s="1"/>
  <c r="P1565" i="20" s="1"/>
  <c r="Y1565" i="20"/>
  <c r="M1608" i="20"/>
  <c r="L1608" i="20"/>
  <c r="Z1623" i="20"/>
  <c r="Z1632" i="20"/>
  <c r="T1681" i="20"/>
  <c r="U1681" i="20" s="1"/>
  <c r="T1695" i="20"/>
  <c r="U1695" i="20" s="1"/>
  <c r="J1695" i="20" s="1"/>
  <c r="P1695" i="20" s="1"/>
  <c r="Y1790" i="20"/>
  <c r="Z1790" i="20"/>
  <c r="Z1793" i="20"/>
  <c r="Y1793" i="20"/>
  <c r="Y1827" i="20"/>
  <c r="Z1827" i="20"/>
  <c r="M1851" i="20"/>
  <c r="L1851" i="20"/>
  <c r="Y1933" i="20"/>
  <c r="Z1933" i="20"/>
  <c r="AC1966" i="20"/>
  <c r="Q1966" i="20"/>
  <c r="N1966" i="20"/>
  <c r="O1966" i="20" s="1"/>
  <c r="L2100" i="20"/>
  <c r="T1608" i="20"/>
  <c r="Z1610" i="20"/>
  <c r="Y1610" i="20"/>
  <c r="Q1628" i="20"/>
  <c r="Z1630" i="20"/>
  <c r="Y1630" i="20"/>
  <c r="T1635" i="20"/>
  <c r="T1720" i="20"/>
  <c r="AB1736" i="20"/>
  <c r="P1736" i="20"/>
  <c r="Z1750" i="20"/>
  <c r="J1750" i="20" s="1"/>
  <c r="P1825" i="20"/>
  <c r="AB1825" i="20"/>
  <c r="Y1940" i="20"/>
  <c r="Z1940" i="20"/>
  <c r="Z1966" i="20"/>
  <c r="Y1966" i="20"/>
  <c r="AC2096" i="20"/>
  <c r="Q2096" i="20"/>
  <c r="Q2118" i="20"/>
  <c r="AC2118" i="20"/>
  <c r="Y2261" i="20"/>
  <c r="Z2261" i="20"/>
  <c r="Q1544" i="20"/>
  <c r="Z1550" i="20"/>
  <c r="J1550" i="20" s="1"/>
  <c r="P1550" i="20" s="1"/>
  <c r="N1718" i="20"/>
  <c r="O1718" i="20" s="1"/>
  <c r="Q1785" i="20"/>
  <c r="AC1785" i="20"/>
  <c r="AB1858" i="20"/>
  <c r="M1918" i="20"/>
  <c r="L1918" i="20"/>
  <c r="Z2006" i="20"/>
  <c r="Y2006" i="20"/>
  <c r="Q2042" i="20"/>
  <c r="AC2042" i="20"/>
  <c r="Z2232" i="20"/>
  <c r="J2232" i="20" s="1"/>
  <c r="Y2232" i="20"/>
  <c r="Z2373" i="20"/>
  <c r="J2373" i="20" s="1"/>
  <c r="P2373" i="20" s="1"/>
  <c r="Y2373" i="20"/>
  <c r="T1633" i="20"/>
  <c r="T1644" i="20"/>
  <c r="AC1661" i="20"/>
  <c r="Q1661" i="20"/>
  <c r="Q1674" i="20"/>
  <c r="AC1674" i="20"/>
  <c r="M1696" i="20"/>
  <c r="L1696" i="20"/>
  <c r="Z1715" i="20"/>
  <c r="J1715" i="20" s="1"/>
  <c r="Y1715" i="20"/>
  <c r="Z1756" i="20"/>
  <c r="Y1756" i="20"/>
  <c r="Z1835" i="20"/>
  <c r="Y1835" i="20"/>
  <c r="AB1876" i="20"/>
  <c r="Q1901" i="20"/>
  <c r="AC1901" i="20"/>
  <c r="Y1930" i="20"/>
  <c r="Z1930" i="20"/>
  <c r="Z2160" i="20"/>
  <c r="Y2160" i="20"/>
  <c r="Z2204" i="20"/>
  <c r="J2204" i="20" s="1"/>
  <c r="Y2204" i="20"/>
  <c r="Z2228" i="20"/>
  <c r="J2228" i="20" s="1"/>
  <c r="Y2228" i="20"/>
  <c r="Z2393" i="20"/>
  <c r="J2393" i="20" s="1"/>
  <c r="Y2393" i="20"/>
  <c r="Z1561" i="20"/>
  <c r="J1561" i="20" s="1"/>
  <c r="P1561" i="20" s="1"/>
  <c r="Y1561" i="20"/>
  <c r="Q1584" i="20"/>
  <c r="Z1626" i="20"/>
  <c r="Y1626" i="20"/>
  <c r="L1642" i="20"/>
  <c r="T1656" i="20"/>
  <c r="U1656" i="20" s="1"/>
  <c r="L1674" i="20"/>
  <c r="T1696" i="20"/>
  <c r="U1696" i="20" s="1"/>
  <c r="Z1701" i="20"/>
  <c r="J1701" i="20" s="1"/>
  <c r="P1701" i="20" s="1"/>
  <c r="Q1721" i="20"/>
  <c r="AC1721" i="20"/>
  <c r="Q1726" i="20"/>
  <c r="T1731" i="20"/>
  <c r="AB1751" i="20"/>
  <c r="P1751" i="20"/>
  <c r="P1797" i="20"/>
  <c r="N1797" i="20"/>
  <c r="O1797" i="20" s="1"/>
  <c r="AB1797" i="20"/>
  <c r="T1820" i="20"/>
  <c r="M1876" i="20"/>
  <c r="M1906" i="20"/>
  <c r="L1906" i="20"/>
  <c r="AC1952" i="20"/>
  <c r="Q1952" i="20"/>
  <c r="AB1960" i="20"/>
  <c r="P1960" i="20"/>
  <c r="N1960" i="20"/>
  <c r="O1960" i="20" s="1"/>
  <c r="Y1963" i="20"/>
  <c r="Y2002" i="20"/>
  <c r="Z2002" i="20"/>
  <c r="Y2033" i="20"/>
  <c r="Z2033" i="20"/>
  <c r="J2033" i="20" s="1"/>
  <c r="P2033" i="20" s="1"/>
  <c r="Y2046" i="20"/>
  <c r="Z2046" i="20"/>
  <c r="J2046" i="20" s="1"/>
  <c r="Y2101" i="20"/>
  <c r="Z2101" i="20"/>
  <c r="L2119" i="20"/>
  <c r="M2119" i="20"/>
  <c r="T2246" i="20"/>
  <c r="T1532" i="20"/>
  <c r="Z1559" i="20"/>
  <c r="J1559" i="20" s="1"/>
  <c r="Y1559" i="20"/>
  <c r="Z1566" i="20"/>
  <c r="J1566" i="20" s="1"/>
  <c r="P1566" i="20" s="1"/>
  <c r="Y1566" i="20"/>
  <c r="T1622" i="20"/>
  <c r="N1654" i="20"/>
  <c r="O1654" i="20" s="1"/>
  <c r="AB1654" i="20"/>
  <c r="Q1751" i="20"/>
  <c r="Q1806" i="20"/>
  <c r="AC1806" i="20"/>
  <c r="Q1823" i="20"/>
  <c r="AC1823" i="20"/>
  <c r="Z1889" i="20"/>
  <c r="Y1889" i="20"/>
  <c r="Y1918" i="20"/>
  <c r="Z1918" i="20"/>
  <c r="AC1926" i="20"/>
  <c r="Y1938" i="20"/>
  <c r="Z1938" i="20"/>
  <c r="P1952" i="20"/>
  <c r="P1968" i="20"/>
  <c r="N1968" i="20"/>
  <c r="O1968" i="20" s="1"/>
  <c r="Z1972" i="20"/>
  <c r="Y1972" i="20"/>
  <c r="Q2011" i="20"/>
  <c r="AC2011" i="20"/>
  <c r="N2011" i="20"/>
  <c r="O2011" i="20" s="1"/>
  <c r="AC2084" i="20"/>
  <c r="N2084" i="20"/>
  <c r="O2084" i="20" s="1"/>
  <c r="Q2084" i="20"/>
  <c r="Z2097" i="20"/>
  <c r="P2191" i="20"/>
  <c r="N2191" i="20"/>
  <c r="O2191" i="20" s="1"/>
  <c r="AB2191" i="20"/>
  <c r="Z2294" i="20"/>
  <c r="Y2294" i="20"/>
  <c r="M1549" i="20"/>
  <c r="T1573" i="20"/>
  <c r="Q1582" i="20"/>
  <c r="AC1582" i="20"/>
  <c r="T1602" i="20"/>
  <c r="Y1604" i="20"/>
  <c r="Z1604" i="20"/>
  <c r="L1620" i="20"/>
  <c r="Z1624" i="20"/>
  <c r="M1654" i="20"/>
  <c r="AB1716" i="20"/>
  <c r="N1716" i="20"/>
  <c r="O1716" i="20" s="1"/>
  <c r="T1751" i="20"/>
  <c r="P1757" i="20"/>
  <c r="N1757" i="20"/>
  <c r="O1757" i="20" s="1"/>
  <c r="AB1763" i="20"/>
  <c r="P1763" i="20"/>
  <c r="Y1777" i="20"/>
  <c r="Z1777" i="20"/>
  <c r="J1777" i="20" s="1"/>
  <c r="Q1809" i="20"/>
  <c r="AC1809" i="20"/>
  <c r="Q1869" i="20"/>
  <c r="Y1910" i="20"/>
  <c r="Y2022" i="20"/>
  <c r="N2071" i="20"/>
  <c r="O2071" i="20" s="1"/>
  <c r="AB2071" i="20"/>
  <c r="P2071" i="20"/>
  <c r="Y2097" i="20"/>
  <c r="T2113" i="20"/>
  <c r="N1530" i="20"/>
  <c r="O1530" i="20" s="1"/>
  <c r="Q1620" i="20"/>
  <c r="AC1636" i="20"/>
  <c r="Q1636" i="20"/>
  <c r="T1640" i="20"/>
  <c r="P1654" i="20"/>
  <c r="Z1674" i="20"/>
  <c r="J1674" i="20" s="1"/>
  <c r="Y1674" i="20"/>
  <c r="Q1707" i="20"/>
  <c r="Z1721" i="20"/>
  <c r="J1721" i="20" s="1"/>
  <c r="T1743" i="20"/>
  <c r="N1769" i="20"/>
  <c r="O1769" i="20" s="1"/>
  <c r="AB1769" i="20"/>
  <c r="Z1852" i="20"/>
  <c r="J1852" i="20" s="1"/>
  <c r="Y1852" i="20"/>
  <c r="AB1862" i="20"/>
  <c r="N1862" i="20"/>
  <c r="O1862" i="20" s="1"/>
  <c r="Z1869" i="20"/>
  <c r="Y1869" i="20"/>
  <c r="Q1880" i="20"/>
  <c r="AC1880" i="20"/>
  <c r="AC1902" i="20"/>
  <c r="Q1902" i="20"/>
  <c r="N1902" i="20"/>
  <c r="O1902" i="20" s="1"/>
  <c r="Z1914" i="20"/>
  <c r="Y1914" i="20"/>
  <c r="AC2076" i="20"/>
  <c r="Q2076" i="20"/>
  <c r="AC2158" i="20"/>
  <c r="Q2158" i="20"/>
  <c r="Y2201" i="20"/>
  <c r="Z2201" i="20"/>
  <c r="J2201" i="20" s="1"/>
  <c r="AC2230" i="20"/>
  <c r="Q2230" i="20"/>
  <c r="N2230" i="20"/>
  <c r="O2230" i="20" s="1"/>
  <c r="L1269" i="20"/>
  <c r="L1286" i="20"/>
  <c r="L1383" i="20"/>
  <c r="L1390" i="20"/>
  <c r="L1397" i="20"/>
  <c r="Y1400" i="20"/>
  <c r="L1415" i="20"/>
  <c r="L1426" i="20"/>
  <c r="L1447" i="20"/>
  <c r="T1490" i="20"/>
  <c r="L1509" i="20"/>
  <c r="L1513" i="20"/>
  <c r="L1528" i="20"/>
  <c r="M1530" i="20"/>
  <c r="N1545" i="20"/>
  <c r="O1545" i="20" s="1"/>
  <c r="L1569" i="20"/>
  <c r="T1571" i="20"/>
  <c r="N1587" i="20"/>
  <c r="O1587" i="20" s="1"/>
  <c r="L1618" i="20"/>
  <c r="L1652" i="20"/>
  <c r="L1670" i="20"/>
  <c r="AB1683" i="20"/>
  <c r="N1691" i="20"/>
  <c r="O1691" i="20" s="1"/>
  <c r="T1707" i="20"/>
  <c r="P1716" i="20"/>
  <c r="AB1718" i="20"/>
  <c r="M1732" i="20"/>
  <c r="L1732" i="20"/>
  <c r="AC1754" i="20"/>
  <c r="Q1754" i="20"/>
  <c r="AB1775" i="20"/>
  <c r="P1775" i="20"/>
  <c r="N1775" i="20"/>
  <c r="O1775" i="20" s="1"/>
  <c r="Q1862" i="20"/>
  <c r="AC1862" i="20"/>
  <c r="AC1949" i="20"/>
  <c r="Q1949" i="20"/>
  <c r="N1949" i="20"/>
  <c r="O1949" i="20" s="1"/>
  <c r="AC2022" i="20"/>
  <c r="Y2026" i="20"/>
  <c r="Z2026" i="20"/>
  <c r="AC2035" i="20"/>
  <c r="Q2035" i="20"/>
  <c r="AB2098" i="20"/>
  <c r="N2098" i="20"/>
  <c r="O2098" i="20" s="1"/>
  <c r="M2165" i="20"/>
  <c r="L2165" i="20"/>
  <c r="T1284" i="20"/>
  <c r="U1284" i="20" s="1"/>
  <c r="J1284" i="20" s="1"/>
  <c r="L1343" i="20"/>
  <c r="L1355" i="20"/>
  <c r="L1406" i="20"/>
  <c r="T1422" i="20"/>
  <c r="U1422" i="20" s="1"/>
  <c r="L1428" i="20"/>
  <c r="Y1519" i="20"/>
  <c r="L1526" i="20"/>
  <c r="N1560" i="20"/>
  <c r="O1560" i="20" s="1"/>
  <c r="L1580" i="20"/>
  <c r="N1598" i="20"/>
  <c r="O1598" i="20" s="1"/>
  <c r="T1600" i="20"/>
  <c r="Z1602" i="20"/>
  <c r="L1616" i="20"/>
  <c r="L1634" i="20"/>
  <c r="L1697" i="20"/>
  <c r="T1740" i="20"/>
  <c r="AB1749" i="20"/>
  <c r="N1749" i="20"/>
  <c r="O1749" i="20" s="1"/>
  <c r="Q1760" i="20"/>
  <c r="AC1760" i="20"/>
  <c r="P1769" i="20"/>
  <c r="N1778" i="20"/>
  <c r="O1778" i="20" s="1"/>
  <c r="M1786" i="20"/>
  <c r="L1786" i="20"/>
  <c r="AB1795" i="20"/>
  <c r="P1795" i="20"/>
  <c r="N1795" i="20"/>
  <c r="O1795" i="20" s="1"/>
  <c r="Y1815" i="20"/>
  <c r="M1840" i="20"/>
  <c r="L1840" i="20"/>
  <c r="Q1843" i="20"/>
  <c r="Z1846" i="20"/>
  <c r="J1846" i="20" s="1"/>
  <c r="Y1846" i="20"/>
  <c r="Z1919" i="20"/>
  <c r="Y1919" i="20"/>
  <c r="Q1957" i="20"/>
  <c r="AB1968" i="20"/>
  <c r="Z1990" i="20"/>
  <c r="Y1990" i="20"/>
  <c r="M2093" i="20"/>
  <c r="L2093" i="20"/>
  <c r="Y2187" i="20"/>
  <c r="Z2187" i="20"/>
  <c r="J2187" i="20" s="1"/>
  <c r="N1449" i="20"/>
  <c r="O1449" i="20" s="1"/>
  <c r="T1476" i="20"/>
  <c r="Z1490" i="20"/>
  <c r="J1490" i="20" s="1"/>
  <c r="P1490" i="20" s="1"/>
  <c r="Y1490" i="20"/>
  <c r="AB1511" i="20"/>
  <c r="N1543" i="20"/>
  <c r="O1543" i="20" s="1"/>
  <c r="T1549" i="20"/>
  <c r="Z1620" i="20"/>
  <c r="AC1642" i="20"/>
  <c r="N1657" i="20"/>
  <c r="O1657" i="20" s="1"/>
  <c r="P1657" i="20"/>
  <c r="T1672" i="20"/>
  <c r="U1672" i="20" s="1"/>
  <c r="N1683" i="20"/>
  <c r="O1683" i="20" s="1"/>
  <c r="Z1707" i="20"/>
  <c r="J1707" i="20" s="1"/>
  <c r="AC1749" i="20"/>
  <c r="Q1749" i="20"/>
  <c r="Q1769" i="20"/>
  <c r="P1778" i="20"/>
  <c r="AB1833" i="20"/>
  <c r="N1833" i="20"/>
  <c r="O1833" i="20" s="1"/>
  <c r="T1843" i="20"/>
  <c r="N1870" i="20"/>
  <c r="O1870" i="20" s="1"/>
  <c r="AB1870" i="20"/>
  <c r="AC1911" i="20"/>
  <c r="Q1911" i="20"/>
  <c r="N1911" i="20"/>
  <c r="O1911" i="20" s="1"/>
  <c r="Y1973" i="20"/>
  <c r="Z1973" i="20"/>
  <c r="Z1999" i="20"/>
  <c r="Y1999" i="20"/>
  <c r="N2035" i="20"/>
  <c r="O2035" i="20" s="1"/>
  <c r="AB2062" i="20"/>
  <c r="N2062" i="20"/>
  <c r="O2062" i="20" s="1"/>
  <c r="Z2140" i="20"/>
  <c r="Y2140" i="20"/>
  <c r="L1190" i="20"/>
  <c r="L1222" i="20"/>
  <c r="L1254" i="20"/>
  <c r="Q1329" i="20"/>
  <c r="Z1420" i="20"/>
  <c r="J1420" i="20" s="1"/>
  <c r="P1420" i="20" s="1"/>
  <c r="Q1515" i="20"/>
  <c r="Z1517" i="20"/>
  <c r="J1517" i="20" s="1"/>
  <c r="Y1517" i="20"/>
  <c r="T1636" i="20"/>
  <c r="Z1659" i="20"/>
  <c r="J1659" i="20" s="1"/>
  <c r="P1659" i="20" s="1"/>
  <c r="Y1659" i="20"/>
  <c r="T1665" i="20"/>
  <c r="U1665" i="20" s="1"/>
  <c r="Y1688" i="20"/>
  <c r="Z1688" i="20"/>
  <c r="J1688" i="20" s="1"/>
  <c r="Y1707" i="20"/>
  <c r="Q1710" i="20"/>
  <c r="T1769" i="20"/>
  <c r="Q1789" i="20"/>
  <c r="Z1806" i="20"/>
  <c r="J1806" i="20" s="1"/>
  <c r="Y1806" i="20"/>
  <c r="Z1829" i="20"/>
  <c r="Y1829" i="20"/>
  <c r="AC1833" i="20"/>
  <c r="Q1833" i="20"/>
  <c r="Z1849" i="20"/>
  <c r="J1849" i="20" s="1"/>
  <c r="Y1849" i="20"/>
  <c r="N1853" i="20"/>
  <c r="O1853" i="20" s="1"/>
  <c r="M1870" i="20"/>
  <c r="Z1902" i="20"/>
  <c r="M1942" i="20"/>
  <c r="L1942" i="20"/>
  <c r="Z2039" i="20"/>
  <c r="Y2039" i="20"/>
  <c r="Y2076" i="20"/>
  <c r="Z2076" i="20"/>
  <c r="P2149" i="20"/>
  <c r="N2149" i="20"/>
  <c r="AB2149" i="20"/>
  <c r="Q2289" i="20"/>
  <c r="AC2289" i="20"/>
  <c r="T2292" i="20"/>
  <c r="M1281" i="20"/>
  <c r="T1348" i="20"/>
  <c r="Y1420" i="20"/>
  <c r="N1430" i="20"/>
  <c r="O1430" i="20" s="1"/>
  <c r="N1511" i="20"/>
  <c r="O1511" i="20" s="1"/>
  <c r="T1515" i="20"/>
  <c r="P1541" i="20"/>
  <c r="N1567" i="20"/>
  <c r="O1567" i="20" s="1"/>
  <c r="T1569" i="20"/>
  <c r="Z1571" i="20"/>
  <c r="J1571" i="20" s="1"/>
  <c r="L1746" i="20"/>
  <c r="Z1754" i="20"/>
  <c r="Y1754" i="20"/>
  <c r="L1781" i="20"/>
  <c r="AB1810" i="20"/>
  <c r="P1810" i="20"/>
  <c r="Z1843" i="20"/>
  <c r="J1843" i="20" s="1"/>
  <c r="Y1843" i="20"/>
  <c r="P1856" i="20"/>
  <c r="N1856" i="20"/>
  <c r="O1856" i="20" s="1"/>
  <c r="AB1856" i="20"/>
  <c r="M1991" i="20"/>
  <c r="L1991" i="20"/>
  <c r="AB2027" i="20"/>
  <c r="P2062" i="20"/>
  <c r="M2089" i="20"/>
  <c r="L2089" i="20"/>
  <c r="Q2143" i="20"/>
  <c r="M2149" i="20"/>
  <c r="M2162" i="20"/>
  <c r="L2162" i="20"/>
  <c r="T2351" i="20"/>
  <c r="M1665" i="20"/>
  <c r="L1665" i="20"/>
  <c r="N1705" i="20"/>
  <c r="O1705" i="20" s="1"/>
  <c r="T1744" i="20"/>
  <c r="M1758" i="20"/>
  <c r="L1758" i="20"/>
  <c r="T1776" i="20"/>
  <c r="M1792" i="20"/>
  <c r="L1792" i="20"/>
  <c r="N1930" i="20"/>
  <c r="O1930" i="20" s="1"/>
  <c r="AB1956" i="20"/>
  <c r="P1956" i="20"/>
  <c r="P2101" i="20"/>
  <c r="N2101" i="20"/>
  <c r="O2101" i="20" s="1"/>
  <c r="AB2101" i="20"/>
  <c r="AB2362" i="20"/>
  <c r="N2362" i="20"/>
  <c r="O2362" i="20" s="1"/>
  <c r="P2362" i="20"/>
  <c r="Z1875" i="20"/>
  <c r="Y1875" i="20"/>
  <c r="Y1937" i="20"/>
  <c r="Z1937" i="20"/>
  <c r="Z2016" i="20"/>
  <c r="Y2016" i="20"/>
  <c r="Z2038" i="20"/>
  <c r="Y2038" i="20"/>
  <c r="AC2097" i="20"/>
  <c r="Q2097" i="20"/>
  <c r="AC2210" i="20"/>
  <c r="Q2210" i="20"/>
  <c r="Y2259" i="20"/>
  <c r="Z2259" i="20"/>
  <c r="AC2269" i="20"/>
  <c r="Q2269" i="20"/>
  <c r="N2269" i="20"/>
  <c r="T2275" i="20"/>
  <c r="AB2435" i="20"/>
  <c r="P2435" i="20"/>
  <c r="N2435" i="20"/>
  <c r="Y2444" i="20"/>
  <c r="Z2444" i="20"/>
  <c r="J2444" i="20" s="1"/>
  <c r="T2587" i="20"/>
  <c r="U2587" i="20" s="1"/>
  <c r="Z1709" i="20"/>
  <c r="J1709" i="20" s="1"/>
  <c r="Z1787" i="20"/>
  <c r="Y1787" i="20"/>
  <c r="L1799" i="20"/>
  <c r="T1813" i="20"/>
  <c r="Q1818" i="20"/>
  <c r="AC1818" i="20"/>
  <c r="P1827" i="20"/>
  <c r="N1827" i="20"/>
  <c r="O1827" i="20" s="1"/>
  <c r="AB1827" i="20"/>
  <c r="M1867" i="20"/>
  <c r="L1867" i="20"/>
  <c r="Z1895" i="20"/>
  <c r="M1912" i="20"/>
  <c r="L1912" i="20"/>
  <c r="AB1934" i="20"/>
  <c r="Z1974" i="20"/>
  <c r="Z2051" i="20"/>
  <c r="L2068" i="20"/>
  <c r="M2135" i="20"/>
  <c r="L2135" i="20"/>
  <c r="M2176" i="20"/>
  <c r="L2176" i="20"/>
  <c r="L2210" i="20"/>
  <c r="Q2314" i="20"/>
  <c r="AC2314" i="20"/>
  <c r="N2314" i="20"/>
  <c r="O2314" i="20" s="1"/>
  <c r="Z1742" i="20"/>
  <c r="J1742" i="20" s="1"/>
  <c r="Y1742" i="20"/>
  <c r="Z1926" i="20"/>
  <c r="Y1926" i="20"/>
  <c r="Y2072" i="20"/>
  <c r="Z2072" i="20"/>
  <c r="AC2122" i="20"/>
  <c r="Q2122" i="20"/>
  <c r="N2122" i="20"/>
  <c r="AC2257" i="20"/>
  <c r="Q2257" i="20"/>
  <c r="T2288" i="20"/>
  <c r="Y2314" i="20"/>
  <c r="Z2314" i="20"/>
  <c r="J2314" i="20" s="1"/>
  <c r="Z1740" i="20"/>
  <c r="J1740" i="20" s="1"/>
  <c r="Y1740" i="20"/>
  <c r="AB1887" i="20"/>
  <c r="N1887" i="20"/>
  <c r="O1887" i="20" s="1"/>
  <c r="AC1890" i="20"/>
  <c r="Q1890" i="20"/>
  <c r="Q1927" i="20"/>
  <c r="AC1927" i="20"/>
  <c r="Z2210" i="20"/>
  <c r="J2210" i="20" s="1"/>
  <c r="Y2210" i="20"/>
  <c r="T2307" i="20"/>
  <c r="Z1751" i="20"/>
  <c r="J1751" i="20" s="1"/>
  <c r="P1754" i="20"/>
  <c r="N1754" i="20"/>
  <c r="O1754" i="20" s="1"/>
  <c r="N1777" i="20"/>
  <c r="O1777" i="20" s="1"/>
  <c r="AB1777" i="20"/>
  <c r="Z1781" i="20"/>
  <c r="J1781" i="20" s="1"/>
  <c r="Y1781" i="20"/>
  <c r="T1797" i="20"/>
  <c r="N1809" i="20"/>
  <c r="O1809" i="20" s="1"/>
  <c r="AB1809" i="20"/>
  <c r="P1809" i="20"/>
  <c r="AC1887" i="20"/>
  <c r="Q1887" i="20"/>
  <c r="N1950" i="20"/>
  <c r="O1950" i="20" s="1"/>
  <c r="AB1950" i="20"/>
  <c r="P1950" i="20"/>
  <c r="Z1960" i="20"/>
  <c r="Y1960" i="20"/>
  <c r="Z1967" i="20"/>
  <c r="Y1967" i="20"/>
  <c r="Z2064" i="20"/>
  <c r="Y2064" i="20"/>
  <c r="AC2068" i="20"/>
  <c r="Q2116" i="20"/>
  <c r="N2116" i="20"/>
  <c r="AC2116" i="20"/>
  <c r="Z2132" i="20"/>
  <c r="Z2156" i="20"/>
  <c r="Y2156" i="20"/>
  <c r="L2181" i="20"/>
  <c r="M2181" i="20"/>
  <c r="Z2449" i="20"/>
  <c r="J2449" i="20" s="1"/>
  <c r="P2449" i="20" s="1"/>
  <c r="Y2449" i="20"/>
  <c r="M2544" i="20"/>
  <c r="L2544" i="20"/>
  <c r="T1710" i="20"/>
  <c r="AB1719" i="20"/>
  <c r="P1719" i="20"/>
  <c r="N1734" i="20"/>
  <c r="O1734" i="20" s="1"/>
  <c r="AB1734" i="20"/>
  <c r="Q1777" i="20"/>
  <c r="AC1825" i="20"/>
  <c r="Z1830" i="20"/>
  <c r="Y1830" i="20"/>
  <c r="Z1841" i="20"/>
  <c r="Y1841" i="20"/>
  <c r="Z1927" i="20"/>
  <c r="Y1927" i="20"/>
  <c r="Q1944" i="20"/>
  <c r="AC1944" i="20"/>
  <c r="Z1950" i="20"/>
  <c r="Y1950" i="20"/>
  <c r="M1971" i="20"/>
  <c r="L1971" i="20"/>
  <c r="Z2060" i="20"/>
  <c r="Y2060" i="20"/>
  <c r="T2116" i="20"/>
  <c r="Z2378" i="20"/>
  <c r="J2378" i="20" s="1"/>
  <c r="Y2378" i="20"/>
  <c r="Z2427" i="20"/>
  <c r="Y2427" i="20"/>
  <c r="M1719" i="20"/>
  <c r="Z1738" i="20"/>
  <c r="J1738" i="20" s="1"/>
  <c r="P1738" i="20" s="1"/>
  <c r="Y1738" i="20"/>
  <c r="Y1763" i="20"/>
  <c r="Z1763" i="20"/>
  <c r="Q1775" i="20"/>
  <c r="AC1775" i="20"/>
  <c r="P1816" i="20"/>
  <c r="AC1821" i="20"/>
  <c r="Q1821" i="20"/>
  <c r="N1821" i="20"/>
  <c r="T1849" i="20"/>
  <c r="N1865" i="20"/>
  <c r="O1865" i="20" s="1"/>
  <c r="N1980" i="20"/>
  <c r="O1980" i="20" s="1"/>
  <c r="AB1980" i="20"/>
  <c r="AB1995" i="20"/>
  <c r="Z2003" i="20"/>
  <c r="Y2003" i="20"/>
  <c r="Z2035" i="20"/>
  <c r="J2035" i="20" s="1"/>
  <c r="AC2044" i="20"/>
  <c r="Q2044" i="20"/>
  <c r="AB2065" i="20"/>
  <c r="N2065" i="20"/>
  <c r="O2065" i="20" s="1"/>
  <c r="P2065" i="20"/>
  <c r="Y2082" i="20"/>
  <c r="Z2082" i="20"/>
  <c r="Z2113" i="20"/>
  <c r="AC2136" i="20"/>
  <c r="Q2136" i="20"/>
  <c r="N2136" i="20"/>
  <c r="T1575" i="20"/>
  <c r="T1624" i="20"/>
  <c r="T1659" i="20"/>
  <c r="U1659" i="20" s="1"/>
  <c r="T1719" i="20"/>
  <c r="Q1793" i="20"/>
  <c r="AC1793" i="20"/>
  <c r="Y1854" i="20"/>
  <c r="Z1854" i="20"/>
  <c r="J1854" i="20" s="1"/>
  <c r="N1882" i="20"/>
  <c r="O1882" i="20" s="1"/>
  <c r="AB1882" i="20"/>
  <c r="M1907" i="20"/>
  <c r="L1907" i="20"/>
  <c r="AC1932" i="20"/>
  <c r="Q1932" i="20"/>
  <c r="Z1964" i="20"/>
  <c r="Y1964" i="20"/>
  <c r="Z1971" i="20"/>
  <c r="Y1971" i="20"/>
  <c r="Z1976" i="20"/>
  <c r="Y1976" i="20"/>
  <c r="Z2024" i="20"/>
  <c r="Y2024" i="20"/>
  <c r="Y2028" i="20"/>
  <c r="Z2028" i="20"/>
  <c r="Z2048" i="20"/>
  <c r="Y2048" i="20"/>
  <c r="AC2053" i="20"/>
  <c r="Q2053" i="20"/>
  <c r="Z2116" i="20"/>
  <c r="Y2116" i="20"/>
  <c r="AB2182" i="20"/>
  <c r="N2182" i="20"/>
  <c r="O2182" i="20" s="1"/>
  <c r="P2182" i="20"/>
  <c r="Y2189" i="20"/>
  <c r="Z2189" i="20"/>
  <c r="J2189" i="20" s="1"/>
  <c r="Z2193" i="20"/>
  <c r="J2193" i="20" s="1"/>
  <c r="Y2193" i="20"/>
  <c r="Z2238" i="20"/>
  <c r="J2238" i="20" s="1"/>
  <c r="Y2238" i="20"/>
  <c r="L1523" i="20"/>
  <c r="L1532" i="20"/>
  <c r="L1556" i="20"/>
  <c r="L1583" i="20"/>
  <c r="Z1592" i="20"/>
  <c r="J1592" i="20" s="1"/>
  <c r="Y1594" i="20"/>
  <c r="L1655" i="20"/>
  <c r="L1664" i="20"/>
  <c r="Z1670" i="20"/>
  <c r="Z1672" i="20"/>
  <c r="J1672" i="20" s="1"/>
  <c r="P1672" i="20" s="1"/>
  <c r="L1717" i="20"/>
  <c r="Y1721" i="20"/>
  <c r="L1773" i="20"/>
  <c r="Z1809" i="20"/>
  <c r="J1809" i="20" s="1"/>
  <c r="L1812" i="20"/>
  <c r="P1831" i="20"/>
  <c r="AB1831" i="20"/>
  <c r="L1842" i="20"/>
  <c r="Z1876" i="20"/>
  <c r="Z1893" i="20"/>
  <c r="Y1893" i="20"/>
  <c r="Q2032" i="20"/>
  <c r="L2053" i="20"/>
  <c r="Z2056" i="20"/>
  <c r="Y2056" i="20"/>
  <c r="Z2094" i="20"/>
  <c r="Z2151" i="20"/>
  <c r="Y2151" i="20"/>
  <c r="Y2343" i="20"/>
  <c r="Z2343" i="20"/>
  <c r="J2343" i="20" s="1"/>
  <c r="T2355" i="20"/>
  <c r="Q2375" i="20"/>
  <c r="N2375" i="20"/>
  <c r="O2375" i="20" s="1"/>
  <c r="M2484" i="20"/>
  <c r="L2484" i="20"/>
  <c r="Q2503" i="20"/>
  <c r="AC2503" i="20"/>
  <c r="AB2510" i="20"/>
  <c r="N2510" i="20"/>
  <c r="P2510" i="20"/>
  <c r="M1512" i="20"/>
  <c r="M1581" i="20"/>
  <c r="Y1642" i="20"/>
  <c r="Y1670" i="20"/>
  <c r="T1679" i="20"/>
  <c r="U1679" i="20" s="1"/>
  <c r="N1686" i="20"/>
  <c r="O1686" i="20" s="1"/>
  <c r="AB1686" i="20"/>
  <c r="N1730" i="20"/>
  <c r="O1730" i="20" s="1"/>
  <c r="Q1766" i="20"/>
  <c r="N1780" i="20"/>
  <c r="O1780" i="20" s="1"/>
  <c r="P1780" i="20"/>
  <c r="N1826" i="20"/>
  <c r="M1831" i="20"/>
  <c r="N1831" i="20" s="1"/>
  <c r="O1831" i="20" s="1"/>
  <c r="Y1833" i="20"/>
  <c r="Y1871" i="20"/>
  <c r="L1874" i="20"/>
  <c r="Q1951" i="20"/>
  <c r="N1951" i="20"/>
  <c r="O1951" i="20" s="1"/>
  <c r="Q1958" i="20"/>
  <c r="AC1958" i="20"/>
  <c r="Z1961" i="20"/>
  <c r="Y1987" i="20"/>
  <c r="Z1987" i="20"/>
  <c r="AB2029" i="20"/>
  <c r="N2029" i="20"/>
  <c r="O2029" i="20" s="1"/>
  <c r="T2032" i="20"/>
  <c r="Z2065" i="20"/>
  <c r="Y2065" i="20"/>
  <c r="L2079" i="20"/>
  <c r="M2079" i="20"/>
  <c r="Y2094" i="20"/>
  <c r="AB2383" i="20"/>
  <c r="P2383" i="20"/>
  <c r="N2383" i="20"/>
  <c r="O2383" i="20" s="1"/>
  <c r="AB2443" i="20"/>
  <c r="P2443" i="20"/>
  <c r="N2443" i="20"/>
  <c r="O2443" i="20" s="1"/>
  <c r="T2484" i="20"/>
  <c r="M1534" i="20"/>
  <c r="L1534" i="20"/>
  <c r="T1552" i="20"/>
  <c r="Z1608" i="20"/>
  <c r="Z1638" i="20"/>
  <c r="Y1638" i="20"/>
  <c r="AC1702" i="20"/>
  <c r="Q1702" i="20"/>
  <c r="AB1754" i="20"/>
  <c r="P1764" i="20"/>
  <c r="N1764" i="20"/>
  <c r="O1764" i="20" s="1"/>
  <c r="T1775" i="20"/>
  <c r="L1791" i="20"/>
  <c r="Z1795" i="20"/>
  <c r="Y1795" i="20"/>
  <c r="L1805" i="20"/>
  <c r="AB1860" i="20"/>
  <c r="Z1903" i="20"/>
  <c r="Y1903" i="20"/>
  <c r="Z1917" i="20"/>
  <c r="Y1917" i="20"/>
  <c r="Y1924" i="20"/>
  <c r="P1958" i="20"/>
  <c r="N1958" i="20"/>
  <c r="O1958" i="20" s="1"/>
  <c r="Q2004" i="20"/>
  <c r="L2015" i="20"/>
  <c r="M2015" i="20"/>
  <c r="Z2044" i="20"/>
  <c r="Y2044" i="20"/>
  <c r="M2168" i="20"/>
  <c r="L2168" i="20"/>
  <c r="Q2220" i="20"/>
  <c r="AC2220" i="20"/>
  <c r="M2224" i="20"/>
  <c r="L2224" i="20"/>
  <c r="Y1483" i="20"/>
  <c r="Y1537" i="20"/>
  <c r="Z1573" i="20"/>
  <c r="J1573" i="20" s="1"/>
  <c r="P1573" i="20" s="1"/>
  <c r="Y1573" i="20"/>
  <c r="N1649" i="20"/>
  <c r="L1702" i="20"/>
  <c r="N1713" i="20"/>
  <c r="O1713" i="20" s="1"/>
  <c r="AB1713" i="20"/>
  <c r="T1717" i="20"/>
  <c r="P1730" i="20"/>
  <c r="Q1757" i="20"/>
  <c r="M1764" i="20"/>
  <c r="N1798" i="20"/>
  <c r="O1798" i="20" s="1"/>
  <c r="Z1802" i="20"/>
  <c r="J1802" i="20" s="1"/>
  <c r="Q1814" i="20"/>
  <c r="T1819" i="20"/>
  <c r="Q1842" i="20"/>
  <c r="L1891" i="20"/>
  <c r="L1894" i="20"/>
  <c r="M1894" i="20"/>
  <c r="Z1897" i="20"/>
  <c r="AC1936" i="20"/>
  <c r="Q1936" i="20"/>
  <c r="Z1944" i="20"/>
  <c r="Y1944" i="20"/>
  <c r="N1992" i="20"/>
  <c r="O1992" i="20" s="1"/>
  <c r="AB1992" i="20"/>
  <c r="Y2011" i="20"/>
  <c r="AB2025" i="20"/>
  <c r="N2025" i="20"/>
  <c r="O2025" i="20" s="1"/>
  <c r="Z2040" i="20"/>
  <c r="Z2103" i="20"/>
  <c r="Y2103" i="20"/>
  <c r="Z2154" i="20"/>
  <c r="Y2154" i="20"/>
  <c r="L2161" i="20"/>
  <c r="M2161" i="20"/>
  <c r="N2220" i="20"/>
  <c r="O2220" i="20" s="1"/>
  <c r="Z2248" i="20"/>
  <c r="Y2248" i="20"/>
  <c r="Z2325" i="20"/>
  <c r="J2325" i="20" s="1"/>
  <c r="AB1560" i="20"/>
  <c r="N1591" i="20"/>
  <c r="O1591" i="20" s="1"/>
  <c r="Z1606" i="20"/>
  <c r="Y1606" i="20"/>
  <c r="Z1622" i="20"/>
  <c r="Y1622" i="20"/>
  <c r="Q1651" i="20"/>
  <c r="AC1651" i="20"/>
  <c r="T1686" i="20"/>
  <c r="U1686" i="20" s="1"/>
  <c r="Y1734" i="20"/>
  <c r="Z1734" i="20"/>
  <c r="J1734" i="20" s="1"/>
  <c r="Z1768" i="20"/>
  <c r="J1768" i="20" s="1"/>
  <c r="Y1768" i="20"/>
  <c r="T1814" i="20"/>
  <c r="N1860" i="20"/>
  <c r="O1860" i="20" s="1"/>
  <c r="M1914" i="20"/>
  <c r="L1914" i="20"/>
  <c r="Z1932" i="20"/>
  <c r="Y1932" i="20"/>
  <c r="AB1936" i="20"/>
  <c r="N1936" i="20"/>
  <c r="O1936" i="20" s="1"/>
  <c r="Y1951" i="20"/>
  <c r="Z1951" i="20"/>
  <c r="AC1977" i="20"/>
  <c r="Q1977" i="20"/>
  <c r="Z1980" i="20"/>
  <c r="Y1980" i="20"/>
  <c r="Z2018" i="20"/>
  <c r="J2018" i="20" s="1"/>
  <c r="Y2018" i="20"/>
  <c r="Q2049" i="20"/>
  <c r="AC2049" i="20"/>
  <c r="Z2090" i="20"/>
  <c r="Z2107" i="20"/>
  <c r="P2143" i="20"/>
  <c r="AB2143" i="20"/>
  <c r="N2143" i="20"/>
  <c r="Z2286" i="20"/>
  <c r="Y2286" i="20"/>
  <c r="Z2340" i="20"/>
  <c r="J2340" i="20" s="1"/>
  <c r="Y2340" i="20"/>
  <c r="Z2416" i="20"/>
  <c r="Y2416" i="20"/>
  <c r="AB2017" i="20"/>
  <c r="Q2020" i="20"/>
  <c r="AC2020" i="20"/>
  <c r="T2158" i="20"/>
  <c r="Z2184" i="20"/>
  <c r="J2184" i="20" s="1"/>
  <c r="Y2184" i="20"/>
  <c r="M2239" i="20"/>
  <c r="L2239" i="20"/>
  <c r="Z2254" i="20"/>
  <c r="Y2254" i="20"/>
  <c r="Y2387" i="20"/>
  <c r="Z2387" i="20"/>
  <c r="J2387" i="20" s="1"/>
  <c r="Z2565" i="20"/>
  <c r="Y2565" i="20"/>
  <c r="M1903" i="20"/>
  <c r="Y1968" i="20"/>
  <c r="AC2014" i="20"/>
  <c r="Q2014" i="20"/>
  <c r="AC2017" i="20"/>
  <c r="Q2017" i="20"/>
  <c r="N2020" i="20"/>
  <c r="O2020" i="20" s="1"/>
  <c r="AB2026" i="20"/>
  <c r="N2026" i="20"/>
  <c r="O2026" i="20" s="1"/>
  <c r="Y2053" i="20"/>
  <c r="Z2053" i="20"/>
  <c r="T2132" i="20"/>
  <c r="M2138" i="20"/>
  <c r="L2138" i="20"/>
  <c r="L2144" i="20"/>
  <c r="Y2180" i="20"/>
  <c r="Z2180" i="20"/>
  <c r="J2180" i="20" s="1"/>
  <c r="T2195" i="20"/>
  <c r="AC2217" i="20"/>
  <c r="Q2217" i="20"/>
  <c r="Z2383" i="20"/>
  <c r="J2383" i="20" s="1"/>
  <c r="Y2383" i="20"/>
  <c r="Z2491" i="20"/>
  <c r="Y2491" i="20"/>
  <c r="Y2605" i="20"/>
  <c r="AB1940" i="20"/>
  <c r="M1983" i="20"/>
  <c r="L1983" i="20"/>
  <c r="M1998" i="20"/>
  <c r="L1998" i="20"/>
  <c r="AB2005" i="20"/>
  <c r="N2005" i="20"/>
  <c r="O2005" i="20" s="1"/>
  <c r="N2017" i="20"/>
  <c r="O2017" i="20" s="1"/>
  <c r="N2023" i="20"/>
  <c r="O2023" i="20" s="1"/>
  <c r="AB2023" i="20"/>
  <c r="Z2029" i="20"/>
  <c r="Y2029" i="20"/>
  <c r="N2046" i="20"/>
  <c r="O2046" i="20" s="1"/>
  <c r="AC2086" i="20"/>
  <c r="N2086" i="20"/>
  <c r="O2086" i="20" s="1"/>
  <c r="Q2086" i="20"/>
  <c r="AB2114" i="20"/>
  <c r="P2114" i="20"/>
  <c r="N2114" i="20"/>
  <c r="Z2152" i="20"/>
  <c r="Y2152" i="20"/>
  <c r="Y2158" i="20"/>
  <c r="Z2158" i="20"/>
  <c r="Z2164" i="20"/>
  <c r="Z2209" i="20"/>
  <c r="J2209" i="20" s="1"/>
  <c r="L2217" i="20"/>
  <c r="Z2379" i="20"/>
  <c r="J2379" i="20" s="1"/>
  <c r="Y2379" i="20"/>
  <c r="T1856" i="20"/>
  <c r="P1940" i="20"/>
  <c r="P1966" i="20"/>
  <c r="M1972" i="20"/>
  <c r="L1972" i="20"/>
  <c r="Z1983" i="20"/>
  <c r="Y1983" i="20"/>
  <c r="Z1998" i="20"/>
  <c r="Y1998" i="20"/>
  <c r="AB2033" i="20"/>
  <c r="Z2104" i="20"/>
  <c r="AC2174" i="20"/>
  <c r="Q2174" i="20"/>
  <c r="Q2304" i="20"/>
  <c r="AC2304" i="20"/>
  <c r="N2304" i="20"/>
  <c r="Z2361" i="20"/>
  <c r="J2361" i="20" s="1"/>
  <c r="Y2361" i="20"/>
  <c r="T2380" i="20"/>
  <c r="AC2472" i="20"/>
  <c r="Q2472" i="20"/>
  <c r="M2678" i="20"/>
  <c r="L2678" i="20"/>
  <c r="P1953" i="20"/>
  <c r="AB1953" i="20"/>
  <c r="N2030" i="20"/>
  <c r="O2030" i="20" s="1"/>
  <c r="AB2073" i="20"/>
  <c r="N2073" i="20"/>
  <c r="O2073" i="20" s="1"/>
  <c r="Z2108" i="20"/>
  <c r="Y2108" i="20"/>
  <c r="Z2177" i="20"/>
  <c r="J2177" i="20" s="1"/>
  <c r="Y2177" i="20"/>
  <c r="T2314" i="20"/>
  <c r="T2318" i="20"/>
  <c r="AB2373" i="20"/>
  <c r="N2373" i="20"/>
  <c r="O2373" i="20" s="1"/>
  <c r="Z2430" i="20"/>
  <c r="Y2430" i="20"/>
  <c r="Z2478" i="20"/>
  <c r="J2478" i="20" s="1"/>
  <c r="Y2478" i="20"/>
  <c r="Q1896" i="20"/>
  <c r="P1938" i="20"/>
  <c r="Q1978" i="20"/>
  <c r="AB2037" i="20"/>
  <c r="N2037" i="20"/>
  <c r="O2037" i="20" s="1"/>
  <c r="AC2077" i="20"/>
  <c r="Q2077" i="20"/>
  <c r="L2142" i="20"/>
  <c r="M2142" i="20"/>
  <c r="Q2214" i="20"/>
  <c r="Q2264" i="20"/>
  <c r="AC2264" i="20"/>
  <c r="Y1995" i="20"/>
  <c r="Q2027" i="20"/>
  <c r="AC2027" i="20"/>
  <c r="M2051" i="20"/>
  <c r="L2051" i="20"/>
  <c r="AB2077" i="20"/>
  <c r="P2077" i="20"/>
  <c r="Q2098" i="20"/>
  <c r="Q2105" i="20"/>
  <c r="AC2105" i="20"/>
  <c r="Y2147" i="20"/>
  <c r="Z2147" i="20"/>
  <c r="L2178" i="20"/>
  <c r="M2178" i="20"/>
  <c r="Q2218" i="20"/>
  <c r="AC2218" i="20"/>
  <c r="T2289" i="20"/>
  <c r="Y2298" i="20"/>
  <c r="Z2298" i="20"/>
  <c r="M1834" i="20"/>
  <c r="L1834" i="20"/>
  <c r="Q1889" i="20"/>
  <c r="Y1891" i="20"/>
  <c r="Z1891" i="20"/>
  <c r="Q1943" i="20"/>
  <c r="AB1964" i="20"/>
  <c r="N1964" i="20"/>
  <c r="O1964" i="20" s="1"/>
  <c r="Y1975" i="20"/>
  <c r="Z1975" i="20"/>
  <c r="Q1996" i="20"/>
  <c r="AC1996" i="20"/>
  <c r="Q2003" i="20"/>
  <c r="AC2003" i="20"/>
  <c r="Q2055" i="20"/>
  <c r="Q2062" i="20"/>
  <c r="AC2062" i="20"/>
  <c r="Z2087" i="20"/>
  <c r="Y2087" i="20"/>
  <c r="Z2105" i="20"/>
  <c r="Y2105" i="20"/>
  <c r="Z2139" i="20"/>
  <c r="T2207" i="20"/>
  <c r="Z2295" i="20"/>
  <c r="Y2295" i="20"/>
  <c r="Z2338" i="20"/>
  <c r="J2338" i="20" s="1"/>
  <c r="Y2338" i="20"/>
  <c r="P1694" i="20"/>
  <c r="N1750" i="20"/>
  <c r="O1750" i="20" s="1"/>
  <c r="P1760" i="20"/>
  <c r="N1760" i="20"/>
  <c r="O1760" i="20" s="1"/>
  <c r="Y1816" i="20"/>
  <c r="Z1816" i="20"/>
  <c r="AB1821" i="20"/>
  <c r="P1821" i="20"/>
  <c r="AB1823" i="20"/>
  <c r="N1823" i="20"/>
  <c r="M1841" i="20"/>
  <c r="L1841" i="20"/>
  <c r="N1848" i="20"/>
  <c r="O1848" i="20" s="1"/>
  <c r="P1848" i="20"/>
  <c r="T1850" i="20"/>
  <c r="Z1922" i="20"/>
  <c r="Y1922" i="20"/>
  <c r="AC1964" i="20"/>
  <c r="Q1964" i="20"/>
  <c r="Q1990" i="20"/>
  <c r="AC1990" i="20"/>
  <c r="N1990" i="20"/>
  <c r="O1990" i="20" s="1"/>
  <c r="AC1993" i="20"/>
  <c r="Q1993" i="20"/>
  <c r="L1996" i="20"/>
  <c r="L2003" i="20"/>
  <c r="Z2030" i="20"/>
  <c r="Y2030" i="20"/>
  <c r="Q2047" i="20"/>
  <c r="AC2047" i="20"/>
  <c r="Q2070" i="20"/>
  <c r="AC2070" i="20"/>
  <c r="M2095" i="20"/>
  <c r="L2095" i="20"/>
  <c r="P2118" i="20"/>
  <c r="N2118" i="20"/>
  <c r="AB2118" i="20"/>
  <c r="Z2130" i="20"/>
  <c r="Y2139" i="20"/>
  <c r="T2156" i="20"/>
  <c r="M2172" i="20"/>
  <c r="L2172" i="20"/>
  <c r="Y2178" i="20"/>
  <c r="Z2178" i="20"/>
  <c r="J2178" i="20" s="1"/>
  <c r="T2211" i="20"/>
  <c r="Z2218" i="20"/>
  <c r="J2218" i="20" s="1"/>
  <c r="Y2218" i="20"/>
  <c r="T2302" i="20"/>
  <c r="T2308" i="20"/>
  <c r="AB2458" i="20"/>
  <c r="P2458" i="20"/>
  <c r="N2458" i="20"/>
  <c r="O2458" i="20" s="1"/>
  <c r="AB2730" i="20"/>
  <c r="N2730" i="20"/>
  <c r="O2730" i="20" s="1"/>
  <c r="N1806" i="20"/>
  <c r="O1806" i="20" s="1"/>
  <c r="N1928" i="20"/>
  <c r="O1928" i="20" s="1"/>
  <c r="AB1928" i="20"/>
  <c r="Z1943" i="20"/>
  <c r="Y1943" i="20"/>
  <c r="Z2021" i="20"/>
  <c r="Y2021" i="20"/>
  <c r="AB2030" i="20"/>
  <c r="Z2081" i="20"/>
  <c r="Y2081" i="20"/>
  <c r="Z2115" i="20"/>
  <c r="Z2124" i="20"/>
  <c r="Y2124" i="20"/>
  <c r="Z2226" i="20"/>
  <c r="J2226" i="20" s="1"/>
  <c r="Y2226" i="20"/>
  <c r="P2237" i="20"/>
  <c r="AB2237" i="20"/>
  <c r="N2237" i="20"/>
  <c r="O2237" i="20" s="1"/>
  <c r="M2253" i="20"/>
  <c r="L2253" i="20"/>
  <c r="L1644" i="20"/>
  <c r="M1644" i="20"/>
  <c r="M1723" i="20"/>
  <c r="L1723" i="20"/>
  <c r="Z1789" i="20"/>
  <c r="Y1814" i="20"/>
  <c r="AC1819" i="20"/>
  <c r="Q1819" i="20"/>
  <c r="P1823" i="20"/>
  <c r="L1857" i="20"/>
  <c r="N1866" i="20"/>
  <c r="O1866" i="20" s="1"/>
  <c r="N1923" i="20"/>
  <c r="O1923" i="20" s="1"/>
  <c r="Q1928" i="20"/>
  <c r="AC1928" i="20"/>
  <c r="L1954" i="20"/>
  <c r="N1976" i="20"/>
  <c r="O1976" i="20" s="1"/>
  <c r="N2000" i="20"/>
  <c r="O2000" i="20" s="1"/>
  <c r="L2038" i="20"/>
  <c r="N2041" i="20"/>
  <c r="O2041" i="20" s="1"/>
  <c r="Y2055" i="20"/>
  <c r="Z2055" i="20"/>
  <c r="Z2062" i="20"/>
  <c r="Y2062" i="20"/>
  <c r="Z2091" i="20"/>
  <c r="Y2091" i="20"/>
  <c r="Z2112" i="20"/>
  <c r="Y2112" i="20"/>
  <c r="Y2115" i="20"/>
  <c r="AC2127" i="20"/>
  <c r="AB2160" i="20"/>
  <c r="P2160" i="20"/>
  <c r="N2160" i="20"/>
  <c r="AB2219" i="20"/>
  <c r="N2219" i="20"/>
  <c r="O2219" i="20" s="1"/>
  <c r="P2219" i="20"/>
  <c r="L2250" i="20"/>
  <c r="Z2308" i="20"/>
  <c r="J2308" i="20" s="1"/>
  <c r="Z2458" i="20"/>
  <c r="Y2458" i="20"/>
  <c r="L1589" i="20"/>
  <c r="Y1599" i="20"/>
  <c r="L1612" i="20"/>
  <c r="L1628" i="20"/>
  <c r="T1657" i="20"/>
  <c r="U1657" i="20" s="1"/>
  <c r="M1667" i="20"/>
  <c r="N1667" i="20" s="1"/>
  <c r="O1667" i="20" s="1"/>
  <c r="N1725" i="20"/>
  <c r="O1725" i="20" s="1"/>
  <c r="L1766" i="20"/>
  <c r="Y1791" i="20"/>
  <c r="M1804" i="20"/>
  <c r="L1804" i="20"/>
  <c r="N1819" i="20"/>
  <c r="Y1825" i="20"/>
  <c r="L1832" i="20"/>
  <c r="M1846" i="20"/>
  <c r="L1846" i="20"/>
  <c r="Y1882" i="20"/>
  <c r="M1897" i="20"/>
  <c r="L1897" i="20"/>
  <c r="N1982" i="20"/>
  <c r="O1982" i="20" s="1"/>
  <c r="M2000" i="20"/>
  <c r="Z2012" i="20"/>
  <c r="Y2012" i="20"/>
  <c r="AB2028" i="20"/>
  <c r="Q2038" i="20"/>
  <c r="AB2048" i="20"/>
  <c r="N2048" i="20"/>
  <c r="O2048" i="20" s="1"/>
  <c r="Q2059" i="20"/>
  <c r="AC2059" i="20"/>
  <c r="N2067" i="20"/>
  <c r="O2067" i="20" s="1"/>
  <c r="Q2088" i="20"/>
  <c r="N2099" i="20"/>
  <c r="O2099" i="20" s="1"/>
  <c r="AC2140" i="20"/>
  <c r="Q2140" i="20"/>
  <c r="T2190" i="20"/>
  <c r="AB2197" i="20"/>
  <c r="N2197" i="20"/>
  <c r="O2197" i="20" s="1"/>
  <c r="P2197" i="20"/>
  <c r="T2244" i="20"/>
  <c r="T2385" i="20"/>
  <c r="P1596" i="20"/>
  <c r="T1692" i="20"/>
  <c r="U1692" i="20" s="1"/>
  <c r="Z1736" i="20"/>
  <c r="J1736" i="20" s="1"/>
  <c r="Y1736" i="20"/>
  <c r="M1817" i="20"/>
  <c r="L1817" i="20"/>
  <c r="T1823" i="20"/>
  <c r="AB1839" i="20"/>
  <c r="AC1871" i="20"/>
  <c r="Q1871" i="20"/>
  <c r="Z1956" i="20"/>
  <c r="Y1956" i="20"/>
  <c r="M1970" i="20"/>
  <c r="L1970" i="20"/>
  <c r="AB2019" i="20"/>
  <c r="P2019" i="20"/>
  <c r="N2019" i="20"/>
  <c r="O2019" i="20" s="1"/>
  <c r="Q2041" i="20"/>
  <c r="Y2121" i="20"/>
  <c r="Z2121" i="20"/>
  <c r="M2128" i="20"/>
  <c r="L2128" i="20"/>
  <c r="Z2172" i="20"/>
  <c r="Y2172" i="20"/>
  <c r="AC2197" i="20"/>
  <c r="Q2197" i="20"/>
  <c r="P2241" i="20"/>
  <c r="AB2241" i="20"/>
  <c r="AC2347" i="20"/>
  <c r="Q2347" i="20"/>
  <c r="Y2366" i="20"/>
  <c r="Z2366" i="20"/>
  <c r="J2366" i="20" s="1"/>
  <c r="P2366" i="20" s="1"/>
  <c r="AC2406" i="20"/>
  <c r="Q2406" i="20"/>
  <c r="L1605" i="20"/>
  <c r="Y1608" i="20"/>
  <c r="L1621" i="20"/>
  <c r="T1690" i="20"/>
  <c r="U1690" i="20" s="1"/>
  <c r="L1706" i="20"/>
  <c r="P1770" i="20"/>
  <c r="AB1770" i="20"/>
  <c r="M1772" i="20"/>
  <c r="L1772" i="20"/>
  <c r="L1796" i="20"/>
  <c r="T1806" i="20"/>
  <c r="Q1839" i="20"/>
  <c r="AC1839" i="20"/>
  <c r="Q1866" i="20"/>
  <c r="N1871" i="20"/>
  <c r="O1871" i="20" s="1"/>
  <c r="Y1894" i="20"/>
  <c r="Q1931" i="20"/>
  <c r="Y1936" i="20"/>
  <c r="Z1936" i="20"/>
  <c r="P1965" i="20"/>
  <c r="N1965" i="20"/>
  <c r="O1965" i="20" s="1"/>
  <c r="L1973" i="20"/>
  <c r="Y1993" i="20"/>
  <c r="Z1993" i="20"/>
  <c r="N1997" i="20"/>
  <c r="O1997" i="20" s="1"/>
  <c r="P2035" i="20"/>
  <c r="Q2067" i="20"/>
  <c r="M2110" i="20"/>
  <c r="L2110" i="20"/>
  <c r="Z2118" i="20"/>
  <c r="T2151" i="20"/>
  <c r="N2187" i="20"/>
  <c r="O2187" i="20" s="1"/>
  <c r="AB2187" i="20"/>
  <c r="P2187" i="20"/>
  <c r="AC2212" i="20"/>
  <c r="N2212" i="20"/>
  <c r="O2212" i="20" s="1"/>
  <c r="Z2234" i="20"/>
  <c r="J2234" i="20" s="1"/>
  <c r="Y2234" i="20"/>
  <c r="N2241" i="20"/>
  <c r="Q2250" i="20"/>
  <c r="N2347" i="20"/>
  <c r="O2347" i="20" s="1"/>
  <c r="L2382" i="20"/>
  <c r="M2382" i="20"/>
  <c r="Y2536" i="20"/>
  <c r="Z2536" i="20"/>
  <c r="N1596" i="20"/>
  <c r="O1596" i="20" s="1"/>
  <c r="L1637" i="20"/>
  <c r="Z1640" i="20"/>
  <c r="M1708" i="20"/>
  <c r="L1708" i="20"/>
  <c r="N1729" i="20"/>
  <c r="O1729" i="20" s="1"/>
  <c r="M1770" i="20"/>
  <c r="N1800" i="20"/>
  <c r="O1800" i="20" s="1"/>
  <c r="AC1815" i="20"/>
  <c r="Q1815" i="20"/>
  <c r="Z1823" i="20"/>
  <c r="Y1823" i="20"/>
  <c r="N1839" i="20"/>
  <c r="O1839" i="20" s="1"/>
  <c r="L1844" i="20"/>
  <c r="M1864" i="20"/>
  <c r="L1864" i="20"/>
  <c r="N1878" i="20"/>
  <c r="O1878" i="20" s="1"/>
  <c r="N1885" i="20"/>
  <c r="O1885" i="20" s="1"/>
  <c r="N1905" i="20"/>
  <c r="O1905" i="20" s="1"/>
  <c r="L1910" i="20"/>
  <c r="M1915" i="20"/>
  <c r="L1915" i="20"/>
  <c r="AC1934" i="20"/>
  <c r="Q1934" i="20"/>
  <c r="Z1946" i="20"/>
  <c r="AB1949" i="20"/>
  <c r="Q1979" i="20"/>
  <c r="P2022" i="20"/>
  <c r="N2022" i="20"/>
  <c r="O2022" i="20" s="1"/>
  <c r="Z2074" i="20"/>
  <c r="Y2074" i="20"/>
  <c r="Z2078" i="20"/>
  <c r="Y2078" i="20"/>
  <c r="N2085" i="20"/>
  <c r="O2085" i="20" s="1"/>
  <c r="Z2106" i="20"/>
  <c r="Y2106" i="20"/>
  <c r="Y2118" i="20"/>
  <c r="Q2125" i="20"/>
  <c r="AC2125" i="20"/>
  <c r="Y2145" i="20"/>
  <c r="Z2145" i="20"/>
  <c r="Z2183" i="20"/>
  <c r="J2183" i="20" s="1"/>
  <c r="Y2183" i="20"/>
  <c r="T2204" i="20"/>
  <c r="Q2212" i="20"/>
  <c r="Z2219" i="20"/>
  <c r="J2219" i="20" s="1"/>
  <c r="Y2219" i="20"/>
  <c r="Z2237" i="20"/>
  <c r="J2237" i="20" s="1"/>
  <c r="Y2237" i="20"/>
  <c r="T2290" i="20"/>
  <c r="T2296" i="20"/>
  <c r="AC2309" i="20"/>
  <c r="Q2309" i="20"/>
  <c r="N2309" i="20"/>
  <c r="O2309" i="20" s="1"/>
  <c r="M2351" i="20"/>
  <c r="L2351" i="20"/>
  <c r="Z2390" i="20"/>
  <c r="J2390" i="20" s="1"/>
  <c r="P2390" i="20" s="1"/>
  <c r="M2418" i="20"/>
  <c r="L2418" i="20"/>
  <c r="Z2271" i="20"/>
  <c r="Y2271" i="20"/>
  <c r="AB2280" i="20"/>
  <c r="N2280" i="20"/>
  <c r="P2280" i="20"/>
  <c r="T2330" i="20"/>
  <c r="Q2337" i="20"/>
  <c r="AC2337" i="20"/>
  <c r="T2344" i="20"/>
  <c r="Z2360" i="20"/>
  <c r="J2360" i="20" s="1"/>
  <c r="Y2360" i="20"/>
  <c r="Z2420" i="20"/>
  <c r="Y2420" i="20"/>
  <c r="AB2425" i="20"/>
  <c r="N2425" i="20"/>
  <c r="O2425" i="20" s="1"/>
  <c r="T2579" i="20"/>
  <c r="U2579" i="20" s="1"/>
  <c r="T2663" i="20"/>
  <c r="U2663" i="20" s="1"/>
  <c r="Z2692" i="20"/>
  <c r="J2692" i="20" s="1"/>
  <c r="Y2692" i="20"/>
  <c r="Z2168" i="20"/>
  <c r="Z2190" i="20"/>
  <c r="J2190" i="20" s="1"/>
  <c r="Y2190" i="20"/>
  <c r="P2194" i="20"/>
  <c r="AB2194" i="20"/>
  <c r="Z2274" i="20"/>
  <c r="Y2274" i="20"/>
  <c r="M2308" i="20"/>
  <c r="L2308" i="20"/>
  <c r="AC2312" i="20"/>
  <c r="Q2312" i="20"/>
  <c r="Q2315" i="20"/>
  <c r="AC2315" i="20"/>
  <c r="Z2318" i="20"/>
  <c r="J2318" i="20" s="1"/>
  <c r="P2318" i="20" s="1"/>
  <c r="Y2318" i="20"/>
  <c r="L2337" i="20"/>
  <c r="L2386" i="20"/>
  <c r="M2386" i="20"/>
  <c r="Q2033" i="20"/>
  <c r="AC2033" i="20"/>
  <c r="Z2041" i="20"/>
  <c r="Y2041" i="20"/>
  <c r="L2133" i="20"/>
  <c r="M2133" i="20"/>
  <c r="Q2191" i="20"/>
  <c r="AC2191" i="20"/>
  <c r="Z2337" i="20"/>
  <c r="J2337" i="20" s="1"/>
  <c r="Y2337" i="20"/>
  <c r="Z2386" i="20"/>
  <c r="J2386" i="20" s="1"/>
  <c r="Y2386" i="20"/>
  <c r="T2576" i="20"/>
  <c r="U2576" i="20" s="1"/>
  <c r="AB2664" i="20"/>
  <c r="N2664" i="20"/>
  <c r="O2664" i="20" s="1"/>
  <c r="M2036" i="20"/>
  <c r="L2036" i="20"/>
  <c r="Z2068" i="20"/>
  <c r="Y2068" i="20"/>
  <c r="T2139" i="20"/>
  <c r="Y2157" i="20"/>
  <c r="Z2157" i="20"/>
  <c r="Q2166" i="20"/>
  <c r="AC2166" i="20"/>
  <c r="N2166" i="20"/>
  <c r="T2174" i="20"/>
  <c r="P2201" i="20"/>
  <c r="AB2201" i="20"/>
  <c r="AB2204" i="20"/>
  <c r="P2204" i="20"/>
  <c r="N2204" i="20"/>
  <c r="O2204" i="20" s="1"/>
  <c r="L2229" i="20"/>
  <c r="M2229" i="20"/>
  <c r="Z2323" i="20"/>
  <c r="J2323" i="20" s="1"/>
  <c r="Y2323" i="20"/>
  <c r="Z2421" i="20"/>
  <c r="Y2421" i="20"/>
  <c r="AB2540" i="20"/>
  <c r="N2540" i="20"/>
  <c r="O2540" i="20" s="1"/>
  <c r="Z2083" i="20"/>
  <c r="M2108" i="20"/>
  <c r="L2108" i="20"/>
  <c r="Z2127" i="20"/>
  <c r="Y2127" i="20"/>
  <c r="T2149" i="20"/>
  <c r="Q2201" i="20"/>
  <c r="AC2201" i="20"/>
  <c r="Y2207" i="20"/>
  <c r="Z2207" i="20"/>
  <c r="J2207" i="20" s="1"/>
  <c r="Y2211" i="20"/>
  <c r="Z2211" i="20"/>
  <c r="J2211" i="20" s="1"/>
  <c r="Z2327" i="20"/>
  <c r="J2327" i="20" s="1"/>
  <c r="Y2327" i="20"/>
  <c r="Z2352" i="20"/>
  <c r="J2352" i="20" s="1"/>
  <c r="Y2352" i="20"/>
  <c r="Z2484" i="20"/>
  <c r="J2484" i="20" s="1"/>
  <c r="Y2484" i="20"/>
  <c r="T2625" i="20"/>
  <c r="U2625" i="20" s="1"/>
  <c r="Z2659" i="20"/>
  <c r="J2659" i="20" s="1"/>
  <c r="Y2659" i="20"/>
  <c r="N2081" i="20"/>
  <c r="O2081" i="20" s="1"/>
  <c r="AB2081" i="20"/>
  <c r="Z2086" i="20"/>
  <c r="Y2086" i="20"/>
  <c r="N2105" i="20"/>
  <c r="O2105" i="20" s="1"/>
  <c r="AB2105" i="20"/>
  <c r="P2125" i="20"/>
  <c r="AB2125" i="20"/>
  <c r="T2166" i="20"/>
  <c r="T2172" i="20"/>
  <c r="T2188" i="20"/>
  <c r="T2248" i="20"/>
  <c r="M2287" i="20"/>
  <c r="L2287" i="20"/>
  <c r="AC2075" i="20"/>
  <c r="Q2075" i="20"/>
  <c r="N2125" i="20"/>
  <c r="Z2136" i="20"/>
  <c r="Y2136" i="20"/>
  <c r="T2147" i="20"/>
  <c r="M2175" i="20"/>
  <c r="L2175" i="20"/>
  <c r="M2266" i="20"/>
  <c r="L2266" i="20"/>
  <c r="T2287" i="20"/>
  <c r="AC2376" i="20"/>
  <c r="Q2376" i="20"/>
  <c r="Q2388" i="20"/>
  <c r="AC2388" i="20"/>
  <c r="Y2391" i="20"/>
  <c r="Z2391" i="20"/>
  <c r="J2391" i="20" s="1"/>
  <c r="AB2415" i="20"/>
  <c r="N2415" i="20"/>
  <c r="O2415" i="20" s="1"/>
  <c r="Z2480" i="20"/>
  <c r="J2480" i="20" s="1"/>
  <c r="Y2480" i="20"/>
  <c r="M2031" i="20"/>
  <c r="L2031" i="20"/>
  <c r="M2054" i="20"/>
  <c r="L2054" i="20"/>
  <c r="T2125" i="20"/>
  <c r="T2142" i="20"/>
  <c r="Z2155" i="20"/>
  <c r="Q2192" i="20"/>
  <c r="AC2192" i="20"/>
  <c r="T2212" i="20"/>
  <c r="Y2215" i="20"/>
  <c r="Z2215" i="20"/>
  <c r="J2215" i="20" s="1"/>
  <c r="L2233" i="20"/>
  <c r="M2233" i="20"/>
  <c r="T2236" i="20"/>
  <c r="Z2260" i="20"/>
  <c r="Y2260" i="20"/>
  <c r="T2373" i="20"/>
  <c r="Q2452" i="20"/>
  <c r="Y1901" i="20"/>
  <c r="Z1901" i="20"/>
  <c r="N1955" i="20"/>
  <c r="O1955" i="20" s="1"/>
  <c r="M1974" i="20"/>
  <c r="L1974" i="20"/>
  <c r="M2060" i="20"/>
  <c r="Z2066" i="20"/>
  <c r="Y2066" i="20"/>
  <c r="Z2096" i="20"/>
  <c r="T2114" i="20"/>
  <c r="AB2145" i="20"/>
  <c r="N2145" i="20"/>
  <c r="Y2155" i="20"/>
  <c r="Q2182" i="20"/>
  <c r="Z2195" i="20"/>
  <c r="J2195" i="20" s="1"/>
  <c r="Z2222" i="20"/>
  <c r="J2222" i="20" s="1"/>
  <c r="Y2222" i="20"/>
  <c r="T2353" i="20"/>
  <c r="Y2369" i="20"/>
  <c r="Z2369" i="20"/>
  <c r="J2369" i="20" s="1"/>
  <c r="Q2392" i="20"/>
  <c r="AC2392" i="20"/>
  <c r="Q2481" i="20"/>
  <c r="AC2481" i="20"/>
  <c r="L2634" i="20"/>
  <c r="M2634" i="20"/>
  <c r="M1813" i="20"/>
  <c r="L1813" i="20"/>
  <c r="L1932" i="20"/>
  <c r="AB1981" i="20"/>
  <c r="Y2004" i="20"/>
  <c r="Q2007" i="20"/>
  <c r="AB2018" i="20"/>
  <c r="T2034" i="20"/>
  <c r="AC2063" i="20"/>
  <c r="Q2063" i="20"/>
  <c r="Q2087" i="20"/>
  <c r="L2140" i="20"/>
  <c r="T2182" i="20"/>
  <c r="Y2195" i="20"/>
  <c r="AB2285" i="20"/>
  <c r="P2285" i="20"/>
  <c r="N2285" i="20"/>
  <c r="Z2358" i="20"/>
  <c r="J2358" i="20" s="1"/>
  <c r="Y2358" i="20"/>
  <c r="L2392" i="20"/>
  <c r="Y2438" i="20"/>
  <c r="Z2438" i="20"/>
  <c r="T2455" i="20"/>
  <c r="Y2459" i="20"/>
  <c r="Z2459" i="20"/>
  <c r="T1741" i="20"/>
  <c r="N1745" i="20"/>
  <c r="O1745" i="20" s="1"/>
  <c r="Y1837" i="20"/>
  <c r="P1850" i="20"/>
  <c r="N1850" i="20"/>
  <c r="O1850" i="20" s="1"/>
  <c r="N1888" i="20"/>
  <c r="O1888" i="20" s="1"/>
  <c r="AB1913" i="20"/>
  <c r="N1913" i="20"/>
  <c r="O1913" i="20" s="1"/>
  <c r="Z1915" i="20"/>
  <c r="M1925" i="20"/>
  <c r="L1925" i="20"/>
  <c r="Z1952" i="20"/>
  <c r="N1962" i="20"/>
  <c r="O1962" i="20" s="1"/>
  <c r="Z1988" i="20"/>
  <c r="Y1988" i="20"/>
  <c r="N2057" i="20"/>
  <c r="O2057" i="20" s="1"/>
  <c r="Y2075" i="20"/>
  <c r="Z2075" i="20"/>
  <c r="Z2102" i="20"/>
  <c r="Y2102" i="20"/>
  <c r="P2117" i="20"/>
  <c r="N2117" i="20"/>
  <c r="AB2117" i="20"/>
  <c r="AB2147" i="20"/>
  <c r="Q2189" i="20"/>
  <c r="AC2189" i="20"/>
  <c r="Y2212" i="20"/>
  <c r="Z2212" i="20"/>
  <c r="J2212" i="20" s="1"/>
  <c r="P2212" i="20" s="1"/>
  <c r="P2282" i="20"/>
  <c r="N2282" i="20"/>
  <c r="Z2300" i="20"/>
  <c r="T2346" i="20"/>
  <c r="N1948" i="20"/>
  <c r="O1948" i="20" s="1"/>
  <c r="AB1948" i="20"/>
  <c r="Y2007" i="20"/>
  <c r="Z2007" i="20"/>
  <c r="Z2034" i="20"/>
  <c r="J2034" i="20" s="1"/>
  <c r="Y2034" i="20"/>
  <c r="Z2099" i="20"/>
  <c r="Y2099" i="20"/>
  <c r="P2145" i="20"/>
  <c r="Z2175" i="20"/>
  <c r="M2186" i="20"/>
  <c r="L2186" i="20"/>
  <c r="M2223" i="20"/>
  <c r="L2223" i="20"/>
  <c r="Z2236" i="20"/>
  <c r="J2236" i="20" s="1"/>
  <c r="Q2282" i="20"/>
  <c r="AC2282" i="20"/>
  <c r="T2294" i="20"/>
  <c r="AC2366" i="20"/>
  <c r="N2366" i="20"/>
  <c r="O2366" i="20" s="1"/>
  <c r="Z2452" i="20"/>
  <c r="J2452" i="20" s="1"/>
  <c r="Y2452" i="20"/>
  <c r="L2573" i="20"/>
  <c r="M2573" i="20"/>
  <c r="Q1948" i="20"/>
  <c r="AC1948" i="20"/>
  <c r="Z1996" i="20"/>
  <c r="Y1996" i="20"/>
  <c r="Z2015" i="20"/>
  <c r="Y2015" i="20"/>
  <c r="AC2023" i="20"/>
  <c r="Z2031" i="20"/>
  <c r="AC2114" i="20"/>
  <c r="Q2120" i="20"/>
  <c r="AC2120" i="20"/>
  <c r="Z2131" i="20"/>
  <c r="Y2131" i="20"/>
  <c r="Q2179" i="20"/>
  <c r="AC2179" i="20"/>
  <c r="Z2182" i="20"/>
  <c r="J2182" i="20" s="1"/>
  <c r="Y2182" i="20"/>
  <c r="T2285" i="20"/>
  <c r="P2288" i="20"/>
  <c r="N2288" i="20"/>
  <c r="AB2288" i="20"/>
  <c r="M2325" i="20"/>
  <c r="L2325" i="20"/>
  <c r="AC2350" i="20"/>
  <c r="Q2350" i="20"/>
  <c r="N2350" i="20"/>
  <c r="O2350" i="20" s="1"/>
  <c r="T2359" i="20"/>
  <c r="Q2366" i="20"/>
  <c r="Q2377" i="20"/>
  <c r="AC2377" i="20"/>
  <c r="L2519" i="20"/>
  <c r="M2519" i="20"/>
  <c r="N1886" i="20"/>
  <c r="O1886" i="20" s="1"/>
  <c r="Z1899" i="20"/>
  <c r="Y1899" i="20"/>
  <c r="P1948" i="20"/>
  <c r="Y1957" i="20"/>
  <c r="Q1962" i="20"/>
  <c r="L1979" i="20"/>
  <c r="Q1981" i="20"/>
  <c r="N1984" i="20"/>
  <c r="O1984" i="20" s="1"/>
  <c r="Q2018" i="20"/>
  <c r="Y2031" i="20"/>
  <c r="Y2051" i="20"/>
  <c r="L2076" i="20"/>
  <c r="Y2090" i="20"/>
  <c r="Z2093" i="20"/>
  <c r="T2117" i="20"/>
  <c r="Z2134" i="20"/>
  <c r="T2140" i="20"/>
  <c r="Y2150" i="20"/>
  <c r="Z2150" i="20"/>
  <c r="N2179" i="20"/>
  <c r="O2179" i="20" s="1"/>
  <c r="AB2199" i="20"/>
  <c r="P2199" i="20"/>
  <c r="M2209" i="20"/>
  <c r="L2209" i="20"/>
  <c r="Z2255" i="20"/>
  <c r="AB2261" i="20"/>
  <c r="N2261" i="20"/>
  <c r="P2261" i="20"/>
  <c r="Z2291" i="20"/>
  <c r="Y2291" i="20"/>
  <c r="M2614" i="20"/>
  <c r="L2614" i="20"/>
  <c r="AB1687" i="20"/>
  <c r="T1721" i="20"/>
  <c r="N1782" i="20"/>
  <c r="O1782" i="20" s="1"/>
  <c r="T1811" i="20"/>
  <c r="T1825" i="20"/>
  <c r="Z1934" i="20"/>
  <c r="Y1934" i="20"/>
  <c r="N1946" i="20"/>
  <c r="O1946" i="20" s="1"/>
  <c r="Q1953" i="20"/>
  <c r="AC1953" i="20"/>
  <c r="M1989" i="20"/>
  <c r="L1989" i="20"/>
  <c r="AB2013" i="20"/>
  <c r="T2018" i="20"/>
  <c r="Q2021" i="20"/>
  <c r="K84" i="2" s="1"/>
  <c r="N2021" i="20"/>
  <c r="O2021" i="20" s="1"/>
  <c r="Q2040" i="20"/>
  <c r="N2097" i="20"/>
  <c r="O2097" i="20" s="1"/>
  <c r="N2103" i="20"/>
  <c r="O2103" i="20" s="1"/>
  <c r="AB2103" i="20"/>
  <c r="P2103" i="20"/>
  <c r="L2123" i="20"/>
  <c r="M2123" i="20"/>
  <c r="Y2167" i="20"/>
  <c r="Z2167" i="20"/>
  <c r="P2220" i="20"/>
  <c r="AB2220" i="20"/>
  <c r="Y2249" i="20"/>
  <c r="Z2249" i="20"/>
  <c r="P2347" i="20"/>
  <c r="AB2347" i="20"/>
  <c r="T2381" i="20"/>
  <c r="Z2432" i="20"/>
  <c r="AC2102" i="20"/>
  <c r="Q2102" i="20"/>
  <c r="Q2154" i="20"/>
  <c r="AC2154" i="20"/>
  <c r="Z2235" i="20"/>
  <c r="J2235" i="20" s="1"/>
  <c r="Y2235" i="20"/>
  <c r="AB2264" i="20"/>
  <c r="P2264" i="20"/>
  <c r="N2264" i="20"/>
  <c r="T2270" i="20"/>
  <c r="Z2302" i="20"/>
  <c r="Y2302" i="20"/>
  <c r="Z2332" i="20"/>
  <c r="J2332" i="20" s="1"/>
  <c r="Y2332" i="20"/>
  <c r="Z2346" i="20"/>
  <c r="J2346" i="20" s="1"/>
  <c r="Y2346" i="20"/>
  <c r="L2464" i="20"/>
  <c r="M2464" i="20"/>
  <c r="M2474" i="20"/>
  <c r="L2474" i="20"/>
  <c r="Z2499" i="20"/>
  <c r="J2499" i="20" s="1"/>
  <c r="Y2499" i="20"/>
  <c r="AC2532" i="20"/>
  <c r="Q2532" i="20"/>
  <c r="N2532" i="20"/>
  <c r="O2532" i="20" s="1"/>
  <c r="N1987" i="20"/>
  <c r="O1987" i="20" s="1"/>
  <c r="T2035" i="20"/>
  <c r="Z2069" i="20"/>
  <c r="Y2069" i="20"/>
  <c r="P2159" i="20"/>
  <c r="AB2159" i="20"/>
  <c r="N2159" i="20"/>
  <c r="T2250" i="20"/>
  <c r="Q2296" i="20"/>
  <c r="M2359" i="20"/>
  <c r="L2359" i="20"/>
  <c r="Z2397" i="20"/>
  <c r="J2397" i="20" s="1"/>
  <c r="Y2397" i="20"/>
  <c r="AB2406" i="20"/>
  <c r="N2406" i="20"/>
  <c r="O2406" i="20" s="1"/>
  <c r="M2428" i="20"/>
  <c r="L2428" i="20"/>
  <c r="Y2532" i="20"/>
  <c r="Z2532" i="20"/>
  <c r="T2678" i="20"/>
  <c r="U2678" i="20" s="1"/>
  <c r="Z2737" i="20"/>
  <c r="Y2737" i="20"/>
  <c r="P2152" i="20"/>
  <c r="N2152" i="20"/>
  <c r="AB2152" i="20"/>
  <c r="M2202" i="20"/>
  <c r="L2202" i="20"/>
  <c r="T2233" i="20"/>
  <c r="Q2242" i="20"/>
  <c r="AC2242" i="20"/>
  <c r="AB2259" i="20"/>
  <c r="N2259" i="20"/>
  <c r="AB2271" i="20"/>
  <c r="P2271" i="20"/>
  <c r="Z2273" i="20"/>
  <c r="Y2273" i="20"/>
  <c r="T2312" i="20"/>
  <c r="AC2322" i="20"/>
  <c r="AC2330" i="20"/>
  <c r="Q2330" i="20"/>
  <c r="Y2638" i="20"/>
  <c r="Z2638" i="20"/>
  <c r="J2638" i="20" s="1"/>
  <c r="P2638" i="20" s="1"/>
  <c r="Z2067" i="20"/>
  <c r="Y2067" i="20"/>
  <c r="N2070" i="20"/>
  <c r="O2070" i="20" s="1"/>
  <c r="T2121" i="20"/>
  <c r="Z2123" i="20"/>
  <c r="Y2123" i="20"/>
  <c r="Z2128" i="20"/>
  <c r="AC2227" i="20"/>
  <c r="Q2227" i="20"/>
  <c r="Z2239" i="20"/>
  <c r="J2239" i="20" s="1"/>
  <c r="Y2239" i="20"/>
  <c r="Z2250" i="20"/>
  <c r="Y2250" i="20"/>
  <c r="Q2271" i="20"/>
  <c r="AC2271" i="20"/>
  <c r="T2333" i="20"/>
  <c r="Z2354" i="20"/>
  <c r="J2354" i="20" s="1"/>
  <c r="Y2354" i="20"/>
  <c r="Z2359" i="20"/>
  <c r="J2359" i="20" s="1"/>
  <c r="Y2359" i="20"/>
  <c r="P2388" i="20"/>
  <c r="AB2388" i="20"/>
  <c r="N2388" i="20"/>
  <c r="O2388" i="20" s="1"/>
  <c r="AC2450" i="20"/>
  <c r="Q2450" i="20"/>
  <c r="Z2477" i="20"/>
  <c r="Y2477" i="20"/>
  <c r="Y2504" i="20"/>
  <c r="Z2504" i="20"/>
  <c r="J2504" i="20" s="1"/>
  <c r="Z2100" i="20"/>
  <c r="Y2100" i="20"/>
  <c r="Z2114" i="20"/>
  <c r="Y2114" i="20"/>
  <c r="Z2205" i="20"/>
  <c r="J2205" i="20" s="1"/>
  <c r="T2218" i="20"/>
  <c r="Z2230" i="20"/>
  <c r="J2230" i="20" s="1"/>
  <c r="Y2230" i="20"/>
  <c r="Z2242" i="20"/>
  <c r="Y2242" i="20"/>
  <c r="M2248" i="20"/>
  <c r="L2248" i="20"/>
  <c r="Q2259" i="20"/>
  <c r="P2268" i="20"/>
  <c r="N2268" i="20"/>
  <c r="Z2282" i="20"/>
  <c r="Y2282" i="20"/>
  <c r="AC2288" i="20"/>
  <c r="Q2288" i="20"/>
  <c r="Q2294" i="20"/>
  <c r="AC2294" i="20"/>
  <c r="Q2297" i="20"/>
  <c r="AC2297" i="20"/>
  <c r="Y2333" i="20"/>
  <c r="Z2333" i="20"/>
  <c r="J2333" i="20" s="1"/>
  <c r="AC2344" i="20"/>
  <c r="Q2344" i="20"/>
  <c r="P2355" i="20"/>
  <c r="N2355" i="20"/>
  <c r="O2355" i="20" s="1"/>
  <c r="AB2355" i="20"/>
  <c r="T2370" i="20"/>
  <c r="Z2417" i="20"/>
  <c r="Y2417" i="20"/>
  <c r="Q2425" i="20"/>
  <c r="Z2079" i="20"/>
  <c r="N2082" i="20"/>
  <c r="O2082" i="20" s="1"/>
  <c r="L2091" i="20"/>
  <c r="P2112" i="20"/>
  <c r="P2126" i="20"/>
  <c r="L2150" i="20"/>
  <c r="M2150" i="20"/>
  <c r="Q2164" i="20"/>
  <c r="AC2164" i="20"/>
  <c r="L2169" i="20"/>
  <c r="M2169" i="20"/>
  <c r="Z2171" i="20"/>
  <c r="Y2171" i="20"/>
  <c r="Z2202" i="20"/>
  <c r="J2202" i="20" s="1"/>
  <c r="Y2205" i="20"/>
  <c r="Z2245" i="20"/>
  <c r="Y2245" i="20"/>
  <c r="T2259" i="20"/>
  <c r="Q2268" i="20"/>
  <c r="AC2268" i="20"/>
  <c r="P2297" i="20"/>
  <c r="N2297" i="20"/>
  <c r="AB2297" i="20"/>
  <c r="Q2303" i="20"/>
  <c r="T2337" i="20"/>
  <c r="M2447" i="20"/>
  <c r="L2447" i="20"/>
  <c r="Z2450" i="20"/>
  <c r="J2450" i="20" s="1"/>
  <c r="P2450" i="20" s="1"/>
  <c r="Y2450" i="20"/>
  <c r="Q2478" i="20"/>
  <c r="AC2478" i="20"/>
  <c r="N2478" i="20"/>
  <c r="O2478" i="20" s="1"/>
  <c r="AC2730" i="20"/>
  <c r="Q2730" i="20"/>
  <c r="P2134" i="20"/>
  <c r="N2134" i="20"/>
  <c r="AC2177" i="20"/>
  <c r="Q2177" i="20"/>
  <c r="Z2188" i="20"/>
  <c r="J2188" i="20" s="1"/>
  <c r="Y2199" i="20"/>
  <c r="Z2199" i="20"/>
  <c r="J2199" i="20" s="1"/>
  <c r="Q2243" i="20"/>
  <c r="AC2243" i="20"/>
  <c r="Z2262" i="20"/>
  <c r="Y2262" i="20"/>
  <c r="Q2306" i="20"/>
  <c r="AC2306" i="20"/>
  <c r="M2316" i="20"/>
  <c r="L2316" i="20"/>
  <c r="T2377" i="20"/>
  <c r="Q2462" i="20"/>
  <c r="AC2462" i="20"/>
  <c r="AB2487" i="20"/>
  <c r="N2487" i="20"/>
  <c r="O2487" i="20" s="1"/>
  <c r="T2489" i="20"/>
  <c r="N1873" i="20"/>
  <c r="O1873" i="20" s="1"/>
  <c r="AB1987" i="20"/>
  <c r="Q2091" i="20"/>
  <c r="Z2126" i="20"/>
  <c r="AC2155" i="20"/>
  <c r="Q2155" i="20"/>
  <c r="N2177" i="20"/>
  <c r="O2177" i="20" s="1"/>
  <c r="P2177" i="20"/>
  <c r="AC2203" i="20"/>
  <c r="Q2203" i="20"/>
  <c r="T2206" i="20"/>
  <c r="Y2221" i="20"/>
  <c r="Z2221" i="20"/>
  <c r="J2221" i="20" s="1"/>
  <c r="T2234" i="20"/>
  <c r="AC2237" i="20"/>
  <c r="Q2237" i="20"/>
  <c r="N2257" i="20"/>
  <c r="P2257" i="20"/>
  <c r="Q2324" i="20"/>
  <c r="N2324" i="20"/>
  <c r="O2324" i="20" s="1"/>
  <c r="AC2324" i="20"/>
  <c r="N2367" i="20"/>
  <c r="O2367" i="20" s="1"/>
  <c r="AB2367" i="20"/>
  <c r="P2472" i="20"/>
  <c r="Z2475" i="20"/>
  <c r="Y2475" i="20"/>
  <c r="Z2756" i="20"/>
  <c r="Y2756" i="20"/>
  <c r="M1921" i="20"/>
  <c r="L1921" i="20"/>
  <c r="M2034" i="20"/>
  <c r="L2034" i="20"/>
  <c r="AB2045" i="20"/>
  <c r="N2045" i="20"/>
  <c r="O2045" i="20" s="1"/>
  <c r="P2061" i="20"/>
  <c r="N2061" i="20"/>
  <c r="O2061" i="20" s="1"/>
  <c r="Z2063" i="20"/>
  <c r="Y2063" i="20"/>
  <c r="M2066" i="20"/>
  <c r="L2066" i="20"/>
  <c r="Z2077" i="20"/>
  <c r="AC2152" i="20"/>
  <c r="Z2169" i="20"/>
  <c r="AB2180" i="20"/>
  <c r="P2180" i="20"/>
  <c r="T2197" i="20"/>
  <c r="Y2251" i="20"/>
  <c r="Z2251" i="20"/>
  <c r="M2301" i="20"/>
  <c r="L2301" i="20"/>
  <c r="M2364" i="20"/>
  <c r="L2364" i="20"/>
  <c r="Y2550" i="20"/>
  <c r="Z2550" i="20"/>
  <c r="L1836" i="20"/>
  <c r="L1843" i="20"/>
  <c r="L1875" i="20"/>
  <c r="L1917" i="20"/>
  <c r="L1919" i="20"/>
  <c r="L1945" i="20"/>
  <c r="Z1977" i="20"/>
  <c r="N2001" i="20"/>
  <c r="O2001" i="20" s="1"/>
  <c r="AC2045" i="20"/>
  <c r="Q2045" i="20"/>
  <c r="Z2047" i="20"/>
  <c r="L2059" i="20"/>
  <c r="AB2070" i="20"/>
  <c r="Y2077" i="20"/>
  <c r="L2087" i="20"/>
  <c r="Z2110" i="20"/>
  <c r="Y2110" i="20"/>
  <c r="Y2164" i="20"/>
  <c r="Y2169" i="20"/>
  <c r="M2180" i="20"/>
  <c r="AC2183" i="20"/>
  <c r="N2183" i="20"/>
  <c r="O2183" i="20" s="1"/>
  <c r="L2189" i="20"/>
  <c r="T2203" i="20"/>
  <c r="Q2228" i="20"/>
  <c r="AC2228" i="20"/>
  <c r="T2257" i="20"/>
  <c r="AB2268" i="20"/>
  <c r="T2283" i="20"/>
  <c r="AB2292" i="20"/>
  <c r="P2292" i="20"/>
  <c r="N2292" i="20"/>
  <c r="Y2306" i="20"/>
  <c r="Z2306" i="20"/>
  <c r="J2306" i="20" s="1"/>
  <c r="T2320" i="20"/>
  <c r="T2324" i="20"/>
  <c r="Z2451" i="20"/>
  <c r="J2451" i="20" s="1"/>
  <c r="P2451" i="20" s="1"/>
  <c r="Y2451" i="20"/>
  <c r="Z2569" i="20"/>
  <c r="Y2569" i="20"/>
  <c r="Y2595" i="20"/>
  <c r="Z2595" i="20"/>
  <c r="J2595" i="20" s="1"/>
  <c r="T1818" i="20"/>
  <c r="AB1859" i="20"/>
  <c r="AB1929" i="20"/>
  <c r="N1943" i="20"/>
  <c r="O1943" i="20" s="1"/>
  <c r="P1957" i="20"/>
  <c r="N1961" i="20"/>
  <c r="O1961" i="20" s="1"/>
  <c r="P2021" i="20"/>
  <c r="J84" i="2" s="1"/>
  <c r="Z2084" i="20"/>
  <c r="Y2084" i="20"/>
  <c r="M2094" i="20"/>
  <c r="L2094" i="20"/>
  <c r="Z2117" i="20"/>
  <c r="Y2117" i="20"/>
  <c r="P2122" i="20"/>
  <c r="AC2195" i="20"/>
  <c r="N2195" i="20"/>
  <c r="O2195" i="20" s="1"/>
  <c r="Z2197" i="20"/>
  <c r="J2197" i="20" s="1"/>
  <c r="Y2197" i="20"/>
  <c r="N2222" i="20"/>
  <c r="O2222" i="20" s="1"/>
  <c r="AB2222" i="20"/>
  <c r="AB2228" i="20"/>
  <c r="N2228" i="20"/>
  <c r="O2228" i="20" s="1"/>
  <c r="Z2265" i="20"/>
  <c r="Z2277" i="20"/>
  <c r="Y2277" i="20"/>
  <c r="Q2280" i="20"/>
  <c r="P2298" i="20"/>
  <c r="N2298" i="20"/>
  <c r="T2301" i="20"/>
  <c r="T2310" i="20"/>
  <c r="Y2316" i="20"/>
  <c r="Z2316" i="20"/>
  <c r="J2316" i="20" s="1"/>
  <c r="Q2328" i="20"/>
  <c r="AC2328" i="20"/>
  <c r="N2328" i="20"/>
  <c r="O2328" i="20" s="1"/>
  <c r="Z2367" i="20"/>
  <c r="J2367" i="20" s="1"/>
  <c r="P2367" i="20" s="1"/>
  <c r="Y2367" i="20"/>
  <c r="Z2381" i="20"/>
  <c r="J2381" i="20" s="1"/>
  <c r="Y2381" i="20"/>
  <c r="AB2404" i="20"/>
  <c r="P2404" i="20"/>
  <c r="N2404" i="20"/>
  <c r="O2404" i="20" s="1"/>
  <c r="Z2462" i="20"/>
  <c r="Y2462" i="20"/>
  <c r="Z2543" i="20"/>
  <c r="Y2543" i="20"/>
  <c r="N2696" i="20"/>
  <c r="O2696" i="20" s="1"/>
  <c r="AB2696" i="20"/>
  <c r="L1794" i="20"/>
  <c r="L1829" i="20"/>
  <c r="L1852" i="20"/>
  <c r="Y1880" i="20"/>
  <c r="M1929" i="20"/>
  <c r="L1931" i="20"/>
  <c r="N1939" i="20"/>
  <c r="O1939" i="20" s="1"/>
  <c r="L1947" i="20"/>
  <c r="M1955" i="20"/>
  <c r="L1959" i="20"/>
  <c r="M1961" i="20"/>
  <c r="N1963" i="20"/>
  <c r="O1963" i="20" s="1"/>
  <c r="L1986" i="20"/>
  <c r="Y1994" i="20"/>
  <c r="L2032" i="20"/>
  <c r="L2050" i="20"/>
  <c r="Y2096" i="20"/>
  <c r="Y2134" i="20"/>
  <c r="AB2136" i="20"/>
  <c r="Y2141" i="20"/>
  <c r="Q2146" i="20"/>
  <c r="AC2146" i="20"/>
  <c r="Y2174" i="20"/>
  <c r="Q2183" i="20"/>
  <c r="Q2200" i="20"/>
  <c r="AC2200" i="20"/>
  <c r="Y2209" i="20"/>
  <c r="Q2219" i="20"/>
  <c r="N2263" i="20"/>
  <c r="Y2265" i="20"/>
  <c r="L2289" i="20"/>
  <c r="T2328" i="20"/>
  <c r="M2361" i="20"/>
  <c r="L2361" i="20"/>
  <c r="T2396" i="20"/>
  <c r="N2400" i="20"/>
  <c r="O2400" i="20" s="1"/>
  <c r="AB2400" i="20"/>
  <c r="M2404" i="20"/>
  <c r="N1859" i="20"/>
  <c r="O1859" i="20" s="1"/>
  <c r="Q1913" i="20"/>
  <c r="Q1917" i="20"/>
  <c r="Q1923" i="20"/>
  <c r="N1927" i="20"/>
  <c r="O1927" i="20" s="1"/>
  <c r="AB1935" i="20"/>
  <c r="AB1951" i="20"/>
  <c r="N1957" i="20"/>
  <c r="O1957" i="20" s="1"/>
  <c r="P1961" i="20"/>
  <c r="N1999" i="20"/>
  <c r="O1999" i="20" s="1"/>
  <c r="Q2001" i="20"/>
  <c r="Q2019" i="20"/>
  <c r="Z2023" i="20"/>
  <c r="J2023" i="20" s="1"/>
  <c r="Y2023" i="20"/>
  <c r="N2043" i="20"/>
  <c r="O2043" i="20" s="1"/>
  <c r="AB2057" i="20"/>
  <c r="Z2061" i="20"/>
  <c r="Y2061" i="20"/>
  <c r="Q2073" i="20"/>
  <c r="P2106" i="20"/>
  <c r="AB2106" i="20"/>
  <c r="N2127" i="20"/>
  <c r="AB2127" i="20"/>
  <c r="P2146" i="20"/>
  <c r="N2146" i="20"/>
  <c r="AB2146" i="20"/>
  <c r="T2148" i="20"/>
  <c r="AB2164" i="20"/>
  <c r="T2183" i="20"/>
  <c r="Z2186" i="20"/>
  <c r="J2186" i="20" s="1"/>
  <c r="Y2186" i="20"/>
  <c r="N2192" i="20"/>
  <c r="O2192" i="20" s="1"/>
  <c r="Z2225" i="20"/>
  <c r="J2225" i="20" s="1"/>
  <c r="Y2225" i="20"/>
  <c r="P2228" i="20"/>
  <c r="Y2243" i="20"/>
  <c r="Z2243" i="20"/>
  <c r="Z2257" i="20"/>
  <c r="Q2292" i="20"/>
  <c r="Y2301" i="20"/>
  <c r="Z2301" i="20"/>
  <c r="Y2324" i="20"/>
  <c r="Z2324" i="20"/>
  <c r="J2324" i="20" s="1"/>
  <c r="AC2342" i="20"/>
  <c r="Q2342" i="20"/>
  <c r="N2342" i="20"/>
  <c r="O2342" i="20" s="1"/>
  <c r="Z2356" i="20"/>
  <c r="J2356" i="20" s="1"/>
  <c r="Y2356" i="20"/>
  <c r="Q2400" i="20"/>
  <c r="AB2412" i="20"/>
  <c r="N2412" i="20"/>
  <c r="O2412" i="20" s="1"/>
  <c r="AC2438" i="20"/>
  <c r="Q2438" i="20"/>
  <c r="Z2466" i="20"/>
  <c r="Y2466" i="20"/>
  <c r="Z2425" i="20"/>
  <c r="Y2599" i="20"/>
  <c r="Z2599" i="20"/>
  <c r="T2622" i="20"/>
  <c r="U2622" i="20" s="1"/>
  <c r="M2626" i="20"/>
  <c r="L2626" i="20"/>
  <c r="T2654" i="20"/>
  <c r="U2654" i="20" s="1"/>
  <c r="AB2660" i="20"/>
  <c r="N2660" i="20"/>
  <c r="O2660" i="20" s="1"/>
  <c r="N2154" i="20"/>
  <c r="T2160" i="20"/>
  <c r="M2185" i="20"/>
  <c r="L2185" i="20"/>
  <c r="M2190" i="20"/>
  <c r="L2190" i="20"/>
  <c r="T2303" i="20"/>
  <c r="Q2412" i="20"/>
  <c r="AC2412" i="20"/>
  <c r="AC2422" i="20"/>
  <c r="Q2422" i="20"/>
  <c r="N2422" i="20"/>
  <c r="O2422" i="20" s="1"/>
  <c r="Y2436" i="20"/>
  <c r="Z2436" i="20"/>
  <c r="AB2566" i="20"/>
  <c r="N2566" i="20"/>
  <c r="O2566" i="20" s="1"/>
  <c r="Z2778" i="20"/>
  <c r="Y2778" i="20"/>
  <c r="Q2792" i="20"/>
  <c r="AC2792" i="20"/>
  <c r="N2792" i="20"/>
  <c r="O2792" i="20" s="1"/>
  <c r="AB2344" i="20"/>
  <c r="Z2353" i="20"/>
  <c r="J2353" i="20" s="1"/>
  <c r="Y2353" i="20"/>
  <c r="P2377" i="20"/>
  <c r="AB2377" i="20"/>
  <c r="N2377" i="20"/>
  <c r="O2377" i="20" s="1"/>
  <c r="AC2409" i="20"/>
  <c r="Q2409" i="20"/>
  <c r="Q2446" i="20"/>
  <c r="AC2446" i="20"/>
  <c r="N2446" i="20"/>
  <c r="O2446" i="20" s="1"/>
  <c r="AC2459" i="20"/>
  <c r="N2459" i="20"/>
  <c r="O2459" i="20" s="1"/>
  <c r="M2473" i="20"/>
  <c r="L2473" i="20"/>
  <c r="AC2522" i="20"/>
  <c r="Q2522" i="20"/>
  <c r="N2522" i="20"/>
  <c r="O2522" i="20" s="1"/>
  <c r="J2590" i="20"/>
  <c r="J2622" i="20"/>
  <c r="P2622" i="20" s="1"/>
  <c r="Z2810" i="20"/>
  <c r="Y2810" i="20"/>
  <c r="T2220" i="20"/>
  <c r="P2251" i="20"/>
  <c r="AB2251" i="20"/>
  <c r="AC2285" i="20"/>
  <c r="Q2285" i="20"/>
  <c r="Z2303" i="20"/>
  <c r="Y2303" i="20"/>
  <c r="T2325" i="20"/>
  <c r="Z2422" i="20"/>
  <c r="Y2422" i="20"/>
  <c r="AB2497" i="20"/>
  <c r="P2497" i="20"/>
  <c r="Y2511" i="20"/>
  <c r="Z2511" i="20"/>
  <c r="P2529" i="20"/>
  <c r="AC2587" i="20"/>
  <c r="Q2587" i="20"/>
  <c r="Y2609" i="20"/>
  <c r="Z2609" i="20"/>
  <c r="Z2618" i="20"/>
  <c r="J2618" i="20" s="1"/>
  <c r="P2618" i="20" s="1"/>
  <c r="Y2618" i="20"/>
  <c r="L2129" i="20"/>
  <c r="M2129" i="20"/>
  <c r="AB2215" i="20"/>
  <c r="P2215" i="20"/>
  <c r="Q2251" i="20"/>
  <c r="AC2251" i="20"/>
  <c r="P2290" i="20"/>
  <c r="Z2331" i="20"/>
  <c r="J2331" i="20" s="1"/>
  <c r="Y2331" i="20"/>
  <c r="Y2455" i="20"/>
  <c r="Z2455" i="20"/>
  <c r="J2455" i="20" s="1"/>
  <c r="T2491" i="20"/>
  <c r="Z2526" i="20"/>
  <c r="Y2526" i="20"/>
  <c r="N2587" i="20"/>
  <c r="O2587" i="20" s="1"/>
  <c r="AB2587" i="20"/>
  <c r="L2596" i="20"/>
  <c r="M2596" i="20"/>
  <c r="Z2634" i="20"/>
  <c r="Y2634" i="20"/>
  <c r="Z2738" i="20"/>
  <c r="J2738" i="20" s="1"/>
  <c r="Y2738" i="20"/>
  <c r="M2788" i="20"/>
  <c r="L2788" i="20"/>
  <c r="AB2167" i="20"/>
  <c r="P2167" i="20"/>
  <c r="Z2185" i="20"/>
  <c r="J2185" i="20" s="1"/>
  <c r="Q2205" i="20"/>
  <c r="Z2290" i="20"/>
  <c r="Y2290" i="20"/>
  <c r="AC2310" i="20"/>
  <c r="Q2310" i="20"/>
  <c r="AB2322" i="20"/>
  <c r="P2322" i="20"/>
  <c r="N2322" i="20"/>
  <c r="O2322" i="20" s="1"/>
  <c r="Z2388" i="20"/>
  <c r="J2388" i="20" s="1"/>
  <c r="AC2402" i="20"/>
  <c r="Q2402" i="20"/>
  <c r="AB2413" i="20"/>
  <c r="AC2553" i="20"/>
  <c r="Q2553" i="20"/>
  <c r="J2587" i="20"/>
  <c r="P2587" i="20" s="1"/>
  <c r="T2627" i="20"/>
  <c r="U2627" i="20" s="1"/>
  <c r="J2627" i="20" s="1"/>
  <c r="P2627" i="20" s="1"/>
  <c r="M2167" i="20"/>
  <c r="T2178" i="20"/>
  <c r="P2200" i="20"/>
  <c r="N2200" i="20"/>
  <c r="O2200" i="20" s="1"/>
  <c r="T2205" i="20"/>
  <c r="T2215" i="20"/>
  <c r="P2218" i="20"/>
  <c r="N2218" i="20"/>
  <c r="O2218" i="20" s="1"/>
  <c r="Z2269" i="20"/>
  <c r="Y2269" i="20"/>
  <c r="L2310" i="20"/>
  <c r="M2319" i="20"/>
  <c r="L2319" i="20"/>
  <c r="AC2368" i="20"/>
  <c r="Q2368" i="20"/>
  <c r="Y2388" i="20"/>
  <c r="Q2413" i="20"/>
  <c r="AC2413" i="20"/>
  <c r="Z2437" i="20"/>
  <c r="Y2437" i="20"/>
  <c r="T2519" i="20"/>
  <c r="Y2619" i="20"/>
  <c r="Z2619" i="20"/>
  <c r="J2619" i="20" s="1"/>
  <c r="Z2699" i="20"/>
  <c r="J2699" i="20" s="1"/>
  <c r="P2699" i="20" s="1"/>
  <c r="T2228" i="20"/>
  <c r="M2267" i="20"/>
  <c r="L2267" i="20"/>
  <c r="M2270" i="20"/>
  <c r="L2270" i="20"/>
  <c r="AC2283" i="20"/>
  <c r="Q2283" i="20"/>
  <c r="Z2322" i="20"/>
  <c r="J2322" i="20" s="1"/>
  <c r="Y2322" i="20"/>
  <c r="Z2348" i="20"/>
  <c r="J2348" i="20" s="1"/>
  <c r="Y2348" i="20"/>
  <c r="AC2355" i="20"/>
  <c r="Q2355" i="20"/>
  <c r="Z2460" i="20"/>
  <c r="Y2460" i="20"/>
  <c r="Z2497" i="20"/>
  <c r="Y2497" i="20"/>
  <c r="Z2501" i="20"/>
  <c r="J2501" i="20" s="1"/>
  <c r="Y2501" i="20"/>
  <c r="N2516" i="20"/>
  <c r="AB2516" i="20"/>
  <c r="P2516" i="20"/>
  <c r="N2580" i="20"/>
  <c r="O2580" i="20" s="1"/>
  <c r="AB2580" i="20"/>
  <c r="AC2696" i="20"/>
  <c r="Q2696" i="20"/>
  <c r="AB2700" i="20"/>
  <c r="N2700" i="20"/>
  <c r="O2700" i="20" s="1"/>
  <c r="Z2146" i="20"/>
  <c r="AB2173" i="20"/>
  <c r="N2198" i="20"/>
  <c r="O2198" i="20" s="1"/>
  <c r="P2198" i="20"/>
  <c r="Z2200" i="20"/>
  <c r="J2200" i="20" s="1"/>
  <c r="Y2200" i="20"/>
  <c r="N2234" i="20"/>
  <c r="O2234" i="20" s="1"/>
  <c r="Z2246" i="20"/>
  <c r="Z2272" i="20"/>
  <c r="Q2291" i="20"/>
  <c r="N2291" i="20"/>
  <c r="P2296" i="20"/>
  <c r="Z2335" i="20"/>
  <c r="J2335" i="20" s="1"/>
  <c r="AC2389" i="20"/>
  <c r="Q2389" i="20"/>
  <c r="T2395" i="20"/>
  <c r="AB2438" i="20"/>
  <c r="P2438" i="20"/>
  <c r="N2438" i="20"/>
  <c r="Z2468" i="20"/>
  <c r="Y2468" i="20"/>
  <c r="T2487" i="20"/>
  <c r="M2516" i="20"/>
  <c r="T2760" i="20"/>
  <c r="U2760" i="20" s="1"/>
  <c r="M2002" i="20"/>
  <c r="L2002" i="20"/>
  <c r="M2157" i="20"/>
  <c r="L2157" i="20"/>
  <c r="AB2200" i="20"/>
  <c r="Z2280" i="20"/>
  <c r="Y2280" i="20"/>
  <c r="T2311" i="20"/>
  <c r="Z2362" i="20"/>
  <c r="J2362" i="20" s="1"/>
  <c r="Y2362" i="20"/>
  <c r="Z2365" i="20"/>
  <c r="J2365" i="20" s="1"/>
  <c r="Y2395" i="20"/>
  <c r="Z2395" i="20"/>
  <c r="J2395" i="20" s="1"/>
  <c r="AC2435" i="20"/>
  <c r="Q2435" i="20"/>
  <c r="Y2453" i="20"/>
  <c r="Z2453" i="20"/>
  <c r="J2453" i="20" s="1"/>
  <c r="Y2558" i="20"/>
  <c r="Z2558" i="20"/>
  <c r="T2636" i="20"/>
  <c r="U2636" i="20" s="1"/>
  <c r="Z2752" i="20"/>
  <c r="J2752" i="20" s="1"/>
  <c r="Y2752" i="20"/>
  <c r="L2080" i="20"/>
  <c r="L2092" i="20"/>
  <c r="M2132" i="20"/>
  <c r="L2155" i="20"/>
  <c r="Y2188" i="20"/>
  <c r="Z2223" i="20"/>
  <c r="J2223" i="20" s="1"/>
  <c r="Z2231" i="20"/>
  <c r="J2231" i="20" s="1"/>
  <c r="Y2231" i="20"/>
  <c r="N2278" i="20"/>
  <c r="L2294" i="20"/>
  <c r="Z2326" i="20"/>
  <c r="J2326" i="20" s="1"/>
  <c r="Y2326" i="20"/>
  <c r="AC2339" i="20"/>
  <c r="Q2339" i="20"/>
  <c r="T2382" i="20"/>
  <c r="N2399" i="20"/>
  <c r="O2399" i="20" s="1"/>
  <c r="AB2399" i="20"/>
  <c r="L2481" i="20"/>
  <c r="M2572" i="20"/>
  <c r="Q2652" i="20"/>
  <c r="AC2652" i="20"/>
  <c r="J2696" i="20"/>
  <c r="P2696" i="20" s="1"/>
  <c r="Z2713" i="20"/>
  <c r="J2713" i="20" s="1"/>
  <c r="Y2713" i="20"/>
  <c r="AB2717" i="20"/>
  <c r="N2717" i="20"/>
  <c r="O2717" i="20" s="1"/>
  <c r="Y2057" i="20"/>
  <c r="Z2057" i="20"/>
  <c r="T2119" i="20"/>
  <c r="Z2144" i="20"/>
  <c r="Z2161" i="20"/>
  <c r="T2176" i="20"/>
  <c r="Q2196" i="20"/>
  <c r="N2196" i="20"/>
  <c r="O2196" i="20" s="1"/>
  <c r="Z2198" i="20"/>
  <c r="J2198" i="20" s="1"/>
  <c r="AB2211" i="20"/>
  <c r="P2211" i="20"/>
  <c r="N2211" i="20"/>
  <c r="O2211" i="20" s="1"/>
  <c r="AB2218" i="20"/>
  <c r="N2255" i="20"/>
  <c r="Y2264" i="20"/>
  <c r="Z2264" i="20"/>
  <c r="Z2270" i="20"/>
  <c r="Y2270" i="20"/>
  <c r="Z2372" i="20"/>
  <c r="J2372" i="20" s="1"/>
  <c r="Y2372" i="20"/>
  <c r="T2375" i="20"/>
  <c r="Z2385" i="20"/>
  <c r="J2385" i="20" s="1"/>
  <c r="Y2385" i="20"/>
  <c r="Q2396" i="20"/>
  <c r="AC2396" i="20"/>
  <c r="P2399" i="20"/>
  <c r="L2441" i="20"/>
  <c r="M2441" i="20"/>
  <c r="Y2487" i="20"/>
  <c r="Z2487" i="20"/>
  <c r="J2487" i="20" s="1"/>
  <c r="Z2492" i="20"/>
  <c r="Y2492" i="20"/>
  <c r="Z2554" i="20"/>
  <c r="Y2606" i="20"/>
  <c r="Z2606" i="20"/>
  <c r="J2606" i="20" s="1"/>
  <c r="P2606" i="20" s="1"/>
  <c r="Z2646" i="20"/>
  <c r="J2646" i="20" s="1"/>
  <c r="Y2646" i="20"/>
  <c r="Z2682" i="20"/>
  <c r="Y2682" i="20"/>
  <c r="Y2696" i="20"/>
  <c r="AC2717" i="20"/>
  <c r="Q2717" i="20"/>
  <c r="L2010" i="20"/>
  <c r="L2014" i="20"/>
  <c r="L2074" i="20"/>
  <c r="L2078" i="20"/>
  <c r="Y2104" i="20"/>
  <c r="N2113" i="20"/>
  <c r="Z2125" i="20"/>
  <c r="L2130" i="20"/>
  <c r="Q2134" i="20"/>
  <c r="Y2161" i="20"/>
  <c r="Z2163" i="20"/>
  <c r="L2184" i="20"/>
  <c r="L2206" i="20"/>
  <c r="Z2208" i="20"/>
  <c r="J2208" i="20" s="1"/>
  <c r="P2208" i="20" s="1"/>
  <c r="M2211" i="20"/>
  <c r="Y2213" i="20"/>
  <c r="Z2213" i="20"/>
  <c r="J2213" i="20" s="1"/>
  <c r="Q2216" i="20"/>
  <c r="Y2236" i="20"/>
  <c r="Z2267" i="20"/>
  <c r="M2273" i="20"/>
  <c r="L2273" i="20"/>
  <c r="Z2275" i="20"/>
  <c r="Q2278" i="20"/>
  <c r="AC2281" i="20"/>
  <c r="Q2281" i="20"/>
  <c r="Y2311" i="20"/>
  <c r="Z2311" i="20"/>
  <c r="J2311" i="20" s="1"/>
  <c r="P2311" i="20" s="1"/>
  <c r="Q2336" i="20"/>
  <c r="AC2336" i="20"/>
  <c r="Z2355" i="20"/>
  <c r="J2355" i="20" s="1"/>
  <c r="Q2369" i="20"/>
  <c r="AC2369" i="20"/>
  <c r="Y2410" i="20"/>
  <c r="Z2410" i="20"/>
  <c r="Z2516" i="20"/>
  <c r="Y2516" i="20"/>
  <c r="AB1963" i="20"/>
  <c r="N2004" i="20"/>
  <c r="O2004" i="20" s="1"/>
  <c r="AB2008" i="20"/>
  <c r="N2008" i="20"/>
  <c r="O2008" i="20" s="1"/>
  <c r="N2012" i="20"/>
  <c r="O2012" i="20" s="1"/>
  <c r="N2088" i="20"/>
  <c r="O2088" i="20" s="1"/>
  <c r="P2132" i="20"/>
  <c r="T2134" i="20"/>
  <c r="N2153" i="20"/>
  <c r="N2174" i="20"/>
  <c r="T2196" i="20"/>
  <c r="P2242" i="20"/>
  <c r="N2242" i="20"/>
  <c r="Z2244" i="20"/>
  <c r="Y2244" i="20"/>
  <c r="T2278" i="20"/>
  <c r="L2281" i="20"/>
  <c r="P2314" i="20"/>
  <c r="AB2314" i="20"/>
  <c r="Z2339" i="20"/>
  <c r="J2339" i="20" s="1"/>
  <c r="Y2339" i="20"/>
  <c r="Y2355" i="20"/>
  <c r="Z2375" i="20"/>
  <c r="J2375" i="20" s="1"/>
  <c r="P2375" i="20" s="1"/>
  <c r="AC2379" i="20"/>
  <c r="Q2379" i="20"/>
  <c r="Z2461" i="20"/>
  <c r="Y2461" i="20"/>
  <c r="M2475" i="20"/>
  <c r="L2475" i="20"/>
  <c r="AC2555" i="20"/>
  <c r="Q2555" i="20"/>
  <c r="Z2687" i="20"/>
  <c r="J2687" i="20" s="1"/>
  <c r="P2687" i="20" s="1"/>
  <c r="Y2687" i="20"/>
  <c r="T2266" i="20"/>
  <c r="AB2283" i="20"/>
  <c r="P2283" i="20"/>
  <c r="AB2339" i="20"/>
  <c r="N2339" i="20"/>
  <c r="O2339" i="20" s="1"/>
  <c r="AC2362" i="20"/>
  <c r="Q2362" i="20"/>
  <c r="T2394" i="20"/>
  <c r="Z2406" i="20"/>
  <c r="AB2450" i="20"/>
  <c r="N2450" i="20"/>
  <c r="O2450" i="20" s="1"/>
  <c r="M2456" i="20"/>
  <c r="L2456" i="20"/>
  <c r="J2759" i="20"/>
  <c r="P2759" i="20" s="1"/>
  <c r="T2764" i="20"/>
  <c r="U2764" i="20" s="1"/>
  <c r="T2774" i="20"/>
  <c r="U2774" i="20" s="1"/>
  <c r="Y2792" i="20"/>
  <c r="Z2792" i="20"/>
  <c r="J2792" i="20" s="1"/>
  <c r="P2792" i="20" s="1"/>
  <c r="Z2266" i="20"/>
  <c r="M2276" i="20"/>
  <c r="L2276" i="20"/>
  <c r="N2283" i="20"/>
  <c r="Z2296" i="20"/>
  <c r="Z2309" i="20"/>
  <c r="J2309" i="20" s="1"/>
  <c r="Y2309" i="20"/>
  <c r="Z2376" i="20"/>
  <c r="J2376" i="20" s="1"/>
  <c r="Y2376" i="20"/>
  <c r="Y2509" i="20"/>
  <c r="Z2509" i="20"/>
  <c r="T2683" i="20"/>
  <c r="U2683" i="20" s="1"/>
  <c r="Q2710" i="20"/>
  <c r="AC2710" i="20"/>
  <c r="T2788" i="20"/>
  <c r="U2788" i="20" s="1"/>
  <c r="P2213" i="20"/>
  <c r="N2213" i="20"/>
  <c r="O2213" i="20" s="1"/>
  <c r="Y2266" i="20"/>
  <c r="Y2296" i="20"/>
  <c r="P2339" i="20"/>
  <c r="Q2353" i="20"/>
  <c r="AC2353" i="20"/>
  <c r="P2371" i="20"/>
  <c r="N2371" i="20"/>
  <c r="O2371" i="20" s="1"/>
  <c r="Z2413" i="20"/>
  <c r="Z2447" i="20"/>
  <c r="J2447" i="20" s="1"/>
  <c r="T2490" i="20"/>
  <c r="N2760" i="20"/>
  <c r="O2760" i="20" s="1"/>
  <c r="AB2760" i="20"/>
  <c r="Z2285" i="20"/>
  <c r="Y2285" i="20"/>
  <c r="P2315" i="20"/>
  <c r="N2315" i="20"/>
  <c r="O2315" i="20" s="1"/>
  <c r="Y2328" i="20"/>
  <c r="Z2328" i="20"/>
  <c r="J2328" i="20" s="1"/>
  <c r="M2356" i="20"/>
  <c r="L2356" i="20"/>
  <c r="AC2380" i="20"/>
  <c r="Q2380" i="20"/>
  <c r="N2389" i="20"/>
  <c r="O2389" i="20" s="1"/>
  <c r="P2389" i="20"/>
  <c r="AB2470" i="20"/>
  <c r="P2470" i="20"/>
  <c r="Y2472" i="20"/>
  <c r="Z2472" i="20"/>
  <c r="AB2503" i="20"/>
  <c r="P2503" i="20"/>
  <c r="N2503" i="20"/>
  <c r="O2503" i="20" s="1"/>
  <c r="Z2552" i="20"/>
  <c r="Y2552" i="20"/>
  <c r="AB2807" i="20"/>
  <c r="N2807" i="20"/>
  <c r="O2807" i="20" s="1"/>
  <c r="M2611" i="20"/>
  <c r="L2611" i="20"/>
  <c r="T2631" i="20"/>
  <c r="U2631" i="20" s="1"/>
  <c r="Y2693" i="20"/>
  <c r="Z2693" i="20"/>
  <c r="J2693" i="20" s="1"/>
  <c r="P2693" i="20" s="1"/>
  <c r="M2753" i="20"/>
  <c r="L2753" i="20"/>
  <c r="Z2788" i="20"/>
  <c r="Y2788" i="20"/>
  <c r="Q2807" i="20"/>
  <c r="AC2807" i="20"/>
  <c r="M2566" i="20"/>
  <c r="J2602" i="20"/>
  <c r="P2602" i="20" s="1"/>
  <c r="T2753" i="20"/>
  <c r="U2753" i="20" s="1"/>
  <c r="AB2765" i="20"/>
  <c r="P2765" i="20"/>
  <c r="N2765" i="20"/>
  <c r="O2765" i="20" s="1"/>
  <c r="J2593" i="20"/>
  <c r="P2593" i="20" s="1"/>
  <c r="Y2602" i="20"/>
  <c r="N2757" i="20"/>
  <c r="O2757" i="20" s="1"/>
  <c r="AB2757" i="20"/>
  <c r="N2789" i="20"/>
  <c r="O2789" i="20" s="1"/>
  <c r="AB2789" i="20"/>
  <c r="Y2830" i="20"/>
  <c r="Z2830" i="20"/>
  <c r="P2274" i="20"/>
  <c r="N2274" i="20"/>
  <c r="Q2290" i="20"/>
  <c r="Y2304" i="20"/>
  <c r="Z2304" i="20"/>
  <c r="P2342" i="20"/>
  <c r="T2348" i="20"/>
  <c r="P2368" i="20"/>
  <c r="Z2380" i="20"/>
  <c r="J2380" i="20" s="1"/>
  <c r="Y2380" i="20"/>
  <c r="N2461" i="20"/>
  <c r="O2461" i="20" s="1"/>
  <c r="AB2461" i="20"/>
  <c r="P2461" i="20"/>
  <c r="L2553" i="20"/>
  <c r="T2582" i="20"/>
  <c r="U2582" i="20" s="1"/>
  <c r="Y2593" i="20"/>
  <c r="Z2670" i="20"/>
  <c r="J2670" i="20" s="1"/>
  <c r="P2670" i="20" s="1"/>
  <c r="Y2670" i="20"/>
  <c r="T2222" i="20"/>
  <c r="N2240" i="20"/>
  <c r="O2240" i="20" s="1"/>
  <c r="T2251" i="20"/>
  <c r="N2258" i="20"/>
  <c r="T2269" i="20"/>
  <c r="AC2274" i="20"/>
  <c r="Q2274" i="20"/>
  <c r="T2297" i="20"/>
  <c r="P2323" i="20"/>
  <c r="N2323" i="20"/>
  <c r="O2323" i="20" s="1"/>
  <c r="AB2323" i="20"/>
  <c r="T2342" i="20"/>
  <c r="Y2365" i="20"/>
  <c r="Z2392" i="20"/>
  <c r="J2392" i="20" s="1"/>
  <c r="Y2392" i="20"/>
  <c r="Z2439" i="20"/>
  <c r="Y2439" i="20"/>
  <c r="L2445" i="20"/>
  <c r="AB2448" i="20"/>
  <c r="N2448" i="20"/>
  <c r="O2448" i="20" s="1"/>
  <c r="P2448" i="20"/>
  <c r="Z2506" i="20"/>
  <c r="J2506" i="20" s="1"/>
  <c r="Y2506" i="20"/>
  <c r="Y2598" i="20"/>
  <c r="Z2598" i="20"/>
  <c r="Z2650" i="20"/>
  <c r="J2650" i="20" s="1"/>
  <c r="P2650" i="20" s="1"/>
  <c r="Y2650" i="20"/>
  <c r="Z2753" i="20"/>
  <c r="Y2753" i="20"/>
  <c r="Q2757" i="20"/>
  <c r="J2760" i="20"/>
  <c r="P2760" i="20" s="1"/>
  <c r="T2784" i="20"/>
  <c r="U2784" i="20" s="1"/>
  <c r="T2144" i="20"/>
  <c r="N2231" i="20"/>
  <c r="O2231" i="20" s="1"/>
  <c r="L2249" i="20"/>
  <c r="P2256" i="20"/>
  <c r="N2256" i="20"/>
  <c r="T2281" i="20"/>
  <c r="Z2292" i="20"/>
  <c r="N2300" i="20"/>
  <c r="P2313" i="20"/>
  <c r="N2313" i="20"/>
  <c r="O2313" i="20" s="1"/>
  <c r="Q2323" i="20"/>
  <c r="AC2323" i="20"/>
  <c r="AB2326" i="20"/>
  <c r="P2326" i="20"/>
  <c r="N2326" i="20"/>
  <c r="O2326" i="20" s="1"/>
  <c r="AB2357" i="20"/>
  <c r="P2357" i="20"/>
  <c r="T2368" i="20"/>
  <c r="Z2371" i="20"/>
  <c r="J2371" i="20" s="1"/>
  <c r="Y2371" i="20"/>
  <c r="T2386" i="20"/>
  <c r="P2411" i="20"/>
  <c r="N2411" i="20"/>
  <c r="O2411" i="20" s="1"/>
  <c r="Z2467" i="20"/>
  <c r="Y2467" i="20"/>
  <c r="T2473" i="20"/>
  <c r="L2479" i="20"/>
  <c r="M2479" i="20"/>
  <c r="AB2514" i="20"/>
  <c r="Z2582" i="20"/>
  <c r="J2582" i="20" s="1"/>
  <c r="Y2582" i="20"/>
  <c r="T2666" i="20"/>
  <c r="U2666" i="20" s="1"/>
  <c r="J2666" i="20" s="1"/>
  <c r="AC2746" i="20"/>
  <c r="Q2746" i="20"/>
  <c r="Z2276" i="20"/>
  <c r="Z2297" i="20"/>
  <c r="Y2297" i="20"/>
  <c r="Y2334" i="20"/>
  <c r="Z2334" i="20"/>
  <c r="J2334" i="20" s="1"/>
  <c r="AC2357" i="20"/>
  <c r="Q2357" i="20"/>
  <c r="T2479" i="20"/>
  <c r="Y2510" i="20"/>
  <c r="Z2510" i="20"/>
  <c r="AC2514" i="20"/>
  <c r="Q2514" i="20"/>
  <c r="K105" i="2" s="1"/>
  <c r="M2517" i="20"/>
  <c r="L2517" i="20"/>
  <c r="Z2546" i="20"/>
  <c r="Y2636" i="20"/>
  <c r="Z2636" i="20"/>
  <c r="J2636" i="20" s="1"/>
  <c r="P2636" i="20" s="1"/>
  <c r="T2737" i="20"/>
  <c r="U2737" i="20" s="1"/>
  <c r="P2231" i="20"/>
  <c r="M2254" i="20"/>
  <c r="L2254" i="20"/>
  <c r="Y2276" i="20"/>
  <c r="P2300" i="20"/>
  <c r="N2357" i="20"/>
  <c r="O2357" i="20" s="1"/>
  <c r="AB2371" i="20"/>
  <c r="AB2378" i="20"/>
  <c r="P2378" i="20"/>
  <c r="AB2389" i="20"/>
  <c r="Z2470" i="20"/>
  <c r="Y2470" i="20"/>
  <c r="Y2496" i="20"/>
  <c r="N2514" i="20"/>
  <c r="O2514" i="20" s="1"/>
  <c r="Y2546" i="20"/>
  <c r="Y2566" i="20"/>
  <c r="Z2566" i="20"/>
  <c r="L2171" i="20"/>
  <c r="M2171" i="20"/>
  <c r="AB2213" i="20"/>
  <c r="L2216" i="20"/>
  <c r="L2225" i="20"/>
  <c r="M2225" i="20"/>
  <c r="Q2231" i="20"/>
  <c r="Z2233" i="20"/>
  <c r="J2233" i="20" s="1"/>
  <c r="Q2300" i="20"/>
  <c r="Q2305" i="20"/>
  <c r="AC2305" i="20"/>
  <c r="T2313" i="20"/>
  <c r="N2318" i="20"/>
  <c r="O2318" i="20" s="1"/>
  <c r="T2329" i="20"/>
  <c r="AC2340" i="20"/>
  <c r="Q2340" i="20"/>
  <c r="Q2360" i="20"/>
  <c r="AC2371" i="20"/>
  <c r="M2378" i="20"/>
  <c r="N2381" i="20"/>
  <c r="O2381" i="20" s="1"/>
  <c r="Q2398" i="20"/>
  <c r="N2440" i="20"/>
  <c r="M2468" i="20"/>
  <c r="L2468" i="20"/>
  <c r="T2507" i="20"/>
  <c r="T2642" i="20"/>
  <c r="U2642" i="20" s="1"/>
  <c r="J2642" i="20" s="1"/>
  <c r="L2646" i="20"/>
  <c r="M2646" i="20"/>
  <c r="Z2651" i="20"/>
  <c r="Y2651" i="20"/>
  <c r="N2733" i="20"/>
  <c r="O2733" i="20" s="1"/>
  <c r="AB2733" i="20"/>
  <c r="P2107" i="20"/>
  <c r="N2107" i="20"/>
  <c r="O2107" i="20" s="1"/>
  <c r="Q2249" i="20"/>
  <c r="AC2279" i="20"/>
  <c r="Q2279" i="20"/>
  <c r="M2284" i="20"/>
  <c r="L2284" i="20"/>
  <c r="N2305" i="20"/>
  <c r="O2305" i="20" s="1"/>
  <c r="Y2307" i="20"/>
  <c r="Z2307" i="20"/>
  <c r="J2307" i="20" s="1"/>
  <c r="Y2310" i="20"/>
  <c r="Z2310" i="20"/>
  <c r="J2310" i="20" s="1"/>
  <c r="Z2320" i="20"/>
  <c r="J2320" i="20" s="1"/>
  <c r="AB2340" i="20"/>
  <c r="P2340" i="20"/>
  <c r="AC2354" i="20"/>
  <c r="Q2354" i="20"/>
  <c r="T2360" i="20"/>
  <c r="Z2368" i="20"/>
  <c r="J2368" i="20" s="1"/>
  <c r="Y2368" i="20"/>
  <c r="M2372" i="20"/>
  <c r="L2372" i="20"/>
  <c r="N2378" i="20"/>
  <c r="O2378" i="20" s="1"/>
  <c r="Z2414" i="20"/>
  <c r="Z2423" i="20"/>
  <c r="Y2423" i="20"/>
  <c r="Z2448" i="20"/>
  <c r="J2448" i="20" s="1"/>
  <c r="Z2473" i="20"/>
  <c r="Y2473" i="20"/>
  <c r="P2500" i="20"/>
  <c r="N2500" i="20"/>
  <c r="O2500" i="20" s="1"/>
  <c r="AB2500" i="20"/>
  <c r="Y2570" i="20"/>
  <c r="Z2570" i="20"/>
  <c r="Z2603" i="20"/>
  <c r="Y2603" i="20"/>
  <c r="Z2656" i="20"/>
  <c r="J2656" i="20" s="1"/>
  <c r="Y2656" i="20"/>
  <c r="L2047" i="20"/>
  <c r="L2063" i="20"/>
  <c r="L2096" i="20"/>
  <c r="L2120" i="20"/>
  <c r="L2137" i="20"/>
  <c r="Y2144" i="20"/>
  <c r="L2158" i="20"/>
  <c r="N2277" i="20"/>
  <c r="P2277" i="20"/>
  <c r="N2293" i="20"/>
  <c r="Q2293" i="20"/>
  <c r="P2305" i="20"/>
  <c r="AB2315" i="20"/>
  <c r="Y2320" i="20"/>
  <c r="M2332" i="20"/>
  <c r="L2332" i="20"/>
  <c r="N2340" i="20"/>
  <c r="O2340" i="20" s="1"/>
  <c r="L2354" i="20"/>
  <c r="T2372" i="20"/>
  <c r="P2384" i="20"/>
  <c r="AB2384" i="20"/>
  <c r="N2384" i="20"/>
  <c r="O2384" i="20" s="1"/>
  <c r="Z2411" i="20"/>
  <c r="Y2414" i="20"/>
  <c r="Q2420" i="20"/>
  <c r="Y2448" i="20"/>
  <c r="M2554" i="20"/>
  <c r="L2554" i="20"/>
  <c r="AC2583" i="20"/>
  <c r="Q2583" i="20"/>
  <c r="N2583" i="20"/>
  <c r="O2583" i="20" s="1"/>
  <c r="Z2621" i="20"/>
  <c r="J2621" i="20" s="1"/>
  <c r="Y2621" i="20"/>
  <c r="N2072" i="20"/>
  <c r="O2072" i="20" s="1"/>
  <c r="L2139" i="20"/>
  <c r="M2139" i="20"/>
  <c r="AC2188" i="20"/>
  <c r="Q2188" i="20"/>
  <c r="T2192" i="20"/>
  <c r="Z2194" i="20"/>
  <c r="J2194" i="20" s="1"/>
  <c r="Y2194" i="20"/>
  <c r="Z2196" i="20"/>
  <c r="J2196" i="20" s="1"/>
  <c r="P2196" i="20" s="1"/>
  <c r="N2205" i="20"/>
  <c r="O2205" i="20" s="1"/>
  <c r="Z2220" i="20"/>
  <c r="J2220" i="20" s="1"/>
  <c r="Y2220" i="20"/>
  <c r="N2227" i="20"/>
  <c r="O2227" i="20" s="1"/>
  <c r="N2236" i="20"/>
  <c r="O2236" i="20" s="1"/>
  <c r="AC2247" i="20"/>
  <c r="Q2247" i="20"/>
  <c r="Z2329" i="20"/>
  <c r="J2329" i="20" s="1"/>
  <c r="P2329" i="20" s="1"/>
  <c r="T2340" i="20"/>
  <c r="Z2351" i="20"/>
  <c r="J2351" i="20" s="1"/>
  <c r="AB2366" i="20"/>
  <c r="Q2405" i="20"/>
  <c r="AC2405" i="20"/>
  <c r="Z2434" i="20"/>
  <c r="Y2434" i="20"/>
  <c r="P2440" i="20"/>
  <c r="Y2445" i="20"/>
  <c r="Z2445" i="20"/>
  <c r="J2445" i="20" s="1"/>
  <c r="Y2464" i="20"/>
  <c r="Z2464" i="20"/>
  <c r="Z2507" i="20"/>
  <c r="J2507" i="20" s="1"/>
  <c r="Y2507" i="20"/>
  <c r="Z2514" i="20"/>
  <c r="Y2514" i="20"/>
  <c r="N2550" i="20"/>
  <c r="O2550" i="20" s="1"/>
  <c r="Z2575" i="20"/>
  <c r="J2575" i="20" s="1"/>
  <c r="Y2575" i="20"/>
  <c r="Z2632" i="20"/>
  <c r="Y2632" i="20"/>
  <c r="T2707" i="20"/>
  <c r="U2707" i="20" s="1"/>
  <c r="J2707" i="20" s="1"/>
  <c r="P2707" i="20" s="1"/>
  <c r="M2738" i="20"/>
  <c r="L2738" i="20"/>
  <c r="AC2577" i="20"/>
  <c r="Q2577" i="20"/>
  <c r="M2619" i="20"/>
  <c r="L2619" i="20"/>
  <c r="Z2678" i="20"/>
  <c r="J2678" i="20" s="1"/>
  <c r="Y2678" i="20"/>
  <c r="T2720" i="20"/>
  <c r="U2720" i="20" s="1"/>
  <c r="M2816" i="20"/>
  <c r="L2816" i="20"/>
  <c r="Z2344" i="20"/>
  <c r="J2344" i="20" s="1"/>
  <c r="P2344" i="20" s="1"/>
  <c r="Y2344" i="20"/>
  <c r="N2423" i="20"/>
  <c r="O2423" i="20" s="1"/>
  <c r="AC2423" i="20"/>
  <c r="Q2423" i="20"/>
  <c r="T2445" i="20"/>
  <c r="T2476" i="20"/>
  <c r="M2485" i="20"/>
  <c r="L2485" i="20"/>
  <c r="T2495" i="20"/>
  <c r="P2501" i="20"/>
  <c r="AB2501" i="20"/>
  <c r="N2501" i="20"/>
  <c r="O2501" i="20" s="1"/>
  <c r="Z2584" i="20"/>
  <c r="J2584" i="20" s="1"/>
  <c r="P2584" i="20" s="1"/>
  <c r="Y2584" i="20"/>
  <c r="T2599" i="20"/>
  <c r="U2599" i="20" s="1"/>
  <c r="AB2662" i="20"/>
  <c r="N2662" i="20"/>
  <c r="O2662" i="20" s="1"/>
  <c r="Z2709" i="20"/>
  <c r="J2709" i="20" s="1"/>
  <c r="Y2709" i="20"/>
  <c r="AB2721" i="20"/>
  <c r="P2721" i="20"/>
  <c r="N2721" i="20"/>
  <c r="O2721" i="20" s="1"/>
  <c r="Z2754" i="20"/>
  <c r="J2754" i="20" s="1"/>
  <c r="P2754" i="20" s="1"/>
  <c r="Y2754" i="20"/>
  <c r="P2299" i="20"/>
  <c r="T2347" i="20"/>
  <c r="L2369" i="20"/>
  <c r="Z2401" i="20"/>
  <c r="Y2401" i="20"/>
  <c r="AB2420" i="20"/>
  <c r="P2420" i="20"/>
  <c r="N2420" i="20"/>
  <c r="O2420" i="20" s="1"/>
  <c r="AB2462" i="20"/>
  <c r="P2462" i="20"/>
  <c r="Z2481" i="20"/>
  <c r="J2481" i="20" s="1"/>
  <c r="Y2481" i="20"/>
  <c r="AC2520" i="20"/>
  <c r="Q2520" i="20"/>
  <c r="N2520" i="20"/>
  <c r="Z2540" i="20"/>
  <c r="Y2540" i="20"/>
  <c r="Q2662" i="20"/>
  <c r="AC2662" i="20"/>
  <c r="Y2679" i="20"/>
  <c r="Z2679" i="20"/>
  <c r="J2679" i="20" s="1"/>
  <c r="AB2689" i="20"/>
  <c r="T2734" i="20"/>
  <c r="U2734" i="20" s="1"/>
  <c r="J2743" i="20"/>
  <c r="T2249" i="20"/>
  <c r="M2299" i="20"/>
  <c r="Z2312" i="20"/>
  <c r="J2312" i="20" s="1"/>
  <c r="M2317" i="20"/>
  <c r="N2338" i="20"/>
  <c r="O2338" i="20" s="1"/>
  <c r="T2468" i="20"/>
  <c r="Z2495" i="20"/>
  <c r="Y2495" i="20"/>
  <c r="Y2533" i="20"/>
  <c r="Z2573" i="20"/>
  <c r="Y2573" i="20"/>
  <c r="T2591" i="20"/>
  <c r="U2591" i="20" s="1"/>
  <c r="T2603" i="20"/>
  <c r="U2603" i="20" s="1"/>
  <c r="Z2643" i="20"/>
  <c r="Y2643" i="20"/>
  <c r="AC2689" i="20"/>
  <c r="Q2689" i="20"/>
  <c r="Y2726" i="20"/>
  <c r="Z2726" i="20"/>
  <c r="J2726" i="20" s="1"/>
  <c r="P2726" i="20" s="1"/>
  <c r="Y2743" i="20"/>
  <c r="M2345" i="20"/>
  <c r="L2345" i="20"/>
  <c r="Z2347" i="20"/>
  <c r="J2347" i="20" s="1"/>
  <c r="Y2347" i="20"/>
  <c r="N2360" i="20"/>
  <c r="O2360" i="20" s="1"/>
  <c r="AB2402" i="20"/>
  <c r="N2402" i="20"/>
  <c r="O2402" i="20" s="1"/>
  <c r="L2433" i="20"/>
  <c r="M2433" i="20"/>
  <c r="N2436" i="20"/>
  <c r="AC2436" i="20"/>
  <c r="Z2485" i="20"/>
  <c r="J2485" i="20" s="1"/>
  <c r="Z2530" i="20"/>
  <c r="Y2530" i="20"/>
  <c r="M2556" i="20"/>
  <c r="L2556" i="20"/>
  <c r="T2581" i="20"/>
  <c r="U2581" i="20" s="1"/>
  <c r="Q2675" i="20"/>
  <c r="AC2675" i="20"/>
  <c r="T2689" i="20"/>
  <c r="U2689" i="20" s="1"/>
  <c r="N2722" i="20"/>
  <c r="O2722" i="20" s="1"/>
  <c r="AB2722" i="20"/>
  <c r="AC2790" i="20"/>
  <c r="Q2790" i="20"/>
  <c r="Z2812" i="20"/>
  <c r="Y2812" i="20"/>
  <c r="M2827" i="20"/>
  <c r="L2827" i="20"/>
  <c r="Q2537" i="20"/>
  <c r="AC2537" i="20"/>
  <c r="N2537" i="20"/>
  <c r="O2537" i="20" s="1"/>
  <c r="AB2541" i="20"/>
  <c r="N2541" i="20"/>
  <c r="O2541" i="20" s="1"/>
  <c r="Q2585" i="20"/>
  <c r="AC2585" i="20"/>
  <c r="T2710" i="20"/>
  <c r="U2710" i="20" s="1"/>
  <c r="J2710" i="20" s="1"/>
  <c r="AB2790" i="20"/>
  <c r="P2790" i="20"/>
  <c r="AC2541" i="20"/>
  <c r="Q2541" i="20"/>
  <c r="J2639" i="20"/>
  <c r="P2639" i="20" s="1"/>
  <c r="N2663" i="20"/>
  <c r="O2663" i="20" s="1"/>
  <c r="AB2663" i="20"/>
  <c r="P2663" i="20"/>
  <c r="J2671" i="20"/>
  <c r="AB2702" i="20"/>
  <c r="N2790" i="20"/>
  <c r="O2790" i="20" s="1"/>
  <c r="AB2813" i="20"/>
  <c r="N2813" i="20"/>
  <c r="O2813" i="20" s="1"/>
  <c r="T2331" i="20"/>
  <c r="L2387" i="20"/>
  <c r="M2387" i="20"/>
  <c r="Q2399" i="20"/>
  <c r="N2405" i="20"/>
  <c r="O2405" i="20" s="1"/>
  <c r="Z2498" i="20"/>
  <c r="J2498" i="20" s="1"/>
  <c r="Y2498" i="20"/>
  <c r="Z2520" i="20"/>
  <c r="Y2520" i="20"/>
  <c r="N2624" i="20"/>
  <c r="O2624" i="20" s="1"/>
  <c r="J2653" i="20"/>
  <c r="Q2702" i="20"/>
  <c r="AC2702" i="20"/>
  <c r="Z2722" i="20"/>
  <c r="J2722" i="20" s="1"/>
  <c r="P2722" i="20" s="1"/>
  <c r="Y2722" i="20"/>
  <c r="T2767" i="20"/>
  <c r="U2767" i="20" s="1"/>
  <c r="AB2800" i="20"/>
  <c r="N2800" i="20"/>
  <c r="O2800" i="20" s="1"/>
  <c r="AC2813" i="20"/>
  <c r="Q2813" i="20"/>
  <c r="Q2502" i="20"/>
  <c r="AC2502" i="20"/>
  <c r="P2531" i="20"/>
  <c r="AB2531" i="20"/>
  <c r="N2531" i="20"/>
  <c r="O2531" i="20" s="1"/>
  <c r="N2534" i="20"/>
  <c r="O2534" i="20" s="1"/>
  <c r="AC2534" i="20"/>
  <c r="P2541" i="20"/>
  <c r="Z2559" i="20"/>
  <c r="Y2559" i="20"/>
  <c r="Z2574" i="20"/>
  <c r="J2574" i="20" s="1"/>
  <c r="P2574" i="20" s="1"/>
  <c r="Y2574" i="20"/>
  <c r="T2578" i="20"/>
  <c r="U2578" i="20" s="1"/>
  <c r="N2702" i="20"/>
  <c r="O2702" i="20" s="1"/>
  <c r="T2706" i="20"/>
  <c r="U2706" i="20" s="1"/>
  <c r="T2731" i="20"/>
  <c r="U2731" i="20" s="1"/>
  <c r="Z2767" i="20"/>
  <c r="Y2767" i="20"/>
  <c r="Y2777" i="20"/>
  <c r="Z2777" i="20"/>
  <c r="J2777" i="20" s="1"/>
  <c r="P2777" i="20" s="1"/>
  <c r="Z2785" i="20"/>
  <c r="Y2785" i="20"/>
  <c r="N2336" i="20"/>
  <c r="O2336" i="20" s="1"/>
  <c r="Z2384" i="20"/>
  <c r="J2384" i="20" s="1"/>
  <c r="Y2384" i="20"/>
  <c r="Q2469" i="20"/>
  <c r="AC2469" i="20"/>
  <c r="Y2482" i="20"/>
  <c r="Z2482" i="20"/>
  <c r="J2482" i="20" s="1"/>
  <c r="L2502" i="20"/>
  <c r="Z2508" i="20"/>
  <c r="AC2521" i="20"/>
  <c r="Q2521" i="20"/>
  <c r="Y2585" i="20"/>
  <c r="Z2585" i="20"/>
  <c r="J2585" i="20" s="1"/>
  <c r="P2585" i="20" s="1"/>
  <c r="Z2592" i="20"/>
  <c r="J2592" i="20" s="1"/>
  <c r="Y2592" i="20"/>
  <c r="Y2596" i="20"/>
  <c r="Z2596" i="20"/>
  <c r="Z2648" i="20"/>
  <c r="Y2648" i="20"/>
  <c r="Y2710" i="20"/>
  <c r="AC2809" i="20"/>
  <c r="Q2809" i="20"/>
  <c r="L2252" i="20"/>
  <c r="AB2258" i="20"/>
  <c r="P2258" i="20"/>
  <c r="N2260" i="20"/>
  <c r="T2268" i="20"/>
  <c r="N2279" i="20"/>
  <c r="N2306" i="20"/>
  <c r="O2306" i="20" s="1"/>
  <c r="Z2319" i="20"/>
  <c r="J2319" i="20" s="1"/>
  <c r="Y2319" i="20"/>
  <c r="L2348" i="20"/>
  <c r="AB2390" i="20"/>
  <c r="M2424" i="20"/>
  <c r="L2424" i="20"/>
  <c r="Z2433" i="20"/>
  <c r="Y2433" i="20"/>
  <c r="Z2456" i="20"/>
  <c r="Y2456" i="20"/>
  <c r="N2469" i="20"/>
  <c r="Y2488" i="20"/>
  <c r="Z2488" i="20"/>
  <c r="Z2531" i="20"/>
  <c r="Y2531" i="20"/>
  <c r="Z2537" i="20"/>
  <c r="Z2567" i="20"/>
  <c r="Y2567" i="20"/>
  <c r="Z2616" i="20"/>
  <c r="Y2616" i="20"/>
  <c r="P2365" i="20"/>
  <c r="N2365" i="20"/>
  <c r="O2365" i="20" s="1"/>
  <c r="Y2374" i="20"/>
  <c r="Z2374" i="20"/>
  <c r="J2374" i="20" s="1"/>
  <c r="Z2377" i="20"/>
  <c r="J2377" i="20" s="1"/>
  <c r="Z2394" i="20"/>
  <c r="J2394" i="20" s="1"/>
  <c r="P2394" i="20" s="1"/>
  <c r="N2427" i="20"/>
  <c r="O2427" i="20" s="1"/>
  <c r="J2505" i="20"/>
  <c r="AB2525" i="20"/>
  <c r="N2525" i="20"/>
  <c r="O2525" i="20" s="1"/>
  <c r="Q2534" i="20"/>
  <c r="Z2624" i="20"/>
  <c r="J2624" i="20" s="1"/>
  <c r="P2624" i="20" s="1"/>
  <c r="Y2624" i="20"/>
  <c r="Z2635" i="20"/>
  <c r="Y2635" i="20"/>
  <c r="Q2699" i="20"/>
  <c r="AC2699" i="20"/>
  <c r="Z2702" i="20"/>
  <c r="J2702" i="20" s="1"/>
  <c r="P2702" i="20" s="1"/>
  <c r="Y2702" i="20"/>
  <c r="Z2706" i="20"/>
  <c r="J2706" i="20" s="1"/>
  <c r="P2706" i="20" s="1"/>
  <c r="Y2706" i="20"/>
  <c r="M2327" i="20"/>
  <c r="L2327" i="20"/>
  <c r="Y2377" i="20"/>
  <c r="L2380" i="20"/>
  <c r="N2390" i="20"/>
  <c r="O2390" i="20" s="1"/>
  <c r="Y2394" i="20"/>
  <c r="Z2402" i="20"/>
  <c r="Z2446" i="20"/>
  <c r="J2446" i="20" s="1"/>
  <c r="Y2446" i="20"/>
  <c r="AB2460" i="20"/>
  <c r="AB2477" i="20"/>
  <c r="N2477" i="20"/>
  <c r="AB2499" i="20"/>
  <c r="P2499" i="20"/>
  <c r="N2499" i="20"/>
  <c r="O2499" i="20" s="1"/>
  <c r="Y2502" i="20"/>
  <c r="Z2502" i="20"/>
  <c r="J2502" i="20" s="1"/>
  <c r="T2518" i="20"/>
  <c r="AC2525" i="20"/>
  <c r="Q2525" i="20"/>
  <c r="Z2528" i="20"/>
  <c r="Y2528" i="20"/>
  <c r="AB2649" i="20"/>
  <c r="N2649" i="20"/>
  <c r="O2649" i="20" s="1"/>
  <c r="Z2663" i="20"/>
  <c r="J2663" i="20" s="1"/>
  <c r="Y2663" i="20"/>
  <c r="T2768" i="20"/>
  <c r="U2768" i="20" s="1"/>
  <c r="Q2778" i="20"/>
  <c r="AC2778" i="20"/>
  <c r="Z2800" i="20"/>
  <c r="Y2800" i="20"/>
  <c r="T2164" i="20"/>
  <c r="P2260" i="20"/>
  <c r="N2262" i="20"/>
  <c r="AB2262" i="20"/>
  <c r="P2262" i="20"/>
  <c r="AB2299" i="20"/>
  <c r="P2306" i="20"/>
  <c r="N2311" i="20"/>
  <c r="O2311" i="20" s="1"/>
  <c r="L2320" i="20"/>
  <c r="AC2334" i="20"/>
  <c r="Q2334" i="20"/>
  <c r="M2358" i="20"/>
  <c r="L2358" i="20"/>
  <c r="L2370" i="20"/>
  <c r="T2390" i="20"/>
  <c r="Z2424" i="20"/>
  <c r="Y2424" i="20"/>
  <c r="N2457" i="20"/>
  <c r="O2457" i="20" s="1"/>
  <c r="AB2457" i="20"/>
  <c r="P2457" i="20"/>
  <c r="M2460" i="20"/>
  <c r="T2469" i="20"/>
  <c r="T2496" i="20"/>
  <c r="M2499" i="20"/>
  <c r="P2525" i="20"/>
  <c r="Q2649" i="20"/>
  <c r="AC2649" i="20"/>
  <c r="J2690" i="20"/>
  <c r="P2690" i="20" s="1"/>
  <c r="T2778" i="20"/>
  <c r="U2778" i="20" s="1"/>
  <c r="Z2804" i="20"/>
  <c r="Q2252" i="20"/>
  <c r="Z2268" i="20"/>
  <c r="Z2283" i="20"/>
  <c r="M2311" i="20"/>
  <c r="L2334" i="20"/>
  <c r="Z2350" i="20"/>
  <c r="J2350" i="20" s="1"/>
  <c r="P2350" i="20" s="1"/>
  <c r="AB2394" i="20"/>
  <c r="N2421" i="20"/>
  <c r="O2421" i="20" s="1"/>
  <c r="P2427" i="20"/>
  <c r="P2439" i="20"/>
  <c r="AB2439" i="20"/>
  <c r="N2439" i="20"/>
  <c r="P2460" i="20"/>
  <c r="Q2466" i="20"/>
  <c r="AB2491" i="20"/>
  <c r="N2491" i="20"/>
  <c r="Y2521" i="20"/>
  <c r="Z2521" i="20"/>
  <c r="J2521" i="20" s="1"/>
  <c r="I106" i="2" s="1"/>
  <c r="T2649" i="20"/>
  <c r="U2649" i="20" s="1"/>
  <c r="J2672" i="20"/>
  <c r="P2672" i="20" s="1"/>
  <c r="AC2707" i="20"/>
  <c r="Q2707" i="20"/>
  <c r="Z2142" i="20"/>
  <c r="Z2162" i="20"/>
  <c r="T2254" i="20"/>
  <c r="Z2336" i="20"/>
  <c r="J2336" i="20" s="1"/>
  <c r="Y2336" i="20"/>
  <c r="N2353" i="20"/>
  <c r="O2353" i="20" s="1"/>
  <c r="AB2353" i="20"/>
  <c r="AC2403" i="20"/>
  <c r="Q2403" i="20"/>
  <c r="Q2411" i="20"/>
  <c r="Q2427" i="20"/>
  <c r="P2434" i="20"/>
  <c r="N2434" i="20"/>
  <c r="AB2434" i="20"/>
  <c r="AB2452" i="20"/>
  <c r="P2452" i="20"/>
  <c r="Q2454" i="20"/>
  <c r="P2477" i="20"/>
  <c r="T2499" i="20"/>
  <c r="Z2525" i="20"/>
  <c r="Y2525" i="20"/>
  <c r="N2557" i="20"/>
  <c r="O2557" i="20" s="1"/>
  <c r="AB2557" i="20"/>
  <c r="AC2601" i="20"/>
  <c r="Q2601" i="20"/>
  <c r="N2601" i="20"/>
  <c r="O2601" i="20" s="1"/>
  <c r="T2613" i="20"/>
  <c r="U2613" i="20" s="1"/>
  <c r="J2613" i="20" s="1"/>
  <c r="Z2649" i="20"/>
  <c r="J2649" i="20" s="1"/>
  <c r="P2649" i="20" s="1"/>
  <c r="Y2649" i="20"/>
  <c r="N2707" i="20"/>
  <c r="O2707" i="20" s="1"/>
  <c r="AB2707" i="20"/>
  <c r="T2655" i="20"/>
  <c r="U2655" i="20" s="1"/>
  <c r="Z2683" i="20"/>
  <c r="Y2683" i="20"/>
  <c r="AC2703" i="20"/>
  <c r="Q2703" i="20"/>
  <c r="T2800" i="20"/>
  <c r="U2800" i="20" s="1"/>
  <c r="Q2842" i="20"/>
  <c r="AC2842" i="20"/>
  <c r="AB2675" i="20"/>
  <c r="N2675" i="20"/>
  <c r="O2675" i="20" s="1"/>
  <c r="N2703" i="20"/>
  <c r="O2703" i="20" s="1"/>
  <c r="N2754" i="20"/>
  <c r="O2754" i="20" s="1"/>
  <c r="AB2754" i="20"/>
  <c r="AB2465" i="20"/>
  <c r="Q2593" i="20"/>
  <c r="AC2593" i="20"/>
  <c r="T2611" i="20"/>
  <c r="U2611" i="20" s="1"/>
  <c r="M2640" i="20"/>
  <c r="L2640" i="20"/>
  <c r="T2364" i="20"/>
  <c r="M2437" i="20"/>
  <c r="L2437" i="20"/>
  <c r="N2465" i="20"/>
  <c r="O2465" i="20" s="1"/>
  <c r="Q2500" i="20"/>
  <c r="AC2500" i="20"/>
  <c r="Q2512" i="20"/>
  <c r="K110" i="2" s="1"/>
  <c r="AC2512" i="20"/>
  <c r="AC2551" i="20"/>
  <c r="Q2551" i="20"/>
  <c r="M2564" i="20"/>
  <c r="L2564" i="20"/>
  <c r="Z2580" i="20"/>
  <c r="Y2580" i="20"/>
  <c r="AB2597" i="20"/>
  <c r="N2597" i="20"/>
  <c r="O2597" i="20" s="1"/>
  <c r="M2668" i="20"/>
  <c r="L2668" i="20"/>
  <c r="N2672" i="20"/>
  <c r="O2672" i="20" s="1"/>
  <c r="AB2672" i="20"/>
  <c r="Z2735" i="20"/>
  <c r="J2735" i="20" s="1"/>
  <c r="Y2735" i="20"/>
  <c r="AB2823" i="20"/>
  <c r="N2823" i="20"/>
  <c r="O2823" i="20" s="1"/>
  <c r="P2823" i="20"/>
  <c r="P2421" i="20"/>
  <c r="AB2421" i="20"/>
  <c r="L2512" i="20"/>
  <c r="N2551" i="20"/>
  <c r="O2551" i="20" s="1"/>
  <c r="Z2560" i="20"/>
  <c r="Q2584" i="20"/>
  <c r="N2584" i="20"/>
  <c r="O2584" i="20" s="1"/>
  <c r="N2604" i="20"/>
  <c r="O2604" i="20" s="1"/>
  <c r="AB2604" i="20"/>
  <c r="AB2652" i="20"/>
  <c r="N2652" i="20"/>
  <c r="O2652" i="20" s="1"/>
  <c r="Z2750" i="20"/>
  <c r="J2750" i="20" s="1"/>
  <c r="P2750" i="20" s="1"/>
  <c r="Y2750" i="20"/>
  <c r="T2441" i="20"/>
  <c r="L2493" i="20"/>
  <c r="M2493" i="20"/>
  <c r="AC2515" i="20"/>
  <c r="N2515" i="20"/>
  <c r="Q2515" i="20"/>
  <c r="P2527" i="20"/>
  <c r="P2542" i="20"/>
  <c r="N2542" i="20"/>
  <c r="O2542" i="20" s="1"/>
  <c r="T2584" i="20"/>
  <c r="U2584" i="20" s="1"/>
  <c r="T2597" i="20"/>
  <c r="U2597" i="20" s="1"/>
  <c r="T2604" i="20"/>
  <c r="U2604" i="20" s="1"/>
  <c r="T2676" i="20"/>
  <c r="U2676" i="20" s="1"/>
  <c r="Q2740" i="20"/>
  <c r="AC2740" i="20"/>
  <c r="Q2744" i="20"/>
  <c r="AC2744" i="20"/>
  <c r="L2843" i="20"/>
  <c r="M2843" i="20"/>
  <c r="T2488" i="20"/>
  <c r="M2561" i="20"/>
  <c r="L2561" i="20"/>
  <c r="Z2564" i="20"/>
  <c r="Y2564" i="20"/>
  <c r="Z2597" i="20"/>
  <c r="J2597" i="20" s="1"/>
  <c r="P2597" i="20" s="1"/>
  <c r="Y2597" i="20"/>
  <c r="AC2681" i="20"/>
  <c r="Q2681" i="20"/>
  <c r="AC2486" i="20"/>
  <c r="Q2486" i="20"/>
  <c r="T2515" i="20"/>
  <c r="AB2545" i="20"/>
  <c r="Z2612" i="20"/>
  <c r="J2612" i="20" s="1"/>
  <c r="P2612" i="20" s="1"/>
  <c r="Y2612" i="20"/>
  <c r="M2641" i="20"/>
  <c r="L2641" i="20"/>
  <c r="AB2661" i="20"/>
  <c r="N2661" i="20"/>
  <c r="O2661" i="20" s="1"/>
  <c r="P2661" i="20"/>
  <c r="Q2665" i="20"/>
  <c r="L2681" i="20"/>
  <c r="Z2685" i="20"/>
  <c r="J2685" i="20" s="1"/>
  <c r="Y2685" i="20"/>
  <c r="Z2740" i="20"/>
  <c r="Y2740" i="20"/>
  <c r="AC2763" i="20"/>
  <c r="Q2763" i="20"/>
  <c r="T2356" i="20"/>
  <c r="AC2458" i="20"/>
  <c r="Q2458" i="20"/>
  <c r="P2504" i="20"/>
  <c r="N2504" i="20"/>
  <c r="O2504" i="20" s="1"/>
  <c r="AB2504" i="20"/>
  <c r="Z2512" i="20"/>
  <c r="J2512" i="20" s="1"/>
  <c r="I110" i="2" s="1"/>
  <c r="Y2512" i="20"/>
  <c r="AC2539" i="20"/>
  <c r="Q2539" i="20"/>
  <c r="AB2542" i="20"/>
  <c r="AB2558" i="20"/>
  <c r="T2601" i="20"/>
  <c r="U2601" i="20" s="1"/>
  <c r="J2629" i="20"/>
  <c r="AC2637" i="20"/>
  <c r="Q2637" i="20"/>
  <c r="Z2652" i="20"/>
  <c r="J2652" i="20" s="1"/>
  <c r="P2652" i="20" s="1"/>
  <c r="Y2652" i="20"/>
  <c r="T2665" i="20"/>
  <c r="U2665" i="20" s="1"/>
  <c r="N2694" i="20"/>
  <c r="O2694" i="20" s="1"/>
  <c r="AB2694" i="20"/>
  <c r="AB2763" i="20"/>
  <c r="N2763" i="20"/>
  <c r="O2763" i="20" s="1"/>
  <c r="Z2784" i="20"/>
  <c r="Y2784" i="20"/>
  <c r="P2524" i="20"/>
  <c r="N2524" i="20"/>
  <c r="O2524" i="20" s="1"/>
  <c r="Z2527" i="20"/>
  <c r="Y2527" i="20"/>
  <c r="AB2530" i="20"/>
  <c r="P2530" i="20"/>
  <c r="AB2539" i="20"/>
  <c r="N2539" i="20"/>
  <c r="O2539" i="20" s="1"/>
  <c r="Q2571" i="20"/>
  <c r="AC2571" i="20"/>
  <c r="AC2575" i="20"/>
  <c r="Q2575" i="20"/>
  <c r="Z2581" i="20"/>
  <c r="Y2581" i="20"/>
  <c r="M2598" i="20"/>
  <c r="L2598" i="20"/>
  <c r="Z2608" i="20"/>
  <c r="Y2608" i="20"/>
  <c r="AB2657" i="20"/>
  <c r="N2657" i="20"/>
  <c r="O2657" i="20" s="1"/>
  <c r="N2690" i="20"/>
  <c r="O2690" i="20" s="1"/>
  <c r="AB2690" i="20"/>
  <c r="Q2694" i="20"/>
  <c r="AC2694" i="20"/>
  <c r="J2728" i="20"/>
  <c r="Q2741" i="20"/>
  <c r="AC2741" i="20"/>
  <c r="T2763" i="20"/>
  <c r="U2763" i="20" s="1"/>
  <c r="Z2772" i="20"/>
  <c r="J2772" i="20" s="1"/>
  <c r="Y2772" i="20"/>
  <c r="AC2789" i="20"/>
  <c r="Q2789" i="20"/>
  <c r="Y2837" i="20"/>
  <c r="Z2837" i="20"/>
  <c r="Z2407" i="20"/>
  <c r="Y2407" i="20"/>
  <c r="M2480" i="20"/>
  <c r="L2480" i="20"/>
  <c r="T2483" i="20"/>
  <c r="L2521" i="20"/>
  <c r="L2536" i="20"/>
  <c r="M2536" i="20"/>
  <c r="P2539" i="20"/>
  <c r="N2552" i="20"/>
  <c r="O2552" i="20" s="1"/>
  <c r="L2555" i="20"/>
  <c r="N2571" i="20"/>
  <c r="O2571" i="20" s="1"/>
  <c r="L2575" i="20"/>
  <c r="AC2584" i="20"/>
  <c r="Y2587" i="20"/>
  <c r="Y2590" i="20"/>
  <c r="AB2620" i="20"/>
  <c r="N2620" i="20"/>
  <c r="O2620" i="20" s="1"/>
  <c r="Y2626" i="20"/>
  <c r="Z2665" i="20"/>
  <c r="J2665" i="20" s="1"/>
  <c r="P2665" i="20" s="1"/>
  <c r="Y2665" i="20"/>
  <c r="T2690" i="20"/>
  <c r="U2690" i="20" s="1"/>
  <c r="L2741" i="20"/>
  <c r="AC2793" i="20"/>
  <c r="Q2793" i="20"/>
  <c r="AC2295" i="20"/>
  <c r="N2295" i="20"/>
  <c r="T2389" i="20"/>
  <c r="Q2410" i="20"/>
  <c r="AB2417" i="20"/>
  <c r="AC2426" i="20"/>
  <c r="L2466" i="20"/>
  <c r="Z2524" i="20"/>
  <c r="Y2524" i="20"/>
  <c r="N2530" i="20"/>
  <c r="O2530" i="20" s="1"/>
  <c r="AB2546" i="20"/>
  <c r="P2546" i="20"/>
  <c r="N2546" i="20"/>
  <c r="O2546" i="20" s="1"/>
  <c r="Z2578" i="20"/>
  <c r="J2578" i="20" s="1"/>
  <c r="P2578" i="20" s="1"/>
  <c r="Y2578" i="20"/>
  <c r="AC2581" i="20"/>
  <c r="Z2601" i="20"/>
  <c r="AC2620" i="20"/>
  <c r="Q2620" i="20"/>
  <c r="N2630" i="20"/>
  <c r="O2630" i="20" s="1"/>
  <c r="AB2630" i="20"/>
  <c r="T2653" i="20"/>
  <c r="U2653" i="20" s="1"/>
  <c r="Q2657" i="20"/>
  <c r="Y2681" i="20"/>
  <c r="AB2820" i="20"/>
  <c r="N2820" i="20"/>
  <c r="O2820" i="20" s="1"/>
  <c r="M2193" i="20"/>
  <c r="N2272" i="20"/>
  <c r="AB2341" i="20"/>
  <c r="P2341" i="20"/>
  <c r="M2343" i="20"/>
  <c r="L2343" i="20"/>
  <c r="T2367" i="20"/>
  <c r="L2396" i="20"/>
  <c r="L2398" i="20"/>
  <c r="N2429" i="20"/>
  <c r="AB2429" i="20"/>
  <c r="N2431" i="20"/>
  <c r="AC2448" i="20"/>
  <c r="T2453" i="20"/>
  <c r="L2613" i="20"/>
  <c r="T2616" i="20"/>
  <c r="U2616" i="20" s="1"/>
  <c r="P2630" i="20"/>
  <c r="Z2637" i="20"/>
  <c r="J2637" i="20" s="1"/>
  <c r="Y2637" i="20"/>
  <c r="L2642" i="20"/>
  <c r="M2645" i="20"/>
  <c r="L2645" i="20"/>
  <c r="AC2669" i="20"/>
  <c r="AB2705" i="20"/>
  <c r="N2705" i="20"/>
  <c r="O2705" i="20" s="1"/>
  <c r="L2709" i="20"/>
  <c r="M2709" i="20"/>
  <c r="T2713" i="20"/>
  <c r="U2713" i="20" s="1"/>
  <c r="Z2256" i="20"/>
  <c r="AB2278" i="20"/>
  <c r="P2278" i="20"/>
  <c r="Z2287" i="20"/>
  <c r="Y2287" i="20"/>
  <c r="AC2408" i="20"/>
  <c r="Q2408" i="20"/>
  <c r="AB2422" i="20"/>
  <c r="Q2442" i="20"/>
  <c r="AC2442" i="20"/>
  <c r="Z2483" i="20"/>
  <c r="J2483" i="20" s="1"/>
  <c r="P2483" i="20" s="1"/>
  <c r="Q2501" i="20"/>
  <c r="P2513" i="20"/>
  <c r="N2513" i="20"/>
  <c r="O2513" i="20" s="1"/>
  <c r="AB2524" i="20"/>
  <c r="Z2539" i="20"/>
  <c r="Y2539" i="20"/>
  <c r="Q2552" i="20"/>
  <c r="M2582" i="20"/>
  <c r="L2582" i="20"/>
  <c r="AB2585" i="20"/>
  <c r="N2585" i="20"/>
  <c r="O2585" i="20" s="1"/>
  <c r="Z2594" i="20"/>
  <c r="Y2594" i="20"/>
  <c r="Q2609" i="20"/>
  <c r="AC2665" i="20"/>
  <c r="Z2677" i="20"/>
  <c r="Y2677" i="20"/>
  <c r="M2768" i="20"/>
  <c r="L2768" i="20"/>
  <c r="T2806" i="20"/>
  <c r="U2806" i="20" s="1"/>
  <c r="Z2576" i="20"/>
  <c r="J2576" i="20" s="1"/>
  <c r="Y2576" i="20"/>
  <c r="N2594" i="20"/>
  <c r="O2594" i="20" s="1"/>
  <c r="AB2594" i="20"/>
  <c r="T2623" i="20"/>
  <c r="U2623" i="20" s="1"/>
  <c r="T2657" i="20"/>
  <c r="U2657" i="20" s="1"/>
  <c r="AB2671" i="20"/>
  <c r="P2671" i="20"/>
  <c r="T2682" i="20"/>
  <c r="U2682" i="20" s="1"/>
  <c r="N2686" i="20"/>
  <c r="O2686" i="20" s="1"/>
  <c r="AB2686" i="20"/>
  <c r="P2711" i="20"/>
  <c r="N2711" i="20"/>
  <c r="O2711" i="20" s="1"/>
  <c r="AB2711" i="20"/>
  <c r="AC2765" i="20"/>
  <c r="Q2765" i="20"/>
  <c r="N2793" i="20"/>
  <c r="O2793" i="20" s="1"/>
  <c r="AB2793" i="20"/>
  <c r="Q2726" i="20"/>
  <c r="AC2726" i="20"/>
  <c r="AB2744" i="20"/>
  <c r="N2744" i="20"/>
  <c r="O2744" i="20" s="1"/>
  <c r="AC2831" i="20"/>
  <c r="Q2831" i="20"/>
  <c r="L5" i="21"/>
  <c r="L4" i="21"/>
  <c r="L6" i="21"/>
  <c r="Q2444" i="20"/>
  <c r="N2444" i="20"/>
  <c r="O2444" i="20" s="1"/>
  <c r="M2492" i="20"/>
  <c r="L2492" i="20"/>
  <c r="Z2547" i="20"/>
  <c r="Y2547" i="20"/>
  <c r="T2598" i="20"/>
  <c r="U2598" i="20" s="1"/>
  <c r="AB2650" i="20"/>
  <c r="N2650" i="20"/>
  <c r="O2650" i="20" s="1"/>
  <c r="AB2658" i="20"/>
  <c r="N2658" i="20"/>
  <c r="O2658" i="20" s="1"/>
  <c r="Z2814" i="20"/>
  <c r="J2814" i="20" s="1"/>
  <c r="P2814" i="20" s="1"/>
  <c r="Y2814" i="20"/>
  <c r="T2819" i="20"/>
  <c r="U2819" i="20" s="1"/>
  <c r="J2588" i="20"/>
  <c r="M2607" i="20"/>
  <c r="L2607" i="20"/>
  <c r="Z2617" i="20"/>
  <c r="J2617" i="20" s="1"/>
  <c r="Y2617" i="20"/>
  <c r="T2621" i="20"/>
  <c r="U2621" i="20" s="1"/>
  <c r="AC2630" i="20"/>
  <c r="Q2630" i="20"/>
  <c r="AC2661" i="20"/>
  <c r="L2679" i="20"/>
  <c r="M2679" i="20"/>
  <c r="N2778" i="20"/>
  <c r="O2778" i="20" s="1"/>
  <c r="AB2778" i="20"/>
  <c r="Z2781" i="20"/>
  <c r="J2781" i="20" s="1"/>
  <c r="Y2781" i="20"/>
  <c r="T2831" i="20"/>
  <c r="Z2654" i="20"/>
  <c r="J2654" i="20" s="1"/>
  <c r="P2654" i="20" s="1"/>
  <c r="Y2654" i="20"/>
  <c r="Z2658" i="20"/>
  <c r="Y2658" i="20"/>
  <c r="T2733" i="20"/>
  <c r="U2733" i="20" s="1"/>
  <c r="Z2774" i="20"/>
  <c r="J2774" i="20" s="1"/>
  <c r="P2774" i="20" s="1"/>
  <c r="Y2774" i="20"/>
  <c r="Z2794" i="20"/>
  <c r="J2794" i="20" s="1"/>
  <c r="Z2824" i="20"/>
  <c r="Y2824" i="20"/>
  <c r="T2306" i="20"/>
  <c r="T2366" i="20"/>
  <c r="T2436" i="20"/>
  <c r="M2467" i="20"/>
  <c r="L2467" i="20"/>
  <c r="AC2550" i="20"/>
  <c r="T2577" i="20"/>
  <c r="U2577" i="20" s="1"/>
  <c r="M2592" i="20"/>
  <c r="L2592" i="20"/>
  <c r="Q2647" i="20"/>
  <c r="AC2647" i="20"/>
  <c r="AB2655" i="20"/>
  <c r="N2655" i="20"/>
  <c r="O2655" i="20" s="1"/>
  <c r="Y2662" i="20"/>
  <c r="Z2662" i="20"/>
  <c r="Q2687" i="20"/>
  <c r="AC2687" i="20"/>
  <c r="T2701" i="20"/>
  <c r="U2701" i="20" s="1"/>
  <c r="J2701" i="20" s="1"/>
  <c r="P2701" i="20" s="1"/>
  <c r="T2786" i="20"/>
  <c r="U2786" i="20" s="1"/>
  <c r="AC2803" i="20"/>
  <c r="Q2803" i="20"/>
  <c r="T2843" i="20"/>
  <c r="N2426" i="20"/>
  <c r="O2426" i="20" s="1"/>
  <c r="AB2430" i="20"/>
  <c r="P2430" i="20"/>
  <c r="N2430" i="20"/>
  <c r="T2434" i="20"/>
  <c r="Q2505" i="20"/>
  <c r="AC2505" i="20"/>
  <c r="Z2604" i="20"/>
  <c r="J2604" i="20" s="1"/>
  <c r="P2604" i="20" s="1"/>
  <c r="Y2604" i="20"/>
  <c r="AC2608" i="20"/>
  <c r="Q2608" i="20"/>
  <c r="AB2622" i="20"/>
  <c r="Z2640" i="20"/>
  <c r="J2640" i="20" s="1"/>
  <c r="Y2640" i="20"/>
  <c r="AB2687" i="20"/>
  <c r="N2687" i="20"/>
  <c r="O2687" i="20" s="1"/>
  <c r="AC2698" i="20"/>
  <c r="Q2698" i="20"/>
  <c r="M2719" i="20"/>
  <c r="Z2762" i="20"/>
  <c r="Y2762" i="20"/>
  <c r="AC2771" i="20"/>
  <c r="Q2771" i="20"/>
  <c r="L2775" i="20"/>
  <c r="M2775" i="20"/>
  <c r="T2795" i="20"/>
  <c r="U2795" i="20" s="1"/>
  <c r="T2803" i="20"/>
  <c r="U2803" i="20" s="1"/>
  <c r="AB2486" i="20"/>
  <c r="P2486" i="20"/>
  <c r="N2486" i="20"/>
  <c r="O2486" i="20" s="1"/>
  <c r="P2523" i="20"/>
  <c r="N2523" i="20"/>
  <c r="O2523" i="20" s="1"/>
  <c r="Z2542" i="20"/>
  <c r="Y2542" i="20"/>
  <c r="AB2551" i="20"/>
  <c r="P2551" i="20"/>
  <c r="J2577" i="20"/>
  <c r="P2577" i="20" s="1"/>
  <c r="J2583" i="20"/>
  <c r="P2583" i="20" s="1"/>
  <c r="AB2608" i="20"/>
  <c r="Z2611" i="20"/>
  <c r="J2611" i="20" s="1"/>
  <c r="Y2611" i="20"/>
  <c r="Z2633" i="20"/>
  <c r="J2633" i="20" s="1"/>
  <c r="P2633" i="20" s="1"/>
  <c r="Y2633" i="20"/>
  <c r="Z2712" i="20"/>
  <c r="Y2712" i="20"/>
  <c r="N2716" i="20"/>
  <c r="O2716" i="20" s="1"/>
  <c r="P2771" i="20"/>
  <c r="N2771" i="20"/>
  <c r="O2771" i="20" s="1"/>
  <c r="AB2771" i="20"/>
  <c r="Z2786" i="20"/>
  <c r="Y2786" i="20"/>
  <c r="Z2799" i="20"/>
  <c r="J2799" i="20" s="1"/>
  <c r="Y2799" i="20"/>
  <c r="AC2825" i="20"/>
  <c r="Q2825" i="20"/>
  <c r="Z2803" i="20"/>
  <c r="Y2803" i="20"/>
  <c r="Y2807" i="20"/>
  <c r="Z2807" i="20"/>
  <c r="Y2811" i="20"/>
  <c r="Z2811" i="20"/>
  <c r="J2811" i="20" s="1"/>
  <c r="P2811" i="20" s="1"/>
  <c r="L2244" i="20"/>
  <c r="M2244" i="20"/>
  <c r="P2331" i="20"/>
  <c r="AC2444" i="20"/>
  <c r="AC2542" i="20"/>
  <c r="J2586" i="20"/>
  <c r="P2586" i="20" s="1"/>
  <c r="Q2599" i="20"/>
  <c r="M2605" i="20"/>
  <c r="L2605" i="20"/>
  <c r="J2615" i="20"/>
  <c r="Q2622" i="20"/>
  <c r="L2666" i="20"/>
  <c r="M2666" i="20"/>
  <c r="T2669" i="20"/>
  <c r="U2669" i="20" s="1"/>
  <c r="T2719" i="20"/>
  <c r="U2719" i="20" s="1"/>
  <c r="J2727" i="20"/>
  <c r="P2727" i="20" s="1"/>
  <c r="Z2745" i="20"/>
  <c r="Y2745" i="20"/>
  <c r="T2759" i="20"/>
  <c r="U2759" i="20" s="1"/>
  <c r="T2791" i="20"/>
  <c r="U2791" i="20" s="1"/>
  <c r="N2796" i="20"/>
  <c r="O2796" i="20" s="1"/>
  <c r="AB2796" i="20"/>
  <c r="Z2641" i="20"/>
  <c r="Y2641" i="20"/>
  <c r="Z2655" i="20"/>
  <c r="Y2655" i="20"/>
  <c r="Q2684" i="20"/>
  <c r="AC2684" i="20"/>
  <c r="AB2688" i="20"/>
  <c r="P2688" i="20"/>
  <c r="N2688" i="20"/>
  <c r="O2688" i="20" s="1"/>
  <c r="Y2719" i="20"/>
  <c r="Z2719" i="20"/>
  <c r="J2719" i="20" s="1"/>
  <c r="P2719" i="20" s="1"/>
  <c r="T2779" i="20"/>
  <c r="U2779" i="20" s="1"/>
  <c r="Z2791" i="20"/>
  <c r="J2791" i="20" s="1"/>
  <c r="Y2791" i="20"/>
  <c r="Q2796" i="20"/>
  <c r="AC2796" i="20"/>
  <c r="AB2821" i="20"/>
  <c r="P2821" i="20"/>
  <c r="N2821" i="20"/>
  <c r="O2821" i="20" s="1"/>
  <c r="Z2548" i="20"/>
  <c r="Y2548" i="20"/>
  <c r="M2563" i="20"/>
  <c r="L2563" i="20"/>
  <c r="AB2581" i="20"/>
  <c r="L2684" i="20"/>
  <c r="Z2723" i="20"/>
  <c r="J2723" i="20" s="1"/>
  <c r="P2723" i="20" s="1"/>
  <c r="Y2723" i="20"/>
  <c r="Q2731" i="20"/>
  <c r="AC2731" i="20"/>
  <c r="T2756" i="20"/>
  <c r="U2756" i="20" s="1"/>
  <c r="T2816" i="20"/>
  <c r="U2816" i="20" s="1"/>
  <c r="Z2808" i="20"/>
  <c r="J2808" i="20" s="1"/>
  <c r="P2808" i="20" s="1"/>
  <c r="Y2808" i="20"/>
  <c r="Y2534" i="20"/>
  <c r="Z2534" i="20"/>
  <c r="J2625" i="20"/>
  <c r="P2625" i="20" s="1"/>
  <c r="Y2660" i="20"/>
  <c r="Z2660" i="20"/>
  <c r="J2660" i="20" s="1"/>
  <c r="P2660" i="20" s="1"/>
  <c r="Z2724" i="20"/>
  <c r="J2724" i="20" s="1"/>
  <c r="Y2724" i="20"/>
  <c r="N2755" i="20"/>
  <c r="O2755" i="20" s="1"/>
  <c r="Y2775" i="20"/>
  <c r="Z2775" i="20"/>
  <c r="J2775" i="20" s="1"/>
  <c r="M2407" i="20"/>
  <c r="L2407" i="20"/>
  <c r="L2543" i="20"/>
  <c r="Z2545" i="20"/>
  <c r="P2617" i="20"/>
  <c r="N2617" i="20"/>
  <c r="O2617" i="20" s="1"/>
  <c r="AB2617" i="20"/>
  <c r="J2676" i="20"/>
  <c r="P2676" i="20" s="1"/>
  <c r="N2691" i="20"/>
  <c r="O2691" i="20" s="1"/>
  <c r="AB2691" i="20"/>
  <c r="AB2701" i="20"/>
  <c r="Z2714" i="20"/>
  <c r="J2714" i="20" s="1"/>
  <c r="P2714" i="20" s="1"/>
  <c r="Y2714" i="20"/>
  <c r="Z2720" i="20"/>
  <c r="Y2720" i="20"/>
  <c r="Z2731" i="20"/>
  <c r="Y2731" i="20"/>
  <c r="Y2779" i="20"/>
  <c r="Z2779" i="20"/>
  <c r="J2779" i="20" s="1"/>
  <c r="P2779" i="20" s="1"/>
  <c r="Q2691" i="20"/>
  <c r="AC2691" i="20"/>
  <c r="M2725" i="20"/>
  <c r="L2725" i="20"/>
  <c r="T2745" i="20"/>
  <c r="U2745" i="20" s="1"/>
  <c r="Z2761" i="20"/>
  <c r="J2761" i="20" s="1"/>
  <c r="Y2761" i="20"/>
  <c r="L2783" i="20"/>
  <c r="M2783" i="20"/>
  <c r="Z2825" i="20"/>
  <c r="Y2825" i="20"/>
  <c r="J2711" i="20"/>
  <c r="AC2721" i="20"/>
  <c r="Q2721" i="20"/>
  <c r="J2741" i="20"/>
  <c r="Y2794" i="20"/>
  <c r="Q2838" i="20"/>
  <c r="AC2838" i="20"/>
  <c r="AB2841" i="20"/>
  <c r="N2841" i="20"/>
  <c r="P2841" i="20"/>
  <c r="Z2751" i="20"/>
  <c r="J2751" i="20" s="1"/>
  <c r="P2751" i="20" s="1"/>
  <c r="Y2751" i="20"/>
  <c r="M2762" i="20"/>
  <c r="L2762" i="20"/>
  <c r="AC2841" i="20"/>
  <c r="Q2841" i="20"/>
  <c r="Q2546" i="20"/>
  <c r="AC2546" i="20"/>
  <c r="AB2629" i="20"/>
  <c r="P2629" i="20"/>
  <c r="Q2651" i="20"/>
  <c r="AC2651" i="20"/>
  <c r="J2667" i="20"/>
  <c r="P2667" i="20" s="1"/>
  <c r="T2677" i="20"/>
  <c r="U2677" i="20" s="1"/>
  <c r="T2684" i="20"/>
  <c r="U2684" i="20" s="1"/>
  <c r="J2684" i="20" s="1"/>
  <c r="Z2695" i="20"/>
  <c r="Y2695" i="20"/>
  <c r="AB2715" i="20"/>
  <c r="Y2758" i="20"/>
  <c r="Z2758" i="20"/>
  <c r="J2758" i="20" s="1"/>
  <c r="P2758" i="20" s="1"/>
  <c r="Z2776" i="20"/>
  <c r="J2776" i="20" s="1"/>
  <c r="P2776" i="20" s="1"/>
  <c r="Y2776" i="20"/>
  <c r="Z2783" i="20"/>
  <c r="J2783" i="20" s="1"/>
  <c r="Y2783" i="20"/>
  <c r="Q2567" i="20"/>
  <c r="Y2583" i="20"/>
  <c r="T2586" i="20"/>
  <c r="U2586" i="20" s="1"/>
  <c r="L2609" i="20"/>
  <c r="AC2629" i="20"/>
  <c r="Q2629" i="20"/>
  <c r="Q2638" i="20"/>
  <c r="AC2638" i="20"/>
  <c r="T2647" i="20"/>
  <c r="U2647" i="20" s="1"/>
  <c r="J2647" i="20" s="1"/>
  <c r="P2647" i="20" s="1"/>
  <c r="L2651" i="20"/>
  <c r="Y2667" i="20"/>
  <c r="M2715" i="20"/>
  <c r="Y2765" i="20"/>
  <c r="T2787" i="20"/>
  <c r="U2787" i="20" s="1"/>
  <c r="AB2806" i="20"/>
  <c r="Z2844" i="20"/>
  <c r="J2844" i="20" s="1"/>
  <c r="Y2844" i="20"/>
  <c r="T2442" i="20"/>
  <c r="N2518" i="20"/>
  <c r="O2518" i="20" s="1"/>
  <c r="Z2551" i="20"/>
  <c r="Y2551" i="20"/>
  <c r="AC2569" i="20"/>
  <c r="Z2623" i="20"/>
  <c r="J2623" i="20" s="1"/>
  <c r="P2623" i="20" s="1"/>
  <c r="Y2623" i="20"/>
  <c r="N2629" i="20"/>
  <c r="O2629" i="20" s="1"/>
  <c r="N2638" i="20"/>
  <c r="O2638" i="20" s="1"/>
  <c r="T2698" i="20"/>
  <c r="U2698" i="20" s="1"/>
  <c r="P2752" i="20"/>
  <c r="AB2752" i="20"/>
  <c r="AB2755" i="20"/>
  <c r="J2769" i="20"/>
  <c r="M2795" i="20"/>
  <c r="L2795" i="20"/>
  <c r="Q2806" i="20"/>
  <c r="AC2806" i="20"/>
  <c r="AC2818" i="20"/>
  <c r="Q2818" i="20"/>
  <c r="Z2822" i="20"/>
  <c r="N2203" i="20"/>
  <c r="O2203" i="20" s="1"/>
  <c r="N2393" i="20"/>
  <c r="O2393" i="20" s="1"/>
  <c r="P2395" i="20"/>
  <c r="AB2395" i="20"/>
  <c r="N2397" i="20"/>
  <c r="O2397" i="20" s="1"/>
  <c r="Z2405" i="20"/>
  <c r="Y2405" i="20"/>
  <c r="T2503" i="20"/>
  <c r="N2506" i="20"/>
  <c r="O2506" i="20" s="1"/>
  <c r="M2562" i="20"/>
  <c r="Y2572" i="20"/>
  <c r="Z2572" i="20"/>
  <c r="J2572" i="20" s="1"/>
  <c r="P2572" i="20" s="1"/>
  <c r="Z2591" i="20"/>
  <c r="J2591" i="20" s="1"/>
  <c r="P2591" i="20" s="1"/>
  <c r="Y2600" i="20"/>
  <c r="N2606" i="20"/>
  <c r="O2606" i="20" s="1"/>
  <c r="AB2606" i="20"/>
  <c r="M2618" i="20"/>
  <c r="N2632" i="20"/>
  <c r="O2632" i="20" s="1"/>
  <c r="N2674" i="20"/>
  <c r="O2674" i="20" s="1"/>
  <c r="Y2684" i="20"/>
  <c r="Y2698" i="20"/>
  <c r="Z2698" i="20"/>
  <c r="N2712" i="20"/>
  <c r="O2712" i="20" s="1"/>
  <c r="AB2712" i="20"/>
  <c r="Q2752" i="20"/>
  <c r="AC2752" i="20"/>
  <c r="Y2769" i="20"/>
  <c r="AB2777" i="20"/>
  <c r="N2777" i="20"/>
  <c r="O2777" i="20" s="1"/>
  <c r="T2780" i="20"/>
  <c r="U2780" i="20" s="1"/>
  <c r="N2806" i="20"/>
  <c r="O2806" i="20" s="1"/>
  <c r="L2818" i="20"/>
  <c r="N2836" i="20"/>
  <c r="P2836" i="20"/>
  <c r="AB2836" i="20"/>
  <c r="T2282" i="20"/>
  <c r="Z2454" i="20"/>
  <c r="J2454" i="20" s="1"/>
  <c r="P2511" i="20"/>
  <c r="N2511" i="20"/>
  <c r="L2538" i="20"/>
  <c r="M2538" i="20"/>
  <c r="AC2543" i="20"/>
  <c r="M2595" i="20"/>
  <c r="L2595" i="20"/>
  <c r="T2651" i="20"/>
  <c r="U2651" i="20" s="1"/>
  <c r="Q2658" i="20"/>
  <c r="AC2658" i="20"/>
  <c r="AC2671" i="20"/>
  <c r="Q2671" i="20"/>
  <c r="AC2705" i="20"/>
  <c r="Q2705" i="20"/>
  <c r="Q2712" i="20"/>
  <c r="AC2712" i="20"/>
  <c r="AC2722" i="20"/>
  <c r="Q2722" i="20"/>
  <c r="N2726" i="20"/>
  <c r="O2726" i="20" s="1"/>
  <c r="J2732" i="20"/>
  <c r="P2732" i="20" s="1"/>
  <c r="N2752" i="20"/>
  <c r="O2752" i="20" s="1"/>
  <c r="AC2759" i="20"/>
  <c r="Q2759" i="20"/>
  <c r="Z2773" i="20"/>
  <c r="J2773" i="20" s="1"/>
  <c r="P2773" i="20" s="1"/>
  <c r="Y2773" i="20"/>
  <c r="Z2780" i="20"/>
  <c r="AB2784" i="20"/>
  <c r="AB2787" i="20"/>
  <c r="N2787" i="20"/>
  <c r="O2787" i="20" s="1"/>
  <c r="Z2806" i="20"/>
  <c r="J2806" i="20" s="1"/>
  <c r="P2806" i="20" s="1"/>
  <c r="Z2816" i="20"/>
  <c r="Y2816" i="20"/>
  <c r="M2735" i="20"/>
  <c r="L2735" i="20"/>
  <c r="Y2780" i="20"/>
  <c r="N2784" i="20"/>
  <c r="O2784" i="20" s="1"/>
  <c r="AC2787" i="20"/>
  <c r="Q2787" i="20"/>
  <c r="Y2806" i="20"/>
  <c r="Z2823" i="20"/>
  <c r="Y2823" i="20"/>
  <c r="T2637" i="20"/>
  <c r="U2637" i="20" s="1"/>
  <c r="T2648" i="20"/>
  <c r="U2648" i="20" s="1"/>
  <c r="T2671" i="20"/>
  <c r="U2671" i="20" s="1"/>
  <c r="Y2680" i="20"/>
  <c r="Z2680" i="20"/>
  <c r="N2699" i="20"/>
  <c r="O2699" i="20" s="1"/>
  <c r="AB2699" i="20"/>
  <c r="N2759" i="20"/>
  <c r="O2759" i="20" s="1"/>
  <c r="T2762" i="20"/>
  <c r="U2762" i="20" s="1"/>
  <c r="Q2797" i="20"/>
  <c r="N2817" i="20"/>
  <c r="O2817" i="20" s="1"/>
  <c r="Z2820" i="20"/>
  <c r="J2820" i="20" s="1"/>
  <c r="P2820" i="20" s="1"/>
  <c r="Y2820" i="20"/>
  <c r="Q2824" i="20"/>
  <c r="AC2824" i="20"/>
  <c r="P2833" i="20"/>
  <c r="N2833" i="20"/>
  <c r="Q2833" i="20"/>
  <c r="AC2833" i="20"/>
  <c r="P2838" i="20"/>
  <c r="N2838" i="20"/>
  <c r="AB2838" i="20"/>
  <c r="Z2843" i="20"/>
  <c r="Y2843" i="20"/>
  <c r="M2828" i="20"/>
  <c r="L2828" i="20"/>
  <c r="AC2836" i="20"/>
  <c r="Q2836" i="20"/>
  <c r="Z2838" i="20"/>
  <c r="Y2838" i="20"/>
  <c r="T2454" i="20"/>
  <c r="T2517" i="20"/>
  <c r="T2573" i="20"/>
  <c r="U2573" i="20" s="1"/>
  <c r="T2592" i="20"/>
  <c r="U2592" i="20" s="1"/>
  <c r="N2612" i="20"/>
  <c r="O2612" i="20" s="1"/>
  <c r="N2644" i="20"/>
  <c r="O2644" i="20" s="1"/>
  <c r="Y2669" i="20"/>
  <c r="Z2669" i="20"/>
  <c r="J2669" i="20" s="1"/>
  <c r="AC2700" i="20"/>
  <c r="Q2700" i="20"/>
  <c r="AB2739" i="20"/>
  <c r="N2739" i="20"/>
  <c r="O2739" i="20" s="1"/>
  <c r="Q2748" i="20"/>
  <c r="AC2748" i="20"/>
  <c r="T2754" i="20"/>
  <c r="U2754" i="20" s="1"/>
  <c r="Q2760" i="20"/>
  <c r="AC2760" i="20"/>
  <c r="AC2773" i="20"/>
  <c r="Q2773" i="20"/>
  <c r="T2785" i="20"/>
  <c r="U2785" i="20" s="1"/>
  <c r="T2801" i="20"/>
  <c r="U2801" i="20" s="1"/>
  <c r="AB2808" i="20"/>
  <c r="N2808" i="20"/>
  <c r="O2808" i="20" s="1"/>
  <c r="AB2833" i="20"/>
  <c r="AC2839" i="20"/>
  <c r="Q2839" i="20"/>
  <c r="M2590" i="20"/>
  <c r="L2590" i="20"/>
  <c r="Y2630" i="20"/>
  <c r="Z2630" i="20"/>
  <c r="J2630" i="20" s="1"/>
  <c r="AC2664" i="20"/>
  <c r="Q2664" i="20"/>
  <c r="T2691" i="20"/>
  <c r="U2691" i="20" s="1"/>
  <c r="T2773" i="20"/>
  <c r="U2773" i="20" s="1"/>
  <c r="Z2798" i="20"/>
  <c r="Y2798" i="20"/>
  <c r="T2845" i="20"/>
  <c r="Z2517" i="20"/>
  <c r="J2517" i="20" s="1"/>
  <c r="I107" i="2" s="1"/>
  <c r="M2535" i="20"/>
  <c r="L2535" i="20"/>
  <c r="M2560" i="20"/>
  <c r="L2567" i="20"/>
  <c r="L2569" i="20"/>
  <c r="AB2633" i="20"/>
  <c r="N2633" i="20"/>
  <c r="O2633" i="20" s="1"/>
  <c r="N2670" i="20"/>
  <c r="O2670" i="20" s="1"/>
  <c r="Z2694" i="20"/>
  <c r="J2694" i="20" s="1"/>
  <c r="P2694" i="20" s="1"/>
  <c r="Y2694" i="20"/>
  <c r="J2703" i="20"/>
  <c r="P2703" i="20" s="1"/>
  <c r="N2718" i="20"/>
  <c r="O2718" i="20" s="1"/>
  <c r="AB2718" i="20"/>
  <c r="T2782" i="20"/>
  <c r="U2782" i="20" s="1"/>
  <c r="N2802" i="20"/>
  <c r="O2802" i="20" s="1"/>
  <c r="AB2802" i="20"/>
  <c r="AC2808" i="20"/>
  <c r="Z2818" i="20"/>
  <c r="J2818" i="20" s="1"/>
  <c r="Y2818" i="20"/>
  <c r="L2482" i="20"/>
  <c r="L2498" i="20"/>
  <c r="L2509" i="20"/>
  <c r="L2549" i="20"/>
  <c r="N2560" i="20"/>
  <c r="O2560" i="20" s="1"/>
  <c r="T2607" i="20"/>
  <c r="U2607" i="20" s="1"/>
  <c r="AB2615" i="20"/>
  <c r="P2615" i="20"/>
  <c r="T2620" i="20"/>
  <c r="U2620" i="20" s="1"/>
  <c r="J2620" i="20" s="1"/>
  <c r="P2620" i="20" s="1"/>
  <c r="Q2633" i="20"/>
  <c r="AC2633" i="20"/>
  <c r="AB2636" i="20"/>
  <c r="N2636" i="20"/>
  <c r="O2636" i="20" s="1"/>
  <c r="L2653" i="20"/>
  <c r="Y2661" i="20"/>
  <c r="N2676" i="20"/>
  <c r="O2676" i="20" s="1"/>
  <c r="Y2691" i="20"/>
  <c r="Z2691" i="20"/>
  <c r="J2691" i="20" s="1"/>
  <c r="P2691" i="20" s="1"/>
  <c r="Y2736" i="20"/>
  <c r="J2739" i="20"/>
  <c r="P2739" i="20" s="1"/>
  <c r="L2743" i="20"/>
  <c r="Y2748" i="20"/>
  <c r="Y2760" i="20"/>
  <c r="Y2766" i="20"/>
  <c r="L2770" i="20"/>
  <c r="T2789" i="20"/>
  <c r="U2789" i="20" s="1"/>
  <c r="AB2812" i="20"/>
  <c r="N2812" i="20"/>
  <c r="O2812" i="20" s="1"/>
  <c r="N2815" i="20"/>
  <c r="O2815" i="20" s="1"/>
  <c r="AC2829" i="20"/>
  <c r="Q2829" i="20"/>
  <c r="Z2845" i="20"/>
  <c r="J2845" i="20" s="1"/>
  <c r="Y2845" i="20"/>
  <c r="P2488" i="20"/>
  <c r="N2488" i="20"/>
  <c r="P2494" i="20"/>
  <c r="N2494" i="20"/>
  <c r="AC2496" i="20"/>
  <c r="N2496" i="20"/>
  <c r="M2507" i="20"/>
  <c r="L2507" i="20"/>
  <c r="Z2515" i="20"/>
  <c r="Y2515" i="20"/>
  <c r="N2610" i="20"/>
  <c r="O2610" i="20" s="1"/>
  <c r="N2639" i="20"/>
  <c r="O2639" i="20" s="1"/>
  <c r="Q2659" i="20"/>
  <c r="AC2659" i="20"/>
  <c r="AB2703" i="20"/>
  <c r="Z2733" i="20"/>
  <c r="Y2733" i="20"/>
  <c r="Z2782" i="20"/>
  <c r="J2782" i="20" s="1"/>
  <c r="P2782" i="20" s="1"/>
  <c r="Y2782" i="20"/>
  <c r="Z2795" i="20"/>
  <c r="Y2795" i="20"/>
  <c r="N2809" i="20"/>
  <c r="O2809" i="20" s="1"/>
  <c r="AC2812" i="20"/>
  <c r="Q2812" i="20"/>
  <c r="P2832" i="20"/>
  <c r="T2511" i="20"/>
  <c r="Z2513" i="20"/>
  <c r="Z2607" i="20"/>
  <c r="Y2607" i="20"/>
  <c r="N2615" i="20"/>
  <c r="O2615" i="20" s="1"/>
  <c r="M2628" i="20"/>
  <c r="L2628" i="20"/>
  <c r="L2659" i="20"/>
  <c r="AB2673" i="20"/>
  <c r="M2728" i="20"/>
  <c r="L2728" i="20"/>
  <c r="N2764" i="20"/>
  <c r="O2764" i="20" s="1"/>
  <c r="T2812" i="20"/>
  <c r="U2812" i="20" s="1"/>
  <c r="Q2815" i="20"/>
  <c r="M2832" i="20"/>
  <c r="N2453" i="20"/>
  <c r="O2453" i="20" s="1"/>
  <c r="Q2533" i="20"/>
  <c r="AC2533" i="20"/>
  <c r="Z2571" i="20"/>
  <c r="J2571" i="20" s="1"/>
  <c r="Y2571" i="20"/>
  <c r="N2574" i="20"/>
  <c r="O2574" i="20" s="1"/>
  <c r="AB2612" i="20"/>
  <c r="N2647" i="20"/>
  <c r="O2647" i="20" s="1"/>
  <c r="AC2650" i="20"/>
  <c r="Q2650" i="20"/>
  <c r="Q2653" i="20"/>
  <c r="T2667" i="20"/>
  <c r="U2667" i="20" s="1"/>
  <c r="AC2673" i="20"/>
  <c r="Q2673" i="20"/>
  <c r="T2679" i="20"/>
  <c r="U2679" i="20" s="1"/>
  <c r="AC2682" i="20"/>
  <c r="Q2682" i="20"/>
  <c r="P2713" i="20"/>
  <c r="N2713" i="20"/>
  <c r="O2713" i="20" s="1"/>
  <c r="AB2713" i="20"/>
  <c r="Z2721" i="20"/>
  <c r="J2721" i="20" s="1"/>
  <c r="Y2721" i="20"/>
  <c r="AB2740" i="20"/>
  <c r="N2740" i="20"/>
  <c r="O2740" i="20" s="1"/>
  <c r="AB2746" i="20"/>
  <c r="J2757" i="20"/>
  <c r="P2757" i="20" s="1"/>
  <c r="AC2767" i="20"/>
  <c r="Q2767" i="20"/>
  <c r="Z2789" i="20"/>
  <c r="J2789" i="20" s="1"/>
  <c r="P2789" i="20" s="1"/>
  <c r="AC2799" i="20"/>
  <c r="Q2799" i="20"/>
  <c r="T2829" i="20"/>
  <c r="Z2809" i="20"/>
  <c r="J2809" i="20" s="1"/>
  <c r="P2809" i="20" s="1"/>
  <c r="Y2809" i="20"/>
  <c r="Z2579" i="20"/>
  <c r="Y2579" i="20"/>
  <c r="N2627" i="20"/>
  <c r="O2627" i="20" s="1"/>
  <c r="Z2675" i="20"/>
  <c r="Y2675" i="20"/>
  <c r="AC2690" i="20"/>
  <c r="Q2690" i="20"/>
  <c r="Z2768" i="20"/>
  <c r="Y2768" i="20"/>
  <c r="M2772" i="20"/>
  <c r="L2772" i="20"/>
  <c r="T2815" i="20"/>
  <c r="U2815" i="20" s="1"/>
  <c r="Y2831" i="20"/>
  <c r="Z2831" i="20"/>
  <c r="T2640" i="20"/>
  <c r="U2640" i="20" s="1"/>
  <c r="N2708" i="20"/>
  <c r="O2708" i="20" s="1"/>
  <c r="M2656" i="20"/>
  <c r="L2656" i="20"/>
  <c r="Z2668" i="20"/>
  <c r="J2668" i="20" s="1"/>
  <c r="Y2668" i="20"/>
  <c r="AB2683" i="20"/>
  <c r="N2697" i="20"/>
  <c r="O2697" i="20" s="1"/>
  <c r="AB2697" i="20"/>
  <c r="Q2742" i="20"/>
  <c r="AC2742" i="20"/>
  <c r="Y2747" i="20"/>
  <c r="Z2747" i="20"/>
  <c r="J2747" i="20" s="1"/>
  <c r="P2747" i="20" s="1"/>
  <c r="AB2767" i="20"/>
  <c r="N2680" i="20"/>
  <c r="O2680" i="20" s="1"/>
  <c r="T2705" i="20"/>
  <c r="U2705" i="20" s="1"/>
  <c r="N2742" i="20"/>
  <c r="O2742" i="20" s="1"/>
  <c r="T2770" i="20"/>
  <c r="U2770" i="20" s="1"/>
  <c r="J2770" i="20" s="1"/>
  <c r="Z2787" i="20"/>
  <c r="T2808" i="20"/>
  <c r="U2808" i="20" s="1"/>
  <c r="Z2826" i="20"/>
  <c r="Y2826" i="20"/>
  <c r="J2802" i="20"/>
  <c r="P2802" i="20" s="1"/>
  <c r="Z2836" i="20"/>
  <c r="Y2836" i="20"/>
  <c r="P2839" i="20"/>
  <c r="AB2839" i="20"/>
  <c r="T2393" i="20"/>
  <c r="Y2503" i="20"/>
  <c r="Z2503" i="20"/>
  <c r="J2503" i="20" s="1"/>
  <c r="AB2731" i="20"/>
  <c r="AB2748" i="20"/>
  <c r="N2797" i="20"/>
  <c r="O2797" i="20" s="1"/>
  <c r="Z2817" i="20"/>
  <c r="J2817" i="20" s="1"/>
  <c r="P2817" i="20" s="1"/>
  <c r="Y2817" i="20"/>
  <c r="N2839" i="20"/>
  <c r="P2842" i="20"/>
  <c r="N2842" i="20"/>
  <c r="Z2718" i="20"/>
  <c r="J2718" i="20" s="1"/>
  <c r="P2718" i="20" s="1"/>
  <c r="Y2718" i="20"/>
  <c r="Z2734" i="20"/>
  <c r="Y2734" i="20"/>
  <c r="M2769" i="20"/>
  <c r="L2769" i="20"/>
  <c r="AB2845" i="20"/>
  <c r="L2588" i="20"/>
  <c r="L2643" i="20"/>
  <c r="L2677" i="20"/>
  <c r="L2724" i="20"/>
  <c r="Q2729" i="20"/>
  <c r="AC2729" i="20"/>
  <c r="Z2815" i="20"/>
  <c r="Y2815" i="20"/>
  <c r="M2845" i="20"/>
  <c r="N2600" i="20"/>
  <c r="O2600" i="20" s="1"/>
  <c r="J2631" i="20"/>
  <c r="P2631" i="20" s="1"/>
  <c r="T2643" i="20"/>
  <c r="U2643" i="20" s="1"/>
  <c r="AC2660" i="20"/>
  <c r="Q2660" i="20"/>
  <c r="T2700" i="20"/>
  <c r="U2700" i="20" s="1"/>
  <c r="J2700" i="20" s="1"/>
  <c r="P2700" i="20" s="1"/>
  <c r="Z2705" i="20"/>
  <c r="J2705" i="20" s="1"/>
  <c r="P2705" i="20" s="1"/>
  <c r="Y2705" i="20"/>
  <c r="N2729" i="20"/>
  <c r="O2729" i="20" s="1"/>
  <c r="AB2729" i="20"/>
  <c r="N2761" i="20"/>
  <c r="O2761" i="20" s="1"/>
  <c r="AB2761" i="20"/>
  <c r="P2761" i="20"/>
  <c r="T2799" i="20"/>
  <c r="U2799" i="20" s="1"/>
  <c r="Z2821" i="20"/>
  <c r="Y2821" i="20"/>
  <c r="Z2827" i="20"/>
  <c r="Y2827" i="20"/>
  <c r="Z2555" i="20"/>
  <c r="M2648" i="20"/>
  <c r="Z2657" i="20"/>
  <c r="Z2674" i="20"/>
  <c r="L2835" i="20"/>
  <c r="M2835" i="20"/>
  <c r="Z2664" i="20"/>
  <c r="J2664" i="20" s="1"/>
  <c r="P2664" i="20" s="1"/>
  <c r="Y2664" i="20"/>
  <c r="T2746" i="20"/>
  <c r="U2746" i="20" s="1"/>
  <c r="Q2751" i="20"/>
  <c r="N2751" i="20"/>
  <c r="O2751" i="20" s="1"/>
  <c r="T2796" i="20"/>
  <c r="U2796" i="20" s="1"/>
  <c r="P2819" i="20"/>
  <c r="N2819" i="20"/>
  <c r="O2819" i="20" s="1"/>
  <c r="L2637" i="20"/>
  <c r="T2662" i="20"/>
  <c r="U2662" i="20" s="1"/>
  <c r="L2669" i="20"/>
  <c r="L2685" i="20"/>
  <c r="Z2746" i="20"/>
  <c r="Y2746" i="20"/>
  <c r="M2781" i="20"/>
  <c r="L2781" i="20"/>
  <c r="L2786" i="20"/>
  <c r="L2791" i="20"/>
  <c r="L2822" i="20"/>
  <c r="M2526" i="20"/>
  <c r="L2526" i="20"/>
  <c r="N2548" i="20"/>
  <c r="O2548" i="20" s="1"/>
  <c r="Z2553" i="20"/>
  <c r="Y2553" i="20"/>
  <c r="M2576" i="20"/>
  <c r="L2576" i="20"/>
  <c r="AB2589" i="20"/>
  <c r="N2732" i="20"/>
  <c r="O2732" i="20" s="1"/>
  <c r="Z2763" i="20"/>
  <c r="J2763" i="20" s="1"/>
  <c r="P2763" i="20" s="1"/>
  <c r="Y2763" i="20"/>
  <c r="N2804" i="20"/>
  <c r="O2804" i="20" s="1"/>
  <c r="AB2811" i="20"/>
  <c r="N2811" i="20"/>
  <c r="O2811" i="20" s="1"/>
  <c r="M2483" i="20"/>
  <c r="N2654" i="20"/>
  <c r="O2654" i="20" s="1"/>
  <c r="AB2654" i="20"/>
  <c r="Z2689" i="20"/>
  <c r="J2689" i="20" s="1"/>
  <c r="P2689" i="20" s="1"/>
  <c r="L2692" i="20"/>
  <c r="T2715" i="20"/>
  <c r="U2715" i="20" s="1"/>
  <c r="J2715" i="20" s="1"/>
  <c r="P2715" i="20" s="1"/>
  <c r="N2720" i="20"/>
  <c r="O2720" i="20" s="1"/>
  <c r="Q2761" i="20"/>
  <c r="N2766" i="20"/>
  <c r="O2766" i="20" s="1"/>
  <c r="M2811" i="20"/>
  <c r="T2839" i="20"/>
  <c r="M2635" i="20"/>
  <c r="L2635" i="20"/>
  <c r="Q2654" i="20"/>
  <c r="AC2654" i="20"/>
  <c r="Z2793" i="20"/>
  <c r="J2793" i="20" s="1"/>
  <c r="P2793" i="20" s="1"/>
  <c r="Y2793" i="20"/>
  <c r="P2799" i="20"/>
  <c r="AB2799" i="20"/>
  <c r="Z2801" i="20"/>
  <c r="Z2819" i="20"/>
  <c r="J2819" i="20" s="1"/>
  <c r="Y2819" i="20"/>
  <c r="N2750" i="20"/>
  <c r="O2750" i="20" s="1"/>
  <c r="Y2797" i="20"/>
  <c r="Z2797" i="20"/>
  <c r="J2797" i="20" s="1"/>
  <c r="P2797" i="20" s="1"/>
  <c r="AB2803" i="20"/>
  <c r="N2803" i="20"/>
  <c r="O2803" i="20" s="1"/>
  <c r="T2716" i="20"/>
  <c r="U2716" i="20" s="1"/>
  <c r="J2716" i="20" s="1"/>
  <c r="P2716" i="20" s="1"/>
  <c r="Z2744" i="20"/>
  <c r="J2744" i="20" s="1"/>
  <c r="P2744" i="20" s="1"/>
  <c r="Y2744" i="20"/>
  <c r="T2605" i="20"/>
  <c r="U2605" i="20" s="1"/>
  <c r="J2605" i="20" s="1"/>
  <c r="T2626" i="20"/>
  <c r="U2626" i="20" s="1"/>
  <c r="J2626" i="20" s="1"/>
  <c r="L2695" i="20"/>
  <c r="T2712" i="20"/>
  <c r="U2712" i="20" s="1"/>
  <c r="Y2755" i="20"/>
  <c r="Z2764" i="20"/>
  <c r="Y2764" i="20"/>
  <c r="AB2776" i="20"/>
  <c r="Q2785" i="20"/>
  <c r="AC2785" i="20"/>
  <c r="T2814" i="20"/>
  <c r="U2814" i="20" s="1"/>
  <c r="L2824" i="20"/>
  <c r="L2831" i="20"/>
  <c r="L2621" i="20"/>
  <c r="M2693" i="20"/>
  <c r="L2710" i="20"/>
  <c r="N2727" i="20"/>
  <c r="O2727" i="20" s="1"/>
  <c r="T2742" i="20"/>
  <c r="U2742" i="20" s="1"/>
  <c r="AB2758" i="20"/>
  <c r="Q2776" i="20"/>
  <c r="AC2776" i="20"/>
  <c r="AB2801" i="20"/>
  <c r="Z2805" i="20"/>
  <c r="J2805" i="20" s="1"/>
  <c r="P2805" i="20" s="1"/>
  <c r="L2829" i="20"/>
  <c r="E44" i="21"/>
  <c r="H39" i="21"/>
  <c r="G30" i="21"/>
  <c r="H48" i="21"/>
  <c r="G39" i="21"/>
  <c r="G47" i="21"/>
  <c r="E29" i="21"/>
  <c r="H24" i="21"/>
  <c r="E42" i="21"/>
  <c r="H37" i="21"/>
  <c r="G28" i="21"/>
  <c r="E41" i="21"/>
  <c r="H36" i="21"/>
  <c r="G27" i="21"/>
  <c r="H43" i="21"/>
  <c r="G38" i="21"/>
  <c r="G33" i="21"/>
  <c r="H28" i="21"/>
  <c r="G43" i="21"/>
  <c r="G48" i="21"/>
  <c r="E38" i="21"/>
  <c r="E33" i="21"/>
  <c r="E28" i="21"/>
  <c r="H40" i="21"/>
  <c r="E51" i="21"/>
  <c r="G40" i="21"/>
  <c r="H29" i="21"/>
  <c r="H45" i="21"/>
  <c r="G29" i="21"/>
  <c r="E37" i="21"/>
  <c r="I49" i="21"/>
  <c r="E32" i="21"/>
  <c r="E26" i="21"/>
  <c r="H49" i="21"/>
  <c r="G49" i="21"/>
  <c r="I43" i="21"/>
  <c r="G37" i="21"/>
  <c r="H25" i="21"/>
  <c r="B10" i="21"/>
  <c r="B11" i="21" s="1"/>
  <c r="G46" i="21"/>
  <c r="G34" i="21"/>
  <c r="E52" i="21"/>
  <c r="H27" i="21"/>
  <c r="H32" i="21"/>
  <c r="E45" i="21"/>
  <c r="G51" i="21"/>
  <c r="Z2742" i="20"/>
  <c r="Y2742" i="20"/>
  <c r="N2776" i="20"/>
  <c r="O2776" i="20" s="1"/>
  <c r="N2785" i="20"/>
  <c r="O2785" i="20" s="1"/>
  <c r="M2794" i="20"/>
  <c r="L2794" i="20"/>
  <c r="E39" i="21"/>
  <c r="H51" i="21"/>
  <c r="T2807" i="20"/>
  <c r="U2807" i="20" s="1"/>
  <c r="P2834" i="20"/>
  <c r="N2834" i="20"/>
  <c r="T2695" i="20"/>
  <c r="U2695" i="20" s="1"/>
  <c r="N2734" i="20"/>
  <c r="O2734" i="20" s="1"/>
  <c r="AB2779" i="20"/>
  <c r="T2836" i="20"/>
  <c r="T2832" i="20"/>
  <c r="I32" i="21"/>
  <c r="T2840" i="20"/>
  <c r="T2842" i="20"/>
  <c r="N2826" i="20"/>
  <c r="O2826" i="20" s="1"/>
  <c r="T2741" i="20"/>
  <c r="U2741" i="20" s="1"/>
  <c r="T2818" i="20"/>
  <c r="U2818" i="20" s="1"/>
  <c r="I46" i="21"/>
  <c r="T2722" i="20"/>
  <c r="U2722" i="20" s="1"/>
  <c r="L2844" i="20"/>
  <c r="F83" i="2" l="1"/>
  <c r="H84" i="2"/>
  <c r="H108" i="2"/>
  <c r="P888" i="20"/>
  <c r="AB888" i="20"/>
  <c r="H123" i="2"/>
  <c r="H120" i="2"/>
  <c r="F120" i="2"/>
  <c r="H88" i="2"/>
  <c r="F88" i="2"/>
  <c r="K106" i="2"/>
  <c r="L84" i="2"/>
  <c r="K83" i="2"/>
  <c r="I59" i="2"/>
  <c r="P2621" i="20"/>
  <c r="N2621" i="20"/>
  <c r="O2621" i="20" s="1"/>
  <c r="AB2621" i="20"/>
  <c r="AC2493" i="20"/>
  <c r="Q2493" i="20"/>
  <c r="AC2223" i="20"/>
  <c r="Q2223" i="20"/>
  <c r="N2484" i="20"/>
  <c r="O2484" i="20" s="1"/>
  <c r="AB2484" i="20"/>
  <c r="P2484" i="20"/>
  <c r="AB1583" i="20"/>
  <c r="P1583" i="20"/>
  <c r="N1583" i="20"/>
  <c r="O1583" i="20" s="1"/>
  <c r="Q1907" i="20"/>
  <c r="AC1907" i="20"/>
  <c r="N1105" i="20"/>
  <c r="AB1105" i="20"/>
  <c r="P1105" i="20"/>
  <c r="AC2009" i="20"/>
  <c r="Q2009" i="20"/>
  <c r="N2009" i="20"/>
  <c r="O2009" i="20" s="1"/>
  <c r="AC1552" i="20"/>
  <c r="Q1552" i="20"/>
  <c r="K33" i="2" s="1"/>
  <c r="D33" i="2"/>
  <c r="AC1457" i="20"/>
  <c r="Q1457" i="20"/>
  <c r="Q1159" i="20"/>
  <c r="AC1159" i="20"/>
  <c r="P1517" i="20"/>
  <c r="AB1517" i="20"/>
  <c r="N1517" i="20"/>
  <c r="O1517" i="20" s="1"/>
  <c r="P491" i="20"/>
  <c r="AB491" i="20"/>
  <c r="N491" i="20"/>
  <c r="AC990" i="20"/>
  <c r="Q990" i="20"/>
  <c r="AB954" i="20"/>
  <c r="N954" i="20"/>
  <c r="O954" i="20" s="1"/>
  <c r="P954" i="20"/>
  <c r="Q850" i="20"/>
  <c r="AC850" i="20"/>
  <c r="AC943" i="20"/>
  <c r="Q943" i="20"/>
  <c r="Q210" i="20"/>
  <c r="D12" i="2"/>
  <c r="AC210" i="20"/>
  <c r="P609" i="20"/>
  <c r="AB609" i="20"/>
  <c r="N609" i="20"/>
  <c r="O609" i="20" s="1"/>
  <c r="N535" i="20"/>
  <c r="O535" i="20" s="1"/>
  <c r="P535" i="20"/>
  <c r="AB535" i="20"/>
  <c r="P907" i="20"/>
  <c r="N907" i="20"/>
  <c r="O907" i="20" s="1"/>
  <c r="AB907" i="20"/>
  <c r="AC769" i="20"/>
  <c r="Q769" i="20"/>
  <c r="N769" i="20"/>
  <c r="O769" i="20" s="1"/>
  <c r="AB271" i="20"/>
  <c r="P271" i="20"/>
  <c r="N271" i="20"/>
  <c r="O271" i="20" s="1"/>
  <c r="AB391" i="20"/>
  <c r="P391" i="20"/>
  <c r="N391" i="20"/>
  <c r="O391" i="20" s="1"/>
  <c r="AB498" i="20"/>
  <c r="N498" i="20"/>
  <c r="P498" i="20"/>
  <c r="Q2094" i="20"/>
  <c r="AC2094" i="20"/>
  <c r="AC1897" i="20"/>
  <c r="Q1897" i="20"/>
  <c r="N1406" i="20"/>
  <c r="O1406" i="20" s="1"/>
  <c r="AB1406" i="20"/>
  <c r="AC2039" i="20"/>
  <c r="Q2039" i="20"/>
  <c r="AB1416" i="20"/>
  <c r="P1416" i="20"/>
  <c r="N1416" i="20"/>
  <c r="O1416" i="20" s="1"/>
  <c r="P478" i="20"/>
  <c r="N478" i="20"/>
  <c r="AB478" i="20"/>
  <c r="P867" i="20"/>
  <c r="N867" i="20"/>
  <c r="O867" i="20" s="1"/>
  <c r="AB867" i="20"/>
  <c r="AB762" i="20"/>
  <c r="P762" i="20"/>
  <c r="N762" i="20"/>
  <c r="O762" i="20" s="1"/>
  <c r="AC2507" i="20"/>
  <c r="Q2507" i="20"/>
  <c r="J2798" i="20"/>
  <c r="P2798" i="20" s="1"/>
  <c r="P2332" i="20"/>
  <c r="J94" i="2" s="1"/>
  <c r="AB2332" i="20"/>
  <c r="N2332" i="20"/>
  <c r="O2332" i="20" s="1"/>
  <c r="AC1407" i="20"/>
  <c r="Q1407" i="20"/>
  <c r="N1407" i="20"/>
  <c r="O1407" i="20" s="1"/>
  <c r="D29" i="2"/>
  <c r="J1668" i="20"/>
  <c r="P1668" i="20" s="1"/>
  <c r="N1061" i="20"/>
  <c r="O1061" i="20" s="1"/>
  <c r="AB1061" i="20"/>
  <c r="P1061" i="20"/>
  <c r="Q1078" i="20"/>
  <c r="AC1078" i="20"/>
  <c r="N1078" i="20"/>
  <c r="O1078" i="20" s="1"/>
  <c r="Q1442" i="20"/>
  <c r="AC1442" i="20"/>
  <c r="AB333" i="20"/>
  <c r="N333" i="20"/>
  <c r="O333" i="20" s="1"/>
  <c r="P333" i="20"/>
  <c r="P267" i="20"/>
  <c r="N267" i="20"/>
  <c r="O267" i="20" s="1"/>
  <c r="AB267" i="20"/>
  <c r="J757" i="20"/>
  <c r="P757" i="20" s="1"/>
  <c r="N210" i="20"/>
  <c r="O210" i="20" s="1"/>
  <c r="AC762" i="20"/>
  <c r="Q762" i="20"/>
  <c r="AC185" i="20"/>
  <c r="Q185" i="20"/>
  <c r="AB411" i="20"/>
  <c r="P411" i="20"/>
  <c r="N411" i="20"/>
  <c r="AC2816" i="20"/>
  <c r="Q2816" i="20"/>
  <c r="AB721" i="20"/>
  <c r="N721" i="20"/>
  <c r="O721" i="20" s="1"/>
  <c r="Q512" i="20"/>
  <c r="AC512" i="20"/>
  <c r="N512" i="20"/>
  <c r="O512" i="20" s="1"/>
  <c r="Q609" i="20"/>
  <c r="AC609" i="20"/>
  <c r="AB2794" i="20"/>
  <c r="P2794" i="20"/>
  <c r="N2794" i="20"/>
  <c r="O2794" i="20" s="1"/>
  <c r="P2824" i="20"/>
  <c r="N2824" i="20"/>
  <c r="O2824" i="20" s="1"/>
  <c r="AB2824" i="20"/>
  <c r="AB2507" i="20"/>
  <c r="N2507" i="20"/>
  <c r="O2507" i="20" s="1"/>
  <c r="P2507" i="20"/>
  <c r="AC2564" i="20"/>
  <c r="Q2564" i="20"/>
  <c r="AB2468" i="20"/>
  <c r="P2468" i="20"/>
  <c r="N2468" i="20"/>
  <c r="AB2266" i="20"/>
  <c r="N2266" i="20"/>
  <c r="P2266" i="20"/>
  <c r="Q1834" i="20"/>
  <c r="AC1834" i="20"/>
  <c r="P1532" i="20"/>
  <c r="N1532" i="20"/>
  <c r="O1532" i="20" s="1"/>
  <c r="AB1532" i="20"/>
  <c r="AB1670" i="20"/>
  <c r="P1670" i="20"/>
  <c r="N1670" i="20"/>
  <c r="O1670" i="20" s="1"/>
  <c r="N892" i="20"/>
  <c r="O892" i="20" s="1"/>
  <c r="P892" i="20"/>
  <c r="AB892" i="20"/>
  <c r="P2369" i="20"/>
  <c r="N2369" i="20"/>
  <c r="O2369" i="20" s="1"/>
  <c r="AB2369" i="20"/>
  <c r="C98" i="2"/>
  <c r="AC2479" i="20"/>
  <c r="Q2479" i="20"/>
  <c r="D104" i="2"/>
  <c r="J2788" i="20"/>
  <c r="P2788" i="20" s="1"/>
  <c r="AB2281" i="20"/>
  <c r="P2281" i="20"/>
  <c r="N2281" i="20"/>
  <c r="N1343" i="20"/>
  <c r="O1343" i="20" s="1"/>
  <c r="AB1343" i="20"/>
  <c r="P1343" i="20"/>
  <c r="P1618" i="20"/>
  <c r="N1618" i="20"/>
  <c r="AB1618" i="20"/>
  <c r="N1021" i="20"/>
  <c r="O1021" i="20" s="1"/>
  <c r="P1021" i="20"/>
  <c r="AB1021" i="20"/>
  <c r="Q1892" i="20"/>
  <c r="AC1892" i="20"/>
  <c r="D63" i="2"/>
  <c r="I119" i="2"/>
  <c r="I44" i="2"/>
  <c r="P869" i="20"/>
  <c r="N869" i="20"/>
  <c r="O869" i="20" s="1"/>
  <c r="AB869" i="20"/>
  <c r="P1257" i="20"/>
  <c r="AB1257" i="20"/>
  <c r="N1257" i="20"/>
  <c r="O1257" i="20" s="1"/>
  <c r="AB1493" i="20"/>
  <c r="P1493" i="20"/>
  <c r="N1493" i="20"/>
  <c r="O1493" i="20" s="1"/>
  <c r="N320" i="20"/>
  <c r="O320" i="20" s="1"/>
  <c r="P320" i="20"/>
  <c r="AB320" i="20"/>
  <c r="N803" i="20"/>
  <c r="O803" i="20" s="1"/>
  <c r="P803" i="20"/>
  <c r="AB803" i="20"/>
  <c r="C25" i="2"/>
  <c r="AB575" i="20"/>
  <c r="P575" i="20"/>
  <c r="N575" i="20"/>
  <c r="O575" i="20" s="1"/>
  <c r="P604" i="20"/>
  <c r="N604" i="20"/>
  <c r="O604" i="20" s="1"/>
  <c r="AB604" i="20"/>
  <c r="Q717" i="20"/>
  <c r="AC717" i="20"/>
  <c r="P70" i="20"/>
  <c r="N70" i="20"/>
  <c r="O70" i="20" s="1"/>
  <c r="AB70" i="20"/>
  <c r="AC315" i="20"/>
  <c r="Q315" i="20"/>
  <c r="AC411" i="20"/>
  <c r="Q411" i="20"/>
  <c r="Q2619" i="20"/>
  <c r="AC2619" i="20"/>
  <c r="AB2359" i="20"/>
  <c r="N2359" i="20"/>
  <c r="O2359" i="20" s="1"/>
  <c r="P2359" i="20"/>
  <c r="AC2095" i="20"/>
  <c r="Q2095" i="20"/>
  <c r="P1791" i="20"/>
  <c r="AB1791" i="20"/>
  <c r="N1791" i="20"/>
  <c r="O1791" i="20" s="1"/>
  <c r="Q1758" i="20"/>
  <c r="AC1758" i="20"/>
  <c r="AB1893" i="20"/>
  <c r="N1893" i="20"/>
  <c r="O1893" i="20" s="1"/>
  <c r="N153" i="20"/>
  <c r="O153" i="20" s="1"/>
  <c r="AB153" i="20"/>
  <c r="P153" i="20"/>
  <c r="P640" i="20"/>
  <c r="N640" i="20"/>
  <c r="O640" i="20" s="1"/>
  <c r="AB640" i="20"/>
  <c r="P276" i="20"/>
  <c r="N276" i="20"/>
  <c r="O276" i="20" s="1"/>
  <c r="AB276" i="20"/>
  <c r="Q467" i="20"/>
  <c r="AC467" i="20"/>
  <c r="AC691" i="20"/>
  <c r="Q691" i="20"/>
  <c r="AB2656" i="20"/>
  <c r="P2656" i="20"/>
  <c r="N2656" i="20"/>
  <c r="O2656" i="20" s="1"/>
  <c r="J2810" i="20"/>
  <c r="P2810" i="20" s="1"/>
  <c r="AB2087" i="20"/>
  <c r="N2087" i="20"/>
  <c r="O2087" i="20" s="1"/>
  <c r="AC2359" i="20"/>
  <c r="Q2359" i="20"/>
  <c r="K118" i="2"/>
  <c r="K87" i="2"/>
  <c r="Q1813" i="20"/>
  <c r="AC1813" i="20"/>
  <c r="Q2165" i="20"/>
  <c r="AC2165" i="20"/>
  <c r="P1569" i="20"/>
  <c r="N1569" i="20"/>
  <c r="O1569" i="20" s="1"/>
  <c r="AB1569" i="20"/>
  <c r="AC1622" i="20"/>
  <c r="Q1622" i="20"/>
  <c r="AC1893" i="20"/>
  <c r="Q1893" i="20"/>
  <c r="AB908" i="20"/>
  <c r="P908" i="20"/>
  <c r="N908" i="20"/>
  <c r="O908" i="20" s="1"/>
  <c r="J1290" i="20"/>
  <c r="P1290" i="20" s="1"/>
  <c r="AC956" i="20"/>
  <c r="Q956" i="20"/>
  <c r="N956" i="20"/>
  <c r="O956" i="20" s="1"/>
  <c r="J760" i="20"/>
  <c r="P760" i="20" s="1"/>
  <c r="N150" i="20"/>
  <c r="O150" i="20" s="1"/>
  <c r="P150" i="20"/>
  <c r="AB150" i="20"/>
  <c r="Q764" i="20"/>
  <c r="AC764" i="20"/>
  <c r="P542" i="20"/>
  <c r="AB542" i="20"/>
  <c r="N542" i="20"/>
  <c r="O542" i="20" s="1"/>
  <c r="J555" i="20"/>
  <c r="P555" i="20" s="1"/>
  <c r="AB66" i="20"/>
  <c r="P66" i="20"/>
  <c r="N66" i="20"/>
  <c r="O66" i="20" s="1"/>
  <c r="AB1679" i="20"/>
  <c r="P1679" i="20"/>
  <c r="N1679" i="20"/>
  <c r="O1679" i="20" s="1"/>
  <c r="I120" i="2"/>
  <c r="I89" i="2"/>
  <c r="AB2161" i="20"/>
  <c r="N2161" i="20"/>
  <c r="P2161" i="20"/>
  <c r="AC2069" i="20"/>
  <c r="Q2069" i="20"/>
  <c r="P800" i="20"/>
  <c r="N800" i="20"/>
  <c r="O800" i="20" s="1"/>
  <c r="AB800" i="20"/>
  <c r="N1820" i="20"/>
  <c r="P1820" i="20"/>
  <c r="AB1820" i="20"/>
  <c r="P382" i="20"/>
  <c r="N382" i="20"/>
  <c r="O382" i="20" s="1"/>
  <c r="AB382" i="20"/>
  <c r="N120" i="20"/>
  <c r="O120" i="20" s="1"/>
  <c r="AB120" i="20"/>
  <c r="P120" i="20"/>
  <c r="AB597" i="20"/>
  <c r="N597" i="20"/>
  <c r="O597" i="20" s="1"/>
  <c r="P597" i="20"/>
  <c r="P389" i="20"/>
  <c r="AB389" i="20"/>
  <c r="N389" i="20"/>
  <c r="O389" i="20" s="1"/>
  <c r="AB121" i="20"/>
  <c r="P121" i="20"/>
  <c r="N121" i="20"/>
  <c r="O121" i="20" s="1"/>
  <c r="AB99" i="20"/>
  <c r="P99" i="20"/>
  <c r="N99" i="20"/>
  <c r="O99" i="20" s="1"/>
  <c r="P1202" i="20"/>
  <c r="Q182" i="20"/>
  <c r="AC182" i="20"/>
  <c r="N2637" i="20"/>
  <c r="O2637" i="20" s="1"/>
  <c r="AB2637" i="20"/>
  <c r="P2637" i="20"/>
  <c r="N2628" i="20"/>
  <c r="O2628" i="20" s="1"/>
  <c r="AB2628" i="20"/>
  <c r="P2628" i="20"/>
  <c r="P2498" i="20"/>
  <c r="N2498" i="20"/>
  <c r="O2498" i="20" s="1"/>
  <c r="AB2498" i="20"/>
  <c r="C103" i="2"/>
  <c r="P2783" i="20"/>
  <c r="N2783" i="20"/>
  <c r="O2783" i="20" s="1"/>
  <c r="AB2783" i="20"/>
  <c r="J2608" i="20"/>
  <c r="P2608" i="20" s="1"/>
  <c r="Q2270" i="20"/>
  <c r="AC2270" i="20"/>
  <c r="P2233" i="20"/>
  <c r="AB2233" i="20"/>
  <c r="N2233" i="20"/>
  <c r="O2233" i="20" s="1"/>
  <c r="N2110" i="20"/>
  <c r="O2110" i="20" s="1"/>
  <c r="AB2110" i="20"/>
  <c r="AB1998" i="20"/>
  <c r="N1998" i="20"/>
  <c r="O1998" i="20" s="1"/>
  <c r="AB1631" i="20"/>
  <c r="P1631" i="20"/>
  <c r="N1631" i="20"/>
  <c r="Q1646" i="20"/>
  <c r="AC1646" i="20"/>
  <c r="AB2069" i="20"/>
  <c r="N2069" i="20"/>
  <c r="O2069" i="20" s="1"/>
  <c r="AC1676" i="20"/>
  <c r="Q1676" i="20"/>
  <c r="N1273" i="20"/>
  <c r="O1273" i="20" s="1"/>
  <c r="AB1273" i="20"/>
  <c r="P1273" i="20"/>
  <c r="AC1922" i="20"/>
  <c r="Q1922" i="20"/>
  <c r="D58" i="2"/>
  <c r="I34" i="2"/>
  <c r="Q1820" i="20"/>
  <c r="AC1820" i="20"/>
  <c r="N798" i="20"/>
  <c r="O798" i="20" s="1"/>
  <c r="AB798" i="20"/>
  <c r="P594" i="20"/>
  <c r="N594" i="20"/>
  <c r="O594" i="20" s="1"/>
  <c r="AB594" i="20"/>
  <c r="Q1178" i="20"/>
  <c r="AC1178" i="20"/>
  <c r="AC389" i="20"/>
  <c r="Q389" i="20"/>
  <c r="N600" i="20"/>
  <c r="O600" i="20" s="1"/>
  <c r="AB600" i="20"/>
  <c r="Q591" i="20"/>
  <c r="AC591" i="20"/>
  <c r="AB654" i="20"/>
  <c r="P654" i="20"/>
  <c r="N654" i="20"/>
  <c r="O654" i="20" s="1"/>
  <c r="AC121" i="20"/>
  <c r="Q121" i="20"/>
  <c r="AC143" i="20"/>
  <c r="Q143" i="20"/>
  <c r="AC2728" i="20"/>
  <c r="Q2728" i="20"/>
  <c r="N1832" i="20"/>
  <c r="O1832" i="20" s="1"/>
  <c r="P1832" i="20"/>
  <c r="AB1832" i="20"/>
  <c r="AC2618" i="20"/>
  <c r="N2618" i="20"/>
  <c r="O2618" i="20" s="1"/>
  <c r="Q2618" i="20"/>
  <c r="AC2634" i="20"/>
  <c r="Q2634" i="20"/>
  <c r="AC1022" i="20"/>
  <c r="Q1022" i="20"/>
  <c r="AC60" i="20"/>
  <c r="Q60" i="20"/>
  <c r="Q890" i="20"/>
  <c r="AC890" i="20"/>
  <c r="Q258" i="20"/>
  <c r="AC258" i="20"/>
  <c r="AC332" i="20"/>
  <c r="Q332" i="20"/>
  <c r="AB2575" i="20"/>
  <c r="N2575" i="20"/>
  <c r="O2575" i="20" s="1"/>
  <c r="P2575" i="20"/>
  <c r="Q2358" i="20"/>
  <c r="AC2358" i="20"/>
  <c r="Q2254" i="20"/>
  <c r="AC2254" i="20"/>
  <c r="P2267" i="20"/>
  <c r="AB2267" i="20"/>
  <c r="N2267" i="20"/>
  <c r="N2059" i="20"/>
  <c r="O2059" i="20" s="1"/>
  <c r="AB2059" i="20"/>
  <c r="P1844" i="20"/>
  <c r="AB1844" i="20"/>
  <c r="N1844" i="20"/>
  <c r="O1844" i="20" s="1"/>
  <c r="AC2110" i="20"/>
  <c r="Q2110" i="20"/>
  <c r="Q1998" i="20"/>
  <c r="AC1998" i="20"/>
  <c r="N2135" i="20"/>
  <c r="AB2135" i="20"/>
  <c r="P2135" i="20"/>
  <c r="Q1665" i="20"/>
  <c r="AC1665" i="20"/>
  <c r="AB2058" i="20"/>
  <c r="P2058" i="20"/>
  <c r="N2058" i="20"/>
  <c r="O2058" i="20" s="1"/>
  <c r="AB1330" i="20"/>
  <c r="P1330" i="20"/>
  <c r="N1330" i="20"/>
  <c r="O1330" i="20" s="1"/>
  <c r="Q1284" i="20"/>
  <c r="AC1284" i="20"/>
  <c r="N1284" i="20"/>
  <c r="O1284" i="20" s="1"/>
  <c r="P756" i="20"/>
  <c r="N756" i="20"/>
  <c r="O756" i="20" s="1"/>
  <c r="AB756" i="20"/>
  <c r="N1922" i="20"/>
  <c r="O1922" i="20" s="1"/>
  <c r="AB1922" i="20"/>
  <c r="C58" i="2"/>
  <c r="P501" i="20"/>
  <c r="N501" i="20"/>
  <c r="AB501" i="20"/>
  <c r="Q594" i="20"/>
  <c r="AC594" i="20"/>
  <c r="J2796" i="20"/>
  <c r="P2796" i="20" s="1"/>
  <c r="P368" i="20"/>
  <c r="N368" i="20"/>
  <c r="O368" i="20" s="1"/>
  <c r="AB368" i="20"/>
  <c r="AB568" i="20"/>
  <c r="P568" i="20"/>
  <c r="N568" i="20"/>
  <c r="O568" i="20" s="1"/>
  <c r="N346" i="20"/>
  <c r="O346" i="20" s="1"/>
  <c r="AB346" i="20"/>
  <c r="P346" i="20"/>
  <c r="AC600" i="20"/>
  <c r="Q600" i="20"/>
  <c r="AB403" i="20"/>
  <c r="P403" i="20"/>
  <c r="N403" i="20"/>
  <c r="C128" i="2"/>
  <c r="J52" i="20"/>
  <c r="P52" i="20" s="1"/>
  <c r="AB2543" i="20"/>
  <c r="P2543" i="20"/>
  <c r="N2543" i="20"/>
  <c r="O2543" i="20" s="1"/>
  <c r="AB313" i="20"/>
  <c r="P313" i="20"/>
  <c r="N313" i="20"/>
  <c r="O313" i="20" s="1"/>
  <c r="Q1840" i="20"/>
  <c r="AC1840" i="20"/>
  <c r="Q1611" i="20"/>
  <c r="AC1611" i="20"/>
  <c r="AB1863" i="20"/>
  <c r="N1863" i="20"/>
  <c r="O1863" i="20" s="1"/>
  <c r="P1646" i="20"/>
  <c r="N1646" i="20"/>
  <c r="AB1646" i="20"/>
  <c r="AB1676" i="20"/>
  <c r="N1676" i="20"/>
  <c r="O1676" i="20" s="1"/>
  <c r="Q2628" i="20"/>
  <c r="AC2628" i="20"/>
  <c r="P2692" i="20"/>
  <c r="N2692" i="20"/>
  <c r="O2692" i="20" s="1"/>
  <c r="AB2692" i="20"/>
  <c r="Q2598" i="20"/>
  <c r="AC2598" i="20"/>
  <c r="AB2437" i="20"/>
  <c r="N2437" i="20"/>
  <c r="P2437" i="20"/>
  <c r="P2447" i="20"/>
  <c r="N2447" i="20"/>
  <c r="O2447" i="20" s="1"/>
  <c r="AB2447" i="20"/>
  <c r="AB1972" i="20"/>
  <c r="N1972" i="20"/>
  <c r="O1972" i="20" s="1"/>
  <c r="C68" i="2"/>
  <c r="AB1874" i="20"/>
  <c r="N1874" i="20"/>
  <c r="O1874" i="20" s="1"/>
  <c r="Q2135" i="20"/>
  <c r="AC2135" i="20"/>
  <c r="Q1715" i="20"/>
  <c r="AC1715" i="20"/>
  <c r="Q1252" i="20"/>
  <c r="AC1252" i="20"/>
  <c r="Q992" i="20"/>
  <c r="AC992" i="20"/>
  <c r="AB78" i="20"/>
  <c r="P78" i="20"/>
  <c r="N78" i="20"/>
  <c r="O78" i="20" s="1"/>
  <c r="AB1189" i="20"/>
  <c r="P1189" i="20"/>
  <c r="N1189" i="20"/>
  <c r="Q346" i="20"/>
  <c r="AC346" i="20"/>
  <c r="AC1393" i="20"/>
  <c r="Q1393" i="20"/>
  <c r="Q403" i="20"/>
  <c r="AC403" i="20"/>
  <c r="D128" i="2"/>
  <c r="N65" i="20"/>
  <c r="O65" i="20" s="1"/>
  <c r="P65" i="20"/>
  <c r="AB65" i="20"/>
  <c r="AC279" i="20"/>
  <c r="Q279" i="20"/>
  <c r="AC124" i="20"/>
  <c r="Q124" i="20"/>
  <c r="J91" i="20"/>
  <c r="P91" i="20" s="1"/>
  <c r="N2828" i="20"/>
  <c r="O2828" i="20" s="1"/>
  <c r="P2828" i="20"/>
  <c r="J134" i="2" s="1"/>
  <c r="AB2828" i="20"/>
  <c r="C134" i="2"/>
  <c r="AB58" i="20"/>
  <c r="P58" i="20"/>
  <c r="N58" i="20"/>
  <c r="O58" i="20" s="1"/>
  <c r="AC1189" i="20"/>
  <c r="Q1189" i="20"/>
  <c r="AB925" i="20"/>
  <c r="N925" i="20"/>
  <c r="O925" i="20" s="1"/>
  <c r="P925" i="20"/>
  <c r="Q65" i="20"/>
  <c r="AC65" i="20"/>
  <c r="AB755" i="20"/>
  <c r="P755" i="20"/>
  <c r="N755" i="20"/>
  <c r="O755" i="20" s="1"/>
  <c r="AB4" i="20"/>
  <c r="N4" i="20"/>
  <c r="O4" i="20" s="1"/>
  <c r="P4" i="20"/>
  <c r="C10" i="2"/>
  <c r="B5" i="2"/>
  <c r="AC140" i="20"/>
  <c r="Q140" i="20"/>
  <c r="Q2828" i="20"/>
  <c r="K134" i="2" s="1"/>
  <c r="AC2828" i="20"/>
  <c r="D134" i="2"/>
  <c r="Q2595" i="20"/>
  <c r="AC2595" i="20"/>
  <c r="AB2725" i="20"/>
  <c r="P2725" i="20"/>
  <c r="N2725" i="20"/>
  <c r="O2725" i="20" s="1"/>
  <c r="P2642" i="20"/>
  <c r="AB2642" i="20"/>
  <c r="N2642" i="20"/>
  <c r="O2642" i="20" s="1"/>
  <c r="AB2561" i="20"/>
  <c r="N2561" i="20"/>
  <c r="O2561" i="20" s="1"/>
  <c r="N2190" i="20"/>
  <c r="O2190" i="20" s="1"/>
  <c r="AB2190" i="20"/>
  <c r="P2190" i="20"/>
  <c r="AB1954" i="20"/>
  <c r="P1954" i="20"/>
  <c r="N1954" i="20"/>
  <c r="O1954" i="20" s="1"/>
  <c r="Q2162" i="20"/>
  <c r="AC2162" i="20"/>
  <c r="P1786" i="20"/>
  <c r="N1786" i="20"/>
  <c r="O1786" i="20" s="1"/>
  <c r="AB1786" i="20"/>
  <c r="P1600" i="20"/>
  <c r="N1600" i="20"/>
  <c r="O1600" i="20" s="1"/>
  <c r="AB1600" i="20"/>
  <c r="N1230" i="20"/>
  <c r="O1230" i="20" s="1"/>
  <c r="AB1230" i="20"/>
  <c r="P1230" i="20"/>
  <c r="P660" i="20"/>
  <c r="N660" i="20"/>
  <c r="O660" i="20" s="1"/>
  <c r="AB660" i="20"/>
  <c r="AC1102" i="20"/>
  <c r="Q1102" i="20"/>
  <c r="N464" i="20"/>
  <c r="P464" i="20"/>
  <c r="AB464" i="20"/>
  <c r="P765" i="20"/>
  <c r="N765" i="20"/>
  <c r="O765" i="20" s="1"/>
  <c r="AB765" i="20"/>
  <c r="P1065" i="20"/>
  <c r="N1065" i="20"/>
  <c r="O1065" i="20" s="1"/>
  <c r="AB1065" i="20"/>
  <c r="P260" i="20"/>
  <c r="N260" i="20"/>
  <c r="O260" i="20" s="1"/>
  <c r="AB260" i="20"/>
  <c r="P285" i="20"/>
  <c r="N285" i="20"/>
  <c r="O285" i="20" s="1"/>
  <c r="AB285" i="20"/>
  <c r="AC625" i="20"/>
  <c r="Q625" i="20"/>
  <c r="Q249" i="20"/>
  <c r="AC249" i="20"/>
  <c r="AB254" i="20"/>
  <c r="N254" i="20"/>
  <c r="O254" i="20" s="1"/>
  <c r="P254" i="20"/>
  <c r="AC2473" i="20"/>
  <c r="Q2473" i="20"/>
  <c r="Q1667" i="20"/>
  <c r="AC1667" i="20"/>
  <c r="N2100" i="20"/>
  <c r="O2100" i="20" s="1"/>
  <c r="AB2100" i="20"/>
  <c r="AB1699" i="20"/>
  <c r="N1699" i="20"/>
  <c r="O1699" i="20" s="1"/>
  <c r="N1274" i="20"/>
  <c r="O1274" i="20" s="1"/>
  <c r="AB1274" i="20"/>
  <c r="P1413" i="20"/>
  <c r="N1413" i="20"/>
  <c r="O1413" i="20" s="1"/>
  <c r="AB1413" i="20"/>
  <c r="Q260" i="20"/>
  <c r="AC260" i="20"/>
  <c r="N2735" i="20"/>
  <c r="O2735" i="20" s="1"/>
  <c r="AB2735" i="20"/>
  <c r="P2735" i="20"/>
  <c r="AC2538" i="20"/>
  <c r="Q2538" i="20"/>
  <c r="D75" i="2"/>
  <c r="AC2129" i="20"/>
  <c r="Q2129" i="20"/>
  <c r="AB2185" i="20"/>
  <c r="N2185" i="20"/>
  <c r="O2185" i="20" s="1"/>
  <c r="P2185" i="20"/>
  <c r="Q2224" i="20"/>
  <c r="AC2224" i="20"/>
  <c r="AC1699" i="20"/>
  <c r="Q1699" i="20"/>
  <c r="J1418" i="20"/>
  <c r="P1418" i="20" s="1"/>
  <c r="Q1274" i="20"/>
  <c r="AC1274" i="20"/>
  <c r="AB936" i="20"/>
  <c r="P936" i="20"/>
  <c r="N936" i="20"/>
  <c r="O936" i="20" s="1"/>
  <c r="P474" i="20"/>
  <c r="N474" i="20"/>
  <c r="AB474" i="20"/>
  <c r="Q601" i="20"/>
  <c r="AC601" i="20"/>
  <c r="AC413" i="20"/>
  <c r="Q413" i="20"/>
  <c r="Q317" i="20"/>
  <c r="AC317" i="20"/>
  <c r="P458" i="20"/>
  <c r="N458" i="20"/>
  <c r="AB458" i="20"/>
  <c r="I96" i="2"/>
  <c r="Q1831" i="20"/>
  <c r="AC1831" i="20"/>
  <c r="D41" i="2"/>
  <c r="AC1786" i="20"/>
  <c r="Q1786" i="20"/>
  <c r="Q1230" i="20"/>
  <c r="AC1230" i="20"/>
  <c r="AB916" i="20"/>
  <c r="N916" i="20"/>
  <c r="O916" i="20" s="1"/>
  <c r="P916" i="20"/>
  <c r="P12" i="20"/>
  <c r="N12" i="20"/>
  <c r="O12" i="20" s="1"/>
  <c r="AB12" i="20"/>
  <c r="AB27" i="20"/>
  <c r="N27" i="20"/>
  <c r="O27" i="20" s="1"/>
  <c r="N2772" i="20"/>
  <c r="O2772" i="20" s="1"/>
  <c r="P2772" i="20"/>
  <c r="AB2772" i="20"/>
  <c r="C32" i="2"/>
  <c r="J2641" i="20"/>
  <c r="P2641" i="20" s="1"/>
  <c r="AC2640" i="20"/>
  <c r="Q2640" i="20"/>
  <c r="N2206" i="20"/>
  <c r="O2206" i="20" s="1"/>
  <c r="P2206" i="20"/>
  <c r="AB2206" i="20"/>
  <c r="Q2772" i="20"/>
  <c r="AC2772" i="20"/>
  <c r="D32" i="2"/>
  <c r="AC2735" i="20"/>
  <c r="Q2735" i="20"/>
  <c r="N2538" i="20"/>
  <c r="O2538" i="20" s="1"/>
  <c r="AB2538" i="20"/>
  <c r="P2538" i="20"/>
  <c r="C75" i="2"/>
  <c r="P2536" i="20"/>
  <c r="N2536" i="20"/>
  <c r="O2536" i="20" s="1"/>
  <c r="AB2536" i="20"/>
  <c r="AC2843" i="20"/>
  <c r="Q2843" i="20"/>
  <c r="N2139" i="20"/>
  <c r="AB2139" i="20"/>
  <c r="P2139" i="20"/>
  <c r="Q1921" i="20"/>
  <c r="AC1921" i="20"/>
  <c r="N2614" i="20"/>
  <c r="O2614" i="20" s="1"/>
  <c r="AB2614" i="20"/>
  <c r="P2614" i="20"/>
  <c r="Q2239" i="20"/>
  <c r="AC2239" i="20"/>
  <c r="Q896" i="20"/>
  <c r="N896" i="20"/>
  <c r="O896" i="20" s="1"/>
  <c r="AC896" i="20"/>
  <c r="Q643" i="20"/>
  <c r="AC643" i="20"/>
  <c r="N643" i="20"/>
  <c r="O643" i="20" s="1"/>
  <c r="AC688" i="20"/>
  <c r="Q688" i="20"/>
  <c r="Q396" i="20"/>
  <c r="AC396" i="20"/>
  <c r="P494" i="20"/>
  <c r="AB494" i="20"/>
  <c r="N494" i="20"/>
  <c r="AB187" i="20"/>
  <c r="P187" i="20"/>
  <c r="N187" i="20"/>
  <c r="O187" i="20" s="1"/>
  <c r="Q161" i="20"/>
  <c r="AC161" i="20"/>
  <c r="P933" i="20"/>
  <c r="N933" i="20"/>
  <c r="O933" i="20" s="1"/>
  <c r="AB933" i="20"/>
  <c r="P2480" i="20"/>
  <c r="N2480" i="20"/>
  <c r="O2480" i="20" s="1"/>
  <c r="AB2480" i="20"/>
  <c r="AC2128" i="20"/>
  <c r="Q2128" i="20"/>
  <c r="AC1914" i="20"/>
  <c r="Q1914" i="20"/>
  <c r="AC2168" i="20"/>
  <c r="Q2168" i="20"/>
  <c r="Q1971" i="20"/>
  <c r="AC1971" i="20"/>
  <c r="N1254" i="20"/>
  <c r="O1254" i="20" s="1"/>
  <c r="AB1254" i="20"/>
  <c r="AC1906" i="20"/>
  <c r="Q1906" i="20"/>
  <c r="P1501" i="20"/>
  <c r="N1501" i="20"/>
  <c r="O1501" i="20" s="1"/>
  <c r="AB1501" i="20"/>
  <c r="Q1305" i="20"/>
  <c r="AC1305" i="20"/>
  <c r="Q1181" i="20"/>
  <c r="AC1181" i="20"/>
  <c r="AC924" i="20"/>
  <c r="Q924" i="20"/>
  <c r="Q1097" i="20"/>
  <c r="AC1097" i="20"/>
  <c r="AC1141" i="20"/>
  <c r="Q1141" i="20"/>
  <c r="N242" i="20"/>
  <c r="O242" i="20" s="1"/>
  <c r="P242" i="20"/>
  <c r="AB242" i="20"/>
  <c r="AC441" i="20"/>
  <c r="Q441" i="20"/>
  <c r="Q265" i="20"/>
  <c r="AC265" i="20"/>
  <c r="AB441" i="20"/>
  <c r="P441" i="20"/>
  <c r="N441" i="20"/>
  <c r="AB304" i="20"/>
  <c r="N304" i="20"/>
  <c r="O304" i="20" s="1"/>
  <c r="P304" i="20"/>
  <c r="C14" i="2"/>
  <c r="Q2157" i="20"/>
  <c r="AC2157" i="20"/>
  <c r="Q1708" i="20"/>
  <c r="AC1708" i="20"/>
  <c r="D35" i="2"/>
  <c r="AC1876" i="20"/>
  <c r="Q1876" i="20"/>
  <c r="N1876" i="20"/>
  <c r="O1876" i="20" s="1"/>
  <c r="AB1187" i="20"/>
  <c r="P1187" i="20"/>
  <c r="N1187" i="20"/>
  <c r="I22" i="2"/>
  <c r="P904" i="20"/>
  <c r="N584" i="20"/>
  <c r="O584" i="20" s="1"/>
  <c r="P584" i="20"/>
  <c r="AB584" i="20"/>
  <c r="AB590" i="20"/>
  <c r="N590" i="20"/>
  <c r="O590" i="20" s="1"/>
  <c r="P590" i="20"/>
  <c r="J19" i="20"/>
  <c r="P19" i="20" s="1"/>
  <c r="AB171" i="20"/>
  <c r="P171" i="20"/>
  <c r="N171" i="20"/>
  <c r="O171" i="20" s="1"/>
  <c r="AB9" i="20"/>
  <c r="N9" i="20"/>
  <c r="O9" i="20" s="1"/>
  <c r="P9" i="20"/>
  <c r="P2619" i="20"/>
  <c r="N2619" i="20"/>
  <c r="O2619" i="20" s="1"/>
  <c r="AB2619" i="20"/>
  <c r="Q2175" i="20"/>
  <c r="AC2175" i="20"/>
  <c r="N2095" i="20"/>
  <c r="O2095" i="20" s="1"/>
  <c r="AB2095" i="20"/>
  <c r="AB157" i="20"/>
  <c r="P157" i="20"/>
  <c r="N157" i="20"/>
  <c r="O157" i="20" s="1"/>
  <c r="AB2380" i="20"/>
  <c r="N2380" i="20"/>
  <c r="O2380" i="20" s="1"/>
  <c r="P2380" i="20"/>
  <c r="Q2051" i="20"/>
  <c r="AC2051" i="20"/>
  <c r="D93" i="2"/>
  <c r="N1297" i="20"/>
  <c r="O1297" i="20" s="1"/>
  <c r="AB1297" i="20"/>
  <c r="AC1396" i="20"/>
  <c r="Q1396" i="20"/>
  <c r="P2502" i="20"/>
  <c r="N2502" i="20"/>
  <c r="O2502" i="20" s="1"/>
  <c r="AB2502" i="20"/>
  <c r="N1205" i="20"/>
  <c r="O1205" i="20" s="1"/>
  <c r="AB1205" i="20"/>
  <c r="N238" i="20"/>
  <c r="O238" i="20" s="1"/>
  <c r="AB238" i="20"/>
  <c r="P238" i="20"/>
  <c r="Q683" i="20"/>
  <c r="AC683" i="20"/>
  <c r="Q342" i="20"/>
  <c r="AC342" i="20"/>
  <c r="J2815" i="20"/>
  <c r="P2815" i="20" s="1"/>
  <c r="N2743" i="20"/>
  <c r="O2743" i="20" s="1"/>
  <c r="P2743" i="20"/>
  <c r="AB2743" i="20"/>
  <c r="P1637" i="20"/>
  <c r="AB1637" i="20"/>
  <c r="N1637" i="20"/>
  <c r="Q1991" i="20"/>
  <c r="AC1991" i="20"/>
  <c r="AC1851" i="20"/>
  <c r="Q1851" i="20"/>
  <c r="AC1564" i="20"/>
  <c r="Q1564" i="20"/>
  <c r="Q1205" i="20"/>
  <c r="AC1205" i="20"/>
  <c r="AB1211" i="20"/>
  <c r="P1211" i="20"/>
  <c r="N1211" i="20"/>
  <c r="O1211" i="20" s="1"/>
  <c r="Q1295" i="20"/>
  <c r="AC1295" i="20"/>
  <c r="AC1474" i="20"/>
  <c r="Q1474" i="20"/>
  <c r="AC738" i="20"/>
  <c r="Q738" i="20"/>
  <c r="N738" i="20"/>
  <c r="O738" i="20" s="1"/>
  <c r="AC631" i="20"/>
  <c r="Q631" i="20"/>
  <c r="AB2467" i="20"/>
  <c r="P2467" i="20"/>
  <c r="N2467" i="20"/>
  <c r="O2467" i="20" s="1"/>
  <c r="N2345" i="20"/>
  <c r="O2345" i="20" s="1"/>
  <c r="P2345" i="20"/>
  <c r="AB2345" i="20"/>
  <c r="AB2294" i="20"/>
  <c r="P2294" i="20"/>
  <c r="N2294" i="20"/>
  <c r="P1209" i="20"/>
  <c r="N1209" i="20"/>
  <c r="O1209" i="20" s="1"/>
  <c r="AB1209" i="20"/>
  <c r="AB1677" i="20"/>
  <c r="P1677" i="20"/>
  <c r="N1677" i="20"/>
  <c r="O1677" i="20" s="1"/>
  <c r="AB1486" i="20"/>
  <c r="P1486" i="20"/>
  <c r="N1486" i="20"/>
  <c r="O1486" i="20" s="1"/>
  <c r="AC1456" i="20"/>
  <c r="Q1456" i="20"/>
  <c r="N520" i="20"/>
  <c r="O520" i="20" s="1"/>
  <c r="AB520" i="20"/>
  <c r="Q1082" i="20"/>
  <c r="AC1082" i="20"/>
  <c r="AC295" i="20"/>
  <c r="Q295" i="20"/>
  <c r="AC158" i="20"/>
  <c r="Q158" i="20"/>
  <c r="Q2832" i="20"/>
  <c r="AC2832" i="20"/>
  <c r="D129" i="2"/>
  <c r="N2832" i="20"/>
  <c r="P1126" i="20"/>
  <c r="N1126" i="20"/>
  <c r="AB1126" i="20"/>
  <c r="N1316" i="20"/>
  <c r="O1316" i="20" s="1"/>
  <c r="AB1316" i="20"/>
  <c r="P1316" i="20"/>
  <c r="AB2843" i="20"/>
  <c r="N2843" i="20"/>
  <c r="P2843" i="20"/>
  <c r="N917" i="20"/>
  <c r="O917" i="20" s="1"/>
  <c r="AB917" i="20"/>
  <c r="P917" i="20"/>
  <c r="AC2031" i="20"/>
  <c r="Q2031" i="20"/>
  <c r="K80" i="2" s="1"/>
  <c r="D80" i="2"/>
  <c r="AB1867" i="20"/>
  <c r="N1867" i="20"/>
  <c r="O1867" i="20" s="1"/>
  <c r="J749" i="20"/>
  <c r="P749" i="20" s="1"/>
  <c r="AB2829" i="20"/>
  <c r="P2829" i="20"/>
  <c r="N2829" i="20"/>
  <c r="C129" i="2"/>
  <c r="J2720" i="20"/>
  <c r="P2720" i="20" s="1"/>
  <c r="Q2607" i="20"/>
  <c r="AC2607" i="20"/>
  <c r="Q2002" i="20"/>
  <c r="AC2002" i="20"/>
  <c r="D69" i="2"/>
  <c r="AC2316" i="20"/>
  <c r="Q2316" i="20"/>
  <c r="Q2202" i="20"/>
  <c r="AC2202" i="20"/>
  <c r="AB2229" i="20"/>
  <c r="P2229" i="20"/>
  <c r="N2229" i="20"/>
  <c r="O2229" i="20" s="1"/>
  <c r="AB1692" i="20"/>
  <c r="N1692" i="20"/>
  <c r="O1692" i="20" s="1"/>
  <c r="N2576" i="20"/>
  <c r="O2576" i="20" s="1"/>
  <c r="P2576" i="20"/>
  <c r="AB2576" i="20"/>
  <c r="AC2467" i="20"/>
  <c r="Q2467" i="20"/>
  <c r="J2804" i="20"/>
  <c r="P2804" i="20" s="1"/>
  <c r="AC2345" i="20"/>
  <c r="Q2345" i="20"/>
  <c r="P2678" i="20"/>
  <c r="N2678" i="20"/>
  <c r="O2678" i="20" s="1"/>
  <c r="AB2678" i="20"/>
  <c r="AB2144" i="20"/>
  <c r="N2144" i="20"/>
  <c r="P2144" i="20"/>
  <c r="Q1549" i="20"/>
  <c r="AC1549" i="20"/>
  <c r="N1549" i="20"/>
  <c r="O1549" i="20" s="1"/>
  <c r="AC1409" i="20"/>
  <c r="Q1409" i="20"/>
  <c r="N1409" i="20"/>
  <c r="O1409" i="20" s="1"/>
  <c r="AC1688" i="20"/>
  <c r="Q1688" i="20"/>
  <c r="N1443" i="20"/>
  <c r="O1443" i="20" s="1"/>
  <c r="AB1443" i="20"/>
  <c r="AB1349" i="20"/>
  <c r="N1349" i="20"/>
  <c r="O1349" i="20" s="1"/>
  <c r="P1349" i="20"/>
  <c r="Q1486" i="20"/>
  <c r="AC1486" i="20"/>
  <c r="P874" i="20"/>
  <c r="N874" i="20"/>
  <c r="O874" i="20" s="1"/>
  <c r="AB874" i="20"/>
  <c r="AC1046" i="20"/>
  <c r="Q1046" i="20"/>
  <c r="Q274" i="20"/>
  <c r="AC274" i="20"/>
  <c r="Q707" i="20"/>
  <c r="AC707" i="20"/>
  <c r="D20" i="2"/>
  <c r="AC336" i="20"/>
  <c r="Q336" i="20"/>
  <c r="AC2460" i="20"/>
  <c r="Q2460" i="20"/>
  <c r="N2460" i="20"/>
  <c r="O2460" i="20" s="1"/>
  <c r="Q1846" i="20"/>
  <c r="AC1846" i="20"/>
  <c r="D121" i="2"/>
  <c r="D45" i="2"/>
  <c r="Q2299" i="20"/>
  <c r="AC2299" i="20"/>
  <c r="N2299" i="20"/>
  <c r="AC1258" i="20"/>
  <c r="Q1258" i="20"/>
  <c r="N1258" i="20"/>
  <c r="O1258" i="20" s="1"/>
  <c r="AB1812" i="20"/>
  <c r="P1812" i="20"/>
  <c r="N1812" i="20"/>
  <c r="AB631" i="20"/>
  <c r="P631" i="20"/>
  <c r="N631" i="20"/>
  <c r="O631" i="20" s="1"/>
  <c r="N2337" i="20"/>
  <c r="O2337" i="20" s="1"/>
  <c r="P2337" i="20"/>
  <c r="AB2337" i="20"/>
  <c r="P1717" i="20"/>
  <c r="N1717" i="20"/>
  <c r="O1717" i="20" s="1"/>
  <c r="AB1717" i="20"/>
  <c r="Q1512" i="20"/>
  <c r="AC1512" i="20"/>
  <c r="N1512" i="20"/>
  <c r="O1512" i="20" s="1"/>
  <c r="AB1666" i="20"/>
  <c r="N1666" i="20"/>
  <c r="O1666" i="20" s="1"/>
  <c r="Q1472" i="20"/>
  <c r="AC1472" i="20"/>
  <c r="AB1363" i="20"/>
  <c r="N1363" i="20"/>
  <c r="O1363" i="20" s="1"/>
  <c r="P1363" i="20"/>
  <c r="N862" i="20"/>
  <c r="O862" i="20" s="1"/>
  <c r="AB862" i="20"/>
  <c r="P862" i="20"/>
  <c r="AB1737" i="20"/>
  <c r="P1737" i="20"/>
  <c r="N1737" i="20"/>
  <c r="O1737" i="20" s="1"/>
  <c r="AC1218" i="20"/>
  <c r="Q1218" i="20"/>
  <c r="N563" i="20"/>
  <c r="O563" i="20" s="1"/>
  <c r="AB563" i="20"/>
  <c r="P563" i="20"/>
  <c r="P572" i="20"/>
  <c r="N572" i="20"/>
  <c r="O572" i="20" s="1"/>
  <c r="AB572" i="20"/>
  <c r="AB636" i="20"/>
  <c r="P636" i="20"/>
  <c r="N636" i="20"/>
  <c r="O636" i="20" s="1"/>
  <c r="AB1599" i="20"/>
  <c r="P1599" i="20"/>
  <c r="N1599" i="20"/>
  <c r="O1599" i="20" s="1"/>
  <c r="P1680" i="20"/>
  <c r="AB1680" i="20"/>
  <c r="N1680" i="20"/>
  <c r="O1680" i="20" s="1"/>
  <c r="P924" i="20"/>
  <c r="N924" i="20"/>
  <c r="O924" i="20" s="1"/>
  <c r="AB924" i="20"/>
  <c r="Q657" i="20"/>
  <c r="N657" i="20"/>
  <c r="O657" i="20" s="1"/>
  <c r="AC657" i="20"/>
  <c r="N2818" i="20"/>
  <c r="O2818" i="20" s="1"/>
  <c r="AB2818" i="20"/>
  <c r="P2818" i="20"/>
  <c r="AB2788" i="20"/>
  <c r="N2788" i="20"/>
  <c r="O2788" i="20" s="1"/>
  <c r="AB2138" i="20"/>
  <c r="N2138" i="20"/>
  <c r="P2138" i="20"/>
  <c r="N1581" i="20"/>
  <c r="O1581" i="20" s="1"/>
  <c r="AC1581" i="20"/>
  <c r="Q1581" i="20"/>
  <c r="N1001" i="20"/>
  <c r="O1001" i="20" s="1"/>
  <c r="P1001" i="20"/>
  <c r="AB1001" i="20"/>
  <c r="AC1034" i="20"/>
  <c r="Q1034" i="20"/>
  <c r="AB100" i="20"/>
  <c r="P100" i="20"/>
  <c r="N100" i="20"/>
  <c r="O100" i="20" s="1"/>
  <c r="N2835" i="20"/>
  <c r="P2835" i="20"/>
  <c r="AB2835" i="20"/>
  <c r="AB2361" i="20"/>
  <c r="N2361" i="20"/>
  <c r="O2361" i="20" s="1"/>
  <c r="P2361" i="20"/>
  <c r="N2010" i="20"/>
  <c r="O2010" i="20" s="1"/>
  <c r="AB2010" i="20"/>
  <c r="AC2361" i="20"/>
  <c r="Q2361" i="20"/>
  <c r="AB1794" i="20"/>
  <c r="P1794" i="20"/>
  <c r="N1794" i="20"/>
  <c r="O1794" i="20" s="1"/>
  <c r="N2301" i="20"/>
  <c r="P2301" i="20"/>
  <c r="AB2301" i="20"/>
  <c r="Q2169" i="20"/>
  <c r="AC2169" i="20"/>
  <c r="N1841" i="20"/>
  <c r="O1841" i="20" s="1"/>
  <c r="P1841" i="20"/>
  <c r="AB1841" i="20"/>
  <c r="AC2142" i="20"/>
  <c r="Q2142" i="20"/>
  <c r="Q2079" i="20"/>
  <c r="AC2079" i="20"/>
  <c r="Q1510" i="20"/>
  <c r="AC1510" i="20"/>
  <c r="AC1387" i="20"/>
  <c r="Q1387" i="20"/>
  <c r="AB1351" i="20"/>
  <c r="P1351" i="20"/>
  <c r="N1351" i="20"/>
  <c r="O1351" i="20" s="1"/>
  <c r="Q1737" i="20"/>
  <c r="AC1737" i="20"/>
  <c r="Q817" i="20"/>
  <c r="AC817" i="20"/>
  <c r="AB128" i="20"/>
  <c r="N128" i="20"/>
  <c r="O128" i="20" s="1"/>
  <c r="P128" i="20"/>
  <c r="Q572" i="20"/>
  <c r="AC572" i="20"/>
  <c r="I15" i="2"/>
  <c r="Q105" i="20"/>
  <c r="AC105" i="20"/>
  <c r="AB195" i="20"/>
  <c r="P195" i="20"/>
  <c r="N195" i="20"/>
  <c r="O195" i="20" s="1"/>
  <c r="AC369" i="20"/>
  <c r="Q369" i="20"/>
  <c r="P611" i="20"/>
  <c r="N611" i="20"/>
  <c r="O611" i="20" s="1"/>
  <c r="AB611" i="20"/>
  <c r="Q1690" i="20"/>
  <c r="AC1690" i="20"/>
  <c r="P1024" i="20"/>
  <c r="AB1024" i="20"/>
  <c r="N1024" i="20"/>
  <c r="O1024" i="20" s="1"/>
  <c r="P2481" i="20"/>
  <c r="AB2481" i="20"/>
  <c r="N2481" i="20"/>
  <c r="O2481" i="20" s="1"/>
  <c r="N2521" i="20"/>
  <c r="O2521" i="20" s="1"/>
  <c r="P2521" i="20"/>
  <c r="J106" i="2" s="1"/>
  <c r="AB2521" i="20"/>
  <c r="C106" i="2"/>
  <c r="AB1074" i="20"/>
  <c r="P1074" i="20"/>
  <c r="N1074" i="20"/>
  <c r="O1074" i="20" s="1"/>
  <c r="AB899" i="20"/>
  <c r="N899" i="20"/>
  <c r="O899" i="20" s="1"/>
  <c r="P899" i="20"/>
  <c r="AC171" i="20"/>
  <c r="Q171" i="20"/>
  <c r="AC2576" i="20"/>
  <c r="Q2576" i="20"/>
  <c r="Q2474" i="20"/>
  <c r="AC2474" i="20"/>
  <c r="AC1499" i="20"/>
  <c r="Q1499" i="20"/>
  <c r="N1110" i="20"/>
  <c r="AB1110" i="20"/>
  <c r="P1110" i="20"/>
  <c r="AB2677" i="20"/>
  <c r="N2677" i="20"/>
  <c r="O2677" i="20" s="1"/>
  <c r="C23" i="2"/>
  <c r="AB2140" i="20"/>
  <c r="N2140" i="20"/>
  <c r="P2140" i="20"/>
  <c r="Q2060" i="20"/>
  <c r="AC2060" i="20"/>
  <c r="N2060" i="20"/>
  <c r="O2060" i="20" s="1"/>
  <c r="N2253" i="20"/>
  <c r="AB2253" i="20"/>
  <c r="P2253" i="20"/>
  <c r="N2079" i="20"/>
  <c r="O2079" i="20" s="1"/>
  <c r="AB2079" i="20"/>
  <c r="P1664" i="20"/>
  <c r="N1664" i="20"/>
  <c r="O1664" i="20" s="1"/>
  <c r="AB1664" i="20"/>
  <c r="AC1732" i="20"/>
  <c r="Q1732" i="20"/>
  <c r="AB615" i="20"/>
  <c r="N615" i="20"/>
  <c r="O615" i="20" s="1"/>
  <c r="P615" i="20"/>
  <c r="N499" i="20"/>
  <c r="P499" i="20"/>
  <c r="AB499" i="20"/>
  <c r="AC1742" i="20"/>
  <c r="Q1742" i="20"/>
  <c r="AB989" i="20"/>
  <c r="P989" i="20"/>
  <c r="N989" i="20"/>
  <c r="O989" i="20" s="1"/>
  <c r="N126" i="20"/>
  <c r="O126" i="20" s="1"/>
  <c r="P126" i="20"/>
  <c r="AB126" i="20"/>
  <c r="AC629" i="20"/>
  <c r="Q629" i="20"/>
  <c r="P2844" i="20"/>
  <c r="N2844" i="20"/>
  <c r="O2844" i="20" s="1"/>
  <c r="AB2844" i="20"/>
  <c r="N1766" i="20"/>
  <c r="O1766" i="20" s="1"/>
  <c r="P1766" i="20"/>
  <c r="AB1766" i="20"/>
  <c r="AB2775" i="20"/>
  <c r="N2775" i="20"/>
  <c r="O2775" i="20" s="1"/>
  <c r="P2775" i="20"/>
  <c r="N2137" i="20"/>
  <c r="P2137" i="20"/>
  <c r="AB2137" i="20"/>
  <c r="AC2089" i="20"/>
  <c r="Q2089" i="20"/>
  <c r="P81" i="20"/>
  <c r="N81" i="20"/>
  <c r="O81" i="20" s="1"/>
  <c r="AB81" i="20"/>
  <c r="AB1906" i="20"/>
  <c r="N1906" i="20"/>
  <c r="O1906" i="20" s="1"/>
  <c r="AB2074" i="20"/>
  <c r="P2074" i="20"/>
  <c r="N2074" i="20"/>
  <c r="O2074" i="20" s="1"/>
  <c r="P1852" i="20"/>
  <c r="AB1852" i="20"/>
  <c r="N1852" i="20"/>
  <c r="O1852" i="20" s="1"/>
  <c r="AB2364" i="20"/>
  <c r="P2364" i="20"/>
  <c r="N2364" i="20"/>
  <c r="O2364" i="20" s="1"/>
  <c r="Q1619" i="20"/>
  <c r="AC1619" i="20"/>
  <c r="AB1062" i="20"/>
  <c r="P1062" i="20"/>
  <c r="N1062" i="20"/>
  <c r="O1062" i="20" s="1"/>
  <c r="J2801" i="20"/>
  <c r="P2801" i="20" s="1"/>
  <c r="Q2343" i="20"/>
  <c r="AC2343" i="20"/>
  <c r="J2635" i="20"/>
  <c r="P2635" i="20" s="1"/>
  <c r="P2348" i="20"/>
  <c r="N2348" i="20"/>
  <c r="O2348" i="20" s="1"/>
  <c r="AB2348" i="20"/>
  <c r="AC2248" i="20"/>
  <c r="Q2248" i="20"/>
  <c r="N1974" i="20"/>
  <c r="O1974" i="20" s="1"/>
  <c r="AB1974" i="20"/>
  <c r="AC2418" i="20"/>
  <c r="Q2418" i="20"/>
  <c r="K97" i="2" s="1"/>
  <c r="AC2253" i="20"/>
  <c r="Q2253" i="20"/>
  <c r="P1075" i="20"/>
  <c r="N1075" i="20"/>
  <c r="O1075" i="20" s="1"/>
  <c r="AB1075" i="20"/>
  <c r="Q1315" i="20"/>
  <c r="AC1315" i="20"/>
  <c r="N1315" i="20"/>
  <c r="O1315" i="20" s="1"/>
  <c r="P1386" i="20"/>
  <c r="N1386" i="20"/>
  <c r="O1386" i="20" s="1"/>
  <c r="AB1386" i="20"/>
  <c r="P1439" i="20"/>
  <c r="AB1439" i="20"/>
  <c r="N1439" i="20"/>
  <c r="O1439" i="20" s="1"/>
  <c r="P1009" i="20"/>
  <c r="N1009" i="20"/>
  <c r="O1009" i="20" s="1"/>
  <c r="AB1009" i="20"/>
  <c r="P1485" i="20"/>
  <c r="AB1485" i="20"/>
  <c r="N1485" i="20"/>
  <c r="O1485" i="20" s="1"/>
  <c r="Q1495" i="20"/>
  <c r="AC1495" i="20"/>
  <c r="P484" i="20"/>
  <c r="N484" i="20"/>
  <c r="AB484" i="20"/>
  <c r="P622" i="20"/>
  <c r="AB622" i="20"/>
  <c r="N622" i="20"/>
  <c r="O622" i="20" s="1"/>
  <c r="AC334" i="20"/>
  <c r="Q334" i="20"/>
  <c r="AB2728" i="20"/>
  <c r="N2728" i="20"/>
  <c r="O2728" i="20" s="1"/>
  <c r="P2728" i="20"/>
  <c r="Q632" i="20"/>
  <c r="AC632" i="20"/>
  <c r="AC461" i="20"/>
  <c r="Q461" i="20"/>
  <c r="AB2050" i="20"/>
  <c r="N2050" i="20"/>
  <c r="O2050" i="20" s="1"/>
  <c r="AB949" i="20"/>
  <c r="P949" i="20"/>
  <c r="N949" i="20"/>
  <c r="O949" i="20" s="1"/>
  <c r="P2433" i="20"/>
  <c r="N2433" i="20"/>
  <c r="AB2433" i="20"/>
  <c r="N1612" i="20"/>
  <c r="AB1612" i="20"/>
  <c r="P1612" i="20"/>
  <c r="N1620" i="20"/>
  <c r="P1620" i="20"/>
  <c r="AB1620" i="20"/>
  <c r="AB880" i="20"/>
  <c r="N880" i="20"/>
  <c r="O880" i="20" s="1"/>
  <c r="P880" i="20"/>
  <c r="AB1564" i="20"/>
  <c r="P1564" i="20"/>
  <c r="N1564" i="20"/>
  <c r="O1564" i="20" s="1"/>
  <c r="AC1481" i="20"/>
  <c r="Q1481" i="20"/>
  <c r="AB2398" i="20"/>
  <c r="N2398" i="20"/>
  <c r="O2398" i="20" s="1"/>
  <c r="C97" i="2"/>
  <c r="AC2319" i="20"/>
  <c r="Q2319" i="20"/>
  <c r="AB1218" i="20"/>
  <c r="P1218" i="20"/>
  <c r="N1218" i="20"/>
  <c r="O1218" i="20" s="1"/>
  <c r="AB2605" i="20"/>
  <c r="N2605" i="20"/>
  <c r="O2605" i="20" s="1"/>
  <c r="P2605" i="20"/>
  <c r="P2249" i="20"/>
  <c r="N2249" i="20"/>
  <c r="AB2249" i="20"/>
  <c r="AB2276" i="20"/>
  <c r="N2276" i="20"/>
  <c r="P2276" i="20"/>
  <c r="Q2132" i="20"/>
  <c r="AC2132" i="20"/>
  <c r="N2132" i="20"/>
  <c r="AB1526" i="20"/>
  <c r="N1526" i="20"/>
  <c r="O1526" i="20" s="1"/>
  <c r="P1526" i="20"/>
  <c r="N1693" i="20"/>
  <c r="O1693" i="20" s="1"/>
  <c r="AB1693" i="20"/>
  <c r="Q1854" i="20"/>
  <c r="K121" i="2" s="1"/>
  <c r="AC1854" i="20"/>
  <c r="AB1184" i="20"/>
  <c r="N1184" i="20"/>
  <c r="P1184" i="20"/>
  <c r="AC1629" i="20"/>
  <c r="Q1629" i="20"/>
  <c r="AC1345" i="20"/>
  <c r="Q1345" i="20"/>
  <c r="Q1009" i="20"/>
  <c r="AC1009" i="20"/>
  <c r="D24" i="2"/>
  <c r="Q1485" i="20"/>
  <c r="AC1485" i="20"/>
  <c r="P706" i="20"/>
  <c r="N706" i="20"/>
  <c r="O706" i="20" s="1"/>
  <c r="AB706" i="20"/>
  <c r="C20" i="2"/>
  <c r="Q815" i="20"/>
  <c r="AC815" i="20"/>
  <c r="AC586" i="20"/>
  <c r="Q586" i="20"/>
  <c r="Q647" i="20"/>
  <c r="AC647" i="20"/>
  <c r="P294" i="20"/>
  <c r="N294" i="20"/>
  <c r="O294" i="20" s="1"/>
  <c r="AB294" i="20"/>
  <c r="P147" i="20"/>
  <c r="AB147" i="20"/>
  <c r="N147" i="20"/>
  <c r="O147" i="20" s="1"/>
  <c r="AB2753" i="20"/>
  <c r="N2753" i="20"/>
  <c r="O2753" i="20" s="1"/>
  <c r="Q781" i="20"/>
  <c r="AC781" i="20"/>
  <c r="AB2640" i="20"/>
  <c r="N2640" i="20"/>
  <c r="O2640" i="20" s="1"/>
  <c r="P2640" i="20"/>
  <c r="Q2582" i="20"/>
  <c r="AC2582" i="20"/>
  <c r="AB2063" i="20"/>
  <c r="N2063" i="20"/>
  <c r="O2063" i="20" s="1"/>
  <c r="P2063" i="20"/>
  <c r="N1843" i="20"/>
  <c r="O1843" i="20" s="1"/>
  <c r="AB1843" i="20"/>
  <c r="P1843" i="20"/>
  <c r="AB1991" i="20"/>
  <c r="N1991" i="20"/>
  <c r="O1991" i="20" s="1"/>
  <c r="Q116" i="20"/>
  <c r="AC116" i="20"/>
  <c r="N2396" i="20"/>
  <c r="O2396" i="20" s="1"/>
  <c r="P2396" i="20"/>
  <c r="AB2396" i="20"/>
  <c r="AB2567" i="20"/>
  <c r="N2567" i="20"/>
  <c r="O2567" i="20" s="1"/>
  <c r="Q2560" i="20"/>
  <c r="AC2560" i="20"/>
  <c r="P2710" i="20"/>
  <c r="AB2710" i="20"/>
  <c r="N2710" i="20"/>
  <c r="O2710" i="20" s="1"/>
  <c r="N2693" i="20"/>
  <c r="O2693" i="20" s="1"/>
  <c r="Q2693" i="20"/>
  <c r="AC2693" i="20"/>
  <c r="Q2535" i="20"/>
  <c r="AC2535" i="20"/>
  <c r="AC2605" i="20"/>
  <c r="Q2605" i="20"/>
  <c r="J2683" i="20"/>
  <c r="P2683" i="20" s="1"/>
  <c r="N2646" i="20"/>
  <c r="O2646" i="20" s="1"/>
  <c r="AB2646" i="20"/>
  <c r="P2646" i="20"/>
  <c r="P2223" i="20"/>
  <c r="AB2223" i="20"/>
  <c r="N2223" i="20"/>
  <c r="O2223" i="20" s="1"/>
  <c r="AB2104" i="20"/>
  <c r="N2104" i="20"/>
  <c r="O2104" i="20" s="1"/>
  <c r="C95" i="2"/>
  <c r="AB1345" i="20"/>
  <c r="P1345" i="20"/>
  <c r="N1345" i="20"/>
  <c r="O1345" i="20" s="1"/>
  <c r="P1552" i="20"/>
  <c r="N1552" i="20"/>
  <c r="O1552" i="20" s="1"/>
  <c r="AB1552" i="20"/>
  <c r="C33" i="2"/>
  <c r="N1251" i="20"/>
  <c r="O1251" i="20" s="1"/>
  <c r="AB1251" i="20"/>
  <c r="J1422" i="20"/>
  <c r="P1422" i="20" s="1"/>
  <c r="AC1450" i="20"/>
  <c r="Q1450" i="20"/>
  <c r="AB587" i="20"/>
  <c r="N587" i="20"/>
  <c r="O587" i="20" s="1"/>
  <c r="AB544" i="20"/>
  <c r="N544" i="20"/>
  <c r="O544" i="20" s="1"/>
  <c r="P844" i="20"/>
  <c r="AB844" i="20"/>
  <c r="N844" i="20"/>
  <c r="O844" i="20" s="1"/>
  <c r="AB59" i="20"/>
  <c r="N59" i="20"/>
  <c r="O59" i="20" s="1"/>
  <c r="AC535" i="20"/>
  <c r="Q535" i="20"/>
  <c r="D20" i="21"/>
  <c r="B13" i="21"/>
  <c r="D13" i="21" s="1"/>
  <c r="D18" i="21"/>
  <c r="C18" i="21"/>
  <c r="E18" i="21" s="1"/>
  <c r="C20" i="21"/>
  <c r="E20" i="21" s="1"/>
  <c r="D19" i="21"/>
  <c r="C19" i="21"/>
  <c r="E19" i="21" s="1"/>
  <c r="N2669" i="20"/>
  <c r="O2669" i="20" s="1"/>
  <c r="AB2669" i="20"/>
  <c r="P2669" i="20"/>
  <c r="N2607" i="20"/>
  <c r="O2607" i="20" s="1"/>
  <c r="AB2607" i="20"/>
  <c r="J2594" i="20"/>
  <c r="P2594" i="20" s="1"/>
  <c r="Q2641" i="20"/>
  <c r="AC2641" i="20"/>
  <c r="N2816" i="20"/>
  <c r="O2816" i="20" s="1"/>
  <c r="AB2816" i="20"/>
  <c r="AC2211" i="20"/>
  <c r="Q2211" i="20"/>
  <c r="Q2167" i="20"/>
  <c r="AC2167" i="20"/>
  <c r="N2167" i="20"/>
  <c r="J2778" i="20"/>
  <c r="P2778" i="20" s="1"/>
  <c r="AC1929" i="20"/>
  <c r="Q1929" i="20"/>
  <c r="N1875" i="20"/>
  <c r="O1875" i="20" s="1"/>
  <c r="AB1875" i="20"/>
  <c r="P1921" i="20"/>
  <c r="N1921" i="20"/>
  <c r="O1921" i="20" s="1"/>
  <c r="AB1921" i="20"/>
  <c r="AC1989" i="20"/>
  <c r="Q1989" i="20"/>
  <c r="N2031" i="20"/>
  <c r="O2031" i="20" s="1"/>
  <c r="AB2031" i="20"/>
  <c r="C80" i="2"/>
  <c r="Q1864" i="20"/>
  <c r="AC1864" i="20"/>
  <c r="P1605" i="20"/>
  <c r="N1605" i="20"/>
  <c r="AB1605" i="20"/>
  <c r="Q1817" i="20"/>
  <c r="AC1817" i="20"/>
  <c r="N1897" i="20"/>
  <c r="O1897" i="20" s="1"/>
  <c r="AB1897" i="20"/>
  <c r="P1644" i="20"/>
  <c r="N1644" i="20"/>
  <c r="AB1644" i="20"/>
  <c r="AB2051" i="20"/>
  <c r="N2051" i="20"/>
  <c r="O2051" i="20" s="1"/>
  <c r="AC2176" i="20"/>
  <c r="Q2176" i="20"/>
  <c r="P1758" i="20"/>
  <c r="N1758" i="20"/>
  <c r="O1758" i="20" s="1"/>
  <c r="AB1758" i="20"/>
  <c r="Q2093" i="20"/>
  <c r="AC2093" i="20"/>
  <c r="AB1580" i="20"/>
  <c r="N1580" i="20"/>
  <c r="O1580" i="20" s="1"/>
  <c r="P1580" i="20"/>
  <c r="N1269" i="20"/>
  <c r="O1269" i="20" s="1"/>
  <c r="AB1269" i="20"/>
  <c r="J1260" i="20"/>
  <c r="P1260" i="20" s="1"/>
  <c r="AB1508" i="20"/>
  <c r="N1508" i="20"/>
  <c r="O1508" i="20" s="1"/>
  <c r="P1508" i="20"/>
  <c r="AC1863" i="20"/>
  <c r="Q1863" i="20"/>
  <c r="K53" i="2" s="1"/>
  <c r="D53" i="2"/>
  <c r="AB1106" i="20"/>
  <c r="N1106" i="20"/>
  <c r="P1106" i="20"/>
  <c r="AB1481" i="20"/>
  <c r="P1481" i="20"/>
  <c r="N1481" i="20"/>
  <c r="O1481" i="20" s="1"/>
  <c r="AC1571" i="20"/>
  <c r="Q1571" i="20"/>
  <c r="I43" i="2"/>
  <c r="I117" i="2"/>
  <c r="P1444" i="20"/>
  <c r="N1444" i="20"/>
  <c r="O1444" i="20" s="1"/>
  <c r="AB1444" i="20"/>
  <c r="AB1233" i="20"/>
  <c r="P1233" i="20"/>
  <c r="N1233" i="20"/>
  <c r="O1233" i="20" s="1"/>
  <c r="Q1439" i="20"/>
  <c r="AC1439" i="20"/>
  <c r="N1102" i="20"/>
  <c r="AB1102" i="20"/>
  <c r="P1102" i="20"/>
  <c r="Q1154" i="20"/>
  <c r="AC1154" i="20"/>
  <c r="AB1159" i="20"/>
  <c r="N1159" i="20"/>
  <c r="P1159" i="20"/>
  <c r="AB1474" i="20"/>
  <c r="P1474" i="20"/>
  <c r="N1474" i="20"/>
  <c r="O1474" i="20" s="1"/>
  <c r="AB921" i="20"/>
  <c r="N921" i="20"/>
  <c r="O921" i="20" s="1"/>
  <c r="P921" i="20"/>
  <c r="N496" i="20"/>
  <c r="AB496" i="20"/>
  <c r="P496" i="20"/>
  <c r="N970" i="20"/>
  <c r="O970" i="20" s="1"/>
  <c r="P970" i="20"/>
  <c r="AB970" i="20"/>
  <c r="Q940" i="20"/>
  <c r="AC940" i="20"/>
  <c r="P990" i="20"/>
  <c r="N990" i="20"/>
  <c r="O990" i="20" s="1"/>
  <c r="AB990" i="20"/>
  <c r="J724" i="20"/>
  <c r="P724" i="20" s="1"/>
  <c r="AC1363" i="20"/>
  <c r="Q1363" i="20"/>
  <c r="Q842" i="20"/>
  <c r="AC842" i="20"/>
  <c r="AB1034" i="20"/>
  <c r="P1034" i="20"/>
  <c r="N1034" i="20"/>
  <c r="O1034" i="20" s="1"/>
  <c r="J1251" i="20"/>
  <c r="P1251" i="20" s="1"/>
  <c r="Q665" i="20"/>
  <c r="AC665" i="20"/>
  <c r="J1283" i="20"/>
  <c r="P1283" i="20" s="1"/>
  <c r="AB632" i="20"/>
  <c r="P632" i="20"/>
  <c r="N632" i="20"/>
  <c r="O632" i="20" s="1"/>
  <c r="N408" i="20"/>
  <c r="P408" i="20"/>
  <c r="AB408" i="20"/>
  <c r="AC1010" i="20"/>
  <c r="Q1010" i="20"/>
  <c r="Q228" i="20"/>
  <c r="AC228" i="20"/>
  <c r="Q697" i="20"/>
  <c r="AC697" i="20"/>
  <c r="P162" i="20"/>
  <c r="N162" i="20"/>
  <c r="O162" i="20" s="1"/>
  <c r="AB162" i="20"/>
  <c r="AB764" i="20"/>
  <c r="N764" i="20"/>
  <c r="O764" i="20" s="1"/>
  <c r="AC989" i="20"/>
  <c r="Q989" i="20"/>
  <c r="Q92" i="20"/>
  <c r="AC92" i="20"/>
  <c r="N405" i="20"/>
  <c r="AB405" i="20"/>
  <c r="P405" i="20"/>
  <c r="N37" i="20"/>
  <c r="O37" i="20" s="1"/>
  <c r="P37" i="20"/>
  <c r="AB37" i="20"/>
  <c r="J1276" i="20"/>
  <c r="P1276" i="20" s="1"/>
  <c r="AC433" i="20"/>
  <c r="Q433" i="20"/>
  <c r="AB342" i="20"/>
  <c r="P342" i="20"/>
  <c r="N342" i="20"/>
  <c r="O342" i="20" s="1"/>
  <c r="AC528" i="20"/>
  <c r="Q528" i="20"/>
  <c r="N84" i="20"/>
  <c r="O84" i="20" s="1"/>
  <c r="AB84" i="20"/>
  <c r="Q283" i="20"/>
  <c r="AC283" i="20"/>
  <c r="AB629" i="20"/>
  <c r="P629" i="20"/>
  <c r="N629" i="20"/>
  <c r="O629" i="20" s="1"/>
  <c r="I94" i="2"/>
  <c r="AC636" i="20"/>
  <c r="Q636" i="20"/>
  <c r="J41" i="20"/>
  <c r="P41" i="20" s="1"/>
  <c r="AB36" i="20"/>
  <c r="N36" i="20"/>
  <c r="O36" i="20" s="1"/>
  <c r="AB161" i="20"/>
  <c r="P161" i="20"/>
  <c r="N161" i="20"/>
  <c r="O161" i="20" s="1"/>
  <c r="J566" i="20"/>
  <c r="P566" i="20" s="1"/>
  <c r="P2571" i="20"/>
  <c r="J2733" i="20"/>
  <c r="P2733" i="20" s="1"/>
  <c r="N2595" i="20"/>
  <c r="O2595" i="20" s="1"/>
  <c r="AB2595" i="20"/>
  <c r="P2595" i="20"/>
  <c r="N2407" i="20"/>
  <c r="O2407" i="20" s="1"/>
  <c r="AB2407" i="20"/>
  <c r="AB2645" i="20"/>
  <c r="N2645" i="20"/>
  <c r="O2645" i="20" s="1"/>
  <c r="P2645" i="20"/>
  <c r="P2493" i="20"/>
  <c r="AB2493" i="20"/>
  <c r="N2493" i="20"/>
  <c r="J2580" i="20"/>
  <c r="P2580" i="20" s="1"/>
  <c r="N2327" i="20"/>
  <c r="O2327" i="20" s="1"/>
  <c r="P2327" i="20"/>
  <c r="AB2327" i="20"/>
  <c r="AB2556" i="20"/>
  <c r="N2556" i="20"/>
  <c r="O2556" i="20" s="1"/>
  <c r="C74" i="2"/>
  <c r="J2651" i="20"/>
  <c r="P2651" i="20" s="1"/>
  <c r="AB2184" i="20"/>
  <c r="N2184" i="20"/>
  <c r="O2184" i="20" s="1"/>
  <c r="P2184" i="20"/>
  <c r="J96" i="2" s="1"/>
  <c r="P1836" i="20"/>
  <c r="N1836" i="20"/>
  <c r="O1836" i="20" s="1"/>
  <c r="AB1836" i="20"/>
  <c r="Q2447" i="20"/>
  <c r="K59" i="2" s="1"/>
  <c r="AC2447" i="20"/>
  <c r="D59" i="2"/>
  <c r="P2076" i="20"/>
  <c r="N2076" i="20"/>
  <c r="O2076" i="20" s="1"/>
  <c r="AB2076" i="20"/>
  <c r="P2186" i="20"/>
  <c r="N2186" i="20"/>
  <c r="O2186" i="20" s="1"/>
  <c r="AB2186" i="20"/>
  <c r="Q2133" i="20"/>
  <c r="AC2133" i="20"/>
  <c r="AC1972" i="20"/>
  <c r="Q1972" i="20"/>
  <c r="D68" i="2"/>
  <c r="N1983" i="20"/>
  <c r="O1983" i="20" s="1"/>
  <c r="AB1983" i="20"/>
  <c r="Q1903" i="20"/>
  <c r="AC1903" i="20"/>
  <c r="P2018" i="20"/>
  <c r="I87" i="2"/>
  <c r="I118" i="2"/>
  <c r="P1773" i="20"/>
  <c r="N1773" i="20"/>
  <c r="O1773" i="20" s="1"/>
  <c r="AB1773" i="20"/>
  <c r="P2068" i="20"/>
  <c r="AB2068" i="20"/>
  <c r="N2068" i="20"/>
  <c r="O2068" i="20" s="1"/>
  <c r="AB1918" i="20"/>
  <c r="N1918" i="20"/>
  <c r="O1918" i="20" s="1"/>
  <c r="P1918" i="20"/>
  <c r="J1232" i="20"/>
  <c r="P1232" i="20" s="1"/>
  <c r="N963" i="20"/>
  <c r="O963" i="20" s="1"/>
  <c r="AB963" i="20"/>
  <c r="P963" i="20"/>
  <c r="P1161" i="20"/>
  <c r="AB1161" i="20"/>
  <c r="N1161" i="20"/>
  <c r="Q1680" i="20"/>
  <c r="AC1680" i="20"/>
  <c r="J1268" i="20"/>
  <c r="Q1413" i="20"/>
  <c r="AC1413" i="20"/>
  <c r="J1227" i="20"/>
  <c r="P1227" i="20" s="1"/>
  <c r="Q1323" i="20"/>
  <c r="AC1323" i="20"/>
  <c r="AB1145" i="20"/>
  <c r="P1145" i="20"/>
  <c r="N1145" i="20"/>
  <c r="AB1048" i="20"/>
  <c r="P1048" i="20"/>
  <c r="N1048" i="20"/>
  <c r="O1048" i="20" s="1"/>
  <c r="N1304" i="20"/>
  <c r="O1304" i="20" s="1"/>
  <c r="AB1304" i="20"/>
  <c r="P1304" i="20"/>
  <c r="AB1391" i="20"/>
  <c r="P1391" i="20"/>
  <c r="N1391" i="20"/>
  <c r="O1391" i="20" s="1"/>
  <c r="AC1351" i="20"/>
  <c r="Q1351" i="20"/>
  <c r="J767" i="20"/>
  <c r="P767" i="20" s="1"/>
  <c r="Q899" i="20"/>
  <c r="AC899" i="20"/>
  <c r="J1213" i="20"/>
  <c r="P1213" i="20" s="1"/>
  <c r="AB1022" i="20"/>
  <c r="P1022" i="20"/>
  <c r="N1022" i="20"/>
  <c r="O1022" i="20" s="1"/>
  <c r="Q1110" i="20"/>
  <c r="AC1110" i="20"/>
  <c r="AB652" i="20"/>
  <c r="P652" i="20"/>
  <c r="N652" i="20"/>
  <c r="O652" i="20" s="1"/>
  <c r="P107" i="20"/>
  <c r="N107" i="20"/>
  <c r="O107" i="20" s="1"/>
  <c r="AB107" i="20"/>
  <c r="AB735" i="20"/>
  <c r="N735" i="20"/>
  <c r="O735" i="20" s="1"/>
  <c r="P735" i="20"/>
  <c r="AB530" i="20"/>
  <c r="P530" i="20"/>
  <c r="N530" i="20"/>
  <c r="O530" i="20" s="1"/>
  <c r="AC276" i="20"/>
  <c r="Q276" i="20"/>
  <c r="AC575" i="20"/>
  <c r="Q575" i="20"/>
  <c r="Q267" i="20"/>
  <c r="AC267" i="20"/>
  <c r="Q867" i="20"/>
  <c r="AC867" i="20"/>
  <c r="J1297" i="20"/>
  <c r="P1297" i="20" s="1"/>
  <c r="N561" i="20"/>
  <c r="O561" i="20" s="1"/>
  <c r="AB561" i="20"/>
  <c r="P561" i="20"/>
  <c r="P24" i="20"/>
  <c r="AB24" i="20"/>
  <c r="N24" i="20"/>
  <c r="O24" i="20" s="1"/>
  <c r="Q28" i="20"/>
  <c r="AC28" i="20"/>
  <c r="Q294" i="20"/>
  <c r="AC294" i="20"/>
  <c r="AB310" i="20"/>
  <c r="N310" i="20"/>
  <c r="O310" i="20" s="1"/>
  <c r="P310" i="20"/>
  <c r="AB268" i="20"/>
  <c r="P268" i="20"/>
  <c r="N268" i="20"/>
  <c r="O268" i="20" s="1"/>
  <c r="AC391" i="20"/>
  <c r="Q391" i="20"/>
  <c r="AB423" i="20"/>
  <c r="P423" i="20"/>
  <c r="N423" i="20"/>
  <c r="N588" i="20"/>
  <c r="O588" i="20" s="1"/>
  <c r="AB588" i="20"/>
  <c r="P127" i="20"/>
  <c r="N127" i="20"/>
  <c r="O127" i="20" s="1"/>
  <c r="AB127" i="20"/>
  <c r="AB279" i="20"/>
  <c r="P279" i="20"/>
  <c r="N279" i="20"/>
  <c r="O279" i="20" s="1"/>
  <c r="AC59" i="20"/>
  <c r="Q59" i="20"/>
  <c r="Q611" i="20"/>
  <c r="AC611" i="20"/>
  <c r="AC157" i="20"/>
  <c r="Q157" i="20"/>
  <c r="AC254" i="20"/>
  <c r="Q254" i="20"/>
  <c r="AB521" i="20"/>
  <c r="N521" i="20"/>
  <c r="O521" i="20" s="1"/>
  <c r="Q2407" i="20"/>
  <c r="AC2407" i="20"/>
  <c r="N2582" i="20"/>
  <c r="O2582" i="20" s="1"/>
  <c r="P2582" i="20"/>
  <c r="AB2582" i="20"/>
  <c r="AC2645" i="20"/>
  <c r="Q2645" i="20"/>
  <c r="J2601" i="20"/>
  <c r="P2601" i="20" s="1"/>
  <c r="N2564" i="20"/>
  <c r="O2564" i="20" s="1"/>
  <c r="AB2564" i="20"/>
  <c r="J2800" i="20"/>
  <c r="P2800" i="20" s="1"/>
  <c r="AC2327" i="20"/>
  <c r="Q2327" i="20"/>
  <c r="AC2556" i="20"/>
  <c r="Q2556" i="20"/>
  <c r="D74" i="2"/>
  <c r="AC2317" i="20"/>
  <c r="Q2317" i="20"/>
  <c r="N2317" i="20"/>
  <c r="O2317" i="20" s="1"/>
  <c r="AB2354" i="20"/>
  <c r="P2354" i="20"/>
  <c r="N2354" i="20"/>
  <c r="O2354" i="20" s="1"/>
  <c r="AC2646" i="20"/>
  <c r="Q2646" i="20"/>
  <c r="Q2572" i="20"/>
  <c r="AC2572" i="20"/>
  <c r="D13" i="2"/>
  <c r="P2270" i="20"/>
  <c r="N2270" i="20"/>
  <c r="AB2270" i="20"/>
  <c r="N2289" i="20"/>
  <c r="P2289" i="20"/>
  <c r="AB2289" i="20"/>
  <c r="N1829" i="20"/>
  <c r="O1829" i="20" s="1"/>
  <c r="AB1829" i="20"/>
  <c r="P1829" i="20"/>
  <c r="C41" i="2"/>
  <c r="J2756" i="20"/>
  <c r="P2756" i="20" s="1"/>
  <c r="Q2186" i="20"/>
  <c r="AC2186" i="20"/>
  <c r="AB2133" i="20"/>
  <c r="P2133" i="20"/>
  <c r="N2133" i="20"/>
  <c r="P1846" i="20"/>
  <c r="N1846" i="20"/>
  <c r="O1846" i="20" s="1"/>
  <c r="AB1846" i="20"/>
  <c r="Q1983" i="20"/>
  <c r="AC1983" i="20"/>
  <c r="Q1764" i="20"/>
  <c r="AC1764" i="20"/>
  <c r="N1971" i="20"/>
  <c r="O1971" i="20" s="1"/>
  <c r="AB1971" i="20"/>
  <c r="AB1665" i="20"/>
  <c r="N1665" i="20"/>
  <c r="O1665" i="20" s="1"/>
  <c r="N1428" i="20"/>
  <c r="O1428" i="20" s="1"/>
  <c r="AB1428" i="20"/>
  <c r="P1428" i="20"/>
  <c r="AB1732" i="20"/>
  <c r="P1732" i="20"/>
  <c r="N1732" i="20"/>
  <c r="O1732" i="20" s="1"/>
  <c r="AC1918" i="20"/>
  <c r="Q1918" i="20"/>
  <c r="D64" i="2"/>
  <c r="Q1291" i="20"/>
  <c r="AC1291" i="20"/>
  <c r="N1469" i="20"/>
  <c r="O1469" i="20" s="1"/>
  <c r="AB1469" i="20"/>
  <c r="P1469" i="20"/>
  <c r="J1685" i="20"/>
  <c r="P1685" i="20" s="1"/>
  <c r="P1715" i="20"/>
  <c r="N1715" i="20"/>
  <c r="O1715" i="20" s="1"/>
  <c r="AB1715" i="20"/>
  <c r="J1692" i="20"/>
  <c r="P1692" i="20" s="1"/>
  <c r="P1210" i="20"/>
  <c r="N1210" i="20"/>
  <c r="O1210" i="20" s="1"/>
  <c r="AB1210" i="20"/>
  <c r="N926" i="20"/>
  <c r="O926" i="20" s="1"/>
  <c r="P926" i="20"/>
  <c r="AB926" i="20"/>
  <c r="N1295" i="20"/>
  <c r="O1295" i="20" s="1"/>
  <c r="AB1295" i="20"/>
  <c r="J1406" i="20"/>
  <c r="P1406" i="20" s="1"/>
  <c r="Q1145" i="20"/>
  <c r="AC1145" i="20"/>
  <c r="AC1304" i="20"/>
  <c r="Q1304" i="20"/>
  <c r="AC1391" i="20"/>
  <c r="Q1391" i="20"/>
  <c r="AB701" i="20"/>
  <c r="P701" i="20"/>
  <c r="N701" i="20"/>
  <c r="O701" i="20" s="1"/>
  <c r="N850" i="20"/>
  <c r="O850" i="20" s="1"/>
  <c r="AB850" i="20"/>
  <c r="P850" i="20"/>
  <c r="J1683" i="20"/>
  <c r="P1683" i="20" s="1"/>
  <c r="P388" i="20"/>
  <c r="N388" i="20"/>
  <c r="O388" i="20" s="1"/>
  <c r="AB388" i="20"/>
  <c r="N526" i="20"/>
  <c r="O526" i="20" s="1"/>
  <c r="P526" i="20"/>
  <c r="AB526" i="20"/>
  <c r="AC735" i="20"/>
  <c r="Q735" i="20"/>
  <c r="AC530" i="20"/>
  <c r="Q530" i="20"/>
  <c r="P1178" i="20"/>
  <c r="N1178" i="20"/>
  <c r="AB1178" i="20"/>
  <c r="N556" i="20"/>
  <c r="O556" i="20" s="1"/>
  <c r="AB556" i="20"/>
  <c r="J721" i="20"/>
  <c r="P721" i="20" s="1"/>
  <c r="AC561" i="20"/>
  <c r="Q561" i="20"/>
  <c r="Q24" i="20"/>
  <c r="AC24" i="20"/>
  <c r="AC544" i="20"/>
  <c r="Q544" i="20"/>
  <c r="J561" i="20"/>
  <c r="P104" i="20"/>
  <c r="N104" i="20"/>
  <c r="O104" i="20" s="1"/>
  <c r="AB104" i="20"/>
  <c r="AC423" i="20"/>
  <c r="Q423" i="20"/>
  <c r="AC588" i="20"/>
  <c r="Q588" i="20"/>
  <c r="P116" i="20"/>
  <c r="AB116" i="20"/>
  <c r="N116" i="20"/>
  <c r="O116" i="20" s="1"/>
  <c r="Q127" i="20"/>
  <c r="AC127" i="20"/>
  <c r="AB182" i="20"/>
  <c r="P182" i="20"/>
  <c r="N182" i="20"/>
  <c r="O182" i="20" s="1"/>
  <c r="AC149" i="20"/>
  <c r="Q149" i="20"/>
  <c r="AC521" i="20"/>
  <c r="Q521" i="20"/>
  <c r="AC2783" i="20"/>
  <c r="Q2783" i="20"/>
  <c r="AB2555" i="20"/>
  <c r="P2555" i="20"/>
  <c r="N2555" i="20"/>
  <c r="O2555" i="20" s="1"/>
  <c r="N2598" i="20"/>
  <c r="O2598" i="20" s="1"/>
  <c r="AB2598" i="20"/>
  <c r="AC2332" i="20"/>
  <c r="Q2332" i="20"/>
  <c r="P2130" i="20"/>
  <c r="AB2130" i="20"/>
  <c r="N2130" i="20"/>
  <c r="Q2267" i="20"/>
  <c r="AC2267" i="20"/>
  <c r="AC2364" i="20"/>
  <c r="Q2364" i="20"/>
  <c r="AC2229" i="20"/>
  <c r="Q2229" i="20"/>
  <c r="AC2161" i="20"/>
  <c r="Q2161" i="20"/>
  <c r="J1670" i="20"/>
  <c r="P2162" i="20"/>
  <c r="AB2162" i="20"/>
  <c r="N2162" i="20"/>
  <c r="N1355" i="20"/>
  <c r="O1355" i="20" s="1"/>
  <c r="P1355" i="20"/>
  <c r="AB1355" i="20"/>
  <c r="P1077" i="20"/>
  <c r="AB1077" i="20"/>
  <c r="N1077" i="20"/>
  <c r="O1077" i="20" s="1"/>
  <c r="Q1693" i="20"/>
  <c r="AC1693" i="20"/>
  <c r="P1619" i="20"/>
  <c r="N1619" i="20"/>
  <c r="AB1619" i="20"/>
  <c r="AB1201" i="20"/>
  <c r="P1201" i="20"/>
  <c r="N1201" i="20"/>
  <c r="AC1692" i="20"/>
  <c r="Q1692" i="20"/>
  <c r="Q1631" i="20"/>
  <c r="AC1631" i="20"/>
  <c r="P1321" i="20"/>
  <c r="AB1321" i="20"/>
  <c r="N1321" i="20"/>
  <c r="O1321" i="20" s="1"/>
  <c r="P883" i="20"/>
  <c r="N883" i="20"/>
  <c r="O883" i="20" s="1"/>
  <c r="AB883" i="20"/>
  <c r="N1181" i="20"/>
  <c r="AB1181" i="20"/>
  <c r="P1181" i="20"/>
  <c r="Q1220" i="20"/>
  <c r="AC1220" i="20"/>
  <c r="Q1251" i="20"/>
  <c r="AC1251" i="20"/>
  <c r="Q1401" i="20"/>
  <c r="AC1401" i="20"/>
  <c r="P1594" i="20"/>
  <c r="AB1594" i="20"/>
  <c r="N1594" i="20"/>
  <c r="O1594" i="20" s="1"/>
  <c r="P1442" i="20"/>
  <c r="N1442" i="20"/>
  <c r="O1442" i="20" s="1"/>
  <c r="AB1442" i="20"/>
  <c r="P943" i="20"/>
  <c r="N943" i="20"/>
  <c r="O943" i="20" s="1"/>
  <c r="AB943" i="20"/>
  <c r="AB1097" i="20"/>
  <c r="P1097" i="20"/>
  <c r="N1097" i="20"/>
  <c r="O1097" i="20" s="1"/>
  <c r="P1141" i="20"/>
  <c r="AB1141" i="20"/>
  <c r="N1141" i="20"/>
  <c r="AC640" i="20"/>
  <c r="Q640" i="20"/>
  <c r="N586" i="20"/>
  <c r="O586" i="20" s="1"/>
  <c r="AB586" i="20"/>
  <c r="P586" i="20"/>
  <c r="AC590" i="20"/>
  <c r="Q590" i="20"/>
  <c r="J1655" i="20"/>
  <c r="J556" i="20"/>
  <c r="P556" i="20" s="1"/>
  <c r="N35" i="20"/>
  <c r="O35" i="20" s="1"/>
  <c r="P35" i="20"/>
  <c r="AB35" i="20"/>
  <c r="Q604" i="20"/>
  <c r="AC604" i="20"/>
  <c r="D16" i="2"/>
  <c r="Q622" i="20"/>
  <c r="AC622" i="20"/>
  <c r="J526" i="20"/>
  <c r="I122" i="2"/>
  <c r="I86" i="2"/>
  <c r="N53" i="20"/>
  <c r="O53" i="20" s="1"/>
  <c r="AB53" i="20"/>
  <c r="AC313" i="20"/>
  <c r="Q313" i="20"/>
  <c r="J579" i="20"/>
  <c r="P579" i="20" s="1"/>
  <c r="J98" i="20"/>
  <c r="P98" i="20" s="1"/>
  <c r="AB315" i="20"/>
  <c r="P315" i="20"/>
  <c r="N315" i="20"/>
  <c r="O315" i="20" s="1"/>
  <c r="P143" i="20"/>
  <c r="AB143" i="20"/>
  <c r="N143" i="20"/>
  <c r="O143" i="20" s="1"/>
  <c r="J89" i="20"/>
  <c r="P89" i="20" s="1"/>
  <c r="Q2483" i="20"/>
  <c r="K104" i="2" s="1"/>
  <c r="N2483" i="20"/>
  <c r="O2483" i="20" s="1"/>
  <c r="AC2483" i="20"/>
  <c r="AC2656" i="20"/>
  <c r="Q2656" i="20"/>
  <c r="N2653" i="20"/>
  <c r="O2653" i="20" s="1"/>
  <c r="AB2653" i="20"/>
  <c r="P2653" i="20"/>
  <c r="J2816" i="20"/>
  <c r="P2816" i="20" s="1"/>
  <c r="AC2244" i="20"/>
  <c r="Q2244" i="20"/>
  <c r="Q2499" i="20"/>
  <c r="AC2499" i="20"/>
  <c r="D103" i="2"/>
  <c r="AB2424" i="20"/>
  <c r="P2424" i="20"/>
  <c r="N2424" i="20"/>
  <c r="O2424" i="20" s="1"/>
  <c r="AB2738" i="20"/>
  <c r="P2738" i="20"/>
  <c r="N2738" i="20"/>
  <c r="O2738" i="20" s="1"/>
  <c r="N2372" i="20"/>
  <c r="O2372" i="20" s="1"/>
  <c r="AB2372" i="20"/>
  <c r="P2372" i="20"/>
  <c r="AC2468" i="20"/>
  <c r="Q2468" i="20"/>
  <c r="AB2475" i="20"/>
  <c r="P2475" i="20"/>
  <c r="N2475" i="20"/>
  <c r="AC2301" i="20"/>
  <c r="Q2301" i="20"/>
  <c r="N1925" i="20"/>
  <c r="O1925" i="20" s="1"/>
  <c r="AB1925" i="20"/>
  <c r="Q1974" i="20"/>
  <c r="AC1974" i="20"/>
  <c r="AC1770" i="20"/>
  <c r="Q1770" i="20"/>
  <c r="K43" i="2" s="1"/>
  <c r="N1770" i="20"/>
  <c r="O1770" i="20" s="1"/>
  <c r="D117" i="2"/>
  <c r="D43" i="2"/>
  <c r="P1804" i="20"/>
  <c r="N1804" i="20"/>
  <c r="O1804" i="20" s="1"/>
  <c r="AB1804" i="20"/>
  <c r="P2038" i="20"/>
  <c r="N2038" i="20"/>
  <c r="O2038" i="20" s="1"/>
  <c r="AB2038" i="20"/>
  <c r="AB2172" i="20"/>
  <c r="P2172" i="20"/>
  <c r="N2172" i="20"/>
  <c r="Q1841" i="20"/>
  <c r="AC1841" i="20"/>
  <c r="AB1805" i="20"/>
  <c r="N1805" i="20"/>
  <c r="O1805" i="20" s="1"/>
  <c r="P1805" i="20"/>
  <c r="Q2484" i="20"/>
  <c r="AC2484" i="20"/>
  <c r="AB1655" i="20"/>
  <c r="N1655" i="20"/>
  <c r="O1655" i="20" s="1"/>
  <c r="N1912" i="20"/>
  <c r="O1912" i="20" s="1"/>
  <c r="AB1912" i="20"/>
  <c r="AC2149" i="20"/>
  <c r="Q2149" i="20"/>
  <c r="Q1281" i="20"/>
  <c r="N1281" i="20"/>
  <c r="O1281" i="20" s="1"/>
  <c r="AC1281" i="20"/>
  <c r="AB1633" i="20"/>
  <c r="P1633" i="20"/>
  <c r="N1633" i="20"/>
  <c r="P1301" i="20"/>
  <c r="AB1301" i="20"/>
  <c r="N1301" i="20"/>
  <c r="O1301" i="20" s="1"/>
  <c r="P1119" i="20"/>
  <c r="N1119" i="20"/>
  <c r="AB1119" i="20"/>
  <c r="N1559" i="20"/>
  <c r="O1559" i="20" s="1"/>
  <c r="AB1559" i="20"/>
  <c r="P1559" i="20"/>
  <c r="P1562" i="20"/>
  <c r="N1562" i="20"/>
  <c r="O1562" i="20" s="1"/>
  <c r="AB1562" i="20"/>
  <c r="J1425" i="20"/>
  <c r="P1425" i="20" s="1"/>
  <c r="AB1883" i="20"/>
  <c r="N1883" i="20"/>
  <c r="O1883" i="20" s="1"/>
  <c r="P838" i="20"/>
  <c r="N838" i="20"/>
  <c r="O838" i="20" s="1"/>
  <c r="AB838" i="20"/>
  <c r="AB1540" i="20"/>
  <c r="P1540" i="20"/>
  <c r="N1540" i="20"/>
  <c r="O1540" i="20" s="1"/>
  <c r="AB1533" i="20"/>
  <c r="P1533" i="20"/>
  <c r="N1533" i="20"/>
  <c r="O1533" i="20" s="1"/>
  <c r="N1387" i="20"/>
  <c r="O1387" i="20" s="1"/>
  <c r="AB1387" i="20"/>
  <c r="P1387" i="20"/>
  <c r="AB779" i="20"/>
  <c r="P779" i="20"/>
  <c r="N779" i="20"/>
  <c r="O779" i="20" s="1"/>
  <c r="AB991" i="20"/>
  <c r="N991" i="20"/>
  <c r="O991" i="20" s="1"/>
  <c r="P991" i="20"/>
  <c r="AB668" i="20"/>
  <c r="N668" i="20"/>
  <c r="O668" i="20" s="1"/>
  <c r="P668" i="20"/>
  <c r="Q862" i="20"/>
  <c r="AC862" i="20"/>
  <c r="AB1086" i="20"/>
  <c r="P1086" i="20"/>
  <c r="N1086" i="20"/>
  <c r="O1086" i="20" s="1"/>
  <c r="AB1049" i="20"/>
  <c r="P1049" i="20"/>
  <c r="N1049" i="20"/>
  <c r="O1049" i="20" s="1"/>
  <c r="P567" i="20"/>
  <c r="N567" i="20"/>
  <c r="O567" i="20" s="1"/>
  <c r="AB567" i="20"/>
  <c r="P992" i="20"/>
  <c r="N992" i="20"/>
  <c r="O992" i="20" s="1"/>
  <c r="AB992" i="20"/>
  <c r="AB398" i="20"/>
  <c r="P398" i="20"/>
  <c r="N398" i="20"/>
  <c r="O398" i="20" s="1"/>
  <c r="Q905" i="20"/>
  <c r="AC905" i="20"/>
  <c r="Q285" i="20"/>
  <c r="AC285" i="20"/>
  <c r="AB669" i="20"/>
  <c r="P669" i="20"/>
  <c r="N669" i="20"/>
  <c r="O669" i="20" s="1"/>
  <c r="P797" i="20"/>
  <c r="AB797" i="20"/>
  <c r="N797" i="20"/>
  <c r="O797" i="20" s="1"/>
  <c r="AB716" i="20"/>
  <c r="N716" i="20"/>
  <c r="O716" i="20" s="1"/>
  <c r="Q587" i="20"/>
  <c r="AC587" i="20"/>
  <c r="P301" i="20"/>
  <c r="N301" i="20"/>
  <c r="O301" i="20" s="1"/>
  <c r="AB301" i="20"/>
  <c r="J768" i="20"/>
  <c r="P768" i="20" s="1"/>
  <c r="N732" i="20"/>
  <c r="O732" i="20" s="1"/>
  <c r="P732" i="20"/>
  <c r="AB732" i="20"/>
  <c r="AB340" i="20"/>
  <c r="P340" i="20"/>
  <c r="N340" i="20"/>
  <c r="O340" i="20" s="1"/>
  <c r="AB691" i="20"/>
  <c r="P691" i="20"/>
  <c r="N691" i="20"/>
  <c r="O691" i="20" s="1"/>
  <c r="N649" i="20"/>
  <c r="O649" i="20" s="1"/>
  <c r="P649" i="20"/>
  <c r="AB649" i="20"/>
  <c r="AB286" i="20"/>
  <c r="N286" i="20"/>
  <c r="O286" i="20" s="1"/>
  <c r="P286" i="20"/>
  <c r="J521" i="20"/>
  <c r="P521" i="20" s="1"/>
  <c r="J558" i="20"/>
  <c r="P558" i="20" s="1"/>
  <c r="AB306" i="20"/>
  <c r="N306" i="20"/>
  <c r="O306" i="20" s="1"/>
  <c r="P306" i="20"/>
  <c r="J599" i="20"/>
  <c r="P599" i="20" s="1"/>
  <c r="AC66" i="20"/>
  <c r="Q66" i="20"/>
  <c r="J587" i="20"/>
  <c r="P587" i="20" s="1"/>
  <c r="N2569" i="20"/>
  <c r="O2569" i="20" s="1"/>
  <c r="AB2569" i="20"/>
  <c r="Q2562" i="20"/>
  <c r="N2562" i="20"/>
  <c r="O2562" i="20" s="1"/>
  <c r="AC2562" i="20"/>
  <c r="J2695" i="20"/>
  <c r="P2695" i="20" s="1"/>
  <c r="N2244" i="20"/>
  <c r="AB2244" i="20"/>
  <c r="P2244" i="20"/>
  <c r="AB2613" i="20"/>
  <c r="P2613" i="20"/>
  <c r="N2613" i="20"/>
  <c r="O2613" i="20" s="1"/>
  <c r="AC2536" i="20"/>
  <c r="Q2536" i="20"/>
  <c r="J2581" i="20"/>
  <c r="P2581" i="20" s="1"/>
  <c r="Q2424" i="20"/>
  <c r="AC2424" i="20"/>
  <c r="AC2433" i="20"/>
  <c r="Q2433" i="20"/>
  <c r="AC2738" i="20"/>
  <c r="Q2738" i="20"/>
  <c r="Q2372" i="20"/>
  <c r="AC2372" i="20"/>
  <c r="D98" i="2"/>
  <c r="N2356" i="20"/>
  <c r="O2356" i="20" s="1"/>
  <c r="AB2356" i="20"/>
  <c r="P2356" i="20"/>
  <c r="AC2475" i="20"/>
  <c r="Q2475" i="20"/>
  <c r="P2189" i="20"/>
  <c r="AB2189" i="20"/>
  <c r="N2189" i="20"/>
  <c r="O2189" i="20" s="1"/>
  <c r="AB1979" i="20"/>
  <c r="N1979" i="20"/>
  <c r="O1979" i="20" s="1"/>
  <c r="AC1925" i="20"/>
  <c r="Q1925" i="20"/>
  <c r="Q2386" i="20"/>
  <c r="AC2386" i="20"/>
  <c r="N1973" i="20"/>
  <c r="O1973" i="20" s="1"/>
  <c r="AB1973" i="20"/>
  <c r="Q1804" i="20"/>
  <c r="AC1804" i="20"/>
  <c r="Q2172" i="20"/>
  <c r="AC2172" i="20"/>
  <c r="P1702" i="20"/>
  <c r="N1702" i="20"/>
  <c r="O1702" i="20" s="1"/>
  <c r="AB1702" i="20"/>
  <c r="C35" i="2"/>
  <c r="AC1912" i="20"/>
  <c r="Q1912" i="20"/>
  <c r="AC1633" i="20"/>
  <c r="Q1633" i="20"/>
  <c r="J1661" i="20"/>
  <c r="P1661" i="20" s="1"/>
  <c r="N1291" i="20"/>
  <c r="O1291" i="20" s="1"/>
  <c r="AB1299" i="20"/>
  <c r="N1299" i="20"/>
  <c r="O1299" i="20" s="1"/>
  <c r="P1299" i="20"/>
  <c r="P1112" i="20"/>
  <c r="N1112" i="20"/>
  <c r="AB1112" i="20"/>
  <c r="P1551" i="20"/>
  <c r="N1551" i="20"/>
  <c r="O1551" i="20" s="1"/>
  <c r="AB1551" i="20"/>
  <c r="Q1562" i="20"/>
  <c r="AC1562" i="20"/>
  <c r="AB1761" i="20"/>
  <c r="P1761" i="20"/>
  <c r="N1761" i="20"/>
  <c r="O1761" i="20" s="1"/>
  <c r="AC1419" i="20"/>
  <c r="Q1419" i="20"/>
  <c r="AC1883" i="20"/>
  <c r="Q1883" i="20"/>
  <c r="N831" i="20"/>
  <c r="O831" i="20" s="1"/>
  <c r="AB831" i="20"/>
  <c r="P831" i="20"/>
  <c r="Q1579" i="20"/>
  <c r="AC1579" i="20"/>
  <c r="N1579" i="20"/>
  <c r="O1579" i="20" s="1"/>
  <c r="AC1540" i="20"/>
  <c r="Q1540" i="20"/>
  <c r="AC1533" i="20"/>
  <c r="Q1533" i="20"/>
  <c r="J1226" i="20"/>
  <c r="P1226" i="20" s="1"/>
  <c r="N1239" i="20"/>
  <c r="O1239" i="20" s="1"/>
  <c r="AB1239" i="20"/>
  <c r="P1239" i="20"/>
  <c r="P804" i="20"/>
  <c r="N804" i="20"/>
  <c r="O804" i="20" s="1"/>
  <c r="AB804" i="20"/>
  <c r="AC1086" i="20"/>
  <c r="Q1086" i="20"/>
  <c r="Q567" i="20"/>
  <c r="AC567" i="20"/>
  <c r="N392" i="20"/>
  <c r="O392" i="20" s="1"/>
  <c r="P392" i="20"/>
  <c r="AB392" i="20"/>
  <c r="P905" i="20"/>
  <c r="N905" i="20"/>
  <c r="O905" i="20" s="1"/>
  <c r="AB905" i="20"/>
  <c r="P230" i="20"/>
  <c r="N230" i="20"/>
  <c r="O230" i="20" s="1"/>
  <c r="AB230" i="20"/>
  <c r="Q797" i="20"/>
  <c r="K20" i="2" s="1"/>
  <c r="AC797" i="20"/>
  <c r="Q716" i="20"/>
  <c r="AC716" i="20"/>
  <c r="AB419" i="20"/>
  <c r="P419" i="20"/>
  <c r="N419" i="20"/>
  <c r="Q732" i="20"/>
  <c r="AC732" i="20"/>
  <c r="AC340" i="20"/>
  <c r="Q340" i="20"/>
  <c r="Q649" i="20"/>
  <c r="AC649" i="20"/>
  <c r="J504" i="20"/>
  <c r="P504" i="20" s="1"/>
  <c r="P196" i="20"/>
  <c r="N196" i="20"/>
  <c r="O196" i="20" s="1"/>
  <c r="AB196" i="20"/>
  <c r="J67" i="20"/>
  <c r="P67" i="20" s="1"/>
  <c r="AC306" i="20"/>
  <c r="Q306" i="20"/>
  <c r="J793" i="20"/>
  <c r="P793" i="20" s="1"/>
  <c r="P183" i="20"/>
  <c r="N183" i="20"/>
  <c r="O183" i="20" s="1"/>
  <c r="AB183" i="20"/>
  <c r="P646" i="20"/>
  <c r="N646" i="20"/>
  <c r="O646" i="20" s="1"/>
  <c r="AB646" i="20"/>
  <c r="AC870" i="20"/>
  <c r="Q870" i="20"/>
  <c r="Q2356" i="20"/>
  <c r="AC2356" i="20"/>
  <c r="N2078" i="20"/>
  <c r="O2078" i="20" s="1"/>
  <c r="AB2078" i="20"/>
  <c r="AB2473" i="20"/>
  <c r="P2473" i="20"/>
  <c r="N2473" i="20"/>
  <c r="N2094" i="20"/>
  <c r="O2094" i="20" s="1"/>
  <c r="P2094" i="20"/>
  <c r="AB2094" i="20"/>
  <c r="P2316" i="20"/>
  <c r="N2316" i="20"/>
  <c r="O2316" i="20" s="1"/>
  <c r="AB2316" i="20"/>
  <c r="AB2386" i="20"/>
  <c r="P2386" i="20"/>
  <c r="N2386" i="20"/>
  <c r="O2386" i="20" s="1"/>
  <c r="AB1708" i="20"/>
  <c r="P1708" i="20"/>
  <c r="N1708" i="20"/>
  <c r="O1708" i="20" s="1"/>
  <c r="N2217" i="20"/>
  <c r="O2217" i="20" s="1"/>
  <c r="AB2217" i="20"/>
  <c r="P2217" i="20"/>
  <c r="N2239" i="20"/>
  <c r="O2239" i="20" s="1"/>
  <c r="P2239" i="20"/>
  <c r="AB2239" i="20"/>
  <c r="AB2089" i="20"/>
  <c r="N2089" i="20"/>
  <c r="O2089" i="20" s="1"/>
  <c r="P1840" i="20"/>
  <c r="N1840" i="20"/>
  <c r="O1840" i="20" s="1"/>
  <c r="AB1840" i="20"/>
  <c r="AB2165" i="20"/>
  <c r="N2165" i="20"/>
  <c r="P2165" i="20"/>
  <c r="P1854" i="20"/>
  <c r="AB1854" i="20"/>
  <c r="N1854" i="20"/>
  <c r="O1854" i="20" s="1"/>
  <c r="P1098" i="20"/>
  <c r="N1098" i="20"/>
  <c r="O1098" i="20" s="1"/>
  <c r="AB1098" i="20"/>
  <c r="AB1688" i="20"/>
  <c r="N1688" i="20"/>
  <c r="O1688" i="20" s="1"/>
  <c r="P1688" i="20"/>
  <c r="Q1551" i="20"/>
  <c r="AC1551" i="20"/>
  <c r="AC1761" i="20"/>
  <c r="Q1761" i="20"/>
  <c r="I33" i="2"/>
  <c r="N1419" i="20"/>
  <c r="O1419" i="20" s="1"/>
  <c r="AB1419" i="20"/>
  <c r="P1419" i="20"/>
  <c r="P819" i="20"/>
  <c r="N819" i="20"/>
  <c r="O819" i="20" s="1"/>
  <c r="AB819" i="20"/>
  <c r="P1510" i="20"/>
  <c r="N1510" i="20"/>
  <c r="O1510" i="20" s="1"/>
  <c r="AB1510" i="20"/>
  <c r="J1415" i="20"/>
  <c r="P1415" i="20" s="1"/>
  <c r="Q1239" i="20"/>
  <c r="AC1239" i="20"/>
  <c r="AB720" i="20"/>
  <c r="N720" i="20"/>
  <c r="O720" i="20" s="1"/>
  <c r="P720" i="20"/>
  <c r="N981" i="20"/>
  <c r="O981" i="20" s="1"/>
  <c r="AB981" i="20"/>
  <c r="P981" i="20"/>
  <c r="Q804" i="20"/>
  <c r="AC804" i="20"/>
  <c r="AC1074" i="20"/>
  <c r="Q1074" i="20"/>
  <c r="J1403" i="20"/>
  <c r="P1403" i="20" s="1"/>
  <c r="J532" i="20"/>
  <c r="P532" i="20" s="1"/>
  <c r="J1257" i="20"/>
  <c r="AB815" i="20"/>
  <c r="P815" i="20"/>
  <c r="N815" i="20"/>
  <c r="O815" i="20" s="1"/>
  <c r="N1082" i="20"/>
  <c r="O1082" i="20" s="1"/>
  <c r="P1082" i="20"/>
  <c r="AB1082" i="20"/>
  <c r="AB384" i="20"/>
  <c r="P384" i="20"/>
  <c r="N384" i="20"/>
  <c r="O384" i="20" s="1"/>
  <c r="Q901" i="20"/>
  <c r="AC901" i="20"/>
  <c r="P513" i="20"/>
  <c r="N513" i="20"/>
  <c r="O513" i="20" s="1"/>
  <c r="AB513" i="20"/>
  <c r="Q230" i="20"/>
  <c r="AC230" i="20"/>
  <c r="AB467" i="20"/>
  <c r="P467" i="20"/>
  <c r="N467" i="20"/>
  <c r="AC419" i="20"/>
  <c r="Q419" i="20"/>
  <c r="AB683" i="20"/>
  <c r="P683" i="20"/>
  <c r="N683" i="20"/>
  <c r="O683" i="20" s="1"/>
  <c r="AB859" i="20"/>
  <c r="P859" i="20"/>
  <c r="N859" i="20"/>
  <c r="O859" i="20" s="1"/>
  <c r="N413" i="20"/>
  <c r="AB413" i="20"/>
  <c r="P413" i="20"/>
  <c r="AC925" i="20"/>
  <c r="Q925" i="20"/>
  <c r="N591" i="20"/>
  <c r="O591" i="20" s="1"/>
  <c r="AB591" i="20"/>
  <c r="AB461" i="20"/>
  <c r="P461" i="20"/>
  <c r="N461" i="20"/>
  <c r="J716" i="20"/>
  <c r="P716" i="20" s="1"/>
  <c r="Q196" i="20"/>
  <c r="AC196" i="20"/>
  <c r="N60" i="20"/>
  <c r="O60" i="20" s="1"/>
  <c r="P60" i="20"/>
  <c r="AB60" i="20"/>
  <c r="P890" i="20"/>
  <c r="N890" i="20"/>
  <c r="O890" i="20" s="1"/>
  <c r="AB890" i="20"/>
  <c r="P258" i="20"/>
  <c r="AB258" i="20"/>
  <c r="N258" i="20"/>
  <c r="O258" i="20" s="1"/>
  <c r="P105" i="20"/>
  <c r="N105" i="20"/>
  <c r="O105" i="20" s="1"/>
  <c r="AB105" i="20"/>
  <c r="N295" i="20"/>
  <c r="O295" i="20" s="1"/>
  <c r="AB295" i="20"/>
  <c r="P295" i="20"/>
  <c r="AB336" i="20"/>
  <c r="P336" i="20"/>
  <c r="N336" i="20"/>
  <c r="O336" i="20" s="1"/>
  <c r="AC183" i="20"/>
  <c r="Q183" i="20"/>
  <c r="N206" i="20"/>
  <c r="O206" i="20" s="1"/>
  <c r="AB206" i="20"/>
  <c r="P206" i="20"/>
  <c r="C12" i="2"/>
  <c r="P202" i="20"/>
  <c r="I12" i="2"/>
  <c r="AC646" i="20"/>
  <c r="Q646" i="20"/>
  <c r="AB870" i="20"/>
  <c r="P870" i="20"/>
  <c r="N870" i="20"/>
  <c r="O870" i="20" s="1"/>
  <c r="P2535" i="20"/>
  <c r="N2535" i="20"/>
  <c r="O2535" i="20" s="1"/>
  <c r="AB2535" i="20"/>
  <c r="Q2725" i="20"/>
  <c r="AC2725" i="20"/>
  <c r="J2807" i="20"/>
  <c r="P2807" i="20" s="1"/>
  <c r="J2632" i="20"/>
  <c r="P2632" i="20" s="1"/>
  <c r="AC2378" i="20"/>
  <c r="Q2378" i="20"/>
  <c r="AC2566" i="20"/>
  <c r="Q2566" i="20"/>
  <c r="AB2014" i="20"/>
  <c r="N2014" i="20"/>
  <c r="O2014" i="20" s="1"/>
  <c r="C82" i="2"/>
  <c r="N2157" i="20"/>
  <c r="P2157" i="20"/>
  <c r="AB2157" i="20"/>
  <c r="AB2129" i="20"/>
  <c r="P2129" i="20"/>
  <c r="N2129" i="20"/>
  <c r="Q2190" i="20"/>
  <c r="AC2190" i="20"/>
  <c r="AC2180" i="20"/>
  <c r="Q2180" i="20"/>
  <c r="N2128" i="20"/>
  <c r="AB2128" i="20"/>
  <c r="P2128" i="20"/>
  <c r="AB2142" i="20"/>
  <c r="N2142" i="20"/>
  <c r="P2142" i="20"/>
  <c r="AC2678" i="20"/>
  <c r="Q2678" i="20"/>
  <c r="D23" i="2"/>
  <c r="P1556" i="20"/>
  <c r="N1556" i="20"/>
  <c r="O1556" i="20" s="1"/>
  <c r="AB1556" i="20"/>
  <c r="N1907" i="20"/>
  <c r="O1907" i="20" s="1"/>
  <c r="AB1907" i="20"/>
  <c r="AC1867" i="20"/>
  <c r="Q1867" i="20"/>
  <c r="AB1652" i="20"/>
  <c r="P1652" i="20"/>
  <c r="N1652" i="20"/>
  <c r="O1652" i="20" s="1"/>
  <c r="C30" i="2"/>
  <c r="P1851" i="20"/>
  <c r="N1851" i="20"/>
  <c r="O1851" i="20" s="1"/>
  <c r="AB1851" i="20"/>
  <c r="AB1622" i="20"/>
  <c r="P1622" i="20"/>
  <c r="N1622" i="20"/>
  <c r="AB1167" i="20"/>
  <c r="N1167" i="20"/>
  <c r="P1167" i="20"/>
  <c r="Q1677" i="20"/>
  <c r="AC1677" i="20"/>
  <c r="AC908" i="20"/>
  <c r="Q908" i="20"/>
  <c r="AB1690" i="20"/>
  <c r="N1690" i="20"/>
  <c r="O1690" i="20" s="1"/>
  <c r="J1676" i="20"/>
  <c r="P1676" i="20" s="1"/>
  <c r="P788" i="20"/>
  <c r="N788" i="20"/>
  <c r="O788" i="20" s="1"/>
  <c r="AB788" i="20"/>
  <c r="J1258" i="20"/>
  <c r="P1258" i="20" s="1"/>
  <c r="AB1495" i="20"/>
  <c r="P1495" i="20"/>
  <c r="N1495" i="20"/>
  <c r="O1495" i="20" s="1"/>
  <c r="N1334" i="20"/>
  <c r="O1334" i="20" s="1"/>
  <c r="P1334" i="20"/>
  <c r="AB1334" i="20"/>
  <c r="P1396" i="20"/>
  <c r="AB1396" i="20"/>
  <c r="N1396" i="20"/>
  <c r="O1396" i="20" s="1"/>
  <c r="AB1151" i="20"/>
  <c r="P1151" i="20"/>
  <c r="N1151" i="20"/>
  <c r="N872" i="20"/>
  <c r="O872" i="20" s="1"/>
  <c r="AB872" i="20"/>
  <c r="P872" i="20"/>
  <c r="P941" i="20"/>
  <c r="N941" i="20"/>
  <c r="O941" i="20" s="1"/>
  <c r="AB941" i="20"/>
  <c r="P722" i="20"/>
  <c r="N722" i="20"/>
  <c r="O722" i="20" s="1"/>
  <c r="AB722" i="20"/>
  <c r="P1456" i="20"/>
  <c r="N1456" i="20"/>
  <c r="O1456" i="20" s="1"/>
  <c r="AB1456" i="20"/>
  <c r="C34" i="2"/>
  <c r="J1209" i="20"/>
  <c r="Q501" i="20"/>
  <c r="AC501" i="20"/>
  <c r="AC608" i="20"/>
  <c r="N608" i="20"/>
  <c r="O608" i="20" s="1"/>
  <c r="Q608" i="20"/>
  <c r="Q824" i="20"/>
  <c r="AC824" i="20"/>
  <c r="J1214" i="20"/>
  <c r="P1214" i="20" s="1"/>
  <c r="AB1742" i="20"/>
  <c r="P1742" i="20"/>
  <c r="N1742" i="20"/>
  <c r="O1742" i="20" s="1"/>
  <c r="AC474" i="20"/>
  <c r="Q474" i="20"/>
  <c r="P376" i="20"/>
  <c r="N376" i="20"/>
  <c r="O376" i="20" s="1"/>
  <c r="AB376" i="20"/>
  <c r="Q803" i="20"/>
  <c r="AC803" i="20"/>
  <c r="D25" i="2"/>
  <c r="Q563" i="20"/>
  <c r="AC563" i="20"/>
  <c r="AB1046" i="20"/>
  <c r="P1046" i="20"/>
  <c r="N1046" i="20"/>
  <c r="O1046" i="20" s="1"/>
  <c r="AB483" i="20"/>
  <c r="P483" i="20"/>
  <c r="N483" i="20"/>
  <c r="N265" i="20"/>
  <c r="O265" i="20" s="1"/>
  <c r="P265" i="20"/>
  <c r="AB265" i="20"/>
  <c r="P396" i="20"/>
  <c r="N396" i="20"/>
  <c r="O396" i="20" s="1"/>
  <c r="AB396" i="20"/>
  <c r="N601" i="20"/>
  <c r="O601" i="20" s="1"/>
  <c r="AB601" i="20"/>
  <c r="J704" i="20"/>
  <c r="P704" i="20" s="1"/>
  <c r="AC597" i="20"/>
  <c r="Q597" i="20"/>
  <c r="P817" i="20"/>
  <c r="N817" i="20"/>
  <c r="O817" i="20" s="1"/>
  <c r="AB817" i="20"/>
  <c r="Q494" i="20"/>
  <c r="AC494" i="20"/>
  <c r="AB1393" i="20"/>
  <c r="P1393" i="20"/>
  <c r="N1393" i="20"/>
  <c r="O1393" i="20" s="1"/>
  <c r="I14" i="2"/>
  <c r="J585" i="20"/>
  <c r="P585" i="20" s="1"/>
  <c r="AC844" i="20"/>
  <c r="Q844" i="20"/>
  <c r="AC755" i="20"/>
  <c r="Q755" i="20"/>
  <c r="AC498" i="20"/>
  <c r="Q498" i="20"/>
  <c r="P158" i="20"/>
  <c r="N158" i="20"/>
  <c r="O158" i="20" s="1"/>
  <c r="AB158" i="20"/>
  <c r="P249" i="20"/>
  <c r="AB249" i="20"/>
  <c r="N249" i="20"/>
  <c r="O249" i="20" s="1"/>
  <c r="AB185" i="20"/>
  <c r="P185" i="20"/>
  <c r="N185" i="20"/>
  <c r="O185" i="20" s="1"/>
  <c r="J90" i="20"/>
  <c r="P90" i="20" s="1"/>
  <c r="Q458" i="20"/>
  <c r="AC458" i="20"/>
  <c r="P140" i="20"/>
  <c r="AB140" i="20"/>
  <c r="N140" i="20"/>
  <c r="O140" i="20" s="1"/>
  <c r="AC2845" i="20"/>
  <c r="Q2845" i="20"/>
  <c r="N2659" i="20"/>
  <c r="O2659" i="20" s="1"/>
  <c r="P2659" i="20"/>
  <c r="AB2659" i="20"/>
  <c r="J2780" i="20"/>
  <c r="P2780" i="20" s="1"/>
  <c r="J2658" i="20"/>
  <c r="P2658" i="20" s="1"/>
  <c r="AB2466" i="20"/>
  <c r="N2466" i="20"/>
  <c r="O2466" i="20" s="1"/>
  <c r="P2466" i="20"/>
  <c r="AC2480" i="20"/>
  <c r="Q2480" i="20"/>
  <c r="Q2561" i="20"/>
  <c r="AC2561" i="20"/>
  <c r="AC2437" i="20"/>
  <c r="Q2437" i="20"/>
  <c r="AB2479" i="20"/>
  <c r="P2479" i="20"/>
  <c r="N2479" i="20"/>
  <c r="O2479" i="20" s="1"/>
  <c r="C104" i="2"/>
  <c r="AC2276" i="20"/>
  <c r="Q2276" i="20"/>
  <c r="AC2185" i="20"/>
  <c r="Q2185" i="20"/>
  <c r="N2180" i="20"/>
  <c r="O2180" i="20" s="1"/>
  <c r="AC2614" i="20"/>
  <c r="Q2614" i="20"/>
  <c r="AB1932" i="20"/>
  <c r="N1932" i="20"/>
  <c r="O1932" i="20" s="1"/>
  <c r="Q2266" i="20"/>
  <c r="AC2266" i="20"/>
  <c r="AB1523" i="20"/>
  <c r="P1523" i="20"/>
  <c r="N1523" i="20"/>
  <c r="O1523" i="20" s="1"/>
  <c r="P1570" i="20"/>
  <c r="N1570" i="20"/>
  <c r="O1570" i="20" s="1"/>
  <c r="AB1570" i="20"/>
  <c r="AB1641" i="20"/>
  <c r="N1641" i="20"/>
  <c r="P1641" i="20"/>
  <c r="N1091" i="20"/>
  <c r="O1091" i="20" s="1"/>
  <c r="P1091" i="20"/>
  <c r="AB1091" i="20"/>
  <c r="P1518" i="20"/>
  <c r="N1518" i="20"/>
  <c r="O1518" i="20" s="1"/>
  <c r="AB1518" i="20"/>
  <c r="AC2104" i="20"/>
  <c r="Q2104" i="20"/>
  <c r="D95" i="2"/>
  <c r="Q1126" i="20"/>
  <c r="AC1126" i="20"/>
  <c r="Q1386" i="20"/>
  <c r="AC1386" i="20"/>
  <c r="J1264" i="20"/>
  <c r="P1264" i="20" s="1"/>
  <c r="AC1599" i="20"/>
  <c r="Q1599" i="20"/>
  <c r="J1256" i="20"/>
  <c r="P1256" i="20" s="1"/>
  <c r="N724" i="20"/>
  <c r="O724" i="20" s="1"/>
  <c r="AB724" i="20"/>
  <c r="AB1457" i="20"/>
  <c r="P1457" i="20"/>
  <c r="N1457" i="20"/>
  <c r="O1457" i="20" s="1"/>
  <c r="AC1666" i="20"/>
  <c r="Q1666" i="20"/>
  <c r="AB946" i="20"/>
  <c r="N946" i="20"/>
  <c r="O946" i="20" s="1"/>
  <c r="P946" i="20"/>
  <c r="P1124" i="20"/>
  <c r="N1124" i="20"/>
  <c r="AB1124" i="20"/>
  <c r="J1279" i="20"/>
  <c r="P1279" i="20" s="1"/>
  <c r="AC1337" i="20"/>
  <c r="Q1337" i="20"/>
  <c r="Q959" i="20"/>
  <c r="AC959" i="20"/>
  <c r="J1219" i="20"/>
  <c r="P1219" i="20" s="1"/>
  <c r="Q1517" i="20"/>
  <c r="AC1517" i="20"/>
  <c r="AB829" i="20"/>
  <c r="N829" i="20"/>
  <c r="O829" i="20" s="1"/>
  <c r="P829" i="20"/>
  <c r="AB931" i="20"/>
  <c r="N931" i="20"/>
  <c r="O931" i="20" s="1"/>
  <c r="P931" i="20"/>
  <c r="AB1132" i="20"/>
  <c r="N1132" i="20"/>
  <c r="P1132" i="20"/>
  <c r="J1423" i="20"/>
  <c r="P1423" i="20" s="1"/>
  <c r="AC1187" i="20"/>
  <c r="Q1187" i="20"/>
  <c r="AC917" i="20"/>
  <c r="Q917" i="20"/>
  <c r="N557" i="20"/>
  <c r="O557" i="20" s="1"/>
  <c r="P557" i="20"/>
  <c r="AB557" i="20"/>
  <c r="Q798" i="20"/>
  <c r="AC798" i="20"/>
  <c r="J1697" i="20"/>
  <c r="Q574" i="20"/>
  <c r="AC574" i="20"/>
  <c r="J523" i="20"/>
  <c r="P523" i="20" s="1"/>
  <c r="Q368" i="20"/>
  <c r="AC368" i="20"/>
  <c r="J753" i="20"/>
  <c r="P753" i="20" s="1"/>
  <c r="N292" i="20"/>
  <c r="O292" i="20" s="1"/>
  <c r="P292" i="20"/>
  <c r="AB292" i="20"/>
  <c r="Q1250" i="20"/>
  <c r="AC1250" i="20"/>
  <c r="AC568" i="20"/>
  <c r="Q568" i="20"/>
  <c r="Q654" i="20"/>
  <c r="AC654" i="20"/>
  <c r="AB199" i="20"/>
  <c r="P199" i="20"/>
  <c r="N199" i="20"/>
  <c r="O199" i="20" s="1"/>
  <c r="AC293" i="20"/>
  <c r="Q293" i="20"/>
  <c r="N293" i="20"/>
  <c r="O293" i="20" s="1"/>
  <c r="P707" i="20"/>
  <c r="N707" i="20"/>
  <c r="O707" i="20" s="1"/>
  <c r="AB707" i="20"/>
  <c r="Q81" i="20"/>
  <c r="AC81" i="20"/>
  <c r="N332" i="20"/>
  <c r="O332" i="20" s="1"/>
  <c r="AB332" i="20"/>
  <c r="P332" i="20"/>
  <c r="J713" i="20"/>
  <c r="P713" i="20" s="1"/>
  <c r="N297" i="20"/>
  <c r="O297" i="20" s="1"/>
  <c r="AB297" i="20"/>
  <c r="P297" i="20"/>
  <c r="AC100" i="20"/>
  <c r="Q100" i="20"/>
  <c r="P436" i="20"/>
  <c r="AB436" i="20"/>
  <c r="N436" i="20"/>
  <c r="Q90" i="20"/>
  <c r="AC90" i="20"/>
  <c r="N90" i="20"/>
  <c r="O90" i="20" s="1"/>
  <c r="J76" i="20"/>
  <c r="AC4" i="20"/>
  <c r="D10" i="2"/>
  <c r="C5" i="2"/>
  <c r="C6" i="1" s="1"/>
  <c r="Q4" i="20"/>
  <c r="J2655" i="20"/>
  <c r="P2655" i="20" s="1"/>
  <c r="J2803" i="20"/>
  <c r="P2803" i="20" s="1"/>
  <c r="J2785" i="20"/>
  <c r="P2785" i="20" s="1"/>
  <c r="Q2139" i="20"/>
  <c r="AC2139" i="20"/>
  <c r="AB2158" i="20"/>
  <c r="P2158" i="20"/>
  <c r="N2158" i="20"/>
  <c r="AB2254" i="20"/>
  <c r="P2254" i="20"/>
  <c r="N2254" i="20"/>
  <c r="J2753" i="20"/>
  <c r="P2753" i="20" s="1"/>
  <c r="AB2553" i="20"/>
  <c r="N2553" i="20"/>
  <c r="O2553" i="20" s="1"/>
  <c r="P2553" i="20"/>
  <c r="C76" i="2"/>
  <c r="AB2002" i="20"/>
  <c r="N2002" i="20"/>
  <c r="O2002" i="20" s="1"/>
  <c r="C69" i="2"/>
  <c r="J2609" i="20"/>
  <c r="P2609" i="20" s="1"/>
  <c r="N2202" i="20"/>
  <c r="O2202" i="20" s="1"/>
  <c r="P2202" i="20"/>
  <c r="AB2202" i="20"/>
  <c r="P1813" i="20"/>
  <c r="N1813" i="20"/>
  <c r="AB1813" i="20"/>
  <c r="P2175" i="20"/>
  <c r="N2175" i="20"/>
  <c r="AB2175" i="20"/>
  <c r="AB2418" i="20"/>
  <c r="N2418" i="20"/>
  <c r="O2418" i="20" s="1"/>
  <c r="P2418" i="20"/>
  <c r="N1628" i="20"/>
  <c r="AB1628" i="20"/>
  <c r="P1628" i="20"/>
  <c r="P1834" i="20"/>
  <c r="N1834" i="20"/>
  <c r="O1834" i="20" s="1"/>
  <c r="AB1834" i="20"/>
  <c r="AB1914" i="20"/>
  <c r="N1914" i="20"/>
  <c r="O1914" i="20" s="1"/>
  <c r="P2224" i="20"/>
  <c r="N2224" i="20"/>
  <c r="O2224" i="20" s="1"/>
  <c r="AB2224" i="20"/>
  <c r="AC1570" i="20"/>
  <c r="Q1570" i="20"/>
  <c r="AB1611" i="20"/>
  <c r="P1611" i="20"/>
  <c r="N1611" i="20"/>
  <c r="AB1068" i="20"/>
  <c r="N1068" i="20"/>
  <c r="O1068" i="20" s="1"/>
  <c r="P1068" i="20"/>
  <c r="N2039" i="20"/>
  <c r="O2039" i="20" s="1"/>
  <c r="AB2039" i="20"/>
  <c r="AB1629" i="20"/>
  <c r="P1629" i="20"/>
  <c r="N1629" i="20"/>
  <c r="AB1462" i="20"/>
  <c r="P1462" i="20"/>
  <c r="N1462" i="20"/>
  <c r="O1462" i="20" s="1"/>
  <c r="N1892" i="20"/>
  <c r="O1892" i="20" s="1"/>
  <c r="AB1892" i="20"/>
  <c r="P1381" i="20"/>
  <c r="N1381" i="20"/>
  <c r="O1381" i="20" s="1"/>
  <c r="AB1381" i="20"/>
  <c r="P1305" i="20"/>
  <c r="N1305" i="20"/>
  <c r="O1305" i="20" s="1"/>
  <c r="AB1305" i="20"/>
  <c r="P692" i="20"/>
  <c r="N692" i="20"/>
  <c r="O692" i="20" s="1"/>
  <c r="AB692" i="20"/>
  <c r="J1449" i="20"/>
  <c r="P1449" i="20" s="1"/>
  <c r="J1241" i="20"/>
  <c r="P1241" i="20" s="1"/>
  <c r="AB1499" i="20"/>
  <c r="P1499" i="20"/>
  <c r="N1499" i="20"/>
  <c r="O1499" i="20" s="1"/>
  <c r="Q946" i="20"/>
  <c r="AC946" i="20"/>
  <c r="Q1124" i="20"/>
  <c r="AC1124" i="20"/>
  <c r="AC1132" i="20"/>
  <c r="Q1132" i="20"/>
  <c r="J1405" i="20"/>
  <c r="P1405" i="20" s="1"/>
  <c r="P781" i="20"/>
  <c r="N781" i="20"/>
  <c r="O781" i="20" s="1"/>
  <c r="AB781" i="20"/>
  <c r="P366" i="20"/>
  <c r="N366" i="20"/>
  <c r="O366" i="20" s="1"/>
  <c r="AB366" i="20"/>
  <c r="Q292" i="20"/>
  <c r="AC292" i="20"/>
  <c r="J775" i="20"/>
  <c r="P775" i="20" s="1"/>
  <c r="P1250" i="20"/>
  <c r="N1250" i="20"/>
  <c r="O1250" i="20" s="1"/>
  <c r="AB1250" i="20"/>
  <c r="AB1450" i="20"/>
  <c r="P1450" i="20"/>
  <c r="N1450" i="20"/>
  <c r="O1450" i="20" s="1"/>
  <c r="P274" i="20"/>
  <c r="AB274" i="20"/>
  <c r="N274" i="20"/>
  <c r="O274" i="20" s="1"/>
  <c r="J598" i="20"/>
  <c r="P598" i="20" s="1"/>
  <c r="P717" i="20"/>
  <c r="N717" i="20"/>
  <c r="O717" i="20" s="1"/>
  <c r="AB717" i="20"/>
  <c r="P647" i="20"/>
  <c r="AB647" i="20"/>
  <c r="N647" i="20"/>
  <c r="O647" i="20" s="1"/>
  <c r="J777" i="20"/>
  <c r="P777" i="20" s="1"/>
  <c r="J36" i="20"/>
  <c r="P36" i="20" s="1"/>
  <c r="AC297" i="20"/>
  <c r="Q297" i="20"/>
  <c r="Q436" i="20"/>
  <c r="AC436" i="20"/>
  <c r="N124" i="20"/>
  <c r="O124" i="20" s="1"/>
  <c r="P124" i="20"/>
  <c r="AB124" i="20"/>
  <c r="AB135" i="20"/>
  <c r="P135" i="20"/>
  <c r="N135" i="20"/>
  <c r="O135" i="20" s="1"/>
  <c r="Q2794" i="20"/>
  <c r="AC2794" i="20"/>
  <c r="J2731" i="20"/>
  <c r="P2731" i="20" s="1"/>
  <c r="P2492" i="20"/>
  <c r="N2492" i="20"/>
  <c r="AB2492" i="20"/>
  <c r="P2512" i="20"/>
  <c r="J110" i="2" s="1"/>
  <c r="L110" i="2" s="1"/>
  <c r="N110" i="2" s="1"/>
  <c r="AB2512" i="20"/>
  <c r="N2512" i="20"/>
  <c r="O2512" i="20" s="1"/>
  <c r="C110" i="2"/>
  <c r="AB2120" i="20"/>
  <c r="N2120" i="20"/>
  <c r="P2120" i="20"/>
  <c r="J2598" i="20"/>
  <c r="P2598" i="20" s="1"/>
  <c r="Q2753" i="20"/>
  <c r="AC2753" i="20"/>
  <c r="J2682" i="20"/>
  <c r="P2682" i="20" s="1"/>
  <c r="N2066" i="20"/>
  <c r="O2066" i="20" s="1"/>
  <c r="P2066" i="20"/>
  <c r="AB2066" i="20"/>
  <c r="AB2169" i="20"/>
  <c r="P2169" i="20"/>
  <c r="N2169" i="20"/>
  <c r="Q2123" i="20"/>
  <c r="AC2123" i="20"/>
  <c r="AC2519" i="20"/>
  <c r="Q2519" i="20"/>
  <c r="AB2634" i="20"/>
  <c r="N2634" i="20"/>
  <c r="O2634" i="20" s="1"/>
  <c r="AB2308" i="20"/>
  <c r="P2308" i="20"/>
  <c r="N2308" i="20"/>
  <c r="O2308" i="20" s="1"/>
  <c r="C94" i="2"/>
  <c r="P2351" i="20"/>
  <c r="N2351" i="20"/>
  <c r="O2351" i="20" s="1"/>
  <c r="AB2351" i="20"/>
  <c r="AC2382" i="20"/>
  <c r="Q2382" i="20"/>
  <c r="K98" i="2" s="1"/>
  <c r="N1589" i="20"/>
  <c r="O1589" i="20" s="1"/>
  <c r="P1589" i="20"/>
  <c r="AB1589" i="20"/>
  <c r="AC2138" i="20"/>
  <c r="Q2138" i="20"/>
  <c r="AB1222" i="20"/>
  <c r="P1222" i="20"/>
  <c r="N1222" i="20"/>
  <c r="O1222" i="20" s="1"/>
  <c r="Q1530" i="20"/>
  <c r="AC1530" i="20"/>
  <c r="P1696" i="20"/>
  <c r="N1696" i="20"/>
  <c r="O1696" i="20" s="1"/>
  <c r="AB1696" i="20"/>
  <c r="Q1600" i="20"/>
  <c r="AC1600" i="20"/>
  <c r="N1004" i="20"/>
  <c r="O1004" i="20" s="1"/>
  <c r="AB1004" i="20"/>
  <c r="P1004" i="20"/>
  <c r="C24" i="2"/>
  <c r="P1487" i="20"/>
  <c r="N1487" i="20"/>
  <c r="O1487" i="20" s="1"/>
  <c r="AB1487" i="20"/>
  <c r="AB1602" i="20"/>
  <c r="P1602" i="20"/>
  <c r="N1602" i="20"/>
  <c r="AB1909" i="20"/>
  <c r="N1909" i="20"/>
  <c r="O1909" i="20" s="1"/>
  <c r="P1303" i="20"/>
  <c r="N1303" i="20"/>
  <c r="O1303" i="20" s="1"/>
  <c r="AB1303" i="20"/>
  <c r="C26" i="2"/>
  <c r="P1663" i="20"/>
  <c r="N1663" i="20"/>
  <c r="O1663" i="20" s="1"/>
  <c r="AB1663" i="20"/>
  <c r="P1225" i="20"/>
  <c r="AB1225" i="20"/>
  <c r="N1225" i="20"/>
  <c r="O1225" i="20" s="1"/>
  <c r="AB1263" i="20"/>
  <c r="N1263" i="20"/>
  <c r="O1263" i="20" s="1"/>
  <c r="P1263" i="20"/>
  <c r="P1604" i="20"/>
  <c r="N1604" i="20"/>
  <c r="AB1604" i="20"/>
  <c r="Q1001" i="20"/>
  <c r="AC1001" i="20"/>
  <c r="P1563" i="20"/>
  <c r="N1563" i="20"/>
  <c r="O1563" i="20" s="1"/>
  <c r="AB1563" i="20"/>
  <c r="N1229" i="20"/>
  <c r="O1229" i="20" s="1"/>
  <c r="AB1229" i="20"/>
  <c r="P1229" i="20"/>
  <c r="AC1493" i="20"/>
  <c r="Q1493" i="20"/>
  <c r="AB459" i="20"/>
  <c r="P459" i="20"/>
  <c r="N459" i="20"/>
  <c r="AC880" i="20"/>
  <c r="Q880" i="20"/>
  <c r="P1322" i="20"/>
  <c r="N1322" i="20"/>
  <c r="O1322" i="20" s="1"/>
  <c r="AB1322" i="20"/>
  <c r="AB757" i="20"/>
  <c r="N757" i="20"/>
  <c r="O757" i="20" s="1"/>
  <c r="Q1065" i="20"/>
  <c r="AC1065" i="20"/>
  <c r="N1252" i="20"/>
  <c r="O1252" i="20" s="1"/>
  <c r="AB1252" i="20"/>
  <c r="AC584" i="20"/>
  <c r="Q584" i="20"/>
  <c r="J722" i="20"/>
  <c r="AB1137" i="20"/>
  <c r="N1137" i="20"/>
  <c r="P1137" i="20"/>
  <c r="J600" i="20"/>
  <c r="P600" i="20" s="1"/>
  <c r="AB790" i="20"/>
  <c r="N790" i="20"/>
  <c r="O790" i="20" s="1"/>
  <c r="AB625" i="20"/>
  <c r="P625" i="20"/>
  <c r="N625" i="20"/>
  <c r="O625" i="20" s="1"/>
  <c r="Q653" i="20"/>
  <c r="AC653" i="20"/>
  <c r="AB317" i="20"/>
  <c r="P317" i="20"/>
  <c r="N317" i="20"/>
  <c r="O317" i="20" s="1"/>
  <c r="J544" i="20"/>
  <c r="P544" i="20" s="1"/>
  <c r="AB39" i="20"/>
  <c r="P39" i="20"/>
  <c r="N39" i="20"/>
  <c r="O39" i="20" s="1"/>
  <c r="AC443" i="20"/>
  <c r="Q443" i="20"/>
  <c r="AC195" i="20"/>
  <c r="Q195" i="20"/>
  <c r="J84" i="20"/>
  <c r="P84" i="20" s="1"/>
  <c r="J1662" i="20"/>
  <c r="P1662" i="20" s="1"/>
  <c r="J80" i="20"/>
  <c r="P80" i="20" s="1"/>
  <c r="P684" i="20"/>
  <c r="N684" i="20"/>
  <c r="O684" i="20" s="1"/>
  <c r="AB684" i="20"/>
  <c r="AB2549" i="20"/>
  <c r="P2549" i="20"/>
  <c r="N2549" i="20"/>
  <c r="O2549" i="20" s="1"/>
  <c r="N2370" i="20"/>
  <c r="O2370" i="20" s="1"/>
  <c r="P2370" i="20"/>
  <c r="AB2370" i="20"/>
  <c r="N2831" i="20"/>
  <c r="AB2831" i="20"/>
  <c r="P2831" i="20"/>
  <c r="Q2835" i="20"/>
  <c r="AC2835" i="20"/>
  <c r="N2724" i="20"/>
  <c r="O2724" i="20" s="1"/>
  <c r="AB2724" i="20"/>
  <c r="P2724" i="20"/>
  <c r="J2768" i="20"/>
  <c r="J2607" i="20"/>
  <c r="P2607" i="20" s="1"/>
  <c r="N2509" i="20"/>
  <c r="O2509" i="20" s="1"/>
  <c r="AB2509" i="20"/>
  <c r="P2509" i="20"/>
  <c r="J109" i="2" s="1"/>
  <c r="L109" i="2" s="1"/>
  <c r="C109" i="2"/>
  <c r="Q2715" i="20"/>
  <c r="AC2715" i="20"/>
  <c r="AC2775" i="20"/>
  <c r="Q2775" i="20"/>
  <c r="Q2492" i="20"/>
  <c r="AC2492" i="20"/>
  <c r="P2343" i="20"/>
  <c r="N2343" i="20"/>
  <c r="O2343" i="20" s="1"/>
  <c r="AB2343" i="20"/>
  <c r="N2358" i="20"/>
  <c r="O2358" i="20" s="1"/>
  <c r="AB2358" i="20"/>
  <c r="P2358" i="20"/>
  <c r="J2767" i="20"/>
  <c r="P2767" i="20" s="1"/>
  <c r="N2096" i="20"/>
  <c r="O2096" i="20" s="1"/>
  <c r="AB2096" i="20"/>
  <c r="P2096" i="20"/>
  <c r="N2155" i="20"/>
  <c r="P2155" i="20"/>
  <c r="AB2155" i="20"/>
  <c r="AC2516" i="20"/>
  <c r="Q2516" i="20"/>
  <c r="AB2319" i="20"/>
  <c r="P2319" i="20"/>
  <c r="N2319" i="20"/>
  <c r="O2319" i="20" s="1"/>
  <c r="Q2066" i="20"/>
  <c r="AC2066" i="20"/>
  <c r="AB2248" i="20"/>
  <c r="N2248" i="20"/>
  <c r="P2248" i="20"/>
  <c r="P2474" i="20"/>
  <c r="AB2474" i="20"/>
  <c r="N2474" i="20"/>
  <c r="P2123" i="20"/>
  <c r="N2123" i="20"/>
  <c r="AB2123" i="20"/>
  <c r="P2519" i="20"/>
  <c r="N2519" i="20"/>
  <c r="AB2519" i="20"/>
  <c r="AC2233" i="20"/>
  <c r="Q2233" i="20"/>
  <c r="AC2308" i="20"/>
  <c r="Q2308" i="20"/>
  <c r="D94" i="2"/>
  <c r="Q2351" i="20"/>
  <c r="AC2351" i="20"/>
  <c r="N2382" i="20"/>
  <c r="O2382" i="20" s="1"/>
  <c r="AB2382" i="20"/>
  <c r="P2382" i="20"/>
  <c r="N2168" i="20"/>
  <c r="AB2168" i="20"/>
  <c r="P2168" i="20"/>
  <c r="P1799" i="20"/>
  <c r="N1799" i="20"/>
  <c r="O1799" i="20" s="1"/>
  <c r="AB1799" i="20"/>
  <c r="C119" i="2"/>
  <c r="C44" i="2"/>
  <c r="AB1942" i="20"/>
  <c r="N1942" i="20"/>
  <c r="O1942" i="20" s="1"/>
  <c r="P1942" i="20"/>
  <c r="C49" i="2"/>
  <c r="AB1190" i="20"/>
  <c r="N1190" i="20"/>
  <c r="P1190" i="20"/>
  <c r="P1528" i="20"/>
  <c r="N1528" i="20"/>
  <c r="O1528" i="20" s="1"/>
  <c r="AB1528" i="20"/>
  <c r="Q2119" i="20"/>
  <c r="AC2119" i="20"/>
  <c r="Q1696" i="20"/>
  <c r="AC1696" i="20"/>
  <c r="N1903" i="20"/>
  <c r="O1903" i="20" s="1"/>
  <c r="J1682" i="20"/>
  <c r="P1682" i="20" s="1"/>
  <c r="N972" i="20"/>
  <c r="O972" i="20" s="1"/>
  <c r="P972" i="20"/>
  <c r="AB972" i="20"/>
  <c r="Q1487" i="20"/>
  <c r="AC1487" i="20"/>
  <c r="Q1503" i="20"/>
  <c r="N1503" i="20"/>
  <c r="O1503" i="20" s="1"/>
  <c r="AC1503" i="20"/>
  <c r="Q1602" i="20"/>
  <c r="AC1602" i="20"/>
  <c r="AB1441" i="20"/>
  <c r="P1441" i="20"/>
  <c r="N1441" i="20"/>
  <c r="O1441" i="20" s="1"/>
  <c r="Q1909" i="20"/>
  <c r="AC1909" i="20"/>
  <c r="AB1294" i="20"/>
  <c r="N1294" i="20"/>
  <c r="O1294" i="20" s="1"/>
  <c r="P1294" i="20"/>
  <c r="Q1303" i="20"/>
  <c r="AC1303" i="20"/>
  <c r="D26" i="2"/>
  <c r="AC1263" i="20"/>
  <c r="Q1263" i="20"/>
  <c r="AC1604" i="20"/>
  <c r="Q1604" i="20"/>
  <c r="AB1248" i="20"/>
  <c r="P1248" i="20"/>
  <c r="N1248" i="20"/>
  <c r="O1248" i="20" s="1"/>
  <c r="N729" i="20"/>
  <c r="O729" i="20" s="1"/>
  <c r="P729" i="20"/>
  <c r="AB729" i="20"/>
  <c r="Q1563" i="20"/>
  <c r="AC1563" i="20"/>
  <c r="AB1720" i="20"/>
  <c r="N1720" i="20"/>
  <c r="O1720" i="20" s="1"/>
  <c r="P1720" i="20"/>
  <c r="AC1229" i="20"/>
  <c r="Q1229" i="20"/>
  <c r="P1412" i="20"/>
  <c r="N1412" i="20"/>
  <c r="O1412" i="20" s="1"/>
  <c r="AB1412" i="20"/>
  <c r="AB427" i="20"/>
  <c r="P427" i="20"/>
  <c r="N427" i="20"/>
  <c r="P770" i="20"/>
  <c r="N770" i="20"/>
  <c r="O770" i="20" s="1"/>
  <c r="AB770" i="20"/>
  <c r="AB1275" i="20"/>
  <c r="N1275" i="20"/>
  <c r="O1275" i="20" s="1"/>
  <c r="P1275" i="20"/>
  <c r="Q1322" i="20"/>
  <c r="AC1322" i="20"/>
  <c r="AB882" i="20"/>
  <c r="P882" i="20"/>
  <c r="N882" i="20"/>
  <c r="O882" i="20" s="1"/>
  <c r="J752" i="20"/>
  <c r="P752" i="20" s="1"/>
  <c r="N574" i="20"/>
  <c r="O574" i="20" s="1"/>
  <c r="J601" i="20"/>
  <c r="P601" i="20" s="1"/>
  <c r="AB853" i="20"/>
  <c r="P853" i="20"/>
  <c r="N853" i="20"/>
  <c r="O853" i="20" s="1"/>
  <c r="AB718" i="20"/>
  <c r="N718" i="20"/>
  <c r="O718" i="20" s="1"/>
  <c r="P142" i="20"/>
  <c r="N142" i="20"/>
  <c r="O142" i="20" s="1"/>
  <c r="AB142" i="20"/>
  <c r="J709" i="20"/>
  <c r="P709" i="20" s="1"/>
  <c r="N432" i="20"/>
  <c r="AB432" i="20"/>
  <c r="P432" i="20"/>
  <c r="J591" i="20"/>
  <c r="P591" i="20" s="1"/>
  <c r="P456" i="20"/>
  <c r="AB456" i="20"/>
  <c r="N456" i="20"/>
  <c r="AC1137" i="20"/>
  <c r="Q1137" i="20"/>
  <c r="Q790" i="20"/>
  <c r="AC790" i="20"/>
  <c r="P653" i="20"/>
  <c r="N653" i="20"/>
  <c r="O653" i="20" s="1"/>
  <c r="AB653" i="20"/>
  <c r="J57" i="20"/>
  <c r="P57" i="20" s="1"/>
  <c r="AB681" i="20"/>
  <c r="N681" i="20"/>
  <c r="O681" i="20" s="1"/>
  <c r="P681" i="20"/>
  <c r="P450" i="20"/>
  <c r="N450" i="20"/>
  <c r="AB450" i="20"/>
  <c r="AC39" i="20"/>
  <c r="Q39" i="20"/>
  <c r="AB443" i="20"/>
  <c r="P443" i="20"/>
  <c r="N443" i="20"/>
  <c r="P31" i="20"/>
  <c r="N31" i="20"/>
  <c r="O31" i="20" s="1"/>
  <c r="AB31" i="20"/>
  <c r="J28" i="20"/>
  <c r="P28" i="20" s="1"/>
  <c r="J62" i="20"/>
  <c r="P62" i="20" s="1"/>
  <c r="P352" i="20"/>
  <c r="N352" i="20"/>
  <c r="O352" i="20" s="1"/>
  <c r="AB352" i="20"/>
  <c r="P381" i="20"/>
  <c r="N381" i="20"/>
  <c r="O381" i="20" s="1"/>
  <c r="AB381" i="20"/>
  <c r="J85" i="20"/>
  <c r="P85" i="20" s="1"/>
  <c r="N75" i="20"/>
  <c r="O75" i="20" s="1"/>
  <c r="AB75" i="20"/>
  <c r="J74" i="20"/>
  <c r="P74" i="20" s="1"/>
  <c r="Q684" i="20"/>
  <c r="AC684" i="20"/>
  <c r="P1389" i="20"/>
  <c r="N1389" i="20"/>
  <c r="O1389" i="20" s="1"/>
  <c r="AB1389" i="20"/>
  <c r="P1207" i="20"/>
  <c r="N1207" i="20"/>
  <c r="O1207" i="20" s="1"/>
  <c r="AB1207" i="20"/>
  <c r="AC1248" i="20"/>
  <c r="Q1248" i="20"/>
  <c r="Q729" i="20"/>
  <c r="AC729" i="20"/>
  <c r="P695" i="20"/>
  <c r="AB695" i="20"/>
  <c r="N695" i="20"/>
  <c r="O695" i="20" s="1"/>
  <c r="P184" i="20"/>
  <c r="N184" i="20"/>
  <c r="O184" i="20" s="1"/>
  <c r="AB184" i="20"/>
  <c r="Q352" i="20"/>
  <c r="AC352" i="20"/>
  <c r="AB2643" i="20"/>
  <c r="N2643" i="20"/>
  <c r="O2643" i="20" s="1"/>
  <c r="Q1207" i="20"/>
  <c r="AC1207" i="20"/>
  <c r="P1402" i="20"/>
  <c r="AB1402" i="20"/>
  <c r="N1402" i="20"/>
  <c r="O1402" i="20" s="1"/>
  <c r="C29" i="2"/>
  <c r="I26" i="2"/>
  <c r="AB846" i="20"/>
  <c r="P846" i="20"/>
  <c r="N846" i="20"/>
  <c r="O846" i="20" s="1"/>
  <c r="AC695" i="20"/>
  <c r="Q695" i="20"/>
  <c r="P502" i="20"/>
  <c r="Q837" i="20"/>
  <c r="AC837" i="20"/>
  <c r="AC118" i="20"/>
  <c r="Q118" i="20"/>
  <c r="Q40" i="20"/>
  <c r="AC40" i="20"/>
  <c r="AC570" i="20"/>
  <c r="Q570" i="20"/>
  <c r="AB167" i="20"/>
  <c r="P167" i="20"/>
  <c r="N167" i="20"/>
  <c r="O167" i="20" s="1"/>
  <c r="J2742" i="20"/>
  <c r="P2742" i="20" s="1"/>
  <c r="Q2526" i="20"/>
  <c r="AC2526" i="20"/>
  <c r="D73" i="2"/>
  <c r="J2674" i="20"/>
  <c r="P2674" i="20" s="1"/>
  <c r="N2588" i="20"/>
  <c r="O2588" i="20" s="1"/>
  <c r="P2588" i="20"/>
  <c r="AB2588" i="20"/>
  <c r="J2787" i="20"/>
  <c r="P2787" i="20" s="1"/>
  <c r="AB2762" i="20"/>
  <c r="N2762" i="20"/>
  <c r="O2762" i="20" s="1"/>
  <c r="J2740" i="20"/>
  <c r="P2740" i="20" s="1"/>
  <c r="AB2252" i="20"/>
  <c r="P2252" i="20"/>
  <c r="N2252" i="20"/>
  <c r="AC2827" i="20"/>
  <c r="Q2827" i="20"/>
  <c r="K133" i="2" s="1"/>
  <c r="D133" i="2"/>
  <c r="AC2485" i="20"/>
  <c r="Q2485" i="20"/>
  <c r="P2611" i="20"/>
  <c r="AB2611" i="20"/>
  <c r="N2611" i="20"/>
  <c r="O2611" i="20" s="1"/>
  <c r="AC2456" i="20"/>
  <c r="Q2456" i="20"/>
  <c r="D102" i="2"/>
  <c r="N2080" i="20"/>
  <c r="O2080" i="20" s="1"/>
  <c r="P2080" i="20"/>
  <c r="AB2080" i="20"/>
  <c r="AC2626" i="20"/>
  <c r="Q2626" i="20"/>
  <c r="AB2150" i="20"/>
  <c r="P2150" i="20"/>
  <c r="N2150" i="20"/>
  <c r="J2737" i="20"/>
  <c r="P2737" i="20" s="1"/>
  <c r="AB2464" i="20"/>
  <c r="N2464" i="20"/>
  <c r="O2464" i="20" s="1"/>
  <c r="AB2209" i="20"/>
  <c r="P2209" i="20"/>
  <c r="N2209" i="20"/>
  <c r="O2209" i="20" s="1"/>
  <c r="AC2573" i="20"/>
  <c r="Q2573" i="20"/>
  <c r="N2036" i="20"/>
  <c r="O2036" i="20" s="1"/>
  <c r="P2036" i="20"/>
  <c r="AB2036" i="20"/>
  <c r="C81" i="2"/>
  <c r="N1915" i="20"/>
  <c r="O1915" i="20" s="1"/>
  <c r="AB1915" i="20"/>
  <c r="AB1796" i="20"/>
  <c r="N1796" i="20"/>
  <c r="O1796" i="20" s="1"/>
  <c r="P1796" i="20"/>
  <c r="AC1970" i="20"/>
  <c r="Q1970" i="20"/>
  <c r="K54" i="2" s="1"/>
  <c r="D54" i="2"/>
  <c r="AB2250" i="20"/>
  <c r="N2250" i="20"/>
  <c r="P2250" i="20"/>
  <c r="Q2178" i="20"/>
  <c r="AC2178" i="20"/>
  <c r="D96" i="2"/>
  <c r="N1534" i="20"/>
  <c r="O1534" i="20" s="1"/>
  <c r="AB1534" i="20"/>
  <c r="P1534" i="20"/>
  <c r="N2544" i="20"/>
  <c r="O2544" i="20" s="1"/>
  <c r="AB2544" i="20"/>
  <c r="P2544" i="20"/>
  <c r="P1642" i="20"/>
  <c r="AB1642" i="20"/>
  <c r="N1642" i="20"/>
  <c r="AB1458" i="20"/>
  <c r="P1458" i="20"/>
  <c r="N1458" i="20"/>
  <c r="O1458" i="20" s="1"/>
  <c r="N2163" i="20"/>
  <c r="AB2163" i="20"/>
  <c r="P2163" i="20"/>
  <c r="Q1459" i="20"/>
  <c r="K34" i="2" s="1"/>
  <c r="AC1459" i="20"/>
  <c r="J1246" i="20"/>
  <c r="P1246" i="20" s="1"/>
  <c r="J1223" i="20"/>
  <c r="P1223" i="20" s="1"/>
  <c r="Q1158" i="20"/>
  <c r="AC1158" i="20"/>
  <c r="P977" i="20"/>
  <c r="N977" i="20"/>
  <c r="O977" i="20" s="1"/>
  <c r="AB977" i="20"/>
  <c r="P1242" i="20"/>
  <c r="N1242" i="20"/>
  <c r="O1242" i="20" s="1"/>
  <c r="AB1242" i="20"/>
  <c r="Q1197" i="20"/>
  <c r="AC1197" i="20"/>
  <c r="AB1531" i="20"/>
  <c r="P1531" i="20"/>
  <c r="N1531" i="20"/>
  <c r="O1531" i="20" s="1"/>
  <c r="J1665" i="20"/>
  <c r="P1665" i="20" s="1"/>
  <c r="AC639" i="20"/>
  <c r="Q639" i="20"/>
  <c r="P1176" i="20"/>
  <c r="AB1176" i="20"/>
  <c r="N1176" i="20"/>
  <c r="J764" i="20"/>
  <c r="P764" i="20" s="1"/>
  <c r="AB1712" i="20"/>
  <c r="P1712" i="20"/>
  <c r="N1712" i="20"/>
  <c r="O1712" i="20" s="1"/>
  <c r="AC538" i="20"/>
  <c r="Q538" i="20"/>
  <c r="AB774" i="20"/>
  <c r="P774" i="20"/>
  <c r="N774" i="20"/>
  <c r="O774" i="20" s="1"/>
  <c r="AB1204" i="20"/>
  <c r="P1204" i="20"/>
  <c r="N1204" i="20"/>
  <c r="O1204" i="20" s="1"/>
  <c r="C21" i="2"/>
  <c r="J1287" i="20"/>
  <c r="P1287" i="20" s="1"/>
  <c r="J791" i="20"/>
  <c r="AC846" i="20"/>
  <c r="Q846" i="20"/>
  <c r="N901" i="20"/>
  <c r="O901" i="20" s="1"/>
  <c r="AB480" i="20"/>
  <c r="N480" i="20"/>
  <c r="P480" i="20"/>
  <c r="AB887" i="20"/>
  <c r="P887" i="20"/>
  <c r="N887" i="20"/>
  <c r="O887" i="20" s="1"/>
  <c r="AB108" i="20"/>
  <c r="N108" i="20"/>
  <c r="O108" i="20" s="1"/>
  <c r="P108" i="20"/>
  <c r="AC103" i="20"/>
  <c r="Q103" i="20"/>
  <c r="D15" i="2"/>
  <c r="J576" i="20"/>
  <c r="P576" i="20" s="1"/>
  <c r="AC300" i="20"/>
  <c r="Q300" i="20"/>
  <c r="AC397" i="20"/>
  <c r="Q397" i="20"/>
  <c r="AB393" i="20"/>
  <c r="P393" i="20"/>
  <c r="N393" i="20"/>
  <c r="O393" i="20" s="1"/>
  <c r="P46" i="20"/>
  <c r="N46" i="20"/>
  <c r="O46" i="20" s="1"/>
  <c r="AB46" i="20"/>
  <c r="B113" i="2"/>
  <c r="J20" i="20"/>
  <c r="P20" i="20" s="1"/>
  <c r="AC853" i="20"/>
  <c r="Q853" i="20"/>
  <c r="J546" i="20"/>
  <c r="P546" i="20" s="1"/>
  <c r="N97" i="20"/>
  <c r="O97" i="20" s="1"/>
  <c r="AB97" i="20"/>
  <c r="P97" i="20"/>
  <c r="AC381" i="20"/>
  <c r="Q381" i="20"/>
  <c r="Q75" i="20"/>
  <c r="AC75" i="20"/>
  <c r="J1254" i="20"/>
  <c r="P1254" i="20" s="1"/>
  <c r="P1158" i="20"/>
  <c r="N1158" i="20"/>
  <c r="AB1158" i="20"/>
  <c r="AB1051" i="20"/>
  <c r="N1051" i="20"/>
  <c r="O1051" i="20" s="1"/>
  <c r="P1051" i="20"/>
  <c r="Q761" i="20"/>
  <c r="AC761" i="20"/>
  <c r="AB1266" i="20"/>
  <c r="N1266" i="20"/>
  <c r="O1266" i="20" s="1"/>
  <c r="N809" i="20"/>
  <c r="O809" i="20" s="1"/>
  <c r="P809" i="20"/>
  <c r="AB809" i="20"/>
  <c r="AB1268" i="20"/>
  <c r="P1268" i="20"/>
  <c r="N1268" i="20"/>
  <c r="O1268" i="20" s="1"/>
  <c r="AB639" i="20"/>
  <c r="P639" i="20"/>
  <c r="N639" i="20"/>
  <c r="O639" i="20" s="1"/>
  <c r="AC1712" i="20"/>
  <c r="Q1712" i="20"/>
  <c r="P997" i="20"/>
  <c r="AB997" i="20"/>
  <c r="N997" i="20"/>
  <c r="O997" i="20" s="1"/>
  <c r="AB345" i="20"/>
  <c r="P345" i="20"/>
  <c r="N345" i="20"/>
  <c r="O345" i="20" s="1"/>
  <c r="AB110" i="20"/>
  <c r="N110" i="20"/>
  <c r="O110" i="20" s="1"/>
  <c r="P110" i="20"/>
  <c r="AB103" i="20"/>
  <c r="P103" i="20"/>
  <c r="N103" i="20"/>
  <c r="O103" i="20" s="1"/>
  <c r="C15" i="2"/>
  <c r="AB782" i="20"/>
  <c r="P782" i="20"/>
  <c r="N782" i="20"/>
  <c r="O782" i="20" s="1"/>
  <c r="P1366" i="20"/>
  <c r="AB1366" i="20"/>
  <c r="N1366" i="20"/>
  <c r="O1366" i="20" s="1"/>
  <c r="AB247" i="20"/>
  <c r="N247" i="20"/>
  <c r="O247" i="20" s="1"/>
  <c r="P247" i="20"/>
  <c r="J527" i="20"/>
  <c r="P527" i="20" s="1"/>
  <c r="N397" i="20"/>
  <c r="O397" i="20" s="1"/>
  <c r="AB397" i="20"/>
  <c r="P397" i="20"/>
  <c r="Q393" i="20"/>
  <c r="AC393" i="20"/>
  <c r="Q184" i="20"/>
  <c r="AC184" i="20"/>
  <c r="P2822" i="20"/>
  <c r="J133" i="2" s="1"/>
  <c r="N2822" i="20"/>
  <c r="O2822" i="20" s="1"/>
  <c r="AB2822" i="20"/>
  <c r="C133" i="2"/>
  <c r="J2657" i="20"/>
  <c r="P2657" i="20" s="1"/>
  <c r="J2675" i="20"/>
  <c r="P2675" i="20" s="1"/>
  <c r="AC2762" i="20"/>
  <c r="Q2762" i="20"/>
  <c r="N2684" i="20"/>
  <c r="O2684" i="20" s="1"/>
  <c r="AB2684" i="20"/>
  <c r="P2684" i="20"/>
  <c r="AC2679" i="20"/>
  <c r="Q2679" i="20"/>
  <c r="N2768" i="20"/>
  <c r="O2768" i="20" s="1"/>
  <c r="AB2768" i="20"/>
  <c r="P2768" i="20"/>
  <c r="J2784" i="20"/>
  <c r="P2784" i="20" s="1"/>
  <c r="N2320" i="20"/>
  <c r="O2320" i="20" s="1"/>
  <c r="P2320" i="20"/>
  <c r="AB2320" i="20"/>
  <c r="P2284" i="20"/>
  <c r="N2284" i="20"/>
  <c r="AB2284" i="20"/>
  <c r="AB2517" i="20"/>
  <c r="N2517" i="20"/>
  <c r="O2517" i="20" s="1"/>
  <c r="P2517" i="20"/>
  <c r="J107" i="2" s="1"/>
  <c r="C107" i="2"/>
  <c r="AC2611" i="20"/>
  <c r="Q2611" i="20"/>
  <c r="N2572" i="20"/>
  <c r="O2572" i="20" s="1"/>
  <c r="AB1986" i="20"/>
  <c r="N1986" i="20"/>
  <c r="O1986" i="20" s="1"/>
  <c r="AC2209" i="20"/>
  <c r="Q2209" i="20"/>
  <c r="AB2573" i="20"/>
  <c r="N2573" i="20"/>
  <c r="O2573" i="20" s="1"/>
  <c r="C13" i="2"/>
  <c r="I98" i="2"/>
  <c r="Q2036" i="20"/>
  <c r="K81" i="2" s="1"/>
  <c r="AC2036" i="20"/>
  <c r="D81" i="2"/>
  <c r="Q1915" i="20"/>
  <c r="AC1915" i="20"/>
  <c r="N1772" i="20"/>
  <c r="O1772" i="20" s="1"/>
  <c r="P1772" i="20"/>
  <c r="AB1772" i="20"/>
  <c r="C117" i="2"/>
  <c r="C43" i="2"/>
  <c r="P2178" i="20"/>
  <c r="AB2178" i="20"/>
  <c r="N2178" i="20"/>
  <c r="O2178" i="20" s="1"/>
  <c r="C96" i="2"/>
  <c r="I104" i="2"/>
  <c r="AC1534" i="20"/>
  <c r="Q1534" i="20"/>
  <c r="K122" i="2"/>
  <c r="K86" i="2"/>
  <c r="AC2544" i="20"/>
  <c r="Q2544" i="20"/>
  <c r="AC1870" i="20"/>
  <c r="Q1870" i="20"/>
  <c r="AB1447" i="20"/>
  <c r="P1447" i="20"/>
  <c r="N1447" i="20"/>
  <c r="O1447" i="20" s="1"/>
  <c r="N1424" i="20"/>
  <c r="O1424" i="20" s="1"/>
  <c r="AB1424" i="20"/>
  <c r="AB1807" i="20"/>
  <c r="P1807" i="20"/>
  <c r="N1807" i="20"/>
  <c r="O1807" i="20" s="1"/>
  <c r="P1237" i="20"/>
  <c r="N1237" i="20"/>
  <c r="O1237" i="20" s="1"/>
  <c r="AB1237" i="20"/>
  <c r="P1103" i="20"/>
  <c r="AB1103" i="20"/>
  <c r="N1103" i="20"/>
  <c r="AB1214" i="20"/>
  <c r="N1214" i="20"/>
  <c r="O1214" i="20" s="1"/>
  <c r="Q1059" i="20"/>
  <c r="AC1059" i="20"/>
  <c r="N1059" i="20"/>
  <c r="O1059" i="20" s="1"/>
  <c r="AC977" i="20"/>
  <c r="Q977" i="20"/>
  <c r="Q1242" i="20"/>
  <c r="AC1242" i="20"/>
  <c r="Q1037" i="20"/>
  <c r="AC1037" i="20"/>
  <c r="AC1377" i="20"/>
  <c r="Q1377" i="20"/>
  <c r="AC1531" i="20"/>
  <c r="Q1531" i="20"/>
  <c r="J1693" i="20"/>
  <c r="P1693" i="20" s="1"/>
  <c r="Q1199" i="20"/>
  <c r="AC1199" i="20"/>
  <c r="P628" i="20"/>
  <c r="N628" i="20"/>
  <c r="O628" i="20" s="1"/>
  <c r="AB628" i="20"/>
  <c r="P947" i="20"/>
  <c r="N947" i="20"/>
  <c r="O947" i="20" s="1"/>
  <c r="AB947" i="20"/>
  <c r="AC1176" i="20"/>
  <c r="Q1176" i="20"/>
  <c r="AB1260" i="20"/>
  <c r="N1260" i="20"/>
  <c r="O1260" i="20" s="1"/>
  <c r="Q774" i="20"/>
  <c r="AC774" i="20"/>
  <c r="AC1204" i="20"/>
  <c r="Q1204" i="20"/>
  <c r="D21" i="2"/>
  <c r="J1431" i="20"/>
  <c r="P1431" i="20" s="1"/>
  <c r="J783" i="20"/>
  <c r="P783" i="20" s="1"/>
  <c r="AB1318" i="20"/>
  <c r="P1318" i="20"/>
  <c r="N1318" i="20"/>
  <c r="O1318" i="20" s="1"/>
  <c r="AB676" i="20"/>
  <c r="P676" i="20"/>
  <c r="N676" i="20"/>
  <c r="O676" i="20" s="1"/>
  <c r="N67" i="20"/>
  <c r="O67" i="20" s="1"/>
  <c r="AB67" i="20"/>
  <c r="J559" i="20"/>
  <c r="P559" i="20" s="1"/>
  <c r="AC480" i="20"/>
  <c r="Q480" i="20"/>
  <c r="P482" i="20"/>
  <c r="N482" i="20"/>
  <c r="AB482" i="20"/>
  <c r="AC887" i="20"/>
  <c r="Q887" i="20"/>
  <c r="AB938" i="20"/>
  <c r="P938" i="20"/>
  <c r="N938" i="20"/>
  <c r="O938" i="20" s="1"/>
  <c r="J538" i="20"/>
  <c r="N74" i="20"/>
  <c r="O74" i="20" s="1"/>
  <c r="AB74" i="20"/>
  <c r="J1255" i="20"/>
  <c r="P1255" i="20" s="1"/>
  <c r="J738" i="20"/>
  <c r="P738" i="20" s="1"/>
  <c r="P112" i="20"/>
  <c r="N112" i="20"/>
  <c r="O112" i="20" s="1"/>
  <c r="AB112" i="20"/>
  <c r="AB355" i="20"/>
  <c r="P355" i="20"/>
  <c r="N355" i="20"/>
  <c r="O355" i="20" s="1"/>
  <c r="AB371" i="20"/>
  <c r="N371" i="20"/>
  <c r="O371" i="20" s="1"/>
  <c r="P371" i="20"/>
  <c r="AC46" i="20"/>
  <c r="Q46" i="20"/>
  <c r="J75" i="20"/>
  <c r="P75" i="20" s="1"/>
  <c r="J27" i="20"/>
  <c r="P27" i="20" s="1"/>
  <c r="J53" i="20"/>
  <c r="P53" i="20" s="1"/>
  <c r="Q1441" i="20"/>
  <c r="AC1441" i="20"/>
  <c r="P2526" i="20"/>
  <c r="J73" i="2" s="1"/>
  <c r="N2526" i="20"/>
  <c r="O2526" i="20" s="1"/>
  <c r="AB2526" i="20"/>
  <c r="C73" i="2"/>
  <c r="N1910" i="20"/>
  <c r="O1910" i="20" s="1"/>
  <c r="AB1910" i="20"/>
  <c r="AB1535" i="20"/>
  <c r="P1535" i="20"/>
  <c r="N1535" i="20"/>
  <c r="O1535" i="20" s="1"/>
  <c r="Q74" i="20"/>
  <c r="AC74" i="20"/>
  <c r="AC1942" i="20"/>
  <c r="Q1942" i="20"/>
  <c r="D49" i="2"/>
  <c r="D50" i="2" s="1"/>
  <c r="AB1513" i="20"/>
  <c r="P1513" i="20"/>
  <c r="N1513" i="20"/>
  <c r="O1513" i="20" s="1"/>
  <c r="P1674" i="20"/>
  <c r="AB1674" i="20"/>
  <c r="N1674" i="20"/>
  <c r="O1674" i="20" s="1"/>
  <c r="AB1306" i="20"/>
  <c r="P1306" i="20"/>
  <c r="N1306" i="20"/>
  <c r="O1306" i="20" s="1"/>
  <c r="Q1412" i="20"/>
  <c r="AC1412" i="20"/>
  <c r="P118" i="20"/>
  <c r="N118" i="20"/>
  <c r="O118" i="20" s="1"/>
  <c r="AB118" i="20"/>
  <c r="N2482" i="20"/>
  <c r="O2482" i="20" s="1"/>
  <c r="AB2482" i="20"/>
  <c r="P2482" i="20"/>
  <c r="AB2651" i="20"/>
  <c r="N2651" i="20"/>
  <c r="O2651" i="20" s="1"/>
  <c r="J2662" i="20"/>
  <c r="P2662" i="20" s="1"/>
  <c r="J2812" i="20"/>
  <c r="P2812" i="20" s="1"/>
  <c r="AC2517" i="20"/>
  <c r="Q2517" i="20"/>
  <c r="K107" i="2" s="1"/>
  <c r="D107" i="2"/>
  <c r="AB2003" i="20"/>
  <c r="N2003" i="20"/>
  <c r="O2003" i="20" s="1"/>
  <c r="I121" i="2"/>
  <c r="I45" i="2"/>
  <c r="AC1260" i="20"/>
  <c r="Q1260" i="20"/>
  <c r="AC1318" i="20"/>
  <c r="Q1318" i="20"/>
  <c r="P641" i="20"/>
  <c r="N641" i="20"/>
  <c r="O641" i="20" s="1"/>
  <c r="AB641" i="20"/>
  <c r="Q482" i="20"/>
  <c r="AC482" i="20"/>
  <c r="AC371" i="20"/>
  <c r="Q371" i="20"/>
  <c r="AB2786" i="20"/>
  <c r="N2786" i="20"/>
  <c r="O2786" i="20" s="1"/>
  <c r="AB2769" i="20"/>
  <c r="N2769" i="20"/>
  <c r="O2769" i="20" s="1"/>
  <c r="P2769" i="20"/>
  <c r="AC2590" i="20"/>
  <c r="Q2590" i="20"/>
  <c r="AC2719" i="20"/>
  <c r="Q2719" i="20"/>
  <c r="N2719" i="20"/>
  <c r="O2719" i="20" s="1"/>
  <c r="AC2554" i="20"/>
  <c r="Q2554" i="20"/>
  <c r="K76" i="2" s="1"/>
  <c r="D76" i="2"/>
  <c r="J2603" i="20"/>
  <c r="P2603" i="20" s="1"/>
  <c r="AB2445" i="20"/>
  <c r="P2445" i="20"/>
  <c r="J59" i="2" s="1"/>
  <c r="N2445" i="20"/>
  <c r="O2445" i="20" s="1"/>
  <c r="C59" i="2"/>
  <c r="Q2273" i="20"/>
  <c r="AC2273" i="20"/>
  <c r="J2634" i="20"/>
  <c r="P2634" i="20" s="1"/>
  <c r="AC1961" i="20"/>
  <c r="Q1961" i="20"/>
  <c r="P2091" i="20"/>
  <c r="AB2091" i="20"/>
  <c r="N2091" i="20"/>
  <c r="O2091" i="20" s="1"/>
  <c r="P2392" i="20"/>
  <c r="N2392" i="20"/>
  <c r="O2392" i="20" s="1"/>
  <c r="AB2392" i="20"/>
  <c r="P2287" i="20"/>
  <c r="AB2287" i="20"/>
  <c r="N2287" i="20"/>
  <c r="AB1996" i="20"/>
  <c r="N1996" i="20"/>
  <c r="O1996" i="20" s="1"/>
  <c r="AC2015" i="20"/>
  <c r="Q2015" i="20"/>
  <c r="D82" i="2"/>
  <c r="AB1781" i="20"/>
  <c r="P1781" i="20"/>
  <c r="N1781" i="20"/>
  <c r="O1781" i="20" s="1"/>
  <c r="AB1697" i="20"/>
  <c r="N1697" i="20"/>
  <c r="O1697" i="20" s="1"/>
  <c r="P1697" i="20"/>
  <c r="N1415" i="20"/>
  <c r="O1415" i="20" s="1"/>
  <c r="AB1415" i="20"/>
  <c r="Q1608" i="20"/>
  <c r="AC1608" i="20"/>
  <c r="AB1388" i="20"/>
  <c r="P1388" i="20"/>
  <c r="N1388" i="20"/>
  <c r="O1388" i="20" s="1"/>
  <c r="AC2121" i="20"/>
  <c r="Q2121" i="20"/>
  <c r="I31" i="2"/>
  <c r="AB2207" i="20"/>
  <c r="P2207" i="20"/>
  <c r="N2207" i="20"/>
  <c r="O2207" i="20" s="1"/>
  <c r="AC1803" i="20"/>
  <c r="Q1803" i="20"/>
  <c r="D44" i="2"/>
  <c r="D119" i="2"/>
  <c r="P1336" i="20"/>
  <c r="N1336" i="20"/>
  <c r="O1336" i="20" s="1"/>
  <c r="AB1336" i="20"/>
  <c r="AB1179" i="20"/>
  <c r="N1179" i="20"/>
  <c r="P1179" i="20"/>
  <c r="N2321" i="20"/>
  <c r="O2321" i="20" s="1"/>
  <c r="P2321" i="20"/>
  <c r="AB2321" i="20"/>
  <c r="J1432" i="20"/>
  <c r="P1432" i="20" s="1"/>
  <c r="AB1270" i="20"/>
  <c r="N1270" i="20"/>
  <c r="O1270" i="20" s="1"/>
  <c r="P1270" i="20"/>
  <c r="AC1535" i="20"/>
  <c r="Q1535" i="20"/>
  <c r="Q980" i="20"/>
  <c r="AC980" i="20"/>
  <c r="AB1359" i="20"/>
  <c r="P1359" i="20"/>
  <c r="N1359" i="20"/>
  <c r="O1359" i="20" s="1"/>
  <c r="Q1740" i="20"/>
  <c r="AC1740" i="20"/>
  <c r="AB818" i="20"/>
  <c r="N818" i="20"/>
  <c r="O818" i="20" s="1"/>
  <c r="P818" i="20"/>
  <c r="Q1744" i="20"/>
  <c r="AC1744" i="20"/>
  <c r="AB971" i="20"/>
  <c r="N971" i="20"/>
  <c r="O971" i="20" s="1"/>
  <c r="P971" i="20"/>
  <c r="AC1899" i="20"/>
  <c r="Q1899" i="20"/>
  <c r="P1012" i="20"/>
  <c r="AB1012" i="20"/>
  <c r="N1012" i="20"/>
  <c r="O1012" i="20" s="1"/>
  <c r="N1171" i="20"/>
  <c r="P1171" i="20"/>
  <c r="AB1171" i="20"/>
  <c r="N469" i="20"/>
  <c r="P469" i="20"/>
  <c r="AB469" i="20"/>
  <c r="AB1527" i="20"/>
  <c r="N1527" i="20"/>
  <c r="O1527" i="20" s="1"/>
  <c r="P1527" i="20"/>
  <c r="J1249" i="20"/>
  <c r="P1249" i="20" s="1"/>
  <c r="AC1092" i="20"/>
  <c r="Q1092" i="20"/>
  <c r="AB806" i="20"/>
  <c r="N806" i="20"/>
  <c r="O806" i="20" s="1"/>
  <c r="P806" i="20"/>
  <c r="Q651" i="20"/>
  <c r="AC651" i="20"/>
  <c r="J750" i="20"/>
  <c r="P750" i="20" s="1"/>
  <c r="N400" i="20"/>
  <c r="O400" i="20" s="1"/>
  <c r="P400" i="20"/>
  <c r="AB400" i="20"/>
  <c r="P873" i="20"/>
  <c r="N873" i="20"/>
  <c r="O873" i="20" s="1"/>
  <c r="AB873" i="20"/>
  <c r="P305" i="20"/>
  <c r="N305" i="20"/>
  <c r="O305" i="20" s="1"/>
  <c r="AB305" i="20"/>
  <c r="AB1042" i="20"/>
  <c r="N1042" i="20"/>
  <c r="O1042" i="20" s="1"/>
  <c r="P1042" i="20"/>
  <c r="P33" i="20"/>
  <c r="N33" i="20"/>
  <c r="O33" i="20" s="1"/>
  <c r="AB33" i="20"/>
  <c r="J799" i="20"/>
  <c r="P799" i="20" s="1"/>
  <c r="P878" i="20"/>
  <c r="AB878" i="20"/>
  <c r="N878" i="20"/>
  <c r="O878" i="20" s="1"/>
  <c r="P902" i="20"/>
  <c r="AB902" i="20"/>
  <c r="N902" i="20"/>
  <c r="O902" i="20" s="1"/>
  <c r="C22" i="2"/>
  <c r="Q534" i="20"/>
  <c r="AC534" i="20"/>
  <c r="J801" i="20"/>
  <c r="P801" i="20" s="1"/>
  <c r="N437" i="20"/>
  <c r="AB437" i="20"/>
  <c r="P437" i="20"/>
  <c r="J725" i="20"/>
  <c r="P725" i="20" s="1"/>
  <c r="J718" i="20"/>
  <c r="P718" i="20" s="1"/>
  <c r="AC344" i="20"/>
  <c r="Q344" i="20"/>
  <c r="AC607" i="20"/>
  <c r="Q607" i="20"/>
  <c r="AB421" i="20"/>
  <c r="P421" i="20"/>
  <c r="N421" i="20"/>
  <c r="AC791" i="20"/>
  <c r="Q791" i="20"/>
  <c r="N235" i="20"/>
  <c r="O235" i="20" s="1"/>
  <c r="AB235" i="20"/>
  <c r="P235" i="20"/>
  <c r="AC324" i="20"/>
  <c r="Q324" i="20"/>
  <c r="P86" i="20"/>
  <c r="N86" i="20"/>
  <c r="O86" i="20" s="1"/>
  <c r="AB86" i="20"/>
  <c r="P506" i="20"/>
  <c r="AB506" i="20"/>
  <c r="N506" i="20"/>
  <c r="O506" i="20" s="1"/>
  <c r="C11" i="2"/>
  <c r="J543" i="20"/>
  <c r="P543" i="20" s="1"/>
  <c r="J49" i="20"/>
  <c r="P49" i="20" s="1"/>
  <c r="P452" i="20"/>
  <c r="AB452" i="20"/>
  <c r="N452" i="20"/>
  <c r="AB14" i="20"/>
  <c r="N14" i="20"/>
  <c r="O14" i="20" s="1"/>
  <c r="P14" i="20"/>
  <c r="J50" i="20"/>
  <c r="P50" i="20" s="1"/>
  <c r="AB7" i="20"/>
  <c r="P7" i="20"/>
  <c r="N7" i="20"/>
  <c r="O7" i="20" s="1"/>
  <c r="N2119" i="20"/>
  <c r="P2119" i="20"/>
  <c r="AB2119" i="20"/>
  <c r="AC1720" i="20"/>
  <c r="Q1720" i="20"/>
  <c r="N761" i="20"/>
  <c r="O761" i="20" s="1"/>
  <c r="P761" i="20"/>
  <c r="AB761" i="20"/>
  <c r="P40" i="20"/>
  <c r="N40" i="20"/>
  <c r="O40" i="20" s="1"/>
  <c r="AB40" i="20"/>
  <c r="AC450" i="20"/>
  <c r="Q450" i="20"/>
  <c r="AB570" i="20"/>
  <c r="P570" i="20"/>
  <c r="N570" i="20"/>
  <c r="O570" i="20" s="1"/>
  <c r="AC175" i="20"/>
  <c r="Q175" i="20"/>
  <c r="J56" i="20"/>
  <c r="P56" i="20" s="1"/>
  <c r="J2786" i="20"/>
  <c r="P2786" i="20" s="1"/>
  <c r="P2827" i="20"/>
  <c r="AB2827" i="20"/>
  <c r="N2827" i="20"/>
  <c r="O2827" i="20" s="1"/>
  <c r="AB2485" i="20"/>
  <c r="P2485" i="20"/>
  <c r="N2485" i="20"/>
  <c r="O2485" i="20" s="1"/>
  <c r="N2092" i="20"/>
  <c r="O2092" i="20" s="1"/>
  <c r="AB2092" i="20"/>
  <c r="AB2626" i="20"/>
  <c r="P2626" i="20"/>
  <c r="N2626" i="20"/>
  <c r="O2626" i="20" s="1"/>
  <c r="AB2032" i="20"/>
  <c r="P2032" i="20"/>
  <c r="N2032" i="20"/>
  <c r="O2032" i="20" s="1"/>
  <c r="C86" i="2"/>
  <c r="C122" i="2"/>
  <c r="Q2150" i="20"/>
  <c r="AC2150" i="20"/>
  <c r="AB2053" i="20"/>
  <c r="N2053" i="20"/>
  <c r="O2053" i="20" s="1"/>
  <c r="P1379" i="20"/>
  <c r="N1379" i="20"/>
  <c r="O1379" i="20" s="1"/>
  <c r="AB1379" i="20"/>
  <c r="P1296" i="20"/>
  <c r="AB1296" i="20"/>
  <c r="N1296" i="20"/>
  <c r="O1296" i="20" s="1"/>
  <c r="Q1166" i="20"/>
  <c r="AC1166" i="20"/>
  <c r="AC1389" i="20"/>
  <c r="Q1389" i="20"/>
  <c r="AB1709" i="20"/>
  <c r="P1709" i="20"/>
  <c r="N1709" i="20"/>
  <c r="O1709" i="20" s="1"/>
  <c r="P2590" i="20"/>
  <c r="N2590" i="20"/>
  <c r="O2590" i="20" s="1"/>
  <c r="AB2590" i="20"/>
  <c r="AB2795" i="20"/>
  <c r="P2795" i="20"/>
  <c r="N2795" i="20"/>
  <c r="O2795" i="20" s="1"/>
  <c r="J2745" i="20"/>
  <c r="P2745" i="20" s="1"/>
  <c r="Q2284" i="20"/>
  <c r="AC2284" i="20"/>
  <c r="K64" i="2"/>
  <c r="AB1608" i="20"/>
  <c r="P1608" i="20"/>
  <c r="N1608" i="20"/>
  <c r="Q1424" i="20"/>
  <c r="AC1424" i="20"/>
  <c r="N2121" i="20"/>
  <c r="AB2121" i="20"/>
  <c r="P2121" i="20"/>
  <c r="AC1807" i="20"/>
  <c r="Q1807" i="20"/>
  <c r="Q1237" i="20"/>
  <c r="AC1237" i="20"/>
  <c r="AB1094" i="20"/>
  <c r="N1094" i="20"/>
  <c r="O1094" i="20" s="1"/>
  <c r="P1094" i="20"/>
  <c r="J1434" i="20"/>
  <c r="P1434" i="20" s="1"/>
  <c r="Q1029" i="20"/>
  <c r="AC1029" i="20"/>
  <c r="AB689" i="20"/>
  <c r="N689" i="20"/>
  <c r="O689" i="20" s="1"/>
  <c r="P689" i="20"/>
  <c r="AB1377" i="20"/>
  <c r="P1377" i="20"/>
  <c r="N1377" i="20"/>
  <c r="O1377" i="20" s="1"/>
  <c r="N534" i="20"/>
  <c r="O534" i="20" s="1"/>
  <c r="AB534" i="20"/>
  <c r="P534" i="20"/>
  <c r="AB344" i="20"/>
  <c r="N344" i="20"/>
  <c r="O344" i="20" s="1"/>
  <c r="P344" i="20"/>
  <c r="J2680" i="20"/>
  <c r="P2680" i="20" s="1"/>
  <c r="AC2795" i="20"/>
  <c r="Q2795" i="20"/>
  <c r="AB2741" i="20"/>
  <c r="N2741" i="20"/>
  <c r="O2741" i="20" s="1"/>
  <c r="P2741" i="20"/>
  <c r="AB2681" i="20"/>
  <c r="P2681" i="20"/>
  <c r="N2681" i="20"/>
  <c r="O2681" i="20" s="1"/>
  <c r="AC2225" i="20"/>
  <c r="Q2225" i="20"/>
  <c r="J2764" i="20"/>
  <c r="P2764" i="20" s="1"/>
  <c r="AB2635" i="20"/>
  <c r="N2635" i="20"/>
  <c r="O2635" i="20" s="1"/>
  <c r="P2781" i="20"/>
  <c r="AB2781" i="20"/>
  <c r="N2781" i="20"/>
  <c r="O2781" i="20" s="1"/>
  <c r="Q2769" i="20"/>
  <c r="AC2769" i="20"/>
  <c r="Q2387" i="20"/>
  <c r="AC2387" i="20"/>
  <c r="P2225" i="20"/>
  <c r="N2225" i="20"/>
  <c r="O2225" i="20" s="1"/>
  <c r="AB2225" i="20"/>
  <c r="AC2596" i="20"/>
  <c r="Q2596" i="20"/>
  <c r="P1959" i="20"/>
  <c r="N1959" i="20"/>
  <c r="O1959" i="20" s="1"/>
  <c r="AB1959" i="20"/>
  <c r="AB2428" i="20"/>
  <c r="P2428" i="20"/>
  <c r="N2428" i="20"/>
  <c r="AC2287" i="20"/>
  <c r="Q2287" i="20"/>
  <c r="N2015" i="20"/>
  <c r="O2015" i="20" s="1"/>
  <c r="AB2015" i="20"/>
  <c r="P2015" i="20"/>
  <c r="Q2181" i="20"/>
  <c r="AC2181" i="20"/>
  <c r="N1634" i="20"/>
  <c r="AB1634" i="20"/>
  <c r="P1634" i="20"/>
  <c r="P1380" i="20"/>
  <c r="N1380" i="20"/>
  <c r="O1380" i="20" s="1"/>
  <c r="AB1380" i="20"/>
  <c r="AC2207" i="20"/>
  <c r="Q2207" i="20"/>
  <c r="AB1803" i="20"/>
  <c r="P1803" i="20"/>
  <c r="N1803" i="20"/>
  <c r="O1803" i="20" s="1"/>
  <c r="P1327" i="20"/>
  <c r="N1327" i="20"/>
  <c r="O1327" i="20" s="1"/>
  <c r="AB1327" i="20"/>
  <c r="Q1336" i="20"/>
  <c r="AC1336" i="20"/>
  <c r="AB1164" i="20"/>
  <c r="N1164" i="20"/>
  <c r="P1164" i="20"/>
  <c r="Q2321" i="20"/>
  <c r="AC2321" i="20"/>
  <c r="P1033" i="20"/>
  <c r="N1033" i="20"/>
  <c r="O1033" i="20" s="1"/>
  <c r="AB1033" i="20"/>
  <c r="AC1270" i="20"/>
  <c r="Q1270" i="20"/>
  <c r="AC816" i="20"/>
  <c r="Q816" i="20"/>
  <c r="J1217" i="20"/>
  <c r="P1217" i="20" s="1"/>
  <c r="Q957" i="20"/>
  <c r="AC957" i="20"/>
  <c r="P1173" i="20"/>
  <c r="N1173" i="20"/>
  <c r="AB1173" i="20"/>
  <c r="J1686" i="20"/>
  <c r="P1686" i="20" s="1"/>
  <c r="P1575" i="20"/>
  <c r="N1575" i="20"/>
  <c r="O1575" i="20" s="1"/>
  <c r="AB1575" i="20"/>
  <c r="J1212" i="20"/>
  <c r="P1212" i="20" s="1"/>
  <c r="J1281" i="20"/>
  <c r="P1281" i="20" s="1"/>
  <c r="N626" i="20"/>
  <c r="O626" i="20" s="1"/>
  <c r="AB626" i="20"/>
  <c r="P626" i="20"/>
  <c r="P1756" i="20"/>
  <c r="N1756" i="20"/>
  <c r="O1756" i="20" s="1"/>
  <c r="AB1756" i="20"/>
  <c r="C39" i="2"/>
  <c r="Q1527" i="20"/>
  <c r="AC1527" i="20"/>
  <c r="AB966" i="20"/>
  <c r="P966" i="20"/>
  <c r="N966" i="20"/>
  <c r="O966" i="20" s="1"/>
  <c r="P1092" i="20"/>
  <c r="AB1092" i="20"/>
  <c r="N1092" i="20"/>
  <c r="O1092" i="20" s="1"/>
  <c r="AB1253" i="20"/>
  <c r="N1253" i="20"/>
  <c r="O1253" i="20" s="1"/>
  <c r="P1253" i="20"/>
  <c r="AC806" i="20"/>
  <c r="Q806" i="20"/>
  <c r="N621" i="20"/>
  <c r="O621" i="20" s="1"/>
  <c r="P621" i="20"/>
  <c r="AB621" i="20"/>
  <c r="AB897" i="20"/>
  <c r="N897" i="20"/>
  <c r="O897" i="20" s="1"/>
  <c r="P897" i="20"/>
  <c r="P786" i="20"/>
  <c r="N786" i="20"/>
  <c r="O786" i="20" s="1"/>
  <c r="AB786" i="20"/>
  <c r="AB725" i="20"/>
  <c r="N725" i="20"/>
  <c r="O725" i="20" s="1"/>
  <c r="J514" i="20"/>
  <c r="P514" i="20" s="1"/>
  <c r="Q400" i="20"/>
  <c r="AC400" i="20"/>
  <c r="N950" i="20"/>
  <c r="O950" i="20" s="1"/>
  <c r="AB950" i="20"/>
  <c r="P950" i="20"/>
  <c r="J790" i="20"/>
  <c r="P790" i="20" s="1"/>
  <c r="Q873" i="20"/>
  <c r="AC873" i="20"/>
  <c r="P659" i="20"/>
  <c r="AB659" i="20"/>
  <c r="N659" i="20"/>
  <c r="O659" i="20" s="1"/>
  <c r="Q305" i="20"/>
  <c r="AC305" i="20"/>
  <c r="J719" i="20"/>
  <c r="P719" i="20" s="1"/>
  <c r="Q878" i="20"/>
  <c r="AC878" i="20"/>
  <c r="Q902" i="20"/>
  <c r="AC902" i="20"/>
  <c r="D22" i="2"/>
  <c r="AB79" i="20"/>
  <c r="N79" i="20"/>
  <c r="O79" i="20" s="1"/>
  <c r="AC740" i="20"/>
  <c r="Q740" i="20"/>
  <c r="AC437" i="20"/>
  <c r="Q437" i="20"/>
  <c r="AB409" i="20"/>
  <c r="P409" i="20"/>
  <c r="N409" i="20"/>
  <c r="N527" i="20"/>
  <c r="O527" i="20" s="1"/>
  <c r="AB527" i="20"/>
  <c r="AB607" i="20"/>
  <c r="N607" i="20"/>
  <c r="O607" i="20" s="1"/>
  <c r="P607" i="20"/>
  <c r="AC421" i="20"/>
  <c r="Q421" i="20"/>
  <c r="J589" i="20"/>
  <c r="P589" i="20" s="1"/>
  <c r="Q235" i="20"/>
  <c r="AC235" i="20"/>
  <c r="N300" i="20"/>
  <c r="O300" i="20" s="1"/>
  <c r="J510" i="20"/>
  <c r="P510" i="20" s="1"/>
  <c r="Q506" i="20"/>
  <c r="AC506" i="20"/>
  <c r="D11" i="2"/>
  <c r="J588" i="20"/>
  <c r="P588" i="20" s="1"/>
  <c r="J1699" i="20"/>
  <c r="P1699" i="20" s="1"/>
  <c r="Q452" i="20"/>
  <c r="AC452" i="20"/>
  <c r="J11" i="20"/>
  <c r="P11" i="20" s="1"/>
  <c r="AB52" i="20"/>
  <c r="N52" i="20"/>
  <c r="O52" i="20" s="1"/>
  <c r="Q7" i="20"/>
  <c r="AC7" i="20"/>
  <c r="J59" i="20"/>
  <c r="P59" i="20" s="1"/>
  <c r="P270" i="20"/>
  <c r="N270" i="20"/>
  <c r="O270" i="20" s="1"/>
  <c r="AB270" i="20"/>
  <c r="J778" i="20"/>
  <c r="P778" i="20" s="1"/>
  <c r="D18" i="4"/>
  <c r="C18" i="4"/>
  <c r="E18" i="4" s="1"/>
  <c r="C20" i="4"/>
  <c r="E20" i="4" s="1"/>
  <c r="D20" i="4"/>
  <c r="B13" i="4"/>
  <c r="D13" i="4" s="1"/>
  <c r="D19" i="4"/>
  <c r="C19" i="4"/>
  <c r="E19" i="4" s="1"/>
  <c r="Q848" i="20"/>
  <c r="AC848" i="20"/>
  <c r="Q432" i="20"/>
  <c r="AC432" i="20"/>
  <c r="I103" i="2"/>
  <c r="AB2456" i="20"/>
  <c r="N2456" i="20"/>
  <c r="O2456" i="20" s="1"/>
  <c r="P2456" i="20"/>
  <c r="C102" i="2"/>
  <c r="AC2464" i="20"/>
  <c r="Q2464" i="20"/>
  <c r="AC2163" i="20"/>
  <c r="Q2163" i="20"/>
  <c r="N2845" i="20"/>
  <c r="O2845" i="20" s="1"/>
  <c r="J2643" i="20"/>
  <c r="P2643" i="20" s="1"/>
  <c r="P2554" i="20"/>
  <c r="AB2554" i="20"/>
  <c r="N2554" i="20"/>
  <c r="O2554" i="20" s="1"/>
  <c r="AB2273" i="20"/>
  <c r="N2273" i="20"/>
  <c r="P2273" i="20"/>
  <c r="I123" i="2"/>
  <c r="I88" i="2"/>
  <c r="AB1150" i="20"/>
  <c r="P1150" i="20"/>
  <c r="N1150" i="20"/>
  <c r="P980" i="20"/>
  <c r="N980" i="20"/>
  <c r="O980" i="20" s="1"/>
  <c r="AB980" i="20"/>
  <c r="N1740" i="20"/>
  <c r="O1740" i="20" s="1"/>
  <c r="P1740" i="20"/>
  <c r="AB1740" i="20"/>
  <c r="J1205" i="20"/>
  <c r="P791" i="20"/>
  <c r="N791" i="20"/>
  <c r="O791" i="20" s="1"/>
  <c r="AB791" i="20"/>
  <c r="AC2635" i="20"/>
  <c r="Q2635" i="20"/>
  <c r="Q2781" i="20"/>
  <c r="AC2781" i="20"/>
  <c r="J2579" i="20"/>
  <c r="P2579" i="20" s="1"/>
  <c r="J2698" i="20"/>
  <c r="P2698" i="20" s="1"/>
  <c r="AB2609" i="20"/>
  <c r="N2609" i="20"/>
  <c r="O2609" i="20" s="1"/>
  <c r="N2563" i="20"/>
  <c r="O2563" i="20" s="1"/>
  <c r="AB2563" i="20"/>
  <c r="J2677" i="20"/>
  <c r="P2677" i="20" s="1"/>
  <c r="J2616" i="20"/>
  <c r="P2616" i="20" s="1"/>
  <c r="J2648" i="20"/>
  <c r="P2648" i="20" s="1"/>
  <c r="N2387" i="20"/>
  <c r="O2387" i="20" s="1"/>
  <c r="AB2387" i="20"/>
  <c r="P2387" i="20"/>
  <c r="AB2216" i="20"/>
  <c r="N2216" i="20"/>
  <c r="O2216" i="20" s="1"/>
  <c r="P2216" i="20"/>
  <c r="AB2596" i="20"/>
  <c r="N2596" i="20"/>
  <c r="O2596" i="20" s="1"/>
  <c r="AC2404" i="20"/>
  <c r="Q2404" i="20"/>
  <c r="D97" i="2"/>
  <c r="Q1955" i="20"/>
  <c r="AC1955" i="20"/>
  <c r="P2034" i="20"/>
  <c r="N2034" i="20"/>
  <c r="O2034" i="20" s="1"/>
  <c r="AB2034" i="20"/>
  <c r="Q2428" i="20"/>
  <c r="AC2428" i="20"/>
  <c r="N2325" i="20"/>
  <c r="O2325" i="20" s="1"/>
  <c r="P2325" i="20"/>
  <c r="AB2325" i="20"/>
  <c r="P1706" i="20"/>
  <c r="N1706" i="20"/>
  <c r="O1706" i="20" s="1"/>
  <c r="AB1706" i="20"/>
  <c r="AC2000" i="20"/>
  <c r="Q2000" i="20"/>
  <c r="P1723" i="20"/>
  <c r="N1723" i="20"/>
  <c r="O1723" i="20" s="1"/>
  <c r="AB1723" i="20"/>
  <c r="Q1894" i="20"/>
  <c r="AC1894" i="20"/>
  <c r="P2181" i="20"/>
  <c r="N2181" i="20"/>
  <c r="O2181" i="20" s="1"/>
  <c r="AB2181" i="20"/>
  <c r="N1616" i="20"/>
  <c r="P1616" i="20"/>
  <c r="AB1616" i="20"/>
  <c r="P1397" i="20"/>
  <c r="N1397" i="20"/>
  <c r="O1397" i="20" s="1"/>
  <c r="AB1397" i="20"/>
  <c r="P1378" i="20"/>
  <c r="N1378" i="20"/>
  <c r="O1378" i="20" s="1"/>
  <c r="AB1378" i="20"/>
  <c r="AB1920" i="20"/>
  <c r="N1920" i="20"/>
  <c r="O1920" i="20" s="1"/>
  <c r="P1920" i="20"/>
  <c r="N1144" i="20"/>
  <c r="P1144" i="20"/>
  <c r="AB1144" i="20"/>
  <c r="Q1033" i="20"/>
  <c r="AC1033" i="20"/>
  <c r="P1341" i="20"/>
  <c r="AB1341" i="20"/>
  <c r="N1341" i="20"/>
  <c r="O1341" i="20" s="1"/>
  <c r="AB1502" i="20"/>
  <c r="P1502" i="20"/>
  <c r="N1502" i="20"/>
  <c r="O1502" i="20" s="1"/>
  <c r="C31" i="2"/>
  <c r="AB1783" i="20"/>
  <c r="N1783" i="20"/>
  <c r="O1783" i="20" s="1"/>
  <c r="P1783" i="20"/>
  <c r="C40" i="2"/>
  <c r="AB745" i="20"/>
  <c r="N745" i="20"/>
  <c r="O745" i="20" s="1"/>
  <c r="P745" i="20"/>
  <c r="P939" i="20"/>
  <c r="N939" i="20"/>
  <c r="O939" i="20" s="1"/>
  <c r="AB939" i="20"/>
  <c r="Q1173" i="20"/>
  <c r="AC1173" i="20"/>
  <c r="AB1640" i="20"/>
  <c r="P1640" i="20"/>
  <c r="N1640" i="20"/>
  <c r="Q1575" i="20"/>
  <c r="AC1575" i="20"/>
  <c r="AC1756" i="20"/>
  <c r="Q1756" i="20"/>
  <c r="D39" i="2"/>
  <c r="P998" i="20"/>
  <c r="N998" i="20"/>
  <c r="O998" i="20" s="1"/>
  <c r="AB998" i="20"/>
  <c r="AC966" i="20"/>
  <c r="Q966" i="20"/>
  <c r="AC1253" i="20"/>
  <c r="Q1253" i="20"/>
  <c r="J1295" i="20"/>
  <c r="P1295" i="20" s="1"/>
  <c r="Q786" i="20"/>
  <c r="AC786" i="20"/>
  <c r="J1448" i="20"/>
  <c r="P1448" i="20" s="1"/>
  <c r="AB839" i="20"/>
  <c r="P839" i="20"/>
  <c r="N839" i="20"/>
  <c r="O839" i="20" s="1"/>
  <c r="N472" i="20"/>
  <c r="AB472" i="20"/>
  <c r="P472" i="20"/>
  <c r="P624" i="20"/>
  <c r="N624" i="20"/>
  <c r="O624" i="20" s="1"/>
  <c r="AB624" i="20"/>
  <c r="AB969" i="20"/>
  <c r="N969" i="20"/>
  <c r="O969" i="20" s="1"/>
  <c r="P969" i="20"/>
  <c r="Q950" i="20"/>
  <c r="AC950" i="20"/>
  <c r="AB715" i="20"/>
  <c r="N715" i="20"/>
  <c r="O715" i="20" s="1"/>
  <c r="AB259" i="20"/>
  <c r="P259" i="20"/>
  <c r="N259" i="20"/>
  <c r="O259" i="20" s="1"/>
  <c r="P685" i="20"/>
  <c r="N685" i="20"/>
  <c r="O685" i="20" s="1"/>
  <c r="AB685" i="20"/>
  <c r="P861" i="20"/>
  <c r="N861" i="20"/>
  <c r="O861" i="20" s="1"/>
  <c r="AB861" i="20"/>
  <c r="AB740" i="20"/>
  <c r="N740" i="20"/>
  <c r="O740" i="20" s="1"/>
  <c r="P740" i="20"/>
  <c r="J520" i="20"/>
  <c r="P520" i="20" s="1"/>
  <c r="AC409" i="20"/>
  <c r="Q409" i="20"/>
  <c r="Q527" i="20"/>
  <c r="AC527" i="20"/>
  <c r="Q576" i="20"/>
  <c r="AC576" i="20"/>
  <c r="P76" i="20"/>
  <c r="N76" i="20"/>
  <c r="O76" i="20" s="1"/>
  <c r="AB76" i="20"/>
  <c r="J13" i="20"/>
  <c r="P13" i="20" s="1"/>
  <c r="J581" i="20"/>
  <c r="P581" i="20" s="1"/>
  <c r="AC52" i="20"/>
  <c r="Q52" i="20"/>
  <c r="AB29" i="20"/>
  <c r="P29" i="20"/>
  <c r="N29" i="20"/>
  <c r="O29" i="20" s="1"/>
  <c r="AC270" i="20"/>
  <c r="Q270" i="20"/>
  <c r="AB95" i="20"/>
  <c r="P95" i="20"/>
  <c r="N95" i="20"/>
  <c r="O95" i="20" s="1"/>
  <c r="AC1072" i="20"/>
  <c r="Q1072" i="20"/>
  <c r="AC1275" i="20"/>
  <c r="Q1275" i="20"/>
  <c r="P131" i="20"/>
  <c r="N131" i="20"/>
  <c r="O131" i="20" s="1"/>
  <c r="AB131" i="20"/>
  <c r="Q456" i="20"/>
  <c r="AC456" i="20"/>
  <c r="N2310" i="20"/>
  <c r="O2310" i="20" s="1"/>
  <c r="AB2310" i="20"/>
  <c r="P2310" i="20"/>
  <c r="N1929" i="20"/>
  <c r="O1929" i="20" s="1"/>
  <c r="N1970" i="20"/>
  <c r="O1970" i="20" s="1"/>
  <c r="AB1970" i="20"/>
  <c r="C54" i="2"/>
  <c r="I35" i="2"/>
  <c r="AB2791" i="20"/>
  <c r="N2791" i="20"/>
  <c r="O2791" i="20" s="1"/>
  <c r="P2791" i="20"/>
  <c r="AB2679" i="20"/>
  <c r="P2679" i="20"/>
  <c r="N2679" i="20"/>
  <c r="O2679" i="20" s="1"/>
  <c r="Q2768" i="20"/>
  <c r="AC2768" i="20"/>
  <c r="N2193" i="20"/>
  <c r="O2193" i="20" s="1"/>
  <c r="AC2193" i="20"/>
  <c r="Q2193" i="20"/>
  <c r="AC1772" i="20"/>
  <c r="Q1772" i="20"/>
  <c r="AC1719" i="20"/>
  <c r="Q1719" i="20"/>
  <c r="N1719" i="20"/>
  <c r="O1719" i="20" s="1"/>
  <c r="P1744" i="20"/>
  <c r="AB1744" i="20"/>
  <c r="N1744" i="20"/>
  <c r="O1744" i="20" s="1"/>
  <c r="N1899" i="20"/>
  <c r="O1899" i="20" s="1"/>
  <c r="AB1899" i="20"/>
  <c r="AB1015" i="20"/>
  <c r="P1015" i="20"/>
  <c r="N1015" i="20"/>
  <c r="O1015" i="20" s="1"/>
  <c r="I16" i="2"/>
  <c r="Q2563" i="20"/>
  <c r="AC2563" i="20"/>
  <c r="AC2666" i="20"/>
  <c r="Q2666" i="20"/>
  <c r="AB2592" i="20"/>
  <c r="P2592" i="20"/>
  <c r="N2592" i="20"/>
  <c r="O2592" i="20" s="1"/>
  <c r="Q2709" i="20"/>
  <c r="AC2709" i="20"/>
  <c r="N2334" i="20"/>
  <c r="O2334" i="20" s="1"/>
  <c r="P2334" i="20"/>
  <c r="AB2334" i="20"/>
  <c r="J2596" i="20"/>
  <c r="P2596" i="20" s="1"/>
  <c r="J2573" i="20"/>
  <c r="P2573" i="20" s="1"/>
  <c r="AB1947" i="20"/>
  <c r="P1947" i="20"/>
  <c r="N1947" i="20"/>
  <c r="O1947" i="20" s="1"/>
  <c r="N1945" i="20"/>
  <c r="O1945" i="20" s="1"/>
  <c r="AB1945" i="20"/>
  <c r="P1945" i="20"/>
  <c r="Q2034" i="20"/>
  <c r="AC2034" i="20"/>
  <c r="D86" i="2"/>
  <c r="D122" i="2"/>
  <c r="Q2325" i="20"/>
  <c r="AC2325" i="20"/>
  <c r="AB2108" i="20"/>
  <c r="P2108" i="20"/>
  <c r="N2108" i="20"/>
  <c r="O2108" i="20" s="1"/>
  <c r="Q1723" i="20"/>
  <c r="AC1723" i="20"/>
  <c r="K82" i="2"/>
  <c r="AB1894" i="20"/>
  <c r="N1894" i="20"/>
  <c r="O1894" i="20" s="1"/>
  <c r="P1792" i="20"/>
  <c r="N1792" i="20"/>
  <c r="O1792" i="20" s="1"/>
  <c r="AB1792" i="20"/>
  <c r="P1390" i="20"/>
  <c r="N1390" i="20"/>
  <c r="O1390" i="20" s="1"/>
  <c r="AB1390" i="20"/>
  <c r="AB1916" i="20"/>
  <c r="N1916" i="20"/>
  <c r="O1916" i="20" s="1"/>
  <c r="Q1920" i="20"/>
  <c r="AC1920" i="20"/>
  <c r="Q1895" i="20"/>
  <c r="AC1895" i="20"/>
  <c r="N1895" i="20"/>
  <c r="O1895" i="20" s="1"/>
  <c r="N1747" i="20"/>
  <c r="O1747" i="20" s="1"/>
  <c r="AB1747" i="20"/>
  <c r="P1747" i="20"/>
  <c r="N1138" i="20"/>
  <c r="AB1138" i="20"/>
  <c r="P1138" i="20"/>
  <c r="AB1592" i="20"/>
  <c r="N1592" i="20"/>
  <c r="O1592" i="20" s="1"/>
  <c r="P1592" i="20"/>
  <c r="AB1645" i="20"/>
  <c r="P1645" i="20"/>
  <c r="N1645" i="20"/>
  <c r="J1274" i="20"/>
  <c r="P1274" i="20" s="1"/>
  <c r="AC1502" i="20"/>
  <c r="Q1502" i="20"/>
  <c r="D31" i="2"/>
  <c r="AC1783" i="20"/>
  <c r="Q1783" i="20"/>
  <c r="D40" i="2"/>
  <c r="AB1196" i="20"/>
  <c r="N1196" i="20"/>
  <c r="P1196" i="20"/>
  <c r="AC1640" i="20"/>
  <c r="Q1640" i="20"/>
  <c r="J1266" i="20"/>
  <c r="P1266" i="20" s="1"/>
  <c r="N602" i="20"/>
  <c r="O602" i="20" s="1"/>
  <c r="AB602" i="20"/>
  <c r="P602" i="20"/>
  <c r="C16" i="2"/>
  <c r="AC895" i="20"/>
  <c r="Q895" i="20"/>
  <c r="N895" i="20"/>
  <c r="O895" i="20" s="1"/>
  <c r="J1424" i="20"/>
  <c r="P1424" i="20" s="1"/>
  <c r="P1002" i="20"/>
  <c r="I24" i="2"/>
  <c r="N1482" i="20"/>
  <c r="O1482" i="20" s="1"/>
  <c r="AB1482" i="20"/>
  <c r="P1482" i="20"/>
  <c r="N582" i="20"/>
  <c r="O582" i="20" s="1"/>
  <c r="P582" i="20"/>
  <c r="AB582" i="20"/>
  <c r="AB1548" i="20"/>
  <c r="P1548" i="20"/>
  <c r="N1548" i="20"/>
  <c r="O1548" i="20" s="1"/>
  <c r="P866" i="20"/>
  <c r="N866" i="20"/>
  <c r="O866" i="20" s="1"/>
  <c r="AB866" i="20"/>
  <c r="N690" i="20"/>
  <c r="O690" i="20" s="1"/>
  <c r="P690" i="20"/>
  <c r="AB690" i="20"/>
  <c r="AB796" i="20"/>
  <c r="N796" i="20"/>
  <c r="O796" i="20" s="1"/>
  <c r="P796" i="20"/>
  <c r="AB789" i="20"/>
  <c r="N789" i="20"/>
  <c r="O789" i="20" s="1"/>
  <c r="P789" i="20"/>
  <c r="AC839" i="20"/>
  <c r="Q839" i="20"/>
  <c r="AB708" i="20"/>
  <c r="P708" i="20"/>
  <c r="N708" i="20"/>
  <c r="O708" i="20" s="1"/>
  <c r="AC624" i="20"/>
  <c r="Q624" i="20"/>
  <c r="AC969" i="20"/>
  <c r="Q969" i="20"/>
  <c r="J758" i="20"/>
  <c r="P758" i="20" s="1"/>
  <c r="Q715" i="20"/>
  <c r="AC715" i="20"/>
  <c r="AB222" i="20"/>
  <c r="P222" i="20"/>
  <c r="N222" i="20"/>
  <c r="O222" i="20" s="1"/>
  <c r="N353" i="20"/>
  <c r="O353" i="20" s="1"/>
  <c r="P353" i="20"/>
  <c r="AB353" i="20"/>
  <c r="Q685" i="20"/>
  <c r="AC685" i="20"/>
  <c r="Q861" i="20"/>
  <c r="AC861" i="20"/>
  <c r="AB760" i="20"/>
  <c r="N760" i="20"/>
  <c r="O760" i="20" s="1"/>
  <c r="AC477" i="20"/>
  <c r="N477" i="20"/>
  <c r="Q477" i="20"/>
  <c r="N72" i="20"/>
  <c r="O72" i="20" s="1"/>
  <c r="AB72" i="20"/>
  <c r="P72" i="20"/>
  <c r="N576" i="20"/>
  <c r="O576" i="20" s="1"/>
  <c r="AB576" i="20"/>
  <c r="J22" i="20"/>
  <c r="P22" i="20" s="1"/>
  <c r="AC159" i="20"/>
  <c r="Q159" i="20"/>
  <c r="P47" i="20"/>
  <c r="N47" i="20"/>
  <c r="O47" i="20" s="1"/>
  <c r="AB47" i="20"/>
  <c r="J798" i="20"/>
  <c r="P798" i="20" s="1"/>
  <c r="AB130" i="20"/>
  <c r="P130" i="20"/>
  <c r="N130" i="20"/>
  <c r="O130" i="20" s="1"/>
  <c r="AC76" i="20"/>
  <c r="Q76" i="20"/>
  <c r="P455" i="20"/>
  <c r="N455" i="20"/>
  <c r="AB455" i="20"/>
  <c r="P448" i="20"/>
  <c r="AB448" i="20"/>
  <c r="N448" i="20"/>
  <c r="J537" i="20"/>
  <c r="P537" i="20" s="1"/>
  <c r="J69" i="20"/>
  <c r="P69" i="20" s="1"/>
  <c r="Q29" i="20"/>
  <c r="AC29" i="20"/>
  <c r="AC95" i="20"/>
  <c r="Q95" i="20"/>
  <c r="Q189" i="20"/>
  <c r="AC189" i="20"/>
  <c r="J773" i="20"/>
  <c r="P773" i="20" s="1"/>
  <c r="J79" i="20"/>
  <c r="P79" i="20" s="1"/>
  <c r="N1166" i="20"/>
  <c r="AB1166" i="20"/>
  <c r="P1166" i="20"/>
  <c r="Q782" i="20"/>
  <c r="AC782" i="20"/>
  <c r="Q1366" i="20"/>
  <c r="AC1366" i="20"/>
  <c r="AB837" i="20"/>
  <c r="P837" i="20"/>
  <c r="N837" i="20"/>
  <c r="O837" i="20" s="1"/>
  <c r="AB2047" i="20"/>
  <c r="N2047" i="20"/>
  <c r="O2047" i="20" s="1"/>
  <c r="C93" i="2"/>
  <c r="AC2788" i="20"/>
  <c r="Q2788" i="20"/>
  <c r="N1857" i="20"/>
  <c r="O1857" i="20" s="1"/>
  <c r="AB1857" i="20"/>
  <c r="C53" i="2"/>
  <c r="P1509" i="20"/>
  <c r="N1509" i="20"/>
  <c r="O1509" i="20" s="1"/>
  <c r="AB1509" i="20"/>
  <c r="J1252" i="20"/>
  <c r="P1252" i="20" s="1"/>
  <c r="J1404" i="20"/>
  <c r="P1404" i="20" s="1"/>
  <c r="P538" i="20"/>
  <c r="N538" i="20"/>
  <c r="O538" i="20" s="1"/>
  <c r="AB538" i="20"/>
  <c r="J2762" i="20"/>
  <c r="P2762" i="20" s="1"/>
  <c r="AB820" i="20"/>
  <c r="P820" i="20"/>
  <c r="N820" i="20"/>
  <c r="O820" i="20" s="1"/>
  <c r="P1353" i="20"/>
  <c r="N1353" i="20"/>
  <c r="O1353" i="20" s="1"/>
  <c r="AB1353" i="20"/>
  <c r="AB651" i="20"/>
  <c r="N651" i="20"/>
  <c r="O651" i="20" s="1"/>
  <c r="P651" i="20"/>
  <c r="P316" i="20"/>
  <c r="N316" i="20"/>
  <c r="O316" i="20" s="1"/>
  <c r="AB316" i="20"/>
  <c r="N49" i="20"/>
  <c r="O49" i="20" s="1"/>
  <c r="AB49" i="20"/>
  <c r="N324" i="20"/>
  <c r="O324" i="20" s="1"/>
  <c r="AB324" i="20"/>
  <c r="P324" i="20"/>
  <c r="Q112" i="20"/>
  <c r="AC112" i="20"/>
  <c r="AC355" i="20"/>
  <c r="Q355" i="20"/>
  <c r="J2734" i="20"/>
  <c r="P2734" i="20" s="1"/>
  <c r="J2746" i="20"/>
  <c r="P2746" i="20" s="1"/>
  <c r="P2770" i="20"/>
  <c r="N2770" i="20"/>
  <c r="O2770" i="20" s="1"/>
  <c r="AB2770" i="20"/>
  <c r="P2666" i="20"/>
  <c r="AB2666" i="20"/>
  <c r="N2666" i="20"/>
  <c r="O2666" i="20" s="1"/>
  <c r="J2712" i="20"/>
  <c r="P2712" i="20" s="1"/>
  <c r="AC2592" i="20"/>
  <c r="Q2592" i="20"/>
  <c r="P2709" i="20"/>
  <c r="AB2709" i="20"/>
  <c r="N2709" i="20"/>
  <c r="O2709" i="20" s="1"/>
  <c r="AB2668" i="20"/>
  <c r="N2668" i="20"/>
  <c r="O2668" i="20" s="1"/>
  <c r="P2668" i="20"/>
  <c r="Q2311" i="20"/>
  <c r="AC2311" i="20"/>
  <c r="Q2171" i="20"/>
  <c r="AC2171" i="20"/>
  <c r="AC2441" i="20"/>
  <c r="Q2441" i="20"/>
  <c r="P1919" i="20"/>
  <c r="N1919" i="20"/>
  <c r="O1919" i="20" s="1"/>
  <c r="AB1919" i="20"/>
  <c r="P2054" i="20"/>
  <c r="N2054" i="20"/>
  <c r="O2054" i="20" s="1"/>
  <c r="AB2054" i="20"/>
  <c r="AC2108" i="20"/>
  <c r="Q2108" i="20"/>
  <c r="AB1621" i="20"/>
  <c r="N1621" i="20"/>
  <c r="P1621" i="20"/>
  <c r="AB1891" i="20"/>
  <c r="N1891" i="20"/>
  <c r="O1891" i="20" s="1"/>
  <c r="C63" i="2"/>
  <c r="AB1842" i="20"/>
  <c r="N1842" i="20"/>
  <c r="O1842" i="20" s="1"/>
  <c r="P1842" i="20"/>
  <c r="C45" i="2"/>
  <c r="C121" i="2"/>
  <c r="N2210" i="20"/>
  <c r="O2210" i="20" s="1"/>
  <c r="AB2210" i="20"/>
  <c r="P2210" i="20"/>
  <c r="Q1792" i="20"/>
  <c r="AC1792" i="20"/>
  <c r="AB1746" i="20"/>
  <c r="P1746" i="20"/>
  <c r="N1746" i="20"/>
  <c r="O1746" i="20" s="1"/>
  <c r="P1383" i="20"/>
  <c r="N1383" i="20"/>
  <c r="O1383" i="20" s="1"/>
  <c r="AB1383" i="20"/>
  <c r="J2749" i="20"/>
  <c r="P2749" i="20" s="1"/>
  <c r="K41" i="2"/>
  <c r="P1429" i="20"/>
  <c r="N1429" i="20"/>
  <c r="O1429" i="20" s="1"/>
  <c r="AB1429" i="20"/>
  <c r="AC1747" i="20"/>
  <c r="Q1747" i="20"/>
  <c r="J1289" i="20"/>
  <c r="P1289" i="20" s="1"/>
  <c r="AB1134" i="20"/>
  <c r="N1134" i="20"/>
  <c r="P1134" i="20"/>
  <c r="Q1521" i="20"/>
  <c r="AC1521" i="20"/>
  <c r="AC1645" i="20"/>
  <c r="Q1645" i="20"/>
  <c r="J1660" i="20"/>
  <c r="P1660" i="20" s="1"/>
  <c r="AB1246" i="20"/>
  <c r="N1246" i="20"/>
  <c r="O1246" i="20" s="1"/>
  <c r="P1087" i="20"/>
  <c r="N1087" i="20"/>
  <c r="O1087" i="20" s="1"/>
  <c r="AB1087" i="20"/>
  <c r="AB1504" i="20"/>
  <c r="P1504" i="20"/>
  <c r="N1504" i="20"/>
  <c r="O1504" i="20" s="1"/>
  <c r="Q1196" i="20"/>
  <c r="AC1196" i="20"/>
  <c r="AB1924" i="20"/>
  <c r="N1924" i="20"/>
  <c r="O1924" i="20" s="1"/>
  <c r="AB973" i="20"/>
  <c r="P973" i="20"/>
  <c r="N973" i="20"/>
  <c r="O973" i="20" s="1"/>
  <c r="AB558" i="20"/>
  <c r="N558" i="20"/>
  <c r="O558" i="20" s="1"/>
  <c r="Q1482" i="20"/>
  <c r="AC1482" i="20"/>
  <c r="AB730" i="20"/>
  <c r="P730" i="20"/>
  <c r="N730" i="20"/>
  <c r="O730" i="20" s="1"/>
  <c r="AB565" i="20"/>
  <c r="P565" i="20"/>
  <c r="N565" i="20"/>
  <c r="O565" i="20" s="1"/>
  <c r="Q1548" i="20"/>
  <c r="AC1548" i="20"/>
  <c r="P855" i="20"/>
  <c r="AB855" i="20"/>
  <c r="N855" i="20"/>
  <c r="O855" i="20" s="1"/>
  <c r="Q690" i="20"/>
  <c r="AC690" i="20"/>
  <c r="AC796" i="20"/>
  <c r="Q796" i="20"/>
  <c r="J1433" i="20"/>
  <c r="P1433" i="20" s="1"/>
  <c r="Q789" i="20"/>
  <c r="AC789" i="20"/>
  <c r="N444" i="20"/>
  <c r="P444" i="20"/>
  <c r="AB444" i="20"/>
  <c r="AC708" i="20"/>
  <c r="Q708" i="20"/>
  <c r="Q596" i="20"/>
  <c r="AC596" i="20"/>
  <c r="J1231" i="20"/>
  <c r="P1231" i="20" s="1"/>
  <c r="J769" i="20"/>
  <c r="P769" i="20" s="1"/>
  <c r="P1610" i="20"/>
  <c r="AB1610" i="20"/>
  <c r="N1610" i="20"/>
  <c r="I25" i="2"/>
  <c r="AC353" i="20"/>
  <c r="Q353" i="20"/>
  <c r="AC760" i="20"/>
  <c r="Q760" i="20"/>
  <c r="P63" i="20"/>
  <c r="N63" i="20"/>
  <c r="O63" i="20" s="1"/>
  <c r="AB63" i="20"/>
  <c r="N518" i="20"/>
  <c r="O518" i="20" s="1"/>
  <c r="AB518" i="20"/>
  <c r="P518" i="20"/>
  <c r="AC490" i="20"/>
  <c r="Q490" i="20"/>
  <c r="J536" i="20"/>
  <c r="P536" i="20" s="1"/>
  <c r="N159" i="20"/>
  <c r="O159" i="20" s="1"/>
  <c r="AB465" i="20"/>
  <c r="N465" i="20"/>
  <c r="P465" i="20"/>
  <c r="AB359" i="20"/>
  <c r="P359" i="20"/>
  <c r="N359" i="20"/>
  <c r="O359" i="20" s="1"/>
  <c r="J739" i="20"/>
  <c r="P739" i="20" s="1"/>
  <c r="AC130" i="20"/>
  <c r="Q130" i="20"/>
  <c r="Q455" i="20"/>
  <c r="AC455" i="20"/>
  <c r="AC448" i="20"/>
  <c r="Q448" i="20"/>
  <c r="J16" i="20"/>
  <c r="P16" i="20" s="1"/>
  <c r="AB189" i="20"/>
  <c r="P189" i="20"/>
  <c r="N189" i="20"/>
  <c r="O189" i="20" s="1"/>
  <c r="J93" i="20"/>
  <c r="P93" i="20" s="1"/>
  <c r="P1459" i="20"/>
  <c r="AB1459" i="20"/>
  <c r="N1459" i="20"/>
  <c r="O1459" i="20" s="1"/>
  <c r="N1256" i="20"/>
  <c r="O1256" i="20" s="1"/>
  <c r="AB1256" i="20"/>
  <c r="AC2648" i="20"/>
  <c r="N2648" i="20"/>
  <c r="O2648" i="20" s="1"/>
  <c r="Q2648" i="20"/>
  <c r="J2599" i="20"/>
  <c r="P2599" i="20" s="1"/>
  <c r="P1426" i="20"/>
  <c r="N1426" i="20"/>
  <c r="O1426" i="20" s="1"/>
  <c r="AB1426" i="20"/>
  <c r="P1484" i="20"/>
  <c r="N1484" i="20"/>
  <c r="O1484" i="20" s="1"/>
  <c r="AB1484" i="20"/>
  <c r="AB1199" i="20"/>
  <c r="P1199" i="20"/>
  <c r="N1199" i="20"/>
  <c r="AC628" i="20"/>
  <c r="Q628" i="20"/>
  <c r="AC676" i="20"/>
  <c r="Q676" i="20"/>
  <c r="AC938" i="20"/>
  <c r="Q938" i="20"/>
  <c r="N2695" i="20"/>
  <c r="O2695" i="20" s="1"/>
  <c r="AB2695" i="20"/>
  <c r="AC2811" i="20"/>
  <c r="Q2811" i="20"/>
  <c r="AB2685" i="20"/>
  <c r="N2685" i="20"/>
  <c r="O2685" i="20" s="1"/>
  <c r="P2685" i="20"/>
  <c r="J2795" i="20"/>
  <c r="N2715" i="20"/>
  <c r="O2715" i="20" s="1"/>
  <c r="N2641" i="20"/>
  <c r="O2641" i="20" s="1"/>
  <c r="AB2641" i="20"/>
  <c r="Q2668" i="20"/>
  <c r="AC2668" i="20"/>
  <c r="N2171" i="20"/>
  <c r="P2171" i="20"/>
  <c r="AB2171" i="20"/>
  <c r="AB2441" i="20"/>
  <c r="N2441" i="20"/>
  <c r="P2441" i="20"/>
  <c r="AB1931" i="20"/>
  <c r="N1931" i="20"/>
  <c r="O1931" i="20" s="1"/>
  <c r="P1917" i="20"/>
  <c r="N1917" i="20"/>
  <c r="O1917" i="20" s="1"/>
  <c r="AB1917" i="20"/>
  <c r="C64" i="2"/>
  <c r="AB1989" i="20"/>
  <c r="N1989" i="20"/>
  <c r="O1989" i="20" s="1"/>
  <c r="Q2054" i="20"/>
  <c r="K93" i="2" s="1"/>
  <c r="AC2054" i="20"/>
  <c r="AB1864" i="20"/>
  <c r="N1864" i="20"/>
  <c r="O1864" i="20" s="1"/>
  <c r="P1817" i="20"/>
  <c r="N1817" i="20"/>
  <c r="AB1817" i="20"/>
  <c r="Q1644" i="20"/>
  <c r="AC1644" i="20"/>
  <c r="P2176" i="20"/>
  <c r="AB2176" i="20"/>
  <c r="N2176" i="20"/>
  <c r="AB2093" i="20"/>
  <c r="N2093" i="20"/>
  <c r="O2093" i="20" s="1"/>
  <c r="P1286" i="20"/>
  <c r="N1286" i="20"/>
  <c r="O1286" i="20" s="1"/>
  <c r="AB1286" i="20"/>
  <c r="AC1654" i="20"/>
  <c r="Q1654" i="20"/>
  <c r="K30" i="2" s="1"/>
  <c r="D30" i="2"/>
  <c r="N1108" i="20"/>
  <c r="AB1108" i="20"/>
  <c r="P1108" i="20"/>
  <c r="P1521" i="20"/>
  <c r="N1521" i="20"/>
  <c r="O1521" i="20" s="1"/>
  <c r="AB1521" i="20"/>
  <c r="AB1571" i="20"/>
  <c r="P1571" i="20"/>
  <c r="N1571" i="20"/>
  <c r="O1571" i="20" s="1"/>
  <c r="AC1454" i="20"/>
  <c r="Q1454" i="20"/>
  <c r="N1454" i="20"/>
  <c r="O1454" i="20" s="1"/>
  <c r="D34" i="2"/>
  <c r="J1443" i="20"/>
  <c r="P1443" i="20" s="1"/>
  <c r="AB1076" i="20"/>
  <c r="P1076" i="20"/>
  <c r="N1076" i="20"/>
  <c r="O1076" i="20" s="1"/>
  <c r="AC1500" i="20"/>
  <c r="Q1500" i="20"/>
  <c r="J1216" i="20"/>
  <c r="P1216" i="20" s="1"/>
  <c r="J715" i="20"/>
  <c r="P715" i="20" s="1"/>
  <c r="P1154" i="20"/>
  <c r="N1154" i="20"/>
  <c r="AB1154" i="20"/>
  <c r="P1162" i="20"/>
  <c r="N1162" i="20"/>
  <c r="AB1162" i="20"/>
  <c r="AC1924" i="20"/>
  <c r="Q1924" i="20"/>
  <c r="N1197" i="20"/>
  <c r="P944" i="20"/>
  <c r="AB944" i="20"/>
  <c r="N944" i="20"/>
  <c r="O944" i="20" s="1"/>
  <c r="N508" i="20"/>
  <c r="O508" i="20" s="1"/>
  <c r="AB508" i="20"/>
  <c r="P508" i="20"/>
  <c r="AB940" i="20"/>
  <c r="N940" i="20"/>
  <c r="O940" i="20" s="1"/>
  <c r="P940" i="20"/>
  <c r="AC1155" i="20"/>
  <c r="Q1155" i="20"/>
  <c r="AB559" i="20"/>
  <c r="N559" i="20"/>
  <c r="O559" i="20" s="1"/>
  <c r="P842" i="20"/>
  <c r="N842" i="20"/>
  <c r="O842" i="20" s="1"/>
  <c r="AB842" i="20"/>
  <c r="N665" i="20"/>
  <c r="O665" i="20" s="1"/>
  <c r="AB665" i="20"/>
  <c r="P665" i="20"/>
  <c r="J1410" i="20"/>
  <c r="P1410" i="20" s="1"/>
  <c r="AB414" i="20"/>
  <c r="N414" i="20"/>
  <c r="P414" i="20"/>
  <c r="J1269" i="20"/>
  <c r="P1269" i="20" s="1"/>
  <c r="J583" i="20"/>
  <c r="P583" i="20" s="1"/>
  <c r="AB1010" i="20"/>
  <c r="P1010" i="20"/>
  <c r="N1010" i="20"/>
  <c r="O1010" i="20" s="1"/>
  <c r="N228" i="20"/>
  <c r="O228" i="20" s="1"/>
  <c r="AB228" i="20"/>
  <c r="P228" i="20"/>
  <c r="N697" i="20"/>
  <c r="O697" i="20" s="1"/>
  <c r="AB697" i="20"/>
  <c r="P697" i="20"/>
  <c r="Q1610" i="20"/>
  <c r="AC1610" i="20"/>
  <c r="J1440" i="20"/>
  <c r="P1440" i="20" s="1"/>
  <c r="P188" i="20"/>
  <c r="N188" i="20"/>
  <c r="O188" i="20" s="1"/>
  <c r="AB188" i="20"/>
  <c r="J1666" i="20"/>
  <c r="P1666" i="20" s="1"/>
  <c r="N92" i="20"/>
  <c r="O92" i="20" s="1"/>
  <c r="P92" i="20"/>
  <c r="AB92" i="20"/>
  <c r="AC50" i="20"/>
  <c r="Q50" i="20"/>
  <c r="AC134" i="20"/>
  <c r="Q134" i="20"/>
  <c r="AC518" i="20"/>
  <c r="Q518" i="20"/>
  <c r="AB433" i="20"/>
  <c r="N433" i="20"/>
  <c r="P433" i="20"/>
  <c r="N490" i="20"/>
  <c r="AB490" i="20"/>
  <c r="P490" i="20"/>
  <c r="N528" i="20"/>
  <c r="O528" i="20" s="1"/>
  <c r="P528" i="20"/>
  <c r="AB528" i="20"/>
  <c r="P115" i="20"/>
  <c r="N115" i="20"/>
  <c r="O115" i="20" s="1"/>
  <c r="AB115" i="20"/>
  <c r="P283" i="20"/>
  <c r="N283" i="20"/>
  <c r="O283" i="20" s="1"/>
  <c r="AB283" i="20"/>
  <c r="AC465" i="20"/>
  <c r="Q465" i="20"/>
  <c r="AC359" i="20"/>
  <c r="Q359" i="20"/>
  <c r="J1690" i="20"/>
  <c r="P1690" i="20" s="1"/>
  <c r="J578" i="20"/>
  <c r="P578" i="20" s="1"/>
  <c r="J26" i="20"/>
  <c r="P26" i="20" s="1"/>
  <c r="K135" i="2" l="1"/>
  <c r="L106" i="2"/>
  <c r="N106" i="2" s="1"/>
  <c r="D135" i="2"/>
  <c r="M106" i="2"/>
  <c r="E128" i="2"/>
  <c r="D111" i="2"/>
  <c r="K13" i="2"/>
  <c r="I30" i="2"/>
  <c r="J15" i="2"/>
  <c r="M15" i="2" s="1"/>
  <c r="K94" i="2"/>
  <c r="K11" i="2"/>
  <c r="K24" i="2"/>
  <c r="J5" i="2"/>
  <c r="J43" i="2"/>
  <c r="L43" i="2" s="1"/>
  <c r="N43" i="2" s="1"/>
  <c r="K63" i="2"/>
  <c r="K65" i="2" s="1"/>
  <c r="K73" i="2"/>
  <c r="L73" i="2" s="1"/>
  <c r="N73" i="2" s="1"/>
  <c r="K32" i="2"/>
  <c r="K12" i="2"/>
  <c r="K14" i="2"/>
  <c r="K29" i="2"/>
  <c r="J39" i="2"/>
  <c r="M39" i="2" s="1"/>
  <c r="I21" i="2"/>
  <c r="J25" i="2"/>
  <c r="M25" i="2" s="1"/>
  <c r="K96" i="2"/>
  <c r="L96" i="2" s="1"/>
  <c r="N96" i="2" s="1"/>
  <c r="K23" i="2"/>
  <c r="K102" i="2"/>
  <c r="K111" i="2" s="1"/>
  <c r="J76" i="2"/>
  <c r="L76" i="2" s="1"/>
  <c r="J49" i="2"/>
  <c r="J50" i="2" s="1"/>
  <c r="K119" i="2"/>
  <c r="K124" i="2" s="1"/>
  <c r="K90" i="2"/>
  <c r="J41" i="2"/>
  <c r="L41" i="2" s="1"/>
  <c r="N41" i="2" s="1"/>
  <c r="K15" i="2"/>
  <c r="K39" i="2"/>
  <c r="J44" i="2"/>
  <c r="M44" i="2" s="1"/>
  <c r="K49" i="2"/>
  <c r="K50" i="2" s="1"/>
  <c r="K45" i="2"/>
  <c r="J14" i="2"/>
  <c r="M14" i="2" s="1"/>
  <c r="L107" i="2"/>
  <c r="N107" i="2" s="1"/>
  <c r="K35" i="2"/>
  <c r="J33" i="2"/>
  <c r="M33" i="2" s="1"/>
  <c r="K16" i="2"/>
  <c r="J119" i="2"/>
  <c r="M119" i="2" s="1"/>
  <c r="K117" i="2"/>
  <c r="J34" i="2"/>
  <c r="L34" i="2" s="1"/>
  <c r="N34" i="2" s="1"/>
  <c r="K103" i="2"/>
  <c r="J135" i="2"/>
  <c r="L133" i="2"/>
  <c r="N133" i="2" s="1"/>
  <c r="M133" i="2"/>
  <c r="J10" i="2"/>
  <c r="L59" i="2"/>
  <c r="N59" i="2" s="1"/>
  <c r="M59" i="2"/>
  <c r="M73" i="2"/>
  <c r="J32" i="2"/>
  <c r="J23" i="2"/>
  <c r="J20" i="2"/>
  <c r="E119" i="2"/>
  <c r="G119" i="2"/>
  <c r="D5" i="2"/>
  <c r="B6" i="1"/>
  <c r="F5" i="2"/>
  <c r="D6" i="1" s="1"/>
  <c r="I29" i="2"/>
  <c r="E73" i="2"/>
  <c r="C77" i="2"/>
  <c r="G73" i="2"/>
  <c r="J35" i="2"/>
  <c r="E33" i="2"/>
  <c r="G33" i="2"/>
  <c r="E10" i="2"/>
  <c r="C17" i="2"/>
  <c r="G10" i="2"/>
  <c r="G74" i="2"/>
  <c r="E74" i="2"/>
  <c r="G13" i="2"/>
  <c r="E13" i="2"/>
  <c r="C90" i="2"/>
  <c r="E80" i="2"/>
  <c r="G80" i="2"/>
  <c r="E41" i="2"/>
  <c r="G41" i="2"/>
  <c r="K40" i="2"/>
  <c r="E24" i="2"/>
  <c r="G24" i="2"/>
  <c r="L94" i="2"/>
  <c r="N94" i="2" s="1"/>
  <c r="I13" i="2"/>
  <c r="K31" i="2"/>
  <c r="K74" i="2"/>
  <c r="J13" i="2"/>
  <c r="E106" i="2"/>
  <c r="G106" i="2"/>
  <c r="K55" i="2"/>
  <c r="E86" i="2"/>
  <c r="G86" i="2"/>
  <c r="I23" i="2"/>
  <c r="E95" i="2"/>
  <c r="G95" i="2"/>
  <c r="K69" i="2"/>
  <c r="E122" i="2"/>
  <c r="G122" i="2"/>
  <c r="H19" i="21"/>
  <c r="F19" i="21"/>
  <c r="G19" i="21"/>
  <c r="C55" i="2"/>
  <c r="E53" i="2"/>
  <c r="G53" i="2"/>
  <c r="G54" i="2"/>
  <c r="E54" i="2"/>
  <c r="I393" i="3"/>
  <c r="J393" i="3" s="1"/>
  <c r="I377" i="3"/>
  <c r="J377" i="3" s="1"/>
  <c r="I361" i="3"/>
  <c r="J361" i="3" s="1"/>
  <c r="I345" i="3"/>
  <c r="J345" i="3" s="1"/>
  <c r="I329" i="3"/>
  <c r="J329" i="3" s="1"/>
  <c r="I387" i="3"/>
  <c r="J387" i="3" s="1"/>
  <c r="I376" i="3"/>
  <c r="J376" i="3" s="1"/>
  <c r="I338" i="3"/>
  <c r="J338" i="3" s="1"/>
  <c r="I327" i="3"/>
  <c r="J327" i="3" s="1"/>
  <c r="I311" i="3"/>
  <c r="J311" i="3" s="1"/>
  <c r="I295" i="3"/>
  <c r="J295" i="3" s="1"/>
  <c r="I279" i="3"/>
  <c r="J279" i="3" s="1"/>
  <c r="I263" i="3"/>
  <c r="J263" i="3" s="1"/>
  <c r="I247" i="3"/>
  <c r="J247" i="3" s="1"/>
  <c r="I231" i="3"/>
  <c r="J231" i="3" s="1"/>
  <c r="I215" i="3"/>
  <c r="J215" i="3" s="1"/>
  <c r="I199" i="3"/>
  <c r="J199" i="3" s="1"/>
  <c r="I183" i="3"/>
  <c r="J183" i="3" s="1"/>
  <c r="I167" i="3"/>
  <c r="J167" i="3" s="1"/>
  <c r="I151" i="3"/>
  <c r="J151" i="3" s="1"/>
  <c r="I135" i="3"/>
  <c r="J135" i="3" s="1"/>
  <c r="I119" i="3"/>
  <c r="J119" i="3" s="1"/>
  <c r="I103" i="3"/>
  <c r="J103" i="3" s="1"/>
  <c r="I87" i="3"/>
  <c r="J87" i="3" s="1"/>
  <c r="I71" i="3"/>
  <c r="J71" i="3" s="1"/>
  <c r="I55" i="3"/>
  <c r="J55" i="3" s="1"/>
  <c r="I39" i="3"/>
  <c r="J39" i="3" s="1"/>
  <c r="I23" i="3"/>
  <c r="J23" i="3" s="1"/>
  <c r="I7" i="3"/>
  <c r="J7" i="3" s="1"/>
  <c r="I365" i="3"/>
  <c r="J365" i="3" s="1"/>
  <c r="C65" i="4"/>
  <c r="I392" i="3"/>
  <c r="J392" i="3" s="1"/>
  <c r="I354" i="3"/>
  <c r="J354" i="3" s="1"/>
  <c r="I343" i="3"/>
  <c r="J343" i="3" s="1"/>
  <c r="I316" i="3"/>
  <c r="J316" i="3" s="1"/>
  <c r="I300" i="3"/>
  <c r="J300" i="3" s="1"/>
  <c r="I284" i="3"/>
  <c r="J284" i="3" s="1"/>
  <c r="I268" i="3"/>
  <c r="J268" i="3" s="1"/>
  <c r="I252" i="3"/>
  <c r="J252" i="3" s="1"/>
  <c r="I236" i="3"/>
  <c r="J236" i="3" s="1"/>
  <c r="I220" i="3"/>
  <c r="J220" i="3" s="1"/>
  <c r="I204" i="3"/>
  <c r="J204" i="3" s="1"/>
  <c r="I188" i="3"/>
  <c r="J188" i="3" s="1"/>
  <c r="I172" i="3"/>
  <c r="J172" i="3" s="1"/>
  <c r="I156" i="3"/>
  <c r="J156" i="3" s="1"/>
  <c r="I140" i="3"/>
  <c r="J140" i="3" s="1"/>
  <c r="I124" i="3"/>
  <c r="J124" i="3" s="1"/>
  <c r="I108" i="3"/>
  <c r="J108" i="3" s="1"/>
  <c r="I92" i="3"/>
  <c r="J92" i="3" s="1"/>
  <c r="I76" i="3"/>
  <c r="J76" i="3" s="1"/>
  <c r="I60" i="3"/>
  <c r="J60" i="3" s="1"/>
  <c r="I44" i="3"/>
  <c r="J44" i="3" s="1"/>
  <c r="I28" i="3"/>
  <c r="J28" i="3" s="1"/>
  <c r="I12" i="3"/>
  <c r="J12" i="3" s="1"/>
  <c r="I381" i="3"/>
  <c r="J381" i="3" s="1"/>
  <c r="I332" i="3"/>
  <c r="J332" i="3" s="1"/>
  <c r="I302" i="3"/>
  <c r="J302" i="3" s="1"/>
  <c r="I296" i="3"/>
  <c r="J296" i="3" s="1"/>
  <c r="I272" i="3"/>
  <c r="J272" i="3" s="1"/>
  <c r="I266" i="3"/>
  <c r="J266" i="3" s="1"/>
  <c r="I189" i="3"/>
  <c r="J189" i="3" s="1"/>
  <c r="I159" i="3"/>
  <c r="J159" i="3" s="1"/>
  <c r="I153" i="3"/>
  <c r="J153" i="3" s="1"/>
  <c r="I129" i="3"/>
  <c r="J129" i="3" s="1"/>
  <c r="I123" i="3"/>
  <c r="J123" i="3" s="1"/>
  <c r="I46" i="3"/>
  <c r="J46" i="3" s="1"/>
  <c r="I40" i="3"/>
  <c r="J40" i="3" s="1"/>
  <c r="I16" i="3"/>
  <c r="J16" i="3" s="1"/>
  <c r="I10" i="3"/>
  <c r="J10" i="3" s="1"/>
  <c r="I380" i="3"/>
  <c r="J380" i="3" s="1"/>
  <c r="I374" i="3"/>
  <c r="J374" i="3" s="1"/>
  <c r="I350" i="3"/>
  <c r="J350" i="3" s="1"/>
  <c r="I344" i="3"/>
  <c r="J344" i="3" s="1"/>
  <c r="I290" i="3"/>
  <c r="J290" i="3" s="1"/>
  <c r="I260" i="3"/>
  <c r="J260" i="3" s="1"/>
  <c r="I230" i="3"/>
  <c r="J230" i="3" s="1"/>
  <c r="I147" i="3"/>
  <c r="J147" i="3" s="1"/>
  <c r="I117" i="3"/>
  <c r="J117" i="3" s="1"/>
  <c r="I34" i="3"/>
  <c r="J34" i="3" s="1"/>
  <c r="I4" i="3"/>
  <c r="J4" i="3" s="1"/>
  <c r="C57" i="4"/>
  <c r="I331" i="3"/>
  <c r="J331" i="3" s="1"/>
  <c r="I325" i="3"/>
  <c r="J325" i="3" s="1"/>
  <c r="I242" i="3"/>
  <c r="J242" i="3" s="1"/>
  <c r="I212" i="3"/>
  <c r="J212" i="3" s="1"/>
  <c r="I182" i="3"/>
  <c r="J182" i="3" s="1"/>
  <c r="I99" i="3"/>
  <c r="J99" i="3" s="1"/>
  <c r="I69" i="3"/>
  <c r="J69" i="3" s="1"/>
  <c r="I337" i="3"/>
  <c r="J337" i="3" s="1"/>
  <c r="I319" i="3"/>
  <c r="J319" i="3" s="1"/>
  <c r="I313" i="3"/>
  <c r="J313" i="3" s="1"/>
  <c r="I289" i="3"/>
  <c r="J289" i="3" s="1"/>
  <c r="I283" i="3"/>
  <c r="J283" i="3" s="1"/>
  <c r="I206" i="3"/>
  <c r="J206" i="3" s="1"/>
  <c r="I200" i="3"/>
  <c r="J200" i="3" s="1"/>
  <c r="I176" i="3"/>
  <c r="J176" i="3" s="1"/>
  <c r="I170" i="3"/>
  <c r="J170" i="3" s="1"/>
  <c r="I93" i="3"/>
  <c r="J93" i="3" s="1"/>
  <c r="I63" i="3"/>
  <c r="J63" i="3" s="1"/>
  <c r="I57" i="3"/>
  <c r="J57" i="3" s="1"/>
  <c r="I33" i="3"/>
  <c r="J33" i="3" s="1"/>
  <c r="I27" i="3"/>
  <c r="J27" i="3" s="1"/>
  <c r="I307" i="3"/>
  <c r="J307" i="3" s="1"/>
  <c r="I277" i="3"/>
  <c r="J277" i="3" s="1"/>
  <c r="I194" i="3"/>
  <c r="J194" i="3" s="1"/>
  <c r="I164" i="3"/>
  <c r="J164" i="3" s="1"/>
  <c r="I134" i="3"/>
  <c r="J134" i="3" s="1"/>
  <c r="I51" i="3"/>
  <c r="J51" i="3" s="1"/>
  <c r="I21" i="3"/>
  <c r="J21" i="3" s="1"/>
  <c r="C25" i="4"/>
  <c r="I391" i="3"/>
  <c r="J391" i="3" s="1"/>
  <c r="I379" i="3"/>
  <c r="J379" i="3" s="1"/>
  <c r="I373" i="3"/>
  <c r="J373" i="3" s="1"/>
  <c r="I349" i="3"/>
  <c r="J349" i="3" s="1"/>
  <c r="C38" i="4"/>
  <c r="I385" i="3"/>
  <c r="J385" i="3" s="1"/>
  <c r="I367" i="3"/>
  <c r="J367" i="3" s="1"/>
  <c r="I355" i="3"/>
  <c r="J355" i="3" s="1"/>
  <c r="I253" i="3"/>
  <c r="J253" i="3" s="1"/>
  <c r="I223" i="3"/>
  <c r="J223" i="3" s="1"/>
  <c r="I217" i="3"/>
  <c r="J217" i="3" s="1"/>
  <c r="I193" i="3"/>
  <c r="J193" i="3" s="1"/>
  <c r="I187" i="3"/>
  <c r="J187" i="3" s="1"/>
  <c r="I110" i="3"/>
  <c r="J110" i="3" s="1"/>
  <c r="I104" i="3"/>
  <c r="J104" i="3" s="1"/>
  <c r="C61" i="4"/>
  <c r="C42" i="4"/>
  <c r="I306" i="3"/>
  <c r="J306" i="3" s="1"/>
  <c r="I276" i="3"/>
  <c r="J276" i="3" s="1"/>
  <c r="I246" i="3"/>
  <c r="J246" i="3" s="1"/>
  <c r="I163" i="3"/>
  <c r="J163" i="3" s="1"/>
  <c r="C32" i="4"/>
  <c r="I383" i="3"/>
  <c r="J383" i="3" s="1"/>
  <c r="I328" i="3"/>
  <c r="J328" i="3" s="1"/>
  <c r="I304" i="3"/>
  <c r="J304" i="3" s="1"/>
  <c r="I298" i="3"/>
  <c r="J298" i="3" s="1"/>
  <c r="I388" i="3"/>
  <c r="J388" i="3" s="1"/>
  <c r="I382" i="3"/>
  <c r="J382" i="3" s="1"/>
  <c r="C79" i="4"/>
  <c r="C50" i="4"/>
  <c r="I351" i="3"/>
  <c r="J351" i="3" s="1"/>
  <c r="I335" i="3"/>
  <c r="J335" i="3" s="1"/>
  <c r="I281" i="3"/>
  <c r="J281" i="3" s="1"/>
  <c r="I237" i="3"/>
  <c r="J237" i="3" s="1"/>
  <c r="I229" i="3"/>
  <c r="J229" i="3" s="1"/>
  <c r="I52" i="3"/>
  <c r="J52" i="3" s="1"/>
  <c r="I3" i="3"/>
  <c r="I342" i="3"/>
  <c r="J342" i="3" s="1"/>
  <c r="I149" i="3"/>
  <c r="J149" i="3" s="1"/>
  <c r="I127" i="3"/>
  <c r="J127" i="3" s="1"/>
  <c r="I113" i="3"/>
  <c r="J113" i="3" s="1"/>
  <c r="I85" i="3"/>
  <c r="J85" i="3" s="1"/>
  <c r="I72" i="3"/>
  <c r="J72" i="3" s="1"/>
  <c r="I65" i="3"/>
  <c r="J65" i="3" s="1"/>
  <c r="I24" i="3"/>
  <c r="J24" i="3" s="1"/>
  <c r="I17" i="3"/>
  <c r="J17" i="3" s="1"/>
  <c r="C49" i="4"/>
  <c r="I366" i="3"/>
  <c r="J366" i="3" s="1"/>
  <c r="I358" i="3"/>
  <c r="J358" i="3" s="1"/>
  <c r="I288" i="3"/>
  <c r="J288" i="3" s="1"/>
  <c r="I273" i="3"/>
  <c r="J273" i="3" s="1"/>
  <c r="I258" i="3"/>
  <c r="J258" i="3" s="1"/>
  <c r="I214" i="3"/>
  <c r="J214" i="3" s="1"/>
  <c r="I192" i="3"/>
  <c r="J192" i="3" s="1"/>
  <c r="I185" i="3"/>
  <c r="J185" i="3" s="1"/>
  <c r="I171" i="3"/>
  <c r="J171" i="3" s="1"/>
  <c r="I142" i="3"/>
  <c r="J142" i="3" s="1"/>
  <c r="I120" i="3"/>
  <c r="J120" i="3" s="1"/>
  <c r="I106" i="3"/>
  <c r="J106" i="3" s="1"/>
  <c r="I37" i="3"/>
  <c r="J37" i="3" s="1"/>
  <c r="I265" i="3"/>
  <c r="J265" i="3" s="1"/>
  <c r="I250" i="3"/>
  <c r="J250" i="3" s="1"/>
  <c r="I58" i="3"/>
  <c r="J58" i="3" s="1"/>
  <c r="I9" i="3"/>
  <c r="J9" i="3" s="1"/>
  <c r="C27" i="4"/>
  <c r="I390" i="3"/>
  <c r="J390" i="3" s="1"/>
  <c r="I334" i="3"/>
  <c r="J334" i="3" s="1"/>
  <c r="I243" i="3"/>
  <c r="J243" i="3" s="1"/>
  <c r="I235" i="3"/>
  <c r="J235" i="3" s="1"/>
  <c r="I228" i="3"/>
  <c r="J228" i="3" s="1"/>
  <c r="I207" i="3"/>
  <c r="J207" i="3" s="1"/>
  <c r="I91" i="3"/>
  <c r="J91" i="3" s="1"/>
  <c r="I326" i="3"/>
  <c r="J326" i="3" s="1"/>
  <c r="I318" i="3"/>
  <c r="J318" i="3" s="1"/>
  <c r="I303" i="3"/>
  <c r="J303" i="3" s="1"/>
  <c r="I280" i="3"/>
  <c r="J280" i="3" s="1"/>
  <c r="I257" i="3"/>
  <c r="J257" i="3" s="1"/>
  <c r="I221" i="3"/>
  <c r="J221" i="3" s="1"/>
  <c r="I178" i="3"/>
  <c r="J178" i="3" s="1"/>
  <c r="I133" i="3"/>
  <c r="J133" i="3" s="1"/>
  <c r="I98" i="3"/>
  <c r="J98" i="3" s="1"/>
  <c r="I78" i="3"/>
  <c r="J78" i="3" s="1"/>
  <c r="I30" i="3"/>
  <c r="J30" i="3" s="1"/>
  <c r="C63" i="4"/>
  <c r="I310" i="3"/>
  <c r="J310" i="3" s="1"/>
  <c r="I155" i="3"/>
  <c r="J155" i="3" s="1"/>
  <c r="I141" i="3"/>
  <c r="J141" i="3" s="1"/>
  <c r="I105" i="3"/>
  <c r="J105" i="3" s="1"/>
  <c r="I43" i="3"/>
  <c r="J43" i="3" s="1"/>
  <c r="I2" i="3"/>
  <c r="I357" i="3"/>
  <c r="J357" i="3" s="1"/>
  <c r="I264" i="3"/>
  <c r="J264" i="3" s="1"/>
  <c r="I213" i="3"/>
  <c r="J213" i="3" s="1"/>
  <c r="I191" i="3"/>
  <c r="J191" i="3" s="1"/>
  <c r="I184" i="3"/>
  <c r="J184" i="3" s="1"/>
  <c r="I177" i="3"/>
  <c r="J177" i="3" s="1"/>
  <c r="I97" i="3"/>
  <c r="J97" i="3" s="1"/>
  <c r="I50" i="3"/>
  <c r="J50" i="3" s="1"/>
  <c r="I36" i="3"/>
  <c r="J36" i="3" s="1"/>
  <c r="I15" i="3"/>
  <c r="J15" i="3" s="1"/>
  <c r="I389" i="3"/>
  <c r="J389" i="3" s="1"/>
  <c r="I372" i="3"/>
  <c r="J372" i="3" s="1"/>
  <c r="I364" i="3"/>
  <c r="J364" i="3" s="1"/>
  <c r="I333" i="3"/>
  <c r="J333" i="3" s="1"/>
  <c r="I317" i="3"/>
  <c r="J317" i="3" s="1"/>
  <c r="I256" i="3"/>
  <c r="J256" i="3" s="1"/>
  <c r="I227" i="3"/>
  <c r="J227" i="3" s="1"/>
  <c r="I90" i="3"/>
  <c r="J90" i="3" s="1"/>
  <c r="I70" i="3"/>
  <c r="J70" i="3" s="1"/>
  <c r="I22" i="3"/>
  <c r="J22" i="3" s="1"/>
  <c r="I324" i="3"/>
  <c r="J324" i="3" s="1"/>
  <c r="I309" i="3"/>
  <c r="J309" i="3" s="1"/>
  <c r="I205" i="3"/>
  <c r="J205" i="3" s="1"/>
  <c r="I139" i="3"/>
  <c r="J139" i="3" s="1"/>
  <c r="I132" i="3"/>
  <c r="J132" i="3" s="1"/>
  <c r="I118" i="3"/>
  <c r="J118" i="3" s="1"/>
  <c r="I111" i="3"/>
  <c r="J111" i="3" s="1"/>
  <c r="I77" i="3"/>
  <c r="J77" i="3" s="1"/>
  <c r="I56" i="3"/>
  <c r="J56" i="3" s="1"/>
  <c r="I49" i="3"/>
  <c r="J49" i="3" s="1"/>
  <c r="I29" i="3"/>
  <c r="J29" i="3" s="1"/>
  <c r="I378" i="3"/>
  <c r="J378" i="3" s="1"/>
  <c r="I370" i="3"/>
  <c r="J370" i="3" s="1"/>
  <c r="I339" i="3"/>
  <c r="J339" i="3" s="1"/>
  <c r="I330" i="3"/>
  <c r="J330" i="3" s="1"/>
  <c r="I315" i="3"/>
  <c r="J315" i="3" s="1"/>
  <c r="I292" i="3"/>
  <c r="J292" i="3" s="1"/>
  <c r="I285" i="3"/>
  <c r="J285" i="3" s="1"/>
  <c r="I203" i="3"/>
  <c r="J203" i="3" s="1"/>
  <c r="I160" i="3"/>
  <c r="J160" i="3" s="1"/>
  <c r="I102" i="3"/>
  <c r="J102" i="3" s="1"/>
  <c r="I68" i="3"/>
  <c r="J68" i="3" s="1"/>
  <c r="I41" i="3"/>
  <c r="J41" i="3" s="1"/>
  <c r="I20" i="3"/>
  <c r="J20" i="3" s="1"/>
  <c r="I6" i="3"/>
  <c r="J6" i="3" s="1"/>
  <c r="C24" i="4"/>
  <c r="I346" i="3"/>
  <c r="J346" i="3" s="1"/>
  <c r="I299" i="3"/>
  <c r="J299" i="3" s="1"/>
  <c r="I225" i="3"/>
  <c r="J225" i="3" s="1"/>
  <c r="I196" i="3"/>
  <c r="J196" i="3" s="1"/>
  <c r="I181" i="3"/>
  <c r="J181" i="3" s="1"/>
  <c r="I152" i="3"/>
  <c r="J152" i="3" s="1"/>
  <c r="I116" i="3"/>
  <c r="J116" i="3" s="1"/>
  <c r="I82" i="3"/>
  <c r="J82" i="3" s="1"/>
  <c r="I322" i="3"/>
  <c r="J322" i="3" s="1"/>
  <c r="I261" i="3"/>
  <c r="J261" i="3" s="1"/>
  <c r="I321" i="3"/>
  <c r="J321" i="3" s="1"/>
  <c r="I245" i="3"/>
  <c r="J245" i="3" s="1"/>
  <c r="I216" i="3"/>
  <c r="J216" i="3" s="1"/>
  <c r="I195" i="3"/>
  <c r="J195" i="3" s="1"/>
  <c r="I180" i="3"/>
  <c r="J180" i="3" s="1"/>
  <c r="I158" i="3"/>
  <c r="J158" i="3" s="1"/>
  <c r="I80" i="3"/>
  <c r="J80" i="3" s="1"/>
  <c r="I32" i="3"/>
  <c r="J32" i="3" s="1"/>
  <c r="I360" i="3"/>
  <c r="J360" i="3" s="1"/>
  <c r="I352" i="3"/>
  <c r="J352" i="3" s="1"/>
  <c r="I305" i="3"/>
  <c r="J305" i="3" s="1"/>
  <c r="I275" i="3"/>
  <c r="J275" i="3" s="1"/>
  <c r="I238" i="3"/>
  <c r="J238" i="3" s="1"/>
  <c r="I173" i="3"/>
  <c r="J173" i="3" s="1"/>
  <c r="I94" i="3"/>
  <c r="J94" i="3" s="1"/>
  <c r="I53" i="3"/>
  <c r="J53" i="3" s="1"/>
  <c r="C51" i="4"/>
  <c r="I336" i="3"/>
  <c r="J336" i="3" s="1"/>
  <c r="I282" i="3"/>
  <c r="J282" i="3" s="1"/>
  <c r="I150" i="3"/>
  <c r="J150" i="3" s="1"/>
  <c r="I128" i="3"/>
  <c r="J128" i="3" s="1"/>
  <c r="I73" i="3"/>
  <c r="J73" i="3" s="1"/>
  <c r="I25" i="3"/>
  <c r="J25" i="3" s="1"/>
  <c r="I384" i="3"/>
  <c r="J384" i="3" s="1"/>
  <c r="I368" i="3"/>
  <c r="J368" i="3" s="1"/>
  <c r="I267" i="3"/>
  <c r="J267" i="3" s="1"/>
  <c r="I186" i="3"/>
  <c r="J186" i="3" s="1"/>
  <c r="C35" i="4"/>
  <c r="I394" i="3"/>
  <c r="J394" i="3" s="1"/>
  <c r="I323" i="3"/>
  <c r="J323" i="3" s="1"/>
  <c r="I271" i="3"/>
  <c r="J271" i="3" s="1"/>
  <c r="I224" i="3"/>
  <c r="J224" i="3" s="1"/>
  <c r="I211" i="3"/>
  <c r="J211" i="3" s="1"/>
  <c r="I84" i="3"/>
  <c r="J84" i="3" s="1"/>
  <c r="I62" i="3"/>
  <c r="J62" i="3" s="1"/>
  <c r="I208" i="3"/>
  <c r="J208" i="3" s="1"/>
  <c r="I59" i="3"/>
  <c r="J59" i="3" s="1"/>
  <c r="I297" i="3"/>
  <c r="J297" i="3" s="1"/>
  <c r="I175" i="3"/>
  <c r="J175" i="3" s="1"/>
  <c r="I130" i="3"/>
  <c r="J130" i="3" s="1"/>
  <c r="I95" i="3"/>
  <c r="J95" i="3" s="1"/>
  <c r="I293" i="3"/>
  <c r="J293" i="3" s="1"/>
  <c r="I115" i="3"/>
  <c r="J115" i="3" s="1"/>
  <c r="C81" i="4"/>
  <c r="I219" i="3"/>
  <c r="J219" i="3" s="1"/>
  <c r="I259" i="3"/>
  <c r="J259" i="3" s="1"/>
  <c r="I18" i="3"/>
  <c r="J18" i="3" s="1"/>
  <c r="I126" i="3"/>
  <c r="J126" i="3" s="1"/>
  <c r="I234" i="3"/>
  <c r="J234" i="3" s="1"/>
  <c r="I198" i="3"/>
  <c r="J198" i="3" s="1"/>
  <c r="I83" i="3"/>
  <c r="J83" i="3" s="1"/>
  <c r="C53" i="4"/>
  <c r="C34" i="4"/>
  <c r="I363" i="3"/>
  <c r="J363" i="3" s="1"/>
  <c r="I348" i="3"/>
  <c r="J348" i="3" s="1"/>
  <c r="I270" i="3"/>
  <c r="J270" i="3" s="1"/>
  <c r="I210" i="3"/>
  <c r="J210" i="3" s="1"/>
  <c r="I174" i="3"/>
  <c r="J174" i="3" s="1"/>
  <c r="I61" i="3"/>
  <c r="J61" i="3" s="1"/>
  <c r="I222" i="3"/>
  <c r="J222" i="3" s="1"/>
  <c r="I162" i="3"/>
  <c r="J162" i="3" s="1"/>
  <c r="I81" i="3"/>
  <c r="J81" i="3" s="1"/>
  <c r="I48" i="3"/>
  <c r="J48" i="3" s="1"/>
  <c r="I308" i="3"/>
  <c r="J308" i="3" s="1"/>
  <c r="I294" i="3"/>
  <c r="J294" i="3" s="1"/>
  <c r="I197" i="3"/>
  <c r="J197" i="3" s="1"/>
  <c r="I38" i="3"/>
  <c r="J38" i="3" s="1"/>
  <c r="I362" i="3"/>
  <c r="J362" i="3" s="1"/>
  <c r="I209" i="3"/>
  <c r="J209" i="3" s="1"/>
  <c r="I161" i="3"/>
  <c r="J161" i="3" s="1"/>
  <c r="I138" i="3"/>
  <c r="J138" i="3" s="1"/>
  <c r="I5" i="3"/>
  <c r="J5" i="3" s="1"/>
  <c r="I347" i="3"/>
  <c r="J347" i="3" s="1"/>
  <c r="I269" i="3"/>
  <c r="J269" i="3" s="1"/>
  <c r="I244" i="3"/>
  <c r="J244" i="3" s="1"/>
  <c r="I233" i="3"/>
  <c r="J233" i="3" s="1"/>
  <c r="I26" i="3"/>
  <c r="J26" i="3" s="1"/>
  <c r="I375" i="3"/>
  <c r="J375" i="3" s="1"/>
  <c r="I320" i="3"/>
  <c r="J320" i="3" s="1"/>
  <c r="I255" i="3"/>
  <c r="J255" i="3" s="1"/>
  <c r="I14" i="3"/>
  <c r="J14" i="3" s="1"/>
  <c r="I359" i="3"/>
  <c r="J359" i="3" s="1"/>
  <c r="I232" i="3"/>
  <c r="J232" i="3" s="1"/>
  <c r="I137" i="3"/>
  <c r="J137" i="3" s="1"/>
  <c r="I136" i="3"/>
  <c r="J136" i="3" s="1"/>
  <c r="I13" i="3"/>
  <c r="J13" i="3" s="1"/>
  <c r="C39" i="4"/>
  <c r="I386" i="3"/>
  <c r="J386" i="3" s="1"/>
  <c r="I291" i="3"/>
  <c r="J291" i="3" s="1"/>
  <c r="I169" i="3"/>
  <c r="J169" i="3" s="1"/>
  <c r="I101" i="3"/>
  <c r="J101" i="3" s="1"/>
  <c r="I35" i="3"/>
  <c r="J35" i="3" s="1"/>
  <c r="C48" i="4"/>
  <c r="I112" i="3"/>
  <c r="J112" i="3" s="1"/>
  <c r="I79" i="3"/>
  <c r="J79" i="3" s="1"/>
  <c r="C30" i="4"/>
  <c r="I371" i="3"/>
  <c r="J371" i="3" s="1"/>
  <c r="I240" i="3"/>
  <c r="J240" i="3" s="1"/>
  <c r="I146" i="3"/>
  <c r="J146" i="3" s="1"/>
  <c r="I89" i="3"/>
  <c r="J89" i="3" s="1"/>
  <c r="I67" i="3"/>
  <c r="J67" i="3" s="1"/>
  <c r="I168" i="3"/>
  <c r="J168" i="3" s="1"/>
  <c r="I145" i="3"/>
  <c r="J145" i="3" s="1"/>
  <c r="I122" i="3"/>
  <c r="J122" i="3" s="1"/>
  <c r="I100" i="3"/>
  <c r="J100" i="3" s="1"/>
  <c r="I11" i="3"/>
  <c r="J11" i="3" s="1"/>
  <c r="I341" i="3"/>
  <c r="J341" i="3" s="1"/>
  <c r="I301" i="3"/>
  <c r="J301" i="3" s="1"/>
  <c r="I251" i="3"/>
  <c r="J251" i="3" s="1"/>
  <c r="I157" i="3"/>
  <c r="J157" i="3" s="1"/>
  <c r="I369" i="3"/>
  <c r="J369" i="3" s="1"/>
  <c r="I340" i="3"/>
  <c r="J340" i="3" s="1"/>
  <c r="I287" i="3"/>
  <c r="J287" i="3" s="1"/>
  <c r="I121" i="3"/>
  <c r="J121" i="3" s="1"/>
  <c r="I88" i="3"/>
  <c r="J88" i="3" s="1"/>
  <c r="I239" i="3"/>
  <c r="J239" i="3" s="1"/>
  <c r="I66" i="3"/>
  <c r="J66" i="3" s="1"/>
  <c r="I54" i="3"/>
  <c r="J54" i="3" s="1"/>
  <c r="C46" i="4"/>
  <c r="I314" i="3"/>
  <c r="J314" i="3" s="1"/>
  <c r="I144" i="3"/>
  <c r="J144" i="3" s="1"/>
  <c r="I286" i="3"/>
  <c r="J286" i="3" s="1"/>
  <c r="I262" i="3"/>
  <c r="J262" i="3" s="1"/>
  <c r="I179" i="3"/>
  <c r="J179" i="3" s="1"/>
  <c r="I109" i="3"/>
  <c r="J109" i="3" s="1"/>
  <c r="I274" i="3"/>
  <c r="J274" i="3" s="1"/>
  <c r="I226" i="3"/>
  <c r="J226" i="3" s="1"/>
  <c r="I202" i="3"/>
  <c r="J202" i="3" s="1"/>
  <c r="I166" i="3"/>
  <c r="J166" i="3" s="1"/>
  <c r="I143" i="3"/>
  <c r="J143" i="3" s="1"/>
  <c r="I86" i="3"/>
  <c r="J86" i="3" s="1"/>
  <c r="I8" i="3"/>
  <c r="J8" i="3" s="1"/>
  <c r="I312" i="3"/>
  <c r="J312" i="3" s="1"/>
  <c r="I154" i="3"/>
  <c r="J154" i="3" s="1"/>
  <c r="I131" i="3"/>
  <c r="J131" i="3" s="1"/>
  <c r="I165" i="3"/>
  <c r="J165" i="3" s="1"/>
  <c r="I218" i="3"/>
  <c r="J218" i="3" s="1"/>
  <c r="I148" i="3"/>
  <c r="J148" i="3" s="1"/>
  <c r="I75" i="3"/>
  <c r="J75" i="3" s="1"/>
  <c r="I31" i="3"/>
  <c r="J31" i="3" s="1"/>
  <c r="I241" i="3"/>
  <c r="J241" i="3" s="1"/>
  <c r="C31" i="4"/>
  <c r="I74" i="3"/>
  <c r="J74" i="3" s="1"/>
  <c r="I96" i="3"/>
  <c r="J96" i="3" s="1"/>
  <c r="I47" i="3"/>
  <c r="J47" i="3" s="1"/>
  <c r="I190" i="3"/>
  <c r="J190" i="3" s="1"/>
  <c r="I114" i="3"/>
  <c r="J114" i="3" s="1"/>
  <c r="I45" i="3"/>
  <c r="J45" i="3" s="1"/>
  <c r="C54" i="4"/>
  <c r="I356" i="3"/>
  <c r="J356" i="3" s="1"/>
  <c r="I64" i="3"/>
  <c r="J64" i="3" s="1"/>
  <c r="I42" i="3"/>
  <c r="J42" i="3" s="1"/>
  <c r="I19" i="3"/>
  <c r="J19" i="3" s="1"/>
  <c r="I353" i="3"/>
  <c r="J353" i="3" s="1"/>
  <c r="I278" i="3"/>
  <c r="J278" i="3" s="1"/>
  <c r="I254" i="3"/>
  <c r="J254" i="3" s="1"/>
  <c r="I107" i="3"/>
  <c r="J107" i="3" s="1"/>
  <c r="I248" i="3"/>
  <c r="J248" i="3" s="1"/>
  <c r="I249" i="3"/>
  <c r="J249" i="3" s="1"/>
  <c r="I125" i="3"/>
  <c r="J125" i="3" s="1"/>
  <c r="I201" i="3"/>
  <c r="J201" i="3" s="1"/>
  <c r="C29" i="4"/>
  <c r="C33" i="4"/>
  <c r="C43" i="4"/>
  <c r="C45" i="4"/>
  <c r="C26" i="4"/>
  <c r="C68" i="4"/>
  <c r="C41" i="4"/>
  <c r="C67" i="4"/>
  <c r="C66" i="4"/>
  <c r="C47" i="4"/>
  <c r="C52" i="4"/>
  <c r="C56" i="4"/>
  <c r="C40" i="4"/>
  <c r="C80" i="4"/>
  <c r="C44" i="4"/>
  <c r="C37" i="4"/>
  <c r="C55" i="4"/>
  <c r="C36" i="4"/>
  <c r="C28" i="4"/>
  <c r="D17" i="2"/>
  <c r="K95" i="2"/>
  <c r="E104" i="2"/>
  <c r="G104" i="2"/>
  <c r="G34" i="2"/>
  <c r="E34" i="2"/>
  <c r="P1655" i="20"/>
  <c r="E133" i="2"/>
  <c r="C135" i="2"/>
  <c r="G133" i="2"/>
  <c r="E75" i="2"/>
  <c r="G75" i="2"/>
  <c r="G19" i="4"/>
  <c r="H19" i="4"/>
  <c r="F19" i="4"/>
  <c r="J64" i="2"/>
  <c r="F20" i="4"/>
  <c r="G20" i="4"/>
  <c r="H20" i="4"/>
  <c r="J122" i="2"/>
  <c r="L122" i="2" s="1"/>
  <c r="N122" i="2" s="1"/>
  <c r="J86" i="2"/>
  <c r="L86" i="2" s="1"/>
  <c r="N86" i="2" s="1"/>
  <c r="K10" i="2"/>
  <c r="H18" i="21"/>
  <c r="G18" i="21"/>
  <c r="F18" i="21"/>
  <c r="K75" i="2"/>
  <c r="G21" i="2"/>
  <c r="E21" i="2"/>
  <c r="J104" i="2"/>
  <c r="L104" i="2" s="1"/>
  <c r="N104" i="2" s="1"/>
  <c r="F85" i="21"/>
  <c r="F67" i="21"/>
  <c r="F70" i="21"/>
  <c r="F87" i="21"/>
  <c r="F84" i="21"/>
  <c r="F86" i="21"/>
  <c r="F57" i="21"/>
  <c r="F62" i="21"/>
  <c r="F83" i="21"/>
  <c r="F68" i="21"/>
  <c r="F74" i="21"/>
  <c r="F90" i="21"/>
  <c r="F76" i="21"/>
  <c r="F96" i="21"/>
  <c r="F89" i="21"/>
  <c r="F66" i="21"/>
  <c r="F60" i="21"/>
  <c r="F92" i="21"/>
  <c r="F82" i="21"/>
  <c r="F88" i="21"/>
  <c r="F63" i="21"/>
  <c r="F61" i="21"/>
  <c r="F56" i="21"/>
  <c r="F95" i="21"/>
  <c r="F94" i="21"/>
  <c r="F59" i="21"/>
  <c r="F93" i="21"/>
  <c r="F78" i="21"/>
  <c r="F91" i="21"/>
  <c r="F77" i="21"/>
  <c r="F79" i="21"/>
  <c r="F65" i="21"/>
  <c r="F71" i="21"/>
  <c r="F72" i="21"/>
  <c r="F69" i="21"/>
  <c r="F64" i="21"/>
  <c r="F80" i="21"/>
  <c r="F81" i="21"/>
  <c r="F73" i="21"/>
  <c r="F97" i="21"/>
  <c r="F58" i="21"/>
  <c r="F75" i="21"/>
  <c r="F98" i="21"/>
  <c r="M96" i="2"/>
  <c r="E98" i="2"/>
  <c r="G98" i="2"/>
  <c r="I11" i="2"/>
  <c r="J11" i="2"/>
  <c r="E129" i="2"/>
  <c r="D60" i="2"/>
  <c r="C27" i="2"/>
  <c r="G20" i="2"/>
  <c r="E20" i="2"/>
  <c r="C99" i="2"/>
  <c r="E93" i="2"/>
  <c r="G93" i="2"/>
  <c r="M88" i="2"/>
  <c r="N88" i="2"/>
  <c r="J12" i="2"/>
  <c r="L12" i="2" s="1"/>
  <c r="N12" i="2" s="1"/>
  <c r="D27" i="2"/>
  <c r="K58" i="2"/>
  <c r="K60" i="2" s="1"/>
  <c r="E103" i="2"/>
  <c r="G103" i="2"/>
  <c r="J98" i="2"/>
  <c r="L98" i="2" s="1"/>
  <c r="N98" i="2" s="1"/>
  <c r="J31" i="2"/>
  <c r="M31" i="2" s="1"/>
  <c r="G96" i="2"/>
  <c r="E96" i="2"/>
  <c r="I46" i="2"/>
  <c r="M43" i="2"/>
  <c r="E134" i="2"/>
  <c r="G134" i="2"/>
  <c r="J103" i="2"/>
  <c r="J24" i="2"/>
  <c r="M94" i="2"/>
  <c r="P1205" i="20"/>
  <c r="J21" i="2" s="1"/>
  <c r="E14" i="2"/>
  <c r="G14" i="2"/>
  <c r="J117" i="2"/>
  <c r="M117" i="2" s="1"/>
  <c r="E110" i="2"/>
  <c r="G110" i="2"/>
  <c r="G45" i="2"/>
  <c r="E45" i="2"/>
  <c r="E22" i="2"/>
  <c r="G22" i="2"/>
  <c r="E29" i="2"/>
  <c r="C36" i="2"/>
  <c r="G29" i="2"/>
  <c r="K44" i="2"/>
  <c r="E109" i="2"/>
  <c r="G109" i="2"/>
  <c r="D70" i="2"/>
  <c r="E32" i="2"/>
  <c r="G32" i="2"/>
  <c r="C60" i="2"/>
  <c r="E58" i="2"/>
  <c r="G58" i="2"/>
  <c r="D65" i="2"/>
  <c r="E40" i="2"/>
  <c r="G40" i="2"/>
  <c r="E12" i="2"/>
  <c r="G12" i="2"/>
  <c r="J87" i="2"/>
  <c r="L87" i="2" s="1"/>
  <c r="N87" i="2" s="1"/>
  <c r="J118" i="2"/>
  <c r="L118" i="2" s="1"/>
  <c r="N118" i="2" s="1"/>
  <c r="E59" i="2"/>
  <c r="G59" i="2"/>
  <c r="E121" i="2"/>
  <c r="G121" i="2"/>
  <c r="K21" i="2"/>
  <c r="J45" i="2"/>
  <c r="J121" i="2"/>
  <c r="L121" i="2" s="1"/>
  <c r="N121" i="2" s="1"/>
  <c r="E43" i="2"/>
  <c r="G43" i="2"/>
  <c r="K26" i="2"/>
  <c r="J26" i="2"/>
  <c r="K25" i="2"/>
  <c r="E30" i="2"/>
  <c r="G30" i="2"/>
  <c r="I32" i="2"/>
  <c r="K68" i="2"/>
  <c r="D90" i="2"/>
  <c r="F20" i="21"/>
  <c r="H20" i="21"/>
  <c r="G20" i="21"/>
  <c r="E23" i="2"/>
  <c r="G23" i="2"/>
  <c r="J16" i="2"/>
  <c r="L16" i="2" s="1"/>
  <c r="N16" i="2" s="1"/>
  <c r="J29" i="2"/>
  <c r="J30" i="2"/>
  <c r="L30" i="2" s="1"/>
  <c r="N30" i="2" s="1"/>
  <c r="E68" i="2"/>
  <c r="C70" i="2"/>
  <c r="G68" i="2"/>
  <c r="I124" i="2"/>
  <c r="I20" i="2"/>
  <c r="E63" i="2"/>
  <c r="C65" i="2"/>
  <c r="G63" i="2"/>
  <c r="C50" i="2"/>
  <c r="E49" i="2"/>
  <c r="G49" i="2"/>
  <c r="I10" i="2"/>
  <c r="M107" i="2"/>
  <c r="J40" i="2"/>
  <c r="D36" i="2"/>
  <c r="C124" i="2"/>
  <c r="E117" i="2"/>
  <c r="G117" i="2"/>
  <c r="E97" i="2"/>
  <c r="G97" i="2"/>
  <c r="J22" i="2"/>
  <c r="D55" i="2"/>
  <c r="E31" i="2"/>
  <c r="G31" i="2"/>
  <c r="E81" i="2"/>
  <c r="G81" i="2"/>
  <c r="E76" i="2"/>
  <c r="G76" i="2"/>
  <c r="L134" i="2"/>
  <c r="N134" i="2" s="1"/>
  <c r="M134" i="2"/>
  <c r="K22" i="2"/>
  <c r="D46" i="2"/>
  <c r="E15" i="2"/>
  <c r="G15" i="2"/>
  <c r="M89" i="2"/>
  <c r="N89" i="2"/>
  <c r="N123" i="2"/>
  <c r="M123" i="2"/>
  <c r="E107" i="2"/>
  <c r="G107" i="2"/>
  <c r="G26" i="2"/>
  <c r="E26" i="2"/>
  <c r="E82" i="2"/>
  <c r="G82" i="2"/>
  <c r="E11" i="2"/>
  <c r="G11" i="2"/>
  <c r="E94" i="2"/>
  <c r="G94" i="2"/>
  <c r="D124" i="2"/>
  <c r="M110" i="2"/>
  <c r="N120" i="2"/>
  <c r="M120" i="2"/>
  <c r="C46" i="2"/>
  <c r="E39" i="2"/>
  <c r="G39" i="2"/>
  <c r="G25" i="2"/>
  <c r="E25" i="2"/>
  <c r="G64" i="2"/>
  <c r="E64" i="2"/>
  <c r="F18" i="4"/>
  <c r="G18" i="4"/>
  <c r="H18" i="4"/>
  <c r="E69" i="2"/>
  <c r="G69" i="2"/>
  <c r="E16" i="2"/>
  <c r="G16" i="2"/>
  <c r="E102" i="2"/>
  <c r="C111" i="2"/>
  <c r="G102" i="2"/>
  <c r="D77" i="2"/>
  <c r="E44" i="2"/>
  <c r="G44" i="2"/>
  <c r="E35" i="2"/>
  <c r="G35" i="2"/>
  <c r="D99" i="2"/>
  <c r="K36" i="2" l="1"/>
  <c r="L32" i="2"/>
  <c r="L35" i="2"/>
  <c r="N35" i="2" s="1"/>
  <c r="L39" i="2"/>
  <c r="N39" i="2" s="1"/>
  <c r="L33" i="2"/>
  <c r="N33" i="2" s="1"/>
  <c r="L11" i="2"/>
  <c r="M98" i="2"/>
  <c r="M34" i="2"/>
  <c r="L24" i="2"/>
  <c r="N24" i="2" s="1"/>
  <c r="L23" i="2"/>
  <c r="L103" i="2"/>
  <c r="N103" i="2" s="1"/>
  <c r="L13" i="2"/>
  <c r="N13" i="2" s="1"/>
  <c r="L119" i="2"/>
  <c r="N119" i="2" s="1"/>
  <c r="M49" i="2"/>
  <c r="L25" i="2"/>
  <c r="N25" i="2" s="1"/>
  <c r="L21" i="2"/>
  <c r="N21" i="2" s="1"/>
  <c r="K27" i="2"/>
  <c r="M86" i="2"/>
  <c r="K46" i="2"/>
  <c r="M41" i="2"/>
  <c r="L14" i="2"/>
  <c r="N14" i="2" s="1"/>
  <c r="K99" i="2"/>
  <c r="L44" i="2"/>
  <c r="N44" i="2" s="1"/>
  <c r="K70" i="2"/>
  <c r="L26" i="2"/>
  <c r="N26" i="2" s="1"/>
  <c r="M103" i="2"/>
  <c r="K77" i="2"/>
  <c r="L49" i="2"/>
  <c r="N49" i="2" s="1"/>
  <c r="L45" i="2"/>
  <c r="N45" i="2" s="1"/>
  <c r="K17" i="2"/>
  <c r="M26" i="2"/>
  <c r="L15" i="2"/>
  <c r="N15" i="2" s="1"/>
  <c r="F63" i="2"/>
  <c r="H63" i="2"/>
  <c r="I98" i="21"/>
  <c r="H98" i="21"/>
  <c r="G98" i="21"/>
  <c r="H74" i="21"/>
  <c r="I74" i="21"/>
  <c r="G74" i="21"/>
  <c r="K248" i="3"/>
  <c r="O248" i="3"/>
  <c r="T1868" i="20" s="1"/>
  <c r="U1868" i="20" s="1"/>
  <c r="J1868" i="20" s="1"/>
  <c r="P1868" i="20" s="1"/>
  <c r="L248" i="3"/>
  <c r="L274" i="3"/>
  <c r="O274" i="3"/>
  <c r="T1865" i="20" s="1"/>
  <c r="U1865" i="20" s="1"/>
  <c r="J1865" i="20" s="1"/>
  <c r="P1865" i="20" s="1"/>
  <c r="K274" i="3"/>
  <c r="O112" i="3"/>
  <c r="T2040" i="20" s="1"/>
  <c r="U2040" i="20" s="1"/>
  <c r="J2040" i="20" s="1"/>
  <c r="P2040" i="20" s="1"/>
  <c r="L112" i="3"/>
  <c r="K112" i="3"/>
  <c r="L81" i="3"/>
  <c r="K81" i="3"/>
  <c r="O81" i="3"/>
  <c r="T2098" i="20" s="1"/>
  <c r="U2098" i="20" s="1"/>
  <c r="J2098" i="20" s="1"/>
  <c r="P2098" i="20" s="1"/>
  <c r="O323" i="3"/>
  <c r="T1997" i="20" s="1"/>
  <c r="U1997" i="20" s="1"/>
  <c r="J1997" i="20" s="1"/>
  <c r="P1997" i="20" s="1"/>
  <c r="L323" i="3"/>
  <c r="K323" i="3"/>
  <c r="O82" i="3"/>
  <c r="T2099" i="20" s="1"/>
  <c r="U2099" i="20" s="1"/>
  <c r="J2099" i="20" s="1"/>
  <c r="P2099" i="20" s="1"/>
  <c r="L82" i="3"/>
  <c r="K82" i="3"/>
  <c r="O309" i="3"/>
  <c r="T1983" i="20" s="1"/>
  <c r="U1983" i="20" s="1"/>
  <c r="J1983" i="20" s="1"/>
  <c r="P1983" i="20" s="1"/>
  <c r="L309" i="3"/>
  <c r="K309" i="3"/>
  <c r="L133" i="3"/>
  <c r="O133" i="3"/>
  <c r="T1920" i="20" s="1"/>
  <c r="U1920" i="20" s="1"/>
  <c r="K133" i="3"/>
  <c r="K366" i="3"/>
  <c r="L366" i="3"/>
  <c r="O366" i="3"/>
  <c r="T1784" i="20" s="1"/>
  <c r="U1784" i="20" s="1"/>
  <c r="I61" i="4"/>
  <c r="H61" i="4"/>
  <c r="D61" i="4"/>
  <c r="G61" i="4"/>
  <c r="F61" i="4"/>
  <c r="E61" i="4"/>
  <c r="L206" i="3"/>
  <c r="O206" i="3"/>
  <c r="T1960" i="20" s="1"/>
  <c r="U1960" i="20" s="1"/>
  <c r="K206" i="3"/>
  <c r="O159" i="3"/>
  <c r="T2419" i="20" s="1"/>
  <c r="U2419" i="20" s="1"/>
  <c r="J2419" i="20" s="1"/>
  <c r="P2419" i="20" s="1"/>
  <c r="K159" i="3"/>
  <c r="L159" i="3"/>
  <c r="O365" i="3"/>
  <c r="T1783" i="20" s="1"/>
  <c r="U1783" i="20" s="1"/>
  <c r="L365" i="3"/>
  <c r="K365" i="3"/>
  <c r="H13" i="2"/>
  <c r="F13" i="2"/>
  <c r="M20" i="2"/>
  <c r="I27" i="2"/>
  <c r="H43" i="2"/>
  <c r="F43" i="2"/>
  <c r="H103" i="2"/>
  <c r="F103" i="2"/>
  <c r="G75" i="21"/>
  <c r="H75" i="21"/>
  <c r="I75" i="21"/>
  <c r="H68" i="21"/>
  <c r="I68" i="21"/>
  <c r="G68" i="21"/>
  <c r="E135" i="2"/>
  <c r="G135" i="2"/>
  <c r="O107" i="3"/>
  <c r="T2045" i="20" s="1"/>
  <c r="U2045" i="20" s="1"/>
  <c r="J2045" i="20" s="1"/>
  <c r="P2045" i="20" s="1"/>
  <c r="J83" i="2" s="1"/>
  <c r="L83" i="2" s="1"/>
  <c r="L107" i="3"/>
  <c r="K107" i="3"/>
  <c r="K109" i="3"/>
  <c r="O109" i="3"/>
  <c r="T2037" i="20" s="1"/>
  <c r="U2037" i="20" s="1"/>
  <c r="J2037" i="20" s="1"/>
  <c r="P2037" i="20" s="1"/>
  <c r="L109" i="3"/>
  <c r="H48" i="4"/>
  <c r="G48" i="4"/>
  <c r="F48" i="4"/>
  <c r="E48" i="4"/>
  <c r="I48" i="4"/>
  <c r="D48" i="4"/>
  <c r="O162" i="3"/>
  <c r="T2421" i="20" s="1"/>
  <c r="U2421" i="20" s="1"/>
  <c r="J2421" i="20" s="1"/>
  <c r="L162" i="3"/>
  <c r="K162" i="3"/>
  <c r="O394" i="3"/>
  <c r="T2827" i="20" s="1"/>
  <c r="U2827" i="20" s="1"/>
  <c r="K394" i="3"/>
  <c r="L394" i="3"/>
  <c r="L116" i="3"/>
  <c r="K116" i="3"/>
  <c r="O116" i="3"/>
  <c r="T2538" i="20" s="1"/>
  <c r="U2538" i="20" s="1"/>
  <c r="J2538" i="20" s="1"/>
  <c r="O324" i="3"/>
  <c r="T1998" i="20" s="1"/>
  <c r="U1998" i="20" s="1"/>
  <c r="J1998" i="20" s="1"/>
  <c r="P1998" i="20" s="1"/>
  <c r="K324" i="3"/>
  <c r="L324" i="3"/>
  <c r="O178" i="3"/>
  <c r="T1933" i="20" s="1"/>
  <c r="U1933" i="20" s="1"/>
  <c r="J1933" i="20" s="1"/>
  <c r="P1933" i="20" s="1"/>
  <c r="L178" i="3"/>
  <c r="K178" i="3"/>
  <c r="I49" i="4"/>
  <c r="D49" i="4"/>
  <c r="H49" i="4"/>
  <c r="G49" i="4"/>
  <c r="F49" i="4"/>
  <c r="E49" i="4"/>
  <c r="O104" i="3"/>
  <c r="T2010" i="20" s="1"/>
  <c r="U2010" i="20" s="1"/>
  <c r="J2010" i="20" s="1"/>
  <c r="P2010" i="20" s="1"/>
  <c r="L104" i="3"/>
  <c r="K104" i="3"/>
  <c r="O283" i="3"/>
  <c r="T2558" i="20" s="1"/>
  <c r="U2558" i="20" s="1"/>
  <c r="J2558" i="20" s="1"/>
  <c r="P2558" i="20" s="1"/>
  <c r="L283" i="3"/>
  <c r="K283" i="3"/>
  <c r="K189" i="3"/>
  <c r="O189" i="3"/>
  <c r="T1930" i="20" s="1"/>
  <c r="U1930" i="20" s="1"/>
  <c r="J1930" i="20" s="1"/>
  <c r="P1930" i="20" s="1"/>
  <c r="L189" i="3"/>
  <c r="O7" i="3"/>
  <c r="T2457" i="20" s="1"/>
  <c r="U2457" i="20" s="1"/>
  <c r="J2457" i="20" s="1"/>
  <c r="K7" i="3"/>
  <c r="L7" i="3"/>
  <c r="F53" i="2"/>
  <c r="H53" i="2"/>
  <c r="L20" i="2"/>
  <c r="N20" i="2" s="1"/>
  <c r="J27" i="2"/>
  <c r="G58" i="21"/>
  <c r="H58" i="21"/>
  <c r="I58" i="21"/>
  <c r="H133" i="2"/>
  <c r="F133" i="2"/>
  <c r="K254" i="3"/>
  <c r="L254" i="3"/>
  <c r="O254" i="3"/>
  <c r="T1874" i="20" s="1"/>
  <c r="U1874" i="20" s="1"/>
  <c r="J1874" i="20" s="1"/>
  <c r="P1874" i="20" s="1"/>
  <c r="L35" i="3"/>
  <c r="O35" i="3"/>
  <c r="T2104" i="20" s="1"/>
  <c r="U2104" i="20" s="1"/>
  <c r="J2104" i="20" s="1"/>
  <c r="P2104" i="20" s="1"/>
  <c r="K35" i="3"/>
  <c r="L222" i="3"/>
  <c r="O222" i="3"/>
  <c r="T1902" i="20" s="1"/>
  <c r="U1902" i="20" s="1"/>
  <c r="J1902" i="20" s="1"/>
  <c r="P1902" i="20" s="1"/>
  <c r="K222" i="3"/>
  <c r="L289" i="3"/>
  <c r="K289" i="3"/>
  <c r="O289" i="3"/>
  <c r="T2564" i="20" s="1"/>
  <c r="U2564" i="20" s="1"/>
  <c r="J2564" i="20" s="1"/>
  <c r="P2564" i="20" s="1"/>
  <c r="O23" i="3"/>
  <c r="T2050" i="20" s="1"/>
  <c r="U2050" i="20" s="1"/>
  <c r="J2050" i="20" s="1"/>
  <c r="P2050" i="20" s="1"/>
  <c r="L23" i="3"/>
  <c r="K23" i="3"/>
  <c r="E55" i="2"/>
  <c r="G55" i="2"/>
  <c r="H25" i="2"/>
  <c r="F25" i="2"/>
  <c r="L117" i="2"/>
  <c r="N117" i="2" s="1"/>
  <c r="J124" i="2"/>
  <c r="L124" i="2" s="1"/>
  <c r="N124" i="2" s="1"/>
  <c r="I97" i="21"/>
  <c r="H97" i="21"/>
  <c r="G97" i="21"/>
  <c r="H62" i="21"/>
  <c r="I62" i="21"/>
  <c r="G62" i="21"/>
  <c r="O278" i="3"/>
  <c r="T2567" i="20" s="1"/>
  <c r="U2567" i="20" s="1"/>
  <c r="J2567" i="20" s="1"/>
  <c r="P2567" i="20" s="1"/>
  <c r="L278" i="3"/>
  <c r="K278" i="3"/>
  <c r="O262" i="3"/>
  <c r="T1881" i="20" s="1"/>
  <c r="U1881" i="20" s="1"/>
  <c r="J1881" i="20" s="1"/>
  <c r="P1881" i="20" s="1"/>
  <c r="L262" i="3"/>
  <c r="K262" i="3"/>
  <c r="O101" i="3"/>
  <c r="T2007" i="20" s="1"/>
  <c r="U2007" i="20" s="1"/>
  <c r="J2007" i="20" s="1"/>
  <c r="P2007" i="20" s="1"/>
  <c r="L101" i="3"/>
  <c r="K101" i="3"/>
  <c r="L61" i="3"/>
  <c r="K61" i="3"/>
  <c r="O61" i="3"/>
  <c r="T2083" i="20" s="1"/>
  <c r="U2083" i="20" s="1"/>
  <c r="J2083" i="20" s="1"/>
  <c r="P2083" i="20" s="1"/>
  <c r="L186" i="3"/>
  <c r="K186" i="3"/>
  <c r="O186" i="3"/>
  <c r="T1927" i="20" s="1"/>
  <c r="U1927" i="20" s="1"/>
  <c r="J1927" i="20" s="1"/>
  <c r="P1927" i="20" s="1"/>
  <c r="O181" i="3"/>
  <c r="T1936" i="20" s="1"/>
  <c r="U1936" i="20" s="1"/>
  <c r="J1936" i="20" s="1"/>
  <c r="P1936" i="20" s="1"/>
  <c r="K181" i="3"/>
  <c r="L181" i="3"/>
  <c r="O70" i="3"/>
  <c r="T2091" i="20" s="1"/>
  <c r="U2091" i="20" s="1"/>
  <c r="J2091" i="20" s="1"/>
  <c r="L70" i="3"/>
  <c r="K70" i="3"/>
  <c r="L257" i="3"/>
  <c r="K257" i="3"/>
  <c r="O257" i="3"/>
  <c r="T1876" i="20" s="1"/>
  <c r="U1876" i="20" s="1"/>
  <c r="J1876" i="20" s="1"/>
  <c r="P1876" i="20" s="1"/>
  <c r="O24" i="3"/>
  <c r="T2051" i="20" s="1"/>
  <c r="U2051" i="20" s="1"/>
  <c r="J2051" i="20" s="1"/>
  <c r="P2051" i="20" s="1"/>
  <c r="K24" i="3"/>
  <c r="L24" i="3"/>
  <c r="O187" i="3"/>
  <c r="T1928" i="20" s="1"/>
  <c r="U1928" i="20" s="1"/>
  <c r="J1928" i="20" s="1"/>
  <c r="P1928" i="20" s="1"/>
  <c r="L187" i="3"/>
  <c r="K187" i="3"/>
  <c r="L313" i="3"/>
  <c r="O313" i="3"/>
  <c r="T1987" i="20" s="1"/>
  <c r="U1987" i="20" s="1"/>
  <c r="J1987" i="20" s="1"/>
  <c r="P1987" i="20" s="1"/>
  <c r="K313" i="3"/>
  <c r="O272" i="3"/>
  <c r="T1863" i="20" s="1"/>
  <c r="U1863" i="20" s="1"/>
  <c r="J1863" i="20" s="1"/>
  <c r="P1863" i="20" s="1"/>
  <c r="L272" i="3"/>
  <c r="K272" i="3"/>
  <c r="O39" i="3"/>
  <c r="T2064" i="20" s="1"/>
  <c r="U2064" i="20" s="1"/>
  <c r="J2064" i="20" s="1"/>
  <c r="L39" i="3"/>
  <c r="K39" i="3"/>
  <c r="H83" i="21"/>
  <c r="G83" i="21"/>
  <c r="I83" i="21"/>
  <c r="O179" i="3"/>
  <c r="T1934" i="20" s="1"/>
  <c r="U1934" i="20" s="1"/>
  <c r="J1934" i="20" s="1"/>
  <c r="P1934" i="20" s="1"/>
  <c r="L179" i="3"/>
  <c r="K179" i="3"/>
  <c r="G35" i="4"/>
  <c r="E35" i="4"/>
  <c r="D35" i="4"/>
  <c r="F35" i="4"/>
  <c r="I35" i="4"/>
  <c r="H35" i="4"/>
  <c r="O152" i="3"/>
  <c r="T2413" i="20" s="1"/>
  <c r="U2413" i="20" s="1"/>
  <c r="J2413" i="20" s="1"/>
  <c r="P2413" i="20" s="1"/>
  <c r="L152" i="3"/>
  <c r="K152" i="3"/>
  <c r="O22" i="3"/>
  <c r="T2049" i="20" s="1"/>
  <c r="U2049" i="20" s="1"/>
  <c r="J2049" i="20" s="1"/>
  <c r="P2049" i="20" s="1"/>
  <c r="L22" i="3"/>
  <c r="K22" i="3"/>
  <c r="O221" i="3"/>
  <c r="T1901" i="20" s="1"/>
  <c r="U1901" i="20" s="1"/>
  <c r="J1901" i="20" s="1"/>
  <c r="P1901" i="20" s="1"/>
  <c r="L221" i="3"/>
  <c r="K221" i="3"/>
  <c r="L17" i="3"/>
  <c r="K17" i="3"/>
  <c r="O17" i="3"/>
  <c r="T2467" i="20" s="1"/>
  <c r="U2467" i="20" s="1"/>
  <c r="J2467" i="20" s="1"/>
  <c r="O110" i="3"/>
  <c r="T2038" i="20" s="1"/>
  <c r="U2038" i="20" s="1"/>
  <c r="J2038" i="20" s="1"/>
  <c r="L110" i="3"/>
  <c r="K110" i="3"/>
  <c r="K266" i="3"/>
  <c r="L266" i="3"/>
  <c r="O266" i="3"/>
  <c r="T1885" i="20" s="1"/>
  <c r="U1885" i="20" s="1"/>
  <c r="J1885" i="20" s="1"/>
  <c r="P1885" i="20" s="1"/>
  <c r="M87" i="2"/>
  <c r="I73" i="21"/>
  <c r="H73" i="21"/>
  <c r="G73" i="21"/>
  <c r="I57" i="21"/>
  <c r="H57" i="21"/>
  <c r="G57" i="21"/>
  <c r="H34" i="2"/>
  <c r="F34" i="2"/>
  <c r="O353" i="3"/>
  <c r="T1756" i="20" s="1"/>
  <c r="U1756" i="20" s="1"/>
  <c r="L353" i="3"/>
  <c r="K353" i="3"/>
  <c r="K286" i="3"/>
  <c r="O286" i="3"/>
  <c r="T2561" i="20" s="1"/>
  <c r="U2561" i="20" s="1"/>
  <c r="J2561" i="20" s="1"/>
  <c r="P2561" i="20" s="1"/>
  <c r="L286" i="3"/>
  <c r="O169" i="3"/>
  <c r="T2427" i="20" s="1"/>
  <c r="U2427" i="20" s="1"/>
  <c r="J2427" i="20" s="1"/>
  <c r="K169" i="3"/>
  <c r="L169" i="3"/>
  <c r="O174" i="3"/>
  <c r="T2406" i="20" s="1"/>
  <c r="U2406" i="20" s="1"/>
  <c r="J2406" i="20" s="1"/>
  <c r="P2406" i="20" s="1"/>
  <c r="K174" i="3"/>
  <c r="L174" i="3"/>
  <c r="O267" i="3"/>
  <c r="T1859" i="20" s="1"/>
  <c r="U1859" i="20" s="1"/>
  <c r="J1859" i="20" s="1"/>
  <c r="P1859" i="20" s="1"/>
  <c r="L267" i="3"/>
  <c r="K267" i="3"/>
  <c r="K196" i="3"/>
  <c r="L196" i="3"/>
  <c r="O196" i="3"/>
  <c r="T1951" i="20" s="1"/>
  <c r="U1951" i="20" s="1"/>
  <c r="O90" i="3"/>
  <c r="T1965" i="20" s="1"/>
  <c r="U1965" i="20" s="1"/>
  <c r="J1965" i="20" s="1"/>
  <c r="K90" i="3"/>
  <c r="L90" i="3"/>
  <c r="K280" i="3"/>
  <c r="O280" i="3"/>
  <c r="T2569" i="20" s="1"/>
  <c r="U2569" i="20" s="1"/>
  <c r="J2569" i="20" s="1"/>
  <c r="P2569" i="20" s="1"/>
  <c r="L280" i="3"/>
  <c r="L65" i="3"/>
  <c r="K65" i="3"/>
  <c r="O65" i="3"/>
  <c r="T2086" i="20" s="1"/>
  <c r="U2086" i="20" s="1"/>
  <c r="J2086" i="20" s="1"/>
  <c r="L193" i="3"/>
  <c r="K193" i="3"/>
  <c r="O193" i="3"/>
  <c r="T1948" i="20" s="1"/>
  <c r="U1948" i="20" s="1"/>
  <c r="L319" i="3"/>
  <c r="O319" i="3"/>
  <c r="T1993" i="20" s="1"/>
  <c r="U1993" i="20" s="1"/>
  <c r="J1993" i="20" s="1"/>
  <c r="P1993" i="20" s="1"/>
  <c r="K319" i="3"/>
  <c r="L296" i="3"/>
  <c r="K296" i="3"/>
  <c r="O296" i="3"/>
  <c r="T2030" i="20" s="1"/>
  <c r="U2030" i="20" s="1"/>
  <c r="J2030" i="20" s="1"/>
  <c r="P2030" i="20" s="1"/>
  <c r="O55" i="3"/>
  <c r="T2077" i="20" s="1"/>
  <c r="U2077" i="20" s="1"/>
  <c r="J2077" i="20" s="1"/>
  <c r="L55" i="3"/>
  <c r="K55" i="3"/>
  <c r="M50" i="2"/>
  <c r="L50" i="2"/>
  <c r="N50" i="2" s="1"/>
  <c r="O144" i="3"/>
  <c r="T2017" i="20" s="1"/>
  <c r="U2017" i="20" s="1"/>
  <c r="J2017" i="20" s="1"/>
  <c r="P2017" i="20" s="1"/>
  <c r="L144" i="3"/>
  <c r="K144" i="3"/>
  <c r="L332" i="3"/>
  <c r="K332" i="3"/>
  <c r="O332" i="3"/>
  <c r="T2535" i="20" s="1"/>
  <c r="U2535" i="20" s="1"/>
  <c r="O314" i="3"/>
  <c r="T1988" i="20" s="1"/>
  <c r="U1988" i="20" s="1"/>
  <c r="J1988" i="20" s="1"/>
  <c r="P1988" i="20" s="1"/>
  <c r="K314" i="3"/>
  <c r="L314" i="3"/>
  <c r="O299" i="3"/>
  <c r="T1973" i="20" s="1"/>
  <c r="U1973" i="20" s="1"/>
  <c r="J1973" i="20" s="1"/>
  <c r="P1973" i="20" s="1"/>
  <c r="L299" i="3"/>
  <c r="K299" i="3"/>
  <c r="O223" i="3"/>
  <c r="T1903" i="20" s="1"/>
  <c r="U1903" i="20" s="1"/>
  <c r="J1903" i="20" s="1"/>
  <c r="P1903" i="20" s="1"/>
  <c r="L223" i="3"/>
  <c r="K223" i="3"/>
  <c r="L87" i="3"/>
  <c r="K87" i="3"/>
  <c r="O87" i="3"/>
  <c r="T1971" i="20" s="1"/>
  <c r="U1971" i="20" s="1"/>
  <c r="J1971" i="20" s="1"/>
  <c r="P1971" i="20" s="1"/>
  <c r="F74" i="2"/>
  <c r="H74" i="2"/>
  <c r="E46" i="2"/>
  <c r="G46" i="2"/>
  <c r="H81" i="2"/>
  <c r="F81" i="2"/>
  <c r="H14" i="2"/>
  <c r="F14" i="2"/>
  <c r="I64" i="21"/>
  <c r="H64" i="21"/>
  <c r="G64" i="21"/>
  <c r="H87" i="21"/>
  <c r="G87" i="21"/>
  <c r="I87" i="21"/>
  <c r="F104" i="2"/>
  <c r="H104" i="2"/>
  <c r="O64" i="3"/>
  <c r="T2085" i="20" s="1"/>
  <c r="U2085" i="20" s="1"/>
  <c r="J2085" i="20" s="1"/>
  <c r="P2085" i="20" s="1"/>
  <c r="L64" i="3"/>
  <c r="K64" i="3"/>
  <c r="I46" i="4"/>
  <c r="G46" i="4"/>
  <c r="F46" i="4"/>
  <c r="H46" i="4"/>
  <c r="E46" i="4"/>
  <c r="D46" i="4"/>
  <c r="H39" i="4"/>
  <c r="I39" i="4"/>
  <c r="G39" i="4"/>
  <c r="F39" i="4"/>
  <c r="E39" i="4"/>
  <c r="D39" i="4"/>
  <c r="O348" i="3"/>
  <c r="T1765" i="20" s="1"/>
  <c r="U1765" i="20" s="1"/>
  <c r="L348" i="3"/>
  <c r="K348" i="3"/>
  <c r="K25" i="3"/>
  <c r="O25" i="3"/>
  <c r="T2052" i="20" s="1"/>
  <c r="U2052" i="20" s="1"/>
  <c r="J2052" i="20" s="1"/>
  <c r="L25" i="3"/>
  <c r="K346" i="3"/>
  <c r="O346" i="3"/>
  <c r="T1763" i="20" s="1"/>
  <c r="U1763" i="20" s="1"/>
  <c r="L346" i="3"/>
  <c r="O317" i="3"/>
  <c r="T1991" i="20" s="1"/>
  <c r="U1991" i="20" s="1"/>
  <c r="J1991" i="20" s="1"/>
  <c r="P1991" i="20" s="1"/>
  <c r="K317" i="3"/>
  <c r="L317" i="3"/>
  <c r="O326" i="3"/>
  <c r="T2000" i="20" s="1"/>
  <c r="U2000" i="20" s="1"/>
  <c r="J2000" i="20" s="1"/>
  <c r="P2000" i="20" s="1"/>
  <c r="L326" i="3"/>
  <c r="K326" i="3"/>
  <c r="L113" i="3"/>
  <c r="K113" i="3"/>
  <c r="O113" i="3"/>
  <c r="T2041" i="20" s="1"/>
  <c r="U2041" i="20" s="1"/>
  <c r="J2041" i="20" s="1"/>
  <c r="P2041" i="20" s="1"/>
  <c r="O253" i="3"/>
  <c r="T1873" i="20" s="1"/>
  <c r="U1873" i="20" s="1"/>
  <c r="J1873" i="20" s="1"/>
  <c r="P1873" i="20" s="1"/>
  <c r="L253" i="3"/>
  <c r="K253" i="3"/>
  <c r="L99" i="3"/>
  <c r="K99" i="3"/>
  <c r="O99" i="3"/>
  <c r="T2005" i="20" s="1"/>
  <c r="U2005" i="20" s="1"/>
  <c r="J2005" i="20" s="1"/>
  <c r="P2005" i="20" s="1"/>
  <c r="L381" i="3"/>
  <c r="K381" i="3"/>
  <c r="O381" i="3"/>
  <c r="T1829" i="20" s="1"/>
  <c r="U1829" i="20" s="1"/>
  <c r="O103" i="3"/>
  <c r="T2009" i="20" s="1"/>
  <c r="U2009" i="20" s="1"/>
  <c r="J2009" i="20" s="1"/>
  <c r="P2009" i="20" s="1"/>
  <c r="L103" i="3"/>
  <c r="K103" i="3"/>
  <c r="H110" i="2"/>
  <c r="F110" i="2"/>
  <c r="O291" i="3"/>
  <c r="T2025" i="20" s="1"/>
  <c r="U2025" i="20" s="1"/>
  <c r="J2025" i="20" s="1"/>
  <c r="P2025" i="20" s="1"/>
  <c r="K291" i="3"/>
  <c r="L291" i="3"/>
  <c r="O303" i="3"/>
  <c r="T1977" i="20" s="1"/>
  <c r="U1977" i="20" s="1"/>
  <c r="J1977" i="20" s="1"/>
  <c r="P1977" i="20" s="1"/>
  <c r="L303" i="3"/>
  <c r="K303" i="3"/>
  <c r="K256" i="3"/>
  <c r="O256" i="3"/>
  <c r="T1858" i="20" s="1"/>
  <c r="U1858" i="20" s="1"/>
  <c r="J1858" i="20" s="1"/>
  <c r="P1858" i="20" s="1"/>
  <c r="L256" i="3"/>
  <c r="O363" i="3"/>
  <c r="T1795" i="20" s="1"/>
  <c r="U1795" i="20" s="1"/>
  <c r="L363" i="3"/>
  <c r="K363" i="3"/>
  <c r="O119" i="3"/>
  <c r="T2541" i="20" s="1"/>
  <c r="U2541" i="20" s="1"/>
  <c r="J2541" i="20" s="1"/>
  <c r="L119" i="3"/>
  <c r="K119" i="3"/>
  <c r="G72" i="21"/>
  <c r="H72" i="21"/>
  <c r="I72" i="21"/>
  <c r="G67" i="21"/>
  <c r="I67" i="21"/>
  <c r="H67" i="21"/>
  <c r="D113" i="2"/>
  <c r="E54" i="4"/>
  <c r="D54" i="4"/>
  <c r="F54" i="4"/>
  <c r="H54" i="4"/>
  <c r="G54" i="4"/>
  <c r="I54" i="4"/>
  <c r="O66" i="3"/>
  <c r="T2087" i="20" s="1"/>
  <c r="U2087" i="20" s="1"/>
  <c r="J2087" i="20" s="1"/>
  <c r="P2087" i="20" s="1"/>
  <c r="L66" i="3"/>
  <c r="K66" i="3"/>
  <c r="L136" i="3"/>
  <c r="K136" i="3"/>
  <c r="O136" i="3"/>
  <c r="T2553" i="20" s="1"/>
  <c r="U2553" i="20" s="1"/>
  <c r="J2553" i="20" s="1"/>
  <c r="I34" i="4"/>
  <c r="H34" i="4"/>
  <c r="F34" i="4"/>
  <c r="E34" i="4"/>
  <c r="D34" i="4"/>
  <c r="G34" i="4"/>
  <c r="O128" i="3"/>
  <c r="T2550" i="20" s="1"/>
  <c r="U2550" i="20" s="1"/>
  <c r="J2550" i="20" s="1"/>
  <c r="P2550" i="20" s="1"/>
  <c r="L128" i="3"/>
  <c r="K128" i="3"/>
  <c r="O6" i="3"/>
  <c r="T2456" i="20" s="1"/>
  <c r="U2456" i="20" s="1"/>
  <c r="J2456" i="20" s="1"/>
  <c r="L6" i="3"/>
  <c r="K6" i="3"/>
  <c r="O364" i="3"/>
  <c r="T1796" i="20" s="1"/>
  <c r="U1796" i="20" s="1"/>
  <c r="K364" i="3"/>
  <c r="L364" i="3"/>
  <c r="L207" i="3"/>
  <c r="K207" i="3"/>
  <c r="O207" i="3"/>
  <c r="T1961" i="20" s="1"/>
  <c r="U1961" i="20" s="1"/>
  <c r="L149" i="3"/>
  <c r="O149" i="3"/>
  <c r="T2410" i="20" s="1"/>
  <c r="U2410" i="20" s="1"/>
  <c r="J2410" i="20" s="1"/>
  <c r="P2410" i="20" s="1"/>
  <c r="K149" i="3"/>
  <c r="O367" i="3"/>
  <c r="T1785" i="20" s="1"/>
  <c r="U1785" i="20" s="1"/>
  <c r="L367" i="3"/>
  <c r="K367" i="3"/>
  <c r="L212" i="3"/>
  <c r="K212" i="3"/>
  <c r="O212" i="3"/>
  <c r="T1943" i="20" s="1"/>
  <c r="U1943" i="20" s="1"/>
  <c r="K28" i="3"/>
  <c r="O28" i="3"/>
  <c r="T2103" i="20" s="1"/>
  <c r="U2103" i="20" s="1"/>
  <c r="J2103" i="20" s="1"/>
  <c r="L28" i="3"/>
  <c r="K135" i="3"/>
  <c r="O135" i="3"/>
  <c r="T2552" i="20" s="1"/>
  <c r="U2552" i="20" s="1"/>
  <c r="J2552" i="20" s="1"/>
  <c r="L135" i="3"/>
  <c r="C113" i="2"/>
  <c r="E17" i="2"/>
  <c r="G17" i="2"/>
  <c r="O45" i="3"/>
  <c r="T2106" i="20" s="1"/>
  <c r="U2106" i="20" s="1"/>
  <c r="J2106" i="20" s="1"/>
  <c r="L45" i="3"/>
  <c r="K45" i="3"/>
  <c r="L137" i="3"/>
  <c r="K137" i="3"/>
  <c r="O137" i="3"/>
  <c r="T2554" i="20" s="1"/>
  <c r="U2554" i="20" s="1"/>
  <c r="J2554" i="20" s="1"/>
  <c r="H53" i="4"/>
  <c r="E53" i="4"/>
  <c r="D53" i="4"/>
  <c r="I53" i="4"/>
  <c r="G53" i="4"/>
  <c r="F53" i="4"/>
  <c r="O150" i="3"/>
  <c r="T2411" i="20" s="1"/>
  <c r="U2411" i="20" s="1"/>
  <c r="J2411" i="20" s="1"/>
  <c r="L150" i="3"/>
  <c r="K150" i="3"/>
  <c r="O20" i="3"/>
  <c r="T2047" i="20" s="1"/>
  <c r="U2047" i="20" s="1"/>
  <c r="J2047" i="20" s="1"/>
  <c r="L20" i="3"/>
  <c r="K20" i="3"/>
  <c r="O372" i="3"/>
  <c r="T1790" i="20" s="1"/>
  <c r="U1790" i="20" s="1"/>
  <c r="K372" i="3"/>
  <c r="L372" i="3"/>
  <c r="O228" i="3"/>
  <c r="T1907" i="20" s="1"/>
  <c r="U1907" i="20" s="1"/>
  <c r="J1907" i="20" s="1"/>
  <c r="P1907" i="20" s="1"/>
  <c r="K228" i="3"/>
  <c r="L228" i="3"/>
  <c r="O342" i="3"/>
  <c r="T2531" i="20" s="1"/>
  <c r="U2531" i="20" s="1"/>
  <c r="K342" i="3"/>
  <c r="L342" i="3"/>
  <c r="O385" i="3"/>
  <c r="T1833" i="20" s="1"/>
  <c r="U1833" i="20" s="1"/>
  <c r="L385" i="3"/>
  <c r="K385" i="3"/>
  <c r="L242" i="3"/>
  <c r="K242" i="3"/>
  <c r="O242" i="3"/>
  <c r="T1893" i="20" s="1"/>
  <c r="U1893" i="20" s="1"/>
  <c r="J1893" i="20" s="1"/>
  <c r="P1893" i="20" s="1"/>
  <c r="K44" i="3"/>
  <c r="L44" i="3"/>
  <c r="O44" i="3"/>
  <c r="T2068" i="20" s="1"/>
  <c r="U2068" i="20" s="1"/>
  <c r="J2068" i="20" s="1"/>
  <c r="O151" i="3"/>
  <c r="T2412" i="20" s="1"/>
  <c r="U2412" i="20" s="1"/>
  <c r="J2412" i="20" s="1"/>
  <c r="P2412" i="20" s="1"/>
  <c r="L151" i="3"/>
  <c r="K151" i="3"/>
  <c r="F10" i="2"/>
  <c r="H10" i="2"/>
  <c r="G36" i="4"/>
  <c r="F36" i="4"/>
  <c r="I36" i="4"/>
  <c r="D36" i="4"/>
  <c r="E36" i="4"/>
  <c r="H36" i="4"/>
  <c r="O114" i="3"/>
  <c r="T2042" i="20" s="1"/>
  <c r="U2042" i="20" s="1"/>
  <c r="J2042" i="20" s="1"/>
  <c r="P2042" i="20" s="1"/>
  <c r="L114" i="3"/>
  <c r="K114" i="3"/>
  <c r="L88" i="3"/>
  <c r="K88" i="3"/>
  <c r="O88" i="3"/>
  <c r="T1963" i="20" s="1"/>
  <c r="U1963" i="20" s="1"/>
  <c r="J1963" i="20" s="1"/>
  <c r="P1963" i="20" s="1"/>
  <c r="L232" i="3"/>
  <c r="K232" i="3"/>
  <c r="O232" i="3"/>
  <c r="T1911" i="20" s="1"/>
  <c r="U1911" i="20" s="1"/>
  <c r="J1911" i="20" s="1"/>
  <c r="P1911" i="20" s="1"/>
  <c r="O83" i="3"/>
  <c r="T2100" i="20" s="1"/>
  <c r="U2100" i="20" s="1"/>
  <c r="J2100" i="20" s="1"/>
  <c r="P2100" i="20" s="1"/>
  <c r="L83" i="3"/>
  <c r="K83" i="3"/>
  <c r="O282" i="3"/>
  <c r="T2557" i="20" s="1"/>
  <c r="U2557" i="20" s="1"/>
  <c r="J2557" i="20" s="1"/>
  <c r="P2557" i="20" s="1"/>
  <c r="K282" i="3"/>
  <c r="L282" i="3"/>
  <c r="O41" i="3"/>
  <c r="T2105" i="20" s="1"/>
  <c r="U2105" i="20" s="1"/>
  <c r="J2105" i="20" s="1"/>
  <c r="P2105" i="20" s="1"/>
  <c r="L41" i="3"/>
  <c r="K41" i="3"/>
  <c r="L389" i="3"/>
  <c r="O389" i="3"/>
  <c r="T2822" i="20" s="1"/>
  <c r="U2822" i="20" s="1"/>
  <c r="K389" i="3"/>
  <c r="O235" i="3"/>
  <c r="T1914" i="20" s="1"/>
  <c r="U1914" i="20" s="1"/>
  <c r="J1914" i="20" s="1"/>
  <c r="P1914" i="20" s="1"/>
  <c r="L235" i="3"/>
  <c r="K235" i="3"/>
  <c r="L3" i="3"/>
  <c r="K3" i="3"/>
  <c r="J3" i="3"/>
  <c r="O3" i="3" s="1"/>
  <c r="T2508" i="20" s="1"/>
  <c r="U2508" i="20" s="1"/>
  <c r="J2508" i="20" s="1"/>
  <c r="H38" i="4"/>
  <c r="G38" i="4"/>
  <c r="F38" i="4"/>
  <c r="D38" i="4"/>
  <c r="I38" i="4"/>
  <c r="E38" i="4"/>
  <c r="L325" i="3"/>
  <c r="K325" i="3"/>
  <c r="O325" i="3"/>
  <c r="T1999" i="20" s="1"/>
  <c r="U1999" i="20" s="1"/>
  <c r="J1999" i="20" s="1"/>
  <c r="P1999" i="20" s="1"/>
  <c r="K60" i="3"/>
  <c r="O60" i="3"/>
  <c r="T2082" i="20" s="1"/>
  <c r="U2082" i="20" s="1"/>
  <c r="J2082" i="20" s="1"/>
  <c r="P2082" i="20" s="1"/>
  <c r="L60" i="3"/>
  <c r="K167" i="3"/>
  <c r="O167" i="3"/>
  <c r="T2425" i="20" s="1"/>
  <c r="U2425" i="20" s="1"/>
  <c r="J2425" i="20" s="1"/>
  <c r="P2425" i="20" s="1"/>
  <c r="L167" i="3"/>
  <c r="L121" i="3"/>
  <c r="K121" i="3"/>
  <c r="O121" i="3"/>
  <c r="T2543" i="20" s="1"/>
  <c r="U2543" i="20" s="1"/>
  <c r="J2543" i="20" s="1"/>
  <c r="L359" i="3"/>
  <c r="K359" i="3"/>
  <c r="O359" i="3"/>
  <c r="T1791" i="20" s="1"/>
  <c r="U1791" i="20" s="1"/>
  <c r="O198" i="3"/>
  <c r="T1953" i="20" s="1"/>
  <c r="U1953" i="20" s="1"/>
  <c r="L198" i="3"/>
  <c r="K198" i="3"/>
  <c r="O336" i="3"/>
  <c r="T2525" i="20" s="1"/>
  <c r="U2525" i="20" s="1"/>
  <c r="L336" i="3"/>
  <c r="K336" i="3"/>
  <c r="O68" i="3"/>
  <c r="T2089" i="20" s="1"/>
  <c r="U2089" i="20" s="1"/>
  <c r="J2089" i="20" s="1"/>
  <c r="P2089" i="20" s="1"/>
  <c r="L68" i="3"/>
  <c r="K68" i="3"/>
  <c r="O15" i="3"/>
  <c r="T2465" i="20" s="1"/>
  <c r="U2465" i="20" s="1"/>
  <c r="J2465" i="20" s="1"/>
  <c r="P2465" i="20" s="1"/>
  <c r="L15" i="3"/>
  <c r="K15" i="3"/>
  <c r="L243" i="3"/>
  <c r="K243" i="3"/>
  <c r="O243" i="3"/>
  <c r="T1894" i="20" s="1"/>
  <c r="U1894" i="20" s="1"/>
  <c r="J1894" i="20" s="1"/>
  <c r="P1894" i="20" s="1"/>
  <c r="O52" i="3"/>
  <c r="T2074" i="20" s="1"/>
  <c r="U2074" i="20" s="1"/>
  <c r="J2074" i="20" s="1"/>
  <c r="L52" i="3"/>
  <c r="K52" i="3"/>
  <c r="L349" i="3"/>
  <c r="K349" i="3"/>
  <c r="O349" i="3"/>
  <c r="T1766" i="20" s="1"/>
  <c r="U1766" i="20" s="1"/>
  <c r="L331" i="3"/>
  <c r="K331" i="3"/>
  <c r="O331" i="3"/>
  <c r="T2534" i="20" s="1"/>
  <c r="U2534" i="20" s="1"/>
  <c r="K76" i="3"/>
  <c r="O76" i="3"/>
  <c r="T2112" i="20" s="1"/>
  <c r="U2112" i="20" s="1"/>
  <c r="J2112" i="20" s="1"/>
  <c r="L76" i="3"/>
  <c r="L183" i="3"/>
  <c r="O183" i="3"/>
  <c r="T1924" i="20" s="1"/>
  <c r="U1924" i="20" s="1"/>
  <c r="J1924" i="20" s="1"/>
  <c r="P1924" i="20" s="1"/>
  <c r="K183" i="3"/>
  <c r="F95" i="2"/>
  <c r="H95" i="2"/>
  <c r="H33" i="2"/>
  <c r="F33" i="2"/>
  <c r="M21" i="2"/>
  <c r="F31" i="2"/>
  <c r="H31" i="2"/>
  <c r="I77" i="21"/>
  <c r="H77" i="21"/>
  <c r="G77" i="21"/>
  <c r="M23" i="2"/>
  <c r="N23" i="2"/>
  <c r="O85" i="3"/>
  <c r="T2102" i="20" s="1"/>
  <c r="U2102" i="20" s="1"/>
  <c r="J2102" i="20" s="1"/>
  <c r="L85" i="3"/>
  <c r="K85" i="3"/>
  <c r="I70" i="21"/>
  <c r="G70" i="21"/>
  <c r="H70" i="21"/>
  <c r="K12" i="3"/>
  <c r="O12" i="3"/>
  <c r="T2462" i="20" s="1"/>
  <c r="U2462" i="20" s="1"/>
  <c r="J2462" i="20" s="1"/>
  <c r="L12" i="3"/>
  <c r="I55" i="4"/>
  <c r="H55" i="4"/>
  <c r="G55" i="4"/>
  <c r="F55" i="4"/>
  <c r="E55" i="4"/>
  <c r="D55" i="4"/>
  <c r="L229" i="3"/>
  <c r="K229" i="3"/>
  <c r="O229" i="3"/>
  <c r="T1908" i="20" s="1"/>
  <c r="U1908" i="20" s="1"/>
  <c r="J1908" i="20" s="1"/>
  <c r="P1908" i="20" s="1"/>
  <c r="G91" i="21"/>
  <c r="I91" i="21"/>
  <c r="H91" i="21"/>
  <c r="L96" i="3"/>
  <c r="O96" i="3"/>
  <c r="T2002" i="20" s="1"/>
  <c r="U2002" i="20" s="1"/>
  <c r="J2002" i="20" s="1"/>
  <c r="K96" i="3"/>
  <c r="O126" i="3"/>
  <c r="T2548" i="20" s="1"/>
  <c r="U2548" i="20" s="1"/>
  <c r="J2548" i="20" s="1"/>
  <c r="L126" i="3"/>
  <c r="K126" i="3"/>
  <c r="O160" i="3"/>
  <c r="T2420" i="20" s="1"/>
  <c r="U2420" i="20" s="1"/>
  <c r="J2420" i="20" s="1"/>
  <c r="K160" i="3"/>
  <c r="L160" i="3"/>
  <c r="O50" i="3"/>
  <c r="T2072" i="20" s="1"/>
  <c r="U2072" i="20" s="1"/>
  <c r="J2072" i="20" s="1"/>
  <c r="L50" i="3"/>
  <c r="K50" i="3"/>
  <c r="O390" i="3"/>
  <c r="T2823" i="20" s="1"/>
  <c r="U2823" i="20" s="1"/>
  <c r="K390" i="3"/>
  <c r="L390" i="3"/>
  <c r="O237" i="3"/>
  <c r="T1889" i="20" s="1"/>
  <c r="U1889" i="20" s="1"/>
  <c r="J1889" i="20" s="1"/>
  <c r="P1889" i="20" s="1"/>
  <c r="L237" i="3"/>
  <c r="K237" i="3"/>
  <c r="L379" i="3"/>
  <c r="K379" i="3"/>
  <c r="O379" i="3"/>
  <c r="T1841" i="20" s="1"/>
  <c r="U1841" i="20" s="1"/>
  <c r="O4" i="3"/>
  <c r="T2513" i="20" s="1"/>
  <c r="U2513" i="20" s="1"/>
  <c r="J2513" i="20" s="1"/>
  <c r="L4" i="3"/>
  <c r="K4" i="3"/>
  <c r="O215" i="3"/>
  <c r="T1887" i="20" s="1"/>
  <c r="U1887" i="20" s="1"/>
  <c r="J1887" i="20" s="1"/>
  <c r="L215" i="3"/>
  <c r="K215" i="3"/>
  <c r="H11" i="2"/>
  <c r="F11" i="2"/>
  <c r="H78" i="21"/>
  <c r="I78" i="21"/>
  <c r="G78" i="21"/>
  <c r="E80" i="4"/>
  <c r="D80" i="4"/>
  <c r="H80" i="4"/>
  <c r="G80" i="4"/>
  <c r="F80" i="4"/>
  <c r="I80" i="4"/>
  <c r="O74" i="3"/>
  <c r="T2093" i="20" s="1"/>
  <c r="U2093" i="20" s="1"/>
  <c r="J2093" i="20" s="1"/>
  <c r="P2093" i="20" s="1"/>
  <c r="L74" i="3"/>
  <c r="K74" i="3"/>
  <c r="O369" i="3"/>
  <c r="T1787" i="20" s="1"/>
  <c r="U1787" i="20" s="1"/>
  <c r="K369" i="3"/>
  <c r="L369" i="3"/>
  <c r="O320" i="3"/>
  <c r="T1994" i="20" s="1"/>
  <c r="U1994" i="20" s="1"/>
  <c r="J1994" i="20" s="1"/>
  <c r="P1994" i="20" s="1"/>
  <c r="L320" i="3"/>
  <c r="K320" i="3"/>
  <c r="O18" i="3"/>
  <c r="T2021" i="20" s="1"/>
  <c r="U2021" i="20" s="1"/>
  <c r="J2021" i="20" s="1"/>
  <c r="L18" i="3"/>
  <c r="K18" i="3"/>
  <c r="O94" i="3"/>
  <c r="T1969" i="20" s="1"/>
  <c r="U1969" i="20" s="1"/>
  <c r="J1969" i="20" s="1"/>
  <c r="P1969" i="20" s="1"/>
  <c r="L94" i="3"/>
  <c r="K94" i="3"/>
  <c r="O203" i="3"/>
  <c r="T1957" i="20" s="1"/>
  <c r="U1957" i="20" s="1"/>
  <c r="L203" i="3"/>
  <c r="K203" i="3"/>
  <c r="L97" i="3"/>
  <c r="K97" i="3"/>
  <c r="O97" i="3"/>
  <c r="T2003" i="20" s="1"/>
  <c r="U2003" i="20" s="1"/>
  <c r="J2003" i="20" s="1"/>
  <c r="P2003" i="20" s="1"/>
  <c r="E27" i="4"/>
  <c r="H27" i="4"/>
  <c r="G27" i="4"/>
  <c r="F27" i="4"/>
  <c r="D27" i="4"/>
  <c r="I27" i="4"/>
  <c r="O281" i="3"/>
  <c r="T2570" i="20" s="1"/>
  <c r="U2570" i="20" s="1"/>
  <c r="J2570" i="20" s="1"/>
  <c r="L281" i="3"/>
  <c r="K281" i="3"/>
  <c r="O391" i="3"/>
  <c r="T2824" i="20" s="1"/>
  <c r="U2824" i="20" s="1"/>
  <c r="L391" i="3"/>
  <c r="K391" i="3"/>
  <c r="K34" i="3"/>
  <c r="O34" i="3"/>
  <c r="T2060" i="20" s="1"/>
  <c r="U2060" i="20" s="1"/>
  <c r="J2060" i="20" s="1"/>
  <c r="P2060" i="20" s="1"/>
  <c r="L34" i="3"/>
  <c r="K124" i="3"/>
  <c r="L124" i="3"/>
  <c r="O124" i="3"/>
  <c r="T2546" i="20" s="1"/>
  <c r="U2546" i="20" s="1"/>
  <c r="J2546" i="20" s="1"/>
  <c r="O231" i="3"/>
  <c r="T1910" i="20" s="1"/>
  <c r="U1910" i="20" s="1"/>
  <c r="J1910" i="20" s="1"/>
  <c r="P1910" i="20" s="1"/>
  <c r="K231" i="3"/>
  <c r="L231" i="3"/>
  <c r="H86" i="2"/>
  <c r="F86" i="2"/>
  <c r="O227" i="3"/>
  <c r="T1906" i="20" s="1"/>
  <c r="U1906" i="20" s="1"/>
  <c r="J1906" i="20" s="1"/>
  <c r="P1906" i="20" s="1"/>
  <c r="K227" i="3"/>
  <c r="L227" i="3"/>
  <c r="O302" i="3"/>
  <c r="T1976" i="20" s="1"/>
  <c r="U1976" i="20" s="1"/>
  <c r="J1976" i="20" s="1"/>
  <c r="P1976" i="20" s="1"/>
  <c r="L302" i="3"/>
  <c r="K302" i="3"/>
  <c r="K108" i="3"/>
  <c r="L108" i="3"/>
  <c r="O108" i="3"/>
  <c r="T2036" i="20" s="1"/>
  <c r="U2036" i="20" s="1"/>
  <c r="J2036" i="20" s="1"/>
  <c r="L22" i="2"/>
  <c r="N22" i="2" s="1"/>
  <c r="I93" i="21"/>
  <c r="H93" i="21"/>
  <c r="G93" i="21"/>
  <c r="I40" i="4"/>
  <c r="H40" i="4"/>
  <c r="G40" i="4"/>
  <c r="D40" i="4"/>
  <c r="E40" i="4"/>
  <c r="F40" i="4"/>
  <c r="G31" i="4"/>
  <c r="I31" i="4"/>
  <c r="H31" i="4"/>
  <c r="E31" i="4"/>
  <c r="D31" i="4"/>
  <c r="F31" i="4"/>
  <c r="O157" i="3"/>
  <c r="T2417" i="20" s="1"/>
  <c r="U2417" i="20" s="1"/>
  <c r="J2417" i="20" s="1"/>
  <c r="P2417" i="20" s="1"/>
  <c r="K157" i="3"/>
  <c r="L157" i="3"/>
  <c r="O375" i="3"/>
  <c r="T1837" i="20" s="1"/>
  <c r="U1837" i="20" s="1"/>
  <c r="L375" i="3"/>
  <c r="K375" i="3"/>
  <c r="L259" i="3"/>
  <c r="K259" i="3"/>
  <c r="O259" i="3"/>
  <c r="T1878" i="20" s="1"/>
  <c r="U1878" i="20" s="1"/>
  <c r="J1878" i="20" s="1"/>
  <c r="P1878" i="20" s="1"/>
  <c r="O173" i="3"/>
  <c r="T2405" i="20" s="1"/>
  <c r="U2405" i="20" s="1"/>
  <c r="J2405" i="20" s="1"/>
  <c r="P2405" i="20" s="1"/>
  <c r="L173" i="3"/>
  <c r="K173" i="3"/>
  <c r="L285" i="3"/>
  <c r="O285" i="3"/>
  <c r="T2560" i="20" s="1"/>
  <c r="U2560" i="20" s="1"/>
  <c r="J2560" i="20" s="1"/>
  <c r="P2560" i="20" s="1"/>
  <c r="K285" i="3"/>
  <c r="L177" i="3"/>
  <c r="K177" i="3"/>
  <c r="O177" i="3"/>
  <c r="T1932" i="20" s="1"/>
  <c r="U1932" i="20" s="1"/>
  <c r="J1932" i="20" s="1"/>
  <c r="P1932" i="20" s="1"/>
  <c r="O9" i="3"/>
  <c r="T2459" i="20" s="1"/>
  <c r="U2459" i="20" s="1"/>
  <c r="J2459" i="20" s="1"/>
  <c r="L9" i="3"/>
  <c r="K9" i="3"/>
  <c r="O335" i="3"/>
  <c r="T2524" i="20" s="1"/>
  <c r="U2524" i="20" s="1"/>
  <c r="L335" i="3"/>
  <c r="K335" i="3"/>
  <c r="I25" i="4"/>
  <c r="F25" i="4"/>
  <c r="H25" i="4"/>
  <c r="G25" i="4"/>
  <c r="E25" i="4"/>
  <c r="D25" i="4"/>
  <c r="L117" i="3"/>
  <c r="K117" i="3"/>
  <c r="O117" i="3"/>
  <c r="T2539" i="20" s="1"/>
  <c r="U2539" i="20" s="1"/>
  <c r="J2539" i="20" s="1"/>
  <c r="K140" i="3"/>
  <c r="O140" i="3"/>
  <c r="T2013" i="20" s="1"/>
  <c r="U2013" i="20" s="1"/>
  <c r="J2013" i="20" s="1"/>
  <c r="P2013" i="20" s="1"/>
  <c r="L140" i="3"/>
  <c r="O247" i="3"/>
  <c r="T1867" i="20" s="1"/>
  <c r="U1867" i="20" s="1"/>
  <c r="J1867" i="20" s="1"/>
  <c r="P1867" i="20" s="1"/>
  <c r="L247" i="3"/>
  <c r="K247" i="3"/>
  <c r="H81" i="21"/>
  <c r="G81" i="21"/>
  <c r="I81" i="21"/>
  <c r="O337" i="3"/>
  <c r="T2526" i="20" s="1"/>
  <c r="U2526" i="20" s="1"/>
  <c r="L337" i="3"/>
  <c r="K337" i="3"/>
  <c r="I37" i="4"/>
  <c r="H37" i="4"/>
  <c r="G37" i="4"/>
  <c r="E37" i="4"/>
  <c r="D37" i="4"/>
  <c r="F37" i="4"/>
  <c r="L14" i="3"/>
  <c r="K14" i="3"/>
  <c r="O14" i="3"/>
  <c r="T2464" i="20" s="1"/>
  <c r="U2464" i="20" s="1"/>
  <c r="J2464" i="20" s="1"/>
  <c r="P2464" i="20" s="1"/>
  <c r="L373" i="3"/>
  <c r="K373" i="3"/>
  <c r="O373" i="3"/>
  <c r="T1827" i="20" s="1"/>
  <c r="U1827" i="20" s="1"/>
  <c r="L225" i="3"/>
  <c r="K225" i="3"/>
  <c r="O225" i="3"/>
  <c r="T1905" i="20" s="1"/>
  <c r="U1905" i="20" s="1"/>
  <c r="J1905" i="20" s="1"/>
  <c r="P1905" i="20" s="1"/>
  <c r="H84" i="21"/>
  <c r="G84" i="21"/>
  <c r="I84" i="21"/>
  <c r="O234" i="3"/>
  <c r="T1913" i="20" s="1"/>
  <c r="U1913" i="20" s="1"/>
  <c r="J1913" i="20" s="1"/>
  <c r="P1913" i="20" s="1"/>
  <c r="K234" i="3"/>
  <c r="L234" i="3"/>
  <c r="I57" i="4"/>
  <c r="G57" i="4"/>
  <c r="F57" i="4"/>
  <c r="E57" i="4"/>
  <c r="D57" i="4"/>
  <c r="H57" i="4"/>
  <c r="H79" i="21"/>
  <c r="I79" i="21"/>
  <c r="G79" i="21"/>
  <c r="H21" i="2"/>
  <c r="F21" i="2"/>
  <c r="H94" i="2"/>
  <c r="F94" i="2"/>
  <c r="O287" i="3"/>
  <c r="T2562" i="20" s="1"/>
  <c r="U2562" i="20" s="1"/>
  <c r="J2562" i="20" s="1"/>
  <c r="P2562" i="20" s="1"/>
  <c r="L287" i="3"/>
  <c r="K287" i="3"/>
  <c r="O199" i="3"/>
  <c r="T1954" i="20" s="1"/>
  <c r="U1954" i="20" s="1"/>
  <c r="K199" i="3"/>
  <c r="L199" i="3"/>
  <c r="H40" i="2"/>
  <c r="F40" i="2"/>
  <c r="F56" i="4"/>
  <c r="E56" i="4"/>
  <c r="D56" i="4"/>
  <c r="I56" i="4"/>
  <c r="G56" i="4"/>
  <c r="H56" i="4"/>
  <c r="O351" i="3"/>
  <c r="T1754" i="20" s="1"/>
  <c r="U1754" i="20" s="1"/>
  <c r="K351" i="3"/>
  <c r="L351" i="3"/>
  <c r="O51" i="3"/>
  <c r="T2073" i="20" s="1"/>
  <c r="U2073" i="20" s="1"/>
  <c r="J2073" i="20" s="1"/>
  <c r="P2073" i="20" s="1"/>
  <c r="K51" i="3"/>
  <c r="L51" i="3"/>
  <c r="H44" i="2"/>
  <c r="F44" i="2"/>
  <c r="D47" i="4"/>
  <c r="I47" i="4"/>
  <c r="H47" i="4"/>
  <c r="G47" i="4"/>
  <c r="F47" i="4"/>
  <c r="E47" i="4"/>
  <c r="O75" i="3"/>
  <c r="T2111" i="20" s="1"/>
  <c r="U2111" i="20" s="1"/>
  <c r="J2111" i="20" s="1"/>
  <c r="K75" i="3"/>
  <c r="L75" i="3"/>
  <c r="O341" i="3"/>
  <c r="T2530" i="20" s="1"/>
  <c r="U2530" i="20" s="1"/>
  <c r="L341" i="3"/>
  <c r="K341" i="3"/>
  <c r="L244" i="3"/>
  <c r="O244" i="3"/>
  <c r="T1895" i="20" s="1"/>
  <c r="U1895" i="20" s="1"/>
  <c r="J1895" i="20" s="1"/>
  <c r="P1895" i="20" s="1"/>
  <c r="K244" i="3"/>
  <c r="O115" i="3"/>
  <c r="T2043" i="20" s="1"/>
  <c r="U2043" i="20" s="1"/>
  <c r="J2043" i="20" s="1"/>
  <c r="L115" i="3"/>
  <c r="K115" i="3"/>
  <c r="L305" i="3"/>
  <c r="K305" i="3"/>
  <c r="O305" i="3"/>
  <c r="T1979" i="20" s="1"/>
  <c r="U1979" i="20" s="1"/>
  <c r="J1979" i="20" s="1"/>
  <c r="P1979" i="20" s="1"/>
  <c r="O330" i="3"/>
  <c r="T2533" i="20" s="1"/>
  <c r="U2533" i="20" s="1"/>
  <c r="K330" i="3"/>
  <c r="L330" i="3"/>
  <c r="O213" i="3"/>
  <c r="T1944" i="20" s="1"/>
  <c r="U1944" i="20" s="1"/>
  <c r="L213" i="3"/>
  <c r="K213" i="3"/>
  <c r="O265" i="3"/>
  <c r="T1884" i="20" s="1"/>
  <c r="U1884" i="20" s="1"/>
  <c r="J1884" i="20" s="1"/>
  <c r="P1884" i="20" s="1"/>
  <c r="L265" i="3"/>
  <c r="K265" i="3"/>
  <c r="I79" i="4"/>
  <c r="H79" i="4"/>
  <c r="E79" i="4"/>
  <c r="D79" i="4"/>
  <c r="G79" i="4"/>
  <c r="F79" i="4"/>
  <c r="O134" i="3"/>
  <c r="T1921" i="20" s="1"/>
  <c r="U1921" i="20" s="1"/>
  <c r="L134" i="3"/>
  <c r="K134" i="3"/>
  <c r="L260" i="3"/>
  <c r="K260" i="3"/>
  <c r="O260" i="3"/>
  <c r="T1879" i="20" s="1"/>
  <c r="U1879" i="20" s="1"/>
  <c r="J1879" i="20" s="1"/>
  <c r="P1879" i="20" s="1"/>
  <c r="K188" i="3"/>
  <c r="O188" i="3"/>
  <c r="T1929" i="20" s="1"/>
  <c r="U1929" i="20" s="1"/>
  <c r="J1929" i="20" s="1"/>
  <c r="P1929" i="20" s="1"/>
  <c r="L188" i="3"/>
  <c r="O295" i="3"/>
  <c r="T2029" i="20" s="1"/>
  <c r="U2029" i="20" s="1"/>
  <c r="J2029" i="20" s="1"/>
  <c r="P2029" i="20" s="1"/>
  <c r="L295" i="3"/>
  <c r="K295" i="3"/>
  <c r="L263" i="3"/>
  <c r="K263" i="3"/>
  <c r="O263" i="3"/>
  <c r="T1882" i="20" s="1"/>
  <c r="U1882" i="20" s="1"/>
  <c r="J1882" i="20" s="1"/>
  <c r="P1882" i="20" s="1"/>
  <c r="K352" i="3"/>
  <c r="O352" i="3"/>
  <c r="T1755" i="20" s="1"/>
  <c r="U1755" i="20" s="1"/>
  <c r="L352" i="3"/>
  <c r="O339" i="3"/>
  <c r="T2528" i="20" s="1"/>
  <c r="U2528" i="20" s="1"/>
  <c r="K339" i="3"/>
  <c r="L339" i="3"/>
  <c r="O264" i="3"/>
  <c r="T1883" i="20" s="1"/>
  <c r="U1883" i="20" s="1"/>
  <c r="J1883" i="20" s="1"/>
  <c r="P1883" i="20" s="1"/>
  <c r="L264" i="3"/>
  <c r="K264" i="3"/>
  <c r="K37" i="3"/>
  <c r="L37" i="3"/>
  <c r="O37" i="3"/>
  <c r="T2062" i="20" s="1"/>
  <c r="U2062" i="20" s="1"/>
  <c r="J2062" i="20" s="1"/>
  <c r="K382" i="3"/>
  <c r="O382" i="3"/>
  <c r="T1830" i="20" s="1"/>
  <c r="U1830" i="20" s="1"/>
  <c r="L382" i="3"/>
  <c r="O164" i="3"/>
  <c r="T2401" i="20" s="1"/>
  <c r="U2401" i="20" s="1"/>
  <c r="J2401" i="20" s="1"/>
  <c r="K164" i="3"/>
  <c r="L164" i="3"/>
  <c r="O290" i="3"/>
  <c r="T2024" i="20" s="1"/>
  <c r="U2024" i="20" s="1"/>
  <c r="J2024" i="20" s="1"/>
  <c r="L290" i="3"/>
  <c r="K290" i="3"/>
  <c r="K204" i="3"/>
  <c r="O204" i="3"/>
  <c r="T1958" i="20" s="1"/>
  <c r="U1958" i="20" s="1"/>
  <c r="L204" i="3"/>
  <c r="O311" i="3"/>
  <c r="T1985" i="20" s="1"/>
  <c r="U1985" i="20" s="1"/>
  <c r="J1985" i="20" s="1"/>
  <c r="P1985" i="20" s="1"/>
  <c r="L311" i="3"/>
  <c r="K311" i="3"/>
  <c r="I36" i="2"/>
  <c r="M29" i="2"/>
  <c r="O54" i="3"/>
  <c r="T2076" i="20" s="1"/>
  <c r="U2076" i="20" s="1"/>
  <c r="J2076" i="20" s="1"/>
  <c r="L54" i="3"/>
  <c r="K54" i="3"/>
  <c r="K73" i="3"/>
  <c r="L73" i="3"/>
  <c r="O73" i="3"/>
  <c r="T2110" i="20" s="1"/>
  <c r="U2110" i="20" s="1"/>
  <c r="J2110" i="20" s="1"/>
  <c r="P2110" i="20" s="1"/>
  <c r="O91" i="3"/>
  <c r="T1966" i="20" s="1"/>
  <c r="U1966" i="20" s="1"/>
  <c r="J1966" i="20" s="1"/>
  <c r="L91" i="3"/>
  <c r="K91" i="3"/>
  <c r="O182" i="3"/>
  <c r="T1923" i="20" s="1"/>
  <c r="U1923" i="20" s="1"/>
  <c r="J1923" i="20" s="1"/>
  <c r="P1923" i="20" s="1"/>
  <c r="L182" i="3"/>
  <c r="K182" i="3"/>
  <c r="H122" i="2"/>
  <c r="F122" i="2"/>
  <c r="F12" i="2"/>
  <c r="H12" i="2"/>
  <c r="O47" i="3"/>
  <c r="T2070" i="20" s="1"/>
  <c r="U2070" i="20" s="1"/>
  <c r="J2070" i="20" s="1"/>
  <c r="P2070" i="20" s="1"/>
  <c r="L47" i="3"/>
  <c r="K47" i="3"/>
  <c r="H51" i="4"/>
  <c r="G51" i="4"/>
  <c r="E51" i="4"/>
  <c r="D51" i="4"/>
  <c r="I51" i="4"/>
  <c r="F51" i="4"/>
  <c r="O36" i="3"/>
  <c r="T2061" i="20" s="1"/>
  <c r="U2061" i="20" s="1"/>
  <c r="J2061" i="20" s="1"/>
  <c r="L36" i="3"/>
  <c r="K36" i="3"/>
  <c r="K92" i="3"/>
  <c r="O92" i="3"/>
  <c r="T1967" i="20" s="1"/>
  <c r="U1967" i="20" s="1"/>
  <c r="J1967" i="20" s="1"/>
  <c r="P1967" i="20" s="1"/>
  <c r="L92" i="3"/>
  <c r="O255" i="3"/>
  <c r="T1875" i="20" s="1"/>
  <c r="U1875" i="20" s="1"/>
  <c r="J1875" i="20" s="1"/>
  <c r="P1875" i="20" s="1"/>
  <c r="K255" i="3"/>
  <c r="L255" i="3"/>
  <c r="H35" i="2"/>
  <c r="F35" i="2"/>
  <c r="M118" i="2"/>
  <c r="L241" i="3"/>
  <c r="K241" i="3"/>
  <c r="O241" i="3"/>
  <c r="T1892" i="20" s="1"/>
  <c r="U1892" i="20" s="1"/>
  <c r="J1892" i="20" s="1"/>
  <c r="P1892" i="20" s="1"/>
  <c r="O219" i="3"/>
  <c r="T1899" i="20" s="1"/>
  <c r="U1899" i="20" s="1"/>
  <c r="J1899" i="20" s="1"/>
  <c r="P1899" i="20" s="1"/>
  <c r="L219" i="3"/>
  <c r="K219" i="3"/>
  <c r="O147" i="3"/>
  <c r="T2408" i="20" s="1"/>
  <c r="U2408" i="20" s="1"/>
  <c r="J2408" i="20" s="1"/>
  <c r="L147" i="3"/>
  <c r="K147" i="3"/>
  <c r="H52" i="4"/>
  <c r="G52" i="4"/>
  <c r="F52" i="4"/>
  <c r="E52" i="4"/>
  <c r="I52" i="4"/>
  <c r="D52" i="4"/>
  <c r="K334" i="3"/>
  <c r="O334" i="3"/>
  <c r="T2537" i="20" s="1"/>
  <c r="U2537" i="20" s="1"/>
  <c r="L334" i="3"/>
  <c r="L58" i="3"/>
  <c r="K58" i="3"/>
  <c r="O58" i="3"/>
  <c r="T2080" i="20" s="1"/>
  <c r="U2080" i="20" s="1"/>
  <c r="J2080" i="20" s="1"/>
  <c r="J46" i="2"/>
  <c r="E60" i="2"/>
  <c r="G60" i="2"/>
  <c r="H76" i="2"/>
  <c r="F76" i="2"/>
  <c r="O71" i="3"/>
  <c r="T2092" i="20" s="1"/>
  <c r="U2092" i="20" s="1"/>
  <c r="J2092" i="20" s="1"/>
  <c r="P2092" i="20" s="1"/>
  <c r="L71" i="3"/>
  <c r="K71" i="3"/>
  <c r="F121" i="2"/>
  <c r="H121" i="2"/>
  <c r="O184" i="3"/>
  <c r="T1925" i="20" s="1"/>
  <c r="U1925" i="20" s="1"/>
  <c r="J1925" i="20" s="1"/>
  <c r="P1925" i="20" s="1"/>
  <c r="L184" i="3"/>
  <c r="K184" i="3"/>
  <c r="H81" i="4"/>
  <c r="I81" i="4"/>
  <c r="G81" i="4"/>
  <c r="F81" i="4"/>
  <c r="E81" i="4"/>
  <c r="D81" i="4"/>
  <c r="O191" i="3"/>
  <c r="T1946" i="20" s="1"/>
  <c r="U1946" i="20" s="1"/>
  <c r="L191" i="3"/>
  <c r="K191" i="3"/>
  <c r="O279" i="3"/>
  <c r="T2568" i="20" s="1"/>
  <c r="U2568" i="20" s="1"/>
  <c r="J2568" i="20" s="1"/>
  <c r="P2568" i="20" s="1"/>
  <c r="L279" i="3"/>
  <c r="K279" i="3"/>
  <c r="O293" i="3"/>
  <c r="T2027" i="20" s="1"/>
  <c r="U2027" i="20" s="1"/>
  <c r="J2027" i="20" s="1"/>
  <c r="P2027" i="20" s="1"/>
  <c r="L293" i="3"/>
  <c r="K293" i="3"/>
  <c r="H63" i="21"/>
  <c r="G63" i="21"/>
  <c r="I63" i="21"/>
  <c r="L165" i="3"/>
  <c r="K165" i="3"/>
  <c r="O165" i="3"/>
  <c r="T2423" i="20" s="1"/>
  <c r="U2423" i="20" s="1"/>
  <c r="J2423" i="20" s="1"/>
  <c r="O122" i="3"/>
  <c r="T2544" i="20" s="1"/>
  <c r="U2544" i="20" s="1"/>
  <c r="J2544" i="20" s="1"/>
  <c r="L122" i="3"/>
  <c r="K122" i="3"/>
  <c r="O5" i="3"/>
  <c r="T2514" i="20" s="1"/>
  <c r="U2514" i="20" s="1"/>
  <c r="J2514" i="20" s="1"/>
  <c r="P2514" i="20" s="1"/>
  <c r="J105" i="2" s="1"/>
  <c r="L105" i="2" s="1"/>
  <c r="L5" i="3"/>
  <c r="K5" i="3"/>
  <c r="O130" i="3"/>
  <c r="T1917" i="20" s="1"/>
  <c r="U1917" i="20" s="1"/>
  <c r="K130" i="3"/>
  <c r="L130" i="3"/>
  <c r="O32" i="3"/>
  <c r="T2058" i="20" s="1"/>
  <c r="U2058" i="20" s="1"/>
  <c r="J2058" i="20" s="1"/>
  <c r="K32" i="3"/>
  <c r="L32" i="3"/>
  <c r="O378" i="3"/>
  <c r="T1840" i="20" s="1"/>
  <c r="U1840" i="20" s="1"/>
  <c r="K378" i="3"/>
  <c r="L378" i="3"/>
  <c r="L2" i="3"/>
  <c r="K2" i="3"/>
  <c r="J2" i="3"/>
  <c r="O2" i="3" s="1"/>
  <c r="T2509" i="20" s="1"/>
  <c r="U2509" i="20" s="1"/>
  <c r="J2509" i="20" s="1"/>
  <c r="I109" i="2" s="1"/>
  <c r="K120" i="3"/>
  <c r="O120" i="3"/>
  <c r="T2542" i="20" s="1"/>
  <c r="U2542" i="20" s="1"/>
  <c r="J2542" i="20" s="1"/>
  <c r="L120" i="3"/>
  <c r="L298" i="3"/>
  <c r="O298" i="3"/>
  <c r="T1972" i="20" s="1"/>
  <c r="U1972" i="20" s="1"/>
  <c r="J1972" i="20" s="1"/>
  <c r="K298" i="3"/>
  <c r="O277" i="3"/>
  <c r="T2566" i="20" s="1"/>
  <c r="U2566" i="20" s="1"/>
  <c r="J2566" i="20" s="1"/>
  <c r="P2566" i="20" s="1"/>
  <c r="K277" i="3"/>
  <c r="L277" i="3"/>
  <c r="K350" i="3"/>
  <c r="O350" i="3"/>
  <c r="T1753" i="20" s="1"/>
  <c r="U1753" i="20" s="1"/>
  <c r="L350" i="3"/>
  <c r="K236" i="3"/>
  <c r="L236" i="3"/>
  <c r="O236" i="3"/>
  <c r="T1915" i="20" s="1"/>
  <c r="U1915" i="20" s="1"/>
  <c r="J1915" i="20" s="1"/>
  <c r="P1915" i="20" s="1"/>
  <c r="O338" i="3"/>
  <c r="T2527" i="20" s="1"/>
  <c r="U2527" i="20" s="1"/>
  <c r="K338" i="3"/>
  <c r="L338" i="3"/>
  <c r="M13" i="2"/>
  <c r="H102" i="2"/>
  <c r="F102" i="2"/>
  <c r="H107" i="2"/>
  <c r="F107" i="2"/>
  <c r="M121" i="2"/>
  <c r="H109" i="2"/>
  <c r="F109" i="2"/>
  <c r="G88" i="21"/>
  <c r="I88" i="21"/>
  <c r="H88" i="21"/>
  <c r="I68" i="4"/>
  <c r="H68" i="4"/>
  <c r="G68" i="4"/>
  <c r="D68" i="4"/>
  <c r="F68" i="4"/>
  <c r="E68" i="4"/>
  <c r="O131" i="3"/>
  <c r="T1918" i="20" s="1"/>
  <c r="U1918" i="20" s="1"/>
  <c r="L131" i="3"/>
  <c r="K131" i="3"/>
  <c r="L145" i="3"/>
  <c r="K145" i="3"/>
  <c r="O145" i="3"/>
  <c r="T2398" i="20" s="1"/>
  <c r="U2398" i="20" s="1"/>
  <c r="J2398" i="20" s="1"/>
  <c r="O138" i="3"/>
  <c r="T2555" i="20" s="1"/>
  <c r="U2555" i="20" s="1"/>
  <c r="J2555" i="20" s="1"/>
  <c r="L138" i="3"/>
  <c r="K138" i="3"/>
  <c r="O175" i="3"/>
  <c r="T1922" i="20" s="1"/>
  <c r="U1922" i="20" s="1"/>
  <c r="J1922" i="20" s="1"/>
  <c r="K175" i="3"/>
  <c r="L175" i="3"/>
  <c r="O80" i="3"/>
  <c r="T2097" i="20" s="1"/>
  <c r="U2097" i="20" s="1"/>
  <c r="J2097" i="20" s="1"/>
  <c r="P2097" i="20" s="1"/>
  <c r="L80" i="3"/>
  <c r="K80" i="3"/>
  <c r="O29" i="3"/>
  <c r="T2055" i="20" s="1"/>
  <c r="U2055" i="20" s="1"/>
  <c r="J2055" i="20" s="1"/>
  <c r="P2055" i="20" s="1"/>
  <c r="L29" i="3"/>
  <c r="K29" i="3"/>
  <c r="O43" i="3"/>
  <c r="T2067" i="20" s="1"/>
  <c r="U2067" i="20" s="1"/>
  <c r="J2067" i="20" s="1"/>
  <c r="L43" i="3"/>
  <c r="K43" i="3"/>
  <c r="K142" i="3"/>
  <c r="O142" i="3"/>
  <c r="T2015" i="20" s="1"/>
  <c r="U2015" i="20" s="1"/>
  <c r="J2015" i="20" s="1"/>
  <c r="L142" i="3"/>
  <c r="O304" i="3"/>
  <c r="T1978" i="20" s="1"/>
  <c r="U1978" i="20" s="1"/>
  <c r="J1978" i="20" s="1"/>
  <c r="P1978" i="20" s="1"/>
  <c r="K304" i="3"/>
  <c r="L304" i="3"/>
  <c r="O307" i="3"/>
  <c r="T1981" i="20" s="1"/>
  <c r="U1981" i="20" s="1"/>
  <c r="J1981" i="20" s="1"/>
  <c r="P1981" i="20" s="1"/>
  <c r="K307" i="3"/>
  <c r="L307" i="3"/>
  <c r="O374" i="3"/>
  <c r="T1836" i="20" s="1"/>
  <c r="U1836" i="20" s="1"/>
  <c r="L374" i="3"/>
  <c r="K374" i="3"/>
  <c r="K252" i="3"/>
  <c r="L252" i="3"/>
  <c r="O252" i="3"/>
  <c r="T1872" i="20" s="1"/>
  <c r="U1872" i="20" s="1"/>
  <c r="J1872" i="20" s="1"/>
  <c r="P1872" i="20" s="1"/>
  <c r="L376" i="3"/>
  <c r="K376" i="3"/>
  <c r="O376" i="3"/>
  <c r="T1838" i="20" s="1"/>
  <c r="U1838" i="20" s="1"/>
  <c r="G5" i="2"/>
  <c r="E6" i="1" s="1"/>
  <c r="E5" i="2"/>
  <c r="G59" i="21"/>
  <c r="H59" i="21"/>
  <c r="I59" i="21"/>
  <c r="O26" i="3"/>
  <c r="T2053" i="20" s="1"/>
  <c r="U2053" i="20" s="1"/>
  <c r="J2053" i="20" s="1"/>
  <c r="P2053" i="20" s="1"/>
  <c r="L26" i="3"/>
  <c r="K26" i="3"/>
  <c r="O275" i="3"/>
  <c r="T2556" i="20" s="1"/>
  <c r="U2556" i="20" s="1"/>
  <c r="J2556" i="20" s="1"/>
  <c r="K275" i="3"/>
  <c r="L275" i="3"/>
  <c r="H117" i="2"/>
  <c r="F117" i="2"/>
  <c r="I95" i="21"/>
  <c r="H95" i="21"/>
  <c r="G95" i="21"/>
  <c r="M104" i="2"/>
  <c r="E124" i="2"/>
  <c r="G124" i="2"/>
  <c r="H32" i="2"/>
  <c r="F32" i="2"/>
  <c r="M24" i="2"/>
  <c r="M12" i="2"/>
  <c r="M16" i="2"/>
  <c r="G41" i="4"/>
  <c r="D41" i="4"/>
  <c r="I41" i="4"/>
  <c r="H41" i="4"/>
  <c r="E41" i="4"/>
  <c r="F41" i="4"/>
  <c r="L40" i="2"/>
  <c r="N40" i="2" s="1"/>
  <c r="M40" i="2"/>
  <c r="H134" i="2"/>
  <c r="F134" i="2"/>
  <c r="I82" i="21"/>
  <c r="H82" i="21"/>
  <c r="G82" i="21"/>
  <c r="M64" i="2"/>
  <c r="L64" i="2"/>
  <c r="N64" i="2" s="1"/>
  <c r="G26" i="4"/>
  <c r="F26" i="4"/>
  <c r="D26" i="4"/>
  <c r="H26" i="4"/>
  <c r="E26" i="4"/>
  <c r="I26" i="4"/>
  <c r="K154" i="3"/>
  <c r="O154" i="3"/>
  <c r="T2415" i="20" s="1"/>
  <c r="U2415" i="20" s="1"/>
  <c r="J2415" i="20" s="1"/>
  <c r="P2415" i="20" s="1"/>
  <c r="L154" i="3"/>
  <c r="O168" i="3"/>
  <c r="T2426" i="20" s="1"/>
  <c r="U2426" i="20" s="1"/>
  <c r="J2426" i="20" s="1"/>
  <c r="L168" i="3"/>
  <c r="K168" i="3"/>
  <c r="L161" i="3"/>
  <c r="K161" i="3"/>
  <c r="O161" i="3"/>
  <c r="T2400" i="20" s="1"/>
  <c r="U2400" i="20" s="1"/>
  <c r="J2400" i="20" s="1"/>
  <c r="P2400" i="20" s="1"/>
  <c r="O297" i="3"/>
  <c r="T2031" i="20" s="1"/>
  <c r="U2031" i="20" s="1"/>
  <c r="J2031" i="20" s="1"/>
  <c r="P2031" i="20" s="1"/>
  <c r="L297" i="3"/>
  <c r="K297" i="3"/>
  <c r="O158" i="3"/>
  <c r="T2418" i="20" s="1"/>
  <c r="U2418" i="20" s="1"/>
  <c r="J2418" i="20" s="1"/>
  <c r="L158" i="3"/>
  <c r="K158" i="3"/>
  <c r="L49" i="3"/>
  <c r="K49" i="3"/>
  <c r="O49" i="3"/>
  <c r="T2107" i="20" s="1"/>
  <c r="U2107" i="20" s="1"/>
  <c r="J2107" i="20" s="1"/>
  <c r="K105" i="3"/>
  <c r="O105" i="3"/>
  <c r="T2011" i="20" s="1"/>
  <c r="U2011" i="20" s="1"/>
  <c r="J2011" i="20" s="1"/>
  <c r="P2011" i="20" s="1"/>
  <c r="L105" i="3"/>
  <c r="O171" i="3"/>
  <c r="T2403" i="20" s="1"/>
  <c r="U2403" i="20" s="1"/>
  <c r="J2403" i="20" s="1"/>
  <c r="K171" i="3"/>
  <c r="L171" i="3"/>
  <c r="L328" i="3"/>
  <c r="K328" i="3"/>
  <c r="O328" i="3"/>
  <c r="T2523" i="20" s="1"/>
  <c r="U2523" i="20" s="1"/>
  <c r="O27" i="3"/>
  <c r="T2054" i="20" s="1"/>
  <c r="U2054" i="20" s="1"/>
  <c r="J2054" i="20" s="1"/>
  <c r="L27" i="3"/>
  <c r="K27" i="3"/>
  <c r="O380" i="3"/>
  <c r="T1828" i="20" s="1"/>
  <c r="U1828" i="20" s="1"/>
  <c r="L380" i="3"/>
  <c r="K380" i="3"/>
  <c r="K268" i="3"/>
  <c r="O268" i="3"/>
  <c r="T1886" i="20" s="1"/>
  <c r="U1886" i="20" s="1"/>
  <c r="J1886" i="20" s="1"/>
  <c r="P1886" i="20" s="1"/>
  <c r="L268" i="3"/>
  <c r="K387" i="3"/>
  <c r="L387" i="3"/>
  <c r="O387" i="3"/>
  <c r="T1835" i="20" s="1"/>
  <c r="U1835" i="20" s="1"/>
  <c r="M22" i="2"/>
  <c r="M30" i="2"/>
  <c r="H28" i="4"/>
  <c r="F28" i="4"/>
  <c r="E28" i="4"/>
  <c r="D28" i="4"/>
  <c r="I28" i="4"/>
  <c r="G28" i="4"/>
  <c r="J36" i="2"/>
  <c r="L36" i="2" s="1"/>
  <c r="L29" i="2"/>
  <c r="N29" i="2" s="1"/>
  <c r="E27" i="2"/>
  <c r="G27" i="2"/>
  <c r="O340" i="3"/>
  <c r="T2529" i="20" s="1"/>
  <c r="U2529" i="20" s="1"/>
  <c r="L340" i="3"/>
  <c r="K340" i="3"/>
  <c r="H58" i="2"/>
  <c r="F58" i="2"/>
  <c r="O292" i="3"/>
  <c r="T2026" i="20" s="1"/>
  <c r="U2026" i="20" s="1"/>
  <c r="J2026" i="20" s="1"/>
  <c r="P2026" i="20" s="1"/>
  <c r="L292" i="3"/>
  <c r="K292" i="3"/>
  <c r="K172" i="3"/>
  <c r="O172" i="3"/>
  <c r="T2404" i="20" s="1"/>
  <c r="U2404" i="20" s="1"/>
  <c r="J2404" i="20" s="1"/>
  <c r="L172" i="3"/>
  <c r="F64" i="2"/>
  <c r="H64" i="2"/>
  <c r="L210" i="3"/>
  <c r="K210" i="3"/>
  <c r="O210" i="3"/>
  <c r="T1941" i="20" s="1"/>
  <c r="U1941" i="20" s="1"/>
  <c r="O386" i="3"/>
  <c r="T1834" i="20" s="1"/>
  <c r="U1834" i="20" s="1"/>
  <c r="L386" i="3"/>
  <c r="K386" i="3"/>
  <c r="H59" i="2"/>
  <c r="F59" i="2"/>
  <c r="O127" i="3"/>
  <c r="T2549" i="20" s="1"/>
  <c r="U2549" i="20" s="1"/>
  <c r="J2549" i="20" s="1"/>
  <c r="L127" i="3"/>
  <c r="K127" i="3"/>
  <c r="K250" i="3"/>
  <c r="L250" i="3"/>
  <c r="O250" i="3"/>
  <c r="T1870" i="20" s="1"/>
  <c r="U1870" i="20" s="1"/>
  <c r="J1870" i="20" s="1"/>
  <c r="P1870" i="20" s="1"/>
  <c r="F106" i="2"/>
  <c r="H106" i="2"/>
  <c r="H39" i="2"/>
  <c r="F39" i="2"/>
  <c r="O318" i="3"/>
  <c r="T1992" i="20" s="1"/>
  <c r="U1992" i="20" s="1"/>
  <c r="J1992" i="20" s="1"/>
  <c r="P1992" i="20" s="1"/>
  <c r="L318" i="3"/>
  <c r="K318" i="3"/>
  <c r="H93" i="2"/>
  <c r="F93" i="2"/>
  <c r="G85" i="21"/>
  <c r="I85" i="21"/>
  <c r="H85" i="21"/>
  <c r="H65" i="21"/>
  <c r="I65" i="21"/>
  <c r="G65" i="21"/>
  <c r="F97" i="2"/>
  <c r="H97" i="2"/>
  <c r="K156" i="3"/>
  <c r="L156" i="3"/>
  <c r="O156" i="3"/>
  <c r="T2416" i="20" s="1"/>
  <c r="U2416" i="20" s="1"/>
  <c r="J2416" i="20" s="1"/>
  <c r="P2416" i="20" s="1"/>
  <c r="I94" i="21"/>
  <c r="H94" i="21"/>
  <c r="G94" i="21"/>
  <c r="O31" i="3"/>
  <c r="T2057" i="20" s="1"/>
  <c r="U2057" i="20" s="1"/>
  <c r="J2057" i="20" s="1"/>
  <c r="P2057" i="20" s="1"/>
  <c r="K31" i="3"/>
  <c r="L31" i="3"/>
  <c r="O233" i="3"/>
  <c r="T1912" i="20" s="1"/>
  <c r="U1912" i="20" s="1"/>
  <c r="J1912" i="20" s="1"/>
  <c r="P1912" i="20" s="1"/>
  <c r="L233" i="3"/>
  <c r="K233" i="3"/>
  <c r="O315" i="3"/>
  <c r="T1989" i="20" s="1"/>
  <c r="U1989" i="20" s="1"/>
  <c r="J1989" i="20" s="1"/>
  <c r="P1989" i="20" s="1"/>
  <c r="L315" i="3"/>
  <c r="K315" i="3"/>
  <c r="O230" i="3"/>
  <c r="T1909" i="20" s="1"/>
  <c r="U1909" i="20" s="1"/>
  <c r="J1909" i="20" s="1"/>
  <c r="P1909" i="20" s="1"/>
  <c r="L230" i="3"/>
  <c r="K230" i="3"/>
  <c r="O11" i="3"/>
  <c r="T2461" i="20" s="1"/>
  <c r="U2461" i="20" s="1"/>
  <c r="J2461" i="20" s="1"/>
  <c r="L11" i="3"/>
  <c r="K11" i="3"/>
  <c r="I61" i="21"/>
  <c r="H61" i="21"/>
  <c r="G61" i="21"/>
  <c r="O347" i="3"/>
  <c r="T1764" i="20" s="1"/>
  <c r="U1764" i="20" s="1"/>
  <c r="L347" i="3"/>
  <c r="K347" i="3"/>
  <c r="O357" i="3"/>
  <c r="T1760" i="20" s="1"/>
  <c r="U1760" i="20" s="1"/>
  <c r="L357" i="3"/>
  <c r="K357" i="3"/>
  <c r="O388" i="3"/>
  <c r="T2821" i="20" s="1"/>
  <c r="U2821" i="20" s="1"/>
  <c r="L388" i="3"/>
  <c r="K388" i="3"/>
  <c r="K327" i="3"/>
  <c r="O327" i="3"/>
  <c r="T2001" i="20" s="1"/>
  <c r="U2001" i="20" s="1"/>
  <c r="J2001" i="20" s="1"/>
  <c r="P2001" i="20" s="1"/>
  <c r="L327" i="3"/>
  <c r="F45" i="4"/>
  <c r="H45" i="4"/>
  <c r="G45" i="4"/>
  <c r="E45" i="4"/>
  <c r="D45" i="4"/>
  <c r="I45" i="4"/>
  <c r="L209" i="3"/>
  <c r="K209" i="3"/>
  <c r="O209" i="3"/>
  <c r="T1940" i="20" s="1"/>
  <c r="U1940" i="20" s="1"/>
  <c r="K383" i="3"/>
  <c r="O383" i="3"/>
  <c r="T1831" i="20" s="1"/>
  <c r="U1831" i="20" s="1"/>
  <c r="L383" i="3"/>
  <c r="F24" i="2"/>
  <c r="H24" i="2"/>
  <c r="M11" i="2"/>
  <c r="N11" i="2"/>
  <c r="H66" i="21"/>
  <c r="G66" i="21"/>
  <c r="I66" i="21"/>
  <c r="D33" i="4"/>
  <c r="G33" i="4"/>
  <c r="I33" i="4"/>
  <c r="H33" i="4"/>
  <c r="F33" i="4"/>
  <c r="E33" i="4"/>
  <c r="O86" i="3"/>
  <c r="T1962" i="20" s="1"/>
  <c r="U1962" i="20" s="1"/>
  <c r="J1962" i="20" s="1"/>
  <c r="L86" i="3"/>
  <c r="K86" i="3"/>
  <c r="L146" i="3"/>
  <c r="K146" i="3"/>
  <c r="O146" i="3"/>
  <c r="T2407" i="20" s="1"/>
  <c r="U2407" i="20" s="1"/>
  <c r="J2407" i="20" s="1"/>
  <c r="P2407" i="20" s="1"/>
  <c r="O38" i="3"/>
  <c r="T2063" i="20" s="1"/>
  <c r="U2063" i="20" s="1"/>
  <c r="J2063" i="20" s="1"/>
  <c r="L38" i="3"/>
  <c r="K38" i="3"/>
  <c r="O62" i="3"/>
  <c r="T2108" i="20" s="1"/>
  <c r="U2108" i="20" s="1"/>
  <c r="J2108" i="20" s="1"/>
  <c r="L62" i="3"/>
  <c r="K62" i="3"/>
  <c r="L216" i="3"/>
  <c r="O216" i="3"/>
  <c r="T1896" i="20" s="1"/>
  <c r="U1896" i="20" s="1"/>
  <c r="J1896" i="20" s="1"/>
  <c r="P1896" i="20" s="1"/>
  <c r="K216" i="3"/>
  <c r="K111" i="3"/>
  <c r="O111" i="3"/>
  <c r="T2039" i="20" s="1"/>
  <c r="U2039" i="20" s="1"/>
  <c r="J2039" i="20" s="1"/>
  <c r="P2039" i="20" s="1"/>
  <c r="L111" i="3"/>
  <c r="O310" i="3"/>
  <c r="T1984" i="20" s="1"/>
  <c r="U1984" i="20" s="1"/>
  <c r="J1984" i="20" s="1"/>
  <c r="P1984" i="20" s="1"/>
  <c r="L310" i="3"/>
  <c r="K310" i="3"/>
  <c r="O214" i="3"/>
  <c r="T1945" i="20" s="1"/>
  <c r="U1945" i="20" s="1"/>
  <c r="L214" i="3"/>
  <c r="K214" i="3"/>
  <c r="L163" i="3"/>
  <c r="O163" i="3"/>
  <c r="T2422" i="20" s="1"/>
  <c r="U2422" i="20" s="1"/>
  <c r="J2422" i="20" s="1"/>
  <c r="P2422" i="20" s="1"/>
  <c r="K163" i="3"/>
  <c r="L63" i="3"/>
  <c r="O63" i="3"/>
  <c r="T2084" i="20" s="1"/>
  <c r="U2084" i="20" s="1"/>
  <c r="J2084" i="20" s="1"/>
  <c r="P2084" i="20" s="1"/>
  <c r="K63" i="3"/>
  <c r="O40" i="3"/>
  <c r="T2065" i="20" s="1"/>
  <c r="U2065" i="20" s="1"/>
  <c r="J2065" i="20" s="1"/>
  <c r="L40" i="3"/>
  <c r="K40" i="3"/>
  <c r="K316" i="3"/>
  <c r="O316" i="3"/>
  <c r="T1990" i="20" s="1"/>
  <c r="U1990" i="20" s="1"/>
  <c r="J1990" i="20" s="1"/>
  <c r="P1990" i="20" s="1"/>
  <c r="L316" i="3"/>
  <c r="O361" i="3"/>
  <c r="T1793" i="20" s="1"/>
  <c r="U1793" i="20" s="1"/>
  <c r="L361" i="3"/>
  <c r="K361" i="3"/>
  <c r="H86" i="21"/>
  <c r="I86" i="21"/>
  <c r="G86" i="21"/>
  <c r="O72" i="3"/>
  <c r="T2109" i="20" s="1"/>
  <c r="U2109" i="20" s="1"/>
  <c r="J2109" i="20" s="1"/>
  <c r="P2109" i="20" s="1"/>
  <c r="L72" i="3"/>
  <c r="K72" i="3"/>
  <c r="I80" i="21"/>
  <c r="H80" i="21"/>
  <c r="G80" i="21"/>
  <c r="K42" i="3"/>
  <c r="O42" i="3"/>
  <c r="T2066" i="20" s="1"/>
  <c r="U2066" i="20" s="1"/>
  <c r="J2066" i="20" s="1"/>
  <c r="L42" i="3"/>
  <c r="O270" i="3"/>
  <c r="T1861" i="20" s="1"/>
  <c r="U1861" i="20" s="1"/>
  <c r="J1861" i="20" s="1"/>
  <c r="P1861" i="20" s="1"/>
  <c r="L270" i="3"/>
  <c r="K270" i="3"/>
  <c r="L384" i="3"/>
  <c r="K384" i="3"/>
  <c r="O384" i="3"/>
  <c r="T1832" i="20" s="1"/>
  <c r="U1832" i="20" s="1"/>
  <c r="L69" i="3"/>
  <c r="K69" i="3"/>
  <c r="O69" i="3"/>
  <c r="T2090" i="20" s="1"/>
  <c r="U2090" i="20" s="1"/>
  <c r="J2090" i="20" s="1"/>
  <c r="K356" i="3"/>
  <c r="L356" i="3"/>
  <c r="O356" i="3"/>
  <c r="T1759" i="20" s="1"/>
  <c r="U1759" i="20" s="1"/>
  <c r="O333" i="3"/>
  <c r="T2536" i="20" s="1"/>
  <c r="U2536" i="20" s="1"/>
  <c r="K333" i="3"/>
  <c r="L333" i="3"/>
  <c r="I71" i="21"/>
  <c r="G71" i="21"/>
  <c r="H71" i="21"/>
  <c r="L190" i="3"/>
  <c r="O190" i="3"/>
  <c r="T1937" i="20" s="1"/>
  <c r="U1937" i="20" s="1"/>
  <c r="K190" i="3"/>
  <c r="O102" i="3"/>
  <c r="T2008" i="20" s="1"/>
  <c r="U2008" i="20" s="1"/>
  <c r="J2008" i="20" s="1"/>
  <c r="L102" i="3"/>
  <c r="K102" i="3"/>
  <c r="H82" i="2"/>
  <c r="F82" i="2"/>
  <c r="O21" i="3"/>
  <c r="T2048" i="20" s="1"/>
  <c r="U2048" i="20" s="1"/>
  <c r="J2048" i="20" s="1"/>
  <c r="P2048" i="20" s="1"/>
  <c r="K21" i="3"/>
  <c r="L21" i="3"/>
  <c r="H26" i="2"/>
  <c r="F26" i="2"/>
  <c r="O301" i="3"/>
  <c r="T1975" i="20" s="1"/>
  <c r="U1975" i="20" s="1"/>
  <c r="J1975" i="20" s="1"/>
  <c r="P1975" i="20" s="1"/>
  <c r="L301" i="3"/>
  <c r="K301" i="3"/>
  <c r="I50" i="4"/>
  <c r="H50" i="4"/>
  <c r="F50" i="4"/>
  <c r="E50" i="4"/>
  <c r="G50" i="4"/>
  <c r="D50" i="4"/>
  <c r="H73" i="2"/>
  <c r="F73" i="2"/>
  <c r="H66" i="4"/>
  <c r="G66" i="4"/>
  <c r="F66" i="4"/>
  <c r="E66" i="4"/>
  <c r="D66" i="4"/>
  <c r="I66" i="4"/>
  <c r="F67" i="4"/>
  <c r="E67" i="4"/>
  <c r="D67" i="4"/>
  <c r="H67" i="4"/>
  <c r="G67" i="4"/>
  <c r="I67" i="4"/>
  <c r="K95" i="3"/>
  <c r="L95" i="3"/>
  <c r="O95" i="3"/>
  <c r="T1970" i="20" s="1"/>
  <c r="U1970" i="20" s="1"/>
  <c r="J1970" i="20" s="1"/>
  <c r="P1970" i="20" s="1"/>
  <c r="K220" i="3"/>
  <c r="O220" i="3"/>
  <c r="T1900" i="20" s="1"/>
  <c r="U1900" i="20" s="1"/>
  <c r="J1900" i="20" s="1"/>
  <c r="P1900" i="20" s="1"/>
  <c r="L220" i="3"/>
  <c r="G92" i="21"/>
  <c r="I92" i="21"/>
  <c r="H92" i="21"/>
  <c r="O312" i="3"/>
  <c r="T1986" i="20" s="1"/>
  <c r="U1986" i="20" s="1"/>
  <c r="J1986" i="20" s="1"/>
  <c r="P1986" i="20" s="1"/>
  <c r="L312" i="3"/>
  <c r="K312" i="3"/>
  <c r="O59" i="3"/>
  <c r="T2081" i="20" s="1"/>
  <c r="U2081" i="20" s="1"/>
  <c r="J2081" i="20" s="1"/>
  <c r="P2081" i="20" s="1"/>
  <c r="L59" i="3"/>
  <c r="K59" i="3"/>
  <c r="O56" i="3"/>
  <c r="T2078" i="20" s="1"/>
  <c r="U2078" i="20" s="1"/>
  <c r="J2078" i="20" s="1"/>
  <c r="P2078" i="20" s="1"/>
  <c r="L56" i="3"/>
  <c r="K56" i="3"/>
  <c r="K185" i="3"/>
  <c r="O185" i="3"/>
  <c r="T1926" i="20" s="1"/>
  <c r="U1926" i="20" s="1"/>
  <c r="J1926" i="20" s="1"/>
  <c r="L185" i="3"/>
  <c r="L33" i="3"/>
  <c r="K33" i="3"/>
  <c r="O33" i="3"/>
  <c r="T2059" i="20" s="1"/>
  <c r="U2059" i="20" s="1"/>
  <c r="J2059" i="20" s="1"/>
  <c r="P2059" i="20" s="1"/>
  <c r="K10" i="3"/>
  <c r="O10" i="3"/>
  <c r="T2460" i="20" s="1"/>
  <c r="U2460" i="20" s="1"/>
  <c r="J2460" i="20" s="1"/>
  <c r="L10" i="3"/>
  <c r="O329" i="3"/>
  <c r="T2532" i="20" s="1"/>
  <c r="U2532" i="20" s="1"/>
  <c r="K329" i="3"/>
  <c r="L329" i="3"/>
  <c r="G60" i="21"/>
  <c r="H60" i="21"/>
  <c r="I60" i="21"/>
  <c r="O8" i="3"/>
  <c r="T2458" i="20" s="1"/>
  <c r="U2458" i="20" s="1"/>
  <c r="J2458" i="20" s="1"/>
  <c r="L8" i="3"/>
  <c r="K8" i="3"/>
  <c r="K362" i="3"/>
  <c r="L362" i="3"/>
  <c r="O362" i="3"/>
  <c r="T1794" i="20" s="1"/>
  <c r="U1794" i="20" s="1"/>
  <c r="O77" i="3"/>
  <c r="T2094" i="20" s="1"/>
  <c r="U2094" i="20" s="1"/>
  <c r="J2094" i="20" s="1"/>
  <c r="L77" i="3"/>
  <c r="K77" i="3"/>
  <c r="G32" i="4"/>
  <c r="F32" i="4"/>
  <c r="I32" i="4"/>
  <c r="H32" i="4"/>
  <c r="E32" i="4"/>
  <c r="D32" i="4"/>
  <c r="O16" i="3"/>
  <c r="T2466" i="20" s="1"/>
  <c r="U2466" i="20" s="1"/>
  <c r="J2466" i="20" s="1"/>
  <c r="L16" i="3"/>
  <c r="K16" i="3"/>
  <c r="K300" i="3"/>
  <c r="O300" i="3"/>
  <c r="T1974" i="20" s="1"/>
  <c r="U1974" i="20" s="1"/>
  <c r="J1974" i="20" s="1"/>
  <c r="P1974" i="20" s="1"/>
  <c r="L300" i="3"/>
  <c r="L345" i="3"/>
  <c r="O345" i="3"/>
  <c r="T1762" i="20" s="1"/>
  <c r="U1762" i="20" s="1"/>
  <c r="K345" i="3"/>
  <c r="H29" i="2"/>
  <c r="F29" i="2"/>
  <c r="M122" i="2"/>
  <c r="H49" i="2"/>
  <c r="F49" i="2"/>
  <c r="F30" i="2"/>
  <c r="H30" i="2"/>
  <c r="F96" i="2"/>
  <c r="H96" i="2"/>
  <c r="G89" i="21"/>
  <c r="I89" i="21"/>
  <c r="H89" i="21"/>
  <c r="F29" i="4"/>
  <c r="E29" i="4"/>
  <c r="G29" i="4"/>
  <c r="D29" i="4"/>
  <c r="I29" i="4"/>
  <c r="H29" i="4"/>
  <c r="L143" i="3"/>
  <c r="K143" i="3"/>
  <c r="O143" i="3"/>
  <c r="T2016" i="20" s="1"/>
  <c r="U2016" i="20" s="1"/>
  <c r="J2016" i="20" s="1"/>
  <c r="P2016" i="20" s="1"/>
  <c r="O240" i="3"/>
  <c r="T1891" i="20" s="1"/>
  <c r="U1891" i="20" s="1"/>
  <c r="J1891" i="20" s="1"/>
  <c r="P1891" i="20" s="1"/>
  <c r="L240" i="3"/>
  <c r="K240" i="3"/>
  <c r="O197" i="3"/>
  <c r="T1952" i="20" s="1"/>
  <c r="U1952" i="20" s="1"/>
  <c r="L197" i="3"/>
  <c r="K197" i="3"/>
  <c r="O84" i="3"/>
  <c r="T2101" i="20" s="1"/>
  <c r="U2101" i="20" s="1"/>
  <c r="J2101" i="20" s="1"/>
  <c r="L84" i="3"/>
  <c r="K84" i="3"/>
  <c r="L245" i="3"/>
  <c r="O245" i="3"/>
  <c r="T1857" i="20" s="1"/>
  <c r="U1857" i="20" s="1"/>
  <c r="J1857" i="20" s="1"/>
  <c r="K245" i="3"/>
  <c r="O118" i="3"/>
  <c r="T2540" i="20" s="1"/>
  <c r="U2540" i="20" s="1"/>
  <c r="J2540" i="20" s="1"/>
  <c r="P2540" i="20" s="1"/>
  <c r="J75" i="2" s="1"/>
  <c r="L75" i="2" s="1"/>
  <c r="L118" i="3"/>
  <c r="K118" i="3"/>
  <c r="G63" i="4"/>
  <c r="I63" i="4"/>
  <c r="H63" i="4"/>
  <c r="F63" i="4"/>
  <c r="E63" i="4"/>
  <c r="D63" i="4"/>
  <c r="O258" i="3"/>
  <c r="T1877" i="20" s="1"/>
  <c r="U1877" i="20" s="1"/>
  <c r="J1877" i="20" s="1"/>
  <c r="P1877" i="20" s="1"/>
  <c r="K258" i="3"/>
  <c r="L258" i="3"/>
  <c r="O246" i="3"/>
  <c r="T1866" i="20" s="1"/>
  <c r="U1866" i="20" s="1"/>
  <c r="J1866" i="20" s="1"/>
  <c r="P1866" i="20" s="1"/>
  <c r="L246" i="3"/>
  <c r="K246" i="3"/>
  <c r="L93" i="3"/>
  <c r="O93" i="3"/>
  <c r="T1968" i="20" s="1"/>
  <c r="U1968" i="20" s="1"/>
  <c r="J1968" i="20" s="1"/>
  <c r="K93" i="3"/>
  <c r="L46" i="3"/>
  <c r="K46" i="3"/>
  <c r="O46" i="3"/>
  <c r="T2069" i="20" s="1"/>
  <c r="U2069" i="20" s="1"/>
  <c r="J2069" i="20" s="1"/>
  <c r="P2069" i="20" s="1"/>
  <c r="K343" i="3"/>
  <c r="L343" i="3"/>
  <c r="O343" i="3"/>
  <c r="T1752" i="20" s="1"/>
  <c r="U1752" i="20" s="1"/>
  <c r="O377" i="3"/>
  <c r="T1839" i="20" s="1"/>
  <c r="U1839" i="20" s="1"/>
  <c r="K377" i="3"/>
  <c r="L377" i="3"/>
  <c r="H41" i="2"/>
  <c r="F41" i="2"/>
  <c r="J17" i="2"/>
  <c r="L10" i="2"/>
  <c r="N10" i="2" s="1"/>
  <c r="E70" i="2"/>
  <c r="G70" i="2"/>
  <c r="K239" i="3"/>
  <c r="L239" i="3"/>
  <c r="O239" i="3"/>
  <c r="T1890" i="20" s="1"/>
  <c r="U1890" i="20" s="1"/>
  <c r="J1890" i="20" s="1"/>
  <c r="P1890" i="20" s="1"/>
  <c r="F68" i="2"/>
  <c r="H68" i="2"/>
  <c r="E99" i="2"/>
  <c r="G99" i="2"/>
  <c r="F20" i="2"/>
  <c r="H20" i="2"/>
  <c r="O53" i="3"/>
  <c r="T2075" i="20" s="1"/>
  <c r="U2075" i="20" s="1"/>
  <c r="J2075" i="20" s="1"/>
  <c r="P2075" i="20" s="1"/>
  <c r="L53" i="3"/>
  <c r="K53" i="3"/>
  <c r="F23" i="2"/>
  <c r="H23" i="2"/>
  <c r="O251" i="3"/>
  <c r="T1871" i="20" s="1"/>
  <c r="U1871" i="20" s="1"/>
  <c r="J1871" i="20" s="1"/>
  <c r="P1871" i="20" s="1"/>
  <c r="L251" i="3"/>
  <c r="K251" i="3"/>
  <c r="O148" i="3"/>
  <c r="T2409" i="20" s="1"/>
  <c r="U2409" i="20" s="1"/>
  <c r="J2409" i="20" s="1"/>
  <c r="L148" i="3"/>
  <c r="K148" i="3"/>
  <c r="K218" i="3"/>
  <c r="O218" i="3"/>
  <c r="T1898" i="20" s="1"/>
  <c r="U1898" i="20" s="1"/>
  <c r="J1898" i="20" s="1"/>
  <c r="P1898" i="20" s="1"/>
  <c r="L218" i="3"/>
  <c r="O360" i="3"/>
  <c r="T1792" i="20" s="1"/>
  <c r="U1792" i="20" s="1"/>
  <c r="K360" i="3"/>
  <c r="L360" i="3"/>
  <c r="K106" i="3"/>
  <c r="L106" i="3"/>
  <c r="O106" i="3"/>
  <c r="T2044" i="20" s="1"/>
  <c r="U2044" i="20" s="1"/>
  <c r="J2044" i="20" s="1"/>
  <c r="I83" i="2" s="1"/>
  <c r="O194" i="3"/>
  <c r="T1949" i="20" s="1"/>
  <c r="U1949" i="20" s="1"/>
  <c r="K194" i="3"/>
  <c r="L194" i="3"/>
  <c r="H16" i="2"/>
  <c r="F16" i="2"/>
  <c r="I17" i="2"/>
  <c r="M10" i="2"/>
  <c r="H43" i="4"/>
  <c r="G43" i="4"/>
  <c r="D43" i="4"/>
  <c r="E43" i="4"/>
  <c r="I43" i="4"/>
  <c r="F43" i="4"/>
  <c r="O89" i="3"/>
  <c r="T1964" i="20" s="1"/>
  <c r="U1964" i="20" s="1"/>
  <c r="J1964" i="20" s="1"/>
  <c r="P1964" i="20" s="1"/>
  <c r="L89" i="3"/>
  <c r="K89" i="3"/>
  <c r="O208" i="3"/>
  <c r="T1939" i="20" s="1"/>
  <c r="U1939" i="20" s="1"/>
  <c r="L208" i="3"/>
  <c r="K208" i="3"/>
  <c r="O195" i="3"/>
  <c r="T1950" i="20" s="1"/>
  <c r="U1950" i="20" s="1"/>
  <c r="K195" i="3"/>
  <c r="L195" i="3"/>
  <c r="O155" i="3"/>
  <c r="T2399" i="20" s="1"/>
  <c r="U2399" i="20" s="1"/>
  <c r="J2399" i="20" s="1"/>
  <c r="L155" i="3"/>
  <c r="K155" i="3"/>
  <c r="L57" i="3"/>
  <c r="O57" i="3"/>
  <c r="T2079" i="20" s="1"/>
  <c r="U2079" i="20" s="1"/>
  <c r="J2079" i="20" s="1"/>
  <c r="P2079" i="20" s="1"/>
  <c r="K57" i="3"/>
  <c r="F69" i="2"/>
  <c r="H69" i="2"/>
  <c r="E50" i="2"/>
  <c r="G50" i="2"/>
  <c r="H22" i="2"/>
  <c r="F22" i="2"/>
  <c r="F98" i="2"/>
  <c r="H98" i="2"/>
  <c r="I96" i="21"/>
  <c r="H96" i="21"/>
  <c r="G96" i="21"/>
  <c r="M35" i="2"/>
  <c r="O201" i="3"/>
  <c r="T1938" i="20" s="1"/>
  <c r="U1938" i="20" s="1"/>
  <c r="L201" i="3"/>
  <c r="K201" i="3"/>
  <c r="O166" i="3"/>
  <c r="T2424" i="20" s="1"/>
  <c r="U2424" i="20" s="1"/>
  <c r="J2424" i="20" s="1"/>
  <c r="L166" i="3"/>
  <c r="K166" i="3"/>
  <c r="O371" i="3"/>
  <c r="T1789" i="20" s="1"/>
  <c r="U1789" i="20" s="1"/>
  <c r="L371" i="3"/>
  <c r="K371" i="3"/>
  <c r="O294" i="3"/>
  <c r="T2028" i="20" s="1"/>
  <c r="U2028" i="20" s="1"/>
  <c r="J2028" i="20" s="1"/>
  <c r="P2028" i="20" s="1"/>
  <c r="L294" i="3"/>
  <c r="K294" i="3"/>
  <c r="O211" i="3"/>
  <c r="T1942" i="20" s="1"/>
  <c r="U1942" i="20" s="1"/>
  <c r="K211" i="3"/>
  <c r="L211" i="3"/>
  <c r="L321" i="3"/>
  <c r="K321" i="3"/>
  <c r="O321" i="3"/>
  <c r="T1995" i="20" s="1"/>
  <c r="U1995" i="20" s="1"/>
  <c r="J1995" i="20" s="1"/>
  <c r="P1995" i="20" s="1"/>
  <c r="O132" i="3"/>
  <c r="T1919" i="20" s="1"/>
  <c r="U1919" i="20" s="1"/>
  <c r="L132" i="3"/>
  <c r="K132" i="3"/>
  <c r="O30" i="3"/>
  <c r="T2056" i="20" s="1"/>
  <c r="U2056" i="20" s="1"/>
  <c r="J2056" i="20" s="1"/>
  <c r="P2056" i="20" s="1"/>
  <c r="L30" i="3"/>
  <c r="K30" i="3"/>
  <c r="L273" i="3"/>
  <c r="K273" i="3"/>
  <c r="O273" i="3"/>
  <c r="T1864" i="20" s="1"/>
  <c r="U1864" i="20" s="1"/>
  <c r="J1864" i="20" s="1"/>
  <c r="P1864" i="20" s="1"/>
  <c r="L276" i="3"/>
  <c r="K276" i="3"/>
  <c r="O276" i="3"/>
  <c r="T2565" i="20" s="1"/>
  <c r="U2565" i="20" s="1"/>
  <c r="J2565" i="20" s="1"/>
  <c r="P2565" i="20" s="1"/>
  <c r="L170" i="3"/>
  <c r="O170" i="3"/>
  <c r="T2402" i="20" s="1"/>
  <c r="U2402" i="20" s="1"/>
  <c r="J2402" i="20" s="1"/>
  <c r="K170" i="3"/>
  <c r="O123" i="3"/>
  <c r="T2545" i="20" s="1"/>
  <c r="U2545" i="20" s="1"/>
  <c r="J2545" i="20" s="1"/>
  <c r="P2545" i="20" s="1"/>
  <c r="L123" i="3"/>
  <c r="K123" i="3"/>
  <c r="K354" i="3"/>
  <c r="L354" i="3"/>
  <c r="O354" i="3"/>
  <c r="T1757" i="20" s="1"/>
  <c r="U1757" i="20" s="1"/>
  <c r="L393" i="3"/>
  <c r="K393" i="3"/>
  <c r="O393" i="3"/>
  <c r="T2826" i="20" s="1"/>
  <c r="U2826" i="20" s="1"/>
  <c r="H119" i="2"/>
  <c r="F119" i="2"/>
  <c r="O19" i="3"/>
  <c r="T2022" i="20" s="1"/>
  <c r="U2022" i="20" s="1"/>
  <c r="J2022" i="20" s="1"/>
  <c r="L19" i="3"/>
  <c r="K19" i="3"/>
  <c r="K368" i="3"/>
  <c r="O368" i="3"/>
  <c r="T1786" i="20" s="1"/>
  <c r="U1786" i="20" s="1"/>
  <c r="L368" i="3"/>
  <c r="O217" i="3"/>
  <c r="T1897" i="20" s="1"/>
  <c r="U1897" i="20" s="1"/>
  <c r="J1897" i="20" s="1"/>
  <c r="P1897" i="20" s="1"/>
  <c r="L217" i="3"/>
  <c r="K217" i="3"/>
  <c r="G69" i="21"/>
  <c r="I69" i="21"/>
  <c r="H69" i="21"/>
  <c r="K13" i="3"/>
  <c r="O13" i="3"/>
  <c r="T2463" i="20" s="1"/>
  <c r="U2463" i="20" s="1"/>
  <c r="J2463" i="20" s="1"/>
  <c r="L13" i="3"/>
  <c r="H24" i="4"/>
  <c r="D24" i="4"/>
  <c r="I24" i="4"/>
  <c r="G24" i="4"/>
  <c r="F24" i="4"/>
  <c r="E24" i="4"/>
  <c r="O355" i="3"/>
  <c r="T1758" i="20" s="1"/>
  <c r="U1758" i="20" s="1"/>
  <c r="L355" i="3"/>
  <c r="K355" i="3"/>
  <c r="I44" i="4"/>
  <c r="H44" i="4"/>
  <c r="G44" i="4"/>
  <c r="F44" i="4"/>
  <c r="E44" i="4"/>
  <c r="D44" i="4"/>
  <c r="M45" i="2"/>
  <c r="O238" i="3"/>
  <c r="T1916" i="20" s="1"/>
  <c r="U1916" i="20" s="1"/>
  <c r="J1916" i="20" s="1"/>
  <c r="P1916" i="20" s="1"/>
  <c r="L238" i="3"/>
  <c r="K238" i="3"/>
  <c r="E77" i="2"/>
  <c r="G77" i="2"/>
  <c r="K269" i="3"/>
  <c r="O269" i="3"/>
  <c r="T1860" i="20" s="1"/>
  <c r="U1860" i="20" s="1"/>
  <c r="J1860" i="20" s="1"/>
  <c r="P1860" i="20" s="1"/>
  <c r="L269" i="3"/>
  <c r="O67" i="3"/>
  <c r="T2088" i="20" s="1"/>
  <c r="U2088" i="20" s="1"/>
  <c r="J2088" i="20" s="1"/>
  <c r="P2088" i="20" s="1"/>
  <c r="L67" i="3"/>
  <c r="K67" i="3"/>
  <c r="O180" i="3"/>
  <c r="T1935" i="20" s="1"/>
  <c r="U1935" i="20" s="1"/>
  <c r="J1935" i="20" s="1"/>
  <c r="P1935" i="20" s="1"/>
  <c r="K180" i="3"/>
  <c r="L180" i="3"/>
  <c r="K141" i="3"/>
  <c r="O141" i="3"/>
  <c r="T2014" i="20" s="1"/>
  <c r="U2014" i="20" s="1"/>
  <c r="J2014" i="20" s="1"/>
  <c r="P2014" i="20" s="1"/>
  <c r="L141" i="3"/>
  <c r="K284" i="3"/>
  <c r="O284" i="3"/>
  <c r="T2559" i="20" s="1"/>
  <c r="U2559" i="20" s="1"/>
  <c r="J2559" i="20" s="1"/>
  <c r="P2559" i="20" s="1"/>
  <c r="L284" i="3"/>
  <c r="E36" i="2"/>
  <c r="G36" i="2"/>
  <c r="F45" i="2"/>
  <c r="H45" i="2"/>
  <c r="L31" i="2"/>
  <c r="N31" i="2" s="1"/>
  <c r="H76" i="21"/>
  <c r="G76" i="21"/>
  <c r="I76" i="21"/>
  <c r="O125" i="3"/>
  <c r="T2547" i="20" s="1"/>
  <c r="U2547" i="20" s="1"/>
  <c r="J2547" i="20" s="1"/>
  <c r="L125" i="3"/>
  <c r="K125" i="3"/>
  <c r="O202" i="3"/>
  <c r="T1956" i="20" s="1"/>
  <c r="U1956" i="20" s="1"/>
  <c r="L202" i="3"/>
  <c r="K202" i="3"/>
  <c r="I30" i="4"/>
  <c r="H30" i="4"/>
  <c r="F30" i="4"/>
  <c r="E30" i="4"/>
  <c r="D30" i="4"/>
  <c r="G30" i="4"/>
  <c r="O308" i="3"/>
  <c r="T1982" i="20" s="1"/>
  <c r="U1982" i="20" s="1"/>
  <c r="J1982" i="20" s="1"/>
  <c r="P1982" i="20" s="1"/>
  <c r="L308" i="3"/>
  <c r="K308" i="3"/>
  <c r="K224" i="3"/>
  <c r="L224" i="3"/>
  <c r="O224" i="3"/>
  <c r="T1904" i="20" s="1"/>
  <c r="U1904" i="20" s="1"/>
  <c r="J1904" i="20" s="1"/>
  <c r="P1904" i="20" s="1"/>
  <c r="L261" i="3"/>
  <c r="K261" i="3"/>
  <c r="O261" i="3"/>
  <c r="T1880" i="20" s="1"/>
  <c r="U1880" i="20" s="1"/>
  <c r="J1880" i="20" s="1"/>
  <c r="P1880" i="20" s="1"/>
  <c r="O139" i="3"/>
  <c r="T2012" i="20" s="1"/>
  <c r="U2012" i="20" s="1"/>
  <c r="J2012" i="20" s="1"/>
  <c r="K139" i="3"/>
  <c r="L139" i="3"/>
  <c r="O78" i="3"/>
  <c r="T2095" i="20" s="1"/>
  <c r="U2095" i="20" s="1"/>
  <c r="J2095" i="20" s="1"/>
  <c r="P2095" i="20" s="1"/>
  <c r="L78" i="3"/>
  <c r="K78" i="3"/>
  <c r="O288" i="3"/>
  <c r="T2563" i="20" s="1"/>
  <c r="U2563" i="20" s="1"/>
  <c r="J2563" i="20" s="1"/>
  <c r="P2563" i="20" s="1"/>
  <c r="K288" i="3"/>
  <c r="L288" i="3"/>
  <c r="L306" i="3"/>
  <c r="K306" i="3"/>
  <c r="O306" i="3"/>
  <c r="T1980" i="20" s="1"/>
  <c r="U1980" i="20" s="1"/>
  <c r="J1980" i="20" s="1"/>
  <c r="P1980" i="20" s="1"/>
  <c r="L176" i="3"/>
  <c r="K176" i="3"/>
  <c r="O176" i="3"/>
  <c r="T1931" i="20" s="1"/>
  <c r="U1931" i="20" s="1"/>
  <c r="J1931" i="20" s="1"/>
  <c r="P1931" i="20" s="1"/>
  <c r="L129" i="3"/>
  <c r="K129" i="3"/>
  <c r="O129" i="3"/>
  <c r="T2551" i="20" s="1"/>
  <c r="U2551" i="20" s="1"/>
  <c r="J2551" i="20" s="1"/>
  <c r="K392" i="3"/>
  <c r="O392" i="3"/>
  <c r="T2825" i="20" s="1"/>
  <c r="U2825" i="20" s="1"/>
  <c r="L392" i="3"/>
  <c r="H54" i="2"/>
  <c r="F54" i="2"/>
  <c r="H80" i="2"/>
  <c r="F80" i="2"/>
  <c r="G56" i="21"/>
  <c r="I56" i="21"/>
  <c r="H56" i="21"/>
  <c r="O100" i="3"/>
  <c r="T2006" i="20" s="1"/>
  <c r="U2006" i="20" s="1"/>
  <c r="J2006" i="20" s="1"/>
  <c r="P2006" i="20" s="1"/>
  <c r="L100" i="3"/>
  <c r="K100" i="3"/>
  <c r="L370" i="3"/>
  <c r="K370" i="3"/>
  <c r="O370" i="3"/>
  <c r="T1788" i="20" s="1"/>
  <c r="U1788" i="20" s="1"/>
  <c r="O344" i="3"/>
  <c r="T1761" i="20" s="1"/>
  <c r="U1761" i="20" s="1"/>
  <c r="L344" i="3"/>
  <c r="K344" i="3"/>
  <c r="E111" i="2"/>
  <c r="G111" i="2"/>
  <c r="N32" i="2"/>
  <c r="M32" i="2"/>
  <c r="L192" i="3"/>
  <c r="K192" i="3"/>
  <c r="O192" i="3"/>
  <c r="T1947" i="20" s="1"/>
  <c r="U1947" i="20" s="1"/>
  <c r="F15" i="2"/>
  <c r="H15" i="2"/>
  <c r="E65" i="2"/>
  <c r="G65" i="2"/>
  <c r="G90" i="21"/>
  <c r="H90" i="21"/>
  <c r="I90" i="21"/>
  <c r="H75" i="2"/>
  <c r="F75" i="2"/>
  <c r="O249" i="3"/>
  <c r="T1869" i="20" s="1"/>
  <c r="U1869" i="20" s="1"/>
  <c r="J1869" i="20" s="1"/>
  <c r="P1869" i="20" s="1"/>
  <c r="L249" i="3"/>
  <c r="K249" i="3"/>
  <c r="O226" i="3"/>
  <c r="T1888" i="20" s="1"/>
  <c r="U1888" i="20" s="1"/>
  <c r="J1888" i="20" s="1"/>
  <c r="P1888" i="20" s="1"/>
  <c r="L226" i="3"/>
  <c r="K226" i="3"/>
  <c r="O79" i="3"/>
  <c r="T2096" i="20" s="1"/>
  <c r="U2096" i="20" s="1"/>
  <c r="J2096" i="20" s="1"/>
  <c r="K79" i="3"/>
  <c r="L79" i="3"/>
  <c r="O48" i="3"/>
  <c r="T2071" i="20" s="1"/>
  <c r="U2071" i="20" s="1"/>
  <c r="J2071" i="20" s="1"/>
  <c r="L48" i="3"/>
  <c r="K48" i="3"/>
  <c r="O271" i="3"/>
  <c r="T1862" i="20" s="1"/>
  <c r="U1862" i="20" s="1"/>
  <c r="J1862" i="20" s="1"/>
  <c r="P1862" i="20" s="1"/>
  <c r="L271" i="3"/>
  <c r="K271" i="3"/>
  <c r="O322" i="3"/>
  <c r="T1996" i="20" s="1"/>
  <c r="U1996" i="20" s="1"/>
  <c r="J1996" i="20" s="1"/>
  <c r="P1996" i="20" s="1"/>
  <c r="L322" i="3"/>
  <c r="K322" i="3"/>
  <c r="O205" i="3"/>
  <c r="T1959" i="20" s="1"/>
  <c r="U1959" i="20" s="1"/>
  <c r="K205" i="3"/>
  <c r="L205" i="3"/>
  <c r="O98" i="3"/>
  <c r="T2004" i="20" s="1"/>
  <c r="U2004" i="20" s="1"/>
  <c r="J2004" i="20" s="1"/>
  <c r="P2004" i="20" s="1"/>
  <c r="L98" i="3"/>
  <c r="K98" i="3"/>
  <c r="K358" i="3"/>
  <c r="L358" i="3"/>
  <c r="O358" i="3"/>
  <c r="T1782" i="20" s="1"/>
  <c r="U1782" i="20" s="1"/>
  <c r="I42" i="4"/>
  <c r="H42" i="4"/>
  <c r="F42" i="4"/>
  <c r="E42" i="4"/>
  <c r="G42" i="4"/>
  <c r="D42" i="4"/>
  <c r="L200" i="3"/>
  <c r="K200" i="3"/>
  <c r="O200" i="3"/>
  <c r="T1955" i="20" s="1"/>
  <c r="U1955" i="20" s="1"/>
  <c r="K153" i="3"/>
  <c r="L153" i="3"/>
  <c r="O153" i="3"/>
  <c r="T2414" i="20" s="1"/>
  <c r="U2414" i="20" s="1"/>
  <c r="J2414" i="20" s="1"/>
  <c r="P2414" i="20" s="1"/>
  <c r="I65" i="4"/>
  <c r="H65" i="4"/>
  <c r="D65" i="4"/>
  <c r="F65" i="4"/>
  <c r="E65" i="4"/>
  <c r="G65" i="4"/>
  <c r="E90" i="2"/>
  <c r="G90" i="2"/>
  <c r="L135" i="2"/>
  <c r="N135" i="2" s="1"/>
  <c r="M135" i="2"/>
  <c r="L46" i="2" l="1"/>
  <c r="N46" i="2" s="1"/>
  <c r="K113" i="2"/>
  <c r="M46" i="2"/>
  <c r="L27" i="2"/>
  <c r="M124" i="2"/>
  <c r="I105" i="2"/>
  <c r="M36" i="2"/>
  <c r="N36" i="2"/>
  <c r="I76" i="2"/>
  <c r="J95" i="2"/>
  <c r="L95" i="2" s="1"/>
  <c r="I58" i="2"/>
  <c r="P1922" i="20"/>
  <c r="J58" i="2" s="1"/>
  <c r="F60" i="2"/>
  <c r="H60" i="2"/>
  <c r="I81" i="2"/>
  <c r="I95" i="2"/>
  <c r="H65" i="2"/>
  <c r="F65" i="2"/>
  <c r="I97" i="2"/>
  <c r="P2398" i="20"/>
  <c r="J97" i="2" s="1"/>
  <c r="L97" i="2" s="1"/>
  <c r="I63" i="2"/>
  <c r="P1887" i="20"/>
  <c r="J63" i="2" s="1"/>
  <c r="F27" i="2"/>
  <c r="H27" i="2"/>
  <c r="I75" i="2"/>
  <c r="P2024" i="20"/>
  <c r="J80" i="2" s="1"/>
  <c r="I80" i="2"/>
  <c r="N105" i="2"/>
  <c r="M105" i="2"/>
  <c r="M27" i="2"/>
  <c r="N27" i="2"/>
  <c r="I68" i="2"/>
  <c r="P1972" i="20"/>
  <c r="J68" i="2" s="1"/>
  <c r="F111" i="2"/>
  <c r="H111" i="2"/>
  <c r="H36" i="2"/>
  <c r="F36" i="2"/>
  <c r="I93" i="2"/>
  <c r="P2047" i="20"/>
  <c r="J93" i="2" s="1"/>
  <c r="H90" i="2"/>
  <c r="F90" i="2"/>
  <c r="F99" i="2"/>
  <c r="H99" i="2"/>
  <c r="I84" i="2"/>
  <c r="M17" i="2"/>
  <c r="M109" i="2"/>
  <c r="N109" i="2"/>
  <c r="P2012" i="20"/>
  <c r="J82" i="2" s="1"/>
  <c r="L82" i="2" s="1"/>
  <c r="I82" i="2"/>
  <c r="F124" i="2"/>
  <c r="H124" i="2"/>
  <c r="P2508" i="20"/>
  <c r="J108" i="2" s="1"/>
  <c r="L108" i="2" s="1"/>
  <c r="I108" i="2"/>
  <c r="H50" i="2"/>
  <c r="F50" i="2"/>
  <c r="N83" i="2"/>
  <c r="M83" i="2"/>
  <c r="I53" i="2"/>
  <c r="P1857" i="20"/>
  <c r="J53" i="2" s="1"/>
  <c r="H5" i="2"/>
  <c r="H55" i="2"/>
  <c r="F55" i="2"/>
  <c r="I102" i="2"/>
  <c r="J81" i="2"/>
  <c r="L81" i="2" s="1"/>
  <c r="H70" i="2"/>
  <c r="F70" i="2"/>
  <c r="L17" i="2"/>
  <c r="N17" i="2" s="1"/>
  <c r="P1962" i="20"/>
  <c r="J54" i="2" s="1"/>
  <c r="L54" i="2" s="1"/>
  <c r="I54" i="2"/>
  <c r="I74" i="2"/>
  <c r="P2556" i="20"/>
  <c r="J74" i="2" s="1"/>
  <c r="I69" i="2"/>
  <c r="P2002" i="20"/>
  <c r="J69" i="2" s="1"/>
  <c r="L69" i="2" s="1"/>
  <c r="H135" i="2"/>
  <c r="F135" i="2"/>
  <c r="F77" i="2"/>
  <c r="H77" i="2"/>
  <c r="J102" i="2"/>
  <c r="H17" i="2"/>
  <c r="F17" i="2"/>
  <c r="E113" i="2"/>
  <c r="G113" i="2"/>
  <c r="H46" i="2"/>
  <c r="F46" i="2"/>
  <c r="J55" i="2" l="1"/>
  <c r="L53" i="2"/>
  <c r="I55" i="2"/>
  <c r="N53" i="2"/>
  <c r="M53" i="2"/>
  <c r="N75" i="2"/>
  <c r="M75" i="2"/>
  <c r="J90" i="2"/>
  <c r="L90" i="2" s="1"/>
  <c r="L80" i="2"/>
  <c r="M63" i="2"/>
  <c r="I65" i="2"/>
  <c r="J70" i="2"/>
  <c r="L70" i="2" s="1"/>
  <c r="L68" i="2"/>
  <c r="J111" i="2"/>
  <c r="L111" i="2" s="1"/>
  <c r="L102" i="2"/>
  <c r="N102" i="2" s="1"/>
  <c r="M97" i="2"/>
  <c r="N97" i="2"/>
  <c r="N95" i="2"/>
  <c r="M95" i="2"/>
  <c r="L63" i="2"/>
  <c r="N63" i="2" s="1"/>
  <c r="J65" i="2"/>
  <c r="L65" i="2" s="1"/>
  <c r="H113" i="2"/>
  <c r="F113" i="2"/>
  <c r="M81" i="2"/>
  <c r="N81" i="2"/>
  <c r="I60" i="2"/>
  <c r="M58" i="2"/>
  <c r="N108" i="2"/>
  <c r="M108" i="2"/>
  <c r="J60" i="2"/>
  <c r="L60" i="2" s="1"/>
  <c r="L58" i="2"/>
  <c r="N58" i="2" s="1"/>
  <c r="M74" i="2"/>
  <c r="I77" i="2"/>
  <c r="N76" i="2"/>
  <c r="M76" i="2"/>
  <c r="I111" i="2"/>
  <c r="M102" i="2"/>
  <c r="N69" i="2"/>
  <c r="M69" i="2"/>
  <c r="L74" i="2"/>
  <c r="N74" i="2" s="1"/>
  <c r="J77" i="2"/>
  <c r="L77" i="2" s="1"/>
  <c r="M54" i="2"/>
  <c r="N54" i="2"/>
  <c r="I90" i="2"/>
  <c r="N80" i="2"/>
  <c r="M80" i="2"/>
  <c r="N84" i="2"/>
  <c r="M84" i="2"/>
  <c r="L93" i="2"/>
  <c r="J99" i="2"/>
  <c r="L99" i="2" s="1"/>
  <c r="I70" i="2"/>
  <c r="N68" i="2"/>
  <c r="M68" i="2"/>
  <c r="M82" i="2"/>
  <c r="N82" i="2"/>
  <c r="M93" i="2"/>
  <c r="N93" i="2"/>
  <c r="I99" i="2"/>
  <c r="I5" i="2"/>
  <c r="L5" i="2" s="1"/>
  <c r="G6" i="1" s="1"/>
  <c r="N99" i="2" l="1"/>
  <c r="M99" i="2"/>
  <c r="N90" i="2"/>
  <c r="M90" i="2"/>
  <c r="N70" i="2"/>
  <c r="M70" i="2"/>
  <c r="M65" i="2"/>
  <c r="N65" i="2"/>
  <c r="M77" i="2"/>
  <c r="N77" i="2"/>
  <c r="M60" i="2"/>
  <c r="N60" i="2"/>
  <c r="N111" i="2"/>
  <c r="M111" i="2"/>
  <c r="M55" i="2"/>
  <c r="I113" i="2"/>
  <c r="K5" i="2"/>
  <c r="M5" i="2" s="1"/>
  <c r="H6" i="1" s="1"/>
  <c r="F6" i="1"/>
  <c r="L55" i="2"/>
  <c r="N55" i="2" s="1"/>
  <c r="J113" i="2"/>
  <c r="L113" i="2" s="1"/>
  <c r="M113" i="2" l="1"/>
  <c r="N113" i="2"/>
</calcChain>
</file>

<file path=xl/sharedStrings.xml><?xml version="1.0" encoding="utf-8"?>
<sst xmlns="http://schemas.openxmlformats.org/spreadsheetml/2006/main" count="29440" uniqueCount="1676">
  <si>
    <t>2025 Upper Deck Skybox — The Boys (Seasons 1 &amp; 2)</t>
  </si>
  <si>
    <t>Master Checklist (daily-use). Update status cells on any tab: blank=missing, 'Y…'=incoming, anything else=owned.</t>
  </si>
  <si>
    <t>Quick Snapshot</t>
  </si>
  <si>
    <t>Chase Slots</t>
  </si>
  <si>
    <t>Owned</t>
  </si>
  <si>
    <t>Incoming</t>
  </si>
  <si>
    <t>% Owned</t>
  </si>
  <si>
    <t>% Accounted</t>
  </si>
  <si>
    <t>Points Owned</t>
  </si>
  <si>
    <t>Weighted % Owned</t>
  </si>
  <si>
    <t>Weighted % Accounted</t>
  </si>
  <si>
    <t>Go To Tabs</t>
  </si>
  <si>
    <t>Rarity / odds nugget</t>
  </si>
  <si>
    <t>Dashboard</t>
  </si>
  <si>
    <t>Overall progress + rarity-weighted points</t>
  </si>
  <si>
    <t>Odds &amp; Rarity</t>
  </si>
  <si>
    <t>Box/case pull chances + expected cases (editable inputs)</t>
  </si>
  <si>
    <t>Base S1</t>
  </si>
  <si>
    <t>2× Compound V / box. /7s are *rare* (see Odds tab). Enter serials like 12/25.</t>
  </si>
  <si>
    <t>Base S2</t>
  </si>
  <si>
    <t>Same as S1. /82 &amp; /25 are where the chase starts.</t>
  </si>
  <si>
    <t>Characters</t>
  </si>
  <si>
    <t>50-card character base + numbered parallels</t>
  </si>
  <si>
    <t>Inserts - Story</t>
  </si>
  <si>
    <t>Quotes / Behind The Boys / In Memory Of (many at 1:5 packs)</t>
  </si>
  <si>
    <t>Team Ups</t>
  </si>
  <si>
    <t>Team Ups are very tough (often cited ~1:100 packs).</t>
  </si>
  <si>
    <t>A View From Home</t>
  </si>
  <si>
    <t>A View From Home (~1:48 packs) + SPs (see Odds tab).</t>
  </si>
  <si>
    <t>Retro</t>
  </si>
  <si>
    <t>Retro inserts + Retro autographs (now together; /1 autos not counted)</t>
  </si>
  <si>
    <t>Inserts - General</t>
  </si>
  <si>
    <t>Metal Prints + Most Wanted (combined)</t>
  </si>
  <si>
    <t>Supes &amp; Supes SPs</t>
  </si>
  <si>
    <t>Supes Lenticular 1:30; SPs are tough (see Odds tab).</t>
  </si>
  <si>
    <t>Supes Suits</t>
  </si>
  <si>
    <t>Relics: Supes Suits 1:165; Dual 1:630; Triple 1:3600; Quad 1:7200</t>
  </si>
  <si>
    <t>Autos - Singles</t>
  </si>
  <si>
    <t>Many are “Random Inserts” (no pack odds listed); points give rarity weight</t>
  </si>
  <si>
    <t>Autos - Multi</t>
  </si>
  <si>
    <t>Big hits (dual/triple/quad autos)</t>
  </si>
  <si>
    <t>Action Figures</t>
  </si>
  <si>
    <t>Original art: base 1:11; variations 1:90 packs</t>
  </si>
  <si>
    <t>Achievements</t>
  </si>
  <si>
    <t>Tip: Use filters on each tab to find missing cards quickly.</t>
  </si>
  <si>
    <t>Overall Progress (excludes /1s and printing plates from chase totals &amp; points)</t>
  </si>
  <si>
    <t>Config (editable)</t>
  </si>
  <si>
    <t>Accounted</t>
  </si>
  <si>
    <t>Missing</t>
  </si>
  <si>
    <t>Points Possible</t>
  </si>
  <si>
    <t>Points Incoming</t>
  </si>
  <si>
    <t>Points Accounted</t>
  </si>
  <si>
    <t>Numbered numerator (K)</t>
  </si>
  <si>
    <t>Base (unnumbered) pts</t>
  </si>
  <si>
    <t>Red (unnumbered) pts</t>
  </si>
  <si>
    <t>Collecting Progress by Insert Type (Set Name)</t>
  </si>
  <si>
    <t>Gold (ePack craft) pts</t>
  </si>
  <si>
    <t>Insert Type (Set Name)</t>
  </si>
  <si>
    <t>Category</t>
  </si>
  <si>
    <t>Multiplier</t>
  </si>
  <si>
    <t>Base</t>
  </si>
  <si>
    <t>Base Set - Season 1</t>
  </si>
  <si>
    <t>Insert</t>
  </si>
  <si>
    <t>Red Parallel - Season 1</t>
  </si>
  <si>
    <t>Lenticular/SP</t>
  </si>
  <si>
    <t>Compound V Parallel - Season 1</t>
  </si>
  <si>
    <t>Memorabilia</t>
  </si>
  <si>
    <t>Gold Parallel - Season 1</t>
  </si>
  <si>
    <t>Auto</t>
  </si>
  <si>
    <t>Floor 82 Parallel - Season 1</t>
  </si>
  <si>
    <t>Black Parallel - Season 1</t>
  </si>
  <si>
    <t>Unnumbered Base Pts</t>
  </si>
  <si>
    <t>The Seven Parallel - Season 1</t>
  </si>
  <si>
    <t>Base S1 TOTAL</t>
  </si>
  <si>
    <t>Base Set - Season 2</t>
  </si>
  <si>
    <t>Red Parallel - Season 2</t>
  </si>
  <si>
    <t>Compound V Parallel - Season 2</t>
  </si>
  <si>
    <t>Gold Parallel - Season 2</t>
  </si>
  <si>
    <t>Popularity step per tier</t>
  </si>
  <si>
    <t>Floor 82 Parallel - Season 2</t>
  </si>
  <si>
    <t>Max points per card (cap)</t>
  </si>
  <si>
    <t>Black Parallel - Season 2</t>
  </si>
  <si>
    <t>The Seven Parallel - Season 2</t>
  </si>
  <si>
    <t>Base S2 TOTAL</t>
  </si>
  <si>
    <t>Set Name</t>
  </si>
  <si>
    <t>Points Override</t>
  </si>
  <si>
    <t>Most Wanted</t>
  </si>
  <si>
    <t>Characters Red Parallel</t>
  </si>
  <si>
    <t>A View From Home SPs</t>
  </si>
  <si>
    <t>Characters Compound V Parallel</t>
  </si>
  <si>
    <t>Supes</t>
  </si>
  <si>
    <t>Characters Gold Parallel</t>
  </si>
  <si>
    <t>Supes SPs</t>
  </si>
  <si>
    <t>Characters Floor 82 Parallel</t>
  </si>
  <si>
    <t>Action Figures Autographs Variation</t>
  </si>
  <si>
    <t>Characters Black Parallel</t>
  </si>
  <si>
    <t>Triple Supes Suits</t>
  </si>
  <si>
    <t>Characters The Seven Parallel</t>
  </si>
  <si>
    <t>Quad Supes Suits</t>
  </si>
  <si>
    <t>Characters TOTAL</t>
  </si>
  <si>
    <t>Dual Supes Suits Gold</t>
  </si>
  <si>
    <t>Triple Supes Suits Gold</t>
  </si>
  <si>
    <t>Quad Supes Suits Gold</t>
  </si>
  <si>
    <t>Behind The Boys</t>
  </si>
  <si>
    <t>Behind The Boys Gold Parallel</t>
  </si>
  <si>
    <t>In Memory Of...</t>
  </si>
  <si>
    <t>In Memory Of... Gold Parallel</t>
  </si>
  <si>
    <t>Quotes</t>
  </si>
  <si>
    <t>Quotes Gold Parallel</t>
  </si>
  <si>
    <t>Gold Parallels / Inserts</t>
  </si>
  <si>
    <t>Inserts - Story TOTAL</t>
  </si>
  <si>
    <t>Autographs Inscribed Parallel</t>
  </si>
  <si>
    <t>Autographs Duals Inscribed Parallel</t>
  </si>
  <si>
    <t>Autographs Triples Inscribed Parallel</t>
  </si>
  <si>
    <t>Autographs Quads (Inscribed)</t>
  </si>
  <si>
    <t>Team Ups TOTAL</t>
  </si>
  <si>
    <t>Autographs Duals Gold Parallel (Inscribed)</t>
  </si>
  <si>
    <t>Autographs Quads Gold Parallel (Inscribed)</t>
  </si>
  <si>
    <t>Autographs Quads Red Parallel (Inscribed)</t>
  </si>
  <si>
    <t>Autographs Triples Gold Parallel (Inscribed)</t>
  </si>
  <si>
    <t>Autographs Printing Plates Parallel (Inscribed)</t>
  </si>
  <si>
    <t>A View From Home TOTAL</t>
  </si>
  <si>
    <t>Retro Auto Parallel</t>
  </si>
  <si>
    <t>Retro TOTAL</t>
  </si>
  <si>
    <t>Metal Prints</t>
  </si>
  <si>
    <t>Inserts - General TOTAL</t>
  </si>
  <si>
    <t>Lenticular &amp; SP</t>
  </si>
  <si>
    <t>Lenticular &amp; SP TOTAL</t>
  </si>
  <si>
    <t>Action Figures Variation</t>
  </si>
  <si>
    <t>Action Figures Autographs</t>
  </si>
  <si>
    <t>Action Figures TOTAL</t>
  </si>
  <si>
    <t>Supes Suits SP's</t>
  </si>
  <si>
    <t>Dual Supes Suits</t>
  </si>
  <si>
    <t>Supes Suits Gold</t>
  </si>
  <si>
    <t>Supes Suits TOTAL</t>
  </si>
  <si>
    <t>Autographs (Base)</t>
  </si>
  <si>
    <t>Autographs Red Parallel</t>
  </si>
  <si>
    <t>Autographs (Inscribed)</t>
  </si>
  <si>
    <t>Characters Auto Parallel</t>
  </si>
  <si>
    <t>Characters Auto Compound V Parallel</t>
  </si>
  <si>
    <t>Autos - Singles TOTAL</t>
  </si>
  <si>
    <t>Autographs Duals</t>
  </si>
  <si>
    <t>Autographs Duals Red Parallel</t>
  </si>
  <si>
    <t>Autographs Triples</t>
  </si>
  <si>
    <t>Autographs Triples Red Parallel</t>
  </si>
  <si>
    <t>Autographs Quads</t>
  </si>
  <si>
    <t>Autos - Multi TOTAL</t>
  </si>
  <si>
    <t>GRAND TOTAL (all chase)</t>
  </si>
  <si>
    <t>Gold Inserts / Parallels (Quick View - Included in Chase)</t>
  </si>
  <si>
    <t>GOLD TOTAL</t>
  </si>
  <si>
    <t>Printing Plates (tracked, NOT counted in chase totals/points)</t>
  </si>
  <si>
    <t>Metric</t>
  </si>
  <si>
    <t>Total</t>
  </si>
  <si>
    <t>All Printing Plates</t>
  </si>
  <si>
    <t>Retro Printing Plate Achievements</t>
  </si>
  <si>
    <t>Status rules: Blank = Missing | 'Y…' = Incoming (yellow) | Any other text/serial = Owned (green)</t>
  </si>
  <si>
    <t>Achievements (ePack)</t>
  </si>
  <si>
    <t>The Seven Achievements</t>
  </si>
  <si>
    <t>The Seven Auto Achievement</t>
  </si>
  <si>
    <t>Achievements TOTAL</t>
  </si>
  <si>
    <t>Group</t>
  </si>
  <si>
    <t>Card #</t>
  </si>
  <si>
    <t>Card Name</t>
  </si>
  <si>
    <t>Parallel/Variant</t>
  </si>
  <si>
    <t>Odds Used (1:X)</t>
  </si>
  <si>
    <t>Odds Source</t>
  </si>
  <si>
    <t>Set Size</t>
  </si>
  <si>
    <t>Est Total Packs</t>
  </si>
  <si>
    <t>Est Pop (Mid)</t>
  </si>
  <si>
    <t>Est Pop (Low)</t>
  </si>
  <si>
    <t>Est Pop (High)</t>
  </si>
  <si>
    <t>Notes</t>
  </si>
  <si>
    <t>CardKey</t>
  </si>
  <si>
    <t>EstPopMid</t>
  </si>
  <si>
    <t>AQ-SEVN</t>
  </si>
  <si>
    <t>Antony Starr as Homelander/Dominique McElligott as Queen Maeve/Nathan Mitchell as Black Noir/Jessie T. Usher as A-Train "The Seven"</t>
  </si>
  <si>
    <t>Inscribed</t>
  </si>
  <si>
    <t>Official (shared pool)</t>
  </si>
  <si>
    <t>Estimated split using SSP range (5:3 to 2:1). Low/High reflect that split; Mid is avg.</t>
  </si>
  <si>
    <t>AQ-BOYS</t>
  </si>
  <si>
    <t>Karl Urban as Billy Butcher/Jack Quaid as Hughie Campbell/Tomer Capone as Frenchie/Laz Alonso as Mother's Milk</t>
  </si>
  <si>
    <t>AT-ESS</t>
  </si>
  <si>
    <t>Giancarlo Esposito as Stan Edgar/Elisabeth Shue as Madelyn Stillwell/Antony Starr as Homelander</t>
  </si>
  <si>
    <t>Official</t>
  </si>
  <si>
    <t>AT-MMF</t>
  </si>
  <si>
    <t>Erin Moriarty as Starlight/Dominique McElligott as Queen Maeve/Karen Fukuhara as Kimiko</t>
  </si>
  <si>
    <t>AD-ES</t>
  </si>
  <si>
    <t>Antony Starr as Homelander/Chace Crawford as The Deep</t>
  </si>
  <si>
    <t>AD-FC</t>
  </si>
  <si>
    <t>Tomer Capone as Frenchie/Karen Fukuhara as Kimiko</t>
  </si>
  <si>
    <t>AD-JB</t>
  </si>
  <si>
    <t>Jessie T. Usher as A-Train/Brittany Allen as Popclaw</t>
  </si>
  <si>
    <t>AD-MM</t>
  </si>
  <si>
    <t>Erin Moriarty as Starlight/Dominique McElligott as Queen Maeve</t>
  </si>
  <si>
    <t>AD-MQ</t>
  </si>
  <si>
    <t>Jack Quaid as Highie Campbell/Erin Moriarty as Starlight</t>
  </si>
  <si>
    <t>AD-QH</t>
  </si>
  <si>
    <t>Jack Quaid as Hughie Campbell/Alex Hassell as Translucent</t>
  </si>
  <si>
    <t>AD-SM</t>
  </si>
  <si>
    <t>Antony Starr as Homelander/Dominique McElligott as Queen Maeve</t>
  </si>
  <si>
    <t>AD-SS</t>
  </si>
  <si>
    <t>Antony Starr as Homelander/Elisabeth Shue as Madelyn Stillwell</t>
  </si>
  <si>
    <t>AD-TA</t>
  </si>
  <si>
    <t>Laz Alonso as Mother's Milk/Tomer Capone as Frenchie</t>
  </si>
  <si>
    <t>AD-UQ</t>
  </si>
  <si>
    <t>Karl Urban as Billy Butcher/Jack Quaid as Hughie Campbell</t>
  </si>
  <si>
    <t>AD-VC</t>
  </si>
  <si>
    <t>Shantel VanSanten as Becca Butcher/Cameron Crovetti as Ryan</t>
  </si>
  <si>
    <t>AD-XX</t>
  </si>
  <si>
    <t>Antony Starr as Homelander "Homelander"/Karl Urban as Billy Butcher</t>
  </si>
  <si>
    <t>QSS-1</t>
  </si>
  <si>
    <t>Antony Starr as Homelander/Erin Moriarty as Starlight/Alex Hassell as Translucent/Jessie T. Usher as A-Train</t>
  </si>
  <si>
    <t>QSS-2</t>
  </si>
  <si>
    <t>Jessie T. Usher as A-Train/Antony Starr as Homelander/Alex Hassell as Translucent/Erin Moriarty as Starlight</t>
  </si>
  <si>
    <t>Autographs</t>
  </si>
  <si>
    <t>A-AH</t>
  </si>
  <si>
    <t>Alex Hassell as Translucent</t>
  </si>
  <si>
    <t>Assumed</t>
  </si>
  <si>
    <t>Checklist notes odds vary by card; using 1:120 baseline for ballpark.</t>
  </si>
  <si>
    <t>A-AL</t>
  </si>
  <si>
    <t>Brittany Allen as Popclaw "Popclaw"</t>
  </si>
  <si>
    <t>A-AS</t>
  </si>
  <si>
    <t>Antony Starr as Homelander</t>
  </si>
  <si>
    <t>A-BA</t>
  </si>
  <si>
    <t>Brittany Allen as Popclaw</t>
  </si>
  <si>
    <t>A-BI</t>
  </si>
  <si>
    <t>A-BR</t>
  </si>
  <si>
    <t>A-CA</t>
  </si>
  <si>
    <t>Cameron Crovetti as Ryan</t>
  </si>
  <si>
    <t>A-CC</t>
  </si>
  <si>
    <t>Chace Crawford as The Deep</t>
  </si>
  <si>
    <t>A-CH</t>
  </si>
  <si>
    <t>Chace Crawford as The Deep "The Deep"</t>
  </si>
  <si>
    <t>A-CL</t>
  </si>
  <si>
    <t>Colby Minifie as Ashley Barrett</t>
  </si>
  <si>
    <t>A-CM</t>
  </si>
  <si>
    <t>A-CO</t>
  </si>
  <si>
    <t>A-CP</t>
  </si>
  <si>
    <t>Tomer Capone as Frenchie</t>
  </si>
  <si>
    <t>A-CR</t>
  </si>
  <si>
    <t>A-CT</t>
  </si>
  <si>
    <t>A-CV</t>
  </si>
  <si>
    <t>Cameron Crovetti as Ryan "Ryan Butcher"</t>
  </si>
  <si>
    <t>A-DM</t>
  </si>
  <si>
    <t>Dominique McElligott as Queen Maeve</t>
  </si>
  <si>
    <t>A-DO</t>
  </si>
  <si>
    <t>A-DQ</t>
  </si>
  <si>
    <t>A-EM</t>
  </si>
  <si>
    <t>Erin Moriarty as Starlight</t>
  </si>
  <si>
    <t>A-ES</t>
  </si>
  <si>
    <t>Elisabeth Shue as Madelyn Stillwell</t>
  </si>
  <si>
    <t>A-FH</t>
  </si>
  <si>
    <t>Karen Fukuhara as Kimiko "The Boys"</t>
  </si>
  <si>
    <t>A-GC</t>
  </si>
  <si>
    <t>Giancarlo Esposito as Stan Edgar</t>
  </si>
  <si>
    <t>A-GE</t>
  </si>
  <si>
    <t>A-HA</t>
  </si>
  <si>
    <t>A-HS</t>
  </si>
  <si>
    <t>Alex Hassell as Translucent "The Seven"</t>
  </si>
  <si>
    <t>A-JL</t>
  </si>
  <si>
    <t>Jordana Lajoie as Cherie</t>
  </si>
  <si>
    <t>A-JO</t>
  </si>
  <si>
    <t>A-JQ</t>
  </si>
  <si>
    <t>Jack Quaid as Hughie Campbell</t>
  </si>
  <si>
    <t>A-JR</t>
  </si>
  <si>
    <t>Jordana Lajoie as Cherie "Cherie"</t>
  </si>
  <si>
    <t>A-JT</t>
  </si>
  <si>
    <t>Jessie T. Usher as A-Train</t>
  </si>
  <si>
    <t>A-JU</t>
  </si>
  <si>
    <t>A-KF</t>
  </si>
  <si>
    <t>Karen Fukuhara as Kimiko</t>
  </si>
  <si>
    <t>A-KK</t>
  </si>
  <si>
    <t>A-KR</t>
  </si>
  <si>
    <t>A-KU</t>
  </si>
  <si>
    <t>Karl Urban as Billy Butcher</t>
  </si>
  <si>
    <t>A-LA</t>
  </si>
  <si>
    <t>Laz Alonso as Mother's Milk</t>
  </si>
  <si>
    <t>A-LJ</t>
  </si>
  <si>
    <t>A-LL</t>
  </si>
  <si>
    <t>A-LR</t>
  </si>
  <si>
    <t>Laila Robins as Grace Mallory</t>
  </si>
  <si>
    <t>A-LZ</t>
  </si>
  <si>
    <t>A-MB</t>
  </si>
  <si>
    <t>Nathan Mitchell as Black Noir</t>
  </si>
  <si>
    <t>A-MC</t>
  </si>
  <si>
    <t>Dominique McElligott as Queen Maeve "Queen Maeve"</t>
  </si>
  <si>
    <t>A-MI</t>
  </si>
  <si>
    <t>A-MK</t>
  </si>
  <si>
    <t>Mishka Thebaud as Shockwave</t>
  </si>
  <si>
    <t>A-MO</t>
  </si>
  <si>
    <t>A-MS</t>
  </si>
  <si>
    <t>A-MT</t>
  </si>
  <si>
    <t>A-NA</t>
  </si>
  <si>
    <t>A-NE</t>
  </si>
  <si>
    <t>A-NL</t>
  </si>
  <si>
    <t>A-NM</t>
  </si>
  <si>
    <t>A-QD</t>
  </si>
  <si>
    <t>Jack Quaid as Hughie Campbell "Hughie Campbell"</t>
  </si>
  <si>
    <t>A-RO</t>
  </si>
  <si>
    <t>Laila Robins as Grace Mallory "Grace Mallory"</t>
  </si>
  <si>
    <t>A-SA</t>
  </si>
  <si>
    <t>Shawn Ashmore as Lamplighter</t>
  </si>
  <si>
    <t>A-SH</t>
  </si>
  <si>
    <t>Elisabeth Shue as Madelyn Stillwell "Madelyn Stillwell"</t>
  </si>
  <si>
    <t>A-SM</t>
  </si>
  <si>
    <t>Shawn Ashmore as Lamplighter "Lamplighter"</t>
  </si>
  <si>
    <t>A-SR</t>
  </si>
  <si>
    <t>A-SS</t>
  </si>
  <si>
    <t>Shantel VanSanten as Becca Butcher</t>
  </si>
  <si>
    <t>A-ST</t>
  </si>
  <si>
    <t>A-SV</t>
  </si>
  <si>
    <t>A-TB</t>
  </si>
  <si>
    <t>A-TC</t>
  </si>
  <si>
    <t>A-UR</t>
  </si>
  <si>
    <t>A-ZA</t>
  </si>
  <si>
    <t>A-ZZ</t>
  </si>
  <si>
    <t>VHSP-1</t>
  </si>
  <si>
    <t>A-Train Off the Track</t>
  </si>
  <si>
    <t>VHSP-10</t>
  </si>
  <si>
    <t>Open the Door</t>
  </si>
  <si>
    <t>VHSP-2</t>
  </si>
  <si>
    <t>A Farewell to Arms</t>
  </si>
  <si>
    <t>VHSP-3</t>
  </si>
  <si>
    <t>Bright Future Ahead</t>
  </si>
  <si>
    <t>VHSP-4</t>
  </si>
  <si>
    <t>Let Me Protect You</t>
  </si>
  <si>
    <t>VHSP-5</t>
  </si>
  <si>
    <t>Up Close and Personal</t>
  </si>
  <si>
    <t>VHSP-6</t>
  </si>
  <si>
    <t>No Longer The Seven</t>
  </si>
  <si>
    <t>VHSP-7</t>
  </si>
  <si>
    <t>Poor Lucy</t>
  </si>
  <si>
    <t>VHSP-8</t>
  </si>
  <si>
    <t>My Favorite Drink</t>
  </si>
  <si>
    <t>VHSP-9</t>
  </si>
  <si>
    <t>I'm a Lot Like You</t>
  </si>
  <si>
    <t>S3SP-1</t>
  </si>
  <si>
    <t>Homelander</t>
  </si>
  <si>
    <t>S3SP-10</t>
  </si>
  <si>
    <t>Black Noir</t>
  </si>
  <si>
    <t>S3SP-2</t>
  </si>
  <si>
    <t>Starlight</t>
  </si>
  <si>
    <t>S3SP-3</t>
  </si>
  <si>
    <t>A-Train</t>
  </si>
  <si>
    <t>S3SP-4</t>
  </si>
  <si>
    <t>Queen Maeve</t>
  </si>
  <si>
    <t>S3SP-5</t>
  </si>
  <si>
    <t>Kimiko</t>
  </si>
  <si>
    <t>S3SP-6</t>
  </si>
  <si>
    <t>S3SP-7</t>
  </si>
  <si>
    <t>Doppelganger</t>
  </si>
  <si>
    <t>S3SP-8</t>
  </si>
  <si>
    <t>Mesmer</t>
  </si>
  <si>
    <t>S3SP-9</t>
  </si>
  <si>
    <t>TSS-1</t>
  </si>
  <si>
    <t>Antony Starr as Homelander/Erin Moriarty as Starlight/Alex Hassell as Translucent</t>
  </si>
  <si>
    <t>TSS-2</t>
  </si>
  <si>
    <t>Jessie T. Usher as A-Train/Antony Starr as Homelander/Alex Hassell as Translucent</t>
  </si>
  <si>
    <t>SSP-1</t>
  </si>
  <si>
    <t>SP</t>
  </si>
  <si>
    <t>SSP-2</t>
  </si>
  <si>
    <t>SSP-3</t>
  </si>
  <si>
    <t>SSP-4</t>
  </si>
  <si>
    <t>SSP-5</t>
  </si>
  <si>
    <t>SSP-6</t>
  </si>
  <si>
    <t>SSP-7</t>
  </si>
  <si>
    <t>SSP-8</t>
  </si>
  <si>
    <t>AF-AH</t>
  </si>
  <si>
    <t>Autograph</t>
  </si>
  <si>
    <t>AF-AS</t>
  </si>
  <si>
    <t>AF-BA</t>
  </si>
  <si>
    <t>AF-CC</t>
  </si>
  <si>
    <t>Chace Crawford as The Deep "The Seven"</t>
  </si>
  <si>
    <t>AF-DM</t>
  </si>
  <si>
    <t>AF-EM</t>
  </si>
  <si>
    <t>AF-ES</t>
  </si>
  <si>
    <t>AF-JQ</t>
  </si>
  <si>
    <t>AF-JT</t>
  </si>
  <si>
    <t>AF-KF</t>
  </si>
  <si>
    <t>AF-LA</t>
  </si>
  <si>
    <t>AF-NM</t>
  </si>
  <si>
    <t>AF-SA</t>
  </si>
  <si>
    <t>AF-TC</t>
  </si>
  <si>
    <t>MW-1</t>
  </si>
  <si>
    <t>Billy Butcher</t>
  </si>
  <si>
    <t>MW-2</t>
  </si>
  <si>
    <t>MW-3</t>
  </si>
  <si>
    <t>Frenchie</t>
  </si>
  <si>
    <t>MW-4</t>
  </si>
  <si>
    <t>Mother's Milk</t>
  </si>
  <si>
    <t>MW-5</t>
  </si>
  <si>
    <t>Hughie Campbell</t>
  </si>
  <si>
    <t>AFV-AS</t>
  </si>
  <si>
    <t>Autograph Variation</t>
  </si>
  <si>
    <t>AFV-CC</t>
  </si>
  <si>
    <t>AFV-DM</t>
  </si>
  <si>
    <t>AFV-TC</t>
  </si>
  <si>
    <t>DSS-1</t>
  </si>
  <si>
    <t>Antony Starr as Homelander/Jessie T. Usher as A-Train</t>
  </si>
  <si>
    <t>DSS-2</t>
  </si>
  <si>
    <t>Alex Hassell as Translucent/Antony Starr as Homelander</t>
  </si>
  <si>
    <t>DSS-3</t>
  </si>
  <si>
    <t>Jessie T. Usher as A-Train/Erin Moriarty as Starlight</t>
  </si>
  <si>
    <t>DSS-4</t>
  </si>
  <si>
    <t>Erin Moriarty as Starlight/Antony Starr as Homelander</t>
  </si>
  <si>
    <t>DSS-5</t>
  </si>
  <si>
    <t>Antony Starr as Homelander/Alex Hassell as Translucent</t>
  </si>
  <si>
    <t>DSS-6</t>
  </si>
  <si>
    <t>Antony Starr as Homelander/Erin Moriarty as Starlight</t>
  </si>
  <si>
    <t>C-1</t>
  </si>
  <si>
    <t>C-10</t>
  </si>
  <si>
    <t>C-11</t>
  </si>
  <si>
    <t>C-12</t>
  </si>
  <si>
    <t>C-13</t>
  </si>
  <si>
    <t>C-14</t>
  </si>
  <si>
    <t>C-15</t>
  </si>
  <si>
    <t>C-17</t>
  </si>
  <si>
    <t>C-18</t>
  </si>
  <si>
    <t>C-19</t>
  </si>
  <si>
    <t>C-2</t>
  </si>
  <si>
    <t>C-20</t>
  </si>
  <si>
    <t>C-21</t>
  </si>
  <si>
    <t>C-22</t>
  </si>
  <si>
    <t>C-23</t>
  </si>
  <si>
    <t>C-29</t>
  </si>
  <si>
    <t>C-3</t>
  </si>
  <si>
    <t>C-31</t>
  </si>
  <si>
    <t>C-39</t>
  </si>
  <si>
    <t>C-4</t>
  </si>
  <si>
    <t>C-40</t>
  </si>
  <si>
    <t>C-42</t>
  </si>
  <si>
    <t>C-45</t>
  </si>
  <si>
    <t>C-46</t>
  </si>
  <si>
    <t>C-47</t>
  </si>
  <si>
    <t>C-5</t>
  </si>
  <si>
    <t>C-6</t>
  </si>
  <si>
    <t>C-7</t>
  </si>
  <si>
    <t>C-8</t>
  </si>
  <si>
    <t>C-9</t>
  </si>
  <si>
    <t>R-1</t>
  </si>
  <si>
    <t>R-10</t>
  </si>
  <si>
    <t>Lamplighter</t>
  </si>
  <si>
    <t>R-11</t>
  </si>
  <si>
    <t>R-12</t>
  </si>
  <si>
    <t>Madelyn Stillwell</t>
  </si>
  <si>
    <t>R-13</t>
  </si>
  <si>
    <t>Translucent</t>
  </si>
  <si>
    <t>R-14</t>
  </si>
  <si>
    <t>R-15</t>
  </si>
  <si>
    <t>R-2</t>
  </si>
  <si>
    <t>R-3</t>
  </si>
  <si>
    <t>R-4</t>
  </si>
  <si>
    <t>R-5</t>
  </si>
  <si>
    <t>R-6</t>
  </si>
  <si>
    <t>The Deep</t>
  </si>
  <si>
    <t>R-7</t>
  </si>
  <si>
    <t>R-8</t>
  </si>
  <si>
    <t>R-9</t>
  </si>
  <si>
    <t>Popclaw</t>
  </si>
  <si>
    <t>TU-1</t>
  </si>
  <si>
    <t>Billy Butcher/Hughie Campbell</t>
  </si>
  <si>
    <t>TU-10</t>
  </si>
  <si>
    <t>Billy Butcher/Grace Mallory</t>
  </si>
  <si>
    <t>TU-11</t>
  </si>
  <si>
    <t>Kenji/Kimiko</t>
  </si>
  <si>
    <t>TU-12</t>
  </si>
  <si>
    <t>Starlight/Stormfront</t>
  </si>
  <si>
    <t>TU-13</t>
  </si>
  <si>
    <t>The Deep/Lucy the Whale</t>
  </si>
  <si>
    <t>TU-14</t>
  </si>
  <si>
    <t>Elena/Queen Maeve</t>
  </si>
  <si>
    <t>TU-15</t>
  </si>
  <si>
    <t>A-Train/Popclaw</t>
  </si>
  <si>
    <t>TU-16</t>
  </si>
  <si>
    <t>Hughie Campbell/Ezekiel</t>
  </si>
  <si>
    <t>TU-17</t>
  </si>
  <si>
    <t>Madelyn Stillwell/Homelander</t>
  </si>
  <si>
    <t>TU-18</t>
  </si>
  <si>
    <t>Starlight/Donna January</t>
  </si>
  <si>
    <t>TU-19</t>
  </si>
  <si>
    <t>Hughie Campbell/Frenchie</t>
  </si>
  <si>
    <t>TU-2</t>
  </si>
  <si>
    <t>Queen Maeve/Homelander</t>
  </si>
  <si>
    <t>TU-20</t>
  </si>
  <si>
    <t>Homelander/Starlight</t>
  </si>
  <si>
    <t>TU-21</t>
  </si>
  <si>
    <t>Frenchie/Billy Butcher</t>
  </si>
  <si>
    <t>TU-22</t>
  </si>
  <si>
    <t>Madelyn Stillwell/Stan Edgar</t>
  </si>
  <si>
    <t>TU-23</t>
  </si>
  <si>
    <t>A-Train/Nathan Franklin</t>
  </si>
  <si>
    <t>TU-24</t>
  </si>
  <si>
    <t>Hugh Campbell Sr./Hughie Campbell</t>
  </si>
  <si>
    <t>TU-25</t>
  </si>
  <si>
    <t>Susan Rayner/Billy Butcher</t>
  </si>
  <si>
    <t>TU-3</t>
  </si>
  <si>
    <t>The Deep/Homelander</t>
  </si>
  <si>
    <t>TU-4</t>
  </si>
  <si>
    <t>Mother's Milk/Billy Butcher</t>
  </si>
  <si>
    <t>TU-5</t>
  </si>
  <si>
    <t>Kimiko/Frenchie</t>
  </si>
  <si>
    <t>TU-6</t>
  </si>
  <si>
    <t>Homelander/Mesmer</t>
  </si>
  <si>
    <t>TU-7</t>
  </si>
  <si>
    <t>Becca Butcher/Billy Butcher</t>
  </si>
  <si>
    <t>TU-8</t>
  </si>
  <si>
    <t>Hughie Campbell/Starlight</t>
  </si>
  <si>
    <t>TU-9</t>
  </si>
  <si>
    <t>Hughie Campbell/Mother's Milk</t>
  </si>
  <si>
    <t>MP-1</t>
  </si>
  <si>
    <t>MP-10</t>
  </si>
  <si>
    <t>Grace Mallory</t>
  </si>
  <si>
    <t>MP-11</t>
  </si>
  <si>
    <t>MP-12</t>
  </si>
  <si>
    <t>MP-13</t>
  </si>
  <si>
    <t>MP-14</t>
  </si>
  <si>
    <t>Stan Edgar</t>
  </si>
  <si>
    <t>MP-15</t>
  </si>
  <si>
    <t>Cherie</t>
  </si>
  <si>
    <t>MP-16</t>
  </si>
  <si>
    <t>Gecko</t>
  </si>
  <si>
    <t>MP-17</t>
  </si>
  <si>
    <t>MP-18</t>
  </si>
  <si>
    <t>Ashley Barrett</t>
  </si>
  <si>
    <t>MP-19</t>
  </si>
  <si>
    <t>Eagle the Archer</t>
  </si>
  <si>
    <t>MP-2</t>
  </si>
  <si>
    <t>MP-20</t>
  </si>
  <si>
    <t>Cindy</t>
  </si>
  <si>
    <t>MP-21</t>
  </si>
  <si>
    <t>MP-22</t>
  </si>
  <si>
    <t>Ryan</t>
  </si>
  <si>
    <t>MP-23</t>
  </si>
  <si>
    <t>Eziekiel</t>
  </si>
  <si>
    <t>MP-24</t>
  </si>
  <si>
    <t>Kenji Miyashiro</t>
  </si>
  <si>
    <t>MP-25</t>
  </si>
  <si>
    <t>Becca Butcher</t>
  </si>
  <si>
    <t>MP-26</t>
  </si>
  <si>
    <t>Laser Baby</t>
  </si>
  <si>
    <t>MP-27</t>
  </si>
  <si>
    <t>MP-28</t>
  </si>
  <si>
    <t>Lucy the Whale</t>
  </si>
  <si>
    <t>MP-29</t>
  </si>
  <si>
    <t>MP-3</t>
  </si>
  <si>
    <t>MP-30</t>
  </si>
  <si>
    <t>MP-4</t>
  </si>
  <si>
    <t>MP-5</t>
  </si>
  <si>
    <t>MP-6</t>
  </si>
  <si>
    <t>Hughie Campbell Sr.</t>
  </si>
  <si>
    <t>MP-7</t>
  </si>
  <si>
    <t>MP-8</t>
  </si>
  <si>
    <t>MP-9</t>
  </si>
  <si>
    <t>VFH-1</t>
  </si>
  <si>
    <t>Sorry, I Guess</t>
  </si>
  <si>
    <t>VFH-10</t>
  </si>
  <si>
    <t>What Did I Tell You About Boring Speeches?</t>
  </si>
  <si>
    <t>VFH-11</t>
  </si>
  <si>
    <t>Uh, He's a Friend</t>
  </si>
  <si>
    <t>VFH-12</t>
  </si>
  <si>
    <t>One More for the Guy Upstairs!</t>
  </si>
  <si>
    <t>VFH-13</t>
  </si>
  <si>
    <t>I'm Done Pretending</t>
  </si>
  <si>
    <t>VFH-14</t>
  </si>
  <si>
    <t>No Jokes or Judgments Here</t>
  </si>
  <si>
    <t>VFH-15</t>
  </si>
  <si>
    <t>Don't Say Sorry</t>
  </si>
  <si>
    <t>VFH-16</t>
  </si>
  <si>
    <t>Sleeping with the Enemy</t>
  </si>
  <si>
    <t>VFH-17</t>
  </si>
  <si>
    <t>Life with the Kings</t>
  </si>
  <si>
    <t>VFH-18</t>
  </si>
  <si>
    <t>A-Train Wreck</t>
  </si>
  <si>
    <t>VFH-19</t>
  </si>
  <si>
    <t>Debris and Debuts</t>
  </si>
  <si>
    <t>VFH-2</t>
  </si>
  <si>
    <t>Deepest Condolences</t>
  </si>
  <si>
    <t>VFH-20</t>
  </si>
  <si>
    <t>Absolutely Brilliant</t>
  </si>
  <si>
    <t>VFH-21</t>
  </si>
  <si>
    <t>Change Back!</t>
  </si>
  <si>
    <t>VFH-22</t>
  </si>
  <si>
    <t>Fallen Hero</t>
  </si>
  <si>
    <t>VFH-23</t>
  </si>
  <si>
    <t>Our Heroes Never Die</t>
  </si>
  <si>
    <t>VFH-24</t>
  </si>
  <si>
    <t>Naqib's Compound</t>
  </si>
  <si>
    <t>VFH-25</t>
  </si>
  <si>
    <t>Honest with Yourself</t>
  </si>
  <si>
    <t>VFH-26</t>
  </si>
  <si>
    <t>Let's Just Power Through</t>
  </si>
  <si>
    <t>VFH-27</t>
  </si>
  <si>
    <t>A Light in the Tunnel</t>
  </si>
  <si>
    <t>VFH-28</t>
  </si>
  <si>
    <t>Deep Insecurities</t>
  </si>
  <si>
    <t>VFH-29</t>
  </si>
  <si>
    <t>Only Part of the Story</t>
  </si>
  <si>
    <t>VFH-3</t>
  </si>
  <si>
    <t>Selfie</t>
  </si>
  <si>
    <t>VFH-30</t>
  </si>
  <si>
    <t>Bloodbath</t>
  </si>
  <si>
    <t>VFH-4</t>
  </si>
  <si>
    <t>Proper Introduction</t>
  </si>
  <si>
    <t>VFH-5</t>
  </si>
  <si>
    <t>Basking in her Glow</t>
  </si>
  <si>
    <t>VFH-6</t>
  </si>
  <si>
    <t>Leverage</t>
  </si>
  <si>
    <t>VFH-7</t>
  </si>
  <si>
    <t>We Need More Time</t>
  </si>
  <si>
    <t>VFH-8</t>
  </si>
  <si>
    <t>It'll Be Different This Go</t>
  </si>
  <si>
    <t>VFH-9</t>
  </si>
  <si>
    <t>There's No Normal Anymore</t>
  </si>
  <si>
    <t>AFV-1</t>
  </si>
  <si>
    <t>AFV-10</t>
  </si>
  <si>
    <t>AFV-11</t>
  </si>
  <si>
    <t>AFV-12</t>
  </si>
  <si>
    <t>AFV-13</t>
  </si>
  <si>
    <t>AFV-14</t>
  </si>
  <si>
    <t>AFV-15</t>
  </si>
  <si>
    <t>AFV-2</t>
  </si>
  <si>
    <t>AFV-3</t>
  </si>
  <si>
    <t>AFV-4</t>
  </si>
  <si>
    <t>AFV-5</t>
  </si>
  <si>
    <t>AFV-6</t>
  </si>
  <si>
    <t>AFV-7</t>
  </si>
  <si>
    <t>AFV-8</t>
  </si>
  <si>
    <t>AFV-9</t>
  </si>
  <si>
    <t>SS-1</t>
  </si>
  <si>
    <t>SS-2</t>
  </si>
  <si>
    <t>SS-3</t>
  </si>
  <si>
    <t>SS-4</t>
  </si>
  <si>
    <t>SS-5</t>
  </si>
  <si>
    <t>SS-6</t>
  </si>
  <si>
    <t>SS-7</t>
  </si>
  <si>
    <t>SS-8</t>
  </si>
  <si>
    <t>S3D-1</t>
  </si>
  <si>
    <t>S3D-10</t>
  </si>
  <si>
    <t>S3D-11</t>
  </si>
  <si>
    <t>S3D-12</t>
  </si>
  <si>
    <t>S3D-13</t>
  </si>
  <si>
    <t>S3D-14</t>
  </si>
  <si>
    <t>S3D-15</t>
  </si>
  <si>
    <t>S3D-16</t>
  </si>
  <si>
    <t>S3D-17</t>
  </si>
  <si>
    <t>S3D-18</t>
  </si>
  <si>
    <t>S3D-19</t>
  </si>
  <si>
    <t>S3D-2</t>
  </si>
  <si>
    <t>S3D-20</t>
  </si>
  <si>
    <t>S3D-21</t>
  </si>
  <si>
    <t>S3D-22</t>
  </si>
  <si>
    <t>S3D-23</t>
  </si>
  <si>
    <t>S3D-24</t>
  </si>
  <si>
    <t>S3D-25</t>
  </si>
  <si>
    <t>S3D-26</t>
  </si>
  <si>
    <t>S3D-27</t>
  </si>
  <si>
    <t>S3D-28</t>
  </si>
  <si>
    <t>S3D-29</t>
  </si>
  <si>
    <t>S3D-3</t>
  </si>
  <si>
    <t>S3D-30</t>
  </si>
  <si>
    <t>S3D-4</t>
  </si>
  <si>
    <t>S3D-5</t>
  </si>
  <si>
    <t>S3D-6</t>
  </si>
  <si>
    <t>S3D-7</t>
  </si>
  <si>
    <t>S3D-8</t>
  </si>
  <si>
    <t>S3D-9</t>
  </si>
  <si>
    <t>AF-1</t>
  </si>
  <si>
    <t>AF-10</t>
  </si>
  <si>
    <t>AF-11</t>
  </si>
  <si>
    <t>AF-12</t>
  </si>
  <si>
    <t>AF-13</t>
  </si>
  <si>
    <t>AF-14</t>
  </si>
  <si>
    <t>AF-15</t>
  </si>
  <si>
    <t>AF-2</t>
  </si>
  <si>
    <t>AF-3</t>
  </si>
  <si>
    <t>AF-4</t>
  </si>
  <si>
    <t>AF-5</t>
  </si>
  <si>
    <t>AF-6</t>
  </si>
  <si>
    <t>AF-7</t>
  </si>
  <si>
    <t>AF-8</t>
  </si>
  <si>
    <t>AF-9</t>
  </si>
  <si>
    <t>BB-1</t>
  </si>
  <si>
    <t>BB-10</t>
  </si>
  <si>
    <t>Breaking Character</t>
  </si>
  <si>
    <t>BB-11</t>
  </si>
  <si>
    <t>A-Train is Sorry</t>
  </si>
  <si>
    <t>BB-12</t>
  </si>
  <si>
    <t>Fighting Translucent</t>
  </si>
  <si>
    <t>BB-13</t>
  </si>
  <si>
    <t>The Seven</t>
  </si>
  <si>
    <t>BB-14</t>
  </si>
  <si>
    <t>Hughie on Set</t>
  </si>
  <si>
    <t>BB-15</t>
  </si>
  <si>
    <t>Outside Vought</t>
  </si>
  <si>
    <t>BB-2</t>
  </si>
  <si>
    <t>Girls Get it Done</t>
  </si>
  <si>
    <t>BB-3</t>
  </si>
  <si>
    <t>Aftermath</t>
  </si>
  <si>
    <t>BB-4</t>
  </si>
  <si>
    <t>BB-5</t>
  </si>
  <si>
    <t>BB-6</t>
  </si>
  <si>
    <t>Stopped in their Tracks</t>
  </si>
  <si>
    <t>BB-7</t>
  </si>
  <si>
    <t>Audition</t>
  </si>
  <si>
    <t>BB-8</t>
  </si>
  <si>
    <t>Producers Chair</t>
  </si>
  <si>
    <t>BB-9</t>
  </si>
  <si>
    <t>Clapperboard</t>
  </si>
  <si>
    <t>IMO-1</t>
  </si>
  <si>
    <t>Robin Ward</t>
  </si>
  <si>
    <t>IMO-10</t>
  </si>
  <si>
    <t>IMO-11</t>
  </si>
  <si>
    <t>Doppleganger</t>
  </si>
  <si>
    <t>IMO-12</t>
  </si>
  <si>
    <t>Jonah Vogelbaum</t>
  </si>
  <si>
    <t>IMO-13</t>
  </si>
  <si>
    <t>Shockwave</t>
  </si>
  <si>
    <t>IMO-14</t>
  </si>
  <si>
    <t>Kenji</t>
  </si>
  <si>
    <t>IMO-15</t>
  </si>
  <si>
    <t>IMO-2</t>
  </si>
  <si>
    <t>IMO-3</t>
  </si>
  <si>
    <t>IMO-4</t>
  </si>
  <si>
    <t>Susan Rayner</t>
  </si>
  <si>
    <t>IMO-5</t>
  </si>
  <si>
    <t>IMO-6</t>
  </si>
  <si>
    <t>IMO-7</t>
  </si>
  <si>
    <t>IMO-8</t>
  </si>
  <si>
    <t>IMO-9</t>
  </si>
  <si>
    <t>Q-1</t>
  </si>
  <si>
    <t>Q-10</t>
  </si>
  <si>
    <t>Q-11</t>
  </si>
  <si>
    <t>Q-12</t>
  </si>
  <si>
    <t>Q-13</t>
  </si>
  <si>
    <t>Q-14</t>
  </si>
  <si>
    <t>Q-15</t>
  </si>
  <si>
    <t>Q-2</t>
  </si>
  <si>
    <t>Q-3</t>
  </si>
  <si>
    <t>Q-4</t>
  </si>
  <si>
    <t>Q-5</t>
  </si>
  <si>
    <t>Q-6</t>
  </si>
  <si>
    <t>Q-7</t>
  </si>
  <si>
    <t>Q-8</t>
  </si>
  <si>
    <t>Q-9</t>
  </si>
  <si>
    <t>Donna January</t>
  </si>
  <si>
    <t>S-1</t>
  </si>
  <si>
    <t>Achievement</t>
  </si>
  <si>
    <t>N/A</t>
  </si>
  <si>
    <t>ePack achievement reward (no pack odds); pop depends on how many are earned/redeemed.</t>
  </si>
  <si>
    <t>S-2</t>
  </si>
  <si>
    <t>S-3</t>
  </si>
  <si>
    <t>S-4</t>
  </si>
  <si>
    <t>S-5</t>
  </si>
  <si>
    <t>S-6</t>
  </si>
  <si>
    <t>S-7</t>
  </si>
  <si>
    <t>Odds &amp; Rarity (Box/Case chances + expected cases)</t>
  </si>
  <si>
    <t>Inputs (editable)</t>
  </si>
  <si>
    <t>Packs per Box</t>
  </si>
  <si>
    <t>Boxes per Case</t>
  </si>
  <si>
    <t>Packs per Case</t>
  </si>
  <si>
    <t>Compound V per Box (avg)</t>
  </si>
  <si>
    <t>Retro/#'d per Case (avg)</t>
  </si>
  <si>
    <t>Retro odds (packs) (Retro insert)</t>
  </si>
  <si>
    <t>Retro expected per Case</t>
  </si>
  <si>
    <t>Estimated #d parallels per Case (excl. Retro)</t>
  </si>
  <si>
    <t>Base set size (S1+S2+Characters)</t>
  </si>
  <si>
    <t>Estimated cases produced (derived from total serial-#'d base parallels ÷ est. #'d parallels per case)</t>
  </si>
  <si>
    <t>Estimated total packs produced (derived)</t>
  </si>
  <si>
    <t>Base Parallels</t>
  </si>
  <si>
    <t>Compound V is a box hit; other numbered base parallels are estimated from the case-average bucket of “Retro and/or #’d Parallels”.</t>
  </si>
  <si>
    <t>Parallel</t>
  </si>
  <si>
    <t>Print Run</t>
  </si>
  <si>
    <t>Expected hits / Box</t>
  </si>
  <si>
    <t>Expected hits / Case</t>
  </si>
  <si>
    <t>% ≥1 / Box</t>
  </si>
  <si>
    <t>% ≥1 / Case</t>
  </si>
  <si>
    <t>Exp cases / ANY hit</t>
  </si>
  <si>
    <t>Exp cases / SPECIFIC card</t>
  </si>
  <si>
    <t>Compound V</t>
  </si>
  <si>
    <t>Floor 82</t>
  </si>
  <si>
    <t>Black</t>
  </si>
  <si>
    <t>All Inserts &amp; Hits (Official pack odds + Derived odds from print run; derived are NOT official)</t>
  </si>
  <si>
    <t>Set</t>
  </si>
  <si>
    <t>Cards in Set</t>
  </si>
  <si>
    <t>Pack Odds (1:X)</t>
  </si>
  <si>
    <t>Print Run (per card)</t>
  </si>
  <si>
    <t>Total Copies (set)</t>
  </si>
  <si>
    <t>Retro Auto Gold Parallel</t>
  </si>
  <si>
    <t>Derived (unofficial)</t>
  </si>
  <si>
    <t>Autographs Duals Gold Parallel</t>
  </si>
  <si>
    <t>Autographs Gold Parallel</t>
  </si>
  <si>
    <t>Printing Plates</t>
  </si>
  <si>
    <t>Printing Plates Parallel - Season 1</t>
  </si>
  <si>
    <t>Printing Plates Parallel - Season 2</t>
  </si>
  <si>
    <t>Autographs Printing Plates Parallel</t>
  </si>
  <si>
    <t>Characters Printing Plates Parallel</t>
  </si>
  <si>
    <t>In Memory Of... Printing Plates Parallel</t>
  </si>
  <si>
    <t>Autographs Duals Printing Plates Parallel</t>
  </si>
  <si>
    <t>Autographs Triples Printing Plates Parallel</t>
  </si>
  <si>
    <t>Autographs Quads Printing Plates Parallel</t>
  </si>
  <si>
    <t>10-25</t>
  </si>
  <si>
    <t>Stated pack odds</t>
  </si>
  <si>
    <t>25-49</t>
  </si>
  <si>
    <t>Supes Suits SPs</t>
  </si>
  <si>
    <t>Supes (Lenticular)</t>
  </si>
  <si>
    <t>Base / variable-odds subsets (notes only)</t>
  </si>
  <si>
    <t>2 Season 1 base cards per pack</t>
  </si>
  <si>
    <t>2 Season 2 base cards per pack</t>
  </si>
  <si>
    <t>1 Character card per pack</t>
  </si>
  <si>
    <t>Odds vary by card (see checklist; many 1:120 and 1:210)</t>
  </si>
  <si>
    <t>Notes: Use column J (Odds Source) to see whether odds are OFFICIAL (stated 1:X from checklist) or DERIVED (unofficial). Derived pack odds are estimated as (Estimated total packs produced in cell D13) ÷ (Total Copies in column L) and are NOT official odds.</t>
  </si>
  <si>
    <t>CharacterKey</t>
  </si>
  <si>
    <t>PopTier (1-5)</t>
  </si>
  <si>
    <t>PopMultiplier</t>
  </si>
  <si>
    <t>edit tier if needed</t>
  </si>
  <si>
    <t>Carol</t>
  </si>
  <si>
    <t>Elena</t>
  </si>
  <si>
    <t>Highie Campbell</t>
  </si>
  <si>
    <t>Hugh Campbell Sr.</t>
  </si>
  <si>
    <t>Mon Coeur</t>
  </si>
  <si>
    <t>Nathan Franklin</t>
  </si>
  <si>
    <t>Robin</t>
  </si>
  <si>
    <t>Victoria Neuman</t>
  </si>
  <si>
    <t>Red</t>
  </si>
  <si>
    <t>Gold (ePack Craft)</t>
  </si>
  <si>
    <t>Compound V /399</t>
  </si>
  <si>
    <t>Floor 82 /82</t>
  </si>
  <si>
    <t>Black /25</t>
  </si>
  <si>
    <t>The Seven /7</t>
  </si>
  <si>
    <t>Printing Plate</t>
  </si>
  <si>
    <t>Maeve Saves</t>
  </si>
  <si>
    <t>h</t>
  </si>
  <si>
    <t>C</t>
  </si>
  <si>
    <t xml:space="preserve"> V 68/82</t>
  </si>
  <si>
    <t>Awww, How Cute!</t>
  </si>
  <si>
    <t>V</t>
  </si>
  <si>
    <t>V 66/82</t>
  </si>
  <si>
    <t>Lend Me a Hand?</t>
  </si>
  <si>
    <t>C 54/82</t>
  </si>
  <si>
    <t>New York, New York</t>
  </si>
  <si>
    <t>C 18/82</t>
  </si>
  <si>
    <t>You're on in Five!</t>
  </si>
  <si>
    <t>C 47/82</t>
  </si>
  <si>
    <t>Get Them That Got Your Girl</t>
  </si>
  <si>
    <t>C 73/82</t>
  </si>
  <si>
    <t>For Supes' Eyes Only</t>
  </si>
  <si>
    <t>C 74/82</t>
  </si>
  <si>
    <t>C 1/7</t>
  </si>
  <si>
    <t>Watch and Learn</t>
  </si>
  <si>
    <t>C 22/82</t>
  </si>
  <si>
    <t>Meet Cute</t>
  </si>
  <si>
    <t>C 32/82</t>
  </si>
  <si>
    <t>C 24/25</t>
  </si>
  <si>
    <t>Not Admitting Fault</t>
  </si>
  <si>
    <t>V 43/82</t>
  </si>
  <si>
    <t>C 16/25</t>
  </si>
  <si>
    <t>Now You See Me</t>
  </si>
  <si>
    <t>C '01/82</t>
  </si>
  <si>
    <t>Hughie's O Face</t>
  </si>
  <si>
    <t>C 71/82</t>
  </si>
  <si>
    <t>C 3/7</t>
  </si>
  <si>
    <t>Where's Your Sense of Adventure?</t>
  </si>
  <si>
    <t>C 02/82</t>
  </si>
  <si>
    <t>Snitches Get Stitches</t>
  </si>
  <si>
    <t>C 53/82</t>
  </si>
  <si>
    <t>V Black C Cyan</t>
  </si>
  <si>
    <t>Water-Adjacent Crime</t>
  </si>
  <si>
    <t>V 51/82</t>
  </si>
  <si>
    <t>C 19/25</t>
  </si>
  <si>
    <t>In Over Your Head</t>
  </si>
  <si>
    <t>C 76/82</t>
  </si>
  <si>
    <t>C 15/25</t>
  </si>
  <si>
    <t>C 4/7</t>
  </si>
  <si>
    <t>V YELLOW</t>
  </si>
  <si>
    <t>Blowing Smoke</t>
  </si>
  <si>
    <t>C 58/82</t>
  </si>
  <si>
    <t>C 20/25</t>
  </si>
  <si>
    <t>Size Matters</t>
  </si>
  <si>
    <t>C '02/82</t>
  </si>
  <si>
    <t>We've Got Company</t>
  </si>
  <si>
    <t>V 57/82</t>
  </si>
  <si>
    <t>You're the Homelander</t>
  </si>
  <si>
    <t>V 21/82</t>
  </si>
  <si>
    <t>Keep Your Hands Clean</t>
  </si>
  <si>
    <t>C 33/82</t>
  </si>
  <si>
    <t>Brothers in Arms</t>
  </si>
  <si>
    <t>C '08/82</t>
  </si>
  <si>
    <t>C 7/7</t>
  </si>
  <si>
    <t>Unhappy Reunion</t>
  </si>
  <si>
    <t>C 52/82</t>
  </si>
  <si>
    <t>You Know the Drill</t>
  </si>
  <si>
    <t>C 25/82</t>
  </si>
  <si>
    <t>#Selfie Season</t>
  </si>
  <si>
    <t>C 39/82</t>
  </si>
  <si>
    <t>d Magenta</t>
  </si>
  <si>
    <t>Almost Caught</t>
  </si>
  <si>
    <t>C  55/82</t>
  </si>
  <si>
    <t>Too Fast to Catch</t>
  </si>
  <si>
    <t>C 09/82</t>
  </si>
  <si>
    <t>V 18/25</t>
  </si>
  <si>
    <t>Terminal Beauty</t>
  </si>
  <si>
    <t>C 5/7</t>
  </si>
  <si>
    <t>Coming for You</t>
  </si>
  <si>
    <t>C 12/82</t>
  </si>
  <si>
    <t>The Prisoner</t>
  </si>
  <si>
    <t>C 14/25</t>
  </si>
  <si>
    <t>We're in this Together</t>
  </si>
  <si>
    <t>C '76/82</t>
  </si>
  <si>
    <t>Bowling for Supes</t>
  </si>
  <si>
    <t>V 73/82</t>
  </si>
  <si>
    <t>Job Well Done</t>
  </si>
  <si>
    <t>V 79/82</t>
  </si>
  <si>
    <t>Flight 37</t>
  </si>
  <si>
    <t>C 42/82</t>
  </si>
  <si>
    <t>Detective Butcher</t>
  </si>
  <si>
    <t>Hidden in Plain Sight</t>
  </si>
  <si>
    <t>C 82/82</t>
  </si>
  <si>
    <t>She Ain't One of Us</t>
  </si>
  <si>
    <t>V 50/82</t>
  </si>
  <si>
    <t>He's a Friend</t>
  </si>
  <si>
    <t>Remember 37</t>
  </si>
  <si>
    <t>V 13/82</t>
  </si>
  <si>
    <t>Believe Expo</t>
  </si>
  <si>
    <t>V 14/25</t>
  </si>
  <si>
    <t>C Magenta</t>
  </si>
  <si>
    <t>Chosen</t>
  </si>
  <si>
    <t>Everybody Loves Homelander</t>
  </si>
  <si>
    <t>C 16/82</t>
  </si>
  <si>
    <t>VIP</t>
  </si>
  <si>
    <t>C 66/82</t>
  </si>
  <si>
    <t>Born Again</t>
  </si>
  <si>
    <t>C '07/82</t>
  </si>
  <si>
    <t>Played Like Jazz</t>
  </si>
  <si>
    <t>V 05/25</t>
  </si>
  <si>
    <t>Not Gone, Not Forgotten</t>
  </si>
  <si>
    <t>V 53/82</t>
  </si>
  <si>
    <t>V 12/25</t>
  </si>
  <si>
    <t>V 75/82</t>
  </si>
  <si>
    <t>Burned Again</t>
  </si>
  <si>
    <t>Showdown</t>
  </si>
  <si>
    <t>V '09/82</t>
  </si>
  <si>
    <t>Down Not Out</t>
  </si>
  <si>
    <t>C '36/82</t>
  </si>
  <si>
    <t>C 18/25</t>
  </si>
  <si>
    <t>Focus on the Prize</t>
  </si>
  <si>
    <t>C 60/82</t>
  </si>
  <si>
    <t>Why is That There?</t>
  </si>
  <si>
    <t>V 19/25</t>
  </si>
  <si>
    <t>MM, Interrupted</t>
  </si>
  <si>
    <t>C 50/82</t>
  </si>
  <si>
    <t>Petite Lazarus</t>
  </si>
  <si>
    <t>V 04/82</t>
  </si>
  <si>
    <t>Association of Collateral Damage Survivors</t>
  </si>
  <si>
    <t>C 61/82</t>
  </si>
  <si>
    <t>V 08/25</t>
  </si>
  <si>
    <t>V Black</t>
  </si>
  <si>
    <t>Heroes and Headliners</t>
  </si>
  <si>
    <t>Mesmerized</t>
  </si>
  <si>
    <t>V 64/82</t>
  </si>
  <si>
    <t>C 13/25</t>
  </si>
  <si>
    <t>Father Daughter Time</t>
  </si>
  <si>
    <t>Last Known Location</t>
  </si>
  <si>
    <t>The Blanket</t>
  </si>
  <si>
    <t>Round Two</t>
  </si>
  <si>
    <t>V 20/82</t>
  </si>
  <si>
    <t>C 03/25</t>
  </si>
  <si>
    <t>Lost Past</t>
  </si>
  <si>
    <t>V 46/82</t>
  </si>
  <si>
    <t>No Secrets from Me</t>
  </si>
  <si>
    <t>C 26/82</t>
  </si>
  <si>
    <t>V 04/25</t>
  </si>
  <si>
    <t>Dating a Supe</t>
  </si>
  <si>
    <t>V 07/25</t>
  </si>
  <si>
    <t>Company Holiday Party</t>
  </si>
  <si>
    <t>On Your "A" Game</t>
  </si>
  <si>
    <t>C 31/82</t>
  </si>
  <si>
    <t>V 02/25</t>
  </si>
  <si>
    <t>A Betrayal</t>
  </si>
  <si>
    <t>C 78/82</t>
  </si>
  <si>
    <t>I Hope You're Right About Her</t>
  </si>
  <si>
    <t>Loyal to a Dead Woman</t>
  </si>
  <si>
    <t>Burned, Part III</t>
  </si>
  <si>
    <t>C 2/25</t>
  </si>
  <si>
    <t>A Supe Up His Sleeve</t>
  </si>
  <si>
    <t>C 38/82</t>
  </si>
  <si>
    <t>Remember That Marketing Girl?</t>
  </si>
  <si>
    <t>V 33/82</t>
  </si>
  <si>
    <t>Snitches Get Stitches, Pt.2</t>
  </si>
  <si>
    <t>C 07/25</t>
  </si>
  <si>
    <t>I Can Help You Find Her</t>
  </si>
  <si>
    <t>C '12/82</t>
  </si>
  <si>
    <t>Proud Father</t>
  </si>
  <si>
    <t>C 28/82</t>
  </si>
  <si>
    <t>An Unprecedented Medical Condition</t>
  </si>
  <si>
    <t>V 09/82</t>
  </si>
  <si>
    <t>A Butcher's Bargain</t>
  </si>
  <si>
    <t>V 07/82</t>
  </si>
  <si>
    <t>C 21/25</t>
  </si>
  <si>
    <t>I'll Be Dead Before Sunrise</t>
  </si>
  <si>
    <t>V 26/82</t>
  </si>
  <si>
    <t>Sergeant Homelander</t>
  </si>
  <si>
    <t>V 69/82</t>
  </si>
  <si>
    <t>C 02/25</t>
  </si>
  <si>
    <t>V Overseas</t>
  </si>
  <si>
    <t>V 62/82</t>
  </si>
  <si>
    <t>In Hiding</t>
  </si>
  <si>
    <t>C 23/25</t>
  </si>
  <si>
    <t>V Black C Magenta</t>
  </si>
  <si>
    <t>Makeover</t>
  </si>
  <si>
    <t>C 37/82</t>
  </si>
  <si>
    <t>Truth Hurts</t>
  </si>
  <si>
    <t>C 11/25</t>
  </si>
  <si>
    <t>When Do I Ship Out?</t>
  </si>
  <si>
    <t>Yeah, and I'm Homelander</t>
  </si>
  <si>
    <t>C Black</t>
  </si>
  <si>
    <t>You're Abandoning Them</t>
  </si>
  <si>
    <t>V 54/82</t>
  </si>
  <si>
    <t>C 3/25</t>
  </si>
  <si>
    <t>Everybody Hurts</t>
  </si>
  <si>
    <t>C 20/82</t>
  </si>
  <si>
    <t>C 01/25</t>
  </si>
  <si>
    <t>More Awful Secrets</t>
  </si>
  <si>
    <t>V 38/82</t>
  </si>
  <si>
    <t>Training Day</t>
  </si>
  <si>
    <t>C 10/25</t>
  </si>
  <si>
    <t>Played Out</t>
  </si>
  <si>
    <t>C '09/82</t>
  </si>
  <si>
    <t>The View From 82</t>
  </si>
  <si>
    <t>V 47/82</t>
  </si>
  <si>
    <t>My Position's Taken</t>
  </si>
  <si>
    <t>V 29/82</t>
  </si>
  <si>
    <t>Surprise Visit</t>
  </si>
  <si>
    <t>The Great Escape</t>
  </si>
  <si>
    <t>C 69/82</t>
  </si>
  <si>
    <t>You Found Me</t>
  </si>
  <si>
    <t>V 77/82</t>
  </si>
  <si>
    <t>A-Train is Down</t>
  </si>
  <si>
    <t>Trigger Finger</t>
  </si>
  <si>
    <t>V 22/82</t>
  </si>
  <si>
    <t>You're Going to Love This</t>
  </si>
  <si>
    <t>C 05/82</t>
  </si>
  <si>
    <t>Honey, I'm Home</t>
  </si>
  <si>
    <t>V 41/82</t>
  </si>
  <si>
    <t>Terms and Conditions</t>
  </si>
  <si>
    <t>C 06/25</t>
  </si>
  <si>
    <t>Burn in Truth</t>
  </si>
  <si>
    <t>C 29/82</t>
  </si>
  <si>
    <t>Out of Sight, Never Out of Mind</t>
  </si>
  <si>
    <t>Never Truly Vanish</t>
  </si>
  <si>
    <t>Pressure</t>
  </si>
  <si>
    <t>Dr. Mother's Milk</t>
  </si>
  <si>
    <t>Caught In the Act</t>
  </si>
  <si>
    <t>C 15/82</t>
  </si>
  <si>
    <t>Filling Ms. Stillwell's Shoes</t>
  </si>
  <si>
    <t>V 25/82</t>
  </si>
  <si>
    <t>V 13/25</t>
  </si>
  <si>
    <t>What's Your Poison?</t>
  </si>
  <si>
    <t>V 55/82</t>
  </si>
  <si>
    <t>V 22/25</t>
  </si>
  <si>
    <t>I Thought We Were Friends</t>
  </si>
  <si>
    <t>V 78/82</t>
  </si>
  <si>
    <t>Stormfront Official</t>
  </si>
  <si>
    <t>C 13/82</t>
  </si>
  <si>
    <t>A Coup From the Inside</t>
  </si>
  <si>
    <t>V '12/82</t>
  </si>
  <si>
    <t>No Correct or Incorrect Answer</t>
  </si>
  <si>
    <t>C 48/82</t>
  </si>
  <si>
    <t>What's Missing?</t>
  </si>
  <si>
    <t>C 17/25</t>
  </si>
  <si>
    <t>Time to Realign</t>
  </si>
  <si>
    <t>Dip in a Little Toe</t>
  </si>
  <si>
    <t>V 35/82</t>
  </si>
  <si>
    <t>Here Comes A-train</t>
  </si>
  <si>
    <t>Power of Prayer</t>
  </si>
  <si>
    <t>C 67/82</t>
  </si>
  <si>
    <t>I Know What You Did</t>
  </si>
  <si>
    <t>C 46/82</t>
  </si>
  <si>
    <t>Partyworld</t>
  </si>
  <si>
    <t>V 70/82</t>
  </si>
  <si>
    <t>Brother, Sister</t>
  </si>
  <si>
    <t>Butcher, Wait!</t>
  </si>
  <si>
    <t>My Brother, the Terrorist</t>
  </si>
  <si>
    <t>Neutralize Her if Necessary</t>
  </si>
  <si>
    <t>Side Effects</t>
  </si>
  <si>
    <t>V 24/25</t>
  </si>
  <si>
    <t>Dawn of the Seven</t>
  </si>
  <si>
    <t>You Can't Even Give Me This, Can You?</t>
  </si>
  <si>
    <t>V 7/7</t>
  </si>
  <si>
    <t>The World Still Needs Heroes</t>
  </si>
  <si>
    <t>V 16/82</t>
  </si>
  <si>
    <t>C 2/7</t>
  </si>
  <si>
    <t>Pierce the Whale</t>
  </si>
  <si>
    <t>C 6/7</t>
  </si>
  <si>
    <t>Staying Put</t>
  </si>
  <si>
    <t>C 19/82</t>
  </si>
  <si>
    <t>C 04/25</t>
  </si>
  <si>
    <t>Your Canary</t>
  </si>
  <si>
    <t>Goodbye Lucy</t>
  </si>
  <si>
    <t>V 68/82</t>
  </si>
  <si>
    <t>A-Train Off The Rails</t>
  </si>
  <si>
    <t>My Second Wind</t>
  </si>
  <si>
    <t>Kill Him, Or I'll Kill You Both</t>
  </si>
  <si>
    <t>C 17/82</t>
  </si>
  <si>
    <t>Out of the Hole</t>
  </si>
  <si>
    <t>No Shelter From The Storm</t>
  </si>
  <si>
    <t>C 23/82</t>
  </si>
  <si>
    <t>Open Your Eyes</t>
  </si>
  <si>
    <t>V 16/25</t>
  </si>
  <si>
    <t>Home Sweet Hideout</t>
  </si>
  <si>
    <t>Are You Thirsty?</t>
  </si>
  <si>
    <t>The Seven Is Your Team</t>
  </si>
  <si>
    <t>Change Back</t>
  </si>
  <si>
    <t>C 70/82</t>
  </si>
  <si>
    <t>I Can't Do This Anymore</t>
  </si>
  <si>
    <t>You Fancy the Beard?</t>
  </si>
  <si>
    <t>C 49/82</t>
  </si>
  <si>
    <t>Anti-Terror Rally</t>
  </si>
  <si>
    <t>V 20/25</t>
  </si>
  <si>
    <t>Leave Me Alone</t>
  </si>
  <si>
    <t>C '3/82</t>
  </si>
  <si>
    <t>That's Liberty</t>
  </si>
  <si>
    <t>V 28/82</t>
  </si>
  <si>
    <t>He's a Supe Freak</t>
  </si>
  <si>
    <t>The Warpath You're On</t>
  </si>
  <si>
    <t>C 56/82</t>
  </si>
  <si>
    <t>Token of The Trip</t>
  </si>
  <si>
    <t>In the Rubble</t>
  </si>
  <si>
    <t>C 30/82</t>
  </si>
  <si>
    <t>Brilliant!</t>
  </si>
  <si>
    <t>V Cyan</t>
  </si>
  <si>
    <t>Stop Torturing Me</t>
  </si>
  <si>
    <t>C 55/82</t>
  </si>
  <si>
    <t>Visiting Aunt Judy</t>
  </si>
  <si>
    <t>C 79/82</t>
  </si>
  <si>
    <t>As Scripted</t>
  </si>
  <si>
    <t>V 49/82</t>
  </si>
  <si>
    <t>We Were Worried</t>
  </si>
  <si>
    <t>We Aren't Going Anywhere</t>
  </si>
  <si>
    <t>C Yellow</t>
  </si>
  <si>
    <t>I'm Sorted</t>
  </si>
  <si>
    <t>Black Noir's Here</t>
  </si>
  <si>
    <t>V 48/82</t>
  </si>
  <si>
    <t>Forgive Me</t>
  </si>
  <si>
    <t>#BraveMaeve</t>
  </si>
  <si>
    <t>V 5/7</t>
  </si>
  <si>
    <t>Not For Sale</t>
  </si>
  <si>
    <t>V 56/82</t>
  </si>
  <si>
    <t>Hit Girl</t>
  </si>
  <si>
    <t>Poison For Your Soul</t>
  </si>
  <si>
    <t>C 64/82</t>
  </si>
  <si>
    <t>Sunset on A-Train</t>
  </si>
  <si>
    <t>To the Taffy Room</t>
  </si>
  <si>
    <t>V 18/82</t>
  </si>
  <si>
    <t>Smoked Out</t>
  </si>
  <si>
    <t>Milk It</t>
  </si>
  <si>
    <t>C 35/82</t>
  </si>
  <si>
    <t>V 6/7</t>
  </si>
  <si>
    <t>C Cyan</t>
  </si>
  <si>
    <t>Vought's Dirty Little Secret</t>
  </si>
  <si>
    <t>C 14/82</t>
  </si>
  <si>
    <t>This Might Sting A Little</t>
  </si>
  <si>
    <t>Open Up</t>
  </si>
  <si>
    <t>C 68/82</t>
  </si>
  <si>
    <t>V 21/25</t>
  </si>
  <si>
    <t>The Sage Grove Center</t>
  </si>
  <si>
    <t>The Bloody Door's Off</t>
  </si>
  <si>
    <t>C 25/25</t>
  </si>
  <si>
    <t>Patient Breakout</t>
  </si>
  <si>
    <t>Patient Freakout</t>
  </si>
  <si>
    <t>Fire on Set</t>
  </si>
  <si>
    <t>How Was Your Meeting?</t>
  </si>
  <si>
    <t>C 63/82</t>
  </si>
  <si>
    <t>What Happened?</t>
  </si>
  <si>
    <t>He's Gonna Make It</t>
  </si>
  <si>
    <t>Kids Shampoo</t>
  </si>
  <si>
    <t>C 51/82</t>
  </si>
  <si>
    <t>V 15/25</t>
  </si>
  <si>
    <t>Going Public</t>
  </si>
  <si>
    <t>V 72/82</t>
  </si>
  <si>
    <t>Your Dad is Dead</t>
  </si>
  <si>
    <t>You Abandoned Him, Not Me</t>
  </si>
  <si>
    <t>Baby Fever</t>
  </si>
  <si>
    <t>You're Old Enough</t>
  </si>
  <si>
    <t>Please Don't Take Him From Me</t>
  </si>
  <si>
    <t>V 32/82</t>
  </si>
  <si>
    <t>Lamplighter's Sacrifice</t>
  </si>
  <si>
    <t>He Needs His Mother</t>
  </si>
  <si>
    <t>Dad-napped</t>
  </si>
  <si>
    <t>Mind-Blowing Testimony</t>
  </si>
  <si>
    <t>C 65/82</t>
  </si>
  <si>
    <t>Your Only Contingency</t>
  </si>
  <si>
    <t>And You Call Me Ruthless</t>
  </si>
  <si>
    <t>I Like to See the Lights Go Out</t>
  </si>
  <si>
    <t>Keep Him Safe</t>
  </si>
  <si>
    <t>C '11/82</t>
  </si>
  <si>
    <t>I'm Sorry, Mom</t>
  </si>
  <si>
    <t>V 44/82</t>
  </si>
  <si>
    <t>I Promised</t>
  </si>
  <si>
    <t>V 03/82</t>
  </si>
  <si>
    <t>The World Will Know You're A Monster</t>
  </si>
  <si>
    <t>C 12/25</t>
  </si>
  <si>
    <t>Safe, For Now</t>
  </si>
  <si>
    <t>V 14/82</t>
  </si>
  <si>
    <t>Character</t>
  </si>
  <si>
    <t>Characters Auto</t>
  </si>
  <si>
    <t>Characters Auto CV /49</t>
  </si>
  <si>
    <t>V 06/82</t>
  </si>
  <si>
    <t>V 71/82</t>
  </si>
  <si>
    <t>V 18/49</t>
  </si>
  <si>
    <t>V 14/49</t>
  </si>
  <si>
    <t>C 57/82</t>
  </si>
  <si>
    <t>C 09/25</t>
  </si>
  <si>
    <t>C 22/25</t>
  </si>
  <si>
    <t>V Magenta</t>
  </si>
  <si>
    <t>C 26/49</t>
  </si>
  <si>
    <t>C 05/25</t>
  </si>
  <si>
    <t>V 76/82</t>
  </si>
  <si>
    <t>C-16</t>
  </si>
  <si>
    <t>Shaun Benson as Eziekiel</t>
  </si>
  <si>
    <t>V 4/7</t>
  </si>
  <si>
    <t>V '06/49</t>
  </si>
  <si>
    <t>C 34/82</t>
  </si>
  <si>
    <t>V 42/82</t>
  </si>
  <si>
    <t>C 08/25</t>
  </si>
  <si>
    <t>d</t>
  </si>
  <si>
    <t>C 30/49</t>
  </si>
  <si>
    <t>C-24</t>
  </si>
  <si>
    <t>Claudia Doumit as Victoria Neuman</t>
  </si>
  <si>
    <t>C 81/82</t>
  </si>
  <si>
    <t>C-25</t>
  </si>
  <si>
    <t>Ann Cusack as Donna January</t>
  </si>
  <si>
    <t>V 24/82</t>
  </si>
  <si>
    <t>C-26</t>
  </si>
  <si>
    <t>Haley Osment as Mesmer</t>
  </si>
  <si>
    <t>C-27</t>
  </si>
  <si>
    <t>Simon Pegg as Hughie Campbell Sr.</t>
  </si>
  <si>
    <t>C-28</t>
  </si>
  <si>
    <t>Jennifer Esposito as Susan Rayner</t>
  </si>
  <si>
    <t>V '08/49</t>
  </si>
  <si>
    <t>C-30</t>
  </si>
  <si>
    <t>V 08/82</t>
  </si>
  <si>
    <t>C 27/82</t>
  </si>
  <si>
    <t>C-32</t>
  </si>
  <si>
    <t>Terror</t>
  </si>
  <si>
    <t>C-33</t>
  </si>
  <si>
    <t>Langston Kerman as Eagle the Archer</t>
  </si>
  <si>
    <t>C '03/82</t>
  </si>
  <si>
    <t>C-34</t>
  </si>
  <si>
    <t>Jessica Hecht as Carol</t>
  </si>
  <si>
    <t>V 25/25</t>
  </si>
  <si>
    <t>C-35</t>
  </si>
  <si>
    <t>Abraham Lim as Kenji Miyashiro</t>
  </si>
  <si>
    <t>C 03/82</t>
  </si>
  <si>
    <t>C-36</t>
  </si>
  <si>
    <t>Nicola Correia-Damude as Elena</t>
  </si>
  <si>
    <t>C-37</t>
  </si>
  <si>
    <t>Christian Keyes as Nathan Franklin</t>
  </si>
  <si>
    <t>C-38</t>
  </si>
  <si>
    <t>C 08/82</t>
  </si>
  <si>
    <t xml:space="preserve"> V</t>
  </si>
  <si>
    <t>C-41</t>
  </si>
  <si>
    <t>V 10/82</t>
  </si>
  <si>
    <t>C 29/49</t>
  </si>
  <si>
    <t>C-43</t>
  </si>
  <si>
    <t>C 43/82</t>
  </si>
  <si>
    <t>C-44</t>
  </si>
  <si>
    <t>Ess Hodelmoser as Cindy</t>
  </si>
  <si>
    <t>V 45/49</t>
  </si>
  <si>
    <t>C 45/82</t>
  </si>
  <si>
    <t>C-48</t>
  </si>
  <si>
    <t>David W. Thompson as Gecko</t>
  </si>
  <si>
    <t>C-49</t>
  </si>
  <si>
    <t>John Doman as Jonah Vogelbaum</t>
  </si>
  <si>
    <t>C-50</t>
  </si>
  <si>
    <t>Dan Darin-Zenco as Doppelganger</t>
  </si>
  <si>
    <t>V 01/25</t>
  </si>
  <si>
    <t>Status</t>
  </si>
  <si>
    <t>MA-1</t>
  </si>
  <si>
    <t>Alex Hassell (Translucent) / Antony Starr (Homelander) / Chace Crawford (The Deep) / Dominique McElligott (Queen Maeve) / Erin Moriarty (Starlight) / Jessie T. Usher (A-Train) / Nathan Mitchell (Black Noir)</t>
  </si>
  <si>
    <t>Gold /7</t>
  </si>
  <si>
    <t xml:space="preserve"> C '7/7</t>
  </si>
  <si>
    <t>C '2/7</t>
  </si>
  <si>
    <t>C '6/7</t>
  </si>
  <si>
    <t>VFH-01</t>
  </si>
  <si>
    <t>VFH-02</t>
  </si>
  <si>
    <t>VFH-03</t>
  </si>
  <si>
    <t>VFH-04</t>
  </si>
  <si>
    <t>VFH-05</t>
  </si>
  <si>
    <t>VFH-06</t>
  </si>
  <si>
    <t>VFH-07</t>
  </si>
  <si>
    <t>VFH-08</t>
  </si>
  <si>
    <t>VFH-09</t>
  </si>
  <si>
    <t>VHSP-01</t>
  </si>
  <si>
    <t>VHSP-02</t>
  </si>
  <si>
    <t>VHSP-03</t>
  </si>
  <si>
    <t>VHSP-04</t>
  </si>
  <si>
    <t>VHSP-05</t>
  </si>
  <si>
    <t>VHSP-06</t>
  </si>
  <si>
    <t>VHSP-07</t>
  </si>
  <si>
    <t>VHSP-08</t>
  </si>
  <si>
    <t>VHSP-09</t>
  </si>
  <si>
    <t>Retro Insert Name</t>
  </si>
  <si>
    <t>Retro Insert Print Run: 277 each</t>
  </si>
  <si>
    <t>Retro Auto Name</t>
  </si>
  <si>
    <t>Retro Auto /90</t>
  </si>
  <si>
    <t>Retro Auto Gold /1</t>
  </si>
  <si>
    <t>V 69/90</t>
  </si>
  <si>
    <t>C 84/90</t>
  </si>
  <si>
    <t>V 25/90</t>
  </si>
  <si>
    <t>d 06/90</t>
  </si>
  <si>
    <t>Mem/Tech</t>
  </si>
  <si>
    <t>S3D-01</t>
  </si>
  <si>
    <t>Lenticular</t>
  </si>
  <si>
    <t>S3D-02</t>
  </si>
  <si>
    <t>S3D-03</t>
  </si>
  <si>
    <t>S3D-04</t>
  </si>
  <si>
    <t>S3D-05</t>
  </si>
  <si>
    <t>S3D-06</t>
  </si>
  <si>
    <t>S3D-07</t>
  </si>
  <si>
    <t>S3D-08</t>
  </si>
  <si>
    <t>S3D-09</t>
  </si>
  <si>
    <t>S3SP-01</t>
  </si>
  <si>
    <t>S3SP-02</t>
  </si>
  <si>
    <t>S3SP-03</t>
  </si>
  <si>
    <t>S3SP-04</t>
  </si>
  <si>
    <t>S3SP-05</t>
  </si>
  <si>
    <t>S3SP-06</t>
  </si>
  <si>
    <t>S3SP-07</t>
  </si>
  <si>
    <t>S3SP-08</t>
  </si>
  <si>
    <t>S3SP-09</t>
  </si>
  <si>
    <t>Suit</t>
  </si>
  <si>
    <t>NA</t>
  </si>
  <si>
    <t>Cape</t>
  </si>
  <si>
    <t>SSG-1</t>
  </si>
  <si>
    <t>/25</t>
  </si>
  <si>
    <t>SSG-2</t>
  </si>
  <si>
    <t>V '12/25</t>
  </si>
  <si>
    <t>SSG-3</t>
  </si>
  <si>
    <t>SSG-4</t>
  </si>
  <si>
    <t>V 17/25</t>
  </si>
  <si>
    <t>Suit-Suit</t>
  </si>
  <si>
    <t>NA-Suit</t>
  </si>
  <si>
    <t>Suit-Cape</t>
  </si>
  <si>
    <t>Cape-Suit</t>
  </si>
  <si>
    <t>Suit-NA</t>
  </si>
  <si>
    <t>DSG-1</t>
  </si>
  <si>
    <t>Alex Hassell as Translucent/Erin Moriarty as Starlight</t>
  </si>
  <si>
    <t>NA-Cape</t>
  </si>
  <si>
    <t>DSG-2</t>
  </si>
  <si>
    <t>DSG-3</t>
  </si>
  <si>
    <t>Alex Hassell as Translucent/Jessie T. Usher as A-Train</t>
  </si>
  <si>
    <t>Suit-Cape-NA</t>
  </si>
  <si>
    <t>Suit-Suit-NA</t>
  </si>
  <si>
    <t>TSG-1</t>
  </si>
  <si>
    <t>Suit-Cape-NA-Suit</t>
  </si>
  <si>
    <t>Suit-Suit-NA-Cape</t>
  </si>
  <si>
    <t>QSG-1</t>
  </si>
  <si>
    <t>Auto Set</t>
  </si>
  <si>
    <t>Red #</t>
  </si>
  <si>
    <t>Inscribed /25</t>
  </si>
  <si>
    <t>Gold /1</t>
  </si>
  <si>
    <t>Plate (Inscribed)</t>
  </si>
  <si>
    <t>Inscribed /25 (Alt)</t>
  </si>
  <si>
    <t>V 22/49</t>
  </si>
  <si>
    <t>A-CH Base all seem to be inscribed "The Deep"</t>
  </si>
  <si>
    <t>V 39/49</t>
  </si>
  <si>
    <t>Tomer Capone as Frenchie (SSP)</t>
  </si>
  <si>
    <t>C 17/49</t>
  </si>
  <si>
    <t>C 11/49</t>
  </si>
  <si>
    <t>Dominique McElligott as Queen Maeve (SSP)</t>
  </si>
  <si>
    <t>V 08/49</t>
  </si>
  <si>
    <t>Karen Fukuhara as Kimiko (SSP)</t>
  </si>
  <si>
    <t>Alex Hassell as Translucent (SSP)</t>
  </si>
  <si>
    <t>V 13/49</t>
  </si>
  <si>
    <t>d Black</t>
  </si>
  <si>
    <t>V 40/49</t>
  </si>
  <si>
    <t>Antony Starr as Homelander (SSP)</t>
  </si>
  <si>
    <t>C 39/49</t>
  </si>
  <si>
    <t>Laz Alonso as Mother's Milk (SSP)</t>
  </si>
  <si>
    <t>Y 06/25</t>
  </si>
  <si>
    <t>Inscribed #</t>
  </si>
  <si>
    <t>Y 02/10</t>
  </si>
  <si>
    <t>V 01/10</t>
  </si>
  <si>
    <t>Antony Starr as Homelander/Dominique McElligott as Queen Maeve/Nathan Mitchell as Black Noir/Jessie T. Usher as A-Train (SSP)</t>
  </si>
  <si>
    <t>IsPlate</t>
  </si>
  <si>
    <t>IncludedInChase</t>
  </si>
  <si>
    <t>PointsWeight</t>
  </si>
  <si>
    <t>PointsOwned</t>
  </si>
  <si>
    <t>PointsIncoming</t>
  </si>
  <si>
    <t>Inscription Variant</t>
  </si>
  <si>
    <t>EffPop</t>
  </si>
  <si>
    <t>CharSeg</t>
  </si>
  <si>
    <t>CharKey</t>
  </si>
  <si>
    <t>CharKey_Final</t>
  </si>
  <si>
    <t>PopTier</t>
  </si>
  <si>
    <t>PointsWeight_Legacy</t>
  </si>
  <si>
    <t>PointsOwned_Legacy</t>
  </si>
  <si>
    <t>PointsIncoming_Legacy</t>
  </si>
  <si>
    <t>1</t>
  </si>
  <si>
    <t>N</t>
  </si>
  <si>
    <t>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</si>
  <si>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</si>
  <si>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</si>
  <si>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</si>
  <si>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</si>
  <si>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</si>
  <si>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</si>
  <si>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</si>
  <si>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</si>
  <si>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</si>
  <si>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</si>
  <si>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</si>
  <si>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</si>
  <si>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</si>
  <si>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</si>
  <si>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</si>
  <si>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</si>
  <si>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</si>
  <si>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</si>
  <si>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</si>
  <si>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</si>
  <si>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</si>
  <si>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</si>
  <si>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</si>
  <si>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</si>
  <si>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</si>
  <si>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</si>
  <si>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</si>
  <si>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</si>
  <si>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</si>
  <si>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</si>
  <si>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</si>
  <si>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</si>
  <si>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</si>
  <si>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</si>
  <si>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</si>
  <si>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</si>
  <si>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</si>
  <si>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</si>
  <si>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</si>
  <si>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</si>
  <si>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</si>
  <si>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</si>
  <si>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</si>
  <si>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</si>
  <si>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</si>
  <si>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</si>
  <si>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</si>
  <si>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</si>
  <si>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</si>
  <si>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</si>
  <si>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</si>
  <si>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</si>
  <si>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</si>
  <si>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</si>
  <si>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</si>
  <si>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</si>
  <si>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</si>
  <si>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</si>
  <si>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</si>
  <si>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</si>
  <si>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</si>
  <si>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</si>
  <si>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</si>
  <si>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</si>
  <si>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</si>
  <si>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</si>
  <si>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</si>
  <si>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</si>
  <si>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</si>
  <si>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</si>
  <si>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</si>
  <si>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</si>
  <si>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</si>
  <si>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</si>
  <si>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</si>
  <si>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</si>
  <si>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</si>
  <si>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</si>
  <si>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</si>
  <si>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</si>
  <si>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</si>
  <si>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</si>
  <si>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</si>
  <si>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</si>
  <si>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</si>
  <si>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</si>
  <si>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</si>
  <si>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</si>
  <si>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</si>
  <si>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</si>
  <si>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</si>
  <si>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</si>
  <si>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</si>
  <si>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</si>
  <si>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</si>
  <si>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</si>
  <si>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</si>
  <si>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</si>
  <si>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</si>
  <si>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</si>
  <si>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</si>
  <si>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</si>
  <si>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</si>
  <si>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</si>
  <si>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</si>
  <si>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</si>
  <si>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</si>
  <si>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</si>
  <si>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</si>
  <si>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</si>
  <si>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</si>
  <si>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</si>
  <si>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</si>
  <si>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</si>
  <si>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</si>
  <si>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</si>
  <si>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</si>
  <si>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</si>
  <si>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</si>
  <si>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</si>
  <si>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</si>
  <si>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</si>
  <si>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</si>
  <si>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</si>
  <si>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</si>
  <si>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</si>
  <si>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</si>
  <si>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</si>
  <si>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</si>
  <si>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</si>
  <si>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</si>
  <si>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</si>
  <si>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</si>
  <si>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</si>
  <si>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</si>
  <si>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</si>
  <si>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</si>
  <si>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</si>
  <si>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</si>
  <si>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</si>
  <si>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</si>
  <si>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</si>
  <si>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</si>
  <si>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</si>
  <si>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</si>
  <si>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</si>
  <si>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</si>
  <si>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</si>
  <si>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</si>
  <si>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</si>
  <si>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</si>
  <si>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</si>
  <si>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</si>
  <si>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</si>
  <si>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</si>
  <si>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</si>
  <si>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</si>
  <si>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</si>
  <si>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</si>
  <si>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</si>
  <si>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</si>
  <si>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</si>
  <si>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</si>
  <si>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</si>
  <si>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</si>
  <si>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</si>
  <si>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</si>
  <si>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</si>
  <si>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</si>
  <si>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</si>
  <si>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</si>
  <si>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</si>
  <si>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</si>
  <si>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</si>
  <si>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</si>
  <si>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</si>
  <si>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</si>
  <si>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</si>
  <si>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</si>
  <si>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</si>
  <si>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</si>
  <si>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</si>
  <si>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</si>
  <si>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</si>
  <si>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</si>
  <si>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</si>
  <si>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</si>
  <si>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</si>
  <si>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</si>
  <si>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</si>
  <si>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</si>
  <si>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</si>
  <si>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</si>
  <si>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</si>
  <si>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</si>
  <si>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</si>
  <si>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</si>
  <si>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</si>
  <si>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</si>
  <si>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Jess Salgueiro as Robin</t>
  </si>
  <si>
    <t>Matthew Culbert as Gecko</t>
  </si>
  <si>
    <t>Gold</t>
  </si>
  <si>
    <t>Ryan Butcher</t>
  </si>
  <si>
    <t>The Boys</t>
  </si>
  <si>
    <t>Alex Hassell as Translucent "Translucent"</t>
  </si>
  <si>
    <t>Inscribed Parallel</t>
  </si>
  <si>
    <t>Antony Starr as Homelander "The Seven"</t>
  </si>
  <si>
    <t>Brittany Allen as Popclaw "Terminal Beauty"</t>
  </si>
  <si>
    <t>Colby Minifie as Ashley Barrett "Ashley Barrett"</t>
  </si>
  <si>
    <t>Tomer Capone as Frenchie "The Boys"</t>
  </si>
  <si>
    <t>Erin Moriarty as Starlight "Starlight"</t>
  </si>
  <si>
    <t>Giancarlo Esposito as Stan Edgar "CEO, Vought International"</t>
  </si>
  <si>
    <t>CEO, Vought International</t>
  </si>
  <si>
    <t>Giancarlo Esposito as Stan Edgar "Stan Edgar"</t>
  </si>
  <si>
    <t>Jessie T. Usher as A-Train "A-Train"</t>
  </si>
  <si>
    <t>Jessie T. Usher as A-Train "A-Train, Baby"</t>
  </si>
  <si>
    <t>A-Train, Baby</t>
  </si>
  <si>
    <t>Laz Alonso as Mother's Milk "The Boys"</t>
  </si>
  <si>
    <t>Laz Alonso as Mother's Milk "MM"</t>
  </si>
  <si>
    <t>MM</t>
  </si>
  <si>
    <t>Nathan Mitchell as Black Noir "Black Noir"</t>
  </si>
  <si>
    <t>Antony Starr as Homelander "The Homelander"</t>
  </si>
  <si>
    <t>The Homelander</t>
  </si>
  <si>
    <t>Jack Quaid as Hughie Campbell "The Boys"</t>
  </si>
  <si>
    <t>Shawn Ashmore as Lamplighter "The Seven"</t>
  </si>
  <si>
    <t>Shantel VanSanten as Becca Butcher "Becca Butcher"</t>
  </si>
  <si>
    <t>Printing Plate (Inscribed)</t>
  </si>
  <si>
    <t>Tomer Capone as Frenchie "Frenchie"</t>
  </si>
  <si>
    <t>Antony Starr as Homelander "The Seven"/Chace Crawford as The Deep "The Seven"</t>
  </si>
  <si>
    <t>The Seven | The Seven</t>
  </si>
  <si>
    <t>Tomer Capone as Frenchie "Mon Cocur (Mon Coeur)"/Karen Fukuhara as Kimiko "Kimiko"</t>
  </si>
  <si>
    <t>Mon Cocur (Mon Coeur) | Kimiko</t>
  </si>
  <si>
    <t>Jessie T. Usher as A-Train "A-Train, Baby"/Brittany Allen as Popclaw "Popclaw"</t>
  </si>
  <si>
    <t>A-Train, Baby | Popclaw</t>
  </si>
  <si>
    <t>Erin Moriarty as Starlight "Starlight"/Dominique McElligott as Queen Maeve "Queen Maeve"</t>
  </si>
  <si>
    <t>Starlight | Queen Maeve</t>
  </si>
  <si>
    <t>Jack Quaid as Hughie Campbell"Hughie Campbell"/Erin Moriarty as Starlight "Starlight"</t>
  </si>
  <si>
    <t>Hughie Campbell | Starlight</t>
  </si>
  <si>
    <t>Jack Quaid as Hughie Campbell "The Boys"/Alex Hassell as Translucent "The Seven</t>
  </si>
  <si>
    <t>Antony Starr as Homelander "The Seven"/Dominique McElligott as Queen Maeve "The Seven"</t>
  </si>
  <si>
    <t>Antony Starr as Homelander "The Homelander"/Elisabeth Shue as Madelyn Stillwell "Madelyn Stillwell"</t>
  </si>
  <si>
    <t>The Homelander | Madelyn Stillwell</t>
  </si>
  <si>
    <t>Antony Starr as Homelander "Homelander"/Chace Crawford as The Deep "The Deep"</t>
  </si>
  <si>
    <t>Homelander | The Deep</t>
  </si>
  <si>
    <t>Dominique McElligott as Queen Maeve "Queen Maeve"/Erin Moriarty as Starlight "Starlight"</t>
  </si>
  <si>
    <t>Queen Maeve | Starlight</t>
  </si>
  <si>
    <t>Jack Quaid as Hughie Campbell "Hughie Campbell"/Erin Moriarty as Starlight "Starlight"</t>
  </si>
  <si>
    <t>Jack Quaid as Hughie Campbell "The Boys"/Alex Hassell as Translucent "The Seven"</t>
  </si>
  <si>
    <t>The Boys | The Seven</t>
  </si>
  <si>
    <t>Antony Starr as Homelander "You are the Real Heroes"/Dominique McElligott as Queen Maeve "Queen Maeve"</t>
  </si>
  <si>
    <t>You are the Real Heroes | Queen Maeve</t>
  </si>
  <si>
    <t>Laz Alonso as Mother's Milk "MM"/Tomer Capone as Frenchie "Frenchie"</t>
  </si>
  <si>
    <t>MM | Frenchie</t>
  </si>
  <si>
    <t>Shantel VanSanten as Becca Butcher "Becca Butcher"/Cameron Crovetti as Ryan "Ryan Butcher"</t>
  </si>
  <si>
    <t>Becca Butcher | Ryan Butcher</t>
  </si>
  <si>
    <t>Antony Starr as Homelander/Dominique McElligott as Queen Maeve/Nathan Mitchell as Black Noir/Jessie T. Usher as A-Train</t>
  </si>
  <si>
    <t>Giancarlo Esposito as Stan Edgar "Stan Edgar"/Elisabeth Shue as Madelyn Stillwell "Madelyn Stillwell"/Antony Starr as Homelander "The Homelander"</t>
  </si>
  <si>
    <t>Stan Edgar | Madelyn Stillwell | The Homelander</t>
  </si>
  <si>
    <t>Erin Moriarty as Starlight "Starlight"/Dominique McElligott as Queen Maeve "Queen Maeve"/Karen Fukuhara as Kimiko "Kimiko"</t>
  </si>
  <si>
    <t>Starlight | Queen Maeve | Kimiko</t>
  </si>
  <si>
    <t>Giancarlo Esposito as Stan Edgar "CEO, Vought International"/Elisabeth Shue as Madelyn Stillwell "Madelyn Stillwell"/Antony Starr as Homelander "The Seven"</t>
  </si>
  <si>
    <t>CEO, Vought International | Madelyn Stillwell | The Seven</t>
  </si>
  <si>
    <t>Giancarlo Esposito as Stan Edgar/Elisabeth Shue as Madelyn Stillwelll/Antony Starr as Homelander</t>
  </si>
  <si>
    <t>Auto Achievement</t>
  </si>
  <si>
    <t>Tomer Capone as Frenchie "Mon Coeur"</t>
  </si>
  <si>
    <t>Karen Fukuhara as Kimiko "Kimiko"</t>
  </si>
  <si>
    <t>Pack-Odds Inserts &amp; Hits (official odds from checklist)</t>
  </si>
  <si>
    <t>Serial-Numbered / Random Inserts in Packs (no stated pack odds)</t>
  </si>
  <si>
    <t>Est. Pack Odds (1:X) (derived; NOT official)</t>
  </si>
  <si>
    <t>Exp hits / Box (derived)</t>
  </si>
  <si>
    <t>Exp hits / Case (derived)</t>
  </si>
  <si>
    <t>Exp cases / ANY hit (derived)</t>
  </si>
  <si>
    <t>Notes: Rows in the “Pack Odds” table use stated odds (1:X) from the official checklist. Rows in the “Serial-Numbered / Random Inserts in Packs” table do not have stated pack odds; Print Run + Total Copies are shown for relative rarity. The Base /82, /25, /7 estimates are allocated from the case-average bucket of “Retro and/or #'d Parallels”.  Derived-odds columns (F–I in the Serial-Numbered section) are estimates based on total packs produced (cell D13) and total copies (col D). They are NOT official odds.</t>
  </si>
  <si>
    <t>Some examples are marked DSG-2</t>
  </si>
  <si>
    <t>Y 25/25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</si>
</sst>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0.0000%"/>
    <numFmt numFmtId="167" formatCode="0.000%"/>
    <numFmt numFmtId="168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i/>
      <sz val="11"/>
      <color rgb="FF666666"/>
      <name val="Calibri"/>
      <family val="2"/>
    </font>
    <font>
      <b/>
      <u/>
      <sz val="12"/>
      <color rgb="FF0563C1"/>
      <name val="Calibri"/>
      <family val="2"/>
    </font>
    <font>
      <sz val="11"/>
      <color rgb="FF666666"/>
      <name val="Calibri"/>
      <family val="2"/>
    </font>
    <font>
      <b/>
      <sz val="16"/>
      <color rgb="FF1F4E79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7F6000"/>
      <name val="Calibri"/>
      <family val="2"/>
    </font>
    <font>
      <sz val="16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00B050"/>
        <bgColor indexed="64"/>
      </patternFill>
    </fill>
    <fill>
      <patternFill patternType="solid">
        <fgColor rgb="FFFFF2CC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F2937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3">
    <xf numFmtId="0" fontId="0" fillId="0" borderId="2"/>
    <xf numFmtId="0" fontId="14" fillId="0" borderId="2"/>
    <xf numFmtId="0" fontId="15" fillId="7" borderId="2"/>
  </cellStyleXfs>
  <cellXfs count="130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 wrapText="1"/>
    </xf>
    <xf numFmtId="164" fontId="0" fillId="3" borderId="1" xfId="0" applyNumberFormat="1" applyFill="1" applyBorder="1" applyAlignment="1">
      <alignment horizontal="center" vertical="top" wrapText="1"/>
    </xf>
    <xf numFmtId="164" fontId="0" fillId="0" borderId="4" xfId="0" applyNumberFormat="1" applyBorder="1" applyAlignment="1">
      <alignment horizontal="center" vertical="top" wrapText="1"/>
    </xf>
    <xf numFmtId="0" fontId="1" fillId="0" borderId="2" xfId="0" applyFont="1" applyAlignment="1">
      <alignment horizontal="center" vertical="center" wrapText="1"/>
    </xf>
    <xf numFmtId="0" fontId="0" fillId="0" borderId="2" xfId="0" applyAlignment="1">
      <alignment horizontal="center" vertical="top" wrapText="1"/>
    </xf>
    <xf numFmtId="164" fontId="0" fillId="0" borderId="2" xfId="0" applyNumberFormat="1" applyAlignment="1">
      <alignment horizontal="center" vertical="top" wrapText="1"/>
    </xf>
    <xf numFmtId="0" fontId="0" fillId="0" borderId="2" xfId="0" applyAlignment="1">
      <alignment horizontal="center"/>
    </xf>
    <xf numFmtId="164" fontId="0" fillId="0" borderId="2" xfId="0" applyNumberFormat="1" applyAlignment="1">
      <alignment horizontal="center"/>
    </xf>
    <xf numFmtId="164" fontId="0" fillId="3" borderId="4" xfId="0" applyNumberFormat="1" applyFill="1" applyBorder="1" applyAlignment="1">
      <alignment horizontal="center" vertical="top" wrapText="1"/>
    </xf>
    <xf numFmtId="164" fontId="0" fillId="0" borderId="3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top" wrapText="1"/>
    </xf>
    <xf numFmtId="0" fontId="13" fillId="6" borderId="3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17" fontId="0" fillId="0" borderId="1" xfId="0" quotePrefix="1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top" wrapText="1"/>
    </xf>
    <xf numFmtId="16" fontId="0" fillId="0" borderId="1" xfId="0" quotePrefix="1" applyNumberFormat="1" applyBorder="1" applyAlignment="1">
      <alignment horizontal="center" vertical="center"/>
    </xf>
    <xf numFmtId="0" fontId="14" fillId="0" borderId="2" xfId="1"/>
    <xf numFmtId="0" fontId="7" fillId="0" borderId="2" xfId="0" applyFont="1" applyAlignment="1">
      <alignment horizontal="left"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/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7" fillId="8" borderId="2" xfId="0" applyFont="1" applyFill="1" applyAlignment="1">
      <alignment horizontal="center" vertical="center" wrapText="1"/>
    </xf>
    <xf numFmtId="0" fontId="15" fillId="0" borderId="2" xfId="0" applyFont="1" applyAlignment="1">
      <alignment vertical="top"/>
    </xf>
    <xf numFmtId="1" fontId="15" fillId="0" borderId="1" xfId="0" applyNumberFormat="1" applyFont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left" vertical="center" wrapText="1"/>
    </xf>
    <xf numFmtId="168" fontId="15" fillId="0" borderId="1" xfId="0" applyNumberFormat="1" applyFon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164" fontId="16" fillId="0" borderId="2" xfId="0" applyNumberFormat="1" applyFont="1" applyAlignment="1">
      <alignment horizontal="center" vertical="center" wrapText="1"/>
    </xf>
    <xf numFmtId="0" fontId="0" fillId="0" borderId="2" xfId="0"/>
    <xf numFmtId="0" fontId="4" fillId="3" borderId="9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 vertical="top" wrapText="1"/>
    </xf>
    <xf numFmtId="164" fontId="0" fillId="3" borderId="10" xfId="0" applyNumberFormat="1" applyFill="1" applyBorder="1" applyAlignment="1">
      <alignment horizontal="center" vertical="top" wrapText="1"/>
    </xf>
    <xf numFmtId="164" fontId="0" fillId="0" borderId="9" xfId="0" applyNumberFormat="1" applyBorder="1" applyAlignment="1">
      <alignment horizontal="center" vertical="top" wrapText="1"/>
    </xf>
    <xf numFmtId="164" fontId="15" fillId="7" borderId="2" xfId="2" applyNumberFormat="1" applyAlignment="1">
      <alignment horizontal="center" vertical="center"/>
    </xf>
    <xf numFmtId="0" fontId="15" fillId="4" borderId="2" xfId="0" applyFont="1" applyFill="1" applyAlignment="1">
      <alignment vertical="top"/>
    </xf>
    <xf numFmtId="0" fontId="0" fillId="4" borderId="0" xfId="0" applyFill="1" applyBorder="1"/>
    <xf numFmtId="0" fontId="15" fillId="0" borderId="1" xfId="0" quotePrefix="1" applyFont="1" applyBorder="1" applyAlignment="1">
      <alignment horizontal="center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17" fontId="15" fillId="0" borderId="1" xfId="0" quotePrefix="1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0" fillId="0" borderId="10" xfId="0" applyBorder="1"/>
    <xf numFmtId="0" fontId="6" fillId="0" borderId="2" xfId="0" applyFont="1" applyAlignment="1">
      <alignment wrapText="1"/>
    </xf>
    <xf numFmtId="0" fontId="2" fillId="0" borderId="2" xfId="0" applyFont="1"/>
    <xf numFmtId="0" fontId="3" fillId="0" borderId="2" xfId="0" applyFont="1"/>
    <xf numFmtId="0" fontId="5" fillId="0" borderId="2" xfId="0" applyFont="1" applyAlignment="1">
      <alignment horizontal="left" vertical="center"/>
    </xf>
    <xf numFmtId="0" fontId="0" fillId="0" borderId="2" xfId="0" applyAlignment="1">
      <alignment horizontal="left" vertical="top" wrapText="1"/>
    </xf>
    <xf numFmtId="0" fontId="8" fillId="0" borderId="2" xfId="0" applyFont="1"/>
    <xf numFmtId="0" fontId="2" fillId="0" borderId="2" xfId="0" applyFont="1" applyAlignment="1">
      <alignment horizontal="left" vertical="center"/>
    </xf>
    <xf numFmtId="164" fontId="0" fillId="0" borderId="2" xfId="0" applyNumberFormat="1"/>
    <xf numFmtId="0" fontId="0" fillId="0" borderId="2" xfId="0" applyAlignment="1">
      <alignment vertical="top"/>
    </xf>
    <xf numFmtId="0" fontId="0" fillId="0" borderId="2" xfId="0" applyAlignment="1">
      <alignment vertical="top" wrapText="1"/>
    </xf>
    <xf numFmtId="0" fontId="0" fillId="4" borderId="2" xfId="0" applyFill="1" applyAlignment="1">
      <alignment vertical="top"/>
    </xf>
    <xf numFmtId="0" fontId="0" fillId="4" borderId="2" xfId="0" applyFill="1" applyAlignment="1">
      <alignment vertical="top" wrapText="1"/>
    </xf>
    <xf numFmtId="0" fontId="0" fillId="0" borderId="2" xfId="0" applyAlignment="1">
      <alignment horizontal="left" wrapText="1"/>
    </xf>
    <xf numFmtId="0" fontId="0" fillId="0" borderId="2" xfId="0" applyAlignment="1">
      <alignment wrapText="1"/>
    </xf>
    <xf numFmtId="3" fontId="0" fillId="0" borderId="2" xfId="0" applyNumberFormat="1"/>
    <xf numFmtId="2" fontId="0" fillId="0" borderId="2" xfId="0" applyNumberFormat="1"/>
    <xf numFmtId="168" fontId="0" fillId="0" borderId="2" xfId="0" applyNumberFormat="1"/>
    <xf numFmtId="0" fontId="1" fillId="2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164" fontId="15" fillId="0" borderId="1" xfId="0" applyNumberFormat="1" applyFont="1" applyBorder="1" applyAlignment="1">
      <alignment horizontal="center" vertical="top" wrapText="1"/>
    </xf>
    <xf numFmtId="164" fontId="15" fillId="0" borderId="4" xfId="0" applyNumberFormat="1" applyFont="1" applyBorder="1" applyAlignment="1">
      <alignment horizontal="center" vertical="top" wrapText="1"/>
    </xf>
    <xf numFmtId="164" fontId="15" fillId="0" borderId="3" xfId="0" applyNumberFormat="1" applyFon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0" xfId="0" applyNumberFormat="1" applyBorder="1"/>
    <xf numFmtId="1" fontId="15" fillId="0" borderId="1" xfId="0" applyNumberFormat="1" applyFont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 vertical="top" wrapText="1"/>
    </xf>
    <xf numFmtId="1" fontId="0" fillId="3" borderId="10" xfId="0" applyNumberFormat="1" applyFill="1" applyBorder="1" applyAlignment="1">
      <alignment horizontal="center" vertical="top" wrapText="1"/>
    </xf>
    <xf numFmtId="1" fontId="0" fillId="0" borderId="0" xfId="0" applyNumberFormat="1" applyBorder="1"/>
    <xf numFmtId="1" fontId="0" fillId="0" borderId="2" xfId="0" applyNumberFormat="1"/>
    <xf numFmtId="1" fontId="0" fillId="0" borderId="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2" xfId="0" applyFont="1"/>
    <xf numFmtId="0" fontId="0" fillId="0" borderId="0" xfId="0" applyBorder="1"/>
    <xf numFmtId="0" fontId="8" fillId="0" borderId="2" xfId="0" applyFont="1" applyAlignment="1">
      <alignment horizontal="left" vertical="center" wrapText="1"/>
    </xf>
    <xf numFmtId="0" fontId="5" fillId="0" borderId="2" xfId="0" applyFont="1" applyAlignment="1">
      <alignment horizontal="left" vertical="center" wrapText="1"/>
    </xf>
    <xf numFmtId="0" fontId="3" fillId="0" borderId="2" xfId="0" applyFont="1" applyAlignment="1">
      <alignment horizontal="left" vertical="center" wrapText="1"/>
    </xf>
    <xf numFmtId="0" fontId="3" fillId="0" borderId="2" xfId="0" applyFont="1" applyAlignment="1">
      <alignment horizontal="left" vertical="center"/>
    </xf>
    <xf numFmtId="0" fontId="11" fillId="5" borderId="6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left" vertical="center" wrapText="1"/>
    </xf>
    <xf numFmtId="0" fontId="0" fillId="0" borderId="10" xfId="0" applyBorder="1"/>
    <xf numFmtId="0" fontId="0" fillId="0" borderId="9" xfId="0" applyBorder="1"/>
    <xf numFmtId="0" fontId="9" fillId="0" borderId="2" xfId="0" applyFont="1" applyAlignment="1">
      <alignment horizontal="left" vertical="center"/>
    </xf>
    <xf numFmtId="0" fontId="3" fillId="0" borderId="2" xfId="0" applyFont="1"/>
    <xf numFmtId="0" fontId="0" fillId="0" borderId="2" xfId="0" applyAlignment="1">
      <alignment wrapText="1"/>
    </xf>
    <xf numFmtId="0" fontId="6" fillId="0" borderId="2" xfId="0" applyFont="1" applyAlignment="1">
      <alignment wrapText="1"/>
    </xf>
  </cellXfs>
  <cellStyles count="3">
    <cellStyle name="20% - Accent1" xfId="2" builtinId="30"/>
    <cellStyle name="Hyperlink" xfId="1" builtinId="8"/>
    <cellStyle name="Normal" xfId="0" builtinId="0"/>
  </cellStyles>
  <dxfs count="60">
    <dxf>
      <font>
        <color rgb="FF00B050"/>
      </font>
      <fill>
        <patternFill patternType="solid">
          <fgColor rgb="FF00B050"/>
        </patternFill>
      </fill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B050"/>
      </font>
    </dxf>
    <dxf>
      <font>
        <color rgb="FFFFFF00"/>
      </font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30" customWidth="1"/>
    <col min="2" max="2" width="44" customWidth="1"/>
    <col min="3" max="8" width="16" customWidth="1"/>
  </cols>
  <sheetData>
    <row r="1" spans="1:8" ht="27.95" customHeight="1" x14ac:dyDescent="0.35">
      <c r="A1" s="83" t="s">
        <v>0</v>
      </c>
      <c r="B1" s="65"/>
      <c r="C1" s="65"/>
      <c r="D1" s="65"/>
      <c r="E1" s="65"/>
      <c r="F1" s="65"/>
      <c r="G1" s="65"/>
      <c r="H1" s="65"/>
    </row>
    <row r="2" spans="1:8" x14ac:dyDescent="0.25">
      <c r="A2" s="114" t="s">
        <v>1</v>
      </c>
      <c r="B2" s="115"/>
      <c r="C2" s="115"/>
      <c r="D2" s="115"/>
      <c r="E2" s="115"/>
      <c r="F2" s="115"/>
      <c r="G2" s="115"/>
      <c r="H2" s="115"/>
    </row>
    <row r="4" spans="1:8" ht="15.75" customHeight="1" x14ac:dyDescent="0.25">
      <c r="A4" s="84" t="s">
        <v>2</v>
      </c>
      <c r="B4" s="65"/>
      <c r="C4" s="65"/>
      <c r="D4" s="65"/>
      <c r="E4" s="65"/>
      <c r="F4" s="65"/>
      <c r="G4" s="65"/>
      <c r="H4" s="65"/>
    </row>
    <row r="5" spans="1:8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5">
      <c r="A6" s="2">
        <f>Dashboard!A5</f>
        <v>2396</v>
      </c>
      <c r="B6" s="2">
        <f>Dashboard!B5</f>
        <v>1761</v>
      </c>
      <c r="C6" s="2">
        <f>Dashboard!C5</f>
        <v>3</v>
      </c>
      <c r="D6" s="3">
        <f>Dashboard!F5</f>
        <v>0.7349749582637729</v>
      </c>
      <c r="E6" s="3">
        <f>Dashboard!G5</f>
        <v>0.73622704507512526</v>
      </c>
      <c r="F6" s="2">
        <f>Dashboard!I5</f>
        <v>21379</v>
      </c>
      <c r="G6" s="3">
        <f>Dashboard!L5</f>
        <v>0.25722811112581667</v>
      </c>
      <c r="H6" s="3">
        <f>Dashboard!M5</f>
        <v>0.26271461744853392</v>
      </c>
    </row>
    <row r="8" spans="1:8" ht="15.75" customHeight="1" x14ac:dyDescent="0.25">
      <c r="A8" s="84" t="s">
        <v>11</v>
      </c>
      <c r="B8" s="85" t="s">
        <v>12</v>
      </c>
      <c r="C8" s="65"/>
      <c r="D8" s="65"/>
      <c r="E8" s="65"/>
      <c r="F8" s="65"/>
      <c r="G8" s="65"/>
      <c r="H8" s="65"/>
    </row>
    <row r="9" spans="1:8" ht="30" customHeight="1" x14ac:dyDescent="0.25">
      <c r="A9" s="48" t="s">
        <v>13</v>
      </c>
      <c r="B9" s="86" t="s">
        <v>14</v>
      </c>
      <c r="C9" s="65"/>
      <c r="D9" s="65"/>
      <c r="E9" s="65"/>
      <c r="F9" s="65"/>
      <c r="G9" s="65"/>
      <c r="H9" s="65"/>
    </row>
    <row r="10" spans="1:8" ht="30" customHeight="1" x14ac:dyDescent="0.25">
      <c r="A10" s="48" t="s">
        <v>15</v>
      </c>
      <c r="B10" s="86" t="s">
        <v>16</v>
      </c>
      <c r="C10" s="65"/>
      <c r="D10" s="65"/>
      <c r="E10" s="65"/>
      <c r="F10" s="65"/>
      <c r="G10" s="65"/>
      <c r="H10" s="65"/>
    </row>
    <row r="11" spans="1:8" ht="30" customHeight="1" x14ac:dyDescent="0.25">
      <c r="A11" s="48" t="s">
        <v>17</v>
      </c>
      <c r="B11" s="86" t="s">
        <v>18</v>
      </c>
      <c r="C11" s="65"/>
      <c r="D11" s="65"/>
      <c r="E11" s="65"/>
      <c r="F11" s="65"/>
      <c r="G11" s="65"/>
      <c r="H11" s="65"/>
    </row>
    <row r="12" spans="1:8" ht="30" customHeight="1" x14ac:dyDescent="0.25">
      <c r="A12" s="48" t="s">
        <v>19</v>
      </c>
      <c r="B12" s="86" t="s">
        <v>20</v>
      </c>
      <c r="C12" s="65"/>
      <c r="D12" s="65"/>
      <c r="E12" s="65"/>
      <c r="F12" s="65"/>
      <c r="G12" s="65"/>
      <c r="H12" s="65"/>
    </row>
    <row r="13" spans="1:8" ht="30" customHeight="1" x14ac:dyDescent="0.25">
      <c r="A13" s="48" t="s">
        <v>21</v>
      </c>
      <c r="B13" s="86" t="s">
        <v>22</v>
      </c>
      <c r="C13" s="65"/>
      <c r="D13" s="65"/>
      <c r="E13" s="65"/>
      <c r="F13" s="65"/>
      <c r="G13" s="65"/>
      <c r="H13" s="65"/>
    </row>
    <row r="14" spans="1:8" ht="30" customHeight="1" x14ac:dyDescent="0.25">
      <c r="A14" s="48" t="s">
        <v>23</v>
      </c>
      <c r="B14" s="86" t="s">
        <v>24</v>
      </c>
      <c r="C14" s="65"/>
      <c r="D14" s="65"/>
      <c r="E14" s="65"/>
      <c r="F14" s="65"/>
      <c r="G14" s="65"/>
      <c r="H14" s="65"/>
    </row>
    <row r="15" spans="1:8" ht="30" customHeight="1" x14ac:dyDescent="0.25">
      <c r="A15" s="48" t="s">
        <v>25</v>
      </c>
      <c r="B15" s="86" t="s">
        <v>26</v>
      </c>
      <c r="C15" s="65"/>
      <c r="D15" s="65"/>
      <c r="E15" s="65"/>
      <c r="F15" s="65"/>
      <c r="G15" s="65"/>
      <c r="H15" s="65"/>
    </row>
    <row r="16" spans="1:8" ht="30" customHeight="1" x14ac:dyDescent="0.25">
      <c r="A16" s="48" t="s">
        <v>27</v>
      </c>
      <c r="B16" s="86" t="s">
        <v>28</v>
      </c>
      <c r="C16" s="65"/>
      <c r="D16" s="65"/>
      <c r="E16" s="65"/>
      <c r="F16" s="65"/>
      <c r="G16" s="65"/>
      <c r="H16" s="65"/>
    </row>
    <row r="17" spans="1:2" ht="30" customHeight="1" x14ac:dyDescent="0.25">
      <c r="A17" s="47" t="s">
        <v>29</v>
      </c>
      <c r="B17" s="86" t="s">
        <v>30</v>
      </c>
    </row>
    <row r="18" spans="1:2" ht="30" customHeight="1" x14ac:dyDescent="0.25">
      <c r="A18" s="47" t="s">
        <v>31</v>
      </c>
      <c r="B18" s="86" t="s">
        <v>32</v>
      </c>
    </row>
    <row r="19" spans="1:2" ht="30" customHeight="1" x14ac:dyDescent="0.25">
      <c r="A19" s="47" t="s">
        <v>33</v>
      </c>
      <c r="B19" s="86" t="s">
        <v>34</v>
      </c>
    </row>
    <row r="20" spans="1:2" ht="30" customHeight="1" x14ac:dyDescent="0.25">
      <c r="A20" s="47" t="s">
        <v>35</v>
      </c>
      <c r="B20" s="86" t="s">
        <v>36</v>
      </c>
    </row>
    <row r="21" spans="1:2" ht="30" customHeight="1" x14ac:dyDescent="0.25">
      <c r="A21" s="47" t="s">
        <v>37</v>
      </c>
      <c r="B21" s="86" t="s">
        <v>38</v>
      </c>
    </row>
    <row r="22" spans="1:2" ht="15.75" customHeight="1" x14ac:dyDescent="0.25">
      <c r="A22" s="47" t="s">
        <v>39</v>
      </c>
      <c r="B22" s="86" t="s">
        <v>40</v>
      </c>
    </row>
    <row r="23" spans="1:2" ht="15.75" customHeight="1" x14ac:dyDescent="0.25">
      <c r="A23" s="47" t="s">
        <v>41</v>
      </c>
      <c r="B23" s="86" t="s">
        <v>42</v>
      </c>
    </row>
    <row r="24" spans="1:2" ht="15.75" customHeight="1" x14ac:dyDescent="0.25">
      <c r="A24" s="48" t="s">
        <v>43</v>
      </c>
      <c r="B24" s="65"/>
    </row>
    <row r="25" spans="1:2" x14ac:dyDescent="0.25">
      <c r="A25" s="87" t="s">
        <v>44</v>
      </c>
      <c r="B25" s="65"/>
    </row>
  </sheetData>
  <mergeCells count="1">
    <mergeCell ref="A2:H2"/>
  </mergeCells>
  <hyperlinks>
    <hyperlink ref="A9" location="'Dashboard'!A1" display="Dashboard" xr:uid="{00000000-0004-0000-0000-000000000000}"/>
    <hyperlink ref="A10" location="'Odds &amp; Rarity'!A1" display="Odds &amp; Rarity" xr:uid="{00000000-0004-0000-0000-000001000000}"/>
    <hyperlink ref="A11" location="'Base S1'!A1" display="Base S1" xr:uid="{00000000-0004-0000-0000-000002000000}"/>
    <hyperlink ref="A12" location="'Base S2'!A1" display="Base S2" xr:uid="{00000000-0004-0000-0000-000003000000}"/>
    <hyperlink ref="A13" location="'Characters'!A1" display="Characters" xr:uid="{00000000-0004-0000-0000-000004000000}"/>
    <hyperlink ref="A14" location="'Inserts - Story'!A1" display="Inserts - Story" xr:uid="{00000000-0004-0000-0000-000005000000}"/>
    <hyperlink ref="A15" location="'Team Ups'!A1" display="Team Ups" xr:uid="{00000000-0004-0000-0000-000006000000}"/>
    <hyperlink ref="A16" location="'A View From Home'!A1" display="A View From Home" xr:uid="{00000000-0004-0000-0000-000007000000}"/>
    <hyperlink ref="A17" location="Retro!A1" display="Retro" xr:uid="{00000000-0004-0000-0000-000008000000}"/>
    <hyperlink ref="A18" location="Inserts - General!A1" display="Inserts - General" xr:uid="{00000000-0004-0000-0000-000009000000}"/>
    <hyperlink ref="A19" location="Supes &amp; Supes SPs!A1" display="Supes &amp; Supes SPs" xr:uid="{00000000-0004-0000-0000-00000A000000}"/>
    <hyperlink ref="A20" location="Supes Suits!A1" display="Supes Suits" xr:uid="{00000000-0004-0000-0000-00000B000000}"/>
    <hyperlink ref="A21" location="Autos - Singles!A1" display="Autos - Singles" xr:uid="{00000000-0004-0000-0000-00000C000000}"/>
    <hyperlink ref="A22" location="Autos - Multi!A1" display="Autos - Multi" xr:uid="{00000000-0004-0000-0000-00000D000000}"/>
    <hyperlink ref="A23" location="Action Figures!A1" display="Action Figures" xr:uid="{00000000-0004-0000-0000-00000E000000}"/>
    <hyperlink ref="A24" location="Achievements!A1" display="Achievements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S135"/>
  <sheetViews>
    <sheetView showGridLines="0" tabSelected="1" zoomScaleNormal="100" workbookViewId="0">
      <pane ySplit="8" topLeftCell="A9" activePane="bottomLeft" state="frozen"/>
      <selection activeCell="F1" sqref="F1"/>
      <selection pane="bottomLeft" activeCell="A93" sqref="A93:H93"/>
    </sheetView>
  </sheetViews>
  <sheetFormatPr defaultRowHeight="15" x14ac:dyDescent="0.25"/>
  <cols>
    <col min="1" max="1" width="86" bestFit="1" customWidth="1"/>
    <col min="2" max="2" width="11" bestFit="1" customWidth="1"/>
    <col min="3" max="3" width="9.140625" bestFit="1" customWidth="1"/>
    <col min="4" max="5" width="10.28515625" bestFit="1" customWidth="1"/>
    <col min="6" max="6" width="9.42578125" bestFit="1" customWidth="1"/>
    <col min="7" max="7" width="12.28515625" bestFit="1" customWidth="1"/>
    <col min="8" max="9" width="14.5703125" bestFit="1" customWidth="1"/>
    <col min="10" max="10" width="19.28515625" customWidth="1"/>
    <col min="11" max="11" width="16.5703125" bestFit="1" customWidth="1"/>
    <col min="12" max="12" width="19" bestFit="1" customWidth="1"/>
    <col min="13" max="14" width="22" bestFit="1" customWidth="1"/>
    <col min="15" max="15" width="8" bestFit="1" customWidth="1"/>
    <col min="16" max="16" width="9.42578125" bestFit="1" customWidth="1"/>
    <col min="17" max="17" width="37.85546875" customWidth="1"/>
    <col min="18" max="18" width="21.5703125" customWidth="1"/>
    <col min="20" max="20" width="12.7109375" bestFit="1" customWidth="1"/>
    <col min="21" max="21" width="20.85546875" bestFit="1" customWidth="1"/>
  </cols>
  <sheetData>
    <row r="1" spans="1:18" ht="23.25" customHeight="1" x14ac:dyDescent="0.25">
      <c r="A1" s="88" t="s">
        <v>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3" spans="1:18" ht="15.75" customHeight="1" x14ac:dyDescent="0.25">
      <c r="A3" s="119" t="s">
        <v>45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65"/>
      <c r="P3" s="65"/>
      <c r="Q3" s="84" t="s">
        <v>46</v>
      </c>
      <c r="R3" s="65"/>
    </row>
    <row r="4" spans="1:18" ht="30" customHeight="1" x14ac:dyDescent="0.25">
      <c r="A4" s="1" t="s">
        <v>3</v>
      </c>
      <c r="B4" s="1" t="s">
        <v>4</v>
      </c>
      <c r="C4" s="1" t="s">
        <v>5</v>
      </c>
      <c r="D4" s="1" t="s">
        <v>47</v>
      </c>
      <c r="E4" s="1" t="s">
        <v>48</v>
      </c>
      <c r="F4" s="1" t="s">
        <v>6</v>
      </c>
      <c r="G4" s="1" t="s">
        <v>7</v>
      </c>
      <c r="H4" s="1" t="s">
        <v>49</v>
      </c>
      <c r="I4" s="1" t="s">
        <v>8</v>
      </c>
      <c r="J4" s="1" t="s">
        <v>50</v>
      </c>
      <c r="K4" s="1" t="s">
        <v>51</v>
      </c>
      <c r="L4" s="1" t="s">
        <v>9</v>
      </c>
      <c r="M4" s="1" t="s">
        <v>10</v>
      </c>
      <c r="N4" s="65"/>
      <c r="O4" s="65"/>
      <c r="P4" s="65"/>
      <c r="Q4" s="4" t="s">
        <v>52</v>
      </c>
      <c r="R4" s="2">
        <v>1000</v>
      </c>
    </row>
    <row r="5" spans="1:18" ht="15.75" customHeight="1" x14ac:dyDescent="0.25">
      <c r="A5" s="5">
        <f>COUNTIF(Data!$H$2:$H$5000,"Y")</f>
        <v>2396</v>
      </c>
      <c r="B5" s="5">
        <f>SUMIFS(Data!$L$2:$L$5000,Data!$H$2:$H$5000,"Y")</f>
        <v>1761</v>
      </c>
      <c r="C5" s="5">
        <f>SUMIFS(Data!$M$2:$M$5000,Data!$H$2:$H$5000,"Y")</f>
        <v>3</v>
      </c>
      <c r="D5" s="5">
        <f>B5+C5</f>
        <v>1764</v>
      </c>
      <c r="E5" s="5">
        <f>A5-D5</f>
        <v>632</v>
      </c>
      <c r="F5" s="20">
        <f>IF(A5=0,0,B5/A5)</f>
        <v>0.7349749582637729</v>
      </c>
      <c r="G5" s="20">
        <f>IF(A5=0,0,D5/A5)</f>
        <v>0.73622704507512526</v>
      </c>
      <c r="H5" s="104">
        <f>SUMIFS(Data!$J$2:$J$5000,Data!$H$2:$H$5000,"Y")</f>
        <v>83113</v>
      </c>
      <c r="I5" s="104">
        <f>SUM(Data!$P$2:$P$5000)</f>
        <v>21379</v>
      </c>
      <c r="J5" s="104">
        <f>SUM(Data!$Q$2:$Q$5000)</f>
        <v>456</v>
      </c>
      <c r="K5" s="104">
        <f>I5+J5</f>
        <v>21835</v>
      </c>
      <c r="L5" s="45">
        <f>IF(H5=0,0,I5/H5)</f>
        <v>0.25722811112581667</v>
      </c>
      <c r="M5" s="45">
        <f>IF(H5=0,0,K5/H5)</f>
        <v>0.26271461744853392</v>
      </c>
      <c r="N5" s="65"/>
      <c r="O5" s="65"/>
      <c r="P5" s="65"/>
      <c r="Q5" s="4" t="s">
        <v>53</v>
      </c>
      <c r="R5" s="2">
        <v>1</v>
      </c>
    </row>
    <row r="6" spans="1:18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4" t="s">
        <v>54</v>
      </c>
      <c r="R6" s="2">
        <v>2</v>
      </c>
    </row>
    <row r="7" spans="1:18" ht="15.75" customHeight="1" x14ac:dyDescent="0.25">
      <c r="A7" s="118" t="s">
        <v>55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65"/>
      <c r="P7" s="65"/>
      <c r="Q7" s="4" t="s">
        <v>56</v>
      </c>
      <c r="R7" s="2">
        <v>3</v>
      </c>
    </row>
    <row r="8" spans="1:18" ht="30" customHeight="1" x14ac:dyDescent="0.25">
      <c r="A8" s="1" t="s">
        <v>57</v>
      </c>
      <c r="B8" s="1" t="s">
        <v>3</v>
      </c>
      <c r="C8" s="1" t="s">
        <v>4</v>
      </c>
      <c r="D8" s="1" t="s">
        <v>5</v>
      </c>
      <c r="E8" s="1" t="s">
        <v>47</v>
      </c>
      <c r="F8" s="1" t="s">
        <v>48</v>
      </c>
      <c r="G8" s="1" t="s">
        <v>6</v>
      </c>
      <c r="H8" s="1" t="s">
        <v>7</v>
      </c>
      <c r="I8" s="105" t="s">
        <v>49</v>
      </c>
      <c r="J8" s="105" t="s">
        <v>8</v>
      </c>
      <c r="K8" s="105" t="s">
        <v>50</v>
      </c>
      <c r="L8" s="105" t="s">
        <v>51</v>
      </c>
      <c r="M8" s="1" t="s">
        <v>9</v>
      </c>
      <c r="N8" s="1" t="s">
        <v>10</v>
      </c>
      <c r="O8" s="65"/>
      <c r="P8" s="65"/>
      <c r="Q8" s="1" t="s">
        <v>58</v>
      </c>
      <c r="R8" s="1" t="s">
        <v>59</v>
      </c>
    </row>
    <row r="9" spans="1:18" x14ac:dyDescent="0.25">
      <c r="A9" s="123" t="s">
        <v>17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5"/>
      <c r="O9" s="65"/>
      <c r="P9" s="65"/>
      <c r="Q9" s="4" t="s">
        <v>60</v>
      </c>
      <c r="R9" s="2">
        <v>1</v>
      </c>
    </row>
    <row r="10" spans="1:18" x14ac:dyDescent="0.25">
      <c r="A10" s="4" t="s">
        <v>61</v>
      </c>
      <c r="B10" s="5">
        <f>COUNTIFS(Data!$B$2:$B$5000,$A10,Data!$H$2:$H$5000,"Y")</f>
        <v>100</v>
      </c>
      <c r="C10" s="5">
        <f>SUMIFS(Data!$L$2:$L$5000,Data!$B$2:$B$5000,$A10,Data!$H$2:$H$5000,"Y")</f>
        <v>100</v>
      </c>
      <c r="D10" s="5">
        <f>SUMIFS(Data!$M$2:$M$5000,Data!$B$2:$B$5000,$A10,Data!$H$2:$H$5000,"Y")</f>
        <v>0</v>
      </c>
      <c r="E10" s="5">
        <f t="shared" ref="E10:E17" si="0">C10+D10</f>
        <v>100</v>
      </c>
      <c r="F10" s="5">
        <f t="shared" ref="F10:F17" si="1">B10-E10</f>
        <v>0</v>
      </c>
      <c r="G10" s="6">
        <f t="shared" ref="G10:G17" si="2">IF(B10=0,0,C10/B10)</f>
        <v>1</v>
      </c>
      <c r="H10" s="6">
        <f t="shared" ref="H10:H17" si="3">IF(B10=0,0,E10/B10)</f>
        <v>1</v>
      </c>
      <c r="I10" s="104">
        <f>SUMIFS(Data!$J$2:$J$5000,Data!$B$2:$B$5000,$A10,Data!$H$2:$H$5000,"Y")</f>
        <v>100</v>
      </c>
      <c r="J10" s="104">
        <f>SUMIFS(Data!$P$2:$P$5000,Data!$B$2:$B$5000,$A10)</f>
        <v>100</v>
      </c>
      <c r="K10" s="104">
        <f>SUMIFS(Data!$Q$2:$Q$5000,Data!$B$2:$B$5000,$A10)</f>
        <v>0</v>
      </c>
      <c r="L10" s="104">
        <f t="shared" ref="L10:L17" si="4">J10+K10</f>
        <v>100</v>
      </c>
      <c r="M10" s="6">
        <f t="shared" ref="M10:M17" si="5">IF(I10=0,0,J10/I10)</f>
        <v>1</v>
      </c>
      <c r="N10" s="6">
        <f t="shared" ref="N10:N17" si="6">IF(I10=0,0,L10/I10)</f>
        <v>1</v>
      </c>
      <c r="O10" s="65"/>
      <c r="P10" s="65"/>
      <c r="Q10" s="4" t="s">
        <v>62</v>
      </c>
      <c r="R10" s="2">
        <v>1.2</v>
      </c>
    </row>
    <row r="11" spans="1:18" x14ac:dyDescent="0.25">
      <c r="A11" s="4" t="s">
        <v>63</v>
      </c>
      <c r="B11" s="5">
        <f>COUNTIFS(Data!$B$2:$B$5000,$A11,Data!$H$2:$H$5000,"Y")</f>
        <v>100</v>
      </c>
      <c r="C11" s="5">
        <f>SUMIFS(Data!$L$2:$L$5000,Data!$B$2:$B$5000,$A11,Data!$H$2:$H$5000,"Y")</f>
        <v>100</v>
      </c>
      <c r="D11" s="5">
        <f>SUMIFS(Data!$M$2:$M$5000,Data!$B$2:$B$5000,$A11,Data!$H$2:$H$5000,"Y")</f>
        <v>0</v>
      </c>
      <c r="E11" s="5">
        <f t="shared" si="0"/>
        <v>100</v>
      </c>
      <c r="F11" s="5">
        <f t="shared" si="1"/>
        <v>0</v>
      </c>
      <c r="G11" s="6">
        <f t="shared" si="2"/>
        <v>1</v>
      </c>
      <c r="H11" s="6">
        <f t="shared" si="3"/>
        <v>1</v>
      </c>
      <c r="I11" s="104">
        <f>SUMIFS(Data!$J$2:$J$5000,Data!$B$2:$B$5000,$A11,Data!$H$2:$H$5000,"Y")</f>
        <v>200</v>
      </c>
      <c r="J11" s="104">
        <f>SUMIFS(Data!$P$2:$P$5000,Data!$B$2:$B$5000,$A11)</f>
        <v>200</v>
      </c>
      <c r="K11" s="104">
        <f>SUMIFS(Data!$Q$2:$Q$5000,Data!$B$2:$B$5000,$A11)</f>
        <v>0</v>
      </c>
      <c r="L11" s="104">
        <f t="shared" si="4"/>
        <v>200</v>
      </c>
      <c r="M11" s="6">
        <f t="shared" si="5"/>
        <v>1</v>
      </c>
      <c r="N11" s="6">
        <f t="shared" si="6"/>
        <v>1</v>
      </c>
      <c r="O11" s="65"/>
      <c r="P11" s="65"/>
      <c r="Q11" s="4" t="s">
        <v>64</v>
      </c>
      <c r="R11" s="2">
        <v>1.3</v>
      </c>
    </row>
    <row r="12" spans="1:18" x14ac:dyDescent="0.25">
      <c r="A12" s="4" t="s">
        <v>65</v>
      </c>
      <c r="B12" s="5">
        <f>COUNTIFS(Data!$B$2:$B$5000,$A12,Data!$H$2:$H$5000,"Y")</f>
        <v>100</v>
      </c>
      <c r="C12" s="5">
        <f>SUMIFS(Data!$L$2:$L$5000,Data!$B$2:$B$5000,$A12,Data!$H$2:$H$5000,"Y")</f>
        <v>100</v>
      </c>
      <c r="D12" s="5">
        <f>SUMIFS(Data!$M$2:$M$5000,Data!$B$2:$B$5000,$A12,Data!$H$2:$H$5000,"Y")</f>
        <v>0</v>
      </c>
      <c r="E12" s="5">
        <f t="shared" si="0"/>
        <v>100</v>
      </c>
      <c r="F12" s="5">
        <f t="shared" si="1"/>
        <v>0</v>
      </c>
      <c r="G12" s="6">
        <f t="shared" si="2"/>
        <v>1</v>
      </c>
      <c r="H12" s="6">
        <f t="shared" si="3"/>
        <v>1</v>
      </c>
      <c r="I12" s="104">
        <f>SUMIFS(Data!$J$2:$J$5000,Data!$B$2:$B$5000,$A12,Data!$H$2:$H$5000,"Y")</f>
        <v>300</v>
      </c>
      <c r="J12" s="104">
        <f>SUMIFS(Data!$P$2:$P$5000,Data!$B$2:$B$5000,$A12)</f>
        <v>300</v>
      </c>
      <c r="K12" s="104">
        <f>SUMIFS(Data!$Q$2:$Q$5000,Data!$B$2:$B$5000,$A12)</f>
        <v>0</v>
      </c>
      <c r="L12" s="104">
        <f t="shared" si="4"/>
        <v>300</v>
      </c>
      <c r="M12" s="6">
        <f t="shared" si="5"/>
        <v>1</v>
      </c>
      <c r="N12" s="6">
        <f t="shared" si="6"/>
        <v>1</v>
      </c>
      <c r="O12" s="65"/>
      <c r="P12" s="65"/>
      <c r="Q12" s="4" t="s">
        <v>66</v>
      </c>
      <c r="R12" s="2">
        <v>1.8</v>
      </c>
    </row>
    <row r="13" spans="1:18" x14ac:dyDescent="0.25">
      <c r="A13" s="54" t="s">
        <v>67</v>
      </c>
      <c r="B13" s="100">
        <f>COUNTIFS(Data!$B$2:$B$5000,$A13,Data!$H$2:$H$5000,"Y")</f>
        <v>100</v>
      </c>
      <c r="C13" s="100">
        <f>SUMIFS(Data!$L$2:$L$5000,Data!$B$2:$B$5000,$A13,Data!$H$2:$H$5000,"Y")</f>
        <v>100</v>
      </c>
      <c r="D13" s="100">
        <f>SUMIFS(Data!$M$2:$M$5000,Data!$B$2:$B$5000,$A13,Data!$H$2:$H$5000,"Y")</f>
        <v>0</v>
      </c>
      <c r="E13" s="100">
        <f t="shared" si="0"/>
        <v>100</v>
      </c>
      <c r="F13" s="100">
        <f t="shared" si="1"/>
        <v>0</v>
      </c>
      <c r="G13" s="101">
        <f t="shared" si="2"/>
        <v>1</v>
      </c>
      <c r="H13" s="101">
        <f t="shared" si="3"/>
        <v>1</v>
      </c>
      <c r="I13" s="107">
        <f>SUMIFS(Data!$J$2:$J$5000,Data!$B$2:$B$5000,$A13,Data!$H$2:$H$5000,"Y")</f>
        <v>300</v>
      </c>
      <c r="J13" s="107">
        <f>SUMIFS(Data!$P$2:$P$5000,Data!$B$2:$B$5000,$A13)</f>
        <v>300</v>
      </c>
      <c r="K13" s="107">
        <f>SUMIFS(Data!$Q$2:$Q$5000,Data!$B$2:$B$5000,$A13)</f>
        <v>0</v>
      </c>
      <c r="L13" s="107">
        <f t="shared" si="4"/>
        <v>300</v>
      </c>
      <c r="M13" s="101">
        <f t="shared" si="5"/>
        <v>1</v>
      </c>
      <c r="N13" s="101">
        <f t="shared" si="6"/>
        <v>1</v>
      </c>
      <c r="O13" s="65"/>
      <c r="P13" s="65"/>
      <c r="Q13" s="4" t="s">
        <v>68</v>
      </c>
      <c r="R13" s="2">
        <v>2</v>
      </c>
    </row>
    <row r="14" spans="1:18" x14ac:dyDescent="0.25">
      <c r="A14" s="54" t="s">
        <v>69</v>
      </c>
      <c r="B14" s="100">
        <f>COUNTIFS(Data!$B$2:$B$5000,$A14,Data!$H$2:$H$5000,"Y")</f>
        <v>100</v>
      </c>
      <c r="C14" s="100">
        <f>SUMIFS(Data!$L$2:$L$5000,Data!$B$2:$B$5000,$A14,Data!$H$2:$H$5000,"Y")</f>
        <v>100</v>
      </c>
      <c r="D14" s="100">
        <f>SUMIFS(Data!$M$2:$M$5000,Data!$B$2:$B$5000,$A14,Data!$H$2:$H$5000,"Y")</f>
        <v>0</v>
      </c>
      <c r="E14" s="100">
        <f t="shared" si="0"/>
        <v>100</v>
      </c>
      <c r="F14" s="100">
        <f t="shared" si="1"/>
        <v>0</v>
      </c>
      <c r="G14" s="101">
        <f t="shared" si="2"/>
        <v>1</v>
      </c>
      <c r="H14" s="101">
        <f t="shared" si="3"/>
        <v>1</v>
      </c>
      <c r="I14" s="107">
        <f>SUMIFS(Data!$J$2:$J$5000,Data!$B$2:$B$5000,$A14,Data!$H$2:$H$5000,"Y")</f>
        <v>1200</v>
      </c>
      <c r="J14" s="107">
        <f>SUMIFS(Data!$P$2:$P$5000,Data!$B$2:$B$5000,$A14)</f>
        <v>1200</v>
      </c>
      <c r="K14" s="107">
        <f>SUMIFS(Data!$Q$2:$Q$5000,Data!$B$2:$B$5000,$A14)</f>
        <v>0</v>
      </c>
      <c r="L14" s="107">
        <f t="shared" si="4"/>
        <v>1200</v>
      </c>
      <c r="M14" s="101">
        <f t="shared" si="5"/>
        <v>1</v>
      </c>
      <c r="N14" s="101">
        <f t="shared" si="6"/>
        <v>1</v>
      </c>
      <c r="O14" s="65"/>
      <c r="P14" s="65"/>
      <c r="Q14" s="65"/>
      <c r="R14" s="65"/>
    </row>
    <row r="15" spans="1:18" x14ac:dyDescent="0.25">
      <c r="A15" s="54" t="s">
        <v>70</v>
      </c>
      <c r="B15" s="100">
        <f>COUNTIFS(Data!$B$2:$B$5000,$A15,Data!$H$2:$H$5000,"Y")</f>
        <v>100</v>
      </c>
      <c r="C15" s="100">
        <f>SUMIFS(Data!$L$2:$L$5000,Data!$B$2:$B$5000,$A15,Data!$H$2:$H$5000,"Y")</f>
        <v>41</v>
      </c>
      <c r="D15" s="100">
        <f>SUMIFS(Data!$M$2:$M$5000,Data!$B$2:$B$5000,$A15,Data!$H$2:$H$5000,"Y")</f>
        <v>0</v>
      </c>
      <c r="E15" s="100">
        <f t="shared" si="0"/>
        <v>41</v>
      </c>
      <c r="F15" s="100">
        <f t="shared" si="1"/>
        <v>59</v>
      </c>
      <c r="G15" s="101">
        <f t="shared" si="2"/>
        <v>0.41</v>
      </c>
      <c r="H15" s="101">
        <f t="shared" si="3"/>
        <v>0.41</v>
      </c>
      <c r="I15" s="107">
        <f>SUMIFS(Data!$J$2:$J$5000,Data!$B$2:$B$5000,$A15,Data!$H$2:$H$5000,"Y")</f>
        <v>4000</v>
      </c>
      <c r="J15" s="107">
        <f>SUMIFS(Data!$P$2:$P$5000,Data!$B$2:$B$5000,$A15)</f>
        <v>1640</v>
      </c>
      <c r="K15" s="107">
        <f>SUMIFS(Data!$Q$2:$Q$5000,Data!$B$2:$B$5000,$A15)</f>
        <v>0</v>
      </c>
      <c r="L15" s="107">
        <f t="shared" si="4"/>
        <v>1640</v>
      </c>
      <c r="M15" s="101">
        <f t="shared" si="5"/>
        <v>0.41</v>
      </c>
      <c r="N15" s="101">
        <f t="shared" si="6"/>
        <v>0.41</v>
      </c>
      <c r="O15" s="65"/>
      <c r="P15" s="65"/>
      <c r="Q15" s="1" t="s">
        <v>58</v>
      </c>
      <c r="R15" s="1" t="s">
        <v>71</v>
      </c>
    </row>
    <row r="16" spans="1:18" x14ac:dyDescent="0.25">
      <c r="A16" s="54" t="s">
        <v>72</v>
      </c>
      <c r="B16" s="100">
        <f>COUNTIFS(Data!$B$2:$B$5000,$A16,Data!$H$2:$H$5000,"Y")</f>
        <v>100</v>
      </c>
      <c r="C16" s="100">
        <f>SUMIFS(Data!$L$2:$L$5000,Data!$B$2:$B$5000,$A16,Data!$H$2:$H$5000,"Y")</f>
        <v>13</v>
      </c>
      <c r="D16" s="100">
        <f>SUMIFS(Data!$M$2:$M$5000,Data!$B$2:$B$5000,$A16,Data!$H$2:$H$5000,"Y")</f>
        <v>0</v>
      </c>
      <c r="E16" s="100">
        <f t="shared" si="0"/>
        <v>13</v>
      </c>
      <c r="F16" s="100">
        <f t="shared" si="1"/>
        <v>87</v>
      </c>
      <c r="G16" s="101">
        <f t="shared" si="2"/>
        <v>0.13</v>
      </c>
      <c r="H16" s="101">
        <f t="shared" si="3"/>
        <v>0.13</v>
      </c>
      <c r="I16" s="107">
        <f>SUMIFS(Data!$J$2:$J$5000,Data!$B$2:$B$5000,$A16,Data!$H$2:$H$5000,"Y")</f>
        <v>14300</v>
      </c>
      <c r="J16" s="107">
        <f>SUMIFS(Data!$P$2:$P$5000,Data!$B$2:$B$5000,$A16)</f>
        <v>1859</v>
      </c>
      <c r="K16" s="107">
        <f>SUMIFS(Data!$Q$2:$Q$5000,Data!$B$2:$B$5000,$A16)</f>
        <v>0</v>
      </c>
      <c r="L16" s="107">
        <f t="shared" si="4"/>
        <v>1859</v>
      </c>
      <c r="M16" s="101">
        <f t="shared" si="5"/>
        <v>0.13</v>
      </c>
      <c r="N16" s="101">
        <f t="shared" si="6"/>
        <v>0.13</v>
      </c>
      <c r="O16" s="65"/>
      <c r="P16" s="65"/>
      <c r="Q16" s="4" t="s">
        <v>60</v>
      </c>
      <c r="R16" s="2">
        <v>1</v>
      </c>
    </row>
    <row r="17" spans="1:19" x14ac:dyDescent="0.25">
      <c r="A17" s="23" t="s">
        <v>73</v>
      </c>
      <c r="B17" s="24">
        <f>SUM(B10:B16)</f>
        <v>700</v>
      </c>
      <c r="C17" s="24">
        <f>SUM(C10:C16)</f>
        <v>554</v>
      </c>
      <c r="D17" s="24">
        <f>SUM(D10:D16)</f>
        <v>0</v>
      </c>
      <c r="E17" s="24">
        <f t="shared" si="0"/>
        <v>554</v>
      </c>
      <c r="F17" s="24">
        <f t="shared" si="1"/>
        <v>146</v>
      </c>
      <c r="G17" s="25">
        <f t="shared" si="2"/>
        <v>0.79142857142857148</v>
      </c>
      <c r="H17" s="25">
        <f t="shared" si="3"/>
        <v>0.79142857142857148</v>
      </c>
      <c r="I17" s="108">
        <f>SUM(I10:I16)</f>
        <v>20400</v>
      </c>
      <c r="J17" s="108">
        <f>SUM(J10:J16)</f>
        <v>5599</v>
      </c>
      <c r="K17" s="108">
        <f>SUM(K10:K16)</f>
        <v>0</v>
      </c>
      <c r="L17" s="108">
        <f t="shared" si="4"/>
        <v>5599</v>
      </c>
      <c r="M17" s="25">
        <f t="shared" si="5"/>
        <v>0.2744607843137255</v>
      </c>
      <c r="N17" s="6">
        <f t="shared" si="6"/>
        <v>0.2744607843137255</v>
      </c>
      <c r="O17" s="65"/>
      <c r="P17" s="65"/>
      <c r="Q17" s="4" t="s">
        <v>62</v>
      </c>
      <c r="R17" s="2">
        <v>5</v>
      </c>
    </row>
    <row r="18" spans="1:19" s="65" customFormat="1" x14ac:dyDescent="0.25">
      <c r="A18" s="66"/>
      <c r="B18" s="67"/>
      <c r="C18" s="67"/>
      <c r="D18" s="67"/>
      <c r="E18" s="67"/>
      <c r="F18" s="67"/>
      <c r="G18" s="68"/>
      <c r="H18" s="68"/>
      <c r="I18" s="109"/>
      <c r="J18" s="109"/>
      <c r="K18" s="109"/>
      <c r="L18" s="109"/>
      <c r="M18" s="68"/>
      <c r="N18" s="69"/>
      <c r="Q18" s="4"/>
      <c r="R18" s="2"/>
    </row>
    <row r="19" spans="1:19" x14ac:dyDescent="0.25">
      <c r="A19" s="123" t="s">
        <v>19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5"/>
      <c r="O19" s="65"/>
      <c r="P19" s="65"/>
      <c r="Q19" s="4" t="s">
        <v>64</v>
      </c>
      <c r="R19" s="2">
        <v>15</v>
      </c>
    </row>
    <row r="20" spans="1:19" x14ac:dyDescent="0.25">
      <c r="A20" s="4" t="s">
        <v>74</v>
      </c>
      <c r="B20" s="5">
        <f>COUNTIFS(Data!$B$2:$B$5000,$A20,Data!$H$2:$H$5000,"Y")</f>
        <v>100</v>
      </c>
      <c r="C20" s="5">
        <f>SUMIFS(Data!$L$2:$L$5000,Data!$B$2:$B$5000,$A20,Data!$H$2:$H$5000,"Y")</f>
        <v>100</v>
      </c>
      <c r="D20" s="5">
        <f>SUMIFS(Data!$M$2:$M$5000,Data!$B$2:$B$5000,$A20,Data!$H$2:$H$5000,"Y")</f>
        <v>0</v>
      </c>
      <c r="E20" s="5">
        <f t="shared" ref="E20:E27" si="7">C20+D20</f>
        <v>100</v>
      </c>
      <c r="F20" s="5">
        <f t="shared" ref="F20:F27" si="8">B20-E20</f>
        <v>0</v>
      </c>
      <c r="G20" s="6">
        <f t="shared" ref="G20:G27" si="9">IF(B20=0,0,C20/B20)</f>
        <v>1</v>
      </c>
      <c r="H20" s="6">
        <f t="shared" ref="H20:H27" si="10">IF(B20=0,0,E20/B20)</f>
        <v>1</v>
      </c>
      <c r="I20" s="104">
        <f>SUMIFS(Data!$J$2:$J$5000,Data!$B$2:$B$5000,$A20,Data!$H$2:$H$5000,"Y")</f>
        <v>100</v>
      </c>
      <c r="J20" s="104">
        <f>SUMIFS(Data!$P$2:$P$5000,Data!$B$2:$B$5000,$A20)</f>
        <v>100</v>
      </c>
      <c r="K20" s="104">
        <f>SUMIFS(Data!$Q$2:$Q$5000,Data!$B$2:$B$5000,$A20)</f>
        <v>0</v>
      </c>
      <c r="L20" s="104">
        <f t="shared" ref="L20:L27" si="11">J20+K20</f>
        <v>100</v>
      </c>
      <c r="M20" s="6">
        <f t="shared" ref="M20:M27" si="12">IF(I20=0,0,J20/I20)</f>
        <v>1</v>
      </c>
      <c r="N20" s="6">
        <f t="shared" ref="N20:N27" si="13">IF(I20=0,0,L20/I20)</f>
        <v>1</v>
      </c>
      <c r="O20" s="65"/>
      <c r="P20" s="65"/>
      <c r="Q20" s="4" t="s">
        <v>66</v>
      </c>
      <c r="R20" s="2">
        <v>25</v>
      </c>
    </row>
    <row r="21" spans="1:19" x14ac:dyDescent="0.25">
      <c r="A21" s="4" t="s">
        <v>75</v>
      </c>
      <c r="B21" s="5">
        <f>COUNTIFS(Data!$B$2:$B$5000,$A21,Data!$H$2:$H$5000,"Y")</f>
        <v>100</v>
      </c>
      <c r="C21" s="5">
        <f>SUMIFS(Data!$L$2:$L$5000,Data!$B$2:$B$5000,$A21,Data!$H$2:$H$5000,"Y")</f>
        <v>100</v>
      </c>
      <c r="D21" s="5">
        <f>SUMIFS(Data!$M$2:$M$5000,Data!$B$2:$B$5000,$A21,Data!$H$2:$H$5000,"Y")</f>
        <v>0</v>
      </c>
      <c r="E21" s="5">
        <f t="shared" si="7"/>
        <v>100</v>
      </c>
      <c r="F21" s="5">
        <f t="shared" si="8"/>
        <v>0</v>
      </c>
      <c r="G21" s="6">
        <f t="shared" si="9"/>
        <v>1</v>
      </c>
      <c r="H21" s="6">
        <f t="shared" si="10"/>
        <v>1</v>
      </c>
      <c r="I21" s="104">
        <f>SUMIFS(Data!$J$2:$J$5000,Data!$B$2:$B$5000,$A21,Data!$H$2:$H$5000,"Y")</f>
        <v>200</v>
      </c>
      <c r="J21" s="104">
        <f>SUMIFS(Data!$P$2:$P$5000,Data!$B$2:$B$5000,$A21)</f>
        <v>200</v>
      </c>
      <c r="K21" s="104">
        <f>SUMIFS(Data!$Q$2:$Q$5000,Data!$B$2:$B$5000,$A21)</f>
        <v>0</v>
      </c>
      <c r="L21" s="104">
        <f t="shared" si="11"/>
        <v>200</v>
      </c>
      <c r="M21" s="6">
        <f t="shared" si="12"/>
        <v>1</v>
      </c>
      <c r="N21" s="6">
        <f t="shared" si="13"/>
        <v>1</v>
      </c>
      <c r="O21" s="65"/>
      <c r="P21" s="65"/>
      <c r="Q21" s="4" t="s">
        <v>68</v>
      </c>
      <c r="R21" s="2">
        <v>25</v>
      </c>
    </row>
    <row r="22" spans="1:19" x14ac:dyDescent="0.25">
      <c r="A22" s="4" t="s">
        <v>76</v>
      </c>
      <c r="B22" s="5">
        <f>COUNTIFS(Data!$B$2:$B$5000,$A22,Data!$H$2:$H$5000,"Y")</f>
        <v>100</v>
      </c>
      <c r="C22" s="5">
        <f>SUMIFS(Data!$L$2:$L$5000,Data!$B$2:$B$5000,$A22,Data!$H$2:$H$5000,"Y")</f>
        <v>100</v>
      </c>
      <c r="D22" s="5">
        <f>SUMIFS(Data!$M$2:$M$5000,Data!$B$2:$B$5000,$A22,Data!$H$2:$H$5000,"Y")</f>
        <v>0</v>
      </c>
      <c r="E22" s="5">
        <f t="shared" si="7"/>
        <v>100</v>
      </c>
      <c r="F22" s="5">
        <f t="shared" si="8"/>
        <v>0</v>
      </c>
      <c r="G22" s="6">
        <f t="shared" si="9"/>
        <v>1</v>
      </c>
      <c r="H22" s="6">
        <f t="shared" si="10"/>
        <v>1</v>
      </c>
      <c r="I22" s="104">
        <f>SUMIFS(Data!$J$2:$J$5000,Data!$B$2:$B$5000,$A22,Data!$H$2:$H$5000,"Y")</f>
        <v>300</v>
      </c>
      <c r="J22" s="104">
        <f>SUMIFS(Data!$P$2:$P$5000,Data!$B$2:$B$5000,$A22)</f>
        <v>300</v>
      </c>
      <c r="K22" s="104">
        <f>SUMIFS(Data!$Q$2:$Q$5000,Data!$B$2:$B$5000,$A22)</f>
        <v>0</v>
      </c>
      <c r="L22" s="104">
        <f t="shared" si="11"/>
        <v>300</v>
      </c>
      <c r="M22" s="6">
        <f t="shared" si="12"/>
        <v>1</v>
      </c>
      <c r="N22" s="6">
        <f t="shared" si="13"/>
        <v>1</v>
      </c>
      <c r="O22" s="65"/>
      <c r="P22" s="65"/>
      <c r="Q22" s="65"/>
      <c r="R22" s="65"/>
    </row>
    <row r="23" spans="1:19" x14ac:dyDescent="0.25">
      <c r="A23" s="54" t="s">
        <v>77</v>
      </c>
      <c r="B23" s="100">
        <f>COUNTIFS(Data!$B$2:$B$5000,$A23,Data!$H$2:$H$5000,"Y")</f>
        <v>100</v>
      </c>
      <c r="C23" s="100">
        <f>SUMIFS(Data!$L$2:$L$5000,Data!$B$2:$B$5000,$A23,Data!$H$2:$H$5000,"Y")</f>
        <v>100</v>
      </c>
      <c r="D23" s="100">
        <f>SUMIFS(Data!$M$2:$M$5000,Data!$B$2:$B$5000,$A23,Data!$H$2:$H$5000,"Y")</f>
        <v>0</v>
      </c>
      <c r="E23" s="100">
        <f t="shared" si="7"/>
        <v>100</v>
      </c>
      <c r="F23" s="100">
        <f t="shared" si="8"/>
        <v>0</v>
      </c>
      <c r="G23" s="101">
        <f t="shared" si="9"/>
        <v>1</v>
      </c>
      <c r="H23" s="101">
        <f t="shared" si="10"/>
        <v>1</v>
      </c>
      <c r="I23" s="107">
        <f>SUMIFS(Data!$J$2:$J$5000,Data!$B$2:$B$5000,$A23,Data!$H$2:$H$5000,"Y")</f>
        <v>300</v>
      </c>
      <c r="J23" s="107">
        <f>SUMIFS(Data!$P$2:$P$5000,Data!$B$2:$B$5000,$A23)</f>
        <v>300</v>
      </c>
      <c r="K23" s="107">
        <f>SUMIFS(Data!$Q$2:$Q$5000,Data!$B$2:$B$5000,$A23)</f>
        <v>0</v>
      </c>
      <c r="L23" s="107">
        <f t="shared" si="11"/>
        <v>300</v>
      </c>
      <c r="M23" s="101">
        <f t="shared" si="12"/>
        <v>1</v>
      </c>
      <c r="N23" s="101">
        <f t="shared" si="13"/>
        <v>1</v>
      </c>
      <c r="O23" s="65"/>
      <c r="P23" s="65"/>
      <c r="Q23" s="54" t="s">
        <v>78</v>
      </c>
      <c r="R23" s="56">
        <v>0.1</v>
      </c>
    </row>
    <row r="24" spans="1:19" x14ac:dyDescent="0.25">
      <c r="A24" s="54" t="s">
        <v>79</v>
      </c>
      <c r="B24" s="100">
        <f>COUNTIFS(Data!$B$2:$B$5000,$A24,Data!$H$2:$H$5000,"Y")</f>
        <v>100</v>
      </c>
      <c r="C24" s="100">
        <f>SUMIFS(Data!$L$2:$L$5000,Data!$B$2:$B$5000,$A24,Data!$H$2:$H$5000,"Y")</f>
        <v>100</v>
      </c>
      <c r="D24" s="100">
        <f>SUMIFS(Data!$M$2:$M$5000,Data!$B$2:$B$5000,$A24,Data!$H$2:$H$5000,"Y")</f>
        <v>0</v>
      </c>
      <c r="E24" s="100">
        <f t="shared" si="7"/>
        <v>100</v>
      </c>
      <c r="F24" s="100">
        <f t="shared" si="8"/>
        <v>0</v>
      </c>
      <c r="G24" s="101">
        <f t="shared" si="9"/>
        <v>1</v>
      </c>
      <c r="H24" s="101">
        <f t="shared" si="10"/>
        <v>1</v>
      </c>
      <c r="I24" s="107">
        <f>SUMIFS(Data!$J$2:$J$5000,Data!$B$2:$B$5000,$A24,Data!$H$2:$H$5000,"Y")</f>
        <v>1200</v>
      </c>
      <c r="J24" s="107">
        <f>SUMIFS(Data!$P$2:$P$5000,Data!$B$2:$B$5000,$A24)</f>
        <v>1200</v>
      </c>
      <c r="K24" s="107">
        <f>SUMIFS(Data!$Q$2:$Q$5000,Data!$B$2:$B$5000,$A24)</f>
        <v>0</v>
      </c>
      <c r="L24" s="107">
        <f t="shared" si="11"/>
        <v>1200</v>
      </c>
      <c r="M24" s="101">
        <f t="shared" si="12"/>
        <v>1</v>
      </c>
      <c r="N24" s="101">
        <f t="shared" si="13"/>
        <v>1</v>
      </c>
      <c r="O24" s="65"/>
      <c r="P24" s="65"/>
      <c r="Q24" s="54" t="s">
        <v>80</v>
      </c>
      <c r="R24" s="57">
        <v>250</v>
      </c>
    </row>
    <row r="25" spans="1:19" ht="15.75" customHeight="1" x14ac:dyDescent="0.25">
      <c r="A25" s="54" t="s">
        <v>81</v>
      </c>
      <c r="B25" s="100">
        <f>COUNTIFS(Data!$B$2:$B$5000,$A25,Data!$H$2:$H$5000,"Y")</f>
        <v>100</v>
      </c>
      <c r="C25" s="100">
        <f>SUMIFS(Data!$L$2:$L$5000,Data!$B$2:$B$5000,$A25,Data!$H$2:$H$5000,"Y")</f>
        <v>45</v>
      </c>
      <c r="D25" s="100">
        <f>SUMIFS(Data!$M$2:$M$5000,Data!$B$2:$B$5000,$A25,Data!$H$2:$H$5000,"Y")</f>
        <v>0</v>
      </c>
      <c r="E25" s="100">
        <f t="shared" si="7"/>
        <v>45</v>
      </c>
      <c r="F25" s="100">
        <f t="shared" si="8"/>
        <v>55</v>
      </c>
      <c r="G25" s="101">
        <f t="shared" si="9"/>
        <v>0.45</v>
      </c>
      <c r="H25" s="101">
        <f t="shared" si="10"/>
        <v>0.45</v>
      </c>
      <c r="I25" s="107">
        <f>SUMIFS(Data!$J$2:$J$5000,Data!$B$2:$B$5000,$A25,Data!$H$2:$H$5000,"Y")</f>
        <v>4000</v>
      </c>
      <c r="J25" s="107">
        <f>SUMIFS(Data!$P$2:$P$5000,Data!$B$2:$B$5000,$A25)</f>
        <v>1800</v>
      </c>
      <c r="K25" s="107">
        <f>SUMIFS(Data!$Q$2:$Q$5000,Data!$B$2:$B$5000,$A25)</f>
        <v>0</v>
      </c>
      <c r="L25" s="107">
        <f t="shared" si="11"/>
        <v>1800</v>
      </c>
      <c r="M25" s="101">
        <f t="shared" si="12"/>
        <v>0.45</v>
      </c>
      <c r="N25" s="101">
        <f t="shared" si="13"/>
        <v>0.45</v>
      </c>
      <c r="O25" s="65"/>
      <c r="P25" s="65"/>
      <c r="Q25" s="65"/>
      <c r="R25" s="65"/>
    </row>
    <row r="26" spans="1:19" x14ac:dyDescent="0.25">
      <c r="A26" s="54" t="s">
        <v>82</v>
      </c>
      <c r="B26" s="100">
        <f>COUNTIFS(Data!$B$2:$B$5000,$A26,Data!$H$2:$H$5000,"Y")</f>
        <v>100</v>
      </c>
      <c r="C26" s="100">
        <f>SUMIFS(Data!$L$2:$L$5000,Data!$B$2:$B$5000,$A26,Data!$H$2:$H$5000,"Y")</f>
        <v>14</v>
      </c>
      <c r="D26" s="100">
        <f>SUMIFS(Data!$M$2:$M$5000,Data!$B$2:$B$5000,$A26,Data!$H$2:$H$5000,"Y")</f>
        <v>0</v>
      </c>
      <c r="E26" s="100">
        <f t="shared" si="7"/>
        <v>14</v>
      </c>
      <c r="F26" s="100">
        <f t="shared" si="8"/>
        <v>86</v>
      </c>
      <c r="G26" s="101">
        <f t="shared" si="9"/>
        <v>0.14000000000000001</v>
      </c>
      <c r="H26" s="101">
        <f t="shared" si="10"/>
        <v>0.14000000000000001</v>
      </c>
      <c r="I26" s="107">
        <f>SUMIFS(Data!$J$2:$J$5000,Data!$B$2:$B$5000,$A26,Data!$H$2:$H$5000,"Y")</f>
        <v>14300</v>
      </c>
      <c r="J26" s="107">
        <f>SUMIFS(Data!$P$2:$P$5000,Data!$B$2:$B$5000,$A26)</f>
        <v>2002</v>
      </c>
      <c r="K26" s="107">
        <f>SUMIFS(Data!$Q$2:$Q$5000,Data!$B$2:$B$5000,$A26)</f>
        <v>0</v>
      </c>
      <c r="L26" s="107">
        <f t="shared" si="11"/>
        <v>2002</v>
      </c>
      <c r="M26" s="101">
        <f t="shared" si="12"/>
        <v>0.14000000000000001</v>
      </c>
      <c r="N26" s="101">
        <f t="shared" si="13"/>
        <v>0.14000000000000001</v>
      </c>
      <c r="O26" s="65"/>
      <c r="P26" s="65"/>
      <c r="Q26" s="65"/>
      <c r="R26" s="65"/>
    </row>
    <row r="27" spans="1:19" ht="30" customHeight="1" x14ac:dyDescent="0.25">
      <c r="A27" s="23" t="s">
        <v>83</v>
      </c>
      <c r="B27" s="24">
        <f>SUM(B20:B26)</f>
        <v>700</v>
      </c>
      <c r="C27" s="24">
        <f>SUM(C20:C26)</f>
        <v>559</v>
      </c>
      <c r="D27" s="24">
        <f>SUM(D20:D26)</f>
        <v>0</v>
      </c>
      <c r="E27" s="24">
        <f t="shared" si="7"/>
        <v>559</v>
      </c>
      <c r="F27" s="24">
        <f t="shared" si="8"/>
        <v>141</v>
      </c>
      <c r="G27" s="25">
        <f t="shared" si="9"/>
        <v>0.7985714285714286</v>
      </c>
      <c r="H27" s="25">
        <f t="shared" si="10"/>
        <v>0.7985714285714286</v>
      </c>
      <c r="I27" s="108">
        <f>SUM(I20:I26)</f>
        <v>20400</v>
      </c>
      <c r="J27" s="108">
        <f>SUM(J20:J26)</f>
        <v>5902</v>
      </c>
      <c r="K27" s="108">
        <f>SUM(K20:K26)</f>
        <v>0</v>
      </c>
      <c r="L27" s="108">
        <f t="shared" si="11"/>
        <v>5902</v>
      </c>
      <c r="M27" s="32">
        <f t="shared" si="12"/>
        <v>0.28931372549019607</v>
      </c>
      <c r="N27" s="49">
        <f t="shared" si="13"/>
        <v>0.28931372549019607</v>
      </c>
      <c r="O27" s="27"/>
      <c r="P27" s="27"/>
      <c r="Q27" s="1" t="s">
        <v>84</v>
      </c>
      <c r="R27" s="1" t="s">
        <v>85</v>
      </c>
      <c r="S27" s="1" t="s">
        <v>59</v>
      </c>
    </row>
    <row r="28" spans="1:19" s="65" customFormat="1" x14ac:dyDescent="0.25">
      <c r="A28" s="23"/>
      <c r="B28" s="24"/>
      <c r="C28" s="24"/>
      <c r="D28" s="24"/>
      <c r="E28" s="24"/>
      <c r="F28" s="24"/>
      <c r="G28" s="25"/>
      <c r="H28" s="25"/>
      <c r="I28" s="108"/>
      <c r="J28" s="108"/>
      <c r="K28" s="108"/>
      <c r="L28" s="108"/>
      <c r="M28" s="32"/>
      <c r="N28" s="64"/>
      <c r="O28" s="27"/>
      <c r="P28" s="27"/>
      <c r="Q28" s="54" t="s">
        <v>25</v>
      </c>
      <c r="R28" s="55">
        <v>10</v>
      </c>
      <c r="S28" s="55"/>
    </row>
    <row r="29" spans="1:19" x14ac:dyDescent="0.25">
      <c r="A29" s="4" t="s">
        <v>21</v>
      </c>
      <c r="B29" s="5">
        <f>COUNTIFS(Data!$B$2:$B$5000,$A29,Data!$H$2:$H$5000,"Y")</f>
        <v>50</v>
      </c>
      <c r="C29" s="5">
        <f>SUMIFS(Data!$L$2:$L$5000,Data!$B$2:$B$5000,$A29,Data!$H$2:$H$5000,"Y")</f>
        <v>50</v>
      </c>
      <c r="D29" s="5">
        <f>SUMIFS(Data!$M$2:$M$5000,Data!$B$2:$B$5000,$A29,Data!$H$2:$H$5000,"Y")</f>
        <v>0</v>
      </c>
      <c r="E29" s="5">
        <f t="shared" ref="E29:E36" si="14">C29+D29</f>
        <v>50</v>
      </c>
      <c r="F29" s="5">
        <f t="shared" ref="F29:F36" si="15">B29-E29</f>
        <v>0</v>
      </c>
      <c r="G29" s="6">
        <f t="shared" ref="G29:G36" si="16">IF(B29=0,0,C29/B29)</f>
        <v>1</v>
      </c>
      <c r="H29" s="6">
        <f t="shared" ref="H29:H36" si="17">IF(B29=0,0,E29/B29)</f>
        <v>1</v>
      </c>
      <c r="I29" s="104">
        <f>SUMIFS(Data!$J$2:$J$5000,Data!$B$2:$B$5000,$A29,Data!$H$2:$H$5000,"Y")</f>
        <v>50</v>
      </c>
      <c r="J29" s="104">
        <f>SUMIFS(Data!$P$2:$P$5000,Data!$B$2:$B$5000,$A29)</f>
        <v>50</v>
      </c>
      <c r="K29" s="104">
        <f>SUMIFS(Data!$Q$2:$Q$5000,Data!$B$2:$B$5000,$A29)</f>
        <v>0</v>
      </c>
      <c r="L29" s="104">
        <f t="shared" ref="L29:L36" si="18">J29+K29</f>
        <v>50</v>
      </c>
      <c r="M29" s="26">
        <f t="shared" ref="M29:M36" si="19">IF(I29=0,0,J29/I29)</f>
        <v>1</v>
      </c>
      <c r="N29" s="33">
        <f t="shared" ref="N29:N36" si="20">IF(I29=0,0,L29/I29)</f>
        <v>1</v>
      </c>
      <c r="O29" s="28"/>
      <c r="P29" s="29"/>
      <c r="Q29" s="54" t="s">
        <v>86</v>
      </c>
      <c r="R29" s="55">
        <v>60</v>
      </c>
      <c r="S29" s="55"/>
    </row>
    <row r="30" spans="1:19" x14ac:dyDescent="0.25">
      <c r="A30" s="4" t="s">
        <v>87</v>
      </c>
      <c r="B30" s="5">
        <f>COUNTIFS(Data!$B$2:$B$5000,$A30,Data!$H$2:$H$5000,"Y")</f>
        <v>50</v>
      </c>
      <c r="C30" s="5">
        <f>SUMIFS(Data!$L$2:$L$5000,Data!$B$2:$B$5000,$A30,Data!$H$2:$H$5000,"Y")</f>
        <v>50</v>
      </c>
      <c r="D30" s="5">
        <f>SUMIFS(Data!$M$2:$M$5000,Data!$B$2:$B$5000,$A30,Data!$H$2:$H$5000,"Y")</f>
        <v>0</v>
      </c>
      <c r="E30" s="5">
        <f t="shared" si="14"/>
        <v>50</v>
      </c>
      <c r="F30" s="5">
        <f t="shared" si="15"/>
        <v>0</v>
      </c>
      <c r="G30" s="6">
        <f t="shared" si="16"/>
        <v>1</v>
      </c>
      <c r="H30" s="6">
        <f t="shared" si="17"/>
        <v>1</v>
      </c>
      <c r="I30" s="104">
        <f>SUMIFS(Data!$J$2:$J$5000,Data!$B$2:$B$5000,$A30,Data!$H$2:$H$5000,"Y")</f>
        <v>100</v>
      </c>
      <c r="J30" s="104">
        <f>SUMIFS(Data!$P$2:$P$5000,Data!$B$2:$B$5000,$A30)</f>
        <v>100</v>
      </c>
      <c r="K30" s="104">
        <f>SUMIFS(Data!$Q$2:$Q$5000,Data!$B$2:$B$5000,$A30)</f>
        <v>0</v>
      </c>
      <c r="L30" s="104">
        <f t="shared" si="18"/>
        <v>100</v>
      </c>
      <c r="M30" s="26">
        <f t="shared" si="19"/>
        <v>1</v>
      </c>
      <c r="N30" s="33">
        <f t="shared" si="20"/>
        <v>1</v>
      </c>
      <c r="O30" s="28"/>
      <c r="P30" s="29"/>
      <c r="Q30" s="54" t="s">
        <v>88</v>
      </c>
      <c r="R30" s="55"/>
      <c r="S30" s="55">
        <v>1.333333333333333</v>
      </c>
    </row>
    <row r="31" spans="1:19" x14ac:dyDescent="0.25">
      <c r="A31" s="4" t="s">
        <v>89</v>
      </c>
      <c r="B31" s="5">
        <f>COUNTIFS(Data!$B$2:$B$5000,$A31,Data!$H$2:$H$5000,"Y")</f>
        <v>50</v>
      </c>
      <c r="C31" s="5">
        <f>SUMIFS(Data!$L$2:$L$5000,Data!$B$2:$B$5000,$A31,Data!$H$2:$H$5000,"Y")</f>
        <v>50</v>
      </c>
      <c r="D31" s="5">
        <f>SUMIFS(Data!$M$2:$M$5000,Data!$B$2:$B$5000,$A31,Data!$H$2:$H$5000,"Y")</f>
        <v>0</v>
      </c>
      <c r="E31" s="5">
        <f t="shared" si="14"/>
        <v>50</v>
      </c>
      <c r="F31" s="5">
        <f t="shared" si="15"/>
        <v>0</v>
      </c>
      <c r="G31" s="6">
        <f t="shared" si="16"/>
        <v>1</v>
      </c>
      <c r="H31" s="6">
        <f t="shared" si="17"/>
        <v>1</v>
      </c>
      <c r="I31" s="104">
        <f>SUMIFS(Data!$J$2:$J$5000,Data!$B$2:$B$5000,$A31,Data!$H$2:$H$5000,"Y")</f>
        <v>138</v>
      </c>
      <c r="J31" s="104">
        <f>SUMIFS(Data!$P$2:$P$5000,Data!$B$2:$B$5000,$A31)</f>
        <v>138</v>
      </c>
      <c r="K31" s="104">
        <f>SUMIFS(Data!$Q$2:$Q$5000,Data!$B$2:$B$5000,$A31)</f>
        <v>0</v>
      </c>
      <c r="L31" s="104">
        <f t="shared" si="18"/>
        <v>138</v>
      </c>
      <c r="M31" s="26">
        <f t="shared" si="19"/>
        <v>1</v>
      </c>
      <c r="N31" s="33">
        <f t="shared" si="20"/>
        <v>1</v>
      </c>
      <c r="O31" s="28"/>
      <c r="P31" s="29"/>
      <c r="Q31" s="54" t="s">
        <v>90</v>
      </c>
      <c r="R31" s="55"/>
      <c r="S31" s="55">
        <v>2</v>
      </c>
    </row>
    <row r="32" spans="1:19" x14ac:dyDescent="0.25">
      <c r="A32" s="54" t="s">
        <v>91</v>
      </c>
      <c r="B32" s="100">
        <f>COUNTIFS(Data!$B$2:$B$5000,$A32,Data!$H$2:$H$5000,"Y")</f>
        <v>50</v>
      </c>
      <c r="C32" s="100">
        <f>SUMIFS(Data!$L$2:$L$5000,Data!$B$2:$B$5000,$A32,Data!$H$2:$H$5000,"Y")</f>
        <v>50</v>
      </c>
      <c r="D32" s="100">
        <f>SUMIFS(Data!$M$2:$M$5000,Data!$B$2:$B$5000,$A32,Data!$H$2:$H$5000,"Y")</f>
        <v>0</v>
      </c>
      <c r="E32" s="100">
        <f t="shared" si="14"/>
        <v>50</v>
      </c>
      <c r="F32" s="100">
        <f t="shared" si="15"/>
        <v>0</v>
      </c>
      <c r="G32" s="101">
        <f t="shared" si="16"/>
        <v>1</v>
      </c>
      <c r="H32" s="101">
        <f t="shared" si="17"/>
        <v>1</v>
      </c>
      <c r="I32" s="107">
        <f>SUMIFS(Data!$J$2:$J$5000,Data!$B$2:$B$5000,$A32,Data!$H$2:$H$5000,"Y")</f>
        <v>156</v>
      </c>
      <c r="J32" s="107">
        <f>SUMIFS(Data!$P$2:$P$5000,Data!$B$2:$B$5000,$A32)</f>
        <v>156</v>
      </c>
      <c r="K32" s="107">
        <f>SUMIFS(Data!$Q$2:$Q$5000,Data!$B$2:$B$5000,$A32)</f>
        <v>0</v>
      </c>
      <c r="L32" s="107">
        <f t="shared" si="18"/>
        <v>156</v>
      </c>
      <c r="M32" s="102">
        <f t="shared" si="19"/>
        <v>1</v>
      </c>
      <c r="N32" s="103">
        <f t="shared" si="20"/>
        <v>1</v>
      </c>
      <c r="O32" s="28"/>
      <c r="P32" s="29"/>
      <c r="Q32" s="54" t="s">
        <v>92</v>
      </c>
      <c r="R32" s="55"/>
      <c r="S32" s="55">
        <v>2</v>
      </c>
    </row>
    <row r="33" spans="1:19" ht="27.75" customHeight="1" x14ac:dyDescent="0.25">
      <c r="A33" s="54" t="s">
        <v>93</v>
      </c>
      <c r="B33" s="100">
        <f>COUNTIFS(Data!$B$2:$B$5000,$A33,Data!$H$2:$H$5000,"Y")</f>
        <v>50</v>
      </c>
      <c r="C33" s="100">
        <f>SUMIFS(Data!$L$2:$L$5000,Data!$B$2:$B$5000,$A33,Data!$H$2:$H$5000,"Y")</f>
        <v>50</v>
      </c>
      <c r="D33" s="100">
        <f>SUMIFS(Data!$M$2:$M$5000,Data!$B$2:$B$5000,$A33,Data!$H$2:$H$5000,"Y")</f>
        <v>0</v>
      </c>
      <c r="E33" s="100">
        <f t="shared" si="14"/>
        <v>50</v>
      </c>
      <c r="F33" s="100">
        <f t="shared" si="15"/>
        <v>0</v>
      </c>
      <c r="G33" s="101">
        <f t="shared" si="16"/>
        <v>1</v>
      </c>
      <c r="H33" s="101">
        <f t="shared" si="17"/>
        <v>1</v>
      </c>
      <c r="I33" s="107">
        <f>SUMIFS(Data!$J$2:$J$5000,Data!$B$2:$B$5000,$A33,Data!$H$2:$H$5000,"Y")</f>
        <v>618</v>
      </c>
      <c r="J33" s="107">
        <f>SUMIFS(Data!$P$2:$P$5000,Data!$B$2:$B$5000,$A33)</f>
        <v>618</v>
      </c>
      <c r="K33" s="107">
        <f>SUMIFS(Data!$Q$2:$Q$5000,Data!$B$2:$B$5000,$A33)</f>
        <v>0</v>
      </c>
      <c r="L33" s="107">
        <f t="shared" si="18"/>
        <v>618</v>
      </c>
      <c r="M33" s="102">
        <f t="shared" si="19"/>
        <v>1</v>
      </c>
      <c r="N33" s="103">
        <f t="shared" si="20"/>
        <v>1</v>
      </c>
      <c r="O33" s="28"/>
      <c r="P33" s="29"/>
      <c r="Q33" s="54" t="s">
        <v>94</v>
      </c>
      <c r="R33" s="55"/>
      <c r="S33" s="55">
        <v>1.5</v>
      </c>
    </row>
    <row r="34" spans="1:19" x14ac:dyDescent="0.25">
      <c r="A34" s="54" t="s">
        <v>95</v>
      </c>
      <c r="B34" s="100">
        <f>COUNTIFS(Data!$B$2:$B$5000,$A34,Data!$H$2:$H$5000,"Y")</f>
        <v>50</v>
      </c>
      <c r="C34" s="100">
        <f>SUMIFS(Data!$L$2:$L$5000,Data!$B$2:$B$5000,$A34,Data!$H$2:$H$5000,"Y")</f>
        <v>32</v>
      </c>
      <c r="D34" s="100">
        <f>SUMIFS(Data!$M$2:$M$5000,Data!$B$2:$B$5000,$A34,Data!$H$2:$H$5000,"Y")</f>
        <v>0</v>
      </c>
      <c r="E34" s="100">
        <f t="shared" si="14"/>
        <v>32</v>
      </c>
      <c r="F34" s="100">
        <f t="shared" si="15"/>
        <v>18</v>
      </c>
      <c r="G34" s="101">
        <f t="shared" si="16"/>
        <v>0.64</v>
      </c>
      <c r="H34" s="101">
        <f t="shared" si="17"/>
        <v>0.64</v>
      </c>
      <c r="I34" s="107">
        <f>SUMIFS(Data!$J$2:$J$5000,Data!$B$2:$B$5000,$A34,Data!$H$2:$H$5000,"Y")</f>
        <v>2048</v>
      </c>
      <c r="J34" s="107">
        <f>SUMIFS(Data!$P$2:$P$5000,Data!$B$2:$B$5000,$A34)</f>
        <v>1316</v>
      </c>
      <c r="K34" s="107">
        <f>SUMIFS(Data!$Q$2:$Q$5000,Data!$B$2:$B$5000,$A34)</f>
        <v>0</v>
      </c>
      <c r="L34" s="107">
        <f t="shared" si="18"/>
        <v>1316</v>
      </c>
      <c r="M34" s="102">
        <f t="shared" si="19"/>
        <v>0.642578125</v>
      </c>
      <c r="N34" s="103">
        <f t="shared" si="20"/>
        <v>0.642578125</v>
      </c>
      <c r="O34" s="30"/>
      <c r="P34" s="31"/>
      <c r="Q34" s="54" t="s">
        <v>96</v>
      </c>
      <c r="R34" s="55"/>
      <c r="S34" s="55">
        <v>3</v>
      </c>
    </row>
    <row r="35" spans="1:19" x14ac:dyDescent="0.25">
      <c r="A35" s="54" t="s">
        <v>97</v>
      </c>
      <c r="B35" s="100">
        <f>COUNTIFS(Data!$B$2:$B$5000,$A35,Data!$H$2:$H$5000,"Y")</f>
        <v>50</v>
      </c>
      <c r="C35" s="100">
        <f>SUMIFS(Data!$L$2:$L$5000,Data!$B$2:$B$5000,$A35,Data!$H$2:$H$5000,"Y")</f>
        <v>8</v>
      </c>
      <c r="D35" s="100">
        <f>SUMIFS(Data!$M$2:$M$5000,Data!$B$2:$B$5000,$A35,Data!$H$2:$H$5000,"Y")</f>
        <v>0</v>
      </c>
      <c r="E35" s="100">
        <f t="shared" si="14"/>
        <v>8</v>
      </c>
      <c r="F35" s="100">
        <f t="shared" si="15"/>
        <v>42</v>
      </c>
      <c r="G35" s="101">
        <f t="shared" si="16"/>
        <v>0.16</v>
      </c>
      <c r="H35" s="101">
        <f t="shared" si="17"/>
        <v>0.16</v>
      </c>
      <c r="I35" s="107">
        <f>SUMIFS(Data!$J$2:$J$5000,Data!$B$2:$B$5000,$A35,Data!$H$2:$H$5000,"Y")</f>
        <v>7318</v>
      </c>
      <c r="J35" s="107">
        <f>SUMIFS(Data!$P$2:$P$5000,Data!$B$2:$B$5000,$A35)</f>
        <v>1060</v>
      </c>
      <c r="K35" s="107">
        <f>SUMIFS(Data!$Q$2:$Q$5000,Data!$B$2:$B$5000,$A35)</f>
        <v>0</v>
      </c>
      <c r="L35" s="107">
        <f t="shared" si="18"/>
        <v>1060</v>
      </c>
      <c r="M35" s="102">
        <f t="shared" si="19"/>
        <v>0.1448483192128997</v>
      </c>
      <c r="N35" s="103">
        <f t="shared" si="20"/>
        <v>0.1448483192128997</v>
      </c>
      <c r="O35" s="65"/>
      <c r="P35" s="65"/>
      <c r="Q35" s="54" t="s">
        <v>98</v>
      </c>
      <c r="R35" s="55"/>
      <c r="S35" s="55">
        <v>4</v>
      </c>
    </row>
    <row r="36" spans="1:19" ht="15.75" customHeight="1" x14ac:dyDescent="0.25">
      <c r="A36" s="23" t="s">
        <v>99</v>
      </c>
      <c r="B36" s="24">
        <f>SUM(B29:B35)</f>
        <v>350</v>
      </c>
      <c r="C36" s="24">
        <f>SUM(C29:C35)</f>
        <v>290</v>
      </c>
      <c r="D36" s="24">
        <f>SUM(D29:D35)</f>
        <v>0</v>
      </c>
      <c r="E36" s="24">
        <f t="shared" si="14"/>
        <v>290</v>
      </c>
      <c r="F36" s="24">
        <f t="shared" si="15"/>
        <v>60</v>
      </c>
      <c r="G36" s="25">
        <f t="shared" si="16"/>
        <v>0.82857142857142863</v>
      </c>
      <c r="H36" s="25">
        <f t="shared" si="17"/>
        <v>0.82857142857142863</v>
      </c>
      <c r="I36" s="108">
        <f>SUM(I29:I35)</f>
        <v>10428</v>
      </c>
      <c r="J36" s="108">
        <f>SUM(J29:J35)</f>
        <v>3438</v>
      </c>
      <c r="K36" s="108">
        <f>SUM(K29:K35)</f>
        <v>0</v>
      </c>
      <c r="L36" s="108">
        <f t="shared" si="18"/>
        <v>3438</v>
      </c>
      <c r="M36" s="25">
        <f t="shared" si="19"/>
        <v>0.32968929804372843</v>
      </c>
      <c r="N36" s="70">
        <f t="shared" si="20"/>
        <v>0.32968929804372843</v>
      </c>
      <c r="O36" s="65"/>
      <c r="P36" s="65"/>
      <c r="Q36" s="54" t="s">
        <v>100</v>
      </c>
      <c r="R36" s="55"/>
      <c r="S36" s="55">
        <v>2</v>
      </c>
    </row>
    <row r="37" spans="1:19" s="65" customFormat="1" ht="15.75" customHeight="1" x14ac:dyDescent="0.25">
      <c r="A37" s="66"/>
      <c r="B37" s="67"/>
      <c r="C37" s="67"/>
      <c r="D37" s="67"/>
      <c r="E37" s="67"/>
      <c r="F37" s="67"/>
      <c r="G37" s="68"/>
      <c r="H37" s="68"/>
      <c r="I37" s="109"/>
      <c r="J37" s="109"/>
      <c r="K37" s="109"/>
      <c r="L37" s="109"/>
      <c r="M37" s="68"/>
      <c r="N37" s="70"/>
      <c r="Q37" s="54" t="s">
        <v>101</v>
      </c>
      <c r="R37" s="55"/>
      <c r="S37" s="55">
        <v>3</v>
      </c>
    </row>
    <row r="38" spans="1:19" x14ac:dyDescent="0.25">
      <c r="A38" s="123" t="s">
        <v>23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5"/>
      <c r="O38" s="65"/>
      <c r="P38" s="65"/>
      <c r="Q38" s="54" t="s">
        <v>102</v>
      </c>
      <c r="R38" s="55"/>
      <c r="S38" s="55">
        <v>4</v>
      </c>
    </row>
    <row r="39" spans="1:19" x14ac:dyDescent="0.25">
      <c r="A39" s="4" t="s">
        <v>103</v>
      </c>
      <c r="B39" s="5">
        <f>COUNTIFS(Data!$B$2:$B$5000,$A39,Data!$H$2:$H$5000,"Y")</f>
        <v>15</v>
      </c>
      <c r="C39" s="5">
        <f>SUMIFS(Data!$L$2:$L$5000,Data!$B$2:$B$5000,$A39,Data!$H$2:$H$5000,"Y")</f>
        <v>15</v>
      </c>
      <c r="D39" s="5">
        <f>SUMIFS(Data!$M$2:$M$5000,Data!$B$2:$B$5000,$A39,Data!$H$2:$H$5000,"Y")</f>
        <v>0</v>
      </c>
      <c r="E39" s="5">
        <f>C39+D39</f>
        <v>15</v>
      </c>
      <c r="F39" s="5">
        <f>B39-E39</f>
        <v>0</v>
      </c>
      <c r="G39" s="6">
        <f>IF(B39=0,0,C39/B39)</f>
        <v>1</v>
      </c>
      <c r="H39" s="6">
        <f>IF(B39=0,0,E39/B39)</f>
        <v>1</v>
      </c>
      <c r="I39" s="104">
        <f>SUMIFS(Data!$J$2:$J$5000,Data!$B$2:$B$5000,$A39,Data!$H$2:$H$5000,"Y")</f>
        <v>15</v>
      </c>
      <c r="J39" s="104">
        <f>SUMIFS(Data!$P$2:$P$5000,Data!$B$2:$B$5000,$A39)</f>
        <v>15</v>
      </c>
      <c r="K39" s="104">
        <f>SUMIFS(Data!$Q$2:$Q$5000,Data!$B$2:$B$5000,$A39)</f>
        <v>0</v>
      </c>
      <c r="L39" s="104">
        <f>J39+K39</f>
        <v>15</v>
      </c>
      <c r="M39" s="6">
        <f>IF(I39=0,0,J39/I39)</f>
        <v>1</v>
      </c>
      <c r="N39" s="6">
        <f>IF(I39=0,0,L39/I39)</f>
        <v>1</v>
      </c>
      <c r="O39" s="65"/>
      <c r="P39" s="65"/>
      <c r="Q39" s="54" t="s">
        <v>104</v>
      </c>
      <c r="R39" s="55"/>
      <c r="S39" s="55">
        <v>0.78</v>
      </c>
    </row>
    <row r="40" spans="1:19" x14ac:dyDescent="0.25">
      <c r="A40" s="4" t="s">
        <v>105</v>
      </c>
      <c r="B40" s="5">
        <f>COUNTIFS(Data!$B$2:$B$5000,$A40,Data!$H$2:$H$5000,"Y")</f>
        <v>15</v>
      </c>
      <c r="C40" s="5">
        <f>SUMIFS(Data!$L$2:$L$5000,Data!$B$2:$B$5000,$A40,Data!$H$2:$H$5000,"Y")</f>
        <v>15</v>
      </c>
      <c r="D40" s="5">
        <f>SUMIFS(Data!$M$2:$M$5000,Data!$B$2:$B$5000,$A40,Data!$H$2:$H$5000,"Y")</f>
        <v>0</v>
      </c>
      <c r="E40" s="5">
        <f>C40+D40</f>
        <v>15</v>
      </c>
      <c r="F40" s="5">
        <f>B40-E40</f>
        <v>0</v>
      </c>
      <c r="G40" s="6">
        <f>IF(B40=0,0,C40/B40)</f>
        <v>1</v>
      </c>
      <c r="H40" s="6">
        <f>IF(B40=0,0,E40/B40)</f>
        <v>1</v>
      </c>
      <c r="I40" s="104">
        <f>SUMIFS(Data!$J$2:$J$5000,Data!$B$2:$B$5000,$A40,Data!$H$2:$H$5000,"Y")</f>
        <v>15</v>
      </c>
      <c r="J40" s="104">
        <f>SUMIFS(Data!$P$2:$P$5000,Data!$B$2:$B$5000,$A40)</f>
        <v>15</v>
      </c>
      <c r="K40" s="104">
        <f>SUMIFS(Data!$Q$2:$Q$5000,Data!$B$2:$B$5000,$A40)</f>
        <v>0</v>
      </c>
      <c r="L40" s="104">
        <f>J40+K40</f>
        <v>15</v>
      </c>
      <c r="M40" s="6">
        <f>IF(I40=0,0,J40/I40)</f>
        <v>1</v>
      </c>
      <c r="N40" s="6">
        <f>IF(I40=0,0,L40/I40)</f>
        <v>1</v>
      </c>
      <c r="O40" s="65"/>
      <c r="P40" s="65"/>
      <c r="Q40" s="54" t="s">
        <v>106</v>
      </c>
      <c r="R40" s="55"/>
      <c r="S40" s="55">
        <v>0.78</v>
      </c>
    </row>
    <row r="41" spans="1:19" x14ac:dyDescent="0.25">
      <c r="A41" s="4" t="s">
        <v>107</v>
      </c>
      <c r="B41" s="5">
        <f>COUNTIFS(Data!$B$2:$B$5000,$A41,Data!$H$2:$H$5000,"Y")</f>
        <v>15</v>
      </c>
      <c r="C41" s="5">
        <f>SUMIFS(Data!$L$2:$L$5000,Data!$B$2:$B$5000,$A41,Data!$H$2:$H$5000,"Y")</f>
        <v>15</v>
      </c>
      <c r="D41" s="5">
        <f>SUMIFS(Data!$M$2:$M$5000,Data!$B$2:$B$5000,$A41,Data!$H$2:$H$5000,"Y")</f>
        <v>0</v>
      </c>
      <c r="E41" s="5">
        <f>C41+D41</f>
        <v>15</v>
      </c>
      <c r="F41" s="5">
        <f>B41-E41</f>
        <v>0</v>
      </c>
      <c r="G41" s="6">
        <f>IF(B41=0,0,C41/B41)</f>
        <v>1</v>
      </c>
      <c r="H41" s="6">
        <f>IF(B41=0,0,E41/B41)</f>
        <v>1</v>
      </c>
      <c r="I41" s="104">
        <f>SUMIFS(Data!$J$2:$J$5000,Data!$B$2:$B$5000,$A41,Data!$H$2:$H$5000,"Y")</f>
        <v>15</v>
      </c>
      <c r="J41" s="104">
        <f>SUMIFS(Data!$P$2:$P$5000,Data!$B$2:$B$5000,$A41)</f>
        <v>15</v>
      </c>
      <c r="K41" s="104">
        <f>SUMIFS(Data!$Q$2:$Q$5000,Data!$B$2:$B$5000,$A41)</f>
        <v>0</v>
      </c>
      <c r="L41" s="104">
        <f>J41+K41</f>
        <v>15</v>
      </c>
      <c r="M41" s="6">
        <f>IF(I41=0,0,J41/I41)</f>
        <v>1</v>
      </c>
      <c r="N41" s="6">
        <f>IF(I41=0,0,L41/I41)</f>
        <v>1</v>
      </c>
      <c r="O41" s="65"/>
      <c r="P41" s="65"/>
      <c r="Q41" s="54" t="s">
        <v>108</v>
      </c>
      <c r="R41" s="55"/>
      <c r="S41" s="55">
        <v>0.78</v>
      </c>
    </row>
    <row r="42" spans="1:19" x14ac:dyDescent="0.25">
      <c r="A42" s="120" t="s">
        <v>109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2"/>
      <c r="O42" s="65"/>
      <c r="P42" s="65"/>
      <c r="Q42" s="65" t="s">
        <v>103</v>
      </c>
      <c r="R42">
        <v>1</v>
      </c>
    </row>
    <row r="43" spans="1:19" x14ac:dyDescent="0.25">
      <c r="A43" s="4" t="s">
        <v>104</v>
      </c>
      <c r="B43" s="5">
        <f>COUNTIFS(Data!$B$2:$B$5000,$A43,Data!$H$2:$H$5000,"Y")</f>
        <v>15</v>
      </c>
      <c r="C43" s="5">
        <f>SUMIFS(Data!$L$2:$L$5000,Data!$B$2:$B$5000,$A43,Data!$H$2:$H$5000,"Y")</f>
        <v>2</v>
      </c>
      <c r="D43" s="5">
        <f>SUMIFS(Data!$M$2:$M$5000,Data!$B$2:$B$5000,$A43,Data!$H$2:$H$5000,"Y")</f>
        <v>0</v>
      </c>
      <c r="E43" s="5">
        <f>C43+D43</f>
        <v>2</v>
      </c>
      <c r="F43" s="5">
        <f>B43-E43</f>
        <v>13</v>
      </c>
      <c r="G43" s="6">
        <f>IF(B43=0,0,C43/B43)</f>
        <v>0.13333333333333333</v>
      </c>
      <c r="H43" s="6">
        <f>IF(B43=0,0,E43/B43)</f>
        <v>0.13333333333333333</v>
      </c>
      <c r="I43" s="104">
        <f>SUMIFS(Data!$J$2:$J$5000,Data!$B$2:$B$5000,$A43,Data!$H$2:$H$5000,"Y")</f>
        <v>2010</v>
      </c>
      <c r="J43" s="104">
        <f>SUMIFS(Data!$P$2:$P$5000,Data!$B$2:$B$5000,$A43)</f>
        <v>268</v>
      </c>
      <c r="K43" s="104">
        <f>SUMIFS(Data!$Q$2:$Q$5000,Data!$B$2:$B$5000,$A43)</f>
        <v>0</v>
      </c>
      <c r="L43" s="104">
        <f>J43+K43</f>
        <v>268</v>
      </c>
      <c r="M43" s="6">
        <f>IF(I43=0,0,J43/I43)</f>
        <v>0.13333333333333333</v>
      </c>
      <c r="N43" s="6">
        <f>IF(I43=0,0,L43/I43)</f>
        <v>0.13333333333333333</v>
      </c>
      <c r="O43" s="65"/>
      <c r="P43" s="65"/>
      <c r="Q43" s="65" t="s">
        <v>105</v>
      </c>
      <c r="R43">
        <v>1</v>
      </c>
    </row>
    <row r="44" spans="1:19" x14ac:dyDescent="0.25">
      <c r="A44" s="4" t="s">
        <v>106</v>
      </c>
      <c r="B44" s="5">
        <f>COUNTIFS(Data!$B$2:$B$5000,$A44,Data!$H$2:$H$5000,"Y")</f>
        <v>15</v>
      </c>
      <c r="C44" s="5">
        <f>SUMIFS(Data!$L$2:$L$5000,Data!$B$2:$B$5000,$A44,Data!$H$2:$H$5000,"Y")</f>
        <v>5</v>
      </c>
      <c r="D44" s="5">
        <f>SUMIFS(Data!$M$2:$M$5000,Data!$B$2:$B$5000,$A44,Data!$H$2:$H$5000,"Y")</f>
        <v>0</v>
      </c>
      <c r="E44" s="5">
        <f>C44+D44</f>
        <v>5</v>
      </c>
      <c r="F44" s="5">
        <f>B44-E44</f>
        <v>10</v>
      </c>
      <c r="G44" s="6">
        <f>IF(B44=0,0,C44/B44)</f>
        <v>0.33333333333333331</v>
      </c>
      <c r="H44" s="6">
        <f>IF(B44=0,0,E44/B44)</f>
        <v>0.33333333333333331</v>
      </c>
      <c r="I44" s="104">
        <f>SUMIFS(Data!$J$2:$J$5000,Data!$B$2:$B$5000,$A44,Data!$H$2:$H$5000,"Y")</f>
        <v>2010</v>
      </c>
      <c r="J44" s="104">
        <f>SUMIFS(Data!$P$2:$P$5000,Data!$B$2:$B$5000,$A44)</f>
        <v>670</v>
      </c>
      <c r="K44" s="104">
        <f>SUMIFS(Data!$Q$2:$Q$5000,Data!$B$2:$B$5000,$A44)</f>
        <v>0</v>
      </c>
      <c r="L44" s="104">
        <f>J44+K44</f>
        <v>670</v>
      </c>
      <c r="M44" s="6">
        <f>IF(I44=0,0,J44/I44)</f>
        <v>0.33333333333333331</v>
      </c>
      <c r="N44" s="6">
        <f>IF(I44=0,0,L44/I44)</f>
        <v>0.33333333333333331</v>
      </c>
      <c r="O44" s="65"/>
      <c r="P44" s="65"/>
      <c r="Q44" s="65" t="s">
        <v>107</v>
      </c>
      <c r="R44">
        <v>1</v>
      </c>
    </row>
    <row r="45" spans="1:19" x14ac:dyDescent="0.25">
      <c r="A45" s="4" t="s">
        <v>108</v>
      </c>
      <c r="B45" s="5">
        <f>COUNTIFS(Data!$B$2:$B$5000,$A45,Data!$H$2:$H$5000,"Y")</f>
        <v>15</v>
      </c>
      <c r="C45" s="5">
        <f>SUMIFS(Data!$L$2:$L$5000,Data!$B$2:$B$5000,$A45,Data!$H$2:$H$5000,"Y")</f>
        <v>1</v>
      </c>
      <c r="D45" s="5">
        <f>SUMIFS(Data!$M$2:$M$5000,Data!$B$2:$B$5000,$A45,Data!$H$2:$H$5000,"Y")</f>
        <v>0</v>
      </c>
      <c r="E45" s="5">
        <f>C45+D45</f>
        <v>1</v>
      </c>
      <c r="F45" s="5">
        <f>B45-E45</f>
        <v>14</v>
      </c>
      <c r="G45" s="6">
        <f>IF(B45=0,0,C45/B45)</f>
        <v>6.6666666666666666E-2</v>
      </c>
      <c r="H45" s="6">
        <f>IF(B45=0,0,E45/B45)</f>
        <v>6.6666666666666666E-2</v>
      </c>
      <c r="I45" s="104">
        <f>SUMIFS(Data!$J$2:$J$5000,Data!$B$2:$B$5000,$A45,Data!$H$2:$H$5000,"Y")</f>
        <v>2010</v>
      </c>
      <c r="J45" s="104">
        <f>SUMIFS(Data!$P$2:$P$5000,Data!$B$2:$B$5000,$A45)</f>
        <v>134</v>
      </c>
      <c r="K45" s="104">
        <f>SUMIFS(Data!$Q$2:$Q$5000,Data!$B$2:$B$5000,$A45)</f>
        <v>0</v>
      </c>
      <c r="L45" s="104">
        <f>J45+K45</f>
        <v>134</v>
      </c>
      <c r="M45" s="6">
        <f>IF(I45=0,0,J45/I45)</f>
        <v>6.6666666666666666E-2</v>
      </c>
      <c r="N45" s="6">
        <f>IF(I45=0,0,L45/I45)</f>
        <v>6.6666666666666666E-2</v>
      </c>
      <c r="O45" s="65"/>
      <c r="P45" s="65"/>
      <c r="Q45" s="65" t="s">
        <v>41</v>
      </c>
      <c r="R45">
        <v>1</v>
      </c>
    </row>
    <row r="46" spans="1:19" x14ac:dyDescent="0.25">
      <c r="A46" s="23" t="s">
        <v>110</v>
      </c>
      <c r="B46" s="24">
        <f>SUM(B39:B45)</f>
        <v>90</v>
      </c>
      <c r="C46" s="24">
        <f>SUM(C39:C45)</f>
        <v>53</v>
      </c>
      <c r="D46" s="24">
        <f>SUM(D39:D45)</f>
        <v>0</v>
      </c>
      <c r="E46" s="24">
        <f>C46+D46</f>
        <v>53</v>
      </c>
      <c r="F46" s="24">
        <f>B46-E46</f>
        <v>37</v>
      </c>
      <c r="G46" s="25">
        <f>IF(B46=0,0,C46/B46)</f>
        <v>0.58888888888888891</v>
      </c>
      <c r="H46" s="25">
        <f>IF(B46=0,0,E46/B46)</f>
        <v>0.58888888888888891</v>
      </c>
      <c r="I46" s="108">
        <f>SUM(I39:I45)</f>
        <v>6075</v>
      </c>
      <c r="J46" s="108">
        <f>SUM(J39:J45)</f>
        <v>1117</v>
      </c>
      <c r="K46" s="108">
        <f>SUM(K39:K45)</f>
        <v>0</v>
      </c>
      <c r="L46" s="108">
        <f>J46+K46</f>
        <v>1117</v>
      </c>
      <c r="M46" s="25">
        <f>IF(I46=0,0,J46/I46)</f>
        <v>0.18386831275720164</v>
      </c>
      <c r="N46" s="25">
        <f>IF(I46=0,0,L46/I46)</f>
        <v>0.18386831275720164</v>
      </c>
      <c r="O46" s="65"/>
      <c r="P46" s="65"/>
      <c r="Q46" s="65" t="s">
        <v>111</v>
      </c>
      <c r="S46">
        <v>1.25</v>
      </c>
    </row>
    <row r="47" spans="1:19" x14ac:dyDescent="0.25">
      <c r="I47" s="110"/>
      <c r="J47" s="110"/>
      <c r="K47" s="110"/>
      <c r="L47" s="110"/>
      <c r="Q47" t="s">
        <v>112</v>
      </c>
      <c r="S47">
        <v>1.25</v>
      </c>
    </row>
    <row r="48" spans="1:19" x14ac:dyDescent="0.25">
      <c r="A48" s="117" t="s">
        <v>25</v>
      </c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65"/>
      <c r="P48" s="65"/>
      <c r="Q48" s="65" t="s">
        <v>113</v>
      </c>
      <c r="S48">
        <v>1.25</v>
      </c>
    </row>
    <row r="49" spans="1:19" x14ac:dyDescent="0.25">
      <c r="A49" s="4" t="s">
        <v>25</v>
      </c>
      <c r="B49" s="5">
        <f>COUNTIFS(Data!$B$2:$B$5000,$A49,Data!$H$2:$H$5000,"Y")</f>
        <v>25</v>
      </c>
      <c r="C49" s="5">
        <f>SUMIFS(Data!$L$2:$L$5000,Data!$B$2:$B$5000,$A49,Data!$H$2:$H$5000,"Y")</f>
        <v>25</v>
      </c>
      <c r="D49" s="5">
        <f>SUMIFS(Data!$M$2:$M$5000,Data!$B$2:$B$5000,$A49,Data!$H$2:$H$5000,"Y")</f>
        <v>0</v>
      </c>
      <c r="E49" s="5">
        <f>C49+D49</f>
        <v>25</v>
      </c>
      <c r="F49" s="5">
        <f>B49-E49</f>
        <v>0</v>
      </c>
      <c r="G49" s="6">
        <f>IF(B49=0,0,C49/B49)</f>
        <v>1</v>
      </c>
      <c r="H49" s="6">
        <f>IF(B49=0,0,E49/B49)</f>
        <v>1</v>
      </c>
      <c r="I49" s="104">
        <f>SUMIFS(Data!$J$2:$J$5000,Data!$B$2:$B$5000,$A49,Data!$H$2:$H$5000,"Y")</f>
        <v>250</v>
      </c>
      <c r="J49" s="104">
        <f>SUMIFS(Data!$P$2:$P$5000,Data!$B$2:$B$5000,$A49)</f>
        <v>250</v>
      </c>
      <c r="K49" s="104">
        <f>SUMIFS(Data!$Q$2:$Q$5000,Data!$B$2:$B$5000,$A49)</f>
        <v>0</v>
      </c>
      <c r="L49" s="104">
        <f>J49+K49</f>
        <v>250</v>
      </c>
      <c r="M49" s="6">
        <f>IF(I49=0,0,J49/I49)</f>
        <v>1</v>
      </c>
      <c r="N49" s="6">
        <f>IF(I49=0,0,L49/I49)</f>
        <v>1</v>
      </c>
      <c r="Q49" t="s">
        <v>114</v>
      </c>
      <c r="S49">
        <v>1.25</v>
      </c>
    </row>
    <row r="50" spans="1:19" x14ac:dyDescent="0.25">
      <c r="A50" s="23" t="s">
        <v>115</v>
      </c>
      <c r="B50" s="24">
        <f>SUM(B49:B49)</f>
        <v>25</v>
      </c>
      <c r="C50" s="24">
        <f>SUM(C49:C49)</f>
        <v>25</v>
      </c>
      <c r="D50" s="24">
        <f>SUM(D49:D49)</f>
        <v>0</v>
      </c>
      <c r="E50" s="24">
        <f>C50+D50</f>
        <v>25</v>
      </c>
      <c r="F50" s="24">
        <f>B50-E50</f>
        <v>0</v>
      </c>
      <c r="G50" s="25">
        <f>IF(B50=0,0,C50/B50)</f>
        <v>1</v>
      </c>
      <c r="H50" s="25">
        <f>IF(B50=0,0,E50/B50)</f>
        <v>1</v>
      </c>
      <c r="I50" s="108">
        <f>SUM(I49:I49)</f>
        <v>250</v>
      </c>
      <c r="J50" s="108">
        <f>SUM(J49:J49)</f>
        <v>250</v>
      </c>
      <c r="K50" s="108">
        <f>SUM(K49:K49)</f>
        <v>0</v>
      </c>
      <c r="L50" s="108">
        <f>J50+K50</f>
        <v>250</v>
      </c>
      <c r="M50" s="25">
        <f>IF(I50=0,0,J50/I50)</f>
        <v>1</v>
      </c>
      <c r="N50" s="25">
        <f>IF(I50=0,0,L50/I50)</f>
        <v>1</v>
      </c>
      <c r="Q50" t="s">
        <v>116</v>
      </c>
      <c r="S50">
        <v>1.25</v>
      </c>
    </row>
    <row r="51" spans="1:19" x14ac:dyDescent="0.25">
      <c r="I51" s="110"/>
      <c r="J51" s="110"/>
      <c r="K51" s="110"/>
      <c r="L51" s="110"/>
      <c r="Q51" t="s">
        <v>117</v>
      </c>
      <c r="S51">
        <v>1.25</v>
      </c>
    </row>
    <row r="52" spans="1:19" x14ac:dyDescent="0.25">
      <c r="A52" s="117" t="s">
        <v>27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Q52" t="s">
        <v>118</v>
      </c>
      <c r="S52">
        <v>1.25</v>
      </c>
    </row>
    <row r="53" spans="1:19" x14ac:dyDescent="0.25">
      <c r="A53" s="4" t="s">
        <v>27</v>
      </c>
      <c r="B53" s="5">
        <f>COUNTIFS(Data!$B$2:$B$5000,$A53,Data!$H$2:$H$5000,"Y")</f>
        <v>30</v>
      </c>
      <c r="C53" s="5">
        <f>SUMIFS(Data!$L$2:$L$5000,Data!$B$2:$B$5000,$A53,Data!$H$2:$H$5000,"Y")</f>
        <v>30</v>
      </c>
      <c r="D53" s="5">
        <f>SUMIFS(Data!$M$2:$M$5000,Data!$B$2:$B$5000,$A53,Data!$H$2:$H$5000,"Y")</f>
        <v>0</v>
      </c>
      <c r="E53" s="5">
        <f>C53+D53</f>
        <v>30</v>
      </c>
      <c r="F53" s="5">
        <f>B53-E53</f>
        <v>0</v>
      </c>
      <c r="G53" s="6">
        <f>IF(B53=0,0,C53/B53)</f>
        <v>1</v>
      </c>
      <c r="H53" s="6">
        <f>IF(B53=0,0,E53/B53)</f>
        <v>1</v>
      </c>
      <c r="I53" s="104">
        <f>SUMIFS(Data!$J$2:$J$5000,Data!$B$2:$B$5000,$A53,Data!$H$2:$H$5000,"Y")</f>
        <v>60</v>
      </c>
      <c r="J53" s="104">
        <f>SUMIFS(Data!$P$2:$P$5000,Data!$B$2:$B$5000,$A53)</f>
        <v>60</v>
      </c>
      <c r="K53" s="104">
        <f>SUMIFS(Data!$Q$2:$Q$5000,Data!$B$2:$B$5000,$A53)</f>
        <v>0</v>
      </c>
      <c r="L53" s="104">
        <f>J53+K53</f>
        <v>60</v>
      </c>
      <c r="M53" s="6">
        <f>IF(I53=0,0,J53/I53)</f>
        <v>1</v>
      </c>
      <c r="N53" s="6">
        <f>IF(I53=0,0,L53/I53)</f>
        <v>1</v>
      </c>
      <c r="Q53" t="s">
        <v>119</v>
      </c>
      <c r="S53">
        <v>1.25</v>
      </c>
    </row>
    <row r="54" spans="1:19" x14ac:dyDescent="0.25">
      <c r="A54" s="4" t="s">
        <v>88</v>
      </c>
      <c r="B54" s="5">
        <f>COUNTIFS(Data!$B$2:$B$5000,$A54,Data!$H$2:$H$5000,"Y")</f>
        <v>10</v>
      </c>
      <c r="C54" s="5">
        <f>SUMIFS(Data!$L$2:$L$5000,Data!$B$2:$B$5000,$A54,Data!$H$2:$H$5000,"Y")</f>
        <v>7</v>
      </c>
      <c r="D54" s="5">
        <f>SUMIFS(Data!$M$2:$M$5000,Data!$B$2:$B$5000,$A54,Data!$H$2:$H$5000,"Y")</f>
        <v>0</v>
      </c>
      <c r="E54" s="5">
        <f>C54+D54</f>
        <v>7</v>
      </c>
      <c r="F54" s="5">
        <f>B54-E54</f>
        <v>3</v>
      </c>
      <c r="G54" s="6">
        <f>IF(B54=0,0,C54/B54)</f>
        <v>0.7</v>
      </c>
      <c r="H54" s="6">
        <f>IF(B54=0,0,E54/B54)</f>
        <v>0.7</v>
      </c>
      <c r="I54" s="104">
        <f>SUMIFS(Data!$J$2:$J$5000,Data!$B$2:$B$5000,$A54,Data!$H$2:$H$5000,"Y")</f>
        <v>120</v>
      </c>
      <c r="J54" s="104">
        <f>SUMIFS(Data!$P$2:$P$5000,Data!$B$2:$B$5000,$A54)</f>
        <v>84</v>
      </c>
      <c r="K54" s="104">
        <f>SUMIFS(Data!$Q$2:$Q$5000,Data!$B$2:$B$5000,$A54)</f>
        <v>0</v>
      </c>
      <c r="L54" s="104">
        <f>J54+K54</f>
        <v>84</v>
      </c>
      <c r="M54" s="6">
        <f>IF(I54=0,0,J54/I54)</f>
        <v>0.7</v>
      </c>
      <c r="N54" s="6">
        <f>IF(I54=0,0,L54/I54)</f>
        <v>0.7</v>
      </c>
      <c r="Q54" t="s">
        <v>120</v>
      </c>
      <c r="S54">
        <v>1.25</v>
      </c>
    </row>
    <row r="55" spans="1:19" x14ac:dyDescent="0.25">
      <c r="A55" s="23" t="s">
        <v>121</v>
      </c>
      <c r="B55" s="24">
        <f>SUM(B53:B54)</f>
        <v>40</v>
      </c>
      <c r="C55" s="24">
        <f>SUM(C53:C54)</f>
        <v>37</v>
      </c>
      <c r="D55" s="24">
        <f>SUM(D53:D54)</f>
        <v>0</v>
      </c>
      <c r="E55" s="24">
        <f>C55+D55</f>
        <v>37</v>
      </c>
      <c r="F55" s="24">
        <f>B55-E55</f>
        <v>3</v>
      </c>
      <c r="G55" s="25">
        <f>IF(B55=0,0,C55/B55)</f>
        <v>0.92500000000000004</v>
      </c>
      <c r="H55" s="25">
        <f>IF(B55=0,0,E55/B55)</f>
        <v>0.92500000000000004</v>
      </c>
      <c r="I55" s="108">
        <f>SUM(I53:I54)</f>
        <v>180</v>
      </c>
      <c r="J55" s="108">
        <f>SUM(J53:J54)</f>
        <v>144</v>
      </c>
      <c r="K55" s="108">
        <f>SUM(K53:K54)</f>
        <v>0</v>
      </c>
      <c r="L55" s="108">
        <f>J55+K55</f>
        <v>144</v>
      </c>
      <c r="M55" s="25">
        <f>IF(I55=0,0,J55/I55)</f>
        <v>0.8</v>
      </c>
      <c r="N55" s="25">
        <f>IF(I55=0,0,L55/I55)</f>
        <v>0.8</v>
      </c>
    </row>
    <row r="56" spans="1:19" x14ac:dyDescent="0.25">
      <c r="I56" s="110"/>
      <c r="J56" s="110"/>
      <c r="K56" s="110"/>
      <c r="L56" s="110"/>
    </row>
    <row r="57" spans="1:19" x14ac:dyDescent="0.25">
      <c r="A57" s="117" t="s">
        <v>29</v>
      </c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</row>
    <row r="58" spans="1:19" x14ac:dyDescent="0.25">
      <c r="A58" s="4" t="s">
        <v>29</v>
      </c>
      <c r="B58" s="5">
        <f>COUNTIFS(Data!$B$2:$B$5000,$A58,Data!$H$2:$H$5000,"Y")</f>
        <v>15</v>
      </c>
      <c r="C58" s="5">
        <f>SUMIFS(Data!$L$2:$L$5000,Data!$B$2:$B$5000,$A58,Data!$H$2:$H$5000,"Y")</f>
        <v>14</v>
      </c>
      <c r="D58" s="5">
        <f>SUMIFS(Data!$M$2:$M$5000,Data!$B$2:$B$5000,$A58,Data!$H$2:$H$5000,"Y")</f>
        <v>0</v>
      </c>
      <c r="E58" s="5">
        <f>C58+D58</f>
        <v>14</v>
      </c>
      <c r="F58" s="5">
        <f>B58-E58</f>
        <v>1</v>
      </c>
      <c r="G58" s="6">
        <f>IF(B58=0,0,C58/B58)</f>
        <v>0.93333333333333335</v>
      </c>
      <c r="H58" s="6">
        <f>IF(B58=0,0,E58/B58)</f>
        <v>0.93333333333333335</v>
      </c>
      <c r="I58" s="104">
        <f>SUMIFS(Data!$J$2:$J$5000,Data!$B$2:$B$5000,$A58,Data!$H$2:$H$5000,"Y")</f>
        <v>45</v>
      </c>
      <c r="J58" s="104">
        <f>SUMIFS(Data!$P$2:$P$5000,Data!$B$2:$B$5000,$A58)</f>
        <v>42</v>
      </c>
      <c r="K58" s="104">
        <f>SUMIFS(Data!$Q$2:$Q$5000,Data!$B$2:$B$5000,$A58)</f>
        <v>0</v>
      </c>
      <c r="L58" s="104">
        <f>J58+K58</f>
        <v>42</v>
      </c>
      <c r="M58" s="6">
        <f>IF(I58=0,0,J58/I58)</f>
        <v>0.93333333333333335</v>
      </c>
      <c r="N58" s="6">
        <f>IF(I58=0,0,L58/I58)</f>
        <v>0.93333333333333335</v>
      </c>
    </row>
    <row r="59" spans="1:19" x14ac:dyDescent="0.25">
      <c r="A59" s="4" t="s">
        <v>122</v>
      </c>
      <c r="B59" s="5">
        <f>COUNTIFS(Data!$B$2:$B$5000,$A59,Data!$H$2:$H$5000,"Y")</f>
        <v>14</v>
      </c>
      <c r="C59" s="5">
        <f>SUMIFS(Data!$L$2:$L$5000,Data!$B$2:$B$5000,$A59,Data!$H$2:$H$5000,"Y")</f>
        <v>4</v>
      </c>
      <c r="D59" s="5">
        <f>SUMIFS(Data!$M$2:$M$5000,Data!$B$2:$B$5000,$A59,Data!$H$2:$H$5000,"Y")</f>
        <v>0</v>
      </c>
      <c r="E59" s="5">
        <f>C59+D59</f>
        <v>4</v>
      </c>
      <c r="F59" s="5">
        <f>B59-E59</f>
        <v>10</v>
      </c>
      <c r="G59" s="6">
        <f>IF(B59=0,0,C59/B59)</f>
        <v>0.2857142857142857</v>
      </c>
      <c r="H59" s="6">
        <f>IF(B59=0,0,E59/B59)</f>
        <v>0.2857142857142857</v>
      </c>
      <c r="I59" s="104">
        <f>SUMIFS(Data!$J$2:$J$5000,Data!$B$2:$B$5000,$A59,Data!$H$2:$H$5000,"Y")</f>
        <v>331</v>
      </c>
      <c r="J59" s="104">
        <f>SUMIFS(Data!$P$2:$P$5000,Data!$B$2:$B$5000,$A59)</f>
        <v>88</v>
      </c>
      <c r="K59" s="104">
        <f>SUMIFS(Data!$Q$2:$Q$5000,Data!$B$2:$B$5000,$A59)</f>
        <v>0</v>
      </c>
      <c r="L59" s="104">
        <f>J59+K59</f>
        <v>88</v>
      </c>
      <c r="M59" s="6">
        <f>IF(I59=0,0,J59/I59)</f>
        <v>0.26586102719033233</v>
      </c>
      <c r="N59" s="6">
        <f>IF(I59=0,0,L59/I59)</f>
        <v>0.26586102719033233</v>
      </c>
    </row>
    <row r="60" spans="1:19" x14ac:dyDescent="0.25">
      <c r="A60" s="23" t="s">
        <v>123</v>
      </c>
      <c r="B60" s="24">
        <f>SUM(B58:B59)</f>
        <v>29</v>
      </c>
      <c r="C60" s="24">
        <f>SUM(C58:C59)</f>
        <v>18</v>
      </c>
      <c r="D60" s="24">
        <f>SUM(D58:D59)</f>
        <v>0</v>
      </c>
      <c r="E60" s="24">
        <f>C60+D60</f>
        <v>18</v>
      </c>
      <c r="F60" s="24">
        <f>B60-E60</f>
        <v>11</v>
      </c>
      <c r="G60" s="25">
        <f>IF(B60=0,0,C60/B60)</f>
        <v>0.62068965517241381</v>
      </c>
      <c r="H60" s="25">
        <f>IF(B60=0,0,E60/B60)</f>
        <v>0.62068965517241381</v>
      </c>
      <c r="I60" s="108">
        <f>SUM(I58:I59)</f>
        <v>376</v>
      </c>
      <c r="J60" s="108">
        <f>SUM(J58:J59)</f>
        <v>130</v>
      </c>
      <c r="K60" s="108">
        <f>SUM(K58:K59)</f>
        <v>0</v>
      </c>
      <c r="L60" s="108">
        <f>J60+K60</f>
        <v>130</v>
      </c>
      <c r="M60" s="25">
        <f>IF(I60=0,0,J60/I60)</f>
        <v>0.34574468085106386</v>
      </c>
      <c r="N60" s="25">
        <f>IF(I60=0,0,L60/I60)</f>
        <v>0.34574468085106386</v>
      </c>
    </row>
    <row r="61" spans="1:19" x14ac:dyDescent="0.25">
      <c r="I61" s="110"/>
      <c r="J61" s="110"/>
      <c r="K61" s="110"/>
      <c r="L61" s="110"/>
    </row>
    <row r="62" spans="1:19" x14ac:dyDescent="0.25">
      <c r="A62" s="117" t="s">
        <v>31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</row>
    <row r="63" spans="1:19" x14ac:dyDescent="0.25">
      <c r="A63" s="4" t="s">
        <v>124</v>
      </c>
      <c r="B63" s="5">
        <f>COUNTIFS(Data!$B$2:$B$5000,$A63,Data!$H$2:$H$5000,"Y")</f>
        <v>30</v>
      </c>
      <c r="C63" s="5">
        <f>SUMIFS(Data!$L$2:$L$5000,Data!$B$2:$B$5000,$A63,Data!$H$2:$H$5000,"Y")</f>
        <v>30</v>
      </c>
      <c r="D63" s="5">
        <f>SUMIFS(Data!$M$2:$M$5000,Data!$B$2:$B$5000,$A63,Data!$H$2:$H$5000,"Y")</f>
        <v>0</v>
      </c>
      <c r="E63" s="5">
        <f>C63+D63</f>
        <v>30</v>
      </c>
      <c r="F63" s="5">
        <f>B63-E63</f>
        <v>0</v>
      </c>
      <c r="G63" s="6">
        <f>IF(B63=0,0,C63/B63)</f>
        <v>1</v>
      </c>
      <c r="H63" s="6">
        <f>IF(B63=0,0,E63/B63)</f>
        <v>1</v>
      </c>
      <c r="I63" s="104">
        <f>SUMIFS(Data!$J$2:$J$5000,Data!$B$2:$B$5000,$A63,Data!$H$2:$H$5000,"Y")</f>
        <v>60</v>
      </c>
      <c r="J63" s="104">
        <f>SUMIFS(Data!$P$2:$P$5000,Data!$B$2:$B$5000,$A63)</f>
        <v>60</v>
      </c>
      <c r="K63" s="104">
        <f>SUMIFS(Data!$Q$2:$Q$5000,Data!$B$2:$B$5000,$A63)</f>
        <v>0</v>
      </c>
      <c r="L63" s="104">
        <f>J63+K63</f>
        <v>60</v>
      </c>
      <c r="M63" s="6">
        <f>IF(I63=0,0,J63/I63)</f>
        <v>1</v>
      </c>
      <c r="N63" s="6">
        <f>IF(I63=0,0,L63/I63)</f>
        <v>1</v>
      </c>
    </row>
    <row r="64" spans="1:19" x14ac:dyDescent="0.25">
      <c r="A64" s="4" t="s">
        <v>86</v>
      </c>
      <c r="B64" s="5">
        <f>COUNTIFS(Data!$B$2:$B$5000,$A64,Data!$H$2:$H$5000,"Y")</f>
        <v>5</v>
      </c>
      <c r="C64" s="5">
        <f>SUMIFS(Data!$L$2:$L$5000,Data!$B$2:$B$5000,$A64,Data!$H$2:$H$5000,"Y")</f>
        <v>5</v>
      </c>
      <c r="D64" s="5">
        <f>SUMIFS(Data!$M$2:$M$5000,Data!$B$2:$B$5000,$A64,Data!$H$2:$H$5000,"Y")</f>
        <v>0</v>
      </c>
      <c r="E64" s="5">
        <f>C64+D64</f>
        <v>5</v>
      </c>
      <c r="F64" s="5">
        <f>B64-E64</f>
        <v>0</v>
      </c>
      <c r="G64" s="6">
        <f>IF(B64=0,0,C64/B64)</f>
        <v>1</v>
      </c>
      <c r="H64" s="6">
        <f>IF(B64=0,0,E64/B64)</f>
        <v>1</v>
      </c>
      <c r="I64" s="104">
        <f>SUMIFS(Data!$J$2:$J$5000,Data!$B$2:$B$5000,$A64,Data!$H$2:$H$5000,"Y")</f>
        <v>300</v>
      </c>
      <c r="J64" s="104">
        <f>SUMIFS(Data!$P$2:$P$5000,Data!$B$2:$B$5000,$A64)</f>
        <v>300</v>
      </c>
      <c r="K64" s="104">
        <f>SUMIFS(Data!$Q$2:$Q$5000,Data!$B$2:$B$5000,$A64)</f>
        <v>0</v>
      </c>
      <c r="L64" s="104">
        <f>J64+K64</f>
        <v>300</v>
      </c>
      <c r="M64" s="6">
        <f>IF(I64=0,0,J64/I64)</f>
        <v>1</v>
      </c>
      <c r="N64" s="6">
        <f>IF(I64=0,0,L64/I64)</f>
        <v>1</v>
      </c>
    </row>
    <row r="65" spans="1:14" x14ac:dyDescent="0.25">
      <c r="A65" s="23" t="s">
        <v>125</v>
      </c>
      <c r="B65" s="24">
        <f>SUM(B63:B64)</f>
        <v>35</v>
      </c>
      <c r="C65" s="24">
        <f>SUM(C63:C64)</f>
        <v>35</v>
      </c>
      <c r="D65" s="24">
        <f>SUM(D63:D64)</f>
        <v>0</v>
      </c>
      <c r="E65" s="24">
        <f>C65+D65</f>
        <v>35</v>
      </c>
      <c r="F65" s="24">
        <f>B65-E65</f>
        <v>0</v>
      </c>
      <c r="G65" s="25">
        <f>IF(B65=0,0,C65/B65)</f>
        <v>1</v>
      </c>
      <c r="H65" s="25">
        <f>IF(B65=0,0,E65/B65)</f>
        <v>1</v>
      </c>
      <c r="I65" s="108">
        <f>SUM(I63:I64)</f>
        <v>360</v>
      </c>
      <c r="J65" s="108">
        <f>SUM(J63:J64)</f>
        <v>360</v>
      </c>
      <c r="K65" s="108">
        <f>SUM(K63:K64)</f>
        <v>0</v>
      </c>
      <c r="L65" s="108">
        <f>J65+K65</f>
        <v>360</v>
      </c>
      <c r="M65" s="25">
        <f>IF(I65=0,0,J65/I65)</f>
        <v>1</v>
      </c>
      <c r="N65" s="25">
        <f>IF(I65=0,0,L65/I65)</f>
        <v>1</v>
      </c>
    </row>
    <row r="66" spans="1:14" x14ac:dyDescent="0.25">
      <c r="I66" s="110"/>
      <c r="J66" s="110"/>
      <c r="K66" s="110"/>
      <c r="L66" s="110"/>
    </row>
    <row r="67" spans="1:14" x14ac:dyDescent="0.25">
      <c r="A67" s="117" t="s">
        <v>126</v>
      </c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</row>
    <row r="68" spans="1:14" x14ac:dyDescent="0.25">
      <c r="A68" s="4" t="s">
        <v>90</v>
      </c>
      <c r="B68" s="5">
        <f>COUNTIFS(Data!$B$2:$B$5000,$A68,Data!$H$2:$H$5000,"Y")</f>
        <v>30</v>
      </c>
      <c r="C68" s="5">
        <f>SUMIFS(Data!$L$2:$L$5000,Data!$B$2:$B$5000,$A68,Data!$H$2:$H$5000,"Y")</f>
        <v>30</v>
      </c>
      <c r="D68" s="5">
        <f>SUMIFS(Data!$M$2:$M$5000,Data!$B$2:$B$5000,$A68,Data!$H$2:$H$5000,"Y")</f>
        <v>0</v>
      </c>
      <c r="E68" s="5">
        <f>C68+D68</f>
        <v>30</v>
      </c>
      <c r="F68" s="5">
        <f>B68-E68</f>
        <v>0</v>
      </c>
      <c r="G68" s="6">
        <f>IF(B68=0,0,C68/B68)</f>
        <v>1</v>
      </c>
      <c r="H68" s="6">
        <f>IF(B68=0,0,E68/B68)</f>
        <v>1</v>
      </c>
      <c r="I68" s="104">
        <f>SUMIFS(Data!$J$2:$J$5000,Data!$B$2:$B$5000,$A68,Data!$H$2:$H$5000,"Y")</f>
        <v>60</v>
      </c>
      <c r="J68" s="104">
        <f>SUMIFS(Data!$P$2:$P$5000,Data!$B$2:$B$5000,$A68)</f>
        <v>60</v>
      </c>
      <c r="K68" s="104">
        <f>SUMIFS(Data!$Q$2:$Q$5000,Data!$B$2:$B$5000,$A68)</f>
        <v>0</v>
      </c>
      <c r="L68" s="104">
        <f>J68+K68</f>
        <v>60</v>
      </c>
      <c r="M68" s="6">
        <f>IF(I68=0,0,J68/I68)</f>
        <v>1</v>
      </c>
      <c r="N68" s="6">
        <f>IF(I68=0,0,L68/I68)</f>
        <v>1</v>
      </c>
    </row>
    <row r="69" spans="1:14" x14ac:dyDescent="0.25">
      <c r="A69" s="4" t="s">
        <v>92</v>
      </c>
      <c r="B69" s="5">
        <f>COUNTIFS(Data!$B$2:$B$5000,$A69,Data!$H$2:$H$5000,"Y")</f>
        <v>10</v>
      </c>
      <c r="C69" s="5">
        <f>SUMIFS(Data!$L$2:$L$5000,Data!$B$2:$B$5000,$A69,Data!$H$2:$H$5000,"Y")</f>
        <v>9</v>
      </c>
      <c r="D69" s="5">
        <f>SUMIFS(Data!$M$2:$M$5000,Data!$B$2:$B$5000,$A69,Data!$H$2:$H$5000,"Y")</f>
        <v>0</v>
      </c>
      <c r="E69" s="5">
        <f>C69+D69</f>
        <v>9</v>
      </c>
      <c r="F69" s="5">
        <f>B69-E69</f>
        <v>1</v>
      </c>
      <c r="G69" s="6">
        <f>IF(B69=0,0,C69/B69)</f>
        <v>0.9</v>
      </c>
      <c r="H69" s="6">
        <f>IF(B69=0,0,E69/B69)</f>
        <v>0.9</v>
      </c>
      <c r="I69" s="104">
        <f>SUMIFS(Data!$J$2:$J$5000,Data!$B$2:$B$5000,$A69,Data!$H$2:$H$5000,"Y")</f>
        <v>180</v>
      </c>
      <c r="J69" s="104">
        <f>SUMIFS(Data!$P$2:$P$5000,Data!$B$2:$B$5000,$A69)</f>
        <v>162</v>
      </c>
      <c r="K69" s="104">
        <f>SUMIFS(Data!$Q$2:$Q$5000,Data!$B$2:$B$5000,$A69)</f>
        <v>0</v>
      </c>
      <c r="L69" s="104">
        <f>J69+K69</f>
        <v>162</v>
      </c>
      <c r="M69" s="6">
        <f>IF(I69=0,0,J69/I69)</f>
        <v>0.9</v>
      </c>
      <c r="N69" s="6">
        <f>IF(I69=0,0,L69/I69)</f>
        <v>0.9</v>
      </c>
    </row>
    <row r="70" spans="1:14" x14ac:dyDescent="0.25">
      <c r="A70" s="23" t="s">
        <v>127</v>
      </c>
      <c r="B70" s="24">
        <f>SUM(B68:B69)</f>
        <v>40</v>
      </c>
      <c r="C70" s="24">
        <f>SUM(C68:C69)</f>
        <v>39</v>
      </c>
      <c r="D70" s="24">
        <f>SUM(D68:D69)</f>
        <v>0</v>
      </c>
      <c r="E70" s="24">
        <f>C70+D70</f>
        <v>39</v>
      </c>
      <c r="F70" s="24">
        <f>B70-E70</f>
        <v>1</v>
      </c>
      <c r="G70" s="25">
        <f>IF(B70=0,0,C70/B70)</f>
        <v>0.97499999999999998</v>
      </c>
      <c r="H70" s="25">
        <f>IF(B70=0,0,E70/B70)</f>
        <v>0.97499999999999998</v>
      </c>
      <c r="I70" s="108">
        <f>SUM(I68:I69)</f>
        <v>240</v>
      </c>
      <c r="J70" s="108">
        <f>SUM(J68:J69)</f>
        <v>222</v>
      </c>
      <c r="K70" s="108">
        <f>SUM(K68:K69)</f>
        <v>0</v>
      </c>
      <c r="L70" s="108">
        <f>J70+K70</f>
        <v>222</v>
      </c>
      <c r="M70" s="25">
        <f>IF(I70=0,0,J70/I70)</f>
        <v>0.92500000000000004</v>
      </c>
      <c r="N70" s="25">
        <f>IF(I70=0,0,L70/I70)</f>
        <v>0.92500000000000004</v>
      </c>
    </row>
    <row r="71" spans="1:14" x14ac:dyDescent="0.25">
      <c r="I71" s="110"/>
      <c r="J71" s="110"/>
      <c r="K71" s="110"/>
      <c r="L71" s="110"/>
    </row>
    <row r="72" spans="1:14" x14ac:dyDescent="0.25">
      <c r="A72" s="117" t="s">
        <v>41</v>
      </c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</row>
    <row r="73" spans="1:14" x14ac:dyDescent="0.25">
      <c r="A73" s="4" t="s">
        <v>41</v>
      </c>
      <c r="B73" s="5">
        <f>COUNTIFS(Data!$B$2:$B$5000,$A73,Data!$H$2:$H$5000,"Y")</f>
        <v>15</v>
      </c>
      <c r="C73" s="5">
        <f>SUMIFS(Data!$L$2:$L$5000,Data!$B$2:$B$5000,$A73,Data!$H$2:$H$5000,"Y")</f>
        <v>15</v>
      </c>
      <c r="D73" s="5">
        <f>SUMIFS(Data!$M$2:$M$5000,Data!$B$2:$B$5000,$A73,Data!$H$2:$H$5000,"Y")</f>
        <v>0</v>
      </c>
      <c r="E73" s="5">
        <f>C73+D73</f>
        <v>15</v>
      </c>
      <c r="F73" s="5">
        <f>B73-E73</f>
        <v>0</v>
      </c>
      <c r="G73" s="6">
        <f>IF(B73=0,0,C73/B73)</f>
        <v>1</v>
      </c>
      <c r="H73" s="6">
        <f>IF(B73=0,0,E73/B73)</f>
        <v>1</v>
      </c>
      <c r="I73" s="104">
        <f>SUMIFS(Data!$J$2:$J$5000,Data!$B$2:$B$5000,$A73,Data!$H$2:$H$5000,"Y")</f>
        <v>15</v>
      </c>
      <c r="J73" s="104">
        <f>SUMIFS(Data!$P$2:$P$5000,Data!$B$2:$B$5000,$A73)</f>
        <v>15</v>
      </c>
      <c r="K73" s="104">
        <f>SUMIFS(Data!$Q$2:$Q$5000,Data!$B$2:$B$5000,$A73)</f>
        <v>0</v>
      </c>
      <c r="L73" s="104">
        <f>J73+K73</f>
        <v>15</v>
      </c>
      <c r="M73" s="6">
        <f>IF(I73=0,0,J73/I73)</f>
        <v>1</v>
      </c>
      <c r="N73" s="6">
        <f>IF(I73=0,0,L73/I73)</f>
        <v>1</v>
      </c>
    </row>
    <row r="74" spans="1:14" x14ac:dyDescent="0.25">
      <c r="A74" s="4" t="s">
        <v>128</v>
      </c>
      <c r="B74" s="5">
        <f>COUNTIFS(Data!$B$2:$B$5000,$A74,Data!$H$2:$H$5000,"Y")</f>
        <v>15</v>
      </c>
      <c r="C74" s="5">
        <f>SUMIFS(Data!$L$2:$L$5000,Data!$B$2:$B$5000,$A74,Data!$H$2:$H$5000,"Y")</f>
        <v>14</v>
      </c>
      <c r="D74" s="5">
        <f>SUMIFS(Data!$M$2:$M$5000,Data!$B$2:$B$5000,$A74,Data!$H$2:$H$5000,"Y")</f>
        <v>0</v>
      </c>
      <c r="E74" s="5">
        <f>C74+D74</f>
        <v>14</v>
      </c>
      <c r="F74" s="5">
        <f>B74-E74</f>
        <v>1</v>
      </c>
      <c r="G74" s="6">
        <f>IF(B74=0,0,C74/B74)</f>
        <v>0.93333333333333335</v>
      </c>
      <c r="H74" s="6">
        <f>IF(B74=0,0,E74/B74)</f>
        <v>0.93333333333333335</v>
      </c>
      <c r="I74" s="104">
        <f>SUMIFS(Data!$J$2:$J$5000,Data!$B$2:$B$5000,$A74,Data!$H$2:$H$5000,"Y")</f>
        <v>30</v>
      </c>
      <c r="J74" s="104">
        <f>SUMIFS(Data!$P$2:$P$5000,Data!$B$2:$B$5000,$A74)</f>
        <v>28</v>
      </c>
      <c r="K74" s="104">
        <f>SUMIFS(Data!$Q$2:$Q$5000,Data!$B$2:$B$5000,$A74)</f>
        <v>0</v>
      </c>
      <c r="L74" s="104">
        <f>J74+K74</f>
        <v>28</v>
      </c>
      <c r="M74" s="6">
        <f>IF(I74=0,0,J74/I74)</f>
        <v>0.93333333333333335</v>
      </c>
      <c r="N74" s="6">
        <f>IF(I74=0,0,L74/I74)</f>
        <v>0.93333333333333335</v>
      </c>
    </row>
    <row r="75" spans="1:14" x14ac:dyDescent="0.25">
      <c r="A75" s="4" t="s">
        <v>129</v>
      </c>
      <c r="B75" s="5">
        <f>COUNTIFS(Data!$B$2:$B$5000,$A75,Data!$H$2:$H$5000,"Y")</f>
        <v>14</v>
      </c>
      <c r="C75" s="5">
        <f>SUMIFS(Data!$L$2:$L$5000,Data!$B$2:$B$5000,$A75,Data!$H$2:$H$5000,"Y")</f>
        <v>3</v>
      </c>
      <c r="D75" s="5">
        <f>SUMIFS(Data!$M$2:$M$5000,Data!$B$2:$B$5000,$A75,Data!$H$2:$H$5000,"Y")</f>
        <v>0</v>
      </c>
      <c r="E75" s="5">
        <f>C75+D75</f>
        <v>3</v>
      </c>
      <c r="F75" s="5">
        <f>B75-E75</f>
        <v>11</v>
      </c>
      <c r="G75" s="6">
        <f>IF(B75=0,0,C75/B75)</f>
        <v>0.21428571428571427</v>
      </c>
      <c r="H75" s="6">
        <f>IF(B75=0,0,E75/B75)</f>
        <v>0.21428571428571427</v>
      </c>
      <c r="I75" s="104">
        <f>SUMIFS(Data!$J$2:$J$5000,Data!$B$2:$B$5000,$A75,Data!$H$2:$H$5000,"Y")</f>
        <v>150</v>
      </c>
      <c r="J75" s="104">
        <f>SUMIFS(Data!$P$2:$P$5000,Data!$B$2:$B$5000,$A75)</f>
        <v>30</v>
      </c>
      <c r="K75" s="104">
        <f>SUMIFS(Data!$Q$2:$Q$5000,Data!$B$2:$B$5000,$A75)</f>
        <v>0</v>
      </c>
      <c r="L75" s="104">
        <f>J75+K75</f>
        <v>30</v>
      </c>
      <c r="M75" s="6">
        <f>IF(I75=0,0,J75/I75)</f>
        <v>0.2</v>
      </c>
      <c r="N75" s="6">
        <f>IF(I75=0,0,L75/I75)</f>
        <v>0.2</v>
      </c>
    </row>
    <row r="76" spans="1:14" x14ac:dyDescent="0.25">
      <c r="A76" s="4" t="s">
        <v>94</v>
      </c>
      <c r="B76" s="5">
        <f>COUNTIFS(Data!$B$2:$B$5000,$A76,Data!$H$2:$H$5000,"Y")</f>
        <v>4</v>
      </c>
      <c r="C76" s="5">
        <f>SUMIFS(Data!$L$2:$L$5000,Data!$B$2:$B$5000,$A76,Data!$H$2:$H$5000,"Y")</f>
        <v>0</v>
      </c>
      <c r="D76" s="5">
        <f>SUMIFS(Data!$M$2:$M$5000,Data!$B$2:$B$5000,$A76,Data!$H$2:$H$5000,"Y")</f>
        <v>0</v>
      </c>
      <c r="E76" s="5">
        <f>C76+D76</f>
        <v>0</v>
      </c>
      <c r="F76" s="5">
        <f>B76-E76</f>
        <v>4</v>
      </c>
      <c r="G76" s="6">
        <f>IF(B76=0,0,C76/B76)</f>
        <v>0</v>
      </c>
      <c r="H76" s="6">
        <f>IF(B76=0,0,E76/B76)</f>
        <v>0</v>
      </c>
      <c r="I76" s="104">
        <f>SUMIFS(Data!$J$2:$J$5000,Data!$B$2:$B$5000,$A76,Data!$H$2:$H$5000,"Y")</f>
        <v>57</v>
      </c>
      <c r="J76" s="104">
        <f>SUMIFS(Data!$P$2:$P$5000,Data!$B$2:$B$5000,$A76)</f>
        <v>0</v>
      </c>
      <c r="K76" s="104">
        <f>SUMIFS(Data!$Q$2:$Q$5000,Data!$B$2:$B$5000,$A76)</f>
        <v>0</v>
      </c>
      <c r="L76" s="104">
        <f>J76+K76</f>
        <v>0</v>
      </c>
      <c r="M76" s="6">
        <f>IF(I76=0,0,J76/I76)</f>
        <v>0</v>
      </c>
      <c r="N76" s="6">
        <f>IF(I76=0,0,L76/I76)</f>
        <v>0</v>
      </c>
    </row>
    <row r="77" spans="1:14" x14ac:dyDescent="0.25">
      <c r="A77" s="23" t="s">
        <v>130</v>
      </c>
      <c r="B77" s="24">
        <f>SUM(B73:B76)</f>
        <v>48</v>
      </c>
      <c r="C77" s="24">
        <f>SUM(C73:C76)</f>
        <v>32</v>
      </c>
      <c r="D77" s="24">
        <f>SUM(D73:D76)</f>
        <v>0</v>
      </c>
      <c r="E77" s="24">
        <f>C77+D77</f>
        <v>32</v>
      </c>
      <c r="F77" s="24">
        <f>B77-E77</f>
        <v>16</v>
      </c>
      <c r="G77" s="25">
        <f>IF(B77=0,0,C77/B77)</f>
        <v>0.66666666666666663</v>
      </c>
      <c r="H77" s="25">
        <f>IF(B77=0,0,E77/B77)</f>
        <v>0.66666666666666663</v>
      </c>
      <c r="I77" s="108">
        <f>SUM(I73:I76)</f>
        <v>252</v>
      </c>
      <c r="J77" s="108">
        <f>SUM(J73:J76)</f>
        <v>73</v>
      </c>
      <c r="K77" s="108">
        <f>SUM(K73:K76)</f>
        <v>0</v>
      </c>
      <c r="L77" s="108">
        <f>J77+K77</f>
        <v>73</v>
      </c>
      <c r="M77" s="25">
        <f>IF(I77=0,0,J77/I77)</f>
        <v>0.28968253968253971</v>
      </c>
      <c r="N77" s="25">
        <f>IF(I77=0,0,L77/I77)</f>
        <v>0.28968253968253971</v>
      </c>
    </row>
    <row r="78" spans="1:14" x14ac:dyDescent="0.25">
      <c r="I78" s="110"/>
      <c r="J78" s="110"/>
      <c r="K78" s="110"/>
      <c r="L78" s="110"/>
    </row>
    <row r="79" spans="1:14" x14ac:dyDescent="0.25">
      <c r="A79" s="117" t="s">
        <v>35</v>
      </c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</row>
    <row r="80" spans="1:14" x14ac:dyDescent="0.25">
      <c r="A80" s="4" t="s">
        <v>35</v>
      </c>
      <c r="B80" s="5">
        <f>COUNTIFS(Data!$B$2:$B$5000,$A80,Data!$H$2:$H$5000,"Y")</f>
        <v>8</v>
      </c>
      <c r="C80" s="5">
        <f>SUMIFS(Data!$L$2:$L$5000,Data!$B$2:$B$5000,$A80,Data!$H$2:$H$5000,"Y")</f>
        <v>8</v>
      </c>
      <c r="D80" s="5">
        <f>SUMIFS(Data!$M$2:$M$5000,Data!$B$2:$B$5000,$A80,Data!$H$2:$H$5000,"Y")</f>
        <v>0</v>
      </c>
      <c r="E80" s="5">
        <f>C80+D80</f>
        <v>8</v>
      </c>
      <c r="F80" s="5">
        <f>B80-E80</f>
        <v>0</v>
      </c>
      <c r="G80" s="6">
        <f>IF(B80=0,0,C80/B80)</f>
        <v>1</v>
      </c>
      <c r="H80" s="6">
        <f>IF(B80=0,0,E80/B80)</f>
        <v>1</v>
      </c>
      <c r="I80" s="104">
        <f>SUMIFS(Data!$J$2:$J$5000,Data!$B$2:$B$5000,$A80,Data!$H$2:$H$5000,"Y")</f>
        <v>22</v>
      </c>
      <c r="J80" s="104">
        <f>SUMIFS(Data!$P$2:$P$5000,Data!$B$2:$B$5000,$A80)</f>
        <v>22</v>
      </c>
      <c r="K80" s="104">
        <f>SUMIFS(Data!$Q$2:$Q$5000,Data!$B$2:$B$5000,$A80)</f>
        <v>0</v>
      </c>
      <c r="L80" s="104">
        <f>J80+K80</f>
        <v>22</v>
      </c>
      <c r="M80" s="6">
        <f>IF(I80=0,0,J80/I80)</f>
        <v>1</v>
      </c>
      <c r="N80" s="6">
        <f>IF(I80=0,0,L80/I80)</f>
        <v>1</v>
      </c>
    </row>
    <row r="81" spans="1:14" x14ac:dyDescent="0.25">
      <c r="A81" s="4" t="s">
        <v>131</v>
      </c>
      <c r="B81" s="5">
        <f>COUNTIFS(Data!$B$2:$B$5000,$A81,Data!$H$2:$H$5000,"Y")</f>
        <v>8</v>
      </c>
      <c r="C81" s="5">
        <f>SUMIFS(Data!$L$2:$L$5000,Data!$B$2:$B$5000,$A81,Data!$H$2:$H$5000,"Y")</f>
        <v>5</v>
      </c>
      <c r="D81" s="5">
        <f>SUMIFS(Data!$M$2:$M$5000,Data!$B$2:$B$5000,$A81,Data!$H$2:$H$5000,"Y")</f>
        <v>0</v>
      </c>
      <c r="E81" s="5">
        <f>C81+D81</f>
        <v>5</v>
      </c>
      <c r="F81" s="5">
        <f>B81-E81</f>
        <v>3</v>
      </c>
      <c r="G81" s="6">
        <f>IF(B81=0,0,C81/B81)</f>
        <v>0.625</v>
      </c>
      <c r="H81" s="6">
        <f>IF(B81=0,0,E81/B81)</f>
        <v>0.625</v>
      </c>
      <c r="I81" s="104">
        <f>SUMIFS(Data!$J$2:$J$5000,Data!$B$2:$B$5000,$A81,Data!$H$2:$H$5000,"Y")</f>
        <v>88</v>
      </c>
      <c r="J81" s="104">
        <f>SUMIFS(Data!$P$2:$P$5000,Data!$B$2:$B$5000,$A81)</f>
        <v>53</v>
      </c>
      <c r="K81" s="104">
        <f>SUMIFS(Data!$Q$2:$Q$5000,Data!$B$2:$B$5000,$A81)</f>
        <v>0</v>
      </c>
      <c r="L81" s="104">
        <f>J81+K81</f>
        <v>53</v>
      </c>
      <c r="M81" s="6">
        <f>IF(I81=0,0,J81/I81)</f>
        <v>0.60227272727272729</v>
      </c>
      <c r="N81" s="6">
        <f>IF(I81=0,0,L81/I81)</f>
        <v>0.60227272727272729</v>
      </c>
    </row>
    <row r="82" spans="1:14" x14ac:dyDescent="0.25">
      <c r="A82" s="4" t="s">
        <v>132</v>
      </c>
      <c r="B82" s="5">
        <f>COUNTIFS(Data!$B$2:$B$5000,$A82,Data!$H$2:$H$5000,"Y")</f>
        <v>6</v>
      </c>
      <c r="C82" s="5">
        <f>SUMIFS(Data!$L$2:$L$5000,Data!$B$2:$B$5000,$A82,Data!$H$2:$H$5000,"Y")</f>
        <v>6</v>
      </c>
      <c r="D82" s="5">
        <f>SUMIFS(Data!$M$2:$M$5000,Data!$B$2:$B$5000,$A82,Data!$H$2:$H$5000,"Y")</f>
        <v>0</v>
      </c>
      <c r="E82" s="5">
        <f>C82+D82</f>
        <v>6</v>
      </c>
      <c r="F82" s="5">
        <f>B82-E82</f>
        <v>0</v>
      </c>
      <c r="G82" s="6">
        <f>IF(B82=0,0,C82/B82)</f>
        <v>1</v>
      </c>
      <c r="H82" s="6">
        <f>IF(B82=0,0,E82/B82)</f>
        <v>1</v>
      </c>
      <c r="I82" s="104">
        <f>SUMIFS(Data!$J$2:$J$5000,Data!$B$2:$B$5000,$A82,Data!$H$2:$H$5000,"Y")</f>
        <v>42</v>
      </c>
      <c r="J82" s="104">
        <f>SUMIFS(Data!$P$2:$P$5000,Data!$B$2:$B$5000,$A82)</f>
        <v>42</v>
      </c>
      <c r="K82" s="104">
        <f>SUMIFS(Data!$Q$2:$Q$5000,Data!$B$2:$B$5000,$A82)</f>
        <v>0</v>
      </c>
      <c r="L82" s="104">
        <f>J82+K82</f>
        <v>42</v>
      </c>
      <c r="M82" s="6">
        <f>IF(I82=0,0,J82/I82)</f>
        <v>1</v>
      </c>
      <c r="N82" s="6">
        <f>IF(I82=0,0,L82/I82)</f>
        <v>1</v>
      </c>
    </row>
    <row r="83" spans="1:14" x14ac:dyDescent="0.25">
      <c r="A83" s="4" t="s">
        <v>96</v>
      </c>
      <c r="B83" s="5">
        <f>COUNTIFS(Data!$B$2:$B$5000,$A83,Data!$H$2:$H$5000,"Y")</f>
        <v>2</v>
      </c>
      <c r="C83" s="5">
        <f>SUMIFS(Data!$L$2:$L$5000,Data!$B$2:$B$5000,$A83,Data!$H$2:$H$5000,"Y")</f>
        <v>1</v>
      </c>
      <c r="D83" s="5">
        <f>SUMIFS(Data!$M$2:$M$5000,Data!$B$2:$B$5000,$A83,Data!$H$2:$H$5000,"Y")</f>
        <v>0</v>
      </c>
      <c r="E83" s="5">
        <f>C83+D83</f>
        <v>1</v>
      </c>
      <c r="F83" s="5">
        <f>B83-E83</f>
        <v>1</v>
      </c>
      <c r="G83" s="6">
        <f>IF(B83=0,0,C83/B83)</f>
        <v>0.5</v>
      </c>
      <c r="H83" s="6">
        <f>IF(B83=0,0,E83/B83)</f>
        <v>0.5</v>
      </c>
      <c r="I83" s="104">
        <f>SUMIFS(Data!$J$2:$J$5000,Data!$B$2:$B$5000,$A83,Data!$H$2:$H$5000,"Y")</f>
        <v>76</v>
      </c>
      <c r="J83" s="104">
        <f>SUMIFS(Data!$P$2:$P$5000,Data!$B$2:$B$5000,$A83)</f>
        <v>38</v>
      </c>
      <c r="K83" s="104">
        <f>SUMIFS(Data!$Q$2:$Q$5000,Data!$B$2:$B$5000,$A83)</f>
        <v>0</v>
      </c>
      <c r="L83" s="104">
        <f>J83+K83</f>
        <v>38</v>
      </c>
      <c r="M83" s="6">
        <f>IF(I83=0,0,J83/I83)</f>
        <v>0.5</v>
      </c>
      <c r="N83" s="6">
        <f>IF(I83=0,0,L83/I83)</f>
        <v>0.5</v>
      </c>
    </row>
    <row r="84" spans="1:14" x14ac:dyDescent="0.25">
      <c r="A84" s="4" t="s">
        <v>98</v>
      </c>
      <c r="B84" s="5">
        <f>COUNTIFS(Data!$B$2:$B$5000,$A84,Data!$H$2:$H$5000,"Y")</f>
        <v>2</v>
      </c>
      <c r="C84" s="5">
        <f>SUMIFS(Data!$L$2:$L$5000,Data!$B$2:$B$5000,$A84,Data!$H$2:$H$5000,"Y")</f>
        <v>0</v>
      </c>
      <c r="D84" s="5">
        <f>SUMIFS(Data!$M$2:$M$5000,Data!$B$2:$B$5000,$A84,Data!$H$2:$H$5000,"Y")</f>
        <v>0</v>
      </c>
      <c r="E84" s="5">
        <f>C84+D84</f>
        <v>0</v>
      </c>
      <c r="F84" s="5">
        <f>B84-E84</f>
        <v>2</v>
      </c>
      <c r="G84" s="6">
        <f>IF(B84=0,0,C84/B84)</f>
        <v>0</v>
      </c>
      <c r="H84" s="6">
        <f>IF(B84=0,0,E84/B84)</f>
        <v>0</v>
      </c>
      <c r="I84" s="104">
        <f>SUMIFS(Data!$J$2:$J$5000,Data!$B$2:$B$5000,$A84,Data!$H$2:$H$5000,"Y")</f>
        <v>202</v>
      </c>
      <c r="J84" s="104">
        <f>SUMIFS(Data!$P$2:$P$5000,Data!$B$2:$B$5000,$A84)</f>
        <v>0</v>
      </c>
      <c r="K84" s="104">
        <f>SUMIFS(Data!$Q$2:$Q$5000,Data!$B$2:$B$5000,$A84)</f>
        <v>0</v>
      </c>
      <c r="L84" s="104">
        <f>J84+K84</f>
        <v>0</v>
      </c>
      <c r="M84" s="6">
        <f>IF(I84=0,0,J84/I84)</f>
        <v>0</v>
      </c>
      <c r="N84" s="6">
        <f>IF(I84=0,0,L84/I84)</f>
        <v>0</v>
      </c>
    </row>
    <row r="85" spans="1:14" x14ac:dyDescent="0.25">
      <c r="A85" s="120" t="s">
        <v>109</v>
      </c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2"/>
    </row>
    <row r="86" spans="1:14" x14ac:dyDescent="0.25">
      <c r="A86" s="4" t="s">
        <v>133</v>
      </c>
      <c r="B86" s="5">
        <f>COUNTIFS(Data!$B$2:$B$5000,$A86,Data!$H$2:$H$5000,"Y")</f>
        <v>4</v>
      </c>
      <c r="C86" s="5">
        <f>SUMIFS(Data!$L$2:$L$5000,Data!$B$2:$B$5000,$A86,Data!$H$2:$H$5000,"Y")</f>
        <v>2</v>
      </c>
      <c r="D86" s="5">
        <f>SUMIFS(Data!$M$2:$M$5000,Data!$B$2:$B$5000,$A86,Data!$H$2:$H$5000,"Y")</f>
        <v>0</v>
      </c>
      <c r="E86" s="5">
        <f>C86+D86</f>
        <v>2</v>
      </c>
      <c r="F86" s="5">
        <f>B86-E86</f>
        <v>2</v>
      </c>
      <c r="G86" s="6">
        <f>IF(B86=0,0,C86/B86)</f>
        <v>0.5</v>
      </c>
      <c r="H86" s="6">
        <f>IF(B86=0,0,E86/B86)</f>
        <v>0.5</v>
      </c>
      <c r="I86" s="104">
        <f>SUMIFS(Data!$J$2:$J$5000,Data!$B$2:$B$5000,$A86,Data!$H$2:$H$5000,"Y")</f>
        <v>316</v>
      </c>
      <c r="J86" s="104">
        <f>SUMIFS(Data!$P$2:$P$5000,Data!$B$2:$B$5000,$A86)</f>
        <v>151</v>
      </c>
      <c r="K86" s="104">
        <f>SUMIFS(Data!$Q$2:$Q$5000,Data!$B$2:$B$5000,$A86)</f>
        <v>0</v>
      </c>
      <c r="L86" s="104">
        <f>J86+K86</f>
        <v>151</v>
      </c>
      <c r="M86" s="6">
        <f>IF(I86=0,0,J86/I86)</f>
        <v>0.47784810126582278</v>
      </c>
      <c r="N86" s="6">
        <f>IF(I86=0,0,L86/I86)</f>
        <v>0.47784810126582278</v>
      </c>
    </row>
    <row r="87" spans="1:14" x14ac:dyDescent="0.25">
      <c r="A87" s="4" t="s">
        <v>100</v>
      </c>
      <c r="B87" s="5">
        <f>COUNTIFS(Data!$B$2:$B$5000,$A87,Data!$H$2:$H$5000,"Y")</f>
        <v>3</v>
      </c>
      <c r="C87" s="5">
        <f>SUMIFS(Data!$L$2:$L$5000,Data!$B$2:$B$5000,$A87,Data!$H$2:$H$5000,"Y")</f>
        <v>1</v>
      </c>
      <c r="D87" s="5">
        <f>SUMIFS(Data!$M$2:$M$5000,Data!$B$2:$B$5000,$A87,Data!$H$2:$H$5000,"Y")</f>
        <v>0</v>
      </c>
      <c r="E87" s="5">
        <f>C87+D87</f>
        <v>1</v>
      </c>
      <c r="F87" s="5">
        <f>B87-E87</f>
        <v>2</v>
      </c>
      <c r="G87" s="6">
        <f>IF(B87=0,0,C87/B87)</f>
        <v>0.33333333333333331</v>
      </c>
      <c r="H87" s="6">
        <f>IF(B87=0,0,E87/B87)</f>
        <v>0.33333333333333331</v>
      </c>
      <c r="I87" s="104">
        <f>SUMIFS(Data!$J$2:$J$5000,Data!$B$2:$B$5000,$A87,Data!$H$2:$H$5000,"Y")</f>
        <v>432</v>
      </c>
      <c r="J87" s="104">
        <f>SUMIFS(Data!$P$2:$P$5000,Data!$B$2:$B$5000,$A87)</f>
        <v>144</v>
      </c>
      <c r="K87" s="104">
        <f>SUMIFS(Data!$Q$2:$Q$5000,Data!$B$2:$B$5000,$A87)</f>
        <v>0</v>
      </c>
      <c r="L87" s="104">
        <f>J87+K87</f>
        <v>144</v>
      </c>
      <c r="M87" s="6">
        <f>IF(I87=0,0,J87/I87)</f>
        <v>0.33333333333333331</v>
      </c>
      <c r="N87" s="6">
        <f>IF(I87=0,0,L87/I87)</f>
        <v>0.33333333333333331</v>
      </c>
    </row>
    <row r="88" spans="1:14" x14ac:dyDescent="0.25">
      <c r="A88" s="4" t="s">
        <v>101</v>
      </c>
      <c r="B88" s="5">
        <f>COUNTIFS(Data!$B$2:$B$5000,$A88,Data!$H$2:$H$5000,"Y")</f>
        <v>1</v>
      </c>
      <c r="C88" s="5">
        <f>SUMIFS(Data!$L$2:$L$5000,Data!$B$2:$B$5000,$A88,Data!$H$2:$H$5000,"Y")</f>
        <v>0</v>
      </c>
      <c r="D88" s="5">
        <f>SUMIFS(Data!$M$2:$M$5000,Data!$B$2:$B$5000,$A88,Data!$H$2:$H$5000,"Y")</f>
        <v>0</v>
      </c>
      <c r="E88" s="5">
        <f>C88+D88</f>
        <v>0</v>
      </c>
      <c r="F88" s="5">
        <f>B88-E88</f>
        <v>1</v>
      </c>
      <c r="G88" s="6">
        <f>IF(B88=0,0,C88/B88)</f>
        <v>0</v>
      </c>
      <c r="H88" s="6">
        <f>IF(B88=0,0,E88/B88)</f>
        <v>0</v>
      </c>
      <c r="I88" s="104">
        <f>SUMIFS(Data!$J$2:$J$5000,Data!$B$2:$B$5000,$A88,Data!$H$2:$H$5000,"Y")</f>
        <v>216</v>
      </c>
      <c r="J88" s="104">
        <f>SUMIFS(Data!$P$2:$P$5000,Data!$B$2:$B$5000,$A88)</f>
        <v>0</v>
      </c>
      <c r="K88" s="104">
        <f>SUMIFS(Data!$Q$2:$Q$5000,Data!$B$2:$B$5000,$A88)</f>
        <v>0</v>
      </c>
      <c r="L88" s="104">
        <f>J88+K88</f>
        <v>0</v>
      </c>
      <c r="M88" s="6">
        <f>IF(I88=0,0,J88/I88)</f>
        <v>0</v>
      </c>
      <c r="N88" s="6">
        <f>IF(I88=0,0,L88/I88)</f>
        <v>0</v>
      </c>
    </row>
    <row r="89" spans="1:14" x14ac:dyDescent="0.25">
      <c r="A89" s="4" t="s">
        <v>102</v>
      </c>
      <c r="B89" s="5">
        <f>COUNTIFS(Data!$B$2:$B$5000,$A89,Data!$H$2:$H$5000,"Y")</f>
        <v>1</v>
      </c>
      <c r="C89" s="5">
        <f>SUMIFS(Data!$L$2:$L$5000,Data!$B$2:$B$5000,$A89,Data!$H$2:$H$5000,"Y")</f>
        <v>0</v>
      </c>
      <c r="D89" s="5">
        <f>SUMIFS(Data!$M$2:$M$5000,Data!$B$2:$B$5000,$A89,Data!$H$2:$H$5000,"Y")</f>
        <v>0</v>
      </c>
      <c r="E89" s="5">
        <f>C89+D89</f>
        <v>0</v>
      </c>
      <c r="F89" s="5">
        <f>B89-E89</f>
        <v>1</v>
      </c>
      <c r="G89" s="6">
        <f>IF(B89=0,0,C89/B89)</f>
        <v>0</v>
      </c>
      <c r="H89" s="6">
        <f>IF(B89=0,0,E89/B89)</f>
        <v>0</v>
      </c>
      <c r="I89" s="104">
        <f>SUMIFS(Data!$J$2:$J$5000,Data!$B$2:$B$5000,$A89,Data!$H$2:$H$5000,"Y")</f>
        <v>250</v>
      </c>
      <c r="J89" s="104">
        <f>SUMIFS(Data!$P$2:$P$5000,Data!$B$2:$B$5000,$A89)</f>
        <v>0</v>
      </c>
      <c r="K89" s="104">
        <f>SUMIFS(Data!$Q$2:$Q$5000,Data!$B$2:$B$5000,$A89)</f>
        <v>0</v>
      </c>
      <c r="L89" s="104">
        <f>J89+K89</f>
        <v>0</v>
      </c>
      <c r="M89" s="6">
        <f>IF(I89=0,0,J89/I89)</f>
        <v>0</v>
      </c>
      <c r="N89" s="6">
        <f>IF(I89=0,0,L89/I89)</f>
        <v>0</v>
      </c>
    </row>
    <row r="90" spans="1:14" x14ac:dyDescent="0.25">
      <c r="A90" s="23" t="s">
        <v>134</v>
      </c>
      <c r="B90" s="24">
        <f>SUM(B80:B89)</f>
        <v>35</v>
      </c>
      <c r="C90" s="24">
        <f>SUM(C80:C89)</f>
        <v>23</v>
      </c>
      <c r="D90" s="24">
        <f>SUM(D80:D89)</f>
        <v>0</v>
      </c>
      <c r="E90" s="24">
        <f>C90+D90</f>
        <v>23</v>
      </c>
      <c r="F90" s="24">
        <f>B90-E90</f>
        <v>12</v>
      </c>
      <c r="G90" s="25">
        <f>IF(B90=0,0,C90/B90)</f>
        <v>0.65714285714285714</v>
      </c>
      <c r="H90" s="25">
        <f>IF(B90=0,0,E90/B90)</f>
        <v>0.65714285714285714</v>
      </c>
      <c r="I90" s="108">
        <f>SUM(I80:I89)</f>
        <v>1644</v>
      </c>
      <c r="J90" s="108">
        <f>SUM(J80:J89)</f>
        <v>450</v>
      </c>
      <c r="K90" s="108">
        <f>SUM(K80:K89)</f>
        <v>0</v>
      </c>
      <c r="L90" s="108">
        <f>J90+K90</f>
        <v>450</v>
      </c>
      <c r="M90" s="25">
        <f>IF(I90=0,0,J90/I90)</f>
        <v>0.27372262773722628</v>
      </c>
      <c r="N90" s="25">
        <f>IF(I90=0,0,L90/I90)</f>
        <v>0.27372262773722628</v>
      </c>
    </row>
    <row r="91" spans="1:14" x14ac:dyDescent="0.25">
      <c r="I91" s="110"/>
      <c r="J91" s="110"/>
      <c r="K91" s="110"/>
      <c r="L91" s="110"/>
    </row>
    <row r="92" spans="1:14" x14ac:dyDescent="0.25">
      <c r="A92" s="117" t="s">
        <v>37</v>
      </c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</row>
    <row r="93" spans="1:14" x14ac:dyDescent="0.25">
      <c r="A93" s="4" t="s">
        <v>135</v>
      </c>
      <c r="B93" s="5">
        <f>COUNTIFS(Data!$B$2:$B$5000,"Autographs",Data!$E$2:$E$5000,"Base",Data!$H$2:$H$5000,"Y")</f>
        <v>56</v>
      </c>
      <c r="C93" s="5">
        <f>SUMIFS(Data!$L$2:$L$5000,Data!$B$2:$B$5000,"Autographs",Data!$E$2:$E$5000,"Base",Data!$H$2:$H$5000,"Y")</f>
        <v>33</v>
      </c>
      <c r="D93" s="5">
        <f>SUMIFS(Data!$M$2:$M$5000,Data!$B$2:$B$5000,"Autographs",Data!$E$2:$E$5000,"Base",Data!$H$2:$H$5000,"Y")</f>
        <v>0</v>
      </c>
      <c r="E93" s="5">
        <f t="shared" ref="E93:E99" si="21">C93+D93</f>
        <v>33</v>
      </c>
      <c r="F93" s="5">
        <f t="shared" ref="F93:F99" si="22">B93-E93</f>
        <v>23</v>
      </c>
      <c r="G93" s="6">
        <f t="shared" ref="G93:G99" si="23">IF(B93=0,0,C93/B93)</f>
        <v>0.5892857142857143</v>
      </c>
      <c r="H93" s="6">
        <f t="shared" ref="H93:H99" si="24">IF(B93=0,0,E93/B93)</f>
        <v>0.5892857142857143</v>
      </c>
      <c r="I93" s="104">
        <f>SUMIFS(Data!$J$2:$J$5000,Data!$B$2:$B$5000,"Autographs",Data!$E$2:$E$5000,"Base",Data!$H$2:$H$5000,"Y")</f>
        <v>905</v>
      </c>
      <c r="J93" s="104">
        <f>SUMIFS(Data!$P$2:$P$5000,Data!$B$2:$B$5000,"Autographs",Data!$E$2:$E$5000,"Base")</f>
        <v>515</v>
      </c>
      <c r="K93" s="104">
        <f>SUMIFS(Data!$Q$2:$Q$5000,Data!$B$2:$B$5000,"Autographs",Data!$E$2:$E$5000,"Base")</f>
        <v>0</v>
      </c>
      <c r="L93" s="104">
        <f t="shared" ref="L93:L99" si="25">J93+K93</f>
        <v>515</v>
      </c>
      <c r="M93" s="6">
        <f t="shared" ref="M93:M99" si="26">IF(I93=0,0,J93/I93)</f>
        <v>0.56906077348066297</v>
      </c>
      <c r="N93" s="6">
        <f t="shared" ref="N93:N99" si="27">IF(I93=0,0,L93/I93)</f>
        <v>0.56906077348066297</v>
      </c>
    </row>
    <row r="94" spans="1:14" x14ac:dyDescent="0.25">
      <c r="A94" s="4" t="s">
        <v>136</v>
      </c>
      <c r="B94" s="5">
        <f>COUNTIFS(Data!$B$2:$B$5000,$A94,Data!$H$2:$H$5000,"Y")</f>
        <v>64</v>
      </c>
      <c r="C94" s="5">
        <f>SUMIFS(Data!$L$2:$L$5000,Data!$B$2:$B$5000,$A94,Data!$H$2:$H$5000,"Y")</f>
        <v>18</v>
      </c>
      <c r="D94" s="5">
        <f>SUMIFS(Data!$M$2:$M$5000,Data!$B$2:$B$5000,$A94,Data!$H$2:$H$5000,"Y")</f>
        <v>1</v>
      </c>
      <c r="E94" s="5">
        <f t="shared" si="21"/>
        <v>19</v>
      </c>
      <c r="F94" s="5">
        <f t="shared" si="22"/>
        <v>45</v>
      </c>
      <c r="G94" s="6">
        <f t="shared" si="23"/>
        <v>0.28125</v>
      </c>
      <c r="H94" s="6">
        <f t="shared" si="24"/>
        <v>0.296875</v>
      </c>
      <c r="I94" s="104">
        <f>SUMIFS(Data!$J$2:$J$5000,Data!$B$2:$B$5000,$A94,Data!$H$2:$H$5000,"Y")</f>
        <v>4064</v>
      </c>
      <c r="J94" s="104">
        <f>SUMIFS(Data!$P$2:$P$5000,Data!$B$2:$B$5000,$A94)</f>
        <v>945</v>
      </c>
      <c r="K94" s="104">
        <f>SUMIFS(Data!$Q$2:$Q$5000,Data!$B$2:$B$5000,$A94)</f>
        <v>96</v>
      </c>
      <c r="L94" s="104">
        <f t="shared" si="25"/>
        <v>1041</v>
      </c>
      <c r="M94" s="6">
        <f t="shared" si="26"/>
        <v>0.23252952755905512</v>
      </c>
      <c r="N94" s="6">
        <f t="shared" si="27"/>
        <v>0.2561515748031496</v>
      </c>
    </row>
    <row r="95" spans="1:14" x14ac:dyDescent="0.25">
      <c r="A95" s="4" t="s">
        <v>137</v>
      </c>
      <c r="B95" s="5">
        <f>COUNTIFS(Data!$B$2:$B$5000,"Autographs",Data!$E$2:$E$5000,"Inscribed",Data!$H$2:$H$5000,"Y")</f>
        <v>10</v>
      </c>
      <c r="C95" s="5">
        <f>SUMIFS(Data!$L$2:$L$5000,Data!$B$2:$B$5000,"Autographs",Data!$E$2:$E$5000,"Inscribed",Data!$H$2:$H$5000,"Y")</f>
        <v>6</v>
      </c>
      <c r="D95" s="5">
        <f>SUMIFS(Data!$M$2:$M$5000,Data!$B$2:$B$5000,"Autographs",Data!$E$2:$E$5000,"Inscribed",Data!$H$2:$H$5000,"Y")</f>
        <v>0</v>
      </c>
      <c r="E95" s="5">
        <f t="shared" si="21"/>
        <v>6</v>
      </c>
      <c r="F95" s="5">
        <f t="shared" si="22"/>
        <v>4</v>
      </c>
      <c r="G95" s="6">
        <f t="shared" si="23"/>
        <v>0.6</v>
      </c>
      <c r="H95" s="6">
        <f t="shared" si="24"/>
        <v>0.6</v>
      </c>
      <c r="I95" s="104">
        <f>SUMIFS(Data!$J$2:$J$5000,Data!$B$2:$B$5000,"Autographs",Data!$E$2:$E$5000,"Inscribed",Data!$H$2:$H$5000,"Y")</f>
        <v>161</v>
      </c>
      <c r="J95" s="104">
        <f>SUMIFS(Data!$P$2:$P$5000,Data!$B$2:$B$5000,"Autographs",Data!$E$2:$E$5000,"Inscribed")</f>
        <v>101</v>
      </c>
      <c r="K95" s="104">
        <f>SUMIFS(Data!$Q$2:$Q$5000,Data!$B$2:$B$5000,"Autographs",Data!$E$2:$E$5000,"Inscribed")</f>
        <v>0</v>
      </c>
      <c r="L95" s="104">
        <f t="shared" si="25"/>
        <v>101</v>
      </c>
      <c r="M95" s="6">
        <f t="shared" si="26"/>
        <v>0.62732919254658381</v>
      </c>
      <c r="N95" s="6">
        <f t="shared" si="27"/>
        <v>0.62732919254658381</v>
      </c>
    </row>
    <row r="96" spans="1:14" x14ac:dyDescent="0.25">
      <c r="A96" s="4" t="s">
        <v>111</v>
      </c>
      <c r="B96" s="5">
        <f>COUNTIFS(Data!$B$2:$B$5000,$A96,Data!$H$2:$H$5000,"Y")</f>
        <v>66</v>
      </c>
      <c r="C96" s="5">
        <f>SUMIFS(Data!$L$2:$L$5000,Data!$B$2:$B$5000,$A96,Data!$H$2:$H$5000,"Y")</f>
        <v>5</v>
      </c>
      <c r="D96" s="5">
        <f>SUMIFS(Data!$M$2:$M$5000,Data!$B$2:$B$5000,$A96,Data!$H$2:$H$5000,"Y")</f>
        <v>1</v>
      </c>
      <c r="E96" s="5">
        <f t="shared" si="21"/>
        <v>6</v>
      </c>
      <c r="F96" s="5">
        <f t="shared" si="22"/>
        <v>60</v>
      </c>
      <c r="G96" s="6">
        <f t="shared" si="23"/>
        <v>7.575757575757576E-2</v>
      </c>
      <c r="H96" s="6">
        <f t="shared" si="24"/>
        <v>9.0909090909090912E-2</v>
      </c>
      <c r="I96" s="104">
        <f>SUMIFS(Data!$J$2:$J$5000,Data!$B$2:$B$5000,$A96,Data!$H$2:$H$5000,"Y")</f>
        <v>6980</v>
      </c>
      <c r="J96" s="104">
        <f>SUMIFS(Data!$P$2:$P$5000,Data!$B$2:$B$5000,$A96)</f>
        <v>560</v>
      </c>
      <c r="K96" s="104">
        <f>SUMIFS(Data!$Q$2:$Q$5000,Data!$B$2:$B$5000,$A96)</f>
        <v>110</v>
      </c>
      <c r="L96" s="104">
        <f t="shared" si="25"/>
        <v>670</v>
      </c>
      <c r="M96" s="6">
        <f t="shared" si="26"/>
        <v>8.0229226361031525E-2</v>
      </c>
      <c r="N96" s="6">
        <f t="shared" si="27"/>
        <v>9.5988538681948427E-2</v>
      </c>
    </row>
    <row r="97" spans="1:14" x14ac:dyDescent="0.25">
      <c r="A97" s="4" t="s">
        <v>138</v>
      </c>
      <c r="B97" s="5">
        <f>COUNTIFS(Data!$B$2:$B$5000,$A97,Data!$H$2:$H$5000,"Y")</f>
        <v>30</v>
      </c>
      <c r="C97" s="5">
        <f>SUMIFS(Data!$L$2:$L$5000,Data!$B$2:$B$5000,$A97,Data!$H$2:$H$5000,"Y")</f>
        <v>15</v>
      </c>
      <c r="D97" s="5">
        <f>SUMIFS(Data!$M$2:$M$5000,Data!$B$2:$B$5000,$A97,Data!$H$2:$H$5000,"Y")</f>
        <v>0</v>
      </c>
      <c r="E97" s="5">
        <f t="shared" si="21"/>
        <v>15</v>
      </c>
      <c r="F97" s="5">
        <f t="shared" si="22"/>
        <v>15</v>
      </c>
      <c r="G97" s="6">
        <f t="shared" si="23"/>
        <v>0.5</v>
      </c>
      <c r="H97" s="6">
        <f t="shared" si="24"/>
        <v>0.5</v>
      </c>
      <c r="I97" s="104">
        <f>SUMIFS(Data!$J$2:$J$5000,Data!$B$2:$B$5000,$A97,Data!$H$2:$H$5000,"Y")</f>
        <v>198</v>
      </c>
      <c r="J97" s="104">
        <f>SUMIFS(Data!$P$2:$P$5000,Data!$B$2:$B$5000,$A97)</f>
        <v>96</v>
      </c>
      <c r="K97" s="104">
        <f>SUMIFS(Data!$Q$2:$Q$5000,Data!$B$2:$B$5000,$A97)</f>
        <v>0</v>
      </c>
      <c r="L97" s="104">
        <f t="shared" si="25"/>
        <v>96</v>
      </c>
      <c r="M97" s="6">
        <f t="shared" si="26"/>
        <v>0.48484848484848486</v>
      </c>
      <c r="N97" s="6">
        <f t="shared" si="27"/>
        <v>0.48484848484848486</v>
      </c>
    </row>
    <row r="98" spans="1:14" x14ac:dyDescent="0.25">
      <c r="A98" s="4" t="s">
        <v>139</v>
      </c>
      <c r="B98" s="5">
        <f>COUNTIFS(Data!$B$2:$B$5000,$A98,Data!$H$2:$H$5000,"Y")</f>
        <v>29</v>
      </c>
      <c r="C98" s="5">
        <f>SUMIFS(Data!$L$2:$L$5000,Data!$B$2:$B$5000,$A98,Data!$H$2:$H$5000,"Y")</f>
        <v>8</v>
      </c>
      <c r="D98" s="5">
        <f>SUMIFS(Data!$M$2:$M$5000,Data!$B$2:$B$5000,$A98,Data!$H$2:$H$5000,"Y")</f>
        <v>0</v>
      </c>
      <c r="E98" s="5">
        <f t="shared" si="21"/>
        <v>8</v>
      </c>
      <c r="F98" s="5">
        <f t="shared" si="22"/>
        <v>21</v>
      </c>
      <c r="G98" s="6">
        <f t="shared" si="23"/>
        <v>0.27586206896551724</v>
      </c>
      <c r="H98" s="6">
        <f t="shared" si="24"/>
        <v>0.27586206896551724</v>
      </c>
      <c r="I98" s="104">
        <f>SUMIFS(Data!$J$2:$J$5000,Data!$B$2:$B$5000,$A98,Data!$H$2:$H$5000,"Y")</f>
        <v>1253</v>
      </c>
      <c r="J98" s="104">
        <f>SUMIFS(Data!$P$2:$P$5000,Data!$B$2:$B$5000,$A98)</f>
        <v>324</v>
      </c>
      <c r="K98" s="104">
        <f>SUMIFS(Data!$Q$2:$Q$5000,Data!$B$2:$B$5000,$A98)</f>
        <v>0</v>
      </c>
      <c r="L98" s="104">
        <f t="shared" si="25"/>
        <v>324</v>
      </c>
      <c r="M98" s="6">
        <f t="shared" si="26"/>
        <v>0.25857940941739826</v>
      </c>
      <c r="N98" s="6">
        <f t="shared" si="27"/>
        <v>0.25857940941739826</v>
      </c>
    </row>
    <row r="99" spans="1:14" x14ac:dyDescent="0.25">
      <c r="A99" s="23" t="s">
        <v>140</v>
      </c>
      <c r="B99" s="24">
        <f>SUM(B93:B98)</f>
        <v>255</v>
      </c>
      <c r="C99" s="24">
        <f>SUM(C93:C98)</f>
        <v>85</v>
      </c>
      <c r="D99" s="24">
        <f>SUM(D93:D98)</f>
        <v>2</v>
      </c>
      <c r="E99" s="24">
        <f t="shared" si="21"/>
        <v>87</v>
      </c>
      <c r="F99" s="24">
        <f t="shared" si="22"/>
        <v>168</v>
      </c>
      <c r="G99" s="25">
        <f t="shared" si="23"/>
        <v>0.33333333333333331</v>
      </c>
      <c r="H99" s="25">
        <f t="shared" si="24"/>
        <v>0.3411764705882353</v>
      </c>
      <c r="I99" s="108">
        <f>SUM(I93:I98)</f>
        <v>13561</v>
      </c>
      <c r="J99" s="108">
        <f>SUM(J93:J98)</f>
        <v>2541</v>
      </c>
      <c r="K99" s="108">
        <f>SUM(K93:K98)</f>
        <v>206</v>
      </c>
      <c r="L99" s="108">
        <f t="shared" si="25"/>
        <v>2747</v>
      </c>
      <c r="M99" s="25">
        <f t="shared" si="26"/>
        <v>0.18737556227416857</v>
      </c>
      <c r="N99" s="25">
        <f t="shared" si="27"/>
        <v>0.20256618243492369</v>
      </c>
    </row>
    <row r="100" spans="1:14" x14ac:dyDescent="0.25">
      <c r="I100" s="110"/>
      <c r="J100" s="110"/>
      <c r="K100" s="110"/>
      <c r="L100" s="110"/>
    </row>
    <row r="101" spans="1:14" x14ac:dyDescent="0.25">
      <c r="A101" s="117" t="s">
        <v>39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</row>
    <row r="102" spans="1:14" x14ac:dyDescent="0.25">
      <c r="A102" s="4" t="s">
        <v>141</v>
      </c>
      <c r="B102" s="5">
        <f>COUNTIFS(Data!$B$2:$B$5000,$A102,Data!$H$2:$H$5000,"Y")</f>
        <v>12</v>
      </c>
      <c r="C102" s="5">
        <f>SUMIFS(Data!$L$2:$L$5000,Data!$B$2:$B$5000,$A102,Data!$H$2:$H$5000,"Y")</f>
        <v>2</v>
      </c>
      <c r="D102" s="5">
        <f>SUMIFS(Data!$M$2:$M$5000,Data!$B$2:$B$5000,$A102,Data!$H$2:$H$5000,"Y")</f>
        <v>0</v>
      </c>
      <c r="E102" s="5">
        <f t="shared" ref="E102:E111" si="28">C102+D102</f>
        <v>2</v>
      </c>
      <c r="F102" s="5">
        <f t="shared" ref="F102:F111" si="29">B102-E102</f>
        <v>10</v>
      </c>
      <c r="G102" s="6">
        <f t="shared" ref="G102:G111" si="30">IF(B102=0,0,C102/B102)</f>
        <v>0.16666666666666666</v>
      </c>
      <c r="H102" s="6">
        <f t="shared" ref="H102:H111" si="31">IF(B102=0,0,E102/B102)</f>
        <v>0.16666666666666666</v>
      </c>
      <c r="I102" s="104">
        <f>SUMIFS(Data!$J$2:$J$5000,Data!$B$2:$B$5000,$A102,Data!$H$2:$H$5000,"Y")</f>
        <v>1013</v>
      </c>
      <c r="J102" s="104">
        <f>SUMIFS(Data!$P$2:$P$5000,Data!$B$2:$B$5000,$A102)</f>
        <v>166</v>
      </c>
      <c r="K102" s="104">
        <f>SUMIFS(Data!$Q$2:$Q$5000,Data!$B$2:$B$5000,$A102)</f>
        <v>0</v>
      </c>
      <c r="L102" s="104">
        <f t="shared" ref="L102:L111" si="32">J102+K102</f>
        <v>166</v>
      </c>
      <c r="M102" s="6">
        <f t="shared" ref="M102:M111" si="33">IF(I102=0,0,J102/I102)</f>
        <v>0.16386969397828233</v>
      </c>
      <c r="N102" s="6">
        <f t="shared" ref="N102:N111" si="34">IF(I102=0,0,L102/I102)</f>
        <v>0.16386969397828233</v>
      </c>
    </row>
    <row r="103" spans="1:14" x14ac:dyDescent="0.25">
      <c r="A103" s="4" t="s">
        <v>142</v>
      </c>
      <c r="B103" s="5">
        <f>COUNTIFS(Data!$B$2:$B$5000,$A103,Data!$H$2:$H$5000,"Y")</f>
        <v>10</v>
      </c>
      <c r="C103" s="5">
        <f>SUMIFS(Data!$L$2:$L$5000,Data!$B$2:$B$5000,$A103,Data!$H$2:$H$5000,"Y")</f>
        <v>0</v>
      </c>
      <c r="D103" s="5">
        <f>SUMIFS(Data!$M$2:$M$5000,Data!$B$2:$B$5000,$A103,Data!$H$2:$H$5000,"Y")</f>
        <v>1</v>
      </c>
      <c r="E103" s="5">
        <f t="shared" si="28"/>
        <v>1</v>
      </c>
      <c r="F103" s="5">
        <f t="shared" si="29"/>
        <v>9</v>
      </c>
      <c r="G103" s="6">
        <f t="shared" si="30"/>
        <v>0</v>
      </c>
      <c r="H103" s="6">
        <f t="shared" si="31"/>
        <v>0.1</v>
      </c>
      <c r="I103" s="104">
        <f>SUMIFS(Data!$J$2:$J$5000,Data!$B$2:$B$5000,$A103,Data!$H$2:$H$5000,"Y")</f>
        <v>2500</v>
      </c>
      <c r="J103" s="104">
        <f>SUMIFS(Data!$P$2:$P$5000,Data!$B$2:$B$5000,$A103)</f>
        <v>0</v>
      </c>
      <c r="K103" s="104">
        <f>SUMIFS(Data!$Q$2:$Q$5000,Data!$B$2:$B$5000,$A103)</f>
        <v>250</v>
      </c>
      <c r="L103" s="104">
        <f t="shared" si="32"/>
        <v>250</v>
      </c>
      <c r="M103" s="6">
        <f t="shared" si="33"/>
        <v>0</v>
      </c>
      <c r="N103" s="6">
        <f t="shared" si="34"/>
        <v>0.1</v>
      </c>
    </row>
    <row r="104" spans="1:14" x14ac:dyDescent="0.25">
      <c r="A104" s="4" t="s">
        <v>112</v>
      </c>
      <c r="B104" s="5">
        <f>COUNTIFS(Data!$B$2:$B$5000,$A104,Data!$H$2:$H$5000,"Y")</f>
        <v>10</v>
      </c>
      <c r="C104" s="5">
        <f>SUMIFS(Data!$L$2:$L$5000,Data!$B$2:$B$5000,$A104,Data!$H$2:$H$5000,"Y")</f>
        <v>1</v>
      </c>
      <c r="D104" s="5">
        <f>SUMIFS(Data!$M$2:$M$5000,Data!$B$2:$B$5000,$A104,Data!$H$2:$H$5000,"Y")</f>
        <v>0</v>
      </c>
      <c r="E104" s="5">
        <f t="shared" si="28"/>
        <v>1</v>
      </c>
      <c r="F104" s="5">
        <f t="shared" si="29"/>
        <v>9</v>
      </c>
      <c r="G104" s="6">
        <f t="shared" si="30"/>
        <v>0.1</v>
      </c>
      <c r="H104" s="6">
        <f t="shared" si="31"/>
        <v>0.1</v>
      </c>
      <c r="I104" s="104">
        <f>SUMIFS(Data!$J$2:$J$5000,Data!$B$2:$B$5000,$A104,Data!$H$2:$H$5000,"Y")</f>
        <v>2370</v>
      </c>
      <c r="J104" s="104">
        <f>SUMIFS(Data!$P$2:$P$5000,Data!$B$2:$B$5000,$A104)</f>
        <v>250</v>
      </c>
      <c r="K104" s="104">
        <f>SUMIFS(Data!$Q$2:$Q$5000,Data!$B$2:$B$5000,$A104)</f>
        <v>0</v>
      </c>
      <c r="L104" s="104">
        <f t="shared" si="32"/>
        <v>250</v>
      </c>
      <c r="M104" s="6">
        <f t="shared" si="33"/>
        <v>0.10548523206751055</v>
      </c>
      <c r="N104" s="6">
        <f t="shared" si="34"/>
        <v>0.10548523206751055</v>
      </c>
    </row>
    <row r="105" spans="1:14" x14ac:dyDescent="0.25">
      <c r="A105" s="4" t="s">
        <v>143</v>
      </c>
      <c r="B105" s="5">
        <f>COUNTIFS(Data!$B$2:$B$5000,$A105,Data!$H$2:$H$5000,"Y")</f>
        <v>2</v>
      </c>
      <c r="C105" s="5">
        <f>SUMIFS(Data!$L$2:$L$5000,Data!$B$2:$B$5000,$A105,Data!$H$2:$H$5000,"Y")</f>
        <v>1</v>
      </c>
      <c r="D105" s="5">
        <f>SUMIFS(Data!$M$2:$M$5000,Data!$B$2:$B$5000,$A105,Data!$H$2:$H$5000,"Y")</f>
        <v>0</v>
      </c>
      <c r="E105" s="5">
        <f t="shared" si="28"/>
        <v>1</v>
      </c>
      <c r="F105" s="5">
        <f t="shared" si="29"/>
        <v>1</v>
      </c>
      <c r="G105" s="6">
        <f t="shared" si="30"/>
        <v>0.5</v>
      </c>
      <c r="H105" s="6">
        <f t="shared" si="31"/>
        <v>0.5</v>
      </c>
      <c r="I105" s="104">
        <f>SUMIFS(Data!$J$2:$J$5000,Data!$B$2:$B$5000,$A105,Data!$H$2:$H$5000,"Y")</f>
        <v>414</v>
      </c>
      <c r="J105" s="104">
        <f>SUMIFS(Data!$P$2:$P$5000,Data!$B$2:$B$5000,$A105)</f>
        <v>207</v>
      </c>
      <c r="K105" s="104">
        <f>SUMIFS(Data!$Q$2:$Q$5000,Data!$B$2:$B$5000,$A105)</f>
        <v>0</v>
      </c>
      <c r="L105" s="104">
        <f t="shared" si="32"/>
        <v>207</v>
      </c>
      <c r="M105" s="6">
        <f t="shared" si="33"/>
        <v>0.5</v>
      </c>
      <c r="N105" s="6">
        <f t="shared" si="34"/>
        <v>0.5</v>
      </c>
    </row>
    <row r="106" spans="1:14" x14ac:dyDescent="0.25">
      <c r="A106" s="4" t="s">
        <v>144</v>
      </c>
      <c r="B106" s="5">
        <f>COUNTIFS(Data!$B$2:$B$5000,$A106,Data!$H$2:$H$5000,"Y")</f>
        <v>2</v>
      </c>
      <c r="C106" s="5">
        <f>SUMIFS(Data!$L$2:$L$5000,Data!$B$2:$B$5000,$A106,Data!$H$2:$H$5000,"Y")</f>
        <v>0</v>
      </c>
      <c r="D106" s="5">
        <f>SUMIFS(Data!$M$2:$M$5000,Data!$B$2:$B$5000,$A106,Data!$H$2:$H$5000,"Y")</f>
        <v>0</v>
      </c>
      <c r="E106" s="5">
        <f t="shared" si="28"/>
        <v>0</v>
      </c>
      <c r="F106" s="5">
        <f t="shared" si="29"/>
        <v>2</v>
      </c>
      <c r="G106" s="6">
        <f t="shared" si="30"/>
        <v>0</v>
      </c>
      <c r="H106" s="6">
        <f t="shared" si="31"/>
        <v>0</v>
      </c>
      <c r="I106" s="104">
        <f>SUMIFS(Data!$J$2:$J$5000,Data!$B$2:$B$5000,$A106,Data!$H$2:$H$5000,"Y")</f>
        <v>500</v>
      </c>
      <c r="J106" s="104">
        <f>SUMIFS(Data!$P$2:$P$5000,Data!$B$2:$B$5000,$A106)</f>
        <v>0</v>
      </c>
      <c r="K106" s="104">
        <f>SUMIFS(Data!$Q$2:$Q$5000,Data!$B$2:$B$5000,$A106)</f>
        <v>0</v>
      </c>
      <c r="L106" s="104">
        <f t="shared" si="32"/>
        <v>0</v>
      </c>
      <c r="M106" s="6">
        <f t="shared" si="33"/>
        <v>0</v>
      </c>
      <c r="N106" s="6">
        <f t="shared" si="34"/>
        <v>0</v>
      </c>
    </row>
    <row r="107" spans="1:14" x14ac:dyDescent="0.25">
      <c r="A107" s="4" t="s">
        <v>113</v>
      </c>
      <c r="B107" s="5">
        <f>COUNTIFS(Data!$B$2:$B$5000,$A107,Data!$H$2:$H$5000,"Y")</f>
        <v>2</v>
      </c>
      <c r="C107" s="5">
        <f>SUMIFS(Data!$L$2:$L$5000,Data!$B$2:$B$5000,$A107,Data!$H$2:$H$5000,"Y")</f>
        <v>0</v>
      </c>
      <c r="D107" s="5">
        <f>SUMIFS(Data!$M$2:$M$5000,Data!$B$2:$B$5000,$A107,Data!$H$2:$H$5000,"Y")</f>
        <v>0</v>
      </c>
      <c r="E107" s="5">
        <f t="shared" si="28"/>
        <v>0</v>
      </c>
      <c r="F107" s="5">
        <f t="shared" si="29"/>
        <v>2</v>
      </c>
      <c r="G107" s="6">
        <f t="shared" si="30"/>
        <v>0</v>
      </c>
      <c r="H107" s="6">
        <f t="shared" si="31"/>
        <v>0</v>
      </c>
      <c r="I107" s="104">
        <f>SUMIFS(Data!$J$2:$J$5000,Data!$B$2:$B$5000,$A107,Data!$H$2:$H$5000,"Y")</f>
        <v>500</v>
      </c>
      <c r="J107" s="104">
        <f>SUMIFS(Data!$P$2:$P$5000,Data!$B$2:$B$5000,$A107)</f>
        <v>0</v>
      </c>
      <c r="K107" s="104">
        <f>SUMIFS(Data!$Q$2:$Q$5000,Data!$B$2:$B$5000,$A107)</f>
        <v>0</v>
      </c>
      <c r="L107" s="104">
        <f t="shared" si="32"/>
        <v>0</v>
      </c>
      <c r="M107" s="6">
        <f t="shared" si="33"/>
        <v>0</v>
      </c>
      <c r="N107" s="6">
        <f t="shared" si="34"/>
        <v>0</v>
      </c>
    </row>
    <row r="108" spans="1:14" x14ac:dyDescent="0.25">
      <c r="A108" s="4" t="s">
        <v>145</v>
      </c>
      <c r="B108" s="5">
        <f>COUNTIFS(Data!$B$2:$B$5000,$A108,Data!$H$2:$H$5000,"Y")</f>
        <v>1</v>
      </c>
      <c r="C108" s="5">
        <f>SUMIFS(Data!$L$2:$L$5000,Data!$B$2:$B$5000,$A108,Data!$H$2:$H$5000,"Y")</f>
        <v>1</v>
      </c>
      <c r="D108" s="5">
        <f>SUMIFS(Data!$M$2:$M$5000,Data!$B$2:$B$5000,$A108,Data!$H$2:$H$5000,"Y")</f>
        <v>0</v>
      </c>
      <c r="E108" s="5">
        <f t="shared" si="28"/>
        <v>1</v>
      </c>
      <c r="F108" s="5">
        <f t="shared" si="29"/>
        <v>0</v>
      </c>
      <c r="G108" s="6">
        <f t="shared" si="30"/>
        <v>1</v>
      </c>
      <c r="H108" s="6">
        <f t="shared" si="31"/>
        <v>1</v>
      </c>
      <c r="I108" s="104">
        <f>SUMIFS(Data!$J$2:$J$5000,Data!$B$2:$B$5000,$A108,Data!$H$2:$H$5000,"Y")</f>
        <v>250</v>
      </c>
      <c r="J108" s="104">
        <f>SUMIFS(Data!$P$2:$P$5000,Data!$B$2:$B$5000,$A108)</f>
        <v>250</v>
      </c>
      <c r="K108" s="104">
        <f>SUMIFS(Data!$Q$2:$Q$5000,Data!$B$2:$B$5000,$A108)</f>
        <v>0</v>
      </c>
      <c r="L108" s="104">
        <f t="shared" si="32"/>
        <v>250</v>
      </c>
      <c r="M108" s="6">
        <f t="shared" si="33"/>
        <v>1</v>
      </c>
      <c r="N108" s="6">
        <f t="shared" si="34"/>
        <v>1</v>
      </c>
    </row>
    <row r="109" spans="1:14" x14ac:dyDescent="0.25">
      <c r="A109" s="4" t="s">
        <v>114</v>
      </c>
      <c r="B109" s="5">
        <f>COUNTIFS(Data!$B$2:$B$5000,$A109,Data!$H$2:$H$5000,"Y")</f>
        <v>1</v>
      </c>
      <c r="C109" s="5">
        <f>SUMIFS(Data!$L$2:$L$5000,Data!$B$2:$B$5000,$A109,Data!$H$2:$H$5000,"Y")</f>
        <v>0</v>
      </c>
      <c r="D109" s="5">
        <f>SUMIFS(Data!$M$2:$M$5000,Data!$B$2:$B$5000,$A109,Data!$H$2:$H$5000,"Y")</f>
        <v>0</v>
      </c>
      <c r="E109" s="5">
        <f t="shared" si="28"/>
        <v>0</v>
      </c>
      <c r="F109" s="5">
        <f t="shared" si="29"/>
        <v>1</v>
      </c>
      <c r="G109" s="6">
        <f t="shared" si="30"/>
        <v>0</v>
      </c>
      <c r="H109" s="6">
        <f t="shared" si="31"/>
        <v>0</v>
      </c>
      <c r="I109" s="104">
        <f>SUMIFS(Data!$J$2:$J$5000,Data!$B$2:$B$5000,$A109,Data!$H$2:$H$5000,"Y")</f>
        <v>250</v>
      </c>
      <c r="J109" s="104">
        <f>SUMIFS(Data!$P$2:$P$5000,Data!$B$2:$B$5000,$A109)</f>
        <v>0</v>
      </c>
      <c r="K109" s="104">
        <f>SUMIFS(Data!$Q$2:$Q$5000,Data!$B$2:$B$5000,$A109)</f>
        <v>0</v>
      </c>
      <c r="L109" s="104">
        <f t="shared" si="32"/>
        <v>0</v>
      </c>
      <c r="M109" s="6">
        <f t="shared" si="33"/>
        <v>0</v>
      </c>
      <c r="N109" s="6">
        <f t="shared" si="34"/>
        <v>0</v>
      </c>
    </row>
    <row r="110" spans="1:14" x14ac:dyDescent="0.25">
      <c r="A110" s="4" t="s">
        <v>118</v>
      </c>
      <c r="B110" s="5">
        <f>COUNTIFS(Data!$B$2:$B$5000,$A110,Data!$H$2:$H$5000,"Y")</f>
        <v>1</v>
      </c>
      <c r="C110" s="5">
        <f>SUMIFS(Data!$L$2:$L$5000,Data!$B$2:$B$5000,$A110,Data!$H$2:$H$5000,"Y")</f>
        <v>0</v>
      </c>
      <c r="D110" s="5">
        <f>SUMIFS(Data!$M$2:$M$5000,Data!$B$2:$B$5000,$A110,Data!$H$2:$H$5000,"Y")</f>
        <v>0</v>
      </c>
      <c r="E110" s="5">
        <f t="shared" si="28"/>
        <v>0</v>
      </c>
      <c r="F110" s="5">
        <f t="shared" si="29"/>
        <v>1</v>
      </c>
      <c r="G110" s="6">
        <f t="shared" si="30"/>
        <v>0</v>
      </c>
      <c r="H110" s="6">
        <f t="shared" si="31"/>
        <v>0</v>
      </c>
      <c r="I110" s="104">
        <f>SUMIFS(Data!$J$2:$J$5000,Data!$B$2:$B$5000,$A110,Data!$H$2:$H$5000,"Y")</f>
        <v>250</v>
      </c>
      <c r="J110" s="104">
        <f>SUMIFS(Data!$P$2:$P$5000,Data!$B$2:$B$5000,$A110)</f>
        <v>0</v>
      </c>
      <c r="K110" s="104">
        <f>SUMIFS(Data!$Q$2:$Q$5000,Data!$B$2:$B$5000,$A110)</f>
        <v>0</v>
      </c>
      <c r="L110" s="104">
        <f t="shared" si="32"/>
        <v>0</v>
      </c>
      <c r="M110" s="6">
        <f t="shared" si="33"/>
        <v>0</v>
      </c>
      <c r="N110" s="6">
        <f t="shared" si="34"/>
        <v>0</v>
      </c>
    </row>
    <row r="111" spans="1:14" x14ac:dyDescent="0.25">
      <c r="A111" s="23" t="s">
        <v>146</v>
      </c>
      <c r="B111" s="24">
        <f>SUM(B102:B110)</f>
        <v>41</v>
      </c>
      <c r="C111" s="24">
        <f>SUM(C102:C110)</f>
        <v>5</v>
      </c>
      <c r="D111" s="24">
        <f>SUM(D102:D110)</f>
        <v>1</v>
      </c>
      <c r="E111" s="24">
        <f t="shared" si="28"/>
        <v>6</v>
      </c>
      <c r="F111" s="24">
        <f t="shared" si="29"/>
        <v>35</v>
      </c>
      <c r="G111" s="25">
        <f t="shared" si="30"/>
        <v>0.12195121951219512</v>
      </c>
      <c r="H111" s="25">
        <f t="shared" si="31"/>
        <v>0.14634146341463414</v>
      </c>
      <c r="I111" s="108">
        <f>SUM(I102:I110)</f>
        <v>8047</v>
      </c>
      <c r="J111" s="108">
        <f>SUM(J102:J110)</f>
        <v>873</v>
      </c>
      <c r="K111" s="108">
        <f>SUM(K102:K110)</f>
        <v>250</v>
      </c>
      <c r="L111" s="108">
        <f t="shared" si="32"/>
        <v>1123</v>
      </c>
      <c r="M111" s="25">
        <f t="shared" si="33"/>
        <v>0.10848763514353175</v>
      </c>
      <c r="N111" s="25">
        <f t="shared" si="34"/>
        <v>0.13955511370697155</v>
      </c>
    </row>
    <row r="112" spans="1:14" x14ac:dyDescent="0.25">
      <c r="I112" s="110"/>
      <c r="J112" s="110"/>
      <c r="K112" s="110"/>
      <c r="L112" s="110"/>
    </row>
    <row r="113" spans="1:14" ht="21" customHeight="1" x14ac:dyDescent="0.25">
      <c r="A113" s="23" t="s">
        <v>147</v>
      </c>
      <c r="B113" s="24">
        <f>B17+B27+B36+B46+B50+B55+B60+B65+B70+B77+B90+B99+B111+B135</f>
        <v>2396</v>
      </c>
      <c r="C113" s="24">
        <f>C17+C27+C36+C46+C50+C55+C60+C65+C70+C77+C90+C99+C111+C135</f>
        <v>1761</v>
      </c>
      <c r="D113" s="35">
        <f>D17+D27+D36+D46+D50+D55+D60+D65+D70+D77+D90+D99+D111+D135</f>
        <v>3</v>
      </c>
      <c r="E113" s="24">
        <f>C113+D113</f>
        <v>1764</v>
      </c>
      <c r="F113" s="24">
        <f>B113-E113</f>
        <v>632</v>
      </c>
      <c r="G113" s="25">
        <f>IF(B113=0,0,C113/B113)</f>
        <v>0.7349749582637729</v>
      </c>
      <c r="H113" s="25">
        <f>IF(B113=0,0,E113/B113)</f>
        <v>0.73622704507512526</v>
      </c>
      <c r="I113" s="108">
        <f>I17+I27+I36+I46+I50+I55+I60+I65+I70+I77+I90+I99+I111+I135</f>
        <v>83113</v>
      </c>
      <c r="J113" s="108">
        <f>J17+J27+J36+J46+J50+J55+J60+J65+J70+J77+J90+J99+J111+J135</f>
        <v>21379</v>
      </c>
      <c r="K113" s="108">
        <f>K17+K27+K36+K46+K50+K55+K60+K65+K70+K77+K90+K99+K111+K135</f>
        <v>456</v>
      </c>
      <c r="L113" s="108">
        <f>J113+K113</f>
        <v>21835</v>
      </c>
      <c r="M113" s="25">
        <f>IF(I113=0,0,J113/I113)</f>
        <v>0.25722811112581667</v>
      </c>
      <c r="N113" s="25">
        <f>IF(I113=0,0,L113/I113)</f>
        <v>0.26271461744853392</v>
      </c>
    </row>
    <row r="114" spans="1:14" x14ac:dyDescent="0.25">
      <c r="I114" s="110"/>
      <c r="J114" s="110"/>
      <c r="K114" s="110"/>
      <c r="L114" s="110"/>
    </row>
    <row r="115" spans="1:14" x14ac:dyDescent="0.25">
      <c r="A115" s="118" t="s">
        <v>148</v>
      </c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</row>
    <row r="116" spans="1:14" ht="30" customHeight="1" x14ac:dyDescent="0.25">
      <c r="A116" s="1" t="s">
        <v>57</v>
      </c>
      <c r="B116" s="1" t="s">
        <v>3</v>
      </c>
      <c r="C116" s="1" t="s">
        <v>4</v>
      </c>
      <c r="D116" s="1" t="s">
        <v>5</v>
      </c>
      <c r="E116" s="1" t="s">
        <v>47</v>
      </c>
      <c r="F116" s="1" t="s">
        <v>48</v>
      </c>
      <c r="G116" s="1" t="s">
        <v>6</v>
      </c>
      <c r="H116" s="1" t="s">
        <v>7</v>
      </c>
      <c r="I116" s="105" t="s">
        <v>49</v>
      </c>
      <c r="J116" s="105" t="s">
        <v>8</v>
      </c>
      <c r="K116" s="105" t="s">
        <v>50</v>
      </c>
      <c r="L116" s="105" t="s">
        <v>51</v>
      </c>
      <c r="M116" s="1" t="s">
        <v>9</v>
      </c>
      <c r="N116" s="1" t="s">
        <v>10</v>
      </c>
    </row>
    <row r="117" spans="1:14" x14ac:dyDescent="0.25">
      <c r="A117" s="4" t="s">
        <v>104</v>
      </c>
      <c r="B117" s="5">
        <f>COUNTIFS(Data!$B$2:$B$5000,$A117,Data!$H$2:$H$5000,"Y")</f>
        <v>15</v>
      </c>
      <c r="C117" s="5">
        <f>SUMIFS(Data!$L$2:$L$5000,Data!$B$2:$B$5000,$A117,Data!$H$2:$H$5000,"Y")</f>
        <v>2</v>
      </c>
      <c r="D117" s="5">
        <f>SUMIFS(Data!$M$2:$M$5000,Data!$B$2:$B$5000,$A117,Data!$H$2:$H$5000,"Y")</f>
        <v>0</v>
      </c>
      <c r="E117" s="5">
        <f t="shared" ref="E117:E124" si="35">C117+D117</f>
        <v>2</v>
      </c>
      <c r="F117" s="5">
        <f t="shared" ref="F117:F124" si="36">B117-E117</f>
        <v>13</v>
      </c>
      <c r="G117" s="6">
        <f t="shared" ref="G117:G124" si="37">IF(B117=0,0,C117/B117)</f>
        <v>0.13333333333333333</v>
      </c>
      <c r="H117" s="6">
        <f t="shared" ref="H117:H124" si="38">IF(B117=0,0,E117/B117)</f>
        <v>0.13333333333333333</v>
      </c>
      <c r="I117" s="104">
        <f>SUMIFS(Data!$J$2:$J$5000,Data!$B$2:$B$5000,$A117,Data!$H$2:$H$5000,"Y")</f>
        <v>2010</v>
      </c>
      <c r="J117" s="104">
        <f>SUMIFS(Data!$P$2:$P$5000,Data!$B$2:$B$5000,$A117)</f>
        <v>268</v>
      </c>
      <c r="K117" s="104">
        <f>SUMIFS(Data!$Q$2:$Q$5000,Data!$B$2:$B$5000,$A117)</f>
        <v>0</v>
      </c>
      <c r="L117" s="104">
        <f t="shared" ref="L117:L124" si="39">J117+K117</f>
        <v>268</v>
      </c>
      <c r="M117" s="6">
        <f t="shared" ref="M117:M124" si="40">IF(I117=0,0,J117/I117)</f>
        <v>0.13333333333333333</v>
      </c>
      <c r="N117" s="6">
        <f t="shared" ref="N117:N124" si="41">IF(I117=0,0,L117/I117)</f>
        <v>0.13333333333333333</v>
      </c>
    </row>
    <row r="118" spans="1:14" x14ac:dyDescent="0.25">
      <c r="A118" s="4" t="s">
        <v>100</v>
      </c>
      <c r="B118" s="5">
        <f>COUNTIFS(Data!$B$2:$B$5000,$A118,Data!$H$2:$H$5000,"Y")</f>
        <v>3</v>
      </c>
      <c r="C118" s="5">
        <f>SUMIFS(Data!$L$2:$L$5000,Data!$B$2:$B$5000,$A118,Data!$H$2:$H$5000,"Y")</f>
        <v>1</v>
      </c>
      <c r="D118" s="5">
        <f>SUMIFS(Data!$M$2:$M$5000,Data!$B$2:$B$5000,$A118,Data!$H$2:$H$5000,"Y")</f>
        <v>0</v>
      </c>
      <c r="E118" s="5">
        <f t="shared" si="35"/>
        <v>1</v>
      </c>
      <c r="F118" s="5">
        <f t="shared" si="36"/>
        <v>2</v>
      </c>
      <c r="G118" s="6">
        <f t="shared" si="37"/>
        <v>0.33333333333333331</v>
      </c>
      <c r="H118" s="6">
        <f t="shared" si="38"/>
        <v>0.33333333333333331</v>
      </c>
      <c r="I118" s="104">
        <f>SUMIFS(Data!$J$2:$J$5000,Data!$B$2:$B$5000,$A118,Data!$H$2:$H$5000,"Y")</f>
        <v>432</v>
      </c>
      <c r="J118" s="104">
        <f>SUMIFS(Data!$P$2:$P$5000,Data!$B$2:$B$5000,$A118)</f>
        <v>144</v>
      </c>
      <c r="K118" s="104">
        <f>SUMIFS(Data!$Q$2:$Q$5000,Data!$B$2:$B$5000,$A118)</f>
        <v>0</v>
      </c>
      <c r="L118" s="104">
        <f t="shared" si="39"/>
        <v>144</v>
      </c>
      <c r="M118" s="6">
        <f t="shared" si="40"/>
        <v>0.33333333333333331</v>
      </c>
      <c r="N118" s="6">
        <f t="shared" si="41"/>
        <v>0.33333333333333331</v>
      </c>
    </row>
    <row r="119" spans="1:14" x14ac:dyDescent="0.25">
      <c r="A119" s="4" t="s">
        <v>106</v>
      </c>
      <c r="B119" s="5">
        <f>COUNTIFS(Data!$B$2:$B$5000,$A119,Data!$H$2:$H$5000,"Y")</f>
        <v>15</v>
      </c>
      <c r="C119" s="5">
        <f>SUMIFS(Data!$L$2:$L$5000,Data!$B$2:$B$5000,$A119,Data!$H$2:$H$5000,"Y")</f>
        <v>5</v>
      </c>
      <c r="D119" s="5">
        <f>SUMIFS(Data!$M$2:$M$5000,Data!$B$2:$B$5000,$A119,Data!$H$2:$H$5000,"Y")</f>
        <v>0</v>
      </c>
      <c r="E119" s="5">
        <f t="shared" si="35"/>
        <v>5</v>
      </c>
      <c r="F119" s="5">
        <f t="shared" si="36"/>
        <v>10</v>
      </c>
      <c r="G119" s="6">
        <f t="shared" si="37"/>
        <v>0.33333333333333331</v>
      </c>
      <c r="H119" s="6">
        <f t="shared" si="38"/>
        <v>0.33333333333333331</v>
      </c>
      <c r="I119" s="104">
        <f>SUMIFS(Data!$J$2:$J$5000,Data!$B$2:$B$5000,$A119,Data!$H$2:$H$5000,"Y")</f>
        <v>2010</v>
      </c>
      <c r="J119" s="104">
        <f>SUMIFS(Data!$P$2:$P$5000,Data!$B$2:$B$5000,$A119)</f>
        <v>670</v>
      </c>
      <c r="K119" s="104">
        <f>SUMIFS(Data!$Q$2:$Q$5000,Data!$B$2:$B$5000,$A119)</f>
        <v>0</v>
      </c>
      <c r="L119" s="104">
        <f t="shared" si="39"/>
        <v>670</v>
      </c>
      <c r="M119" s="6">
        <f t="shared" si="40"/>
        <v>0.33333333333333331</v>
      </c>
      <c r="N119" s="6">
        <f t="shared" si="41"/>
        <v>0.33333333333333331</v>
      </c>
    </row>
    <row r="120" spans="1:14" x14ac:dyDescent="0.25">
      <c r="A120" s="4" t="s">
        <v>102</v>
      </c>
      <c r="B120" s="5">
        <f>COUNTIFS(Data!$B$2:$B$5000,$A120,Data!$H$2:$H$5000,"Y")</f>
        <v>1</v>
      </c>
      <c r="C120" s="5">
        <f>SUMIFS(Data!$L$2:$L$5000,Data!$B$2:$B$5000,$A120,Data!$H$2:$H$5000,"Y")</f>
        <v>0</v>
      </c>
      <c r="D120" s="5">
        <f>SUMIFS(Data!$M$2:$M$5000,Data!$B$2:$B$5000,$A120,Data!$H$2:$H$5000,"Y")</f>
        <v>0</v>
      </c>
      <c r="E120" s="5">
        <f t="shared" si="35"/>
        <v>0</v>
      </c>
      <c r="F120" s="5">
        <f t="shared" si="36"/>
        <v>1</v>
      </c>
      <c r="G120" s="6">
        <f t="shared" si="37"/>
        <v>0</v>
      </c>
      <c r="H120" s="6">
        <f t="shared" si="38"/>
        <v>0</v>
      </c>
      <c r="I120" s="104">
        <f>SUMIFS(Data!$J$2:$J$5000,Data!$B$2:$B$5000,$A120,Data!$H$2:$H$5000,"Y")</f>
        <v>250</v>
      </c>
      <c r="J120" s="104">
        <f>SUMIFS(Data!$P$2:$P$5000,Data!$B$2:$B$5000,$A120)</f>
        <v>0</v>
      </c>
      <c r="K120" s="104">
        <f>SUMIFS(Data!$Q$2:$Q$5000,Data!$B$2:$B$5000,$A120)</f>
        <v>0</v>
      </c>
      <c r="L120" s="104">
        <f t="shared" si="39"/>
        <v>0</v>
      </c>
      <c r="M120" s="6">
        <f t="shared" si="40"/>
        <v>0</v>
      </c>
      <c r="N120" s="6">
        <f t="shared" si="41"/>
        <v>0</v>
      </c>
    </row>
    <row r="121" spans="1:14" x14ac:dyDescent="0.25">
      <c r="A121" s="4" t="s">
        <v>108</v>
      </c>
      <c r="B121" s="5">
        <f>COUNTIFS(Data!$B$2:$B$5000,$A121,Data!$H$2:$H$5000,"Y")</f>
        <v>15</v>
      </c>
      <c r="C121" s="5">
        <f>SUMIFS(Data!$L$2:$L$5000,Data!$B$2:$B$5000,$A121,Data!$H$2:$H$5000,"Y")</f>
        <v>1</v>
      </c>
      <c r="D121" s="5">
        <f>SUMIFS(Data!$M$2:$M$5000,Data!$B$2:$B$5000,$A121,Data!$H$2:$H$5000,"Y")</f>
        <v>0</v>
      </c>
      <c r="E121" s="5">
        <f t="shared" si="35"/>
        <v>1</v>
      </c>
      <c r="F121" s="5">
        <f t="shared" si="36"/>
        <v>14</v>
      </c>
      <c r="G121" s="6">
        <f t="shared" si="37"/>
        <v>6.6666666666666666E-2</v>
      </c>
      <c r="H121" s="6">
        <f t="shared" si="38"/>
        <v>6.6666666666666666E-2</v>
      </c>
      <c r="I121" s="104">
        <f>SUMIFS(Data!$J$2:$J$5000,Data!$B$2:$B$5000,$A121,Data!$H$2:$H$5000,"Y")</f>
        <v>2010</v>
      </c>
      <c r="J121" s="104">
        <f>SUMIFS(Data!$P$2:$P$5000,Data!$B$2:$B$5000,$A121)</f>
        <v>134</v>
      </c>
      <c r="K121" s="104">
        <f>SUMIFS(Data!$Q$2:$Q$5000,Data!$B$2:$B$5000,$A121)</f>
        <v>0</v>
      </c>
      <c r="L121" s="104">
        <f t="shared" si="39"/>
        <v>134</v>
      </c>
      <c r="M121" s="6">
        <f t="shared" si="40"/>
        <v>6.6666666666666666E-2</v>
      </c>
      <c r="N121" s="6">
        <f t="shared" si="41"/>
        <v>6.6666666666666666E-2</v>
      </c>
    </row>
    <row r="122" spans="1:14" x14ac:dyDescent="0.25">
      <c r="A122" s="4" t="s">
        <v>133</v>
      </c>
      <c r="B122" s="5">
        <f>COUNTIFS(Data!$B$2:$B$5000,$A122,Data!$H$2:$H$5000,"Y")</f>
        <v>4</v>
      </c>
      <c r="C122" s="5">
        <f>SUMIFS(Data!$L$2:$L$5000,Data!$B$2:$B$5000,$A122,Data!$H$2:$H$5000,"Y")</f>
        <v>2</v>
      </c>
      <c r="D122" s="5">
        <f>SUMIFS(Data!$M$2:$M$5000,Data!$B$2:$B$5000,$A122,Data!$H$2:$H$5000,"Y")</f>
        <v>0</v>
      </c>
      <c r="E122" s="5">
        <f t="shared" si="35"/>
        <v>2</v>
      </c>
      <c r="F122" s="5">
        <f t="shared" si="36"/>
        <v>2</v>
      </c>
      <c r="G122" s="6">
        <f t="shared" si="37"/>
        <v>0.5</v>
      </c>
      <c r="H122" s="6">
        <f t="shared" si="38"/>
        <v>0.5</v>
      </c>
      <c r="I122" s="104">
        <f>SUMIFS(Data!$J$2:$J$5000,Data!$B$2:$B$5000,$A122,Data!$H$2:$H$5000,"Y")</f>
        <v>316</v>
      </c>
      <c r="J122" s="104">
        <f>SUMIFS(Data!$P$2:$P$5000,Data!$B$2:$B$5000,$A122)</f>
        <v>151</v>
      </c>
      <c r="K122" s="104">
        <f>SUMIFS(Data!$Q$2:$Q$5000,Data!$B$2:$B$5000,$A122)</f>
        <v>0</v>
      </c>
      <c r="L122" s="104">
        <f t="shared" si="39"/>
        <v>151</v>
      </c>
      <c r="M122" s="6">
        <f t="shared" si="40"/>
        <v>0.47784810126582278</v>
      </c>
      <c r="N122" s="6">
        <f t="shared" si="41"/>
        <v>0.47784810126582278</v>
      </c>
    </row>
    <row r="123" spans="1:14" x14ac:dyDescent="0.25">
      <c r="A123" s="4" t="s">
        <v>101</v>
      </c>
      <c r="B123" s="5">
        <f>COUNTIFS(Data!$B$2:$B$5000,$A123,Data!$H$2:$H$5000,"Y")</f>
        <v>1</v>
      </c>
      <c r="C123" s="5">
        <f>SUMIFS(Data!$L$2:$L$5000,Data!$B$2:$B$5000,$A123,Data!$H$2:$H$5000,"Y")</f>
        <v>0</v>
      </c>
      <c r="D123" s="5">
        <f>SUMIFS(Data!$M$2:$M$5000,Data!$B$2:$B$5000,$A123,Data!$H$2:$H$5000,"Y")</f>
        <v>0</v>
      </c>
      <c r="E123" s="5">
        <f t="shared" si="35"/>
        <v>0</v>
      </c>
      <c r="F123" s="5">
        <f t="shared" si="36"/>
        <v>1</v>
      </c>
      <c r="G123" s="6">
        <f t="shared" si="37"/>
        <v>0</v>
      </c>
      <c r="H123" s="6">
        <f t="shared" si="38"/>
        <v>0</v>
      </c>
      <c r="I123" s="104">
        <f>SUMIFS(Data!$J$2:$J$5000,Data!$B$2:$B$5000,$A123,Data!$H$2:$H$5000,"Y")</f>
        <v>216</v>
      </c>
      <c r="J123" s="104">
        <f>SUMIFS(Data!$P$2:$P$5000,Data!$B$2:$B$5000,$A123)</f>
        <v>0</v>
      </c>
      <c r="K123" s="104">
        <f>SUMIFS(Data!$Q$2:$Q$5000,Data!$B$2:$B$5000,$A123)</f>
        <v>0</v>
      </c>
      <c r="L123" s="104">
        <f t="shared" si="39"/>
        <v>0</v>
      </c>
      <c r="M123" s="6">
        <f t="shared" si="40"/>
        <v>0</v>
      </c>
      <c r="N123" s="6">
        <f t="shared" si="41"/>
        <v>0</v>
      </c>
    </row>
    <row r="124" spans="1:14" x14ac:dyDescent="0.25">
      <c r="A124" s="23" t="s">
        <v>149</v>
      </c>
      <c r="B124" s="24">
        <f>SUM(B117:B123)</f>
        <v>54</v>
      </c>
      <c r="C124" s="24">
        <f>SUM(C117:C123)</f>
        <v>11</v>
      </c>
      <c r="D124" s="24">
        <f>SUM(D117:D123)</f>
        <v>0</v>
      </c>
      <c r="E124" s="24">
        <f t="shared" si="35"/>
        <v>11</v>
      </c>
      <c r="F124" s="24">
        <f t="shared" si="36"/>
        <v>43</v>
      </c>
      <c r="G124" s="25">
        <f t="shared" si="37"/>
        <v>0.20370370370370369</v>
      </c>
      <c r="H124" s="25">
        <f t="shared" si="38"/>
        <v>0.20370370370370369</v>
      </c>
      <c r="I124" s="108">
        <f>SUM(I117:I123)</f>
        <v>7244</v>
      </c>
      <c r="J124" s="108">
        <f>SUM(J117:J123)</f>
        <v>1367</v>
      </c>
      <c r="K124" s="108">
        <f>SUM(K117:K123)</f>
        <v>0</v>
      </c>
      <c r="L124" s="108">
        <f t="shared" si="39"/>
        <v>1367</v>
      </c>
      <c r="M124" s="25">
        <f t="shared" si="40"/>
        <v>0.18870789618995029</v>
      </c>
      <c r="N124" s="25">
        <f t="shared" si="41"/>
        <v>0.18870789618995029</v>
      </c>
    </row>
    <row r="125" spans="1:14" x14ac:dyDescent="0.25">
      <c r="I125" s="110"/>
      <c r="J125" s="110"/>
      <c r="K125" s="110"/>
      <c r="L125" s="110"/>
    </row>
    <row r="126" spans="1:14" x14ac:dyDescent="0.25">
      <c r="A126" s="118" t="s">
        <v>150</v>
      </c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</row>
    <row r="127" spans="1:14" ht="30" customHeight="1" x14ac:dyDescent="0.25">
      <c r="A127" s="1" t="s">
        <v>151</v>
      </c>
      <c r="B127" s="1" t="s">
        <v>152</v>
      </c>
      <c r="C127" s="1" t="s">
        <v>4</v>
      </c>
      <c r="D127" s="1" t="s">
        <v>5</v>
      </c>
      <c r="E127" s="1" t="s">
        <v>47</v>
      </c>
      <c r="F127" s="65"/>
      <c r="G127" s="65"/>
      <c r="H127" s="65"/>
      <c r="I127" s="111"/>
      <c r="J127" s="111"/>
      <c r="K127" s="111"/>
      <c r="L127" s="111"/>
      <c r="M127" s="65"/>
      <c r="N127" s="65"/>
    </row>
    <row r="128" spans="1:14" x14ac:dyDescent="0.25">
      <c r="A128" s="4" t="s">
        <v>153</v>
      </c>
      <c r="B128" s="5">
        <f>COUNTIF(Data!$G$2:$G$5000,"Y")</f>
        <v>357</v>
      </c>
      <c r="C128" s="5">
        <f>SUMIFS(Data!$L$2:$L$5000,Data!$G$2:$G$5000,"Y")</f>
        <v>18</v>
      </c>
      <c r="D128" s="5">
        <f>SUMIFS(Data!$M$2:$M$5000,Data!$G$2:$G$5000,"Y")</f>
        <v>0</v>
      </c>
      <c r="E128" s="5">
        <f>C128+D128</f>
        <v>18</v>
      </c>
      <c r="F128" s="65"/>
      <c r="G128" s="65"/>
      <c r="H128" s="65"/>
      <c r="I128" s="111"/>
      <c r="J128" s="111"/>
      <c r="K128" s="111"/>
      <c r="L128" s="111"/>
      <c r="M128" s="65"/>
      <c r="N128" s="65"/>
    </row>
    <row r="129" spans="1:14" x14ac:dyDescent="0.25">
      <c r="A129" s="4" t="s">
        <v>154</v>
      </c>
      <c r="B129" s="5">
        <f>COUNTIFS(Data!$B$2:$B$5000,$A129,Data!$G$2:$G$5000,"Y")</f>
        <v>15</v>
      </c>
      <c r="C129" s="5">
        <f>SUMIFS(Data!$L$2:$L$5000,Data!$B$2:$B$5000,$A129,Data!$G$2:$G$5000,"Y")</f>
        <v>0</v>
      </c>
      <c r="D129" s="5">
        <f>SUMIFS(Data!$M$2:$M$5000,Data!$B$2:$B$5000,$A129,Data!$G$2:$G$5000,"Y")</f>
        <v>0</v>
      </c>
      <c r="E129" s="5">
        <f>C129+D129</f>
        <v>0</v>
      </c>
      <c r="F129" s="65"/>
      <c r="G129" s="65"/>
      <c r="H129" s="65"/>
      <c r="I129" s="111"/>
      <c r="J129" s="111"/>
      <c r="K129" s="111"/>
      <c r="L129" s="111"/>
      <c r="M129" s="65"/>
      <c r="N129" s="65"/>
    </row>
    <row r="130" spans="1:14" x14ac:dyDescent="0.25">
      <c r="A130" s="116" t="s">
        <v>155</v>
      </c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</row>
    <row r="131" spans="1:14" x14ac:dyDescent="0.25">
      <c r="I131" s="110"/>
      <c r="J131" s="110"/>
      <c r="K131" s="110"/>
      <c r="L131" s="110"/>
    </row>
    <row r="132" spans="1:14" x14ac:dyDescent="0.25">
      <c r="A132" s="80" t="s">
        <v>156</v>
      </c>
      <c r="B132" s="81"/>
      <c r="C132" s="81"/>
      <c r="D132" s="81"/>
      <c r="E132" s="81"/>
      <c r="F132" s="81"/>
      <c r="G132" s="81"/>
      <c r="H132" s="81"/>
      <c r="I132" s="106"/>
      <c r="J132" s="106"/>
      <c r="K132" s="106"/>
      <c r="L132" s="106"/>
      <c r="M132" s="81"/>
      <c r="N132" s="65"/>
    </row>
    <row r="133" spans="1:14" x14ac:dyDescent="0.25">
      <c r="A133" s="4" t="s">
        <v>157</v>
      </c>
      <c r="B133" s="5">
        <f>COUNTIFS(Data!$B$2:$B$5000,$A133,Data!$H$2:$H$5000,"Y")</f>
        <v>7</v>
      </c>
      <c r="C133" s="5">
        <f>SUMIFS(Data!$L$2:$L$5000,Data!$B$2:$B$5000,$A133,Data!$H$2:$H$5000,"Y")</f>
        <v>6</v>
      </c>
      <c r="D133" s="5">
        <f>SUMIFS(Data!$M$2:$M$5000,Data!$B$2:$B$5000,$A133,Data!$H$2:$H$5000,"Y")</f>
        <v>0</v>
      </c>
      <c r="E133" s="5">
        <f>C133+D133</f>
        <v>6</v>
      </c>
      <c r="F133" s="5">
        <f>B133-E133</f>
        <v>1</v>
      </c>
      <c r="G133" s="6">
        <f>IF(B133=0,0,C133/B133)</f>
        <v>0.8571428571428571</v>
      </c>
      <c r="H133" s="6">
        <f>IF(B133=0,0,E133/B133)</f>
        <v>0.8571428571428571</v>
      </c>
      <c r="I133" s="104">
        <f>SUMIFS(Data!$J$2:$J$5000,Data!$B$2:$B$5000,$A133,Data!$H$2:$H$5000,"Y")</f>
        <v>400</v>
      </c>
      <c r="J133" s="104">
        <f>SUMIFS(Data!$P$2:$P$5000,Data!$B$2:$B$5000,$A133)</f>
        <v>280</v>
      </c>
      <c r="K133" s="104">
        <f>SUMIFS(Data!$Q$2:$Q$5000,Data!$B$2:$B$5000,$A133)</f>
        <v>0</v>
      </c>
      <c r="L133" s="104">
        <f>J133+K133</f>
        <v>280</v>
      </c>
      <c r="M133" s="6">
        <f>IF(I133=0,0,J133/I133)</f>
        <v>0.7</v>
      </c>
      <c r="N133" s="89">
        <f>IF(I133=0,0,L133/I133)</f>
        <v>0.7</v>
      </c>
    </row>
    <row r="134" spans="1:14" x14ac:dyDescent="0.25">
      <c r="A134" s="4" t="s">
        <v>158</v>
      </c>
      <c r="B134" s="5">
        <f>COUNTIFS(Data!$B$2:$B$5000,$A134,Data!$H$2:$H$5000,"Y")</f>
        <v>1</v>
      </c>
      <c r="C134" s="5">
        <f>SUMIFS(Data!$L$2:$L$5000,Data!$B$2:$B$5000,$A134,Data!$H$2:$H$5000,"Y")</f>
        <v>0</v>
      </c>
      <c r="D134" s="5">
        <f>SUMIFS(Data!$M$2:$M$5000,Data!$B$2:$B$5000,$A134,Data!$H$2:$H$5000,"Y")</f>
        <v>0</v>
      </c>
      <c r="E134" s="5">
        <f>C134+D134</f>
        <v>0</v>
      </c>
      <c r="F134" s="5">
        <f>B134-E134</f>
        <v>1</v>
      </c>
      <c r="G134" s="6">
        <f>IF(B134=0,0,C134/B134)</f>
        <v>0</v>
      </c>
      <c r="H134" s="6">
        <f>IF(B134=0,0,E134/B134)</f>
        <v>0</v>
      </c>
      <c r="I134" s="104">
        <f>SUMIFS(Data!$J$2:$J$5000,Data!$B$2:$B$5000,$A134,Data!$H$2:$H$5000,"Y")</f>
        <v>500</v>
      </c>
      <c r="J134" s="104">
        <f>SUMIFS(Data!$P$2:$P$5000,Data!$B$2:$B$5000,$A134)</f>
        <v>0</v>
      </c>
      <c r="K134" s="104">
        <f>SUMIFS(Data!$Q$2:$Q$5000,Data!$B$2:$B$5000,$A134)</f>
        <v>0</v>
      </c>
      <c r="L134" s="104">
        <f>J134+K134</f>
        <v>0</v>
      </c>
      <c r="M134" s="6">
        <f>IF(I134=0,0,J134/I134)</f>
        <v>0</v>
      </c>
      <c r="N134" s="89">
        <f>IF(I134=0,0,L134/I134)</f>
        <v>0</v>
      </c>
    </row>
    <row r="135" spans="1:14" x14ac:dyDescent="0.25">
      <c r="A135" s="23" t="s">
        <v>159</v>
      </c>
      <c r="B135" s="24">
        <f>SUM(B133:B134)</f>
        <v>8</v>
      </c>
      <c r="C135" s="24">
        <f>SUM(C133:C134)</f>
        <v>6</v>
      </c>
      <c r="D135" s="24">
        <f>SUM(D133:D134)</f>
        <v>0</v>
      </c>
      <c r="E135" s="24">
        <f>C135+D135</f>
        <v>6</v>
      </c>
      <c r="F135" s="24">
        <f>B135-E135</f>
        <v>2</v>
      </c>
      <c r="G135" s="25">
        <f>IF(B135=0,0,C135/B135)</f>
        <v>0.75</v>
      </c>
      <c r="H135" s="25">
        <f>IF(B135=0,0,E135/B135)</f>
        <v>0.75</v>
      </c>
      <c r="I135" s="108">
        <f>SUM(I133:I134)</f>
        <v>900</v>
      </c>
      <c r="J135" s="108">
        <f>SUM(J133:J134)</f>
        <v>280</v>
      </c>
      <c r="K135" s="108">
        <f>SUM(K133:K134)</f>
        <v>0</v>
      </c>
      <c r="L135" s="108">
        <f>J135+K135</f>
        <v>280</v>
      </c>
      <c r="M135" s="25">
        <f>IF(I135=0,0,J135/I135)</f>
        <v>0.31111111111111112</v>
      </c>
      <c r="N135" s="89">
        <f>IF(I135=0,0,L135/I135)</f>
        <v>0.31111111111111112</v>
      </c>
    </row>
  </sheetData>
  <mergeCells count="19">
    <mergeCell ref="A7:N7"/>
    <mergeCell ref="A3:N3"/>
    <mergeCell ref="A101:N101"/>
    <mergeCell ref="A57:N57"/>
    <mergeCell ref="A85:N85"/>
    <mergeCell ref="A42:N42"/>
    <mergeCell ref="A62:N62"/>
    <mergeCell ref="A38:N38"/>
    <mergeCell ref="A72:N72"/>
    <mergeCell ref="A52:N52"/>
    <mergeCell ref="A19:N19"/>
    <mergeCell ref="A9:N9"/>
    <mergeCell ref="A67:N67"/>
    <mergeCell ref="A48:N48"/>
    <mergeCell ref="A130:N130"/>
    <mergeCell ref="A92:N92"/>
    <mergeCell ref="A79:N79"/>
    <mergeCell ref="A126:N126"/>
    <mergeCell ref="A115:N115"/>
  </mergeCells>
  <conditionalFormatting sqref="H10:H16 H20:H26 H29:H35 H39:H41 H43:H46 H49:H50 H53:H55 H58:H60 H63:H65 H68:H70 H73:H77 H80:H84 H86:H90 H93:H99 H102:H111 H113 H117:H1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H1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H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H3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H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H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:H4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3:H1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/>
  <ignoredErrors>
    <ignoredError sqref="B95:K9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4"/>
  <sheetViews>
    <sheetView workbookViewId="0">
      <pane ySplit="1" topLeftCell="A254" activePane="bottomLeft" state="frozen"/>
      <selection activeCell="E1" sqref="E1"/>
      <selection pane="bottomLeft" activeCell="B284" sqref="A282:B284"/>
    </sheetView>
  </sheetViews>
  <sheetFormatPr defaultRowHeight="15" x14ac:dyDescent="0.25"/>
  <cols>
    <col min="1" max="1" width="18" customWidth="1"/>
    <col min="2" max="2" width="26" customWidth="1"/>
    <col min="3" max="3" width="12" customWidth="1"/>
    <col min="4" max="4" width="55" customWidth="1"/>
    <col min="5" max="5" width="18" customWidth="1"/>
    <col min="6" max="6" width="14" customWidth="1"/>
    <col min="7" max="7" width="18" customWidth="1"/>
    <col min="8" max="8" width="10" customWidth="1"/>
    <col min="9" max="9" width="14" customWidth="1"/>
    <col min="10" max="10" width="13" customWidth="1"/>
    <col min="11" max="12" width="14" customWidth="1"/>
    <col min="13" max="14" width="55" customWidth="1"/>
    <col min="15" max="15" width="13" customWidth="1"/>
  </cols>
  <sheetData>
    <row r="1" spans="1:15" ht="30" customHeight="1" x14ac:dyDescent="0.25">
      <c r="A1" s="58" t="s">
        <v>160</v>
      </c>
      <c r="B1" s="58" t="s">
        <v>84</v>
      </c>
      <c r="C1" s="58" t="s">
        <v>161</v>
      </c>
      <c r="D1" s="58" t="s">
        <v>162</v>
      </c>
      <c r="E1" s="58" t="s">
        <v>163</v>
      </c>
      <c r="F1" s="58" t="s">
        <v>164</v>
      </c>
      <c r="G1" s="58" t="s">
        <v>165</v>
      </c>
      <c r="H1" s="58" t="s">
        <v>166</v>
      </c>
      <c r="I1" s="58" t="s">
        <v>167</v>
      </c>
      <c r="J1" s="58" t="s">
        <v>168</v>
      </c>
      <c r="K1" s="58" t="s">
        <v>169</v>
      </c>
      <c r="L1" s="58" t="s">
        <v>170</v>
      </c>
      <c r="M1" s="58" t="s">
        <v>171</v>
      </c>
      <c r="N1" s="58" t="s">
        <v>172</v>
      </c>
      <c r="O1" s="58" t="s">
        <v>173</v>
      </c>
    </row>
    <row r="2" spans="1:15" ht="45" customHeight="1" x14ac:dyDescent="0.25">
      <c r="A2" s="90" t="s">
        <v>39</v>
      </c>
      <c r="B2" s="90" t="s">
        <v>114</v>
      </c>
      <c r="C2" s="90" t="s">
        <v>174</v>
      </c>
      <c r="D2" s="91" t="s">
        <v>175</v>
      </c>
      <c r="E2" s="90" t="s">
        <v>176</v>
      </c>
      <c r="F2" s="90">
        <v>30000</v>
      </c>
      <c r="G2" s="90" t="s">
        <v>177</v>
      </c>
      <c r="H2" s="90">
        <v>2</v>
      </c>
      <c r="I2" s="90">
        <f>'Odds &amp; Rarity'!$D$13</f>
        <v>1026000</v>
      </c>
      <c r="J2" s="90">
        <f>ROUND((ROUND((I2/30000)*1/3,0)+ROUND((I2/30000)*3/8,0))/2,0)</f>
        <v>12</v>
      </c>
      <c r="K2" s="90">
        <f>ROUND((I2/30000)*1/3,0)</f>
        <v>11</v>
      </c>
      <c r="L2" s="90">
        <f>ROUND((I2/30000)*3/8,0)</f>
        <v>13</v>
      </c>
      <c r="M2" s="91" t="s">
        <v>178</v>
      </c>
      <c r="N2" s="59" t="str">
        <f t="shared" ref="N2:N65" si="0">IF($A2="","",$A2&amp;"|"&amp;$B2&amp;"|"&amp;$C2&amp;"|"&amp;$E2)</f>
        <v>Autos - Multi|Autographs Quads (Inscribed)|AQ-SEVN|Inscribed</v>
      </c>
      <c r="O2" s="59">
        <f t="shared" ref="O2:O65" si="1">IF($A2="","",$J2)</f>
        <v>12</v>
      </c>
    </row>
    <row r="3" spans="1:15" s="72" customFormat="1" ht="45" customHeight="1" x14ac:dyDescent="0.25">
      <c r="A3" s="92" t="s">
        <v>39</v>
      </c>
      <c r="B3" s="92" t="s">
        <v>145</v>
      </c>
      <c r="C3" s="92" t="s">
        <v>179</v>
      </c>
      <c r="D3" s="93" t="s">
        <v>180</v>
      </c>
      <c r="E3" s="92" t="s">
        <v>60</v>
      </c>
      <c r="F3" s="92">
        <v>30000</v>
      </c>
      <c r="G3" s="92" t="s">
        <v>177</v>
      </c>
      <c r="H3" s="92">
        <v>2</v>
      </c>
      <c r="I3" s="92">
        <f>'Odds &amp; Rarity'!$D$13</f>
        <v>1026000</v>
      </c>
      <c r="J3" s="92">
        <f>ROUND((ROUND((I3/30000)*5/8,0)+ROUND((I3/30000)*2/3,0))/2,0)</f>
        <v>22</v>
      </c>
      <c r="K3" s="92">
        <f>ROUND((I3/30000)*5/8,0)</f>
        <v>21</v>
      </c>
      <c r="L3" s="92">
        <f>ROUND((I3/30000)*2/3,0)</f>
        <v>23</v>
      </c>
      <c r="M3" s="93" t="s">
        <v>178</v>
      </c>
      <c r="N3" s="71" t="str">
        <f t="shared" si="0"/>
        <v>Autos - Multi|Autographs Quads|AQ-BOYS|Base</v>
      </c>
      <c r="O3" s="71">
        <f t="shared" si="1"/>
        <v>22</v>
      </c>
    </row>
    <row r="4" spans="1:15" ht="30" customHeight="1" x14ac:dyDescent="0.25">
      <c r="A4" s="90" t="s">
        <v>39</v>
      </c>
      <c r="B4" s="90" t="s">
        <v>143</v>
      </c>
      <c r="C4" s="90" t="s">
        <v>181</v>
      </c>
      <c r="D4" s="91" t="s">
        <v>182</v>
      </c>
      <c r="E4" s="90" t="s">
        <v>60</v>
      </c>
      <c r="F4" s="90">
        <v>18000</v>
      </c>
      <c r="G4" s="90" t="s">
        <v>183</v>
      </c>
      <c r="H4" s="90">
        <v>2</v>
      </c>
      <c r="I4" s="90">
        <f>'Odds &amp; Rarity'!$D$13</f>
        <v>1026000</v>
      </c>
      <c r="J4" s="90">
        <f t="shared" ref="J4:J67" si="2">IF(OR(I4="",F4="",H4=""),"",ROUND(I4/(F4*H4),0))</f>
        <v>29</v>
      </c>
      <c r="K4" s="90">
        <f t="shared" ref="K4:K67" si="3">J4</f>
        <v>29</v>
      </c>
      <c r="L4" s="90">
        <f t="shared" ref="L4:L67" si="4">J4</f>
        <v>29</v>
      </c>
      <c r="M4" s="91"/>
      <c r="N4" s="59" t="str">
        <f t="shared" si="0"/>
        <v>Autos - Multi|Autographs Triples|AT-ESS|Base</v>
      </c>
      <c r="O4" s="59">
        <f t="shared" si="1"/>
        <v>29</v>
      </c>
    </row>
    <row r="5" spans="1:15" s="72" customFormat="1" ht="30" customHeight="1" x14ac:dyDescent="0.25">
      <c r="A5" s="92" t="s">
        <v>39</v>
      </c>
      <c r="B5" s="92" t="s">
        <v>143</v>
      </c>
      <c r="C5" s="92" t="s">
        <v>184</v>
      </c>
      <c r="D5" s="93" t="s">
        <v>185</v>
      </c>
      <c r="E5" s="92" t="s">
        <v>60</v>
      </c>
      <c r="F5" s="92">
        <v>18000</v>
      </c>
      <c r="G5" s="92" t="s">
        <v>183</v>
      </c>
      <c r="H5" s="92">
        <v>2</v>
      </c>
      <c r="I5" s="92">
        <f>'Odds &amp; Rarity'!$D$13</f>
        <v>1026000</v>
      </c>
      <c r="J5" s="92">
        <f t="shared" si="2"/>
        <v>29</v>
      </c>
      <c r="K5" s="92">
        <f t="shared" si="3"/>
        <v>29</v>
      </c>
      <c r="L5" s="92">
        <f t="shared" si="4"/>
        <v>29</v>
      </c>
      <c r="M5" s="93"/>
      <c r="N5" s="71" t="str">
        <f t="shared" si="0"/>
        <v>Autos - Multi|Autographs Triples|AT-MMF|Base</v>
      </c>
      <c r="O5" s="71">
        <f t="shared" si="1"/>
        <v>29</v>
      </c>
    </row>
    <row r="6" spans="1:15" x14ac:dyDescent="0.25">
      <c r="A6" s="90" t="s">
        <v>39</v>
      </c>
      <c r="B6" s="90" t="s">
        <v>141</v>
      </c>
      <c r="C6" s="90" t="s">
        <v>186</v>
      </c>
      <c r="D6" s="91" t="s">
        <v>187</v>
      </c>
      <c r="E6" s="90" t="s">
        <v>60</v>
      </c>
      <c r="F6" s="90">
        <v>1800</v>
      </c>
      <c r="G6" s="90" t="s">
        <v>183</v>
      </c>
      <c r="H6" s="90">
        <v>12</v>
      </c>
      <c r="I6" s="90">
        <f>'Odds &amp; Rarity'!$D$13</f>
        <v>1026000</v>
      </c>
      <c r="J6" s="90">
        <f t="shared" si="2"/>
        <v>48</v>
      </c>
      <c r="K6" s="90">
        <f t="shared" si="3"/>
        <v>48</v>
      </c>
      <c r="L6" s="90">
        <f t="shared" si="4"/>
        <v>48</v>
      </c>
      <c r="M6" s="91"/>
      <c r="N6" s="59" t="str">
        <f t="shared" si="0"/>
        <v>Autos - Multi|Autographs Duals|AD-ES|Base</v>
      </c>
      <c r="O6" s="59">
        <f t="shared" si="1"/>
        <v>48</v>
      </c>
    </row>
    <row r="7" spans="1:15" x14ac:dyDescent="0.25">
      <c r="A7" s="90" t="s">
        <v>39</v>
      </c>
      <c r="B7" s="90" t="s">
        <v>141</v>
      </c>
      <c r="C7" s="90" t="s">
        <v>188</v>
      </c>
      <c r="D7" s="91" t="s">
        <v>189</v>
      </c>
      <c r="E7" s="90" t="s">
        <v>60</v>
      </c>
      <c r="F7" s="90">
        <v>1800</v>
      </c>
      <c r="G7" s="90" t="s">
        <v>183</v>
      </c>
      <c r="H7" s="90">
        <v>12</v>
      </c>
      <c r="I7" s="90">
        <f>'Odds &amp; Rarity'!$D$13</f>
        <v>1026000</v>
      </c>
      <c r="J7" s="90">
        <f t="shared" si="2"/>
        <v>48</v>
      </c>
      <c r="K7" s="90">
        <f t="shared" si="3"/>
        <v>48</v>
      </c>
      <c r="L7" s="90">
        <f t="shared" si="4"/>
        <v>48</v>
      </c>
      <c r="M7" s="91"/>
      <c r="N7" s="59" t="str">
        <f t="shared" si="0"/>
        <v>Autos - Multi|Autographs Duals|AD-FC|Base</v>
      </c>
      <c r="O7" s="59">
        <f t="shared" si="1"/>
        <v>48</v>
      </c>
    </row>
    <row r="8" spans="1:15" x14ac:dyDescent="0.25">
      <c r="A8" s="90" t="s">
        <v>39</v>
      </c>
      <c r="B8" s="90" t="s">
        <v>141</v>
      </c>
      <c r="C8" s="90" t="s">
        <v>190</v>
      </c>
      <c r="D8" s="91" t="s">
        <v>191</v>
      </c>
      <c r="E8" s="90" t="s">
        <v>60</v>
      </c>
      <c r="F8" s="90">
        <v>1800</v>
      </c>
      <c r="G8" s="90" t="s">
        <v>183</v>
      </c>
      <c r="H8" s="90">
        <v>12</v>
      </c>
      <c r="I8" s="90">
        <f>'Odds &amp; Rarity'!$D$13</f>
        <v>1026000</v>
      </c>
      <c r="J8" s="90">
        <f t="shared" si="2"/>
        <v>48</v>
      </c>
      <c r="K8" s="90">
        <f t="shared" si="3"/>
        <v>48</v>
      </c>
      <c r="L8" s="90">
        <f t="shared" si="4"/>
        <v>48</v>
      </c>
      <c r="M8" s="91"/>
      <c r="N8" s="59" t="str">
        <f t="shared" si="0"/>
        <v>Autos - Multi|Autographs Duals|AD-JB|Base</v>
      </c>
      <c r="O8" s="59">
        <f t="shared" si="1"/>
        <v>48</v>
      </c>
    </row>
    <row r="9" spans="1:15" ht="30" customHeight="1" x14ac:dyDescent="0.25">
      <c r="A9" s="90" t="s">
        <v>39</v>
      </c>
      <c r="B9" s="90" t="s">
        <v>141</v>
      </c>
      <c r="C9" s="90" t="s">
        <v>192</v>
      </c>
      <c r="D9" s="91" t="s">
        <v>193</v>
      </c>
      <c r="E9" s="90" t="s">
        <v>60</v>
      </c>
      <c r="F9" s="90">
        <v>1800</v>
      </c>
      <c r="G9" s="90" t="s">
        <v>183</v>
      </c>
      <c r="H9" s="90">
        <v>12</v>
      </c>
      <c r="I9" s="90">
        <f>'Odds &amp; Rarity'!$D$13</f>
        <v>1026000</v>
      </c>
      <c r="J9" s="90">
        <f t="shared" si="2"/>
        <v>48</v>
      </c>
      <c r="K9" s="90">
        <f t="shared" si="3"/>
        <v>48</v>
      </c>
      <c r="L9" s="90">
        <f t="shared" si="4"/>
        <v>48</v>
      </c>
      <c r="M9" s="91"/>
      <c r="N9" s="59" t="str">
        <f t="shared" si="0"/>
        <v>Autos - Multi|Autographs Duals|AD-MM|Base</v>
      </c>
      <c r="O9" s="59">
        <f t="shared" si="1"/>
        <v>48</v>
      </c>
    </row>
    <row r="10" spans="1:15" x14ac:dyDescent="0.25">
      <c r="A10" s="90" t="s">
        <v>39</v>
      </c>
      <c r="B10" s="90" t="s">
        <v>141</v>
      </c>
      <c r="C10" s="90" t="s">
        <v>194</v>
      </c>
      <c r="D10" s="91" t="s">
        <v>195</v>
      </c>
      <c r="E10" s="90" t="s">
        <v>60</v>
      </c>
      <c r="F10" s="90">
        <v>1800</v>
      </c>
      <c r="G10" s="90" t="s">
        <v>183</v>
      </c>
      <c r="H10" s="90">
        <v>12</v>
      </c>
      <c r="I10" s="90">
        <f>'Odds &amp; Rarity'!$D$13</f>
        <v>1026000</v>
      </c>
      <c r="J10" s="90">
        <f t="shared" si="2"/>
        <v>48</v>
      </c>
      <c r="K10" s="90">
        <f t="shared" si="3"/>
        <v>48</v>
      </c>
      <c r="L10" s="90">
        <f t="shared" si="4"/>
        <v>48</v>
      </c>
      <c r="M10" s="91"/>
      <c r="N10" s="59" t="str">
        <f t="shared" si="0"/>
        <v>Autos - Multi|Autographs Duals|AD-MQ|Base</v>
      </c>
      <c r="O10" s="59">
        <f t="shared" si="1"/>
        <v>48</v>
      </c>
    </row>
    <row r="11" spans="1:15" x14ac:dyDescent="0.25">
      <c r="A11" s="90" t="s">
        <v>39</v>
      </c>
      <c r="B11" s="90" t="s">
        <v>141</v>
      </c>
      <c r="C11" s="90" t="s">
        <v>196</v>
      </c>
      <c r="D11" s="91" t="s">
        <v>197</v>
      </c>
      <c r="E11" s="90" t="s">
        <v>60</v>
      </c>
      <c r="F11" s="90">
        <v>1800</v>
      </c>
      <c r="G11" s="90" t="s">
        <v>183</v>
      </c>
      <c r="H11" s="90">
        <v>12</v>
      </c>
      <c r="I11" s="90">
        <f>'Odds &amp; Rarity'!$D$13</f>
        <v>1026000</v>
      </c>
      <c r="J11" s="90">
        <f t="shared" si="2"/>
        <v>48</v>
      </c>
      <c r="K11" s="90">
        <f t="shared" si="3"/>
        <v>48</v>
      </c>
      <c r="L11" s="90">
        <f t="shared" si="4"/>
        <v>48</v>
      </c>
      <c r="M11" s="91"/>
      <c r="N11" s="59" t="str">
        <f t="shared" si="0"/>
        <v>Autos - Multi|Autographs Duals|AD-QH|Base</v>
      </c>
      <c r="O11" s="59">
        <f t="shared" si="1"/>
        <v>48</v>
      </c>
    </row>
    <row r="12" spans="1:15" ht="30" customHeight="1" x14ac:dyDescent="0.25">
      <c r="A12" s="90" t="s">
        <v>39</v>
      </c>
      <c r="B12" s="90" t="s">
        <v>141</v>
      </c>
      <c r="C12" s="90" t="s">
        <v>198</v>
      </c>
      <c r="D12" s="91" t="s">
        <v>199</v>
      </c>
      <c r="E12" s="90" t="s">
        <v>60</v>
      </c>
      <c r="F12" s="90">
        <v>1800</v>
      </c>
      <c r="G12" s="90" t="s">
        <v>183</v>
      </c>
      <c r="H12" s="90">
        <v>12</v>
      </c>
      <c r="I12" s="90">
        <f>'Odds &amp; Rarity'!$D$13</f>
        <v>1026000</v>
      </c>
      <c r="J12" s="90">
        <f t="shared" si="2"/>
        <v>48</v>
      </c>
      <c r="K12" s="90">
        <f t="shared" si="3"/>
        <v>48</v>
      </c>
      <c r="L12" s="90">
        <f t="shared" si="4"/>
        <v>48</v>
      </c>
      <c r="M12" s="91"/>
      <c r="N12" s="59" t="str">
        <f t="shared" si="0"/>
        <v>Autos - Multi|Autographs Duals|AD-SM|Base</v>
      </c>
      <c r="O12" s="59">
        <f t="shared" si="1"/>
        <v>48</v>
      </c>
    </row>
    <row r="13" spans="1:15" ht="30" customHeight="1" x14ac:dyDescent="0.25">
      <c r="A13" s="90" t="s">
        <v>39</v>
      </c>
      <c r="B13" s="90" t="s">
        <v>141</v>
      </c>
      <c r="C13" s="90" t="s">
        <v>200</v>
      </c>
      <c r="D13" s="91" t="s">
        <v>201</v>
      </c>
      <c r="E13" s="90" t="s">
        <v>60</v>
      </c>
      <c r="F13" s="90">
        <v>1800</v>
      </c>
      <c r="G13" s="90" t="s">
        <v>183</v>
      </c>
      <c r="H13" s="90">
        <v>12</v>
      </c>
      <c r="I13" s="90">
        <f>'Odds &amp; Rarity'!$D$13</f>
        <v>1026000</v>
      </c>
      <c r="J13" s="90">
        <f t="shared" si="2"/>
        <v>48</v>
      </c>
      <c r="K13" s="90">
        <f t="shared" si="3"/>
        <v>48</v>
      </c>
      <c r="L13" s="90">
        <f t="shared" si="4"/>
        <v>48</v>
      </c>
      <c r="M13" s="91"/>
      <c r="N13" s="59" t="str">
        <f t="shared" si="0"/>
        <v>Autos - Multi|Autographs Duals|AD-SS|Base</v>
      </c>
      <c r="O13" s="59">
        <f t="shared" si="1"/>
        <v>48</v>
      </c>
    </row>
    <row r="14" spans="1:15" x14ac:dyDescent="0.25">
      <c r="A14" s="90" t="s">
        <v>39</v>
      </c>
      <c r="B14" s="90" t="s">
        <v>141</v>
      </c>
      <c r="C14" s="90" t="s">
        <v>202</v>
      </c>
      <c r="D14" s="91" t="s">
        <v>203</v>
      </c>
      <c r="E14" s="90" t="s">
        <v>60</v>
      </c>
      <c r="F14" s="90">
        <v>1800</v>
      </c>
      <c r="G14" s="90" t="s">
        <v>183</v>
      </c>
      <c r="H14" s="90">
        <v>12</v>
      </c>
      <c r="I14" s="90">
        <f>'Odds &amp; Rarity'!$D$13</f>
        <v>1026000</v>
      </c>
      <c r="J14" s="90">
        <f t="shared" si="2"/>
        <v>48</v>
      </c>
      <c r="K14" s="90">
        <f t="shared" si="3"/>
        <v>48</v>
      </c>
      <c r="L14" s="90">
        <f t="shared" si="4"/>
        <v>48</v>
      </c>
      <c r="M14" s="91"/>
      <c r="N14" s="59" t="str">
        <f t="shared" si="0"/>
        <v>Autos - Multi|Autographs Duals|AD-TA|Base</v>
      </c>
      <c r="O14" s="59">
        <f t="shared" si="1"/>
        <v>48</v>
      </c>
    </row>
    <row r="15" spans="1:15" s="72" customFormat="1" x14ac:dyDescent="0.25">
      <c r="A15" s="92" t="s">
        <v>39</v>
      </c>
      <c r="B15" s="92" t="s">
        <v>141</v>
      </c>
      <c r="C15" s="92" t="s">
        <v>204</v>
      </c>
      <c r="D15" s="93" t="s">
        <v>205</v>
      </c>
      <c r="E15" s="92" t="s">
        <v>60</v>
      </c>
      <c r="F15" s="92">
        <v>1800</v>
      </c>
      <c r="G15" s="92" t="s">
        <v>183</v>
      </c>
      <c r="H15" s="92">
        <v>12</v>
      </c>
      <c r="I15" s="92">
        <f>'Odds &amp; Rarity'!$D$13</f>
        <v>1026000</v>
      </c>
      <c r="J15" s="92">
        <f t="shared" si="2"/>
        <v>48</v>
      </c>
      <c r="K15" s="92">
        <f t="shared" si="3"/>
        <v>48</v>
      </c>
      <c r="L15" s="92">
        <f t="shared" si="4"/>
        <v>48</v>
      </c>
      <c r="M15" s="93"/>
      <c r="N15" s="71" t="str">
        <f t="shared" si="0"/>
        <v>Autos - Multi|Autographs Duals|AD-UQ|Base</v>
      </c>
      <c r="O15" s="71">
        <f t="shared" si="1"/>
        <v>48</v>
      </c>
    </row>
    <row r="16" spans="1:15" ht="30" customHeight="1" x14ac:dyDescent="0.25">
      <c r="A16" s="90" t="s">
        <v>39</v>
      </c>
      <c r="B16" s="90" t="s">
        <v>141</v>
      </c>
      <c r="C16" s="90" t="s">
        <v>206</v>
      </c>
      <c r="D16" s="91" t="s">
        <v>207</v>
      </c>
      <c r="E16" s="90" t="s">
        <v>60</v>
      </c>
      <c r="F16" s="90">
        <v>1800</v>
      </c>
      <c r="G16" s="90" t="s">
        <v>183</v>
      </c>
      <c r="H16" s="90">
        <v>12</v>
      </c>
      <c r="I16" s="90">
        <f>'Odds &amp; Rarity'!$D$13</f>
        <v>1026000</v>
      </c>
      <c r="J16" s="90">
        <f t="shared" si="2"/>
        <v>48</v>
      </c>
      <c r="K16" s="90">
        <f t="shared" si="3"/>
        <v>48</v>
      </c>
      <c r="L16" s="90">
        <f t="shared" si="4"/>
        <v>48</v>
      </c>
      <c r="M16" s="91"/>
      <c r="N16" s="59" t="str">
        <f t="shared" si="0"/>
        <v>Autos - Multi|Autographs Duals|AD-VC|Base</v>
      </c>
      <c r="O16" s="59">
        <f t="shared" si="1"/>
        <v>48</v>
      </c>
    </row>
    <row r="17" spans="1:15" ht="30" customHeight="1" x14ac:dyDescent="0.25">
      <c r="A17" s="90" t="s">
        <v>39</v>
      </c>
      <c r="B17" s="90" t="s">
        <v>141</v>
      </c>
      <c r="C17" s="90" t="s">
        <v>208</v>
      </c>
      <c r="D17" s="91" t="s">
        <v>209</v>
      </c>
      <c r="E17" s="90" t="s">
        <v>60</v>
      </c>
      <c r="F17" s="90">
        <v>1800</v>
      </c>
      <c r="G17" s="90" t="s">
        <v>183</v>
      </c>
      <c r="H17" s="90">
        <v>12</v>
      </c>
      <c r="I17" s="90">
        <f>'Odds &amp; Rarity'!$D$13</f>
        <v>1026000</v>
      </c>
      <c r="J17" s="90">
        <f t="shared" si="2"/>
        <v>48</v>
      </c>
      <c r="K17" s="90">
        <f t="shared" si="3"/>
        <v>48</v>
      </c>
      <c r="L17" s="90">
        <f t="shared" si="4"/>
        <v>48</v>
      </c>
      <c r="M17" s="91"/>
      <c r="N17" s="59" t="str">
        <f t="shared" si="0"/>
        <v>Autos - Multi|Autographs Duals|AD-XX|Base</v>
      </c>
      <c r="O17" s="59">
        <f t="shared" si="1"/>
        <v>48</v>
      </c>
    </row>
    <row r="18" spans="1:15" ht="30" customHeight="1" x14ac:dyDescent="0.25">
      <c r="A18" s="90" t="s">
        <v>35</v>
      </c>
      <c r="B18" s="90" t="s">
        <v>98</v>
      </c>
      <c r="C18" s="90" t="s">
        <v>210</v>
      </c>
      <c r="D18" s="91" t="s">
        <v>211</v>
      </c>
      <c r="E18" s="90" t="s">
        <v>60</v>
      </c>
      <c r="F18" s="90">
        <v>7200</v>
      </c>
      <c r="G18" s="90" t="s">
        <v>183</v>
      </c>
      <c r="H18" s="90">
        <v>2</v>
      </c>
      <c r="I18" s="90">
        <f>'Odds &amp; Rarity'!$D$13</f>
        <v>1026000</v>
      </c>
      <c r="J18" s="90">
        <f t="shared" si="2"/>
        <v>71</v>
      </c>
      <c r="K18" s="90">
        <f t="shared" si="3"/>
        <v>71</v>
      </c>
      <c r="L18" s="90">
        <f t="shared" si="4"/>
        <v>71</v>
      </c>
      <c r="M18" s="91"/>
      <c r="N18" s="59" t="str">
        <f t="shared" si="0"/>
        <v>Supes Suits|Quad Supes Suits|QSS-1|Base</v>
      </c>
      <c r="O18" s="59">
        <f t="shared" si="1"/>
        <v>71</v>
      </c>
    </row>
    <row r="19" spans="1:15" ht="30" customHeight="1" x14ac:dyDescent="0.25">
      <c r="A19" s="90" t="s">
        <v>35</v>
      </c>
      <c r="B19" s="90" t="s">
        <v>98</v>
      </c>
      <c r="C19" s="90" t="s">
        <v>212</v>
      </c>
      <c r="D19" s="91" t="s">
        <v>213</v>
      </c>
      <c r="E19" s="90" t="s">
        <v>60</v>
      </c>
      <c r="F19" s="90">
        <v>7200</v>
      </c>
      <c r="G19" s="90" t="s">
        <v>183</v>
      </c>
      <c r="H19" s="90">
        <v>2</v>
      </c>
      <c r="I19" s="90">
        <f>'Odds &amp; Rarity'!$D$13</f>
        <v>1026000</v>
      </c>
      <c r="J19" s="90">
        <f t="shared" si="2"/>
        <v>71</v>
      </c>
      <c r="K19" s="90">
        <f t="shared" si="3"/>
        <v>71</v>
      </c>
      <c r="L19" s="90">
        <f t="shared" si="4"/>
        <v>71</v>
      </c>
      <c r="M19" s="91"/>
      <c r="N19" s="59" t="str">
        <f t="shared" si="0"/>
        <v>Supes Suits|Quad Supes Suits|QSS-2|Base</v>
      </c>
      <c r="O19" s="59">
        <f t="shared" si="1"/>
        <v>71</v>
      </c>
    </row>
    <row r="20" spans="1:15" ht="30" customHeight="1" x14ac:dyDescent="0.25">
      <c r="A20" s="90" t="s">
        <v>37</v>
      </c>
      <c r="B20" s="90" t="s">
        <v>214</v>
      </c>
      <c r="C20" s="90" t="s">
        <v>215</v>
      </c>
      <c r="D20" s="91" t="s">
        <v>216</v>
      </c>
      <c r="E20" s="90" t="s">
        <v>60</v>
      </c>
      <c r="F20" s="90">
        <v>120</v>
      </c>
      <c r="G20" s="90" t="s">
        <v>217</v>
      </c>
      <c r="H20" s="90">
        <v>66</v>
      </c>
      <c r="I20" s="90">
        <f>'Odds &amp; Rarity'!$D$13</f>
        <v>1026000</v>
      </c>
      <c r="J20" s="90">
        <f t="shared" si="2"/>
        <v>130</v>
      </c>
      <c r="K20" s="90">
        <f t="shared" si="3"/>
        <v>130</v>
      </c>
      <c r="L20" s="90">
        <f t="shared" si="4"/>
        <v>130</v>
      </c>
      <c r="M20" s="91" t="s">
        <v>218</v>
      </c>
      <c r="N20" s="59" t="str">
        <f t="shared" si="0"/>
        <v>Autos - Singles|Autographs|A-AH|Base</v>
      </c>
      <c r="O20" s="59">
        <f t="shared" si="1"/>
        <v>130</v>
      </c>
    </row>
    <row r="21" spans="1:15" ht="30" customHeight="1" x14ac:dyDescent="0.25">
      <c r="A21" s="90" t="s">
        <v>37</v>
      </c>
      <c r="B21" s="90" t="s">
        <v>214</v>
      </c>
      <c r="C21" s="90" t="s">
        <v>219</v>
      </c>
      <c r="D21" s="91" t="s">
        <v>220</v>
      </c>
      <c r="E21" s="90" t="s">
        <v>60</v>
      </c>
      <c r="F21" s="90">
        <v>120</v>
      </c>
      <c r="G21" s="90" t="s">
        <v>217</v>
      </c>
      <c r="H21" s="90">
        <v>66</v>
      </c>
      <c r="I21" s="90">
        <f>'Odds &amp; Rarity'!$D$13</f>
        <v>1026000</v>
      </c>
      <c r="J21" s="90">
        <f t="shared" si="2"/>
        <v>130</v>
      </c>
      <c r="K21" s="90">
        <f t="shared" si="3"/>
        <v>130</v>
      </c>
      <c r="L21" s="90">
        <f t="shared" si="4"/>
        <v>130</v>
      </c>
      <c r="M21" s="91" t="s">
        <v>218</v>
      </c>
      <c r="N21" s="59" t="str">
        <f t="shared" si="0"/>
        <v>Autos - Singles|Autographs|A-AL|Base</v>
      </c>
      <c r="O21" s="59">
        <f t="shared" si="1"/>
        <v>130</v>
      </c>
    </row>
    <row r="22" spans="1:15" ht="30" customHeight="1" x14ac:dyDescent="0.25">
      <c r="A22" s="90" t="s">
        <v>37</v>
      </c>
      <c r="B22" s="90" t="s">
        <v>214</v>
      </c>
      <c r="C22" s="90" t="s">
        <v>221</v>
      </c>
      <c r="D22" s="91" t="s">
        <v>222</v>
      </c>
      <c r="E22" s="90" t="s">
        <v>60</v>
      </c>
      <c r="F22" s="90">
        <v>120</v>
      </c>
      <c r="G22" s="90" t="s">
        <v>217</v>
      </c>
      <c r="H22" s="90">
        <v>66</v>
      </c>
      <c r="I22" s="90">
        <f>'Odds &amp; Rarity'!$D$13</f>
        <v>1026000</v>
      </c>
      <c r="J22" s="90">
        <f t="shared" si="2"/>
        <v>130</v>
      </c>
      <c r="K22" s="90">
        <f t="shared" si="3"/>
        <v>130</v>
      </c>
      <c r="L22" s="90">
        <f t="shared" si="4"/>
        <v>130</v>
      </c>
      <c r="M22" s="91" t="s">
        <v>218</v>
      </c>
      <c r="N22" s="59" t="str">
        <f t="shared" si="0"/>
        <v>Autos - Singles|Autographs|A-AS|Base</v>
      </c>
      <c r="O22" s="59">
        <f t="shared" si="1"/>
        <v>130</v>
      </c>
    </row>
    <row r="23" spans="1:15" ht="30" customHeight="1" x14ac:dyDescent="0.25">
      <c r="A23" s="90" t="s">
        <v>37</v>
      </c>
      <c r="B23" s="90" t="s">
        <v>214</v>
      </c>
      <c r="C23" s="90" t="s">
        <v>223</v>
      </c>
      <c r="D23" s="91" t="s">
        <v>224</v>
      </c>
      <c r="E23" s="90" t="s">
        <v>60</v>
      </c>
      <c r="F23" s="90">
        <v>120</v>
      </c>
      <c r="G23" s="90" t="s">
        <v>217</v>
      </c>
      <c r="H23" s="90">
        <v>66</v>
      </c>
      <c r="I23" s="90">
        <f>'Odds &amp; Rarity'!$D$13</f>
        <v>1026000</v>
      </c>
      <c r="J23" s="90">
        <f t="shared" si="2"/>
        <v>130</v>
      </c>
      <c r="K23" s="90">
        <f t="shared" si="3"/>
        <v>130</v>
      </c>
      <c r="L23" s="90">
        <f t="shared" si="4"/>
        <v>130</v>
      </c>
      <c r="M23" s="91" t="s">
        <v>218</v>
      </c>
      <c r="N23" s="59" t="str">
        <f t="shared" si="0"/>
        <v>Autos - Singles|Autographs|A-BA|Base</v>
      </c>
      <c r="O23" s="59">
        <f t="shared" si="1"/>
        <v>130</v>
      </c>
    </row>
    <row r="24" spans="1:15" ht="30" customHeight="1" x14ac:dyDescent="0.25">
      <c r="A24" s="90" t="s">
        <v>37</v>
      </c>
      <c r="B24" s="90" t="s">
        <v>214</v>
      </c>
      <c r="C24" s="90" t="s">
        <v>225</v>
      </c>
      <c r="D24" s="91" t="s">
        <v>224</v>
      </c>
      <c r="E24" s="90" t="s">
        <v>60</v>
      </c>
      <c r="F24" s="90">
        <v>120</v>
      </c>
      <c r="G24" s="90" t="s">
        <v>217</v>
      </c>
      <c r="H24" s="90">
        <v>66</v>
      </c>
      <c r="I24" s="90">
        <f>'Odds &amp; Rarity'!$D$13</f>
        <v>1026000</v>
      </c>
      <c r="J24" s="90">
        <f t="shared" si="2"/>
        <v>130</v>
      </c>
      <c r="K24" s="90">
        <f t="shared" si="3"/>
        <v>130</v>
      </c>
      <c r="L24" s="90">
        <f t="shared" si="4"/>
        <v>130</v>
      </c>
      <c r="M24" s="91" t="s">
        <v>218</v>
      </c>
      <c r="N24" s="59" t="str">
        <f t="shared" si="0"/>
        <v>Autos - Singles|Autographs|A-BI|Base</v>
      </c>
      <c r="O24" s="59">
        <f t="shared" si="1"/>
        <v>130</v>
      </c>
    </row>
    <row r="25" spans="1:15" ht="30" customHeight="1" x14ac:dyDescent="0.25">
      <c r="A25" s="90" t="s">
        <v>37</v>
      </c>
      <c r="B25" s="90" t="s">
        <v>214</v>
      </c>
      <c r="C25" s="90" t="s">
        <v>226</v>
      </c>
      <c r="D25" s="91" t="s">
        <v>224</v>
      </c>
      <c r="E25" s="90" t="s">
        <v>60</v>
      </c>
      <c r="F25" s="90">
        <v>120</v>
      </c>
      <c r="G25" s="90" t="s">
        <v>217</v>
      </c>
      <c r="H25" s="90">
        <v>66</v>
      </c>
      <c r="I25" s="90">
        <f>'Odds &amp; Rarity'!$D$13</f>
        <v>1026000</v>
      </c>
      <c r="J25" s="90">
        <f t="shared" si="2"/>
        <v>130</v>
      </c>
      <c r="K25" s="90">
        <f t="shared" si="3"/>
        <v>130</v>
      </c>
      <c r="L25" s="90">
        <f t="shared" si="4"/>
        <v>130</v>
      </c>
      <c r="M25" s="91" t="s">
        <v>218</v>
      </c>
      <c r="N25" s="59" t="str">
        <f t="shared" si="0"/>
        <v>Autos - Singles|Autographs|A-BR|Base</v>
      </c>
      <c r="O25" s="59">
        <f t="shared" si="1"/>
        <v>130</v>
      </c>
    </row>
    <row r="26" spans="1:15" ht="30" customHeight="1" x14ac:dyDescent="0.25">
      <c r="A26" s="90" t="s">
        <v>37</v>
      </c>
      <c r="B26" s="90" t="s">
        <v>214</v>
      </c>
      <c r="C26" s="90" t="s">
        <v>227</v>
      </c>
      <c r="D26" s="91" t="s">
        <v>228</v>
      </c>
      <c r="E26" s="90" t="s">
        <v>60</v>
      </c>
      <c r="F26" s="90">
        <v>120</v>
      </c>
      <c r="G26" s="90" t="s">
        <v>217</v>
      </c>
      <c r="H26" s="90">
        <v>66</v>
      </c>
      <c r="I26" s="90">
        <f>'Odds &amp; Rarity'!$D$13</f>
        <v>1026000</v>
      </c>
      <c r="J26" s="90">
        <f t="shared" si="2"/>
        <v>130</v>
      </c>
      <c r="K26" s="90">
        <f t="shared" si="3"/>
        <v>130</v>
      </c>
      <c r="L26" s="90">
        <f t="shared" si="4"/>
        <v>130</v>
      </c>
      <c r="M26" s="91" t="s">
        <v>218</v>
      </c>
      <c r="N26" s="59" t="str">
        <f t="shared" si="0"/>
        <v>Autos - Singles|Autographs|A-CA|Base</v>
      </c>
      <c r="O26" s="59">
        <f t="shared" si="1"/>
        <v>130</v>
      </c>
    </row>
    <row r="27" spans="1:15" ht="30" customHeight="1" x14ac:dyDescent="0.25">
      <c r="A27" s="90" t="s">
        <v>37</v>
      </c>
      <c r="B27" s="90" t="s">
        <v>214</v>
      </c>
      <c r="C27" s="90" t="s">
        <v>229</v>
      </c>
      <c r="D27" s="91" t="s">
        <v>230</v>
      </c>
      <c r="E27" s="90" t="s">
        <v>60</v>
      </c>
      <c r="F27" s="90">
        <v>120</v>
      </c>
      <c r="G27" s="90" t="s">
        <v>217</v>
      </c>
      <c r="H27" s="90">
        <v>66</v>
      </c>
      <c r="I27" s="90">
        <f>'Odds &amp; Rarity'!$D$13</f>
        <v>1026000</v>
      </c>
      <c r="J27" s="90">
        <f t="shared" si="2"/>
        <v>130</v>
      </c>
      <c r="K27" s="90">
        <f t="shared" si="3"/>
        <v>130</v>
      </c>
      <c r="L27" s="90">
        <f t="shared" si="4"/>
        <v>130</v>
      </c>
      <c r="M27" s="91" t="s">
        <v>218</v>
      </c>
      <c r="N27" s="59" t="str">
        <f t="shared" si="0"/>
        <v>Autos - Singles|Autographs|A-CC|Base</v>
      </c>
      <c r="O27" s="59">
        <f t="shared" si="1"/>
        <v>130</v>
      </c>
    </row>
    <row r="28" spans="1:15" ht="30" customHeight="1" x14ac:dyDescent="0.25">
      <c r="A28" s="90" t="s">
        <v>37</v>
      </c>
      <c r="B28" s="90" t="s">
        <v>214</v>
      </c>
      <c r="C28" s="90" t="s">
        <v>231</v>
      </c>
      <c r="D28" s="91" t="s">
        <v>232</v>
      </c>
      <c r="E28" s="90" t="s">
        <v>176</v>
      </c>
      <c r="F28" s="90">
        <v>120</v>
      </c>
      <c r="G28" s="90" t="s">
        <v>217</v>
      </c>
      <c r="H28" s="90">
        <v>66</v>
      </c>
      <c r="I28" s="90">
        <f>'Odds &amp; Rarity'!$D$13</f>
        <v>1026000</v>
      </c>
      <c r="J28" s="90">
        <f t="shared" si="2"/>
        <v>130</v>
      </c>
      <c r="K28" s="90">
        <f t="shared" si="3"/>
        <v>130</v>
      </c>
      <c r="L28" s="90">
        <f t="shared" si="4"/>
        <v>130</v>
      </c>
      <c r="M28" s="91" t="s">
        <v>218</v>
      </c>
      <c r="N28" s="59" t="str">
        <f t="shared" si="0"/>
        <v>Autos - Singles|Autographs|A-CH|Inscribed</v>
      </c>
      <c r="O28" s="59">
        <f t="shared" si="1"/>
        <v>130</v>
      </c>
    </row>
    <row r="29" spans="1:15" ht="30" customHeight="1" x14ac:dyDescent="0.25">
      <c r="A29" s="90" t="s">
        <v>37</v>
      </c>
      <c r="B29" s="90" t="s">
        <v>214</v>
      </c>
      <c r="C29" s="90" t="s">
        <v>233</v>
      </c>
      <c r="D29" s="91" t="s">
        <v>234</v>
      </c>
      <c r="E29" s="90" t="s">
        <v>60</v>
      </c>
      <c r="F29" s="90">
        <v>120</v>
      </c>
      <c r="G29" s="90" t="s">
        <v>217</v>
      </c>
      <c r="H29" s="90">
        <v>66</v>
      </c>
      <c r="I29" s="90">
        <f>'Odds &amp; Rarity'!$D$13</f>
        <v>1026000</v>
      </c>
      <c r="J29" s="90">
        <f t="shared" si="2"/>
        <v>130</v>
      </c>
      <c r="K29" s="90">
        <f t="shared" si="3"/>
        <v>130</v>
      </c>
      <c r="L29" s="90">
        <f t="shared" si="4"/>
        <v>130</v>
      </c>
      <c r="M29" s="91" t="s">
        <v>218</v>
      </c>
      <c r="N29" s="59" t="str">
        <f t="shared" si="0"/>
        <v>Autos - Singles|Autographs|A-CL|Base</v>
      </c>
      <c r="O29" s="59">
        <f t="shared" si="1"/>
        <v>130</v>
      </c>
    </row>
    <row r="30" spans="1:15" ht="30" customHeight="1" x14ac:dyDescent="0.25">
      <c r="A30" s="90" t="s">
        <v>37</v>
      </c>
      <c r="B30" s="90" t="s">
        <v>214</v>
      </c>
      <c r="C30" s="90" t="s">
        <v>235</v>
      </c>
      <c r="D30" s="91" t="s">
        <v>234</v>
      </c>
      <c r="E30" s="90" t="s">
        <v>60</v>
      </c>
      <c r="F30" s="90">
        <v>120</v>
      </c>
      <c r="G30" s="90" t="s">
        <v>217</v>
      </c>
      <c r="H30" s="90">
        <v>66</v>
      </c>
      <c r="I30" s="90">
        <f>'Odds &amp; Rarity'!$D$13</f>
        <v>1026000</v>
      </c>
      <c r="J30" s="90">
        <f t="shared" si="2"/>
        <v>130</v>
      </c>
      <c r="K30" s="90">
        <f t="shared" si="3"/>
        <v>130</v>
      </c>
      <c r="L30" s="90">
        <f t="shared" si="4"/>
        <v>130</v>
      </c>
      <c r="M30" s="91" t="s">
        <v>218</v>
      </c>
      <c r="N30" s="59" t="str">
        <f t="shared" si="0"/>
        <v>Autos - Singles|Autographs|A-CM|Base</v>
      </c>
      <c r="O30" s="59">
        <f t="shared" si="1"/>
        <v>130</v>
      </c>
    </row>
    <row r="31" spans="1:15" ht="30" customHeight="1" x14ac:dyDescent="0.25">
      <c r="A31" s="90" t="s">
        <v>37</v>
      </c>
      <c r="B31" s="90" t="s">
        <v>214</v>
      </c>
      <c r="C31" s="90" t="s">
        <v>236</v>
      </c>
      <c r="D31" s="91" t="s">
        <v>234</v>
      </c>
      <c r="E31" s="90" t="s">
        <v>60</v>
      </c>
      <c r="F31" s="90">
        <v>120</v>
      </c>
      <c r="G31" s="90" t="s">
        <v>217</v>
      </c>
      <c r="H31" s="90">
        <v>66</v>
      </c>
      <c r="I31" s="90">
        <f>'Odds &amp; Rarity'!$D$13</f>
        <v>1026000</v>
      </c>
      <c r="J31" s="90">
        <f t="shared" si="2"/>
        <v>130</v>
      </c>
      <c r="K31" s="90">
        <f t="shared" si="3"/>
        <v>130</v>
      </c>
      <c r="L31" s="90">
        <f t="shared" si="4"/>
        <v>130</v>
      </c>
      <c r="M31" s="91" t="s">
        <v>218</v>
      </c>
      <c r="N31" s="59" t="str">
        <f t="shared" si="0"/>
        <v>Autos - Singles|Autographs|A-CO|Base</v>
      </c>
      <c r="O31" s="59">
        <f t="shared" si="1"/>
        <v>130</v>
      </c>
    </row>
    <row r="32" spans="1:15" ht="30" customHeight="1" x14ac:dyDescent="0.25">
      <c r="A32" s="90" t="s">
        <v>37</v>
      </c>
      <c r="B32" s="90" t="s">
        <v>214</v>
      </c>
      <c r="C32" s="90" t="s">
        <v>237</v>
      </c>
      <c r="D32" s="91" t="s">
        <v>238</v>
      </c>
      <c r="E32" s="90" t="s">
        <v>60</v>
      </c>
      <c r="F32" s="90">
        <v>120</v>
      </c>
      <c r="G32" s="90" t="s">
        <v>217</v>
      </c>
      <c r="H32" s="90">
        <v>66</v>
      </c>
      <c r="I32" s="90">
        <f>'Odds &amp; Rarity'!$D$13</f>
        <v>1026000</v>
      </c>
      <c r="J32" s="90">
        <f t="shared" si="2"/>
        <v>130</v>
      </c>
      <c r="K32" s="90">
        <f t="shared" si="3"/>
        <v>130</v>
      </c>
      <c r="L32" s="90">
        <f t="shared" si="4"/>
        <v>130</v>
      </c>
      <c r="M32" s="91" t="s">
        <v>218</v>
      </c>
      <c r="N32" s="59" t="str">
        <f t="shared" si="0"/>
        <v>Autos - Singles|Autographs|A-CP|Base</v>
      </c>
      <c r="O32" s="59">
        <f t="shared" si="1"/>
        <v>130</v>
      </c>
    </row>
    <row r="33" spans="1:15" ht="30" customHeight="1" x14ac:dyDescent="0.25">
      <c r="A33" s="90" t="s">
        <v>37</v>
      </c>
      <c r="B33" s="90" t="s">
        <v>214</v>
      </c>
      <c r="C33" s="90" t="s">
        <v>239</v>
      </c>
      <c r="D33" s="91" t="s">
        <v>228</v>
      </c>
      <c r="E33" s="90" t="s">
        <v>60</v>
      </c>
      <c r="F33" s="90">
        <v>120</v>
      </c>
      <c r="G33" s="90" t="s">
        <v>217</v>
      </c>
      <c r="H33" s="90">
        <v>66</v>
      </c>
      <c r="I33" s="90">
        <f>'Odds &amp; Rarity'!$D$13</f>
        <v>1026000</v>
      </c>
      <c r="J33" s="90">
        <f t="shared" si="2"/>
        <v>130</v>
      </c>
      <c r="K33" s="90">
        <f t="shared" si="3"/>
        <v>130</v>
      </c>
      <c r="L33" s="90">
        <f t="shared" si="4"/>
        <v>130</v>
      </c>
      <c r="M33" s="91" t="s">
        <v>218</v>
      </c>
      <c r="N33" s="59" t="str">
        <f t="shared" si="0"/>
        <v>Autos - Singles|Autographs|A-CR|Base</v>
      </c>
      <c r="O33" s="59">
        <f t="shared" si="1"/>
        <v>130</v>
      </c>
    </row>
    <row r="34" spans="1:15" ht="30" customHeight="1" x14ac:dyDescent="0.25">
      <c r="A34" s="90" t="s">
        <v>37</v>
      </c>
      <c r="B34" s="90" t="s">
        <v>214</v>
      </c>
      <c r="C34" s="90" t="s">
        <v>240</v>
      </c>
      <c r="D34" s="91" t="s">
        <v>228</v>
      </c>
      <c r="E34" s="90" t="s">
        <v>60</v>
      </c>
      <c r="F34" s="90">
        <v>120</v>
      </c>
      <c r="G34" s="90" t="s">
        <v>217</v>
      </c>
      <c r="H34" s="90">
        <v>66</v>
      </c>
      <c r="I34" s="90">
        <f>'Odds &amp; Rarity'!$D$13</f>
        <v>1026000</v>
      </c>
      <c r="J34" s="90">
        <f t="shared" si="2"/>
        <v>130</v>
      </c>
      <c r="K34" s="90">
        <f t="shared" si="3"/>
        <v>130</v>
      </c>
      <c r="L34" s="90">
        <f t="shared" si="4"/>
        <v>130</v>
      </c>
      <c r="M34" s="91" t="s">
        <v>218</v>
      </c>
      <c r="N34" s="59" t="str">
        <f t="shared" si="0"/>
        <v>Autos - Singles|Autographs|A-CT|Base</v>
      </c>
      <c r="O34" s="59">
        <f t="shared" si="1"/>
        <v>130</v>
      </c>
    </row>
    <row r="35" spans="1:15" ht="30" customHeight="1" x14ac:dyDescent="0.25">
      <c r="A35" s="90" t="s">
        <v>37</v>
      </c>
      <c r="B35" s="90" t="s">
        <v>214</v>
      </c>
      <c r="C35" s="90" t="s">
        <v>241</v>
      </c>
      <c r="D35" s="91" t="s">
        <v>242</v>
      </c>
      <c r="E35" s="90" t="s">
        <v>176</v>
      </c>
      <c r="F35" s="90">
        <v>120</v>
      </c>
      <c r="G35" s="90" t="s">
        <v>217</v>
      </c>
      <c r="H35" s="90">
        <v>66</v>
      </c>
      <c r="I35" s="90">
        <f>'Odds &amp; Rarity'!$D$13</f>
        <v>1026000</v>
      </c>
      <c r="J35" s="90">
        <f t="shared" si="2"/>
        <v>130</v>
      </c>
      <c r="K35" s="90">
        <f t="shared" si="3"/>
        <v>130</v>
      </c>
      <c r="L35" s="90">
        <f t="shared" si="4"/>
        <v>130</v>
      </c>
      <c r="M35" s="91" t="s">
        <v>218</v>
      </c>
      <c r="N35" s="59" t="str">
        <f t="shared" si="0"/>
        <v>Autos - Singles|Autographs|A-CV|Inscribed</v>
      </c>
      <c r="O35" s="59">
        <f t="shared" si="1"/>
        <v>130</v>
      </c>
    </row>
    <row r="36" spans="1:15" ht="30" customHeight="1" x14ac:dyDescent="0.25">
      <c r="A36" s="90" t="s">
        <v>37</v>
      </c>
      <c r="B36" s="90" t="s">
        <v>214</v>
      </c>
      <c r="C36" s="90" t="s">
        <v>243</v>
      </c>
      <c r="D36" s="91" t="s">
        <v>244</v>
      </c>
      <c r="E36" s="90" t="s">
        <v>60</v>
      </c>
      <c r="F36" s="90">
        <v>120</v>
      </c>
      <c r="G36" s="90" t="s">
        <v>217</v>
      </c>
      <c r="H36" s="90">
        <v>66</v>
      </c>
      <c r="I36" s="90">
        <f>'Odds &amp; Rarity'!$D$13</f>
        <v>1026000</v>
      </c>
      <c r="J36" s="90">
        <f t="shared" si="2"/>
        <v>130</v>
      </c>
      <c r="K36" s="90">
        <f t="shared" si="3"/>
        <v>130</v>
      </c>
      <c r="L36" s="90">
        <f t="shared" si="4"/>
        <v>130</v>
      </c>
      <c r="M36" s="91" t="s">
        <v>218</v>
      </c>
      <c r="N36" s="59" t="str">
        <f t="shared" si="0"/>
        <v>Autos - Singles|Autographs|A-DM|Base</v>
      </c>
      <c r="O36" s="59">
        <f t="shared" si="1"/>
        <v>130</v>
      </c>
    </row>
    <row r="37" spans="1:15" ht="30" customHeight="1" x14ac:dyDescent="0.25">
      <c r="A37" s="90" t="s">
        <v>37</v>
      </c>
      <c r="B37" s="90" t="s">
        <v>214</v>
      </c>
      <c r="C37" s="90" t="s">
        <v>245</v>
      </c>
      <c r="D37" s="91" t="s">
        <v>244</v>
      </c>
      <c r="E37" s="90" t="s">
        <v>60</v>
      </c>
      <c r="F37" s="90">
        <v>120</v>
      </c>
      <c r="G37" s="90" t="s">
        <v>217</v>
      </c>
      <c r="H37" s="90">
        <v>66</v>
      </c>
      <c r="I37" s="90">
        <f>'Odds &amp; Rarity'!$D$13</f>
        <v>1026000</v>
      </c>
      <c r="J37" s="90">
        <f t="shared" si="2"/>
        <v>130</v>
      </c>
      <c r="K37" s="90">
        <f t="shared" si="3"/>
        <v>130</v>
      </c>
      <c r="L37" s="90">
        <f t="shared" si="4"/>
        <v>130</v>
      </c>
      <c r="M37" s="91" t="s">
        <v>218</v>
      </c>
      <c r="N37" s="59" t="str">
        <f t="shared" si="0"/>
        <v>Autos - Singles|Autographs|A-DO|Base</v>
      </c>
      <c r="O37" s="59">
        <f t="shared" si="1"/>
        <v>130</v>
      </c>
    </row>
    <row r="38" spans="1:15" ht="30" customHeight="1" x14ac:dyDescent="0.25">
      <c r="A38" s="90" t="s">
        <v>37</v>
      </c>
      <c r="B38" s="90" t="s">
        <v>214</v>
      </c>
      <c r="C38" s="90" t="s">
        <v>246</v>
      </c>
      <c r="D38" s="91" t="s">
        <v>244</v>
      </c>
      <c r="E38" s="90" t="s">
        <v>60</v>
      </c>
      <c r="F38" s="90">
        <v>120</v>
      </c>
      <c r="G38" s="90" t="s">
        <v>217</v>
      </c>
      <c r="H38" s="90">
        <v>66</v>
      </c>
      <c r="I38" s="90">
        <f>'Odds &amp; Rarity'!$D$13</f>
        <v>1026000</v>
      </c>
      <c r="J38" s="90">
        <f t="shared" si="2"/>
        <v>130</v>
      </c>
      <c r="K38" s="90">
        <f t="shared" si="3"/>
        <v>130</v>
      </c>
      <c r="L38" s="90">
        <f t="shared" si="4"/>
        <v>130</v>
      </c>
      <c r="M38" s="91" t="s">
        <v>218</v>
      </c>
      <c r="N38" s="59" t="str">
        <f t="shared" si="0"/>
        <v>Autos - Singles|Autographs|A-DQ|Base</v>
      </c>
      <c r="O38" s="59">
        <f t="shared" si="1"/>
        <v>130</v>
      </c>
    </row>
    <row r="39" spans="1:15" ht="30" customHeight="1" x14ac:dyDescent="0.25">
      <c r="A39" s="90" t="s">
        <v>37</v>
      </c>
      <c r="B39" s="90" t="s">
        <v>214</v>
      </c>
      <c r="C39" s="90" t="s">
        <v>247</v>
      </c>
      <c r="D39" s="91" t="s">
        <v>248</v>
      </c>
      <c r="E39" s="90" t="s">
        <v>60</v>
      </c>
      <c r="F39" s="90">
        <v>120</v>
      </c>
      <c r="G39" s="90" t="s">
        <v>217</v>
      </c>
      <c r="H39" s="90">
        <v>66</v>
      </c>
      <c r="I39" s="90">
        <f>'Odds &amp; Rarity'!$D$13</f>
        <v>1026000</v>
      </c>
      <c r="J39" s="90">
        <f t="shared" si="2"/>
        <v>130</v>
      </c>
      <c r="K39" s="90">
        <f t="shared" si="3"/>
        <v>130</v>
      </c>
      <c r="L39" s="90">
        <f t="shared" si="4"/>
        <v>130</v>
      </c>
      <c r="M39" s="91" t="s">
        <v>218</v>
      </c>
      <c r="N39" s="59" t="str">
        <f t="shared" si="0"/>
        <v>Autos - Singles|Autographs|A-EM|Base</v>
      </c>
      <c r="O39" s="59">
        <f t="shared" si="1"/>
        <v>130</v>
      </c>
    </row>
    <row r="40" spans="1:15" ht="30" customHeight="1" x14ac:dyDescent="0.25">
      <c r="A40" s="90" t="s">
        <v>37</v>
      </c>
      <c r="B40" s="90" t="s">
        <v>214</v>
      </c>
      <c r="C40" s="90" t="s">
        <v>249</v>
      </c>
      <c r="D40" s="91" t="s">
        <v>250</v>
      </c>
      <c r="E40" s="90" t="s">
        <v>60</v>
      </c>
      <c r="F40" s="90">
        <v>120</v>
      </c>
      <c r="G40" s="90" t="s">
        <v>217</v>
      </c>
      <c r="H40" s="90">
        <v>66</v>
      </c>
      <c r="I40" s="90">
        <f>'Odds &amp; Rarity'!$D$13</f>
        <v>1026000</v>
      </c>
      <c r="J40" s="90">
        <f t="shared" si="2"/>
        <v>130</v>
      </c>
      <c r="K40" s="90">
        <f t="shared" si="3"/>
        <v>130</v>
      </c>
      <c r="L40" s="90">
        <f t="shared" si="4"/>
        <v>130</v>
      </c>
      <c r="M40" s="91" t="s">
        <v>218</v>
      </c>
      <c r="N40" s="59" t="str">
        <f t="shared" si="0"/>
        <v>Autos - Singles|Autographs|A-ES|Base</v>
      </c>
      <c r="O40" s="59">
        <f t="shared" si="1"/>
        <v>130</v>
      </c>
    </row>
    <row r="41" spans="1:15" ht="30" customHeight="1" x14ac:dyDescent="0.25">
      <c r="A41" s="90" t="s">
        <v>37</v>
      </c>
      <c r="B41" s="90" t="s">
        <v>214</v>
      </c>
      <c r="C41" s="90" t="s">
        <v>251</v>
      </c>
      <c r="D41" s="91" t="s">
        <v>252</v>
      </c>
      <c r="E41" s="90" t="s">
        <v>176</v>
      </c>
      <c r="F41" s="90">
        <v>120</v>
      </c>
      <c r="G41" s="90" t="s">
        <v>217</v>
      </c>
      <c r="H41" s="90">
        <v>66</v>
      </c>
      <c r="I41" s="90">
        <f>'Odds &amp; Rarity'!$D$13</f>
        <v>1026000</v>
      </c>
      <c r="J41" s="90">
        <f t="shared" si="2"/>
        <v>130</v>
      </c>
      <c r="K41" s="90">
        <f t="shared" si="3"/>
        <v>130</v>
      </c>
      <c r="L41" s="90">
        <f t="shared" si="4"/>
        <v>130</v>
      </c>
      <c r="M41" s="91" t="s">
        <v>218</v>
      </c>
      <c r="N41" s="59" t="str">
        <f t="shared" si="0"/>
        <v>Autos - Singles|Autographs|A-FH|Inscribed</v>
      </c>
      <c r="O41" s="59">
        <f t="shared" si="1"/>
        <v>130</v>
      </c>
    </row>
    <row r="42" spans="1:15" ht="30" customHeight="1" x14ac:dyDescent="0.25">
      <c r="A42" s="90" t="s">
        <v>37</v>
      </c>
      <c r="B42" s="90" t="s">
        <v>214</v>
      </c>
      <c r="C42" s="90" t="s">
        <v>253</v>
      </c>
      <c r="D42" s="91" t="s">
        <v>254</v>
      </c>
      <c r="E42" s="90" t="s">
        <v>60</v>
      </c>
      <c r="F42" s="90">
        <v>120</v>
      </c>
      <c r="G42" s="90" t="s">
        <v>217</v>
      </c>
      <c r="H42" s="90">
        <v>66</v>
      </c>
      <c r="I42" s="90">
        <f>'Odds &amp; Rarity'!$D$13</f>
        <v>1026000</v>
      </c>
      <c r="J42" s="90">
        <f t="shared" si="2"/>
        <v>130</v>
      </c>
      <c r="K42" s="90">
        <f t="shared" si="3"/>
        <v>130</v>
      </c>
      <c r="L42" s="90">
        <f t="shared" si="4"/>
        <v>130</v>
      </c>
      <c r="M42" s="91" t="s">
        <v>218</v>
      </c>
      <c r="N42" s="59" t="str">
        <f t="shared" si="0"/>
        <v>Autos - Singles|Autographs|A-GC|Base</v>
      </c>
      <c r="O42" s="59">
        <f t="shared" si="1"/>
        <v>130</v>
      </c>
    </row>
    <row r="43" spans="1:15" ht="30" customHeight="1" x14ac:dyDescent="0.25">
      <c r="A43" s="90" t="s">
        <v>37</v>
      </c>
      <c r="B43" s="90" t="s">
        <v>214</v>
      </c>
      <c r="C43" s="90" t="s">
        <v>255</v>
      </c>
      <c r="D43" s="91" t="s">
        <v>254</v>
      </c>
      <c r="E43" s="90" t="s">
        <v>60</v>
      </c>
      <c r="F43" s="90">
        <v>120</v>
      </c>
      <c r="G43" s="90" t="s">
        <v>217</v>
      </c>
      <c r="H43" s="90">
        <v>66</v>
      </c>
      <c r="I43" s="90">
        <f>'Odds &amp; Rarity'!$D$13</f>
        <v>1026000</v>
      </c>
      <c r="J43" s="90">
        <f t="shared" si="2"/>
        <v>130</v>
      </c>
      <c r="K43" s="90">
        <f t="shared" si="3"/>
        <v>130</v>
      </c>
      <c r="L43" s="90">
        <f t="shared" si="4"/>
        <v>130</v>
      </c>
      <c r="M43" s="91" t="s">
        <v>218</v>
      </c>
      <c r="N43" s="59" t="str">
        <f t="shared" si="0"/>
        <v>Autos - Singles|Autographs|A-GE|Base</v>
      </c>
      <c r="O43" s="59">
        <f t="shared" si="1"/>
        <v>130</v>
      </c>
    </row>
    <row r="44" spans="1:15" ht="30" customHeight="1" x14ac:dyDescent="0.25">
      <c r="A44" s="90" t="s">
        <v>37</v>
      </c>
      <c r="B44" s="90" t="s">
        <v>214</v>
      </c>
      <c r="C44" s="90" t="s">
        <v>256</v>
      </c>
      <c r="D44" s="91" t="s">
        <v>216</v>
      </c>
      <c r="E44" s="90" t="s">
        <v>60</v>
      </c>
      <c r="F44" s="90">
        <v>120</v>
      </c>
      <c r="G44" s="90" t="s">
        <v>217</v>
      </c>
      <c r="H44" s="90">
        <v>66</v>
      </c>
      <c r="I44" s="90">
        <f>'Odds &amp; Rarity'!$D$13</f>
        <v>1026000</v>
      </c>
      <c r="J44" s="90">
        <f t="shared" si="2"/>
        <v>130</v>
      </c>
      <c r="K44" s="90">
        <f t="shared" si="3"/>
        <v>130</v>
      </c>
      <c r="L44" s="90">
        <f t="shared" si="4"/>
        <v>130</v>
      </c>
      <c r="M44" s="91" t="s">
        <v>218</v>
      </c>
      <c r="N44" s="59" t="str">
        <f t="shared" si="0"/>
        <v>Autos - Singles|Autographs|A-HA|Base</v>
      </c>
      <c r="O44" s="59">
        <f t="shared" si="1"/>
        <v>130</v>
      </c>
    </row>
    <row r="45" spans="1:15" ht="30" customHeight="1" x14ac:dyDescent="0.25">
      <c r="A45" s="90" t="s">
        <v>37</v>
      </c>
      <c r="B45" s="90" t="s">
        <v>214</v>
      </c>
      <c r="C45" s="90" t="s">
        <v>257</v>
      </c>
      <c r="D45" s="91" t="s">
        <v>258</v>
      </c>
      <c r="E45" s="90" t="s">
        <v>176</v>
      </c>
      <c r="F45" s="90">
        <v>120</v>
      </c>
      <c r="G45" s="90" t="s">
        <v>217</v>
      </c>
      <c r="H45" s="90">
        <v>66</v>
      </c>
      <c r="I45" s="90">
        <f>'Odds &amp; Rarity'!$D$13</f>
        <v>1026000</v>
      </c>
      <c r="J45" s="90">
        <f t="shared" si="2"/>
        <v>130</v>
      </c>
      <c r="K45" s="90">
        <f t="shared" si="3"/>
        <v>130</v>
      </c>
      <c r="L45" s="90">
        <f t="shared" si="4"/>
        <v>130</v>
      </c>
      <c r="M45" s="91" t="s">
        <v>218</v>
      </c>
      <c r="N45" s="59" t="str">
        <f t="shared" si="0"/>
        <v>Autos - Singles|Autographs|A-HS|Inscribed</v>
      </c>
      <c r="O45" s="59">
        <f t="shared" si="1"/>
        <v>130</v>
      </c>
    </row>
    <row r="46" spans="1:15" ht="30" customHeight="1" x14ac:dyDescent="0.25">
      <c r="A46" s="90" t="s">
        <v>37</v>
      </c>
      <c r="B46" s="90" t="s">
        <v>214</v>
      </c>
      <c r="C46" s="90" t="s">
        <v>259</v>
      </c>
      <c r="D46" s="91" t="s">
        <v>260</v>
      </c>
      <c r="E46" s="90" t="s">
        <v>60</v>
      </c>
      <c r="F46" s="90">
        <v>120</v>
      </c>
      <c r="G46" s="90" t="s">
        <v>217</v>
      </c>
      <c r="H46" s="90">
        <v>66</v>
      </c>
      <c r="I46" s="90">
        <f>'Odds &amp; Rarity'!$D$13</f>
        <v>1026000</v>
      </c>
      <c r="J46" s="90">
        <f t="shared" si="2"/>
        <v>130</v>
      </c>
      <c r="K46" s="90">
        <f t="shared" si="3"/>
        <v>130</v>
      </c>
      <c r="L46" s="90">
        <f t="shared" si="4"/>
        <v>130</v>
      </c>
      <c r="M46" s="91" t="s">
        <v>218</v>
      </c>
      <c r="N46" s="59" t="str">
        <f t="shared" si="0"/>
        <v>Autos - Singles|Autographs|A-JL|Base</v>
      </c>
      <c r="O46" s="59">
        <f t="shared" si="1"/>
        <v>130</v>
      </c>
    </row>
    <row r="47" spans="1:15" ht="30" customHeight="1" x14ac:dyDescent="0.25">
      <c r="A47" s="90" t="s">
        <v>37</v>
      </c>
      <c r="B47" s="90" t="s">
        <v>214</v>
      </c>
      <c r="C47" s="90" t="s">
        <v>261</v>
      </c>
      <c r="D47" s="91" t="s">
        <v>260</v>
      </c>
      <c r="E47" s="90" t="s">
        <v>60</v>
      </c>
      <c r="F47" s="90">
        <v>120</v>
      </c>
      <c r="G47" s="90" t="s">
        <v>217</v>
      </c>
      <c r="H47" s="90">
        <v>66</v>
      </c>
      <c r="I47" s="90">
        <f>'Odds &amp; Rarity'!$D$13</f>
        <v>1026000</v>
      </c>
      <c r="J47" s="90">
        <f t="shared" si="2"/>
        <v>130</v>
      </c>
      <c r="K47" s="90">
        <f t="shared" si="3"/>
        <v>130</v>
      </c>
      <c r="L47" s="90">
        <f t="shared" si="4"/>
        <v>130</v>
      </c>
      <c r="M47" s="91" t="s">
        <v>218</v>
      </c>
      <c r="N47" s="59" t="str">
        <f t="shared" si="0"/>
        <v>Autos - Singles|Autographs|A-JO|Base</v>
      </c>
      <c r="O47" s="59">
        <f t="shared" si="1"/>
        <v>130</v>
      </c>
    </row>
    <row r="48" spans="1:15" ht="30" customHeight="1" x14ac:dyDescent="0.25">
      <c r="A48" s="90" t="s">
        <v>37</v>
      </c>
      <c r="B48" s="90" t="s">
        <v>214</v>
      </c>
      <c r="C48" s="90" t="s">
        <v>262</v>
      </c>
      <c r="D48" s="91" t="s">
        <v>263</v>
      </c>
      <c r="E48" s="90" t="s">
        <v>60</v>
      </c>
      <c r="F48" s="90">
        <v>120</v>
      </c>
      <c r="G48" s="90" t="s">
        <v>217</v>
      </c>
      <c r="H48" s="90">
        <v>66</v>
      </c>
      <c r="I48" s="90">
        <f>'Odds &amp; Rarity'!$D$13</f>
        <v>1026000</v>
      </c>
      <c r="J48" s="90">
        <f t="shared" si="2"/>
        <v>130</v>
      </c>
      <c r="K48" s="90">
        <f t="shared" si="3"/>
        <v>130</v>
      </c>
      <c r="L48" s="90">
        <f t="shared" si="4"/>
        <v>130</v>
      </c>
      <c r="M48" s="91" t="s">
        <v>218</v>
      </c>
      <c r="N48" s="59" t="str">
        <f t="shared" si="0"/>
        <v>Autos - Singles|Autographs|A-JQ|Base</v>
      </c>
      <c r="O48" s="59">
        <f t="shared" si="1"/>
        <v>130</v>
      </c>
    </row>
    <row r="49" spans="1:15" ht="30" customHeight="1" x14ac:dyDescent="0.25">
      <c r="A49" s="90" t="s">
        <v>37</v>
      </c>
      <c r="B49" s="90" t="s">
        <v>214</v>
      </c>
      <c r="C49" s="90" t="s">
        <v>264</v>
      </c>
      <c r="D49" s="91" t="s">
        <v>265</v>
      </c>
      <c r="E49" s="90" t="s">
        <v>176</v>
      </c>
      <c r="F49" s="90">
        <v>120</v>
      </c>
      <c r="G49" s="90" t="s">
        <v>217</v>
      </c>
      <c r="H49" s="90">
        <v>66</v>
      </c>
      <c r="I49" s="90">
        <f>'Odds &amp; Rarity'!$D$13</f>
        <v>1026000</v>
      </c>
      <c r="J49" s="90">
        <f t="shared" si="2"/>
        <v>130</v>
      </c>
      <c r="K49" s="90">
        <f t="shared" si="3"/>
        <v>130</v>
      </c>
      <c r="L49" s="90">
        <f t="shared" si="4"/>
        <v>130</v>
      </c>
      <c r="M49" s="91" t="s">
        <v>218</v>
      </c>
      <c r="N49" s="59" t="str">
        <f t="shared" si="0"/>
        <v>Autos - Singles|Autographs|A-JR|Inscribed</v>
      </c>
      <c r="O49" s="59">
        <f t="shared" si="1"/>
        <v>130</v>
      </c>
    </row>
    <row r="50" spans="1:15" ht="30" customHeight="1" x14ac:dyDescent="0.25">
      <c r="A50" s="90" t="s">
        <v>37</v>
      </c>
      <c r="B50" s="90" t="s">
        <v>214</v>
      </c>
      <c r="C50" s="90" t="s">
        <v>266</v>
      </c>
      <c r="D50" s="91" t="s">
        <v>267</v>
      </c>
      <c r="E50" s="90" t="s">
        <v>60</v>
      </c>
      <c r="F50" s="90">
        <v>120</v>
      </c>
      <c r="G50" s="90" t="s">
        <v>217</v>
      </c>
      <c r="H50" s="90">
        <v>66</v>
      </c>
      <c r="I50" s="90">
        <f>'Odds &amp; Rarity'!$D$13</f>
        <v>1026000</v>
      </c>
      <c r="J50" s="90">
        <f t="shared" si="2"/>
        <v>130</v>
      </c>
      <c r="K50" s="90">
        <f t="shared" si="3"/>
        <v>130</v>
      </c>
      <c r="L50" s="90">
        <f t="shared" si="4"/>
        <v>130</v>
      </c>
      <c r="M50" s="91" t="s">
        <v>218</v>
      </c>
      <c r="N50" s="59" t="str">
        <f t="shared" si="0"/>
        <v>Autos - Singles|Autographs|A-JT|Base</v>
      </c>
      <c r="O50" s="59">
        <f t="shared" si="1"/>
        <v>130</v>
      </c>
    </row>
    <row r="51" spans="1:15" ht="30" customHeight="1" x14ac:dyDescent="0.25">
      <c r="A51" s="90" t="s">
        <v>37</v>
      </c>
      <c r="B51" s="90" t="s">
        <v>214</v>
      </c>
      <c r="C51" s="90" t="s">
        <v>268</v>
      </c>
      <c r="D51" s="91" t="s">
        <v>267</v>
      </c>
      <c r="E51" s="90" t="s">
        <v>60</v>
      </c>
      <c r="F51" s="90">
        <v>120</v>
      </c>
      <c r="G51" s="90" t="s">
        <v>217</v>
      </c>
      <c r="H51" s="90">
        <v>66</v>
      </c>
      <c r="I51" s="90">
        <f>'Odds &amp; Rarity'!$D$13</f>
        <v>1026000</v>
      </c>
      <c r="J51" s="90">
        <f t="shared" si="2"/>
        <v>130</v>
      </c>
      <c r="K51" s="90">
        <f t="shared" si="3"/>
        <v>130</v>
      </c>
      <c r="L51" s="90">
        <f t="shared" si="4"/>
        <v>130</v>
      </c>
      <c r="M51" s="91" t="s">
        <v>218</v>
      </c>
      <c r="N51" s="59" t="str">
        <f t="shared" si="0"/>
        <v>Autos - Singles|Autographs|A-JU|Base</v>
      </c>
      <c r="O51" s="59">
        <f t="shared" si="1"/>
        <v>130</v>
      </c>
    </row>
    <row r="52" spans="1:15" ht="30" customHeight="1" x14ac:dyDescent="0.25">
      <c r="A52" s="90" t="s">
        <v>37</v>
      </c>
      <c r="B52" s="90" t="s">
        <v>214</v>
      </c>
      <c r="C52" s="90" t="s">
        <v>269</v>
      </c>
      <c r="D52" s="91" t="s">
        <v>270</v>
      </c>
      <c r="E52" s="90" t="s">
        <v>60</v>
      </c>
      <c r="F52" s="90">
        <v>120</v>
      </c>
      <c r="G52" s="90" t="s">
        <v>217</v>
      </c>
      <c r="H52" s="90">
        <v>66</v>
      </c>
      <c r="I52" s="90">
        <f>'Odds &amp; Rarity'!$D$13</f>
        <v>1026000</v>
      </c>
      <c r="J52" s="90">
        <f t="shared" si="2"/>
        <v>130</v>
      </c>
      <c r="K52" s="90">
        <f t="shared" si="3"/>
        <v>130</v>
      </c>
      <c r="L52" s="90">
        <f t="shared" si="4"/>
        <v>130</v>
      </c>
      <c r="M52" s="91" t="s">
        <v>218</v>
      </c>
      <c r="N52" s="59" t="str">
        <f t="shared" si="0"/>
        <v>Autos - Singles|Autographs|A-KF|Base</v>
      </c>
      <c r="O52" s="59">
        <f t="shared" si="1"/>
        <v>130</v>
      </c>
    </row>
    <row r="53" spans="1:15" ht="30" customHeight="1" x14ac:dyDescent="0.25">
      <c r="A53" s="90" t="s">
        <v>37</v>
      </c>
      <c r="B53" s="90" t="s">
        <v>214</v>
      </c>
      <c r="C53" s="90" t="s">
        <v>271</v>
      </c>
      <c r="D53" s="91" t="s">
        <v>270</v>
      </c>
      <c r="E53" s="90" t="s">
        <v>60</v>
      </c>
      <c r="F53" s="90">
        <v>120</v>
      </c>
      <c r="G53" s="90" t="s">
        <v>217</v>
      </c>
      <c r="H53" s="90">
        <v>66</v>
      </c>
      <c r="I53" s="90">
        <f>'Odds &amp; Rarity'!$D$13</f>
        <v>1026000</v>
      </c>
      <c r="J53" s="90">
        <f t="shared" si="2"/>
        <v>130</v>
      </c>
      <c r="K53" s="90">
        <f t="shared" si="3"/>
        <v>130</v>
      </c>
      <c r="L53" s="90">
        <f t="shared" si="4"/>
        <v>130</v>
      </c>
      <c r="M53" s="91" t="s">
        <v>218</v>
      </c>
      <c r="N53" s="59" t="str">
        <f t="shared" si="0"/>
        <v>Autos - Singles|Autographs|A-KK|Base</v>
      </c>
      <c r="O53" s="59">
        <f t="shared" si="1"/>
        <v>130</v>
      </c>
    </row>
    <row r="54" spans="1:15" ht="30" customHeight="1" x14ac:dyDescent="0.25">
      <c r="A54" s="90" t="s">
        <v>37</v>
      </c>
      <c r="B54" s="90" t="s">
        <v>214</v>
      </c>
      <c r="C54" s="90" t="s">
        <v>272</v>
      </c>
      <c r="D54" s="91" t="s">
        <v>270</v>
      </c>
      <c r="E54" s="90" t="s">
        <v>60</v>
      </c>
      <c r="F54" s="90">
        <v>120</v>
      </c>
      <c r="G54" s="90" t="s">
        <v>217</v>
      </c>
      <c r="H54" s="90">
        <v>66</v>
      </c>
      <c r="I54" s="90">
        <f>'Odds &amp; Rarity'!$D$13</f>
        <v>1026000</v>
      </c>
      <c r="J54" s="90">
        <f t="shared" si="2"/>
        <v>130</v>
      </c>
      <c r="K54" s="90">
        <f t="shared" si="3"/>
        <v>130</v>
      </c>
      <c r="L54" s="90">
        <f t="shared" si="4"/>
        <v>130</v>
      </c>
      <c r="M54" s="91" t="s">
        <v>218</v>
      </c>
      <c r="N54" s="59" t="str">
        <f t="shared" si="0"/>
        <v>Autos - Singles|Autographs|A-KR|Base</v>
      </c>
      <c r="O54" s="59">
        <f t="shared" si="1"/>
        <v>130</v>
      </c>
    </row>
    <row r="55" spans="1:15" ht="30" customHeight="1" x14ac:dyDescent="0.25">
      <c r="A55" s="90" t="s">
        <v>37</v>
      </c>
      <c r="B55" s="90" t="s">
        <v>214</v>
      </c>
      <c r="C55" s="90" t="s">
        <v>273</v>
      </c>
      <c r="D55" s="91" t="s">
        <v>274</v>
      </c>
      <c r="E55" s="90" t="s">
        <v>60</v>
      </c>
      <c r="F55" s="90">
        <v>120</v>
      </c>
      <c r="G55" s="90" t="s">
        <v>217</v>
      </c>
      <c r="H55" s="90">
        <v>66</v>
      </c>
      <c r="I55" s="90">
        <f>'Odds &amp; Rarity'!$D$13</f>
        <v>1026000</v>
      </c>
      <c r="J55" s="90">
        <f t="shared" si="2"/>
        <v>130</v>
      </c>
      <c r="K55" s="90">
        <f t="shared" si="3"/>
        <v>130</v>
      </c>
      <c r="L55" s="90">
        <f t="shared" si="4"/>
        <v>130</v>
      </c>
      <c r="M55" s="91" t="s">
        <v>218</v>
      </c>
      <c r="N55" s="59" t="str">
        <f t="shared" si="0"/>
        <v>Autos - Singles|Autographs|A-KU|Base</v>
      </c>
      <c r="O55" s="59">
        <f t="shared" si="1"/>
        <v>130</v>
      </c>
    </row>
    <row r="56" spans="1:15" ht="30" customHeight="1" x14ac:dyDescent="0.25">
      <c r="A56" s="90" t="s">
        <v>37</v>
      </c>
      <c r="B56" s="90" t="s">
        <v>214</v>
      </c>
      <c r="C56" s="90" t="s">
        <v>275</v>
      </c>
      <c r="D56" s="91" t="s">
        <v>276</v>
      </c>
      <c r="E56" s="90" t="s">
        <v>60</v>
      </c>
      <c r="F56" s="90">
        <v>120</v>
      </c>
      <c r="G56" s="90" t="s">
        <v>217</v>
      </c>
      <c r="H56" s="90">
        <v>66</v>
      </c>
      <c r="I56" s="90">
        <f>'Odds &amp; Rarity'!$D$13</f>
        <v>1026000</v>
      </c>
      <c r="J56" s="90">
        <f t="shared" si="2"/>
        <v>130</v>
      </c>
      <c r="K56" s="90">
        <f t="shared" si="3"/>
        <v>130</v>
      </c>
      <c r="L56" s="90">
        <f t="shared" si="4"/>
        <v>130</v>
      </c>
      <c r="M56" s="91" t="s">
        <v>218</v>
      </c>
      <c r="N56" s="59" t="str">
        <f t="shared" si="0"/>
        <v>Autos - Singles|Autographs|A-LA|Base</v>
      </c>
      <c r="O56" s="59">
        <f t="shared" si="1"/>
        <v>130</v>
      </c>
    </row>
    <row r="57" spans="1:15" ht="30" customHeight="1" x14ac:dyDescent="0.25">
      <c r="A57" s="90" t="s">
        <v>37</v>
      </c>
      <c r="B57" s="90" t="s">
        <v>214</v>
      </c>
      <c r="C57" s="90" t="s">
        <v>277</v>
      </c>
      <c r="D57" s="91" t="s">
        <v>260</v>
      </c>
      <c r="E57" s="90" t="s">
        <v>60</v>
      </c>
      <c r="F57" s="90">
        <v>120</v>
      </c>
      <c r="G57" s="90" t="s">
        <v>217</v>
      </c>
      <c r="H57" s="90">
        <v>66</v>
      </c>
      <c r="I57" s="90">
        <f>'Odds &amp; Rarity'!$D$13</f>
        <v>1026000</v>
      </c>
      <c r="J57" s="90">
        <f t="shared" si="2"/>
        <v>130</v>
      </c>
      <c r="K57" s="90">
        <f t="shared" si="3"/>
        <v>130</v>
      </c>
      <c r="L57" s="90">
        <f t="shared" si="4"/>
        <v>130</v>
      </c>
      <c r="M57" s="91" t="s">
        <v>218</v>
      </c>
      <c r="N57" s="59" t="str">
        <f t="shared" si="0"/>
        <v>Autos - Singles|Autographs|A-LJ|Base</v>
      </c>
      <c r="O57" s="59">
        <f t="shared" si="1"/>
        <v>130</v>
      </c>
    </row>
    <row r="58" spans="1:15" ht="30" customHeight="1" x14ac:dyDescent="0.25">
      <c r="A58" s="90" t="s">
        <v>37</v>
      </c>
      <c r="B58" s="90" t="s">
        <v>214</v>
      </c>
      <c r="C58" s="90" t="s">
        <v>278</v>
      </c>
      <c r="D58" s="91" t="s">
        <v>216</v>
      </c>
      <c r="E58" s="90" t="s">
        <v>60</v>
      </c>
      <c r="F58" s="90">
        <v>120</v>
      </c>
      <c r="G58" s="90" t="s">
        <v>217</v>
      </c>
      <c r="H58" s="90">
        <v>66</v>
      </c>
      <c r="I58" s="90">
        <f>'Odds &amp; Rarity'!$D$13</f>
        <v>1026000</v>
      </c>
      <c r="J58" s="90">
        <f t="shared" si="2"/>
        <v>130</v>
      </c>
      <c r="K58" s="90">
        <f t="shared" si="3"/>
        <v>130</v>
      </c>
      <c r="L58" s="90">
        <f t="shared" si="4"/>
        <v>130</v>
      </c>
      <c r="M58" s="91" t="s">
        <v>218</v>
      </c>
      <c r="N58" s="59" t="str">
        <f t="shared" si="0"/>
        <v>Autos - Singles|Autographs|A-LL|Base</v>
      </c>
      <c r="O58" s="59">
        <f t="shared" si="1"/>
        <v>130</v>
      </c>
    </row>
    <row r="59" spans="1:15" ht="30" customHeight="1" x14ac:dyDescent="0.25">
      <c r="A59" s="90" t="s">
        <v>37</v>
      </c>
      <c r="B59" s="90" t="s">
        <v>214</v>
      </c>
      <c r="C59" s="90" t="s">
        <v>279</v>
      </c>
      <c r="D59" s="91" t="s">
        <v>280</v>
      </c>
      <c r="E59" s="90" t="s">
        <v>60</v>
      </c>
      <c r="F59" s="90">
        <v>120</v>
      </c>
      <c r="G59" s="90" t="s">
        <v>217</v>
      </c>
      <c r="H59" s="90">
        <v>66</v>
      </c>
      <c r="I59" s="90">
        <f>'Odds &amp; Rarity'!$D$13</f>
        <v>1026000</v>
      </c>
      <c r="J59" s="90">
        <f t="shared" si="2"/>
        <v>130</v>
      </c>
      <c r="K59" s="90">
        <f t="shared" si="3"/>
        <v>130</v>
      </c>
      <c r="L59" s="90">
        <f t="shared" si="4"/>
        <v>130</v>
      </c>
      <c r="M59" s="91" t="s">
        <v>218</v>
      </c>
      <c r="N59" s="59" t="str">
        <f t="shared" si="0"/>
        <v>Autos - Singles|Autographs|A-LR|Base</v>
      </c>
      <c r="O59" s="59">
        <f t="shared" si="1"/>
        <v>130</v>
      </c>
    </row>
    <row r="60" spans="1:15" ht="30" customHeight="1" x14ac:dyDescent="0.25">
      <c r="A60" s="90" t="s">
        <v>37</v>
      </c>
      <c r="B60" s="90" t="s">
        <v>214</v>
      </c>
      <c r="C60" s="90" t="s">
        <v>281</v>
      </c>
      <c r="D60" s="91" t="s">
        <v>276</v>
      </c>
      <c r="E60" s="90" t="s">
        <v>60</v>
      </c>
      <c r="F60" s="90">
        <v>120</v>
      </c>
      <c r="G60" s="90" t="s">
        <v>217</v>
      </c>
      <c r="H60" s="90">
        <v>66</v>
      </c>
      <c r="I60" s="90">
        <f>'Odds &amp; Rarity'!$D$13</f>
        <v>1026000</v>
      </c>
      <c r="J60" s="90">
        <f t="shared" si="2"/>
        <v>130</v>
      </c>
      <c r="K60" s="90">
        <f t="shared" si="3"/>
        <v>130</v>
      </c>
      <c r="L60" s="90">
        <f t="shared" si="4"/>
        <v>130</v>
      </c>
      <c r="M60" s="91" t="s">
        <v>218</v>
      </c>
      <c r="N60" s="59" t="str">
        <f t="shared" si="0"/>
        <v>Autos - Singles|Autographs|A-LZ|Base</v>
      </c>
      <c r="O60" s="59">
        <f t="shared" si="1"/>
        <v>130</v>
      </c>
    </row>
    <row r="61" spans="1:15" ht="30" customHeight="1" x14ac:dyDescent="0.25">
      <c r="A61" s="90" t="s">
        <v>37</v>
      </c>
      <c r="B61" s="90" t="s">
        <v>214</v>
      </c>
      <c r="C61" s="90" t="s">
        <v>282</v>
      </c>
      <c r="D61" s="91" t="s">
        <v>283</v>
      </c>
      <c r="E61" s="90" t="s">
        <v>60</v>
      </c>
      <c r="F61" s="90">
        <v>120</v>
      </c>
      <c r="G61" s="90" t="s">
        <v>217</v>
      </c>
      <c r="H61" s="90">
        <v>66</v>
      </c>
      <c r="I61" s="90">
        <f>'Odds &amp; Rarity'!$D$13</f>
        <v>1026000</v>
      </c>
      <c r="J61" s="90">
        <f t="shared" si="2"/>
        <v>130</v>
      </c>
      <c r="K61" s="90">
        <f t="shared" si="3"/>
        <v>130</v>
      </c>
      <c r="L61" s="90">
        <f t="shared" si="4"/>
        <v>130</v>
      </c>
      <c r="M61" s="91" t="s">
        <v>218</v>
      </c>
      <c r="N61" s="59" t="str">
        <f t="shared" si="0"/>
        <v>Autos - Singles|Autographs|A-MB|Base</v>
      </c>
      <c r="O61" s="59">
        <f t="shared" si="1"/>
        <v>130</v>
      </c>
    </row>
    <row r="62" spans="1:15" ht="30" customHeight="1" x14ac:dyDescent="0.25">
      <c r="A62" s="90" t="s">
        <v>37</v>
      </c>
      <c r="B62" s="90" t="s">
        <v>214</v>
      </c>
      <c r="C62" s="90" t="s">
        <v>284</v>
      </c>
      <c r="D62" s="91" t="s">
        <v>285</v>
      </c>
      <c r="E62" s="90" t="s">
        <v>176</v>
      </c>
      <c r="F62" s="90">
        <v>120</v>
      </c>
      <c r="G62" s="90" t="s">
        <v>217</v>
      </c>
      <c r="H62" s="90">
        <v>66</v>
      </c>
      <c r="I62" s="90">
        <f>'Odds &amp; Rarity'!$D$13</f>
        <v>1026000</v>
      </c>
      <c r="J62" s="90">
        <f t="shared" si="2"/>
        <v>130</v>
      </c>
      <c r="K62" s="90">
        <f t="shared" si="3"/>
        <v>130</v>
      </c>
      <c r="L62" s="90">
        <f t="shared" si="4"/>
        <v>130</v>
      </c>
      <c r="M62" s="91" t="s">
        <v>218</v>
      </c>
      <c r="N62" s="59" t="str">
        <f t="shared" si="0"/>
        <v>Autos - Singles|Autographs|A-MC|Inscribed</v>
      </c>
      <c r="O62" s="59">
        <f t="shared" si="1"/>
        <v>130</v>
      </c>
    </row>
    <row r="63" spans="1:15" ht="30" customHeight="1" x14ac:dyDescent="0.25">
      <c r="A63" s="90" t="s">
        <v>37</v>
      </c>
      <c r="B63" s="90" t="s">
        <v>214</v>
      </c>
      <c r="C63" s="90" t="s">
        <v>286</v>
      </c>
      <c r="D63" s="91" t="s">
        <v>234</v>
      </c>
      <c r="E63" s="90" t="s">
        <v>60</v>
      </c>
      <c r="F63" s="90">
        <v>120</v>
      </c>
      <c r="G63" s="90" t="s">
        <v>217</v>
      </c>
      <c r="H63" s="90">
        <v>66</v>
      </c>
      <c r="I63" s="90">
        <f>'Odds &amp; Rarity'!$D$13</f>
        <v>1026000</v>
      </c>
      <c r="J63" s="90">
        <f t="shared" si="2"/>
        <v>130</v>
      </c>
      <c r="K63" s="90">
        <f t="shared" si="3"/>
        <v>130</v>
      </c>
      <c r="L63" s="90">
        <f t="shared" si="4"/>
        <v>130</v>
      </c>
      <c r="M63" s="91" t="s">
        <v>218</v>
      </c>
      <c r="N63" s="59" t="str">
        <f t="shared" si="0"/>
        <v>Autos - Singles|Autographs|A-MI|Base</v>
      </c>
      <c r="O63" s="59">
        <f t="shared" si="1"/>
        <v>130</v>
      </c>
    </row>
    <row r="64" spans="1:15" ht="30" customHeight="1" x14ac:dyDescent="0.25">
      <c r="A64" s="90" t="s">
        <v>37</v>
      </c>
      <c r="B64" s="90" t="s">
        <v>214</v>
      </c>
      <c r="C64" s="90" t="s">
        <v>287</v>
      </c>
      <c r="D64" s="91" t="s">
        <v>288</v>
      </c>
      <c r="E64" s="90" t="s">
        <v>60</v>
      </c>
      <c r="F64" s="90">
        <v>120</v>
      </c>
      <c r="G64" s="90" t="s">
        <v>217</v>
      </c>
      <c r="H64" s="90">
        <v>66</v>
      </c>
      <c r="I64" s="90">
        <f>'Odds &amp; Rarity'!$D$13</f>
        <v>1026000</v>
      </c>
      <c r="J64" s="90">
        <f t="shared" si="2"/>
        <v>130</v>
      </c>
      <c r="K64" s="90">
        <f t="shared" si="3"/>
        <v>130</v>
      </c>
      <c r="L64" s="90">
        <f t="shared" si="4"/>
        <v>130</v>
      </c>
      <c r="M64" s="91" t="s">
        <v>218</v>
      </c>
      <c r="N64" s="59" t="str">
        <f t="shared" si="0"/>
        <v>Autos - Singles|Autographs|A-MK|Base</v>
      </c>
      <c r="O64" s="59">
        <f t="shared" si="1"/>
        <v>130</v>
      </c>
    </row>
    <row r="65" spans="1:15" ht="30" customHeight="1" x14ac:dyDescent="0.25">
      <c r="A65" s="90" t="s">
        <v>37</v>
      </c>
      <c r="B65" s="90" t="s">
        <v>214</v>
      </c>
      <c r="C65" s="90" t="s">
        <v>289</v>
      </c>
      <c r="D65" s="91" t="s">
        <v>248</v>
      </c>
      <c r="E65" s="90" t="s">
        <v>60</v>
      </c>
      <c r="F65" s="90">
        <v>120</v>
      </c>
      <c r="G65" s="90" t="s">
        <v>217</v>
      </c>
      <c r="H65" s="90">
        <v>66</v>
      </c>
      <c r="I65" s="90">
        <f>'Odds &amp; Rarity'!$D$13</f>
        <v>1026000</v>
      </c>
      <c r="J65" s="90">
        <f t="shared" si="2"/>
        <v>130</v>
      </c>
      <c r="K65" s="90">
        <f t="shared" si="3"/>
        <v>130</v>
      </c>
      <c r="L65" s="90">
        <f t="shared" si="4"/>
        <v>130</v>
      </c>
      <c r="M65" s="91" t="s">
        <v>218</v>
      </c>
      <c r="N65" s="59" t="str">
        <f t="shared" si="0"/>
        <v>Autos - Singles|Autographs|A-MO|Base</v>
      </c>
      <c r="O65" s="59">
        <f t="shared" si="1"/>
        <v>130</v>
      </c>
    </row>
    <row r="66" spans="1:15" ht="30" customHeight="1" x14ac:dyDescent="0.25">
      <c r="A66" s="90" t="s">
        <v>37</v>
      </c>
      <c r="B66" s="90" t="s">
        <v>214</v>
      </c>
      <c r="C66" s="90" t="s">
        <v>290</v>
      </c>
      <c r="D66" s="91" t="s">
        <v>288</v>
      </c>
      <c r="E66" s="90" t="s">
        <v>60</v>
      </c>
      <c r="F66" s="90">
        <v>120</v>
      </c>
      <c r="G66" s="90" t="s">
        <v>217</v>
      </c>
      <c r="H66" s="90">
        <v>66</v>
      </c>
      <c r="I66" s="90">
        <f>'Odds &amp; Rarity'!$D$13</f>
        <v>1026000</v>
      </c>
      <c r="J66" s="90">
        <f t="shared" si="2"/>
        <v>130</v>
      </c>
      <c r="K66" s="90">
        <f t="shared" si="3"/>
        <v>130</v>
      </c>
      <c r="L66" s="90">
        <f t="shared" si="4"/>
        <v>130</v>
      </c>
      <c r="M66" s="91" t="s">
        <v>218</v>
      </c>
      <c r="N66" s="59" t="str">
        <f t="shared" ref="N66:N129" si="5">IF($A66="","",$A66&amp;"|"&amp;$B66&amp;"|"&amp;$C66&amp;"|"&amp;$E66)</f>
        <v>Autos - Singles|Autographs|A-MS|Base</v>
      </c>
      <c r="O66" s="59">
        <f t="shared" ref="O66:O129" si="6">IF($A66="","",$J66)</f>
        <v>130</v>
      </c>
    </row>
    <row r="67" spans="1:15" ht="30" customHeight="1" x14ac:dyDescent="0.25">
      <c r="A67" s="90" t="s">
        <v>37</v>
      </c>
      <c r="B67" s="90" t="s">
        <v>214</v>
      </c>
      <c r="C67" s="90" t="s">
        <v>291</v>
      </c>
      <c r="D67" s="91" t="s">
        <v>288</v>
      </c>
      <c r="E67" s="90" t="s">
        <v>60</v>
      </c>
      <c r="F67" s="90">
        <v>120</v>
      </c>
      <c r="G67" s="90" t="s">
        <v>217</v>
      </c>
      <c r="H67" s="90">
        <v>66</v>
      </c>
      <c r="I67" s="90">
        <f>'Odds &amp; Rarity'!$D$13</f>
        <v>1026000</v>
      </c>
      <c r="J67" s="90">
        <f t="shared" si="2"/>
        <v>130</v>
      </c>
      <c r="K67" s="90">
        <f t="shared" si="3"/>
        <v>130</v>
      </c>
      <c r="L67" s="90">
        <f t="shared" si="4"/>
        <v>130</v>
      </c>
      <c r="M67" s="91" t="s">
        <v>218</v>
      </c>
      <c r="N67" s="59" t="str">
        <f t="shared" si="5"/>
        <v>Autos - Singles|Autographs|A-MT|Base</v>
      </c>
      <c r="O67" s="59">
        <f t="shared" si="6"/>
        <v>130</v>
      </c>
    </row>
    <row r="68" spans="1:15" ht="30" customHeight="1" x14ac:dyDescent="0.25">
      <c r="A68" s="90" t="s">
        <v>37</v>
      </c>
      <c r="B68" s="90" t="s">
        <v>214</v>
      </c>
      <c r="C68" s="90" t="s">
        <v>292</v>
      </c>
      <c r="D68" s="91" t="s">
        <v>283</v>
      </c>
      <c r="E68" s="90" t="s">
        <v>60</v>
      </c>
      <c r="F68" s="90">
        <v>120</v>
      </c>
      <c r="G68" s="90" t="s">
        <v>217</v>
      </c>
      <c r="H68" s="90">
        <v>66</v>
      </c>
      <c r="I68" s="90">
        <f>'Odds &amp; Rarity'!$D$13</f>
        <v>1026000</v>
      </c>
      <c r="J68" s="90">
        <f t="shared" ref="J68:J131" si="7">IF(OR(I68="",F68="",H68=""),"",ROUND(I68/(F68*H68),0))</f>
        <v>130</v>
      </c>
      <c r="K68" s="90">
        <f t="shared" ref="K68:K131" si="8">J68</f>
        <v>130</v>
      </c>
      <c r="L68" s="90">
        <f t="shared" ref="L68:L131" si="9">J68</f>
        <v>130</v>
      </c>
      <c r="M68" s="91" t="s">
        <v>218</v>
      </c>
      <c r="N68" s="59" t="str">
        <f t="shared" si="5"/>
        <v>Autos - Singles|Autographs|A-NA|Base</v>
      </c>
      <c r="O68" s="59">
        <f t="shared" si="6"/>
        <v>130</v>
      </c>
    </row>
    <row r="69" spans="1:15" ht="30" customHeight="1" x14ac:dyDescent="0.25">
      <c r="A69" s="90" t="s">
        <v>37</v>
      </c>
      <c r="B69" s="90" t="s">
        <v>214</v>
      </c>
      <c r="C69" s="90" t="s">
        <v>293</v>
      </c>
      <c r="D69" s="91" t="s">
        <v>222</v>
      </c>
      <c r="E69" s="90" t="s">
        <v>60</v>
      </c>
      <c r="F69" s="90">
        <v>120</v>
      </c>
      <c r="G69" s="90" t="s">
        <v>217</v>
      </c>
      <c r="H69" s="90">
        <v>66</v>
      </c>
      <c r="I69" s="90">
        <f>'Odds &amp; Rarity'!$D$13</f>
        <v>1026000</v>
      </c>
      <c r="J69" s="90">
        <f t="shared" si="7"/>
        <v>130</v>
      </c>
      <c r="K69" s="90">
        <f t="shared" si="8"/>
        <v>130</v>
      </c>
      <c r="L69" s="90">
        <f t="shared" si="9"/>
        <v>130</v>
      </c>
      <c r="M69" s="91" t="s">
        <v>218</v>
      </c>
      <c r="N69" s="59" t="str">
        <f t="shared" si="5"/>
        <v>Autos - Singles|Autographs|A-NE|Base</v>
      </c>
      <c r="O69" s="59">
        <f t="shared" si="6"/>
        <v>130</v>
      </c>
    </row>
    <row r="70" spans="1:15" ht="30" customHeight="1" x14ac:dyDescent="0.25">
      <c r="A70" s="90" t="s">
        <v>37</v>
      </c>
      <c r="B70" s="90" t="s">
        <v>214</v>
      </c>
      <c r="C70" s="90" t="s">
        <v>294</v>
      </c>
      <c r="D70" s="91" t="s">
        <v>283</v>
      </c>
      <c r="E70" s="90" t="s">
        <v>60</v>
      </c>
      <c r="F70" s="90">
        <v>120</v>
      </c>
      <c r="G70" s="90" t="s">
        <v>217</v>
      </c>
      <c r="H70" s="90">
        <v>66</v>
      </c>
      <c r="I70" s="90">
        <f>'Odds &amp; Rarity'!$D$13</f>
        <v>1026000</v>
      </c>
      <c r="J70" s="90">
        <f t="shared" si="7"/>
        <v>130</v>
      </c>
      <c r="K70" s="90">
        <f t="shared" si="8"/>
        <v>130</v>
      </c>
      <c r="L70" s="90">
        <f t="shared" si="9"/>
        <v>130</v>
      </c>
      <c r="M70" s="91" t="s">
        <v>218</v>
      </c>
      <c r="N70" s="59" t="str">
        <f t="shared" si="5"/>
        <v>Autos - Singles|Autographs|A-NL|Base</v>
      </c>
      <c r="O70" s="59">
        <f t="shared" si="6"/>
        <v>130</v>
      </c>
    </row>
    <row r="71" spans="1:15" ht="30" customHeight="1" x14ac:dyDescent="0.25">
      <c r="A71" s="90" t="s">
        <v>37</v>
      </c>
      <c r="B71" s="90" t="s">
        <v>214</v>
      </c>
      <c r="C71" s="90" t="s">
        <v>295</v>
      </c>
      <c r="D71" s="91" t="s">
        <v>283</v>
      </c>
      <c r="E71" s="90" t="s">
        <v>60</v>
      </c>
      <c r="F71" s="90">
        <v>120</v>
      </c>
      <c r="G71" s="90" t="s">
        <v>217</v>
      </c>
      <c r="H71" s="90">
        <v>66</v>
      </c>
      <c r="I71" s="90">
        <f>'Odds &amp; Rarity'!$D$13</f>
        <v>1026000</v>
      </c>
      <c r="J71" s="90">
        <f t="shared" si="7"/>
        <v>130</v>
      </c>
      <c r="K71" s="90">
        <f t="shared" si="8"/>
        <v>130</v>
      </c>
      <c r="L71" s="90">
        <f t="shared" si="9"/>
        <v>130</v>
      </c>
      <c r="M71" s="91" t="s">
        <v>218</v>
      </c>
      <c r="N71" s="59" t="str">
        <f t="shared" si="5"/>
        <v>Autos - Singles|Autographs|A-NM|Base</v>
      </c>
      <c r="O71" s="59">
        <f t="shared" si="6"/>
        <v>130</v>
      </c>
    </row>
    <row r="72" spans="1:15" ht="30" customHeight="1" x14ac:dyDescent="0.25">
      <c r="A72" s="90" t="s">
        <v>37</v>
      </c>
      <c r="B72" s="90" t="s">
        <v>214</v>
      </c>
      <c r="C72" s="90" t="s">
        <v>296</v>
      </c>
      <c r="D72" s="91" t="s">
        <v>297</v>
      </c>
      <c r="E72" s="90" t="s">
        <v>176</v>
      </c>
      <c r="F72" s="90">
        <v>120</v>
      </c>
      <c r="G72" s="90" t="s">
        <v>217</v>
      </c>
      <c r="H72" s="90">
        <v>66</v>
      </c>
      <c r="I72" s="90">
        <f>'Odds &amp; Rarity'!$D$13</f>
        <v>1026000</v>
      </c>
      <c r="J72" s="90">
        <f t="shared" si="7"/>
        <v>130</v>
      </c>
      <c r="K72" s="90">
        <f t="shared" si="8"/>
        <v>130</v>
      </c>
      <c r="L72" s="90">
        <f t="shared" si="9"/>
        <v>130</v>
      </c>
      <c r="M72" s="91" t="s">
        <v>218</v>
      </c>
      <c r="N72" s="59" t="str">
        <f t="shared" si="5"/>
        <v>Autos - Singles|Autographs|A-QD|Inscribed</v>
      </c>
      <c r="O72" s="59">
        <f t="shared" si="6"/>
        <v>130</v>
      </c>
    </row>
    <row r="73" spans="1:15" ht="30" customHeight="1" x14ac:dyDescent="0.25">
      <c r="A73" s="90" t="s">
        <v>37</v>
      </c>
      <c r="B73" s="90" t="s">
        <v>214</v>
      </c>
      <c r="C73" s="90" t="s">
        <v>298</v>
      </c>
      <c r="D73" s="91" t="s">
        <v>299</v>
      </c>
      <c r="E73" s="90" t="s">
        <v>176</v>
      </c>
      <c r="F73" s="90">
        <v>120</v>
      </c>
      <c r="G73" s="90" t="s">
        <v>217</v>
      </c>
      <c r="H73" s="90">
        <v>66</v>
      </c>
      <c r="I73" s="90">
        <f>'Odds &amp; Rarity'!$D$13</f>
        <v>1026000</v>
      </c>
      <c r="J73" s="90">
        <f t="shared" si="7"/>
        <v>130</v>
      </c>
      <c r="K73" s="90">
        <f t="shared" si="8"/>
        <v>130</v>
      </c>
      <c r="L73" s="90">
        <f t="shared" si="9"/>
        <v>130</v>
      </c>
      <c r="M73" s="91" t="s">
        <v>218</v>
      </c>
      <c r="N73" s="59" t="str">
        <f t="shared" si="5"/>
        <v>Autos - Singles|Autographs|A-RO|Inscribed</v>
      </c>
      <c r="O73" s="59">
        <f t="shared" si="6"/>
        <v>130</v>
      </c>
    </row>
    <row r="74" spans="1:15" ht="30" customHeight="1" x14ac:dyDescent="0.25">
      <c r="A74" s="90" t="s">
        <v>37</v>
      </c>
      <c r="B74" s="90" t="s">
        <v>214</v>
      </c>
      <c r="C74" s="90" t="s">
        <v>300</v>
      </c>
      <c r="D74" s="91" t="s">
        <v>301</v>
      </c>
      <c r="E74" s="90" t="s">
        <v>60</v>
      </c>
      <c r="F74" s="90">
        <v>120</v>
      </c>
      <c r="G74" s="90" t="s">
        <v>217</v>
      </c>
      <c r="H74" s="90">
        <v>66</v>
      </c>
      <c r="I74" s="90">
        <f>'Odds &amp; Rarity'!$D$13</f>
        <v>1026000</v>
      </c>
      <c r="J74" s="90">
        <f t="shared" si="7"/>
        <v>130</v>
      </c>
      <c r="K74" s="90">
        <f t="shared" si="8"/>
        <v>130</v>
      </c>
      <c r="L74" s="90">
        <f t="shared" si="9"/>
        <v>130</v>
      </c>
      <c r="M74" s="91" t="s">
        <v>218</v>
      </c>
      <c r="N74" s="59" t="str">
        <f t="shared" si="5"/>
        <v>Autos - Singles|Autographs|A-SA|Base</v>
      </c>
      <c r="O74" s="59">
        <f t="shared" si="6"/>
        <v>130</v>
      </c>
    </row>
    <row r="75" spans="1:15" ht="30" customHeight="1" x14ac:dyDescent="0.25">
      <c r="A75" s="90" t="s">
        <v>37</v>
      </c>
      <c r="B75" s="90" t="s">
        <v>214</v>
      </c>
      <c r="C75" s="90" t="s">
        <v>302</v>
      </c>
      <c r="D75" s="91" t="s">
        <v>303</v>
      </c>
      <c r="E75" s="90" t="s">
        <v>176</v>
      </c>
      <c r="F75" s="90">
        <v>120</v>
      </c>
      <c r="G75" s="90" t="s">
        <v>217</v>
      </c>
      <c r="H75" s="90">
        <v>66</v>
      </c>
      <c r="I75" s="90">
        <f>'Odds &amp; Rarity'!$D$13</f>
        <v>1026000</v>
      </c>
      <c r="J75" s="90">
        <f t="shared" si="7"/>
        <v>130</v>
      </c>
      <c r="K75" s="90">
        <f t="shared" si="8"/>
        <v>130</v>
      </c>
      <c r="L75" s="90">
        <f t="shared" si="9"/>
        <v>130</v>
      </c>
      <c r="M75" s="91" t="s">
        <v>218</v>
      </c>
      <c r="N75" s="59" t="str">
        <f t="shared" si="5"/>
        <v>Autos - Singles|Autographs|A-SH|Inscribed</v>
      </c>
      <c r="O75" s="59">
        <f t="shared" si="6"/>
        <v>130</v>
      </c>
    </row>
    <row r="76" spans="1:15" ht="30" customHeight="1" x14ac:dyDescent="0.25">
      <c r="A76" s="90" t="s">
        <v>37</v>
      </c>
      <c r="B76" s="90" t="s">
        <v>214</v>
      </c>
      <c r="C76" s="90" t="s">
        <v>304</v>
      </c>
      <c r="D76" s="91" t="s">
        <v>305</v>
      </c>
      <c r="E76" s="90" t="s">
        <v>176</v>
      </c>
      <c r="F76" s="90">
        <v>120</v>
      </c>
      <c r="G76" s="90" t="s">
        <v>217</v>
      </c>
      <c r="H76" s="90">
        <v>66</v>
      </c>
      <c r="I76" s="90">
        <f>'Odds &amp; Rarity'!$D$13</f>
        <v>1026000</v>
      </c>
      <c r="J76" s="90">
        <f t="shared" si="7"/>
        <v>130</v>
      </c>
      <c r="K76" s="90">
        <f t="shared" si="8"/>
        <v>130</v>
      </c>
      <c r="L76" s="90">
        <f t="shared" si="9"/>
        <v>130</v>
      </c>
      <c r="M76" s="91" t="s">
        <v>218</v>
      </c>
      <c r="N76" s="59" t="str">
        <f t="shared" si="5"/>
        <v>Autos - Singles|Autographs|A-SM|Inscribed</v>
      </c>
      <c r="O76" s="59">
        <f t="shared" si="6"/>
        <v>130</v>
      </c>
    </row>
    <row r="77" spans="1:15" ht="30" customHeight="1" x14ac:dyDescent="0.25">
      <c r="A77" s="90" t="s">
        <v>37</v>
      </c>
      <c r="B77" s="90" t="s">
        <v>214</v>
      </c>
      <c r="C77" s="90" t="s">
        <v>306</v>
      </c>
      <c r="D77" s="91" t="s">
        <v>222</v>
      </c>
      <c r="E77" s="90" t="s">
        <v>60</v>
      </c>
      <c r="F77" s="90">
        <v>120</v>
      </c>
      <c r="G77" s="90" t="s">
        <v>217</v>
      </c>
      <c r="H77" s="90">
        <v>66</v>
      </c>
      <c r="I77" s="90">
        <f>'Odds &amp; Rarity'!$D$13</f>
        <v>1026000</v>
      </c>
      <c r="J77" s="90">
        <f t="shared" si="7"/>
        <v>130</v>
      </c>
      <c r="K77" s="90">
        <f t="shared" si="8"/>
        <v>130</v>
      </c>
      <c r="L77" s="90">
        <f t="shared" si="9"/>
        <v>130</v>
      </c>
      <c r="M77" s="91" t="s">
        <v>218</v>
      </c>
      <c r="N77" s="59" t="str">
        <f t="shared" si="5"/>
        <v>Autos - Singles|Autographs|A-SR|Base</v>
      </c>
      <c r="O77" s="59">
        <f t="shared" si="6"/>
        <v>130</v>
      </c>
    </row>
    <row r="78" spans="1:15" ht="30" customHeight="1" x14ac:dyDescent="0.25">
      <c r="A78" s="90" t="s">
        <v>37</v>
      </c>
      <c r="B78" s="90" t="s">
        <v>214</v>
      </c>
      <c r="C78" s="90" t="s">
        <v>307</v>
      </c>
      <c r="D78" s="91" t="s">
        <v>308</v>
      </c>
      <c r="E78" s="90" t="s">
        <v>60</v>
      </c>
      <c r="F78" s="90">
        <v>120</v>
      </c>
      <c r="G78" s="90" t="s">
        <v>217</v>
      </c>
      <c r="H78" s="90">
        <v>66</v>
      </c>
      <c r="I78" s="90">
        <f>'Odds &amp; Rarity'!$D$13</f>
        <v>1026000</v>
      </c>
      <c r="J78" s="90">
        <f t="shared" si="7"/>
        <v>130</v>
      </c>
      <c r="K78" s="90">
        <f t="shared" si="8"/>
        <v>130</v>
      </c>
      <c r="L78" s="90">
        <f t="shared" si="9"/>
        <v>130</v>
      </c>
      <c r="M78" s="91" t="s">
        <v>218</v>
      </c>
      <c r="N78" s="59" t="str">
        <f t="shared" si="5"/>
        <v>Autos - Singles|Autographs|A-SS|Base</v>
      </c>
      <c r="O78" s="59">
        <f t="shared" si="6"/>
        <v>130</v>
      </c>
    </row>
    <row r="79" spans="1:15" ht="30" customHeight="1" x14ac:dyDescent="0.25">
      <c r="A79" s="90" t="s">
        <v>37</v>
      </c>
      <c r="B79" s="90" t="s">
        <v>214</v>
      </c>
      <c r="C79" s="90" t="s">
        <v>309</v>
      </c>
      <c r="D79" s="91" t="s">
        <v>222</v>
      </c>
      <c r="E79" s="90" t="s">
        <v>60</v>
      </c>
      <c r="F79" s="90">
        <v>120</v>
      </c>
      <c r="G79" s="90" t="s">
        <v>217</v>
      </c>
      <c r="H79" s="90">
        <v>66</v>
      </c>
      <c r="I79" s="90">
        <f>'Odds &amp; Rarity'!$D$13</f>
        <v>1026000</v>
      </c>
      <c r="J79" s="90">
        <f t="shared" si="7"/>
        <v>130</v>
      </c>
      <c r="K79" s="90">
        <f t="shared" si="8"/>
        <v>130</v>
      </c>
      <c r="L79" s="90">
        <f t="shared" si="9"/>
        <v>130</v>
      </c>
      <c r="M79" s="91" t="s">
        <v>218</v>
      </c>
      <c r="N79" s="59" t="str">
        <f t="shared" si="5"/>
        <v>Autos - Singles|Autographs|A-ST|Base</v>
      </c>
      <c r="O79" s="59">
        <f t="shared" si="6"/>
        <v>130</v>
      </c>
    </row>
    <row r="80" spans="1:15" ht="30" customHeight="1" x14ac:dyDescent="0.25">
      <c r="A80" s="90" t="s">
        <v>37</v>
      </c>
      <c r="B80" s="90" t="s">
        <v>214</v>
      </c>
      <c r="C80" s="90" t="s">
        <v>310</v>
      </c>
      <c r="D80" s="91" t="s">
        <v>308</v>
      </c>
      <c r="E80" s="90" t="s">
        <v>60</v>
      </c>
      <c r="F80" s="90">
        <v>120</v>
      </c>
      <c r="G80" s="90" t="s">
        <v>217</v>
      </c>
      <c r="H80" s="90">
        <v>66</v>
      </c>
      <c r="I80" s="90">
        <f>'Odds &amp; Rarity'!$D$13</f>
        <v>1026000</v>
      </c>
      <c r="J80" s="90">
        <f t="shared" si="7"/>
        <v>130</v>
      </c>
      <c r="K80" s="90">
        <f t="shared" si="8"/>
        <v>130</v>
      </c>
      <c r="L80" s="90">
        <f t="shared" si="9"/>
        <v>130</v>
      </c>
      <c r="M80" s="91" t="s">
        <v>218</v>
      </c>
      <c r="N80" s="59" t="str">
        <f t="shared" si="5"/>
        <v>Autos - Singles|Autographs|A-SV|Base</v>
      </c>
      <c r="O80" s="59">
        <f t="shared" si="6"/>
        <v>130</v>
      </c>
    </row>
    <row r="81" spans="1:15" ht="30" customHeight="1" x14ac:dyDescent="0.25">
      <c r="A81" s="90" t="s">
        <v>37</v>
      </c>
      <c r="B81" s="90" t="s">
        <v>214</v>
      </c>
      <c r="C81" s="90" t="s">
        <v>311</v>
      </c>
      <c r="D81" s="91" t="s">
        <v>288</v>
      </c>
      <c r="E81" s="90" t="s">
        <v>60</v>
      </c>
      <c r="F81" s="90">
        <v>120</v>
      </c>
      <c r="G81" s="90" t="s">
        <v>217</v>
      </c>
      <c r="H81" s="90">
        <v>66</v>
      </c>
      <c r="I81" s="90">
        <f>'Odds &amp; Rarity'!$D$13</f>
        <v>1026000</v>
      </c>
      <c r="J81" s="90">
        <f t="shared" si="7"/>
        <v>130</v>
      </c>
      <c r="K81" s="90">
        <f t="shared" si="8"/>
        <v>130</v>
      </c>
      <c r="L81" s="90">
        <f t="shared" si="9"/>
        <v>130</v>
      </c>
      <c r="M81" s="91" t="s">
        <v>218</v>
      </c>
      <c r="N81" s="59" t="str">
        <f t="shared" si="5"/>
        <v>Autos - Singles|Autographs|A-TB|Base</v>
      </c>
      <c r="O81" s="59">
        <f t="shared" si="6"/>
        <v>130</v>
      </c>
    </row>
    <row r="82" spans="1:15" ht="30" customHeight="1" x14ac:dyDescent="0.25">
      <c r="A82" s="90" t="s">
        <v>37</v>
      </c>
      <c r="B82" s="90" t="s">
        <v>214</v>
      </c>
      <c r="C82" s="90" t="s">
        <v>312</v>
      </c>
      <c r="D82" s="91" t="s">
        <v>238</v>
      </c>
      <c r="E82" s="90" t="s">
        <v>60</v>
      </c>
      <c r="F82" s="90">
        <v>120</v>
      </c>
      <c r="G82" s="90" t="s">
        <v>217</v>
      </c>
      <c r="H82" s="90">
        <v>66</v>
      </c>
      <c r="I82" s="90">
        <f>'Odds &amp; Rarity'!$D$13</f>
        <v>1026000</v>
      </c>
      <c r="J82" s="90">
        <f t="shared" si="7"/>
        <v>130</v>
      </c>
      <c r="K82" s="90">
        <f t="shared" si="8"/>
        <v>130</v>
      </c>
      <c r="L82" s="90">
        <f t="shared" si="9"/>
        <v>130</v>
      </c>
      <c r="M82" s="91" t="s">
        <v>218</v>
      </c>
      <c r="N82" s="59" t="str">
        <f t="shared" si="5"/>
        <v>Autos - Singles|Autographs|A-TC|Base</v>
      </c>
      <c r="O82" s="59">
        <f t="shared" si="6"/>
        <v>130</v>
      </c>
    </row>
    <row r="83" spans="1:15" ht="30" customHeight="1" x14ac:dyDescent="0.25">
      <c r="A83" s="90" t="s">
        <v>37</v>
      </c>
      <c r="B83" s="90" t="s">
        <v>214</v>
      </c>
      <c r="C83" s="90" t="s">
        <v>313</v>
      </c>
      <c r="D83" s="91" t="s">
        <v>274</v>
      </c>
      <c r="E83" s="90" t="s">
        <v>60</v>
      </c>
      <c r="F83" s="90">
        <v>120</v>
      </c>
      <c r="G83" s="90" t="s">
        <v>217</v>
      </c>
      <c r="H83" s="90">
        <v>66</v>
      </c>
      <c r="I83" s="90">
        <f>'Odds &amp; Rarity'!$D$13</f>
        <v>1026000</v>
      </c>
      <c r="J83" s="90">
        <f t="shared" si="7"/>
        <v>130</v>
      </c>
      <c r="K83" s="90">
        <f t="shared" si="8"/>
        <v>130</v>
      </c>
      <c r="L83" s="90">
        <f t="shared" si="9"/>
        <v>130</v>
      </c>
      <c r="M83" s="91" t="s">
        <v>218</v>
      </c>
      <c r="N83" s="59" t="str">
        <f t="shared" si="5"/>
        <v>Autos - Singles|Autographs|A-UR|Base</v>
      </c>
      <c r="O83" s="59">
        <f t="shared" si="6"/>
        <v>130</v>
      </c>
    </row>
    <row r="84" spans="1:15" ht="30" customHeight="1" x14ac:dyDescent="0.25">
      <c r="A84" s="90" t="s">
        <v>37</v>
      </c>
      <c r="B84" s="90" t="s">
        <v>214</v>
      </c>
      <c r="C84" s="90" t="s">
        <v>314</v>
      </c>
      <c r="D84" s="91" t="s">
        <v>276</v>
      </c>
      <c r="E84" s="90" t="s">
        <v>60</v>
      </c>
      <c r="F84" s="90">
        <v>120</v>
      </c>
      <c r="G84" s="90" t="s">
        <v>217</v>
      </c>
      <c r="H84" s="90">
        <v>66</v>
      </c>
      <c r="I84" s="90">
        <f>'Odds &amp; Rarity'!$D$13</f>
        <v>1026000</v>
      </c>
      <c r="J84" s="90">
        <f t="shared" si="7"/>
        <v>130</v>
      </c>
      <c r="K84" s="90">
        <f t="shared" si="8"/>
        <v>130</v>
      </c>
      <c r="L84" s="90">
        <f t="shared" si="9"/>
        <v>130</v>
      </c>
      <c r="M84" s="91" t="s">
        <v>218</v>
      </c>
      <c r="N84" s="59" t="str">
        <f t="shared" si="5"/>
        <v>Autos - Singles|Autographs|A-ZA|Base</v>
      </c>
      <c r="O84" s="59">
        <f t="shared" si="6"/>
        <v>130</v>
      </c>
    </row>
    <row r="85" spans="1:15" ht="30" customHeight="1" x14ac:dyDescent="0.25">
      <c r="A85" s="90" t="s">
        <v>37</v>
      </c>
      <c r="B85" s="90" t="s">
        <v>214</v>
      </c>
      <c r="C85" s="90" t="s">
        <v>315</v>
      </c>
      <c r="D85" s="91" t="s">
        <v>276</v>
      </c>
      <c r="E85" s="90" t="s">
        <v>60</v>
      </c>
      <c r="F85" s="90">
        <v>120</v>
      </c>
      <c r="G85" s="90" t="s">
        <v>217</v>
      </c>
      <c r="H85" s="90">
        <v>66</v>
      </c>
      <c r="I85" s="90">
        <f>'Odds &amp; Rarity'!$D$13</f>
        <v>1026000</v>
      </c>
      <c r="J85" s="90">
        <f t="shared" si="7"/>
        <v>130</v>
      </c>
      <c r="K85" s="90">
        <f t="shared" si="8"/>
        <v>130</v>
      </c>
      <c r="L85" s="90">
        <f t="shared" si="9"/>
        <v>130</v>
      </c>
      <c r="M85" s="91" t="s">
        <v>218</v>
      </c>
      <c r="N85" s="59" t="str">
        <f t="shared" si="5"/>
        <v>Autos - Singles|Autographs|A-ZZ|Base</v>
      </c>
      <c r="O85" s="59">
        <f t="shared" si="6"/>
        <v>130</v>
      </c>
    </row>
    <row r="86" spans="1:15" x14ac:dyDescent="0.25">
      <c r="A86" s="90" t="s">
        <v>27</v>
      </c>
      <c r="B86" s="90" t="s">
        <v>88</v>
      </c>
      <c r="C86" s="90" t="s">
        <v>316</v>
      </c>
      <c r="D86" s="91" t="s">
        <v>317</v>
      </c>
      <c r="E86" s="90" t="s">
        <v>60</v>
      </c>
      <c r="F86" s="90">
        <v>720</v>
      </c>
      <c r="G86" s="90" t="s">
        <v>183</v>
      </c>
      <c r="H86" s="90">
        <v>10</v>
      </c>
      <c r="I86" s="90">
        <f>'Odds &amp; Rarity'!$D$13</f>
        <v>1026000</v>
      </c>
      <c r="J86" s="90">
        <f t="shared" si="7"/>
        <v>143</v>
      </c>
      <c r="K86" s="90">
        <f t="shared" si="8"/>
        <v>143</v>
      </c>
      <c r="L86" s="90">
        <f t="shared" si="9"/>
        <v>143</v>
      </c>
      <c r="M86" s="91"/>
      <c r="N86" s="59" t="str">
        <f t="shared" si="5"/>
        <v>A View From Home|A View From Home SPs|VHSP-1|Base</v>
      </c>
      <c r="O86" s="59">
        <f t="shared" si="6"/>
        <v>143</v>
      </c>
    </row>
    <row r="87" spans="1:15" x14ac:dyDescent="0.25">
      <c r="A87" s="90" t="s">
        <v>27</v>
      </c>
      <c r="B87" s="90" t="s">
        <v>88</v>
      </c>
      <c r="C87" s="90" t="s">
        <v>318</v>
      </c>
      <c r="D87" s="91" t="s">
        <v>319</v>
      </c>
      <c r="E87" s="90" t="s">
        <v>60</v>
      </c>
      <c r="F87" s="90">
        <v>720</v>
      </c>
      <c r="G87" s="90" t="s">
        <v>183</v>
      </c>
      <c r="H87" s="90">
        <v>10</v>
      </c>
      <c r="I87" s="90">
        <f>'Odds &amp; Rarity'!$D$13</f>
        <v>1026000</v>
      </c>
      <c r="J87" s="90">
        <f t="shared" si="7"/>
        <v>143</v>
      </c>
      <c r="K87" s="90">
        <f t="shared" si="8"/>
        <v>143</v>
      </c>
      <c r="L87" s="90">
        <f t="shared" si="9"/>
        <v>143</v>
      </c>
      <c r="M87" s="91"/>
      <c r="N87" s="59" t="str">
        <f t="shared" si="5"/>
        <v>A View From Home|A View From Home SPs|VHSP-10|Base</v>
      </c>
      <c r="O87" s="59">
        <f t="shared" si="6"/>
        <v>143</v>
      </c>
    </row>
    <row r="88" spans="1:15" x14ac:dyDescent="0.25">
      <c r="A88" s="90" t="s">
        <v>27</v>
      </c>
      <c r="B88" s="90" t="s">
        <v>88</v>
      </c>
      <c r="C88" s="90" t="s">
        <v>320</v>
      </c>
      <c r="D88" s="91" t="s">
        <v>321</v>
      </c>
      <c r="E88" s="90" t="s">
        <v>60</v>
      </c>
      <c r="F88" s="90">
        <v>720</v>
      </c>
      <c r="G88" s="90" t="s">
        <v>183</v>
      </c>
      <c r="H88" s="90">
        <v>10</v>
      </c>
      <c r="I88" s="90">
        <f>'Odds &amp; Rarity'!$D$13</f>
        <v>1026000</v>
      </c>
      <c r="J88" s="90">
        <f t="shared" si="7"/>
        <v>143</v>
      </c>
      <c r="K88" s="90">
        <f t="shared" si="8"/>
        <v>143</v>
      </c>
      <c r="L88" s="90">
        <f t="shared" si="9"/>
        <v>143</v>
      </c>
      <c r="M88" s="91"/>
      <c r="N88" s="59" t="str">
        <f t="shared" si="5"/>
        <v>A View From Home|A View From Home SPs|VHSP-2|Base</v>
      </c>
      <c r="O88" s="59">
        <f t="shared" si="6"/>
        <v>143</v>
      </c>
    </row>
    <row r="89" spans="1:15" x14ac:dyDescent="0.25">
      <c r="A89" s="90" t="s">
        <v>27</v>
      </c>
      <c r="B89" s="90" t="s">
        <v>88</v>
      </c>
      <c r="C89" s="90" t="s">
        <v>322</v>
      </c>
      <c r="D89" s="91" t="s">
        <v>323</v>
      </c>
      <c r="E89" s="90" t="s">
        <v>60</v>
      </c>
      <c r="F89" s="90">
        <v>720</v>
      </c>
      <c r="G89" s="90" t="s">
        <v>183</v>
      </c>
      <c r="H89" s="90">
        <v>10</v>
      </c>
      <c r="I89" s="90">
        <f>'Odds &amp; Rarity'!$D$13</f>
        <v>1026000</v>
      </c>
      <c r="J89" s="90">
        <f t="shared" si="7"/>
        <v>143</v>
      </c>
      <c r="K89" s="90">
        <f t="shared" si="8"/>
        <v>143</v>
      </c>
      <c r="L89" s="90">
        <f t="shared" si="9"/>
        <v>143</v>
      </c>
      <c r="M89" s="91"/>
      <c r="N89" s="59" t="str">
        <f t="shared" si="5"/>
        <v>A View From Home|A View From Home SPs|VHSP-3|Base</v>
      </c>
      <c r="O89" s="59">
        <f t="shared" si="6"/>
        <v>143</v>
      </c>
    </row>
    <row r="90" spans="1:15" x14ac:dyDescent="0.25">
      <c r="A90" s="90" t="s">
        <v>27</v>
      </c>
      <c r="B90" s="90" t="s">
        <v>88</v>
      </c>
      <c r="C90" s="90" t="s">
        <v>324</v>
      </c>
      <c r="D90" s="91" t="s">
        <v>325</v>
      </c>
      <c r="E90" s="90" t="s">
        <v>60</v>
      </c>
      <c r="F90" s="90">
        <v>720</v>
      </c>
      <c r="G90" s="90" t="s">
        <v>183</v>
      </c>
      <c r="H90" s="90">
        <v>10</v>
      </c>
      <c r="I90" s="90">
        <f>'Odds &amp; Rarity'!$D$13</f>
        <v>1026000</v>
      </c>
      <c r="J90" s="90">
        <f t="shared" si="7"/>
        <v>143</v>
      </c>
      <c r="K90" s="90">
        <f t="shared" si="8"/>
        <v>143</v>
      </c>
      <c r="L90" s="90">
        <f t="shared" si="9"/>
        <v>143</v>
      </c>
      <c r="M90" s="91"/>
      <c r="N90" s="59" t="str">
        <f t="shared" si="5"/>
        <v>A View From Home|A View From Home SPs|VHSP-4|Base</v>
      </c>
      <c r="O90" s="59">
        <f t="shared" si="6"/>
        <v>143</v>
      </c>
    </row>
    <row r="91" spans="1:15" x14ac:dyDescent="0.25">
      <c r="A91" s="90" t="s">
        <v>27</v>
      </c>
      <c r="B91" s="90" t="s">
        <v>88</v>
      </c>
      <c r="C91" s="90" t="s">
        <v>326</v>
      </c>
      <c r="D91" s="91" t="s">
        <v>327</v>
      </c>
      <c r="E91" s="90" t="s">
        <v>60</v>
      </c>
      <c r="F91" s="90">
        <v>720</v>
      </c>
      <c r="G91" s="90" t="s">
        <v>183</v>
      </c>
      <c r="H91" s="90">
        <v>10</v>
      </c>
      <c r="I91" s="90">
        <f>'Odds &amp; Rarity'!$D$13</f>
        <v>1026000</v>
      </c>
      <c r="J91" s="90">
        <f t="shared" si="7"/>
        <v>143</v>
      </c>
      <c r="K91" s="90">
        <f t="shared" si="8"/>
        <v>143</v>
      </c>
      <c r="L91" s="90">
        <f t="shared" si="9"/>
        <v>143</v>
      </c>
      <c r="M91" s="91"/>
      <c r="N91" s="59" t="str">
        <f t="shared" si="5"/>
        <v>A View From Home|A View From Home SPs|VHSP-5|Base</v>
      </c>
      <c r="O91" s="59">
        <f t="shared" si="6"/>
        <v>143</v>
      </c>
    </row>
    <row r="92" spans="1:15" x14ac:dyDescent="0.25">
      <c r="A92" s="90" t="s">
        <v>27</v>
      </c>
      <c r="B92" s="90" t="s">
        <v>88</v>
      </c>
      <c r="C92" s="90" t="s">
        <v>328</v>
      </c>
      <c r="D92" s="91" t="s">
        <v>329</v>
      </c>
      <c r="E92" s="90" t="s">
        <v>60</v>
      </c>
      <c r="F92" s="90">
        <v>720</v>
      </c>
      <c r="G92" s="90" t="s">
        <v>183</v>
      </c>
      <c r="H92" s="90">
        <v>10</v>
      </c>
      <c r="I92" s="90">
        <f>'Odds &amp; Rarity'!$D$13</f>
        <v>1026000</v>
      </c>
      <c r="J92" s="90">
        <f t="shared" si="7"/>
        <v>143</v>
      </c>
      <c r="K92" s="90">
        <f t="shared" si="8"/>
        <v>143</v>
      </c>
      <c r="L92" s="90">
        <f t="shared" si="9"/>
        <v>143</v>
      </c>
      <c r="M92" s="91"/>
      <c r="N92" s="59" t="str">
        <f t="shared" si="5"/>
        <v>A View From Home|A View From Home SPs|VHSP-6|Base</v>
      </c>
      <c r="O92" s="59">
        <f t="shared" si="6"/>
        <v>143</v>
      </c>
    </row>
    <row r="93" spans="1:15" x14ac:dyDescent="0.25">
      <c r="A93" s="90" t="s">
        <v>27</v>
      </c>
      <c r="B93" s="90" t="s">
        <v>88</v>
      </c>
      <c r="C93" s="90" t="s">
        <v>330</v>
      </c>
      <c r="D93" s="91" t="s">
        <v>331</v>
      </c>
      <c r="E93" s="90" t="s">
        <v>60</v>
      </c>
      <c r="F93" s="90">
        <v>720</v>
      </c>
      <c r="G93" s="90" t="s">
        <v>183</v>
      </c>
      <c r="H93" s="90">
        <v>10</v>
      </c>
      <c r="I93" s="90">
        <f>'Odds &amp; Rarity'!$D$13</f>
        <v>1026000</v>
      </c>
      <c r="J93" s="90">
        <f t="shared" si="7"/>
        <v>143</v>
      </c>
      <c r="K93" s="90">
        <f t="shared" si="8"/>
        <v>143</v>
      </c>
      <c r="L93" s="90">
        <f t="shared" si="9"/>
        <v>143</v>
      </c>
      <c r="M93" s="91"/>
      <c r="N93" s="59" t="str">
        <f t="shared" si="5"/>
        <v>A View From Home|A View From Home SPs|VHSP-7|Base</v>
      </c>
      <c r="O93" s="59">
        <f t="shared" si="6"/>
        <v>143</v>
      </c>
    </row>
    <row r="94" spans="1:15" x14ac:dyDescent="0.25">
      <c r="A94" s="90" t="s">
        <v>27</v>
      </c>
      <c r="B94" s="90" t="s">
        <v>88</v>
      </c>
      <c r="C94" s="90" t="s">
        <v>332</v>
      </c>
      <c r="D94" s="91" t="s">
        <v>333</v>
      </c>
      <c r="E94" s="90" t="s">
        <v>60</v>
      </c>
      <c r="F94" s="90">
        <v>720</v>
      </c>
      <c r="G94" s="90" t="s">
        <v>183</v>
      </c>
      <c r="H94" s="90">
        <v>10</v>
      </c>
      <c r="I94" s="90">
        <f>'Odds &amp; Rarity'!$D$13</f>
        <v>1026000</v>
      </c>
      <c r="J94" s="90">
        <f t="shared" si="7"/>
        <v>143</v>
      </c>
      <c r="K94" s="90">
        <f t="shared" si="8"/>
        <v>143</v>
      </c>
      <c r="L94" s="90">
        <f t="shared" si="9"/>
        <v>143</v>
      </c>
      <c r="M94" s="91"/>
      <c r="N94" s="59" t="str">
        <f t="shared" si="5"/>
        <v>A View From Home|A View From Home SPs|VHSP-8|Base</v>
      </c>
      <c r="O94" s="59">
        <f t="shared" si="6"/>
        <v>143</v>
      </c>
    </row>
    <row r="95" spans="1:15" x14ac:dyDescent="0.25">
      <c r="A95" s="90" t="s">
        <v>27</v>
      </c>
      <c r="B95" s="90" t="s">
        <v>88</v>
      </c>
      <c r="C95" s="90" t="s">
        <v>334</v>
      </c>
      <c r="D95" s="91" t="s">
        <v>335</v>
      </c>
      <c r="E95" s="90" t="s">
        <v>60</v>
      </c>
      <c r="F95" s="90">
        <v>720</v>
      </c>
      <c r="G95" s="90" t="s">
        <v>183</v>
      </c>
      <c r="H95" s="90">
        <v>10</v>
      </c>
      <c r="I95" s="90">
        <f>'Odds &amp; Rarity'!$D$13</f>
        <v>1026000</v>
      </c>
      <c r="J95" s="90">
        <f t="shared" si="7"/>
        <v>143</v>
      </c>
      <c r="K95" s="90">
        <f t="shared" si="8"/>
        <v>143</v>
      </c>
      <c r="L95" s="90">
        <f t="shared" si="9"/>
        <v>143</v>
      </c>
      <c r="M95" s="91"/>
      <c r="N95" s="59" t="str">
        <f t="shared" si="5"/>
        <v>A View From Home|A View From Home SPs|VHSP-9|Base</v>
      </c>
      <c r="O95" s="59">
        <f t="shared" si="6"/>
        <v>143</v>
      </c>
    </row>
    <row r="96" spans="1:15" x14ac:dyDescent="0.25">
      <c r="A96" s="90" t="s">
        <v>126</v>
      </c>
      <c r="B96" s="90" t="s">
        <v>92</v>
      </c>
      <c r="C96" s="90" t="s">
        <v>336</v>
      </c>
      <c r="D96" s="91" t="s">
        <v>337</v>
      </c>
      <c r="E96" s="90" t="s">
        <v>60</v>
      </c>
      <c r="F96" s="90">
        <v>720</v>
      </c>
      <c r="G96" s="90" t="s">
        <v>183</v>
      </c>
      <c r="H96" s="90">
        <v>10</v>
      </c>
      <c r="I96" s="90">
        <f>'Odds &amp; Rarity'!$D$13</f>
        <v>1026000</v>
      </c>
      <c r="J96" s="90">
        <f t="shared" si="7"/>
        <v>143</v>
      </c>
      <c r="K96" s="90">
        <f t="shared" si="8"/>
        <v>143</v>
      </c>
      <c r="L96" s="90">
        <f t="shared" si="9"/>
        <v>143</v>
      </c>
      <c r="M96" s="91"/>
      <c r="N96" s="59" t="str">
        <f t="shared" si="5"/>
        <v>Lenticular &amp; SP|Supes SPs|S3SP-1|Base</v>
      </c>
      <c r="O96" s="59">
        <f t="shared" si="6"/>
        <v>143</v>
      </c>
    </row>
    <row r="97" spans="1:15" x14ac:dyDescent="0.25">
      <c r="A97" s="90" t="s">
        <v>126</v>
      </c>
      <c r="B97" s="90" t="s">
        <v>92</v>
      </c>
      <c r="C97" s="90" t="s">
        <v>338</v>
      </c>
      <c r="D97" s="91" t="s">
        <v>339</v>
      </c>
      <c r="E97" s="90" t="s">
        <v>60</v>
      </c>
      <c r="F97" s="90">
        <v>720</v>
      </c>
      <c r="G97" s="90" t="s">
        <v>183</v>
      </c>
      <c r="H97" s="90">
        <v>10</v>
      </c>
      <c r="I97" s="90">
        <f>'Odds &amp; Rarity'!$D$13</f>
        <v>1026000</v>
      </c>
      <c r="J97" s="90">
        <f t="shared" si="7"/>
        <v>143</v>
      </c>
      <c r="K97" s="90">
        <f t="shared" si="8"/>
        <v>143</v>
      </c>
      <c r="L97" s="90">
        <f t="shared" si="9"/>
        <v>143</v>
      </c>
      <c r="M97" s="91"/>
      <c r="N97" s="59" t="str">
        <f t="shared" si="5"/>
        <v>Lenticular &amp; SP|Supes SPs|S3SP-10|Base</v>
      </c>
      <c r="O97" s="59">
        <f t="shared" si="6"/>
        <v>143</v>
      </c>
    </row>
    <row r="98" spans="1:15" x14ac:dyDescent="0.25">
      <c r="A98" s="90" t="s">
        <v>126</v>
      </c>
      <c r="B98" s="90" t="s">
        <v>92</v>
      </c>
      <c r="C98" s="90" t="s">
        <v>340</v>
      </c>
      <c r="D98" s="91" t="s">
        <v>341</v>
      </c>
      <c r="E98" s="90" t="s">
        <v>60</v>
      </c>
      <c r="F98" s="90">
        <v>720</v>
      </c>
      <c r="G98" s="90" t="s">
        <v>183</v>
      </c>
      <c r="H98" s="90">
        <v>10</v>
      </c>
      <c r="I98" s="90">
        <f>'Odds &amp; Rarity'!$D$13</f>
        <v>1026000</v>
      </c>
      <c r="J98" s="90">
        <f t="shared" si="7"/>
        <v>143</v>
      </c>
      <c r="K98" s="90">
        <f t="shared" si="8"/>
        <v>143</v>
      </c>
      <c r="L98" s="90">
        <f t="shared" si="9"/>
        <v>143</v>
      </c>
      <c r="M98" s="91"/>
      <c r="N98" s="59" t="str">
        <f t="shared" si="5"/>
        <v>Lenticular &amp; SP|Supes SPs|S3SP-2|Base</v>
      </c>
      <c r="O98" s="59">
        <f t="shared" si="6"/>
        <v>143</v>
      </c>
    </row>
    <row r="99" spans="1:15" x14ac:dyDescent="0.25">
      <c r="A99" s="90" t="s">
        <v>126</v>
      </c>
      <c r="B99" s="90" t="s">
        <v>92</v>
      </c>
      <c r="C99" s="90" t="s">
        <v>342</v>
      </c>
      <c r="D99" s="91" t="s">
        <v>343</v>
      </c>
      <c r="E99" s="90" t="s">
        <v>60</v>
      </c>
      <c r="F99" s="90">
        <v>720</v>
      </c>
      <c r="G99" s="90" t="s">
        <v>183</v>
      </c>
      <c r="H99" s="90">
        <v>10</v>
      </c>
      <c r="I99" s="90">
        <f>'Odds &amp; Rarity'!$D$13</f>
        <v>1026000</v>
      </c>
      <c r="J99" s="90">
        <f t="shared" si="7"/>
        <v>143</v>
      </c>
      <c r="K99" s="90">
        <f t="shared" si="8"/>
        <v>143</v>
      </c>
      <c r="L99" s="90">
        <f t="shared" si="9"/>
        <v>143</v>
      </c>
      <c r="M99" s="91"/>
      <c r="N99" s="59" t="str">
        <f t="shared" si="5"/>
        <v>Lenticular &amp; SP|Supes SPs|S3SP-3|Base</v>
      </c>
      <c r="O99" s="59">
        <f t="shared" si="6"/>
        <v>143</v>
      </c>
    </row>
    <row r="100" spans="1:15" x14ac:dyDescent="0.25">
      <c r="A100" s="90" t="s">
        <v>126</v>
      </c>
      <c r="B100" s="90" t="s">
        <v>92</v>
      </c>
      <c r="C100" s="90" t="s">
        <v>344</v>
      </c>
      <c r="D100" s="91" t="s">
        <v>345</v>
      </c>
      <c r="E100" s="90" t="s">
        <v>60</v>
      </c>
      <c r="F100" s="90">
        <v>720</v>
      </c>
      <c r="G100" s="90" t="s">
        <v>183</v>
      </c>
      <c r="H100" s="90">
        <v>10</v>
      </c>
      <c r="I100" s="90">
        <f>'Odds &amp; Rarity'!$D$13</f>
        <v>1026000</v>
      </c>
      <c r="J100" s="90">
        <f t="shared" si="7"/>
        <v>143</v>
      </c>
      <c r="K100" s="90">
        <f t="shared" si="8"/>
        <v>143</v>
      </c>
      <c r="L100" s="90">
        <f t="shared" si="9"/>
        <v>143</v>
      </c>
      <c r="M100" s="91"/>
      <c r="N100" s="59" t="str">
        <f t="shared" si="5"/>
        <v>Lenticular &amp; SP|Supes SPs|S3SP-4|Base</v>
      </c>
      <c r="O100" s="59">
        <f t="shared" si="6"/>
        <v>143</v>
      </c>
    </row>
    <row r="101" spans="1:15" x14ac:dyDescent="0.25">
      <c r="A101" s="90" t="s">
        <v>126</v>
      </c>
      <c r="B101" s="90" t="s">
        <v>92</v>
      </c>
      <c r="C101" s="90" t="s">
        <v>346</v>
      </c>
      <c r="D101" s="91" t="s">
        <v>347</v>
      </c>
      <c r="E101" s="90" t="s">
        <v>60</v>
      </c>
      <c r="F101" s="90">
        <v>720</v>
      </c>
      <c r="G101" s="90" t="s">
        <v>183</v>
      </c>
      <c r="H101" s="90">
        <v>10</v>
      </c>
      <c r="I101" s="90">
        <f>'Odds &amp; Rarity'!$D$13</f>
        <v>1026000</v>
      </c>
      <c r="J101" s="90">
        <f t="shared" si="7"/>
        <v>143</v>
      </c>
      <c r="K101" s="90">
        <f t="shared" si="8"/>
        <v>143</v>
      </c>
      <c r="L101" s="90">
        <f t="shared" si="9"/>
        <v>143</v>
      </c>
      <c r="M101" s="91"/>
      <c r="N101" s="59" t="str">
        <f t="shared" si="5"/>
        <v>Lenticular &amp; SP|Supes SPs|S3SP-5|Base</v>
      </c>
      <c r="O101" s="59">
        <f t="shared" si="6"/>
        <v>143</v>
      </c>
    </row>
    <row r="102" spans="1:15" x14ac:dyDescent="0.25">
      <c r="A102" s="90" t="s">
        <v>126</v>
      </c>
      <c r="B102" s="90" t="s">
        <v>92</v>
      </c>
      <c r="C102" s="90" t="s">
        <v>348</v>
      </c>
      <c r="D102" s="91" t="s">
        <v>339</v>
      </c>
      <c r="E102" s="90" t="s">
        <v>60</v>
      </c>
      <c r="F102" s="90">
        <v>720</v>
      </c>
      <c r="G102" s="90" t="s">
        <v>183</v>
      </c>
      <c r="H102" s="90">
        <v>10</v>
      </c>
      <c r="I102" s="90">
        <f>'Odds &amp; Rarity'!$D$13</f>
        <v>1026000</v>
      </c>
      <c r="J102" s="90">
        <f t="shared" si="7"/>
        <v>143</v>
      </c>
      <c r="K102" s="90">
        <f t="shared" si="8"/>
        <v>143</v>
      </c>
      <c r="L102" s="90">
        <f t="shared" si="9"/>
        <v>143</v>
      </c>
      <c r="M102" s="91"/>
      <c r="N102" s="59" t="str">
        <f t="shared" si="5"/>
        <v>Lenticular &amp; SP|Supes SPs|S3SP-6|Base</v>
      </c>
      <c r="O102" s="59">
        <f t="shared" si="6"/>
        <v>143</v>
      </c>
    </row>
    <row r="103" spans="1:15" x14ac:dyDescent="0.25">
      <c r="A103" s="90" t="s">
        <v>126</v>
      </c>
      <c r="B103" s="90" t="s">
        <v>92</v>
      </c>
      <c r="C103" s="90" t="s">
        <v>349</v>
      </c>
      <c r="D103" s="91" t="s">
        <v>350</v>
      </c>
      <c r="E103" s="90" t="s">
        <v>60</v>
      </c>
      <c r="F103" s="90">
        <v>720</v>
      </c>
      <c r="G103" s="90" t="s">
        <v>183</v>
      </c>
      <c r="H103" s="90">
        <v>10</v>
      </c>
      <c r="I103" s="90">
        <f>'Odds &amp; Rarity'!$D$13</f>
        <v>1026000</v>
      </c>
      <c r="J103" s="90">
        <f t="shared" si="7"/>
        <v>143</v>
      </c>
      <c r="K103" s="90">
        <f t="shared" si="8"/>
        <v>143</v>
      </c>
      <c r="L103" s="90">
        <f t="shared" si="9"/>
        <v>143</v>
      </c>
      <c r="M103" s="91"/>
      <c r="N103" s="59" t="str">
        <f t="shared" si="5"/>
        <v>Lenticular &amp; SP|Supes SPs|S3SP-7|Base</v>
      </c>
      <c r="O103" s="59">
        <f t="shared" si="6"/>
        <v>143</v>
      </c>
    </row>
    <row r="104" spans="1:15" x14ac:dyDescent="0.25">
      <c r="A104" s="90" t="s">
        <v>126</v>
      </c>
      <c r="B104" s="90" t="s">
        <v>92</v>
      </c>
      <c r="C104" s="90" t="s">
        <v>351</v>
      </c>
      <c r="D104" s="91" t="s">
        <v>352</v>
      </c>
      <c r="E104" s="90" t="s">
        <v>60</v>
      </c>
      <c r="F104" s="90">
        <v>720</v>
      </c>
      <c r="G104" s="90" t="s">
        <v>183</v>
      </c>
      <c r="H104" s="90">
        <v>10</v>
      </c>
      <c r="I104" s="90">
        <f>'Odds &amp; Rarity'!$D$13</f>
        <v>1026000</v>
      </c>
      <c r="J104" s="90">
        <f t="shared" si="7"/>
        <v>143</v>
      </c>
      <c r="K104" s="90">
        <f t="shared" si="8"/>
        <v>143</v>
      </c>
      <c r="L104" s="90">
        <f t="shared" si="9"/>
        <v>143</v>
      </c>
      <c r="M104" s="91"/>
      <c r="N104" s="59" t="str">
        <f t="shared" si="5"/>
        <v>Lenticular &amp; SP|Supes SPs|S3SP-8|Base</v>
      </c>
      <c r="O104" s="59">
        <f t="shared" si="6"/>
        <v>143</v>
      </c>
    </row>
    <row r="105" spans="1:15" x14ac:dyDescent="0.25">
      <c r="A105" s="90" t="s">
        <v>126</v>
      </c>
      <c r="B105" s="90" t="s">
        <v>92</v>
      </c>
      <c r="C105" s="90" t="s">
        <v>353</v>
      </c>
      <c r="D105" s="91" t="s">
        <v>337</v>
      </c>
      <c r="E105" s="90" t="s">
        <v>60</v>
      </c>
      <c r="F105" s="90">
        <v>720</v>
      </c>
      <c r="G105" s="90" t="s">
        <v>183</v>
      </c>
      <c r="H105" s="90">
        <v>10</v>
      </c>
      <c r="I105" s="90">
        <f>'Odds &amp; Rarity'!$D$13</f>
        <v>1026000</v>
      </c>
      <c r="J105" s="90">
        <f t="shared" si="7"/>
        <v>143</v>
      </c>
      <c r="K105" s="90">
        <f t="shared" si="8"/>
        <v>143</v>
      </c>
      <c r="L105" s="90">
        <f t="shared" si="9"/>
        <v>143</v>
      </c>
      <c r="M105" s="91"/>
      <c r="N105" s="59" t="str">
        <f t="shared" si="5"/>
        <v>Lenticular &amp; SP|Supes SPs|S3SP-9|Base</v>
      </c>
      <c r="O105" s="59">
        <f t="shared" si="6"/>
        <v>143</v>
      </c>
    </row>
    <row r="106" spans="1:15" ht="30" customHeight="1" x14ac:dyDescent="0.25">
      <c r="A106" s="90" t="s">
        <v>35</v>
      </c>
      <c r="B106" s="90" t="s">
        <v>96</v>
      </c>
      <c r="C106" s="90" t="s">
        <v>354</v>
      </c>
      <c r="D106" s="91" t="s">
        <v>355</v>
      </c>
      <c r="E106" s="90" t="s">
        <v>60</v>
      </c>
      <c r="F106" s="90">
        <v>3600</v>
      </c>
      <c r="G106" s="90" t="s">
        <v>183</v>
      </c>
      <c r="H106" s="90">
        <v>2</v>
      </c>
      <c r="I106" s="90">
        <f>'Odds &amp; Rarity'!$D$13</f>
        <v>1026000</v>
      </c>
      <c r="J106" s="90">
        <f t="shared" si="7"/>
        <v>143</v>
      </c>
      <c r="K106" s="90">
        <f t="shared" si="8"/>
        <v>143</v>
      </c>
      <c r="L106" s="90">
        <f t="shared" si="9"/>
        <v>143</v>
      </c>
      <c r="M106" s="91"/>
      <c r="N106" s="59" t="str">
        <f t="shared" si="5"/>
        <v>Supes Suits|Triple Supes Suits|TSS-1|Base</v>
      </c>
      <c r="O106" s="59">
        <f t="shared" si="6"/>
        <v>143</v>
      </c>
    </row>
    <row r="107" spans="1:15" ht="30" customHeight="1" x14ac:dyDescent="0.25">
      <c r="A107" s="90" t="s">
        <v>35</v>
      </c>
      <c r="B107" s="90" t="s">
        <v>96</v>
      </c>
      <c r="C107" s="90" t="s">
        <v>356</v>
      </c>
      <c r="D107" s="91" t="s">
        <v>357</v>
      </c>
      <c r="E107" s="90" t="s">
        <v>60</v>
      </c>
      <c r="F107" s="90">
        <v>3600</v>
      </c>
      <c r="G107" s="90" t="s">
        <v>183</v>
      </c>
      <c r="H107" s="90">
        <v>2</v>
      </c>
      <c r="I107" s="90">
        <f>'Odds &amp; Rarity'!$D$13</f>
        <v>1026000</v>
      </c>
      <c r="J107" s="90">
        <f t="shared" si="7"/>
        <v>143</v>
      </c>
      <c r="K107" s="90">
        <f t="shared" si="8"/>
        <v>143</v>
      </c>
      <c r="L107" s="90">
        <f t="shared" si="9"/>
        <v>143</v>
      </c>
      <c r="M107" s="91"/>
      <c r="N107" s="59" t="str">
        <f t="shared" si="5"/>
        <v>Supes Suits|Triple Supes Suits|TSS-2|Base</v>
      </c>
      <c r="O107" s="59">
        <f t="shared" si="6"/>
        <v>143</v>
      </c>
    </row>
    <row r="108" spans="1:15" x14ac:dyDescent="0.25">
      <c r="A108" s="90" t="s">
        <v>35</v>
      </c>
      <c r="B108" s="90" t="s">
        <v>131</v>
      </c>
      <c r="C108" s="90" t="s">
        <v>358</v>
      </c>
      <c r="D108" s="91" t="s">
        <v>222</v>
      </c>
      <c r="E108" s="90" t="s">
        <v>359</v>
      </c>
      <c r="F108" s="90">
        <v>720</v>
      </c>
      <c r="G108" s="90" t="s">
        <v>183</v>
      </c>
      <c r="H108" s="90">
        <v>8</v>
      </c>
      <c r="I108" s="90">
        <f>'Odds &amp; Rarity'!$D$13</f>
        <v>1026000</v>
      </c>
      <c r="J108" s="90">
        <f t="shared" si="7"/>
        <v>178</v>
      </c>
      <c r="K108" s="90">
        <f t="shared" si="8"/>
        <v>178</v>
      </c>
      <c r="L108" s="90">
        <f t="shared" si="9"/>
        <v>178</v>
      </c>
      <c r="M108" s="91"/>
      <c r="N108" s="59" t="str">
        <f t="shared" si="5"/>
        <v>Supes Suits|Supes Suits SP's|SSP-1|SP</v>
      </c>
      <c r="O108" s="59">
        <f t="shared" si="6"/>
        <v>178</v>
      </c>
    </row>
    <row r="109" spans="1:15" x14ac:dyDescent="0.25">
      <c r="A109" s="90" t="s">
        <v>35</v>
      </c>
      <c r="B109" s="90" t="s">
        <v>131</v>
      </c>
      <c r="C109" s="90" t="s">
        <v>360</v>
      </c>
      <c r="D109" s="91" t="s">
        <v>267</v>
      </c>
      <c r="E109" s="90" t="s">
        <v>359</v>
      </c>
      <c r="F109" s="90">
        <v>720</v>
      </c>
      <c r="G109" s="90" t="s">
        <v>183</v>
      </c>
      <c r="H109" s="90">
        <v>8</v>
      </c>
      <c r="I109" s="90">
        <f>'Odds &amp; Rarity'!$D$13</f>
        <v>1026000</v>
      </c>
      <c r="J109" s="90">
        <f t="shared" si="7"/>
        <v>178</v>
      </c>
      <c r="K109" s="90">
        <f t="shared" si="8"/>
        <v>178</v>
      </c>
      <c r="L109" s="90">
        <f t="shared" si="9"/>
        <v>178</v>
      </c>
      <c r="M109" s="91"/>
      <c r="N109" s="59" t="str">
        <f t="shared" si="5"/>
        <v>Supes Suits|Supes Suits SP's|SSP-2|SP</v>
      </c>
      <c r="O109" s="59">
        <f t="shared" si="6"/>
        <v>178</v>
      </c>
    </row>
    <row r="110" spans="1:15" x14ac:dyDescent="0.25">
      <c r="A110" s="90" t="s">
        <v>35</v>
      </c>
      <c r="B110" s="90" t="s">
        <v>131</v>
      </c>
      <c r="C110" s="90" t="s">
        <v>361</v>
      </c>
      <c r="D110" s="91" t="s">
        <v>248</v>
      </c>
      <c r="E110" s="90" t="s">
        <v>359</v>
      </c>
      <c r="F110" s="90">
        <v>720</v>
      </c>
      <c r="G110" s="90" t="s">
        <v>183</v>
      </c>
      <c r="H110" s="90">
        <v>8</v>
      </c>
      <c r="I110" s="90">
        <f>'Odds &amp; Rarity'!$D$13</f>
        <v>1026000</v>
      </c>
      <c r="J110" s="90">
        <f t="shared" si="7"/>
        <v>178</v>
      </c>
      <c r="K110" s="90">
        <f t="shared" si="8"/>
        <v>178</v>
      </c>
      <c r="L110" s="90">
        <f t="shared" si="9"/>
        <v>178</v>
      </c>
      <c r="M110" s="91"/>
      <c r="N110" s="59" t="str">
        <f t="shared" si="5"/>
        <v>Supes Suits|Supes Suits SP's|SSP-3|SP</v>
      </c>
      <c r="O110" s="59">
        <f t="shared" si="6"/>
        <v>178</v>
      </c>
    </row>
    <row r="111" spans="1:15" x14ac:dyDescent="0.25">
      <c r="A111" s="90" t="s">
        <v>35</v>
      </c>
      <c r="B111" s="90" t="s">
        <v>131</v>
      </c>
      <c r="C111" s="90" t="s">
        <v>362</v>
      </c>
      <c r="D111" s="91" t="s">
        <v>216</v>
      </c>
      <c r="E111" s="90" t="s">
        <v>359</v>
      </c>
      <c r="F111" s="90">
        <v>720</v>
      </c>
      <c r="G111" s="90" t="s">
        <v>183</v>
      </c>
      <c r="H111" s="90">
        <v>8</v>
      </c>
      <c r="I111" s="90">
        <f>'Odds &amp; Rarity'!$D$13</f>
        <v>1026000</v>
      </c>
      <c r="J111" s="90">
        <f t="shared" si="7"/>
        <v>178</v>
      </c>
      <c r="K111" s="90">
        <f t="shared" si="8"/>
        <v>178</v>
      </c>
      <c r="L111" s="90">
        <f t="shared" si="9"/>
        <v>178</v>
      </c>
      <c r="M111" s="91"/>
      <c r="N111" s="59" t="str">
        <f t="shared" si="5"/>
        <v>Supes Suits|Supes Suits SP's|SSP-4|SP</v>
      </c>
      <c r="O111" s="59">
        <f t="shared" si="6"/>
        <v>178</v>
      </c>
    </row>
    <row r="112" spans="1:15" x14ac:dyDescent="0.25">
      <c r="A112" s="90" t="s">
        <v>35</v>
      </c>
      <c r="B112" s="90" t="s">
        <v>131</v>
      </c>
      <c r="C112" s="90" t="s">
        <v>363</v>
      </c>
      <c r="D112" s="91" t="s">
        <v>222</v>
      </c>
      <c r="E112" s="90" t="s">
        <v>359</v>
      </c>
      <c r="F112" s="90">
        <v>720</v>
      </c>
      <c r="G112" s="90" t="s">
        <v>183</v>
      </c>
      <c r="H112" s="90">
        <v>8</v>
      </c>
      <c r="I112" s="90">
        <f>'Odds &amp; Rarity'!$D$13</f>
        <v>1026000</v>
      </c>
      <c r="J112" s="90">
        <f t="shared" si="7"/>
        <v>178</v>
      </c>
      <c r="K112" s="90">
        <f t="shared" si="8"/>
        <v>178</v>
      </c>
      <c r="L112" s="90">
        <f t="shared" si="9"/>
        <v>178</v>
      </c>
      <c r="M112" s="91"/>
      <c r="N112" s="59" t="str">
        <f t="shared" si="5"/>
        <v>Supes Suits|Supes Suits SP's|SSP-5|SP</v>
      </c>
      <c r="O112" s="59">
        <f t="shared" si="6"/>
        <v>178</v>
      </c>
    </row>
    <row r="113" spans="1:15" x14ac:dyDescent="0.25">
      <c r="A113" s="90" t="s">
        <v>35</v>
      </c>
      <c r="B113" s="90" t="s">
        <v>131</v>
      </c>
      <c r="C113" s="90" t="s">
        <v>364</v>
      </c>
      <c r="D113" s="91" t="s">
        <v>216</v>
      </c>
      <c r="E113" s="90" t="s">
        <v>359</v>
      </c>
      <c r="F113" s="90">
        <v>720</v>
      </c>
      <c r="G113" s="90" t="s">
        <v>183</v>
      </c>
      <c r="H113" s="90">
        <v>8</v>
      </c>
      <c r="I113" s="90">
        <f>'Odds &amp; Rarity'!$D$13</f>
        <v>1026000</v>
      </c>
      <c r="J113" s="90">
        <f t="shared" si="7"/>
        <v>178</v>
      </c>
      <c r="K113" s="90">
        <f t="shared" si="8"/>
        <v>178</v>
      </c>
      <c r="L113" s="90">
        <f t="shared" si="9"/>
        <v>178</v>
      </c>
      <c r="M113" s="91"/>
      <c r="N113" s="59" t="str">
        <f t="shared" si="5"/>
        <v>Supes Suits|Supes Suits SP's|SSP-6|SP</v>
      </c>
      <c r="O113" s="59">
        <f t="shared" si="6"/>
        <v>178</v>
      </c>
    </row>
    <row r="114" spans="1:15" x14ac:dyDescent="0.25">
      <c r="A114" s="90" t="s">
        <v>35</v>
      </c>
      <c r="B114" s="90" t="s">
        <v>131</v>
      </c>
      <c r="C114" s="90" t="s">
        <v>365</v>
      </c>
      <c r="D114" s="91" t="s">
        <v>248</v>
      </c>
      <c r="E114" s="90" t="s">
        <v>359</v>
      </c>
      <c r="F114" s="90">
        <v>720</v>
      </c>
      <c r="G114" s="90" t="s">
        <v>183</v>
      </c>
      <c r="H114" s="90">
        <v>8</v>
      </c>
      <c r="I114" s="90">
        <f>'Odds &amp; Rarity'!$D$13</f>
        <v>1026000</v>
      </c>
      <c r="J114" s="90">
        <f t="shared" si="7"/>
        <v>178</v>
      </c>
      <c r="K114" s="90">
        <f t="shared" si="8"/>
        <v>178</v>
      </c>
      <c r="L114" s="90">
        <f t="shared" si="9"/>
        <v>178</v>
      </c>
      <c r="M114" s="91"/>
      <c r="N114" s="59" t="str">
        <f t="shared" si="5"/>
        <v>Supes Suits|Supes Suits SP's|SSP-7|SP</v>
      </c>
      <c r="O114" s="59">
        <f t="shared" si="6"/>
        <v>178</v>
      </c>
    </row>
    <row r="115" spans="1:15" x14ac:dyDescent="0.25">
      <c r="A115" s="90" t="s">
        <v>35</v>
      </c>
      <c r="B115" s="90" t="s">
        <v>131</v>
      </c>
      <c r="C115" s="90" t="s">
        <v>366</v>
      </c>
      <c r="D115" s="91" t="s">
        <v>267</v>
      </c>
      <c r="E115" s="90" t="s">
        <v>359</v>
      </c>
      <c r="F115" s="90">
        <v>720</v>
      </c>
      <c r="G115" s="90" t="s">
        <v>183</v>
      </c>
      <c r="H115" s="90">
        <v>8</v>
      </c>
      <c r="I115" s="90">
        <f>'Odds &amp; Rarity'!$D$13</f>
        <v>1026000</v>
      </c>
      <c r="J115" s="90">
        <f t="shared" si="7"/>
        <v>178</v>
      </c>
      <c r="K115" s="90">
        <f t="shared" si="8"/>
        <v>178</v>
      </c>
      <c r="L115" s="90">
        <f t="shared" si="9"/>
        <v>178</v>
      </c>
      <c r="M115" s="91"/>
      <c r="N115" s="59" t="str">
        <f t="shared" si="5"/>
        <v>Supes Suits|Supes Suits SP's|SSP-8|SP</v>
      </c>
      <c r="O115" s="59">
        <f t="shared" si="6"/>
        <v>178</v>
      </c>
    </row>
    <row r="116" spans="1:15" x14ac:dyDescent="0.25">
      <c r="A116" s="90" t="s">
        <v>41</v>
      </c>
      <c r="B116" s="90" t="s">
        <v>129</v>
      </c>
      <c r="C116" s="90" t="s">
        <v>367</v>
      </c>
      <c r="D116" s="91" t="s">
        <v>216</v>
      </c>
      <c r="E116" s="90" t="s">
        <v>368</v>
      </c>
      <c r="F116" s="90">
        <v>360</v>
      </c>
      <c r="G116" s="90" t="s">
        <v>183</v>
      </c>
      <c r="H116" s="90">
        <v>14</v>
      </c>
      <c r="I116" s="90">
        <f>'Odds &amp; Rarity'!$D$13</f>
        <v>1026000</v>
      </c>
      <c r="J116" s="90">
        <f t="shared" si="7"/>
        <v>204</v>
      </c>
      <c r="K116" s="90">
        <f t="shared" si="8"/>
        <v>204</v>
      </c>
      <c r="L116" s="90">
        <f t="shared" si="9"/>
        <v>204</v>
      </c>
      <c r="M116" s="91"/>
      <c r="N116" s="59" t="str">
        <f t="shared" si="5"/>
        <v>Action Figures|Action Figures Autographs|AF-AH|Autograph</v>
      </c>
      <c r="O116" s="59">
        <f t="shared" si="6"/>
        <v>204</v>
      </c>
    </row>
    <row r="117" spans="1:15" x14ac:dyDescent="0.25">
      <c r="A117" s="90" t="s">
        <v>41</v>
      </c>
      <c r="B117" s="90" t="s">
        <v>129</v>
      </c>
      <c r="C117" s="90" t="s">
        <v>369</v>
      </c>
      <c r="D117" s="91" t="s">
        <v>222</v>
      </c>
      <c r="E117" s="90" t="s">
        <v>368</v>
      </c>
      <c r="F117" s="90">
        <v>360</v>
      </c>
      <c r="G117" s="90" t="s">
        <v>183</v>
      </c>
      <c r="H117" s="90">
        <v>14</v>
      </c>
      <c r="I117" s="90">
        <f>'Odds &amp; Rarity'!$D$13</f>
        <v>1026000</v>
      </c>
      <c r="J117" s="90">
        <f t="shared" si="7"/>
        <v>204</v>
      </c>
      <c r="K117" s="90">
        <f t="shared" si="8"/>
        <v>204</v>
      </c>
      <c r="L117" s="90">
        <f t="shared" si="9"/>
        <v>204</v>
      </c>
      <c r="M117" s="91"/>
      <c r="N117" s="59" t="str">
        <f t="shared" si="5"/>
        <v>Action Figures|Action Figures Autographs|AF-AS|Autograph</v>
      </c>
      <c r="O117" s="59">
        <f t="shared" si="6"/>
        <v>204</v>
      </c>
    </row>
    <row r="118" spans="1:15" x14ac:dyDescent="0.25">
      <c r="A118" s="90" t="s">
        <v>41</v>
      </c>
      <c r="B118" s="90" t="s">
        <v>129</v>
      </c>
      <c r="C118" s="90" t="s">
        <v>370</v>
      </c>
      <c r="D118" s="91" t="s">
        <v>224</v>
      </c>
      <c r="E118" s="90" t="s">
        <v>368</v>
      </c>
      <c r="F118" s="90">
        <v>360</v>
      </c>
      <c r="G118" s="90" t="s">
        <v>183</v>
      </c>
      <c r="H118" s="90">
        <v>14</v>
      </c>
      <c r="I118" s="90">
        <f>'Odds &amp; Rarity'!$D$13</f>
        <v>1026000</v>
      </c>
      <c r="J118" s="90">
        <f t="shared" si="7"/>
        <v>204</v>
      </c>
      <c r="K118" s="90">
        <f t="shared" si="8"/>
        <v>204</v>
      </c>
      <c r="L118" s="90">
        <f t="shared" si="9"/>
        <v>204</v>
      </c>
      <c r="M118" s="91"/>
      <c r="N118" s="59" t="str">
        <f t="shared" si="5"/>
        <v>Action Figures|Action Figures Autographs|AF-BA|Autograph</v>
      </c>
      <c r="O118" s="59">
        <f t="shared" si="6"/>
        <v>204</v>
      </c>
    </row>
    <row r="119" spans="1:15" x14ac:dyDescent="0.25">
      <c r="A119" s="90" t="s">
        <v>41</v>
      </c>
      <c r="B119" s="90" t="s">
        <v>129</v>
      </c>
      <c r="C119" s="90" t="s">
        <v>371</v>
      </c>
      <c r="D119" s="91" t="s">
        <v>372</v>
      </c>
      <c r="E119" s="90" t="s">
        <v>368</v>
      </c>
      <c r="F119" s="90">
        <v>360</v>
      </c>
      <c r="G119" s="90" t="s">
        <v>183</v>
      </c>
      <c r="H119" s="90">
        <v>14</v>
      </c>
      <c r="I119" s="90">
        <f>'Odds &amp; Rarity'!$D$13</f>
        <v>1026000</v>
      </c>
      <c r="J119" s="90">
        <f t="shared" si="7"/>
        <v>204</v>
      </c>
      <c r="K119" s="90">
        <f t="shared" si="8"/>
        <v>204</v>
      </c>
      <c r="L119" s="90">
        <f t="shared" si="9"/>
        <v>204</v>
      </c>
      <c r="M119" s="91"/>
      <c r="N119" s="59" t="str">
        <f t="shared" si="5"/>
        <v>Action Figures|Action Figures Autographs|AF-CC|Autograph</v>
      </c>
      <c r="O119" s="59">
        <f t="shared" si="6"/>
        <v>204</v>
      </c>
    </row>
    <row r="120" spans="1:15" x14ac:dyDescent="0.25">
      <c r="A120" s="90" t="s">
        <v>41</v>
      </c>
      <c r="B120" s="90" t="s">
        <v>129</v>
      </c>
      <c r="C120" s="90" t="s">
        <v>373</v>
      </c>
      <c r="D120" s="91" t="s">
        <v>244</v>
      </c>
      <c r="E120" s="90" t="s">
        <v>368</v>
      </c>
      <c r="F120" s="90">
        <v>360</v>
      </c>
      <c r="G120" s="90" t="s">
        <v>183</v>
      </c>
      <c r="H120" s="90">
        <v>14</v>
      </c>
      <c r="I120" s="90">
        <f>'Odds &amp; Rarity'!$D$13</f>
        <v>1026000</v>
      </c>
      <c r="J120" s="90">
        <f t="shared" si="7"/>
        <v>204</v>
      </c>
      <c r="K120" s="90">
        <f t="shared" si="8"/>
        <v>204</v>
      </c>
      <c r="L120" s="90">
        <f t="shared" si="9"/>
        <v>204</v>
      </c>
      <c r="M120" s="91"/>
      <c r="N120" s="59" t="str">
        <f t="shared" si="5"/>
        <v>Action Figures|Action Figures Autographs|AF-DM|Autograph</v>
      </c>
      <c r="O120" s="59">
        <f t="shared" si="6"/>
        <v>204</v>
      </c>
    </row>
    <row r="121" spans="1:15" x14ac:dyDescent="0.25">
      <c r="A121" s="90" t="s">
        <v>41</v>
      </c>
      <c r="B121" s="90" t="s">
        <v>129</v>
      </c>
      <c r="C121" s="90" t="s">
        <v>374</v>
      </c>
      <c r="D121" s="91" t="s">
        <v>248</v>
      </c>
      <c r="E121" s="90" t="s">
        <v>368</v>
      </c>
      <c r="F121" s="90">
        <v>360</v>
      </c>
      <c r="G121" s="90" t="s">
        <v>183</v>
      </c>
      <c r="H121" s="90">
        <v>14</v>
      </c>
      <c r="I121" s="90">
        <f>'Odds &amp; Rarity'!$D$13</f>
        <v>1026000</v>
      </c>
      <c r="J121" s="90">
        <f t="shared" si="7"/>
        <v>204</v>
      </c>
      <c r="K121" s="90">
        <f t="shared" si="8"/>
        <v>204</v>
      </c>
      <c r="L121" s="90">
        <f t="shared" si="9"/>
        <v>204</v>
      </c>
      <c r="M121" s="91"/>
      <c r="N121" s="59" t="str">
        <f t="shared" si="5"/>
        <v>Action Figures|Action Figures Autographs|AF-EM|Autograph</v>
      </c>
      <c r="O121" s="59">
        <f t="shared" si="6"/>
        <v>204</v>
      </c>
    </row>
    <row r="122" spans="1:15" x14ac:dyDescent="0.25">
      <c r="A122" s="90" t="s">
        <v>41</v>
      </c>
      <c r="B122" s="90" t="s">
        <v>129</v>
      </c>
      <c r="C122" s="90" t="s">
        <v>375</v>
      </c>
      <c r="D122" s="91" t="s">
        <v>250</v>
      </c>
      <c r="E122" s="90" t="s">
        <v>368</v>
      </c>
      <c r="F122" s="90">
        <v>360</v>
      </c>
      <c r="G122" s="90" t="s">
        <v>183</v>
      </c>
      <c r="H122" s="90">
        <v>14</v>
      </c>
      <c r="I122" s="90">
        <f>'Odds &amp; Rarity'!$D$13</f>
        <v>1026000</v>
      </c>
      <c r="J122" s="90">
        <f t="shared" si="7"/>
        <v>204</v>
      </c>
      <c r="K122" s="90">
        <f t="shared" si="8"/>
        <v>204</v>
      </c>
      <c r="L122" s="90">
        <f t="shared" si="9"/>
        <v>204</v>
      </c>
      <c r="M122" s="91"/>
      <c r="N122" s="59" t="str">
        <f t="shared" si="5"/>
        <v>Action Figures|Action Figures Autographs|AF-ES|Autograph</v>
      </c>
      <c r="O122" s="59">
        <f t="shared" si="6"/>
        <v>204</v>
      </c>
    </row>
    <row r="123" spans="1:15" x14ac:dyDescent="0.25">
      <c r="A123" s="90" t="s">
        <v>41</v>
      </c>
      <c r="B123" s="90" t="s">
        <v>129</v>
      </c>
      <c r="C123" s="90" t="s">
        <v>376</v>
      </c>
      <c r="D123" s="91" t="s">
        <v>263</v>
      </c>
      <c r="E123" s="90" t="s">
        <v>368</v>
      </c>
      <c r="F123" s="90">
        <v>360</v>
      </c>
      <c r="G123" s="90" t="s">
        <v>183</v>
      </c>
      <c r="H123" s="90">
        <v>14</v>
      </c>
      <c r="I123" s="90">
        <f>'Odds &amp; Rarity'!$D$13</f>
        <v>1026000</v>
      </c>
      <c r="J123" s="90">
        <f t="shared" si="7"/>
        <v>204</v>
      </c>
      <c r="K123" s="90">
        <f t="shared" si="8"/>
        <v>204</v>
      </c>
      <c r="L123" s="90">
        <f t="shared" si="9"/>
        <v>204</v>
      </c>
      <c r="M123" s="91"/>
      <c r="N123" s="59" t="str">
        <f t="shared" si="5"/>
        <v>Action Figures|Action Figures Autographs|AF-JQ|Autograph</v>
      </c>
      <c r="O123" s="59">
        <f t="shared" si="6"/>
        <v>204</v>
      </c>
    </row>
    <row r="124" spans="1:15" x14ac:dyDescent="0.25">
      <c r="A124" s="90" t="s">
        <v>41</v>
      </c>
      <c r="B124" s="90" t="s">
        <v>129</v>
      </c>
      <c r="C124" s="90" t="s">
        <v>377</v>
      </c>
      <c r="D124" s="91" t="s">
        <v>267</v>
      </c>
      <c r="E124" s="90" t="s">
        <v>368</v>
      </c>
      <c r="F124" s="90">
        <v>360</v>
      </c>
      <c r="G124" s="90" t="s">
        <v>183</v>
      </c>
      <c r="H124" s="90">
        <v>14</v>
      </c>
      <c r="I124" s="90">
        <f>'Odds &amp; Rarity'!$D$13</f>
        <v>1026000</v>
      </c>
      <c r="J124" s="90">
        <f t="shared" si="7"/>
        <v>204</v>
      </c>
      <c r="K124" s="90">
        <f t="shared" si="8"/>
        <v>204</v>
      </c>
      <c r="L124" s="90">
        <f t="shared" si="9"/>
        <v>204</v>
      </c>
      <c r="M124" s="91"/>
      <c r="N124" s="59" t="str">
        <f t="shared" si="5"/>
        <v>Action Figures|Action Figures Autographs|AF-JT|Autograph</v>
      </c>
      <c r="O124" s="59">
        <f t="shared" si="6"/>
        <v>204</v>
      </c>
    </row>
    <row r="125" spans="1:15" x14ac:dyDescent="0.25">
      <c r="A125" s="90" t="s">
        <v>41</v>
      </c>
      <c r="B125" s="90" t="s">
        <v>129</v>
      </c>
      <c r="C125" s="90" t="s">
        <v>378</v>
      </c>
      <c r="D125" s="91" t="s">
        <v>270</v>
      </c>
      <c r="E125" s="90" t="s">
        <v>368</v>
      </c>
      <c r="F125" s="90">
        <v>360</v>
      </c>
      <c r="G125" s="90" t="s">
        <v>183</v>
      </c>
      <c r="H125" s="90">
        <v>14</v>
      </c>
      <c r="I125" s="90">
        <f>'Odds &amp; Rarity'!$D$13</f>
        <v>1026000</v>
      </c>
      <c r="J125" s="90">
        <f t="shared" si="7"/>
        <v>204</v>
      </c>
      <c r="K125" s="90">
        <f t="shared" si="8"/>
        <v>204</v>
      </c>
      <c r="L125" s="90">
        <f t="shared" si="9"/>
        <v>204</v>
      </c>
      <c r="M125" s="91"/>
      <c r="N125" s="59" t="str">
        <f t="shared" si="5"/>
        <v>Action Figures|Action Figures Autographs|AF-KF|Autograph</v>
      </c>
      <c r="O125" s="59">
        <f t="shared" si="6"/>
        <v>204</v>
      </c>
    </row>
    <row r="126" spans="1:15" x14ac:dyDescent="0.25">
      <c r="A126" s="90" t="s">
        <v>41</v>
      </c>
      <c r="B126" s="90" t="s">
        <v>129</v>
      </c>
      <c r="C126" s="90" t="s">
        <v>379</v>
      </c>
      <c r="D126" s="91" t="s">
        <v>276</v>
      </c>
      <c r="E126" s="90" t="s">
        <v>368</v>
      </c>
      <c r="F126" s="90">
        <v>360</v>
      </c>
      <c r="G126" s="90" t="s">
        <v>183</v>
      </c>
      <c r="H126" s="90">
        <v>14</v>
      </c>
      <c r="I126" s="90">
        <f>'Odds &amp; Rarity'!$D$13</f>
        <v>1026000</v>
      </c>
      <c r="J126" s="90">
        <f t="shared" si="7"/>
        <v>204</v>
      </c>
      <c r="K126" s="90">
        <f t="shared" si="8"/>
        <v>204</v>
      </c>
      <c r="L126" s="90">
        <f t="shared" si="9"/>
        <v>204</v>
      </c>
      <c r="M126" s="91"/>
      <c r="N126" s="59" t="str">
        <f t="shared" si="5"/>
        <v>Action Figures|Action Figures Autographs|AF-LA|Autograph</v>
      </c>
      <c r="O126" s="59">
        <f t="shared" si="6"/>
        <v>204</v>
      </c>
    </row>
    <row r="127" spans="1:15" x14ac:dyDescent="0.25">
      <c r="A127" s="90" t="s">
        <v>41</v>
      </c>
      <c r="B127" s="90" t="s">
        <v>129</v>
      </c>
      <c r="C127" s="90" t="s">
        <v>380</v>
      </c>
      <c r="D127" s="91" t="s">
        <v>283</v>
      </c>
      <c r="E127" s="90" t="s">
        <v>368</v>
      </c>
      <c r="F127" s="90">
        <v>360</v>
      </c>
      <c r="G127" s="90" t="s">
        <v>183</v>
      </c>
      <c r="H127" s="90">
        <v>14</v>
      </c>
      <c r="I127" s="90">
        <f>'Odds &amp; Rarity'!$D$13</f>
        <v>1026000</v>
      </c>
      <c r="J127" s="90">
        <f t="shared" si="7"/>
        <v>204</v>
      </c>
      <c r="K127" s="90">
        <f t="shared" si="8"/>
        <v>204</v>
      </c>
      <c r="L127" s="90">
        <f t="shared" si="9"/>
        <v>204</v>
      </c>
      <c r="M127" s="91"/>
      <c r="N127" s="59" t="str">
        <f t="shared" si="5"/>
        <v>Action Figures|Action Figures Autographs|AF-NM|Autograph</v>
      </c>
      <c r="O127" s="59">
        <f t="shared" si="6"/>
        <v>204</v>
      </c>
    </row>
    <row r="128" spans="1:15" x14ac:dyDescent="0.25">
      <c r="A128" s="90" t="s">
        <v>41</v>
      </c>
      <c r="B128" s="90" t="s">
        <v>129</v>
      </c>
      <c r="C128" s="90" t="s">
        <v>381</v>
      </c>
      <c r="D128" s="91" t="s">
        <v>301</v>
      </c>
      <c r="E128" s="90" t="s">
        <v>368</v>
      </c>
      <c r="F128" s="90">
        <v>360</v>
      </c>
      <c r="G128" s="90" t="s">
        <v>183</v>
      </c>
      <c r="H128" s="90">
        <v>14</v>
      </c>
      <c r="I128" s="90">
        <f>'Odds &amp; Rarity'!$D$13</f>
        <v>1026000</v>
      </c>
      <c r="J128" s="90">
        <f t="shared" si="7"/>
        <v>204</v>
      </c>
      <c r="K128" s="90">
        <f t="shared" si="8"/>
        <v>204</v>
      </c>
      <c r="L128" s="90">
        <f t="shared" si="9"/>
        <v>204</v>
      </c>
      <c r="M128" s="91"/>
      <c r="N128" s="59" t="str">
        <f t="shared" si="5"/>
        <v>Action Figures|Action Figures Autographs|AF-SA|Autograph</v>
      </c>
      <c r="O128" s="59">
        <f t="shared" si="6"/>
        <v>204</v>
      </c>
    </row>
    <row r="129" spans="1:15" x14ac:dyDescent="0.25">
      <c r="A129" s="90" t="s">
        <v>41</v>
      </c>
      <c r="B129" s="90" t="s">
        <v>129</v>
      </c>
      <c r="C129" s="90" t="s">
        <v>382</v>
      </c>
      <c r="D129" s="91" t="s">
        <v>238</v>
      </c>
      <c r="E129" s="90" t="s">
        <v>368</v>
      </c>
      <c r="F129" s="90">
        <v>360</v>
      </c>
      <c r="G129" s="90" t="s">
        <v>183</v>
      </c>
      <c r="H129" s="90">
        <v>14</v>
      </c>
      <c r="I129" s="90">
        <f>'Odds &amp; Rarity'!$D$13</f>
        <v>1026000</v>
      </c>
      <c r="J129" s="90">
        <f t="shared" si="7"/>
        <v>204</v>
      </c>
      <c r="K129" s="90">
        <f t="shared" si="8"/>
        <v>204</v>
      </c>
      <c r="L129" s="90">
        <f t="shared" si="9"/>
        <v>204</v>
      </c>
      <c r="M129" s="91"/>
      <c r="N129" s="59" t="str">
        <f t="shared" si="5"/>
        <v>Action Figures|Action Figures Autographs|AF-TC|Autograph</v>
      </c>
      <c r="O129" s="59">
        <f t="shared" si="6"/>
        <v>204</v>
      </c>
    </row>
    <row r="130" spans="1:15" x14ac:dyDescent="0.25">
      <c r="A130" s="90" t="s">
        <v>31</v>
      </c>
      <c r="B130" s="90" t="s">
        <v>86</v>
      </c>
      <c r="C130" s="90" t="s">
        <v>383</v>
      </c>
      <c r="D130" s="91" t="s">
        <v>384</v>
      </c>
      <c r="E130" s="90" t="s">
        <v>60</v>
      </c>
      <c r="F130" s="90">
        <v>900</v>
      </c>
      <c r="G130" s="90" t="s">
        <v>183</v>
      </c>
      <c r="H130" s="90">
        <v>5</v>
      </c>
      <c r="I130" s="90">
        <f>'Odds &amp; Rarity'!$D$13</f>
        <v>1026000</v>
      </c>
      <c r="J130" s="90">
        <f t="shared" si="7"/>
        <v>228</v>
      </c>
      <c r="K130" s="90">
        <f t="shared" si="8"/>
        <v>228</v>
      </c>
      <c r="L130" s="90">
        <f t="shared" si="9"/>
        <v>228</v>
      </c>
      <c r="M130" s="91"/>
      <c r="N130" s="59" t="str">
        <f t="shared" ref="N130:N193" si="10">IF($A130="","",$A130&amp;"|"&amp;$B130&amp;"|"&amp;$C130&amp;"|"&amp;$E130)</f>
        <v>Inserts - General|Most Wanted|MW-1|Base</v>
      </c>
      <c r="O130" s="59">
        <f t="shared" ref="O130:O193" si="11">IF($A130="","",$J130)</f>
        <v>228</v>
      </c>
    </row>
    <row r="131" spans="1:15" x14ac:dyDescent="0.25">
      <c r="A131" s="90" t="s">
        <v>31</v>
      </c>
      <c r="B131" s="90" t="s">
        <v>86</v>
      </c>
      <c r="C131" s="90" t="s">
        <v>385</v>
      </c>
      <c r="D131" s="91" t="s">
        <v>347</v>
      </c>
      <c r="E131" s="90" t="s">
        <v>60</v>
      </c>
      <c r="F131" s="90">
        <v>900</v>
      </c>
      <c r="G131" s="90" t="s">
        <v>183</v>
      </c>
      <c r="H131" s="90">
        <v>5</v>
      </c>
      <c r="I131" s="90">
        <f>'Odds &amp; Rarity'!$D$13</f>
        <v>1026000</v>
      </c>
      <c r="J131" s="90">
        <f t="shared" si="7"/>
        <v>228</v>
      </c>
      <c r="K131" s="90">
        <f t="shared" si="8"/>
        <v>228</v>
      </c>
      <c r="L131" s="90">
        <f t="shared" si="9"/>
        <v>228</v>
      </c>
      <c r="M131" s="91"/>
      <c r="N131" s="59" t="str">
        <f t="shared" si="10"/>
        <v>Inserts - General|Most Wanted|MW-2|Base</v>
      </c>
      <c r="O131" s="59">
        <f t="shared" si="11"/>
        <v>228</v>
      </c>
    </row>
    <row r="132" spans="1:15" x14ac:dyDescent="0.25">
      <c r="A132" s="90" t="s">
        <v>31</v>
      </c>
      <c r="B132" s="90" t="s">
        <v>86</v>
      </c>
      <c r="C132" s="90" t="s">
        <v>386</v>
      </c>
      <c r="D132" s="91" t="s">
        <v>387</v>
      </c>
      <c r="E132" s="90" t="s">
        <v>60</v>
      </c>
      <c r="F132" s="90">
        <v>900</v>
      </c>
      <c r="G132" s="90" t="s">
        <v>183</v>
      </c>
      <c r="H132" s="90">
        <v>5</v>
      </c>
      <c r="I132" s="90">
        <f>'Odds &amp; Rarity'!$D$13</f>
        <v>1026000</v>
      </c>
      <c r="J132" s="90">
        <f t="shared" ref="J132:J195" si="12">IF(OR(I132="",F132="",H132=""),"",ROUND(I132/(F132*H132),0))</f>
        <v>228</v>
      </c>
      <c r="K132" s="90">
        <f t="shared" ref="K132:K195" si="13">J132</f>
        <v>228</v>
      </c>
      <c r="L132" s="90">
        <f t="shared" ref="L132:L195" si="14">J132</f>
        <v>228</v>
      </c>
      <c r="M132" s="91"/>
      <c r="N132" s="59" t="str">
        <f t="shared" si="10"/>
        <v>Inserts - General|Most Wanted|MW-3|Base</v>
      </c>
      <c r="O132" s="59">
        <f t="shared" si="11"/>
        <v>228</v>
      </c>
    </row>
    <row r="133" spans="1:15" x14ac:dyDescent="0.25">
      <c r="A133" s="90" t="s">
        <v>31</v>
      </c>
      <c r="B133" s="90" t="s">
        <v>86</v>
      </c>
      <c r="C133" s="90" t="s">
        <v>388</v>
      </c>
      <c r="D133" s="91" t="s">
        <v>389</v>
      </c>
      <c r="E133" s="90" t="s">
        <v>60</v>
      </c>
      <c r="F133" s="90">
        <v>900</v>
      </c>
      <c r="G133" s="90" t="s">
        <v>183</v>
      </c>
      <c r="H133" s="90">
        <v>5</v>
      </c>
      <c r="I133" s="90">
        <f>'Odds &amp; Rarity'!$D$13</f>
        <v>1026000</v>
      </c>
      <c r="J133" s="90">
        <f t="shared" si="12"/>
        <v>228</v>
      </c>
      <c r="K133" s="90">
        <f t="shared" si="13"/>
        <v>228</v>
      </c>
      <c r="L133" s="90">
        <f t="shared" si="14"/>
        <v>228</v>
      </c>
      <c r="M133" s="91"/>
      <c r="N133" s="59" t="str">
        <f t="shared" si="10"/>
        <v>Inserts - General|Most Wanted|MW-4|Base</v>
      </c>
      <c r="O133" s="59">
        <f t="shared" si="11"/>
        <v>228</v>
      </c>
    </row>
    <row r="134" spans="1:15" x14ac:dyDescent="0.25">
      <c r="A134" s="90" t="s">
        <v>31</v>
      </c>
      <c r="B134" s="90" t="s">
        <v>86</v>
      </c>
      <c r="C134" s="90" t="s">
        <v>390</v>
      </c>
      <c r="D134" s="91" t="s">
        <v>391</v>
      </c>
      <c r="E134" s="90" t="s">
        <v>60</v>
      </c>
      <c r="F134" s="90">
        <v>900</v>
      </c>
      <c r="G134" s="90" t="s">
        <v>183</v>
      </c>
      <c r="H134" s="90">
        <v>5</v>
      </c>
      <c r="I134" s="90">
        <f>'Odds &amp; Rarity'!$D$13</f>
        <v>1026000</v>
      </c>
      <c r="J134" s="90">
        <f t="shared" si="12"/>
        <v>228</v>
      </c>
      <c r="K134" s="90">
        <f t="shared" si="13"/>
        <v>228</v>
      </c>
      <c r="L134" s="90">
        <f t="shared" si="14"/>
        <v>228</v>
      </c>
      <c r="M134" s="91"/>
      <c r="N134" s="59" t="str">
        <f t="shared" si="10"/>
        <v>Inserts - General|Most Wanted|MW-5|Base</v>
      </c>
      <c r="O134" s="59">
        <f t="shared" si="11"/>
        <v>228</v>
      </c>
    </row>
    <row r="135" spans="1:15" x14ac:dyDescent="0.25">
      <c r="A135" s="90" t="s">
        <v>41</v>
      </c>
      <c r="B135" s="90" t="s">
        <v>94</v>
      </c>
      <c r="C135" s="90" t="s">
        <v>392</v>
      </c>
      <c r="D135" s="91" t="s">
        <v>222</v>
      </c>
      <c r="E135" s="90" t="s">
        <v>393</v>
      </c>
      <c r="F135" s="90">
        <v>1080</v>
      </c>
      <c r="G135" s="90" t="s">
        <v>183</v>
      </c>
      <c r="H135" s="90">
        <v>4</v>
      </c>
      <c r="I135" s="90">
        <f>'Odds &amp; Rarity'!$D$13</f>
        <v>1026000</v>
      </c>
      <c r="J135" s="90">
        <f t="shared" si="12"/>
        <v>238</v>
      </c>
      <c r="K135" s="90">
        <f t="shared" si="13"/>
        <v>238</v>
      </c>
      <c r="L135" s="90">
        <f t="shared" si="14"/>
        <v>238</v>
      </c>
      <c r="M135" s="91"/>
      <c r="N135" s="59" t="str">
        <f t="shared" si="10"/>
        <v>Action Figures|Action Figures Autographs Variation|AFV-AS|Autograph Variation</v>
      </c>
      <c r="O135" s="59">
        <f t="shared" si="11"/>
        <v>238</v>
      </c>
    </row>
    <row r="136" spans="1:15" x14ac:dyDescent="0.25">
      <c r="A136" s="90" t="s">
        <v>41</v>
      </c>
      <c r="B136" s="90" t="s">
        <v>94</v>
      </c>
      <c r="C136" s="90" t="s">
        <v>394</v>
      </c>
      <c r="D136" s="91" t="s">
        <v>230</v>
      </c>
      <c r="E136" s="90" t="s">
        <v>393</v>
      </c>
      <c r="F136" s="90">
        <v>1080</v>
      </c>
      <c r="G136" s="90" t="s">
        <v>183</v>
      </c>
      <c r="H136" s="90">
        <v>4</v>
      </c>
      <c r="I136" s="90">
        <f>'Odds &amp; Rarity'!$D$13</f>
        <v>1026000</v>
      </c>
      <c r="J136" s="90">
        <f t="shared" si="12"/>
        <v>238</v>
      </c>
      <c r="K136" s="90">
        <f t="shared" si="13"/>
        <v>238</v>
      </c>
      <c r="L136" s="90">
        <f t="shared" si="14"/>
        <v>238</v>
      </c>
      <c r="M136" s="91"/>
      <c r="N136" s="59" t="str">
        <f t="shared" si="10"/>
        <v>Action Figures|Action Figures Autographs Variation|AFV-CC|Autograph Variation</v>
      </c>
      <c r="O136" s="59">
        <f t="shared" si="11"/>
        <v>238</v>
      </c>
    </row>
    <row r="137" spans="1:15" x14ac:dyDescent="0.25">
      <c r="A137" s="90" t="s">
        <v>41</v>
      </c>
      <c r="B137" s="90" t="s">
        <v>94</v>
      </c>
      <c r="C137" s="90" t="s">
        <v>395</v>
      </c>
      <c r="D137" s="91" t="s">
        <v>244</v>
      </c>
      <c r="E137" s="90" t="s">
        <v>393</v>
      </c>
      <c r="F137" s="90">
        <v>1080</v>
      </c>
      <c r="G137" s="90" t="s">
        <v>183</v>
      </c>
      <c r="H137" s="90">
        <v>4</v>
      </c>
      <c r="I137" s="90">
        <f>'Odds &amp; Rarity'!$D$13</f>
        <v>1026000</v>
      </c>
      <c r="J137" s="90">
        <f t="shared" si="12"/>
        <v>238</v>
      </c>
      <c r="K137" s="90">
        <f t="shared" si="13"/>
        <v>238</v>
      </c>
      <c r="L137" s="90">
        <f t="shared" si="14"/>
        <v>238</v>
      </c>
      <c r="M137" s="91"/>
      <c r="N137" s="59" t="str">
        <f t="shared" si="10"/>
        <v>Action Figures|Action Figures Autographs Variation|AFV-DM|Autograph Variation</v>
      </c>
      <c r="O137" s="59">
        <f t="shared" si="11"/>
        <v>238</v>
      </c>
    </row>
    <row r="138" spans="1:15" x14ac:dyDescent="0.25">
      <c r="A138" s="90" t="s">
        <v>41</v>
      </c>
      <c r="B138" s="90" t="s">
        <v>94</v>
      </c>
      <c r="C138" s="90" t="s">
        <v>396</v>
      </c>
      <c r="D138" s="91" t="s">
        <v>238</v>
      </c>
      <c r="E138" s="90" t="s">
        <v>393</v>
      </c>
      <c r="F138" s="90">
        <v>1080</v>
      </c>
      <c r="G138" s="90" t="s">
        <v>183</v>
      </c>
      <c r="H138" s="90">
        <v>4</v>
      </c>
      <c r="I138" s="90">
        <f>'Odds &amp; Rarity'!$D$13</f>
        <v>1026000</v>
      </c>
      <c r="J138" s="90">
        <f t="shared" si="12"/>
        <v>238</v>
      </c>
      <c r="K138" s="90">
        <f t="shared" si="13"/>
        <v>238</v>
      </c>
      <c r="L138" s="90">
        <f t="shared" si="14"/>
        <v>238</v>
      </c>
      <c r="M138" s="91"/>
      <c r="N138" s="59" t="str">
        <f t="shared" si="10"/>
        <v>Action Figures|Action Figures Autographs Variation|AFV-TC|Autograph Variation</v>
      </c>
      <c r="O138" s="59">
        <f t="shared" si="11"/>
        <v>238</v>
      </c>
    </row>
    <row r="139" spans="1:15" x14ac:dyDescent="0.25">
      <c r="A139" s="90" t="s">
        <v>35</v>
      </c>
      <c r="B139" s="90" t="s">
        <v>132</v>
      </c>
      <c r="C139" s="90" t="s">
        <v>397</v>
      </c>
      <c r="D139" s="91" t="s">
        <v>398</v>
      </c>
      <c r="E139" s="90" t="s">
        <v>60</v>
      </c>
      <c r="F139" s="90">
        <v>630</v>
      </c>
      <c r="G139" s="90" t="s">
        <v>183</v>
      </c>
      <c r="H139" s="90">
        <v>6</v>
      </c>
      <c r="I139" s="90">
        <f>'Odds &amp; Rarity'!$D$13</f>
        <v>1026000</v>
      </c>
      <c r="J139" s="90">
        <f t="shared" si="12"/>
        <v>271</v>
      </c>
      <c r="K139" s="90">
        <f t="shared" si="13"/>
        <v>271</v>
      </c>
      <c r="L139" s="90">
        <f t="shared" si="14"/>
        <v>271</v>
      </c>
      <c r="M139" s="91"/>
      <c r="N139" s="59" t="str">
        <f t="shared" si="10"/>
        <v>Supes Suits|Dual Supes Suits|DSS-1|Base</v>
      </c>
      <c r="O139" s="59">
        <f t="shared" si="11"/>
        <v>271</v>
      </c>
    </row>
    <row r="140" spans="1:15" x14ac:dyDescent="0.25">
      <c r="A140" s="90" t="s">
        <v>35</v>
      </c>
      <c r="B140" s="90" t="s">
        <v>132</v>
      </c>
      <c r="C140" s="90" t="s">
        <v>399</v>
      </c>
      <c r="D140" s="91" t="s">
        <v>400</v>
      </c>
      <c r="E140" s="90" t="s">
        <v>60</v>
      </c>
      <c r="F140" s="90">
        <v>630</v>
      </c>
      <c r="G140" s="90" t="s">
        <v>183</v>
      </c>
      <c r="H140" s="90">
        <v>6</v>
      </c>
      <c r="I140" s="90">
        <f>'Odds &amp; Rarity'!$D$13</f>
        <v>1026000</v>
      </c>
      <c r="J140" s="90">
        <f t="shared" si="12"/>
        <v>271</v>
      </c>
      <c r="K140" s="90">
        <f t="shared" si="13"/>
        <v>271</v>
      </c>
      <c r="L140" s="90">
        <f t="shared" si="14"/>
        <v>271</v>
      </c>
      <c r="M140" s="91"/>
      <c r="N140" s="59" t="str">
        <f t="shared" si="10"/>
        <v>Supes Suits|Dual Supes Suits|DSS-2|Base</v>
      </c>
      <c r="O140" s="59">
        <f t="shared" si="11"/>
        <v>271</v>
      </c>
    </row>
    <row r="141" spans="1:15" x14ac:dyDescent="0.25">
      <c r="A141" s="90" t="s">
        <v>35</v>
      </c>
      <c r="B141" s="90" t="s">
        <v>132</v>
      </c>
      <c r="C141" s="90" t="s">
        <v>401</v>
      </c>
      <c r="D141" s="91" t="s">
        <v>402</v>
      </c>
      <c r="E141" s="90" t="s">
        <v>60</v>
      </c>
      <c r="F141" s="90">
        <v>630</v>
      </c>
      <c r="G141" s="90" t="s">
        <v>183</v>
      </c>
      <c r="H141" s="90">
        <v>6</v>
      </c>
      <c r="I141" s="90">
        <f>'Odds &amp; Rarity'!$D$13</f>
        <v>1026000</v>
      </c>
      <c r="J141" s="90">
        <f t="shared" si="12"/>
        <v>271</v>
      </c>
      <c r="K141" s="90">
        <f t="shared" si="13"/>
        <v>271</v>
      </c>
      <c r="L141" s="90">
        <f t="shared" si="14"/>
        <v>271</v>
      </c>
      <c r="M141" s="91"/>
      <c r="N141" s="59" t="str">
        <f t="shared" si="10"/>
        <v>Supes Suits|Dual Supes Suits|DSS-3|Base</v>
      </c>
      <c r="O141" s="59">
        <f t="shared" si="11"/>
        <v>271</v>
      </c>
    </row>
    <row r="142" spans="1:15" x14ac:dyDescent="0.25">
      <c r="A142" s="90" t="s">
        <v>35</v>
      </c>
      <c r="B142" s="90" t="s">
        <v>132</v>
      </c>
      <c r="C142" s="90" t="s">
        <v>403</v>
      </c>
      <c r="D142" s="91" t="s">
        <v>404</v>
      </c>
      <c r="E142" s="90" t="s">
        <v>60</v>
      </c>
      <c r="F142" s="90">
        <v>630</v>
      </c>
      <c r="G142" s="90" t="s">
        <v>183</v>
      </c>
      <c r="H142" s="90">
        <v>6</v>
      </c>
      <c r="I142" s="90">
        <f>'Odds &amp; Rarity'!$D$13</f>
        <v>1026000</v>
      </c>
      <c r="J142" s="90">
        <f t="shared" si="12"/>
        <v>271</v>
      </c>
      <c r="K142" s="90">
        <f t="shared" si="13"/>
        <v>271</v>
      </c>
      <c r="L142" s="90">
        <f t="shared" si="14"/>
        <v>271</v>
      </c>
      <c r="M142" s="91"/>
      <c r="N142" s="59" t="str">
        <f t="shared" si="10"/>
        <v>Supes Suits|Dual Supes Suits|DSS-4|Base</v>
      </c>
      <c r="O142" s="59">
        <f t="shared" si="11"/>
        <v>271</v>
      </c>
    </row>
    <row r="143" spans="1:15" x14ac:dyDescent="0.25">
      <c r="A143" s="90" t="s">
        <v>35</v>
      </c>
      <c r="B143" s="90" t="s">
        <v>132</v>
      </c>
      <c r="C143" s="90" t="s">
        <v>405</v>
      </c>
      <c r="D143" s="91" t="s">
        <v>406</v>
      </c>
      <c r="E143" s="90" t="s">
        <v>60</v>
      </c>
      <c r="F143" s="90">
        <v>630</v>
      </c>
      <c r="G143" s="90" t="s">
        <v>183</v>
      </c>
      <c r="H143" s="90">
        <v>6</v>
      </c>
      <c r="I143" s="90">
        <f>'Odds &amp; Rarity'!$D$13</f>
        <v>1026000</v>
      </c>
      <c r="J143" s="90">
        <f t="shared" si="12"/>
        <v>271</v>
      </c>
      <c r="K143" s="90">
        <f t="shared" si="13"/>
        <v>271</v>
      </c>
      <c r="L143" s="90">
        <f t="shared" si="14"/>
        <v>271</v>
      </c>
      <c r="M143" s="91"/>
      <c r="N143" s="59" t="str">
        <f t="shared" si="10"/>
        <v>Supes Suits|Dual Supes Suits|DSS-5|Base</v>
      </c>
      <c r="O143" s="59">
        <f t="shared" si="11"/>
        <v>271</v>
      </c>
    </row>
    <row r="144" spans="1:15" x14ac:dyDescent="0.25">
      <c r="A144" s="90" t="s">
        <v>35</v>
      </c>
      <c r="B144" s="90" t="s">
        <v>132</v>
      </c>
      <c r="C144" s="90" t="s">
        <v>407</v>
      </c>
      <c r="D144" s="91" t="s">
        <v>408</v>
      </c>
      <c r="E144" s="90" t="s">
        <v>60</v>
      </c>
      <c r="F144" s="90">
        <v>630</v>
      </c>
      <c r="G144" s="90" t="s">
        <v>183</v>
      </c>
      <c r="H144" s="90">
        <v>6</v>
      </c>
      <c r="I144" s="90">
        <f>'Odds &amp; Rarity'!$D$13</f>
        <v>1026000</v>
      </c>
      <c r="J144" s="90">
        <f t="shared" si="12"/>
        <v>271</v>
      </c>
      <c r="K144" s="90">
        <f t="shared" si="13"/>
        <v>271</v>
      </c>
      <c r="L144" s="90">
        <f t="shared" si="14"/>
        <v>271</v>
      </c>
      <c r="M144" s="91"/>
      <c r="N144" s="59" t="str">
        <f t="shared" si="10"/>
        <v>Supes Suits|Dual Supes Suits|DSS-6|Base</v>
      </c>
      <c r="O144" s="59">
        <f t="shared" si="11"/>
        <v>271</v>
      </c>
    </row>
    <row r="145" spans="1:15" x14ac:dyDescent="0.25">
      <c r="A145" s="90" t="s">
        <v>37</v>
      </c>
      <c r="B145" s="90" t="s">
        <v>138</v>
      </c>
      <c r="C145" s="90" t="s">
        <v>409</v>
      </c>
      <c r="D145" s="91" t="s">
        <v>263</v>
      </c>
      <c r="E145" s="90" t="s">
        <v>60</v>
      </c>
      <c r="F145" s="90">
        <v>105</v>
      </c>
      <c r="G145" s="90" t="s">
        <v>183</v>
      </c>
      <c r="H145" s="90">
        <v>30</v>
      </c>
      <c r="I145" s="90">
        <f>'Odds &amp; Rarity'!$D$13</f>
        <v>1026000</v>
      </c>
      <c r="J145" s="90">
        <f t="shared" si="12"/>
        <v>326</v>
      </c>
      <c r="K145" s="90">
        <f t="shared" si="13"/>
        <v>326</v>
      </c>
      <c r="L145" s="90">
        <f t="shared" si="14"/>
        <v>326</v>
      </c>
      <c r="M145" s="91"/>
      <c r="N145" s="59" t="str">
        <f t="shared" si="10"/>
        <v>Autos - Singles|Characters Auto Parallel|C-1|Base</v>
      </c>
      <c r="O145" s="59">
        <f t="shared" si="11"/>
        <v>326</v>
      </c>
    </row>
    <row r="146" spans="1:15" x14ac:dyDescent="0.25">
      <c r="A146" s="90" t="s">
        <v>37</v>
      </c>
      <c r="B146" s="90" t="s">
        <v>138</v>
      </c>
      <c r="C146" s="90" t="s">
        <v>410</v>
      </c>
      <c r="D146" s="91" t="s">
        <v>270</v>
      </c>
      <c r="E146" s="90" t="s">
        <v>60</v>
      </c>
      <c r="F146" s="90">
        <v>105</v>
      </c>
      <c r="G146" s="90" t="s">
        <v>183</v>
      </c>
      <c r="H146" s="90">
        <v>30</v>
      </c>
      <c r="I146" s="90">
        <f>'Odds &amp; Rarity'!$D$13</f>
        <v>1026000</v>
      </c>
      <c r="J146" s="90">
        <f t="shared" si="12"/>
        <v>326</v>
      </c>
      <c r="K146" s="90">
        <f t="shared" si="13"/>
        <v>326</v>
      </c>
      <c r="L146" s="90">
        <f t="shared" si="14"/>
        <v>326</v>
      </c>
      <c r="M146" s="91"/>
      <c r="N146" s="59" t="str">
        <f t="shared" si="10"/>
        <v>Autos - Singles|Characters Auto Parallel|C-10|Base</v>
      </c>
      <c r="O146" s="59">
        <f t="shared" si="11"/>
        <v>326</v>
      </c>
    </row>
    <row r="147" spans="1:15" x14ac:dyDescent="0.25">
      <c r="A147" s="90" t="s">
        <v>37</v>
      </c>
      <c r="B147" s="90" t="s">
        <v>138</v>
      </c>
      <c r="C147" s="90" t="s">
        <v>411</v>
      </c>
      <c r="D147" s="91" t="s">
        <v>238</v>
      </c>
      <c r="E147" s="90" t="s">
        <v>60</v>
      </c>
      <c r="F147" s="90">
        <v>105</v>
      </c>
      <c r="G147" s="90" t="s">
        <v>183</v>
      </c>
      <c r="H147" s="90">
        <v>30</v>
      </c>
      <c r="I147" s="90">
        <f>'Odds &amp; Rarity'!$D$13</f>
        <v>1026000</v>
      </c>
      <c r="J147" s="90">
        <f t="shared" si="12"/>
        <v>326</v>
      </c>
      <c r="K147" s="90">
        <f t="shared" si="13"/>
        <v>326</v>
      </c>
      <c r="L147" s="90">
        <f t="shared" si="14"/>
        <v>326</v>
      </c>
      <c r="M147" s="91"/>
      <c r="N147" s="59" t="str">
        <f t="shared" si="10"/>
        <v>Autos - Singles|Characters Auto Parallel|C-11|Base</v>
      </c>
      <c r="O147" s="59">
        <f t="shared" si="11"/>
        <v>326</v>
      </c>
    </row>
    <row r="148" spans="1:15" x14ac:dyDescent="0.25">
      <c r="A148" s="90" t="s">
        <v>37</v>
      </c>
      <c r="B148" s="90" t="s">
        <v>138</v>
      </c>
      <c r="C148" s="90" t="s">
        <v>412</v>
      </c>
      <c r="D148" s="91" t="s">
        <v>283</v>
      </c>
      <c r="E148" s="90" t="s">
        <v>60</v>
      </c>
      <c r="F148" s="90">
        <v>105</v>
      </c>
      <c r="G148" s="90" t="s">
        <v>183</v>
      </c>
      <c r="H148" s="90">
        <v>30</v>
      </c>
      <c r="I148" s="90">
        <f>'Odds &amp; Rarity'!$D$13</f>
        <v>1026000</v>
      </c>
      <c r="J148" s="90">
        <f t="shared" si="12"/>
        <v>326</v>
      </c>
      <c r="K148" s="90">
        <f t="shared" si="13"/>
        <v>326</v>
      </c>
      <c r="L148" s="90">
        <f t="shared" si="14"/>
        <v>326</v>
      </c>
      <c r="M148" s="91"/>
      <c r="N148" s="59" t="str">
        <f t="shared" si="10"/>
        <v>Autos - Singles|Characters Auto Parallel|C-12|Base</v>
      </c>
      <c r="O148" s="59">
        <f t="shared" si="11"/>
        <v>326</v>
      </c>
    </row>
    <row r="149" spans="1:15" x14ac:dyDescent="0.25">
      <c r="A149" s="90" t="s">
        <v>37</v>
      </c>
      <c r="B149" s="90" t="s">
        <v>138</v>
      </c>
      <c r="C149" s="90" t="s">
        <v>413</v>
      </c>
      <c r="D149" s="91" t="s">
        <v>216</v>
      </c>
      <c r="E149" s="90" t="s">
        <v>60</v>
      </c>
      <c r="F149" s="90">
        <v>105</v>
      </c>
      <c r="G149" s="90" t="s">
        <v>183</v>
      </c>
      <c r="H149" s="90">
        <v>30</v>
      </c>
      <c r="I149" s="90">
        <f>'Odds &amp; Rarity'!$D$13</f>
        <v>1026000</v>
      </c>
      <c r="J149" s="90">
        <f t="shared" si="12"/>
        <v>326</v>
      </c>
      <c r="K149" s="90">
        <f t="shared" si="13"/>
        <v>326</v>
      </c>
      <c r="L149" s="90">
        <f t="shared" si="14"/>
        <v>326</v>
      </c>
      <c r="M149" s="91"/>
      <c r="N149" s="59" t="str">
        <f t="shared" si="10"/>
        <v>Autos - Singles|Characters Auto Parallel|C-13|Base</v>
      </c>
      <c r="O149" s="59">
        <f t="shared" si="11"/>
        <v>326</v>
      </c>
    </row>
    <row r="150" spans="1:15" x14ac:dyDescent="0.25">
      <c r="A150" s="90" t="s">
        <v>37</v>
      </c>
      <c r="B150" s="90" t="s">
        <v>138</v>
      </c>
      <c r="C150" s="90" t="s">
        <v>414</v>
      </c>
      <c r="D150" s="91" t="s">
        <v>254</v>
      </c>
      <c r="E150" s="90" t="s">
        <v>60</v>
      </c>
      <c r="F150" s="90">
        <v>105</v>
      </c>
      <c r="G150" s="90" t="s">
        <v>183</v>
      </c>
      <c r="H150" s="90">
        <v>30</v>
      </c>
      <c r="I150" s="90">
        <f>'Odds &amp; Rarity'!$D$13</f>
        <v>1026000</v>
      </c>
      <c r="J150" s="90">
        <f t="shared" si="12"/>
        <v>326</v>
      </c>
      <c r="K150" s="90">
        <f t="shared" si="13"/>
        <v>326</v>
      </c>
      <c r="L150" s="90">
        <f t="shared" si="14"/>
        <v>326</v>
      </c>
      <c r="M150" s="91"/>
      <c r="N150" s="59" t="str">
        <f t="shared" si="10"/>
        <v>Autos - Singles|Characters Auto Parallel|C-14|Base</v>
      </c>
      <c r="O150" s="59">
        <f t="shared" si="11"/>
        <v>326</v>
      </c>
    </row>
    <row r="151" spans="1:15" x14ac:dyDescent="0.25">
      <c r="A151" s="90" t="s">
        <v>37</v>
      </c>
      <c r="B151" s="90" t="s">
        <v>138</v>
      </c>
      <c r="C151" s="90" t="s">
        <v>415</v>
      </c>
      <c r="D151" s="91" t="s">
        <v>224</v>
      </c>
      <c r="E151" s="90" t="s">
        <v>60</v>
      </c>
      <c r="F151" s="90">
        <v>105</v>
      </c>
      <c r="G151" s="90" t="s">
        <v>183</v>
      </c>
      <c r="H151" s="90">
        <v>30</v>
      </c>
      <c r="I151" s="90">
        <f>'Odds &amp; Rarity'!$D$13</f>
        <v>1026000</v>
      </c>
      <c r="J151" s="90">
        <f t="shared" si="12"/>
        <v>326</v>
      </c>
      <c r="K151" s="90">
        <f t="shared" si="13"/>
        <v>326</v>
      </c>
      <c r="L151" s="90">
        <f t="shared" si="14"/>
        <v>326</v>
      </c>
      <c r="M151" s="91"/>
      <c r="N151" s="59" t="str">
        <f t="shared" si="10"/>
        <v>Autos - Singles|Characters Auto Parallel|C-15|Base</v>
      </c>
      <c r="O151" s="59">
        <f t="shared" si="11"/>
        <v>326</v>
      </c>
    </row>
    <row r="152" spans="1:15" x14ac:dyDescent="0.25">
      <c r="A152" s="90" t="s">
        <v>37</v>
      </c>
      <c r="B152" s="90" t="s">
        <v>138</v>
      </c>
      <c r="C152" s="90" t="s">
        <v>416</v>
      </c>
      <c r="D152" s="91" t="s">
        <v>234</v>
      </c>
      <c r="E152" s="90" t="s">
        <v>60</v>
      </c>
      <c r="F152" s="90">
        <v>105</v>
      </c>
      <c r="G152" s="90" t="s">
        <v>183</v>
      </c>
      <c r="H152" s="90">
        <v>30</v>
      </c>
      <c r="I152" s="90">
        <f>'Odds &amp; Rarity'!$D$13</f>
        <v>1026000</v>
      </c>
      <c r="J152" s="90">
        <f t="shared" si="12"/>
        <v>326</v>
      </c>
      <c r="K152" s="90">
        <f t="shared" si="13"/>
        <v>326</v>
      </c>
      <c r="L152" s="90">
        <f t="shared" si="14"/>
        <v>326</v>
      </c>
      <c r="M152" s="91"/>
      <c r="N152" s="59" t="str">
        <f t="shared" si="10"/>
        <v>Autos - Singles|Characters Auto Parallel|C-17|Base</v>
      </c>
      <c r="O152" s="59">
        <f t="shared" si="11"/>
        <v>326</v>
      </c>
    </row>
    <row r="153" spans="1:15" x14ac:dyDescent="0.25">
      <c r="A153" s="90" t="s">
        <v>37</v>
      </c>
      <c r="B153" s="90" t="s">
        <v>138</v>
      </c>
      <c r="C153" s="90" t="s">
        <v>417</v>
      </c>
      <c r="D153" s="91" t="s">
        <v>308</v>
      </c>
      <c r="E153" s="90" t="s">
        <v>60</v>
      </c>
      <c r="F153" s="90">
        <v>105</v>
      </c>
      <c r="G153" s="90" t="s">
        <v>183</v>
      </c>
      <c r="H153" s="90">
        <v>30</v>
      </c>
      <c r="I153" s="90">
        <f>'Odds &amp; Rarity'!$D$13</f>
        <v>1026000</v>
      </c>
      <c r="J153" s="90">
        <f t="shared" si="12"/>
        <v>326</v>
      </c>
      <c r="K153" s="90">
        <f t="shared" si="13"/>
        <v>326</v>
      </c>
      <c r="L153" s="90">
        <f t="shared" si="14"/>
        <v>326</v>
      </c>
      <c r="M153" s="91"/>
      <c r="N153" s="59" t="str">
        <f t="shared" si="10"/>
        <v>Autos - Singles|Characters Auto Parallel|C-18|Base</v>
      </c>
      <c r="O153" s="59">
        <f t="shared" si="11"/>
        <v>326</v>
      </c>
    </row>
    <row r="154" spans="1:15" x14ac:dyDescent="0.25">
      <c r="A154" s="90" t="s">
        <v>37</v>
      </c>
      <c r="B154" s="90" t="s">
        <v>138</v>
      </c>
      <c r="C154" s="90" t="s">
        <v>418</v>
      </c>
      <c r="D154" s="91" t="s">
        <v>301</v>
      </c>
      <c r="E154" s="90" t="s">
        <v>60</v>
      </c>
      <c r="F154" s="90">
        <v>105</v>
      </c>
      <c r="G154" s="90" t="s">
        <v>183</v>
      </c>
      <c r="H154" s="90">
        <v>30</v>
      </c>
      <c r="I154" s="90">
        <f>'Odds &amp; Rarity'!$D$13</f>
        <v>1026000</v>
      </c>
      <c r="J154" s="90">
        <f t="shared" si="12"/>
        <v>326</v>
      </c>
      <c r="K154" s="90">
        <f t="shared" si="13"/>
        <v>326</v>
      </c>
      <c r="L154" s="90">
        <f t="shared" si="14"/>
        <v>326</v>
      </c>
      <c r="M154" s="91"/>
      <c r="N154" s="59" t="str">
        <f t="shared" si="10"/>
        <v>Autos - Singles|Characters Auto Parallel|C-19|Base</v>
      </c>
      <c r="O154" s="59">
        <f t="shared" si="11"/>
        <v>326</v>
      </c>
    </row>
    <row r="155" spans="1:15" x14ac:dyDescent="0.25">
      <c r="A155" s="90" t="s">
        <v>37</v>
      </c>
      <c r="B155" s="90" t="s">
        <v>138</v>
      </c>
      <c r="C155" s="90" t="s">
        <v>419</v>
      </c>
      <c r="D155" s="91" t="s">
        <v>222</v>
      </c>
      <c r="E155" s="90" t="s">
        <v>60</v>
      </c>
      <c r="F155" s="90">
        <v>105</v>
      </c>
      <c r="G155" s="90" t="s">
        <v>183</v>
      </c>
      <c r="H155" s="90">
        <v>30</v>
      </c>
      <c r="I155" s="90">
        <f>'Odds &amp; Rarity'!$D$13</f>
        <v>1026000</v>
      </c>
      <c r="J155" s="90">
        <f t="shared" si="12"/>
        <v>326</v>
      </c>
      <c r="K155" s="90">
        <f t="shared" si="13"/>
        <v>326</v>
      </c>
      <c r="L155" s="90">
        <f t="shared" si="14"/>
        <v>326</v>
      </c>
      <c r="M155" s="91"/>
      <c r="N155" s="59" t="str">
        <f t="shared" si="10"/>
        <v>Autos - Singles|Characters Auto Parallel|C-2|Base</v>
      </c>
      <c r="O155" s="59">
        <f t="shared" si="11"/>
        <v>326</v>
      </c>
    </row>
    <row r="156" spans="1:15" x14ac:dyDescent="0.25">
      <c r="A156" s="90" t="s">
        <v>37</v>
      </c>
      <c r="B156" s="90" t="s">
        <v>138</v>
      </c>
      <c r="C156" s="90" t="s">
        <v>420</v>
      </c>
      <c r="D156" s="91" t="s">
        <v>260</v>
      </c>
      <c r="E156" s="90" t="s">
        <v>60</v>
      </c>
      <c r="F156" s="90">
        <v>105</v>
      </c>
      <c r="G156" s="90" t="s">
        <v>183</v>
      </c>
      <c r="H156" s="90">
        <v>30</v>
      </c>
      <c r="I156" s="90">
        <f>'Odds &amp; Rarity'!$D$13</f>
        <v>1026000</v>
      </c>
      <c r="J156" s="90">
        <f t="shared" si="12"/>
        <v>326</v>
      </c>
      <c r="K156" s="90">
        <f t="shared" si="13"/>
        <v>326</v>
      </c>
      <c r="L156" s="90">
        <f t="shared" si="14"/>
        <v>326</v>
      </c>
      <c r="M156" s="91"/>
      <c r="N156" s="59" t="str">
        <f t="shared" si="10"/>
        <v>Autos - Singles|Characters Auto Parallel|C-20|Base</v>
      </c>
      <c r="O156" s="59">
        <f t="shared" si="11"/>
        <v>326</v>
      </c>
    </row>
    <row r="157" spans="1:15" x14ac:dyDescent="0.25">
      <c r="A157" s="90" t="s">
        <v>37</v>
      </c>
      <c r="B157" s="90" t="s">
        <v>138</v>
      </c>
      <c r="C157" s="90" t="s">
        <v>421</v>
      </c>
      <c r="D157" s="91" t="s">
        <v>288</v>
      </c>
      <c r="E157" s="90" t="s">
        <v>60</v>
      </c>
      <c r="F157" s="90">
        <v>105</v>
      </c>
      <c r="G157" s="90" t="s">
        <v>183</v>
      </c>
      <c r="H157" s="90">
        <v>30</v>
      </c>
      <c r="I157" s="90">
        <f>'Odds &amp; Rarity'!$D$13</f>
        <v>1026000</v>
      </c>
      <c r="J157" s="90">
        <f t="shared" si="12"/>
        <v>326</v>
      </c>
      <c r="K157" s="90">
        <f t="shared" si="13"/>
        <v>326</v>
      </c>
      <c r="L157" s="90">
        <f t="shared" si="14"/>
        <v>326</v>
      </c>
      <c r="M157" s="91"/>
      <c r="N157" s="59" t="str">
        <f t="shared" si="10"/>
        <v>Autos - Singles|Characters Auto Parallel|C-21|Base</v>
      </c>
      <c r="O157" s="59">
        <f t="shared" si="11"/>
        <v>326</v>
      </c>
    </row>
    <row r="158" spans="1:15" x14ac:dyDescent="0.25">
      <c r="A158" s="90" t="s">
        <v>37</v>
      </c>
      <c r="B158" s="90" t="s">
        <v>138</v>
      </c>
      <c r="C158" s="90" t="s">
        <v>422</v>
      </c>
      <c r="D158" s="91" t="s">
        <v>228</v>
      </c>
      <c r="E158" s="90" t="s">
        <v>60</v>
      </c>
      <c r="F158" s="90">
        <v>105</v>
      </c>
      <c r="G158" s="90" t="s">
        <v>183</v>
      </c>
      <c r="H158" s="90">
        <v>30</v>
      </c>
      <c r="I158" s="90">
        <f>'Odds &amp; Rarity'!$D$13</f>
        <v>1026000</v>
      </c>
      <c r="J158" s="90">
        <f t="shared" si="12"/>
        <v>326</v>
      </c>
      <c r="K158" s="90">
        <f t="shared" si="13"/>
        <v>326</v>
      </c>
      <c r="L158" s="90">
        <f t="shared" si="14"/>
        <v>326</v>
      </c>
      <c r="M158" s="91"/>
      <c r="N158" s="59" t="str">
        <f t="shared" si="10"/>
        <v>Autos - Singles|Characters Auto Parallel|C-22|Base</v>
      </c>
      <c r="O158" s="59">
        <f t="shared" si="11"/>
        <v>326</v>
      </c>
    </row>
    <row r="159" spans="1:15" x14ac:dyDescent="0.25">
      <c r="A159" s="90" t="s">
        <v>37</v>
      </c>
      <c r="B159" s="90" t="s">
        <v>138</v>
      </c>
      <c r="C159" s="90" t="s">
        <v>423</v>
      </c>
      <c r="D159" s="91" t="s">
        <v>301</v>
      </c>
      <c r="E159" s="90" t="s">
        <v>60</v>
      </c>
      <c r="F159" s="90">
        <v>105</v>
      </c>
      <c r="G159" s="90" t="s">
        <v>183</v>
      </c>
      <c r="H159" s="90">
        <v>30</v>
      </c>
      <c r="I159" s="90">
        <f>'Odds &amp; Rarity'!$D$13</f>
        <v>1026000</v>
      </c>
      <c r="J159" s="90">
        <f t="shared" si="12"/>
        <v>326</v>
      </c>
      <c r="K159" s="90">
        <f t="shared" si="13"/>
        <v>326</v>
      </c>
      <c r="L159" s="90">
        <f t="shared" si="14"/>
        <v>326</v>
      </c>
      <c r="M159" s="91"/>
      <c r="N159" s="59" t="str">
        <f t="shared" si="10"/>
        <v>Autos - Singles|Characters Auto Parallel|C-23|Base</v>
      </c>
      <c r="O159" s="59">
        <f t="shared" si="11"/>
        <v>326</v>
      </c>
    </row>
    <row r="160" spans="1:15" x14ac:dyDescent="0.25">
      <c r="A160" s="90" t="s">
        <v>37</v>
      </c>
      <c r="B160" s="90" t="s">
        <v>138</v>
      </c>
      <c r="C160" s="90" t="s">
        <v>424</v>
      </c>
      <c r="D160" s="91" t="s">
        <v>280</v>
      </c>
      <c r="E160" s="90" t="s">
        <v>60</v>
      </c>
      <c r="F160" s="90">
        <v>105</v>
      </c>
      <c r="G160" s="90" t="s">
        <v>183</v>
      </c>
      <c r="H160" s="90">
        <v>30</v>
      </c>
      <c r="I160" s="90">
        <f>'Odds &amp; Rarity'!$D$13</f>
        <v>1026000</v>
      </c>
      <c r="J160" s="90">
        <f t="shared" si="12"/>
        <v>326</v>
      </c>
      <c r="K160" s="90">
        <f t="shared" si="13"/>
        <v>326</v>
      </c>
      <c r="L160" s="90">
        <f t="shared" si="14"/>
        <v>326</v>
      </c>
      <c r="M160" s="91"/>
      <c r="N160" s="59" t="str">
        <f t="shared" si="10"/>
        <v>Autos - Singles|Characters Auto Parallel|C-29|Base</v>
      </c>
      <c r="O160" s="59">
        <f t="shared" si="11"/>
        <v>326</v>
      </c>
    </row>
    <row r="161" spans="1:15" x14ac:dyDescent="0.25">
      <c r="A161" s="90" t="s">
        <v>37</v>
      </c>
      <c r="B161" s="90" t="s">
        <v>138</v>
      </c>
      <c r="C161" s="90" t="s">
        <v>425</v>
      </c>
      <c r="D161" s="91" t="s">
        <v>274</v>
      </c>
      <c r="E161" s="90" t="s">
        <v>60</v>
      </c>
      <c r="F161" s="90">
        <v>105</v>
      </c>
      <c r="G161" s="90" t="s">
        <v>183</v>
      </c>
      <c r="H161" s="90">
        <v>30</v>
      </c>
      <c r="I161" s="90">
        <f>'Odds &amp; Rarity'!$D$13</f>
        <v>1026000</v>
      </c>
      <c r="J161" s="90">
        <f t="shared" si="12"/>
        <v>326</v>
      </c>
      <c r="K161" s="90">
        <f t="shared" si="13"/>
        <v>326</v>
      </c>
      <c r="L161" s="90">
        <f t="shared" si="14"/>
        <v>326</v>
      </c>
      <c r="M161" s="91"/>
      <c r="N161" s="59" t="str">
        <f t="shared" si="10"/>
        <v>Autos - Singles|Characters Auto Parallel|C-3|Base</v>
      </c>
      <c r="O161" s="59">
        <f t="shared" si="11"/>
        <v>326</v>
      </c>
    </row>
    <row r="162" spans="1:15" x14ac:dyDescent="0.25">
      <c r="A162" s="90" t="s">
        <v>37</v>
      </c>
      <c r="B162" s="90" t="s">
        <v>138</v>
      </c>
      <c r="C162" s="90" t="s">
        <v>426</v>
      </c>
      <c r="D162" s="91" t="s">
        <v>250</v>
      </c>
      <c r="E162" s="90" t="s">
        <v>60</v>
      </c>
      <c r="F162" s="90">
        <v>105</v>
      </c>
      <c r="G162" s="90" t="s">
        <v>183</v>
      </c>
      <c r="H162" s="90">
        <v>30</v>
      </c>
      <c r="I162" s="90">
        <f>'Odds &amp; Rarity'!$D$13</f>
        <v>1026000</v>
      </c>
      <c r="J162" s="90">
        <f t="shared" si="12"/>
        <v>326</v>
      </c>
      <c r="K162" s="90">
        <f t="shared" si="13"/>
        <v>326</v>
      </c>
      <c r="L162" s="90">
        <f t="shared" si="14"/>
        <v>326</v>
      </c>
      <c r="M162" s="91"/>
      <c r="N162" s="59" t="str">
        <f t="shared" si="10"/>
        <v>Autos - Singles|Characters Auto Parallel|C-31|Base</v>
      </c>
      <c r="O162" s="59">
        <f t="shared" si="11"/>
        <v>326</v>
      </c>
    </row>
    <row r="163" spans="1:15" x14ac:dyDescent="0.25">
      <c r="A163" s="90" t="s">
        <v>37</v>
      </c>
      <c r="B163" s="90" t="s">
        <v>138</v>
      </c>
      <c r="C163" s="90" t="s">
        <v>427</v>
      </c>
      <c r="D163" s="91" t="s">
        <v>283</v>
      </c>
      <c r="E163" s="90" t="s">
        <v>60</v>
      </c>
      <c r="F163" s="90">
        <v>105</v>
      </c>
      <c r="G163" s="90" t="s">
        <v>183</v>
      </c>
      <c r="H163" s="90">
        <v>30</v>
      </c>
      <c r="I163" s="90">
        <f>'Odds &amp; Rarity'!$D$13</f>
        <v>1026000</v>
      </c>
      <c r="J163" s="90">
        <f t="shared" si="12"/>
        <v>326</v>
      </c>
      <c r="K163" s="90">
        <f t="shared" si="13"/>
        <v>326</v>
      </c>
      <c r="L163" s="90">
        <f t="shared" si="14"/>
        <v>326</v>
      </c>
      <c r="M163" s="91"/>
      <c r="N163" s="59" t="str">
        <f t="shared" si="10"/>
        <v>Autos - Singles|Characters Auto Parallel|C-39|Base</v>
      </c>
      <c r="O163" s="59">
        <f t="shared" si="11"/>
        <v>326</v>
      </c>
    </row>
    <row r="164" spans="1:15" x14ac:dyDescent="0.25">
      <c r="A164" s="90" t="s">
        <v>37</v>
      </c>
      <c r="B164" s="90" t="s">
        <v>138</v>
      </c>
      <c r="C164" s="90" t="s">
        <v>428</v>
      </c>
      <c r="D164" s="91" t="s">
        <v>248</v>
      </c>
      <c r="E164" s="90" t="s">
        <v>60</v>
      </c>
      <c r="F164" s="90">
        <v>105</v>
      </c>
      <c r="G164" s="90" t="s">
        <v>183</v>
      </c>
      <c r="H164" s="90">
        <v>30</v>
      </c>
      <c r="I164" s="90">
        <f>'Odds &amp; Rarity'!$D$13</f>
        <v>1026000</v>
      </c>
      <c r="J164" s="90">
        <f t="shared" si="12"/>
        <v>326</v>
      </c>
      <c r="K164" s="90">
        <f t="shared" si="13"/>
        <v>326</v>
      </c>
      <c r="L164" s="90">
        <f t="shared" si="14"/>
        <v>326</v>
      </c>
      <c r="M164" s="91"/>
      <c r="N164" s="59" t="str">
        <f t="shared" si="10"/>
        <v>Autos - Singles|Characters Auto Parallel|C-4|Base</v>
      </c>
      <c r="O164" s="59">
        <f t="shared" si="11"/>
        <v>326</v>
      </c>
    </row>
    <row r="165" spans="1:15" x14ac:dyDescent="0.25">
      <c r="A165" s="90" t="s">
        <v>37</v>
      </c>
      <c r="B165" s="90" t="s">
        <v>138</v>
      </c>
      <c r="C165" s="90" t="s">
        <v>429</v>
      </c>
      <c r="D165" s="91" t="s">
        <v>238</v>
      </c>
      <c r="E165" s="90" t="s">
        <v>60</v>
      </c>
      <c r="F165" s="90">
        <v>105</v>
      </c>
      <c r="G165" s="90" t="s">
        <v>183</v>
      </c>
      <c r="H165" s="90">
        <v>30</v>
      </c>
      <c r="I165" s="90">
        <f>'Odds &amp; Rarity'!$D$13</f>
        <v>1026000</v>
      </c>
      <c r="J165" s="90">
        <f t="shared" si="12"/>
        <v>326</v>
      </c>
      <c r="K165" s="90">
        <f t="shared" si="13"/>
        <v>326</v>
      </c>
      <c r="L165" s="90">
        <f t="shared" si="14"/>
        <v>326</v>
      </c>
      <c r="M165" s="91"/>
      <c r="N165" s="59" t="str">
        <f t="shared" si="10"/>
        <v>Autos - Singles|Characters Auto Parallel|C-40|Base</v>
      </c>
      <c r="O165" s="59">
        <f t="shared" si="11"/>
        <v>326</v>
      </c>
    </row>
    <row r="166" spans="1:15" x14ac:dyDescent="0.25">
      <c r="A166" s="90" t="s">
        <v>37</v>
      </c>
      <c r="B166" s="90" t="s">
        <v>138</v>
      </c>
      <c r="C166" s="90" t="s">
        <v>430</v>
      </c>
      <c r="D166" s="91" t="s">
        <v>288</v>
      </c>
      <c r="E166" s="90" t="s">
        <v>60</v>
      </c>
      <c r="F166" s="90">
        <v>105</v>
      </c>
      <c r="G166" s="90" t="s">
        <v>183</v>
      </c>
      <c r="H166" s="90">
        <v>30</v>
      </c>
      <c r="I166" s="90">
        <f>'Odds &amp; Rarity'!$D$13</f>
        <v>1026000</v>
      </c>
      <c r="J166" s="90">
        <f t="shared" si="12"/>
        <v>326</v>
      </c>
      <c r="K166" s="90">
        <f t="shared" si="13"/>
        <v>326</v>
      </c>
      <c r="L166" s="90">
        <f t="shared" si="14"/>
        <v>326</v>
      </c>
      <c r="M166" s="91"/>
      <c r="N166" s="59" t="str">
        <f t="shared" si="10"/>
        <v>Autos - Singles|Characters Auto Parallel|C-42|Base</v>
      </c>
      <c r="O166" s="59">
        <f t="shared" si="11"/>
        <v>326</v>
      </c>
    </row>
    <row r="167" spans="1:15" x14ac:dyDescent="0.25">
      <c r="A167" s="90" t="s">
        <v>37</v>
      </c>
      <c r="B167" s="90" t="s">
        <v>138</v>
      </c>
      <c r="C167" s="90" t="s">
        <v>431</v>
      </c>
      <c r="D167" s="91" t="s">
        <v>234</v>
      </c>
      <c r="E167" s="90" t="s">
        <v>60</v>
      </c>
      <c r="F167" s="90">
        <v>105</v>
      </c>
      <c r="G167" s="90" t="s">
        <v>183</v>
      </c>
      <c r="H167" s="90">
        <v>30</v>
      </c>
      <c r="I167" s="90">
        <f>'Odds &amp; Rarity'!$D$13</f>
        <v>1026000</v>
      </c>
      <c r="J167" s="90">
        <f t="shared" si="12"/>
        <v>326</v>
      </c>
      <c r="K167" s="90">
        <f t="shared" si="13"/>
        <v>326</v>
      </c>
      <c r="L167" s="90">
        <f t="shared" si="14"/>
        <v>326</v>
      </c>
      <c r="M167" s="91"/>
      <c r="N167" s="59" t="str">
        <f t="shared" si="10"/>
        <v>Autos - Singles|Characters Auto Parallel|C-45|Base</v>
      </c>
      <c r="O167" s="59">
        <f t="shared" si="11"/>
        <v>326</v>
      </c>
    </row>
    <row r="168" spans="1:15" x14ac:dyDescent="0.25">
      <c r="A168" s="90" t="s">
        <v>37</v>
      </c>
      <c r="B168" s="90" t="s">
        <v>138</v>
      </c>
      <c r="C168" s="90" t="s">
        <v>432</v>
      </c>
      <c r="D168" s="91" t="s">
        <v>248</v>
      </c>
      <c r="E168" s="90" t="s">
        <v>60</v>
      </c>
      <c r="F168" s="90">
        <v>105</v>
      </c>
      <c r="G168" s="90" t="s">
        <v>183</v>
      </c>
      <c r="H168" s="90">
        <v>30</v>
      </c>
      <c r="I168" s="90">
        <f>'Odds &amp; Rarity'!$D$13</f>
        <v>1026000</v>
      </c>
      <c r="J168" s="90">
        <f t="shared" si="12"/>
        <v>326</v>
      </c>
      <c r="K168" s="90">
        <f t="shared" si="13"/>
        <v>326</v>
      </c>
      <c r="L168" s="90">
        <f t="shared" si="14"/>
        <v>326</v>
      </c>
      <c r="M168" s="91"/>
      <c r="N168" s="59" t="str">
        <f t="shared" si="10"/>
        <v>Autos - Singles|Characters Auto Parallel|C-46|Base</v>
      </c>
      <c r="O168" s="59">
        <f t="shared" si="11"/>
        <v>326</v>
      </c>
    </row>
    <row r="169" spans="1:15" x14ac:dyDescent="0.25">
      <c r="A169" s="90" t="s">
        <v>37</v>
      </c>
      <c r="B169" s="90" t="s">
        <v>138</v>
      </c>
      <c r="C169" s="90" t="s">
        <v>433</v>
      </c>
      <c r="D169" s="91" t="s">
        <v>222</v>
      </c>
      <c r="E169" s="90" t="s">
        <v>60</v>
      </c>
      <c r="F169" s="90">
        <v>105</v>
      </c>
      <c r="G169" s="90" t="s">
        <v>183</v>
      </c>
      <c r="H169" s="90">
        <v>30</v>
      </c>
      <c r="I169" s="90">
        <f>'Odds &amp; Rarity'!$D$13</f>
        <v>1026000</v>
      </c>
      <c r="J169" s="90">
        <f t="shared" si="12"/>
        <v>326</v>
      </c>
      <c r="K169" s="90">
        <f t="shared" si="13"/>
        <v>326</v>
      </c>
      <c r="L169" s="90">
        <f t="shared" si="14"/>
        <v>326</v>
      </c>
      <c r="M169" s="91"/>
      <c r="N169" s="59" t="str">
        <f t="shared" si="10"/>
        <v>Autos - Singles|Characters Auto Parallel|C-47|Base</v>
      </c>
      <c r="O169" s="59">
        <f t="shared" si="11"/>
        <v>326</v>
      </c>
    </row>
    <row r="170" spans="1:15" x14ac:dyDescent="0.25">
      <c r="A170" s="90" t="s">
        <v>37</v>
      </c>
      <c r="B170" s="90" t="s">
        <v>138</v>
      </c>
      <c r="C170" s="90" t="s">
        <v>434</v>
      </c>
      <c r="D170" s="91" t="s">
        <v>267</v>
      </c>
      <c r="E170" s="90" t="s">
        <v>60</v>
      </c>
      <c r="F170" s="90">
        <v>105</v>
      </c>
      <c r="G170" s="90" t="s">
        <v>183</v>
      </c>
      <c r="H170" s="90">
        <v>30</v>
      </c>
      <c r="I170" s="90">
        <f>'Odds &amp; Rarity'!$D$13</f>
        <v>1026000</v>
      </c>
      <c r="J170" s="90">
        <f t="shared" si="12"/>
        <v>326</v>
      </c>
      <c r="K170" s="90">
        <f t="shared" si="13"/>
        <v>326</v>
      </c>
      <c r="L170" s="90">
        <f t="shared" si="14"/>
        <v>326</v>
      </c>
      <c r="M170" s="91"/>
      <c r="N170" s="59" t="str">
        <f t="shared" si="10"/>
        <v>Autos - Singles|Characters Auto Parallel|C-5|Base</v>
      </c>
      <c r="O170" s="59">
        <f t="shared" si="11"/>
        <v>326</v>
      </c>
    </row>
    <row r="171" spans="1:15" x14ac:dyDescent="0.25">
      <c r="A171" s="90" t="s">
        <v>37</v>
      </c>
      <c r="B171" s="90" t="s">
        <v>138</v>
      </c>
      <c r="C171" s="90" t="s">
        <v>435</v>
      </c>
      <c r="D171" s="91" t="s">
        <v>250</v>
      </c>
      <c r="E171" s="90" t="s">
        <v>60</v>
      </c>
      <c r="F171" s="90">
        <v>105</v>
      </c>
      <c r="G171" s="90" t="s">
        <v>183</v>
      </c>
      <c r="H171" s="90">
        <v>30</v>
      </c>
      <c r="I171" s="90">
        <f>'Odds &amp; Rarity'!$D$13</f>
        <v>1026000</v>
      </c>
      <c r="J171" s="90">
        <f t="shared" si="12"/>
        <v>326</v>
      </c>
      <c r="K171" s="90">
        <f t="shared" si="13"/>
        <v>326</v>
      </c>
      <c r="L171" s="90">
        <f t="shared" si="14"/>
        <v>326</v>
      </c>
      <c r="M171" s="91"/>
      <c r="N171" s="59" t="str">
        <f t="shared" si="10"/>
        <v>Autos - Singles|Characters Auto Parallel|C-6|Base</v>
      </c>
      <c r="O171" s="59">
        <f t="shared" si="11"/>
        <v>326</v>
      </c>
    </row>
    <row r="172" spans="1:15" x14ac:dyDescent="0.25">
      <c r="A172" s="90" t="s">
        <v>37</v>
      </c>
      <c r="B172" s="90" t="s">
        <v>138</v>
      </c>
      <c r="C172" s="90" t="s">
        <v>436</v>
      </c>
      <c r="D172" s="91" t="s">
        <v>230</v>
      </c>
      <c r="E172" s="90" t="s">
        <v>60</v>
      </c>
      <c r="F172" s="90">
        <v>105</v>
      </c>
      <c r="G172" s="90" t="s">
        <v>183</v>
      </c>
      <c r="H172" s="90">
        <v>30</v>
      </c>
      <c r="I172" s="90">
        <f>'Odds &amp; Rarity'!$D$13</f>
        <v>1026000</v>
      </c>
      <c r="J172" s="90">
        <f t="shared" si="12"/>
        <v>326</v>
      </c>
      <c r="K172" s="90">
        <f t="shared" si="13"/>
        <v>326</v>
      </c>
      <c r="L172" s="90">
        <f t="shared" si="14"/>
        <v>326</v>
      </c>
      <c r="M172" s="91"/>
      <c r="N172" s="59" t="str">
        <f t="shared" si="10"/>
        <v>Autos - Singles|Characters Auto Parallel|C-7|Base</v>
      </c>
      <c r="O172" s="59">
        <f t="shared" si="11"/>
        <v>326</v>
      </c>
    </row>
    <row r="173" spans="1:15" x14ac:dyDescent="0.25">
      <c r="A173" s="90" t="s">
        <v>37</v>
      </c>
      <c r="B173" s="90" t="s">
        <v>138</v>
      </c>
      <c r="C173" s="90" t="s">
        <v>437</v>
      </c>
      <c r="D173" s="91" t="s">
        <v>276</v>
      </c>
      <c r="E173" s="90" t="s">
        <v>60</v>
      </c>
      <c r="F173" s="90">
        <v>105</v>
      </c>
      <c r="G173" s="90" t="s">
        <v>183</v>
      </c>
      <c r="H173" s="90">
        <v>30</v>
      </c>
      <c r="I173" s="90">
        <f>'Odds &amp; Rarity'!$D$13</f>
        <v>1026000</v>
      </c>
      <c r="J173" s="90">
        <f t="shared" si="12"/>
        <v>326</v>
      </c>
      <c r="K173" s="90">
        <f t="shared" si="13"/>
        <v>326</v>
      </c>
      <c r="L173" s="90">
        <f t="shared" si="14"/>
        <v>326</v>
      </c>
      <c r="M173" s="91"/>
      <c r="N173" s="59" t="str">
        <f t="shared" si="10"/>
        <v>Autos - Singles|Characters Auto Parallel|C-8|Base</v>
      </c>
      <c r="O173" s="59">
        <f t="shared" si="11"/>
        <v>326</v>
      </c>
    </row>
    <row r="174" spans="1:15" x14ac:dyDescent="0.25">
      <c r="A174" s="90" t="s">
        <v>37</v>
      </c>
      <c r="B174" s="90" t="s">
        <v>138</v>
      </c>
      <c r="C174" s="90" t="s">
        <v>438</v>
      </c>
      <c r="D174" s="91" t="s">
        <v>244</v>
      </c>
      <c r="E174" s="90" t="s">
        <v>60</v>
      </c>
      <c r="F174" s="90">
        <v>105</v>
      </c>
      <c r="G174" s="90" t="s">
        <v>183</v>
      </c>
      <c r="H174" s="90">
        <v>30</v>
      </c>
      <c r="I174" s="90">
        <f>'Odds &amp; Rarity'!$D$13</f>
        <v>1026000</v>
      </c>
      <c r="J174" s="90">
        <f t="shared" si="12"/>
        <v>326</v>
      </c>
      <c r="K174" s="90">
        <f t="shared" si="13"/>
        <v>326</v>
      </c>
      <c r="L174" s="90">
        <f t="shared" si="14"/>
        <v>326</v>
      </c>
      <c r="M174" s="91"/>
      <c r="N174" s="59" t="str">
        <f t="shared" si="10"/>
        <v>Autos - Singles|Characters Auto Parallel|C-9|Base</v>
      </c>
      <c r="O174" s="59">
        <f t="shared" si="11"/>
        <v>326</v>
      </c>
    </row>
    <row r="175" spans="1:15" x14ac:dyDescent="0.25">
      <c r="A175" s="90" t="s">
        <v>29</v>
      </c>
      <c r="B175" s="90" t="s">
        <v>29</v>
      </c>
      <c r="C175" s="90" t="s">
        <v>439</v>
      </c>
      <c r="D175" s="91" t="s">
        <v>391</v>
      </c>
      <c r="E175" s="90" t="s">
        <v>60</v>
      </c>
      <c r="F175" s="90">
        <v>180</v>
      </c>
      <c r="G175" s="90" t="s">
        <v>183</v>
      </c>
      <c r="H175" s="90">
        <v>15</v>
      </c>
      <c r="I175" s="90">
        <f>'Odds &amp; Rarity'!$D$13</f>
        <v>1026000</v>
      </c>
      <c r="J175" s="90">
        <f t="shared" si="12"/>
        <v>380</v>
      </c>
      <c r="K175" s="90">
        <f t="shared" si="13"/>
        <v>380</v>
      </c>
      <c r="L175" s="90">
        <f t="shared" si="14"/>
        <v>380</v>
      </c>
      <c r="M175" s="91"/>
      <c r="N175" s="59" t="str">
        <f t="shared" si="10"/>
        <v>Retro|Retro|R-1|Base</v>
      </c>
      <c r="O175" s="59">
        <f t="shared" si="11"/>
        <v>380</v>
      </c>
    </row>
    <row r="176" spans="1:15" x14ac:dyDescent="0.25">
      <c r="A176" s="90" t="s">
        <v>29</v>
      </c>
      <c r="B176" s="90" t="s">
        <v>29</v>
      </c>
      <c r="C176" s="90" t="s">
        <v>440</v>
      </c>
      <c r="D176" s="91" t="s">
        <v>441</v>
      </c>
      <c r="E176" s="90" t="s">
        <v>60</v>
      </c>
      <c r="F176" s="90">
        <v>180</v>
      </c>
      <c r="G176" s="90" t="s">
        <v>183</v>
      </c>
      <c r="H176" s="90">
        <v>15</v>
      </c>
      <c r="I176" s="90">
        <f>'Odds &amp; Rarity'!$D$13</f>
        <v>1026000</v>
      </c>
      <c r="J176" s="90">
        <f t="shared" si="12"/>
        <v>380</v>
      </c>
      <c r="K176" s="90">
        <f t="shared" si="13"/>
        <v>380</v>
      </c>
      <c r="L176" s="90">
        <f t="shared" si="14"/>
        <v>380</v>
      </c>
      <c r="M176" s="91"/>
      <c r="N176" s="59" t="str">
        <f t="shared" si="10"/>
        <v>Retro|Retro|R-10|Base</v>
      </c>
      <c r="O176" s="59">
        <f t="shared" si="11"/>
        <v>380</v>
      </c>
    </row>
    <row r="177" spans="1:15" x14ac:dyDescent="0.25">
      <c r="A177" s="90" t="s">
        <v>29</v>
      </c>
      <c r="B177" s="90" t="s">
        <v>29</v>
      </c>
      <c r="C177" s="90" t="s">
        <v>442</v>
      </c>
      <c r="D177" s="91" t="s">
        <v>389</v>
      </c>
      <c r="E177" s="90" t="s">
        <v>60</v>
      </c>
      <c r="F177" s="90">
        <v>180</v>
      </c>
      <c r="G177" s="90" t="s">
        <v>183</v>
      </c>
      <c r="H177" s="90">
        <v>15</v>
      </c>
      <c r="I177" s="90">
        <f>'Odds &amp; Rarity'!$D$13</f>
        <v>1026000</v>
      </c>
      <c r="J177" s="90">
        <f t="shared" si="12"/>
        <v>380</v>
      </c>
      <c r="K177" s="90">
        <f t="shared" si="13"/>
        <v>380</v>
      </c>
      <c r="L177" s="90">
        <f t="shared" si="14"/>
        <v>380</v>
      </c>
      <c r="M177" s="91"/>
      <c r="N177" s="59" t="str">
        <f t="shared" si="10"/>
        <v>Retro|Retro|R-11|Base</v>
      </c>
      <c r="O177" s="59">
        <f t="shared" si="11"/>
        <v>380</v>
      </c>
    </row>
    <row r="178" spans="1:15" x14ac:dyDescent="0.25">
      <c r="A178" s="90" t="s">
        <v>29</v>
      </c>
      <c r="B178" s="90" t="s">
        <v>29</v>
      </c>
      <c r="C178" s="90" t="s">
        <v>443</v>
      </c>
      <c r="D178" s="91" t="s">
        <v>444</v>
      </c>
      <c r="E178" s="90" t="s">
        <v>60</v>
      </c>
      <c r="F178" s="90">
        <v>180</v>
      </c>
      <c r="G178" s="90" t="s">
        <v>183</v>
      </c>
      <c r="H178" s="90">
        <v>15</v>
      </c>
      <c r="I178" s="90">
        <f>'Odds &amp; Rarity'!$D$13</f>
        <v>1026000</v>
      </c>
      <c r="J178" s="90">
        <f t="shared" si="12"/>
        <v>380</v>
      </c>
      <c r="K178" s="90">
        <f t="shared" si="13"/>
        <v>380</v>
      </c>
      <c r="L178" s="90">
        <f t="shared" si="14"/>
        <v>380</v>
      </c>
      <c r="M178" s="91"/>
      <c r="N178" s="59" t="str">
        <f t="shared" si="10"/>
        <v>Retro|Retro|R-12|Base</v>
      </c>
      <c r="O178" s="59">
        <f t="shared" si="11"/>
        <v>380</v>
      </c>
    </row>
    <row r="179" spans="1:15" x14ac:dyDescent="0.25">
      <c r="A179" s="90" t="s">
        <v>29</v>
      </c>
      <c r="B179" s="90" t="s">
        <v>29</v>
      </c>
      <c r="C179" s="90" t="s">
        <v>445</v>
      </c>
      <c r="D179" s="91" t="s">
        <v>446</v>
      </c>
      <c r="E179" s="90" t="s">
        <v>60</v>
      </c>
      <c r="F179" s="90">
        <v>180</v>
      </c>
      <c r="G179" s="90" t="s">
        <v>183</v>
      </c>
      <c r="H179" s="90">
        <v>15</v>
      </c>
      <c r="I179" s="90">
        <f>'Odds &amp; Rarity'!$D$13</f>
        <v>1026000</v>
      </c>
      <c r="J179" s="90">
        <f t="shared" si="12"/>
        <v>380</v>
      </c>
      <c r="K179" s="90">
        <f t="shared" si="13"/>
        <v>380</v>
      </c>
      <c r="L179" s="90">
        <f t="shared" si="14"/>
        <v>380</v>
      </c>
      <c r="M179" s="91"/>
      <c r="N179" s="59" t="str">
        <f t="shared" si="10"/>
        <v>Retro|Retro|R-13|Base</v>
      </c>
      <c r="O179" s="59">
        <f t="shared" si="11"/>
        <v>380</v>
      </c>
    </row>
    <row r="180" spans="1:15" x14ac:dyDescent="0.25">
      <c r="A180" s="90" t="s">
        <v>29</v>
      </c>
      <c r="B180" s="90" t="s">
        <v>29</v>
      </c>
      <c r="C180" s="90" t="s">
        <v>447</v>
      </c>
      <c r="D180" s="91" t="s">
        <v>345</v>
      </c>
      <c r="E180" s="90" t="s">
        <v>60</v>
      </c>
      <c r="F180" s="90">
        <v>180</v>
      </c>
      <c r="G180" s="90" t="s">
        <v>183</v>
      </c>
      <c r="H180" s="90">
        <v>15</v>
      </c>
      <c r="I180" s="90">
        <f>'Odds &amp; Rarity'!$D$13</f>
        <v>1026000</v>
      </c>
      <c r="J180" s="90">
        <f t="shared" si="12"/>
        <v>380</v>
      </c>
      <c r="K180" s="90">
        <f t="shared" si="13"/>
        <v>380</v>
      </c>
      <c r="L180" s="90">
        <f t="shared" si="14"/>
        <v>380</v>
      </c>
      <c r="M180" s="91"/>
      <c r="N180" s="59" t="str">
        <f t="shared" si="10"/>
        <v>Retro|Retro|R-14|Base</v>
      </c>
      <c r="O180" s="59">
        <f t="shared" si="11"/>
        <v>380</v>
      </c>
    </row>
    <row r="181" spans="1:15" x14ac:dyDescent="0.25">
      <c r="A181" s="90" t="s">
        <v>29</v>
      </c>
      <c r="B181" s="90" t="s">
        <v>29</v>
      </c>
      <c r="C181" s="90" t="s">
        <v>448</v>
      </c>
      <c r="D181" s="91" t="s">
        <v>339</v>
      </c>
      <c r="E181" s="90" t="s">
        <v>60</v>
      </c>
      <c r="F181" s="90">
        <v>180</v>
      </c>
      <c r="G181" s="90" t="s">
        <v>183</v>
      </c>
      <c r="H181" s="90">
        <v>15</v>
      </c>
      <c r="I181" s="90">
        <f>'Odds &amp; Rarity'!$D$13</f>
        <v>1026000</v>
      </c>
      <c r="J181" s="90">
        <f t="shared" si="12"/>
        <v>380</v>
      </c>
      <c r="K181" s="90">
        <f t="shared" si="13"/>
        <v>380</v>
      </c>
      <c r="L181" s="90">
        <f t="shared" si="14"/>
        <v>380</v>
      </c>
      <c r="M181" s="91"/>
      <c r="N181" s="59" t="str">
        <f t="shared" si="10"/>
        <v>Retro|Retro|R-15|Base</v>
      </c>
      <c r="O181" s="59">
        <f t="shared" si="11"/>
        <v>380</v>
      </c>
    </row>
    <row r="182" spans="1:15" x14ac:dyDescent="0.25">
      <c r="A182" s="90" t="s">
        <v>29</v>
      </c>
      <c r="B182" s="90" t="s">
        <v>29</v>
      </c>
      <c r="C182" s="90" t="s">
        <v>449</v>
      </c>
      <c r="D182" s="91" t="s">
        <v>341</v>
      </c>
      <c r="E182" s="90" t="s">
        <v>60</v>
      </c>
      <c r="F182" s="90">
        <v>180</v>
      </c>
      <c r="G182" s="90" t="s">
        <v>183</v>
      </c>
      <c r="H182" s="90">
        <v>15</v>
      </c>
      <c r="I182" s="90">
        <f>'Odds &amp; Rarity'!$D$13</f>
        <v>1026000</v>
      </c>
      <c r="J182" s="90">
        <f t="shared" si="12"/>
        <v>380</v>
      </c>
      <c r="K182" s="90">
        <f t="shared" si="13"/>
        <v>380</v>
      </c>
      <c r="L182" s="90">
        <f t="shared" si="14"/>
        <v>380</v>
      </c>
      <c r="M182" s="91"/>
      <c r="N182" s="59" t="str">
        <f t="shared" si="10"/>
        <v>Retro|Retro|R-2|Base</v>
      </c>
      <c r="O182" s="59">
        <f t="shared" si="11"/>
        <v>380</v>
      </c>
    </row>
    <row r="183" spans="1:15" x14ac:dyDescent="0.25">
      <c r="A183" s="90" t="s">
        <v>29</v>
      </c>
      <c r="B183" s="90" t="s">
        <v>29</v>
      </c>
      <c r="C183" s="90" t="s">
        <v>450</v>
      </c>
      <c r="D183" s="91" t="s">
        <v>384</v>
      </c>
      <c r="E183" s="90" t="s">
        <v>60</v>
      </c>
      <c r="F183" s="90">
        <v>180</v>
      </c>
      <c r="G183" s="90" t="s">
        <v>183</v>
      </c>
      <c r="H183" s="90">
        <v>15</v>
      </c>
      <c r="I183" s="90">
        <f>'Odds &amp; Rarity'!$D$13</f>
        <v>1026000</v>
      </c>
      <c r="J183" s="90">
        <f t="shared" si="12"/>
        <v>380</v>
      </c>
      <c r="K183" s="90">
        <f t="shared" si="13"/>
        <v>380</v>
      </c>
      <c r="L183" s="90">
        <f t="shared" si="14"/>
        <v>380</v>
      </c>
      <c r="M183" s="91"/>
      <c r="N183" s="59" t="str">
        <f t="shared" si="10"/>
        <v>Retro|Retro|R-3|Base</v>
      </c>
      <c r="O183" s="59">
        <f t="shared" si="11"/>
        <v>380</v>
      </c>
    </row>
    <row r="184" spans="1:15" x14ac:dyDescent="0.25">
      <c r="A184" s="90" t="s">
        <v>29</v>
      </c>
      <c r="B184" s="90" t="s">
        <v>29</v>
      </c>
      <c r="C184" s="90" t="s">
        <v>451</v>
      </c>
      <c r="D184" s="91" t="s">
        <v>343</v>
      </c>
      <c r="E184" s="90" t="s">
        <v>60</v>
      </c>
      <c r="F184" s="90">
        <v>180</v>
      </c>
      <c r="G184" s="90" t="s">
        <v>183</v>
      </c>
      <c r="H184" s="90">
        <v>15</v>
      </c>
      <c r="I184" s="90">
        <f>'Odds &amp; Rarity'!$D$13</f>
        <v>1026000</v>
      </c>
      <c r="J184" s="90">
        <f t="shared" si="12"/>
        <v>380</v>
      </c>
      <c r="K184" s="90">
        <f t="shared" si="13"/>
        <v>380</v>
      </c>
      <c r="L184" s="90">
        <f t="shared" si="14"/>
        <v>380</v>
      </c>
      <c r="M184" s="91"/>
      <c r="N184" s="59" t="str">
        <f t="shared" si="10"/>
        <v>Retro|Retro|R-4|Base</v>
      </c>
      <c r="O184" s="59">
        <f t="shared" si="11"/>
        <v>380</v>
      </c>
    </row>
    <row r="185" spans="1:15" x14ac:dyDescent="0.25">
      <c r="A185" s="90" t="s">
        <v>29</v>
      </c>
      <c r="B185" s="90" t="s">
        <v>29</v>
      </c>
      <c r="C185" s="90" t="s">
        <v>452</v>
      </c>
      <c r="D185" s="91" t="s">
        <v>337</v>
      </c>
      <c r="E185" s="90" t="s">
        <v>60</v>
      </c>
      <c r="F185" s="90">
        <v>180</v>
      </c>
      <c r="G185" s="90" t="s">
        <v>183</v>
      </c>
      <c r="H185" s="90">
        <v>15</v>
      </c>
      <c r="I185" s="90">
        <f>'Odds &amp; Rarity'!$D$13</f>
        <v>1026000</v>
      </c>
      <c r="J185" s="90">
        <f t="shared" si="12"/>
        <v>380</v>
      </c>
      <c r="K185" s="90">
        <f t="shared" si="13"/>
        <v>380</v>
      </c>
      <c r="L185" s="90">
        <f t="shared" si="14"/>
        <v>380</v>
      </c>
      <c r="M185" s="91"/>
      <c r="N185" s="59" t="str">
        <f t="shared" si="10"/>
        <v>Retro|Retro|R-5|Base</v>
      </c>
      <c r="O185" s="59">
        <f t="shared" si="11"/>
        <v>380</v>
      </c>
    </row>
    <row r="186" spans="1:15" x14ac:dyDescent="0.25">
      <c r="A186" s="90" t="s">
        <v>29</v>
      </c>
      <c r="B186" s="90" t="s">
        <v>29</v>
      </c>
      <c r="C186" s="90" t="s">
        <v>453</v>
      </c>
      <c r="D186" s="91" t="s">
        <v>454</v>
      </c>
      <c r="E186" s="90" t="s">
        <v>60</v>
      </c>
      <c r="F186" s="90">
        <v>180</v>
      </c>
      <c r="G186" s="90" t="s">
        <v>183</v>
      </c>
      <c r="H186" s="90">
        <v>15</v>
      </c>
      <c r="I186" s="90">
        <f>'Odds &amp; Rarity'!$D$13</f>
        <v>1026000</v>
      </c>
      <c r="J186" s="90">
        <f t="shared" si="12"/>
        <v>380</v>
      </c>
      <c r="K186" s="90">
        <f t="shared" si="13"/>
        <v>380</v>
      </c>
      <c r="L186" s="90">
        <f t="shared" si="14"/>
        <v>380</v>
      </c>
      <c r="M186" s="91"/>
      <c r="N186" s="59" t="str">
        <f t="shared" si="10"/>
        <v>Retro|Retro|R-6|Base</v>
      </c>
      <c r="O186" s="59">
        <f t="shared" si="11"/>
        <v>380</v>
      </c>
    </row>
    <row r="187" spans="1:15" x14ac:dyDescent="0.25">
      <c r="A187" s="90" t="s">
        <v>29</v>
      </c>
      <c r="B187" s="90" t="s">
        <v>29</v>
      </c>
      <c r="C187" s="90" t="s">
        <v>455</v>
      </c>
      <c r="D187" s="91" t="s">
        <v>387</v>
      </c>
      <c r="E187" s="90" t="s">
        <v>60</v>
      </c>
      <c r="F187" s="90">
        <v>180</v>
      </c>
      <c r="G187" s="90" t="s">
        <v>183</v>
      </c>
      <c r="H187" s="90">
        <v>15</v>
      </c>
      <c r="I187" s="90">
        <f>'Odds &amp; Rarity'!$D$13</f>
        <v>1026000</v>
      </c>
      <c r="J187" s="90">
        <f t="shared" si="12"/>
        <v>380</v>
      </c>
      <c r="K187" s="90">
        <f t="shared" si="13"/>
        <v>380</v>
      </c>
      <c r="L187" s="90">
        <f t="shared" si="14"/>
        <v>380</v>
      </c>
      <c r="M187" s="91"/>
      <c r="N187" s="59" t="str">
        <f t="shared" si="10"/>
        <v>Retro|Retro|R-7|Base</v>
      </c>
      <c r="O187" s="59">
        <f t="shared" si="11"/>
        <v>380</v>
      </c>
    </row>
    <row r="188" spans="1:15" x14ac:dyDescent="0.25">
      <c r="A188" s="90" t="s">
        <v>29</v>
      </c>
      <c r="B188" s="90" t="s">
        <v>29</v>
      </c>
      <c r="C188" s="90" t="s">
        <v>456</v>
      </c>
      <c r="D188" s="91" t="s">
        <v>347</v>
      </c>
      <c r="E188" s="90" t="s">
        <v>60</v>
      </c>
      <c r="F188" s="90">
        <v>180</v>
      </c>
      <c r="G188" s="90" t="s">
        <v>183</v>
      </c>
      <c r="H188" s="90">
        <v>15</v>
      </c>
      <c r="I188" s="90">
        <f>'Odds &amp; Rarity'!$D$13</f>
        <v>1026000</v>
      </c>
      <c r="J188" s="90">
        <f t="shared" si="12"/>
        <v>380</v>
      </c>
      <c r="K188" s="90">
        <f t="shared" si="13"/>
        <v>380</v>
      </c>
      <c r="L188" s="90">
        <f t="shared" si="14"/>
        <v>380</v>
      </c>
      <c r="M188" s="91"/>
      <c r="N188" s="59" t="str">
        <f t="shared" si="10"/>
        <v>Retro|Retro|R-8|Base</v>
      </c>
      <c r="O188" s="59">
        <f t="shared" si="11"/>
        <v>380</v>
      </c>
    </row>
    <row r="189" spans="1:15" x14ac:dyDescent="0.25">
      <c r="A189" s="90" t="s">
        <v>29</v>
      </c>
      <c r="B189" s="90" t="s">
        <v>29</v>
      </c>
      <c r="C189" s="90" t="s">
        <v>457</v>
      </c>
      <c r="D189" s="91" t="s">
        <v>458</v>
      </c>
      <c r="E189" s="90" t="s">
        <v>60</v>
      </c>
      <c r="F189" s="90">
        <v>180</v>
      </c>
      <c r="G189" s="90" t="s">
        <v>183</v>
      </c>
      <c r="H189" s="90">
        <v>15</v>
      </c>
      <c r="I189" s="90">
        <f>'Odds &amp; Rarity'!$D$13</f>
        <v>1026000</v>
      </c>
      <c r="J189" s="90">
        <f t="shared" si="12"/>
        <v>380</v>
      </c>
      <c r="K189" s="90">
        <f t="shared" si="13"/>
        <v>380</v>
      </c>
      <c r="L189" s="90">
        <f t="shared" si="14"/>
        <v>380</v>
      </c>
      <c r="M189" s="91"/>
      <c r="N189" s="59" t="str">
        <f t="shared" si="10"/>
        <v>Retro|Retro|R-9|Base</v>
      </c>
      <c r="O189" s="59">
        <f t="shared" si="11"/>
        <v>380</v>
      </c>
    </row>
    <row r="190" spans="1:15" x14ac:dyDescent="0.25">
      <c r="A190" s="90" t="s">
        <v>25</v>
      </c>
      <c r="B190" s="90" t="s">
        <v>25</v>
      </c>
      <c r="C190" s="90" t="s">
        <v>459</v>
      </c>
      <c r="D190" s="91" t="s">
        <v>460</v>
      </c>
      <c r="E190" s="90" t="s">
        <v>60</v>
      </c>
      <c r="F190" s="90">
        <v>100</v>
      </c>
      <c r="G190" s="90" t="s">
        <v>183</v>
      </c>
      <c r="H190" s="90">
        <v>25</v>
      </c>
      <c r="I190" s="90">
        <f>'Odds &amp; Rarity'!$D$13</f>
        <v>1026000</v>
      </c>
      <c r="J190" s="90">
        <f t="shared" si="12"/>
        <v>410</v>
      </c>
      <c r="K190" s="90">
        <f t="shared" si="13"/>
        <v>410</v>
      </c>
      <c r="L190" s="90">
        <f t="shared" si="14"/>
        <v>410</v>
      </c>
      <c r="M190" s="91"/>
      <c r="N190" s="59" t="str">
        <f t="shared" si="10"/>
        <v>Team Ups|Team Ups|TU-1|Base</v>
      </c>
      <c r="O190" s="59">
        <f t="shared" si="11"/>
        <v>410</v>
      </c>
    </row>
    <row r="191" spans="1:15" x14ac:dyDescent="0.25">
      <c r="A191" s="90" t="s">
        <v>25</v>
      </c>
      <c r="B191" s="90" t="s">
        <v>25</v>
      </c>
      <c r="C191" s="90" t="s">
        <v>461</v>
      </c>
      <c r="D191" s="91" t="s">
        <v>462</v>
      </c>
      <c r="E191" s="90" t="s">
        <v>60</v>
      </c>
      <c r="F191" s="90">
        <v>100</v>
      </c>
      <c r="G191" s="90" t="s">
        <v>183</v>
      </c>
      <c r="H191" s="90">
        <v>25</v>
      </c>
      <c r="I191" s="90">
        <f>'Odds &amp; Rarity'!$D$13</f>
        <v>1026000</v>
      </c>
      <c r="J191" s="90">
        <f t="shared" si="12"/>
        <v>410</v>
      </c>
      <c r="K191" s="90">
        <f t="shared" si="13"/>
        <v>410</v>
      </c>
      <c r="L191" s="90">
        <f t="shared" si="14"/>
        <v>410</v>
      </c>
      <c r="M191" s="91"/>
      <c r="N191" s="59" t="str">
        <f t="shared" si="10"/>
        <v>Team Ups|Team Ups|TU-10|Base</v>
      </c>
      <c r="O191" s="59">
        <f t="shared" si="11"/>
        <v>410</v>
      </c>
    </row>
    <row r="192" spans="1:15" x14ac:dyDescent="0.25">
      <c r="A192" s="90" t="s">
        <v>25</v>
      </c>
      <c r="B192" s="90" t="s">
        <v>25</v>
      </c>
      <c r="C192" s="90" t="s">
        <v>463</v>
      </c>
      <c r="D192" s="91" t="s">
        <v>464</v>
      </c>
      <c r="E192" s="90" t="s">
        <v>60</v>
      </c>
      <c r="F192" s="90">
        <v>100</v>
      </c>
      <c r="G192" s="90" t="s">
        <v>183</v>
      </c>
      <c r="H192" s="90">
        <v>25</v>
      </c>
      <c r="I192" s="90">
        <f>'Odds &amp; Rarity'!$D$13</f>
        <v>1026000</v>
      </c>
      <c r="J192" s="90">
        <f t="shared" si="12"/>
        <v>410</v>
      </c>
      <c r="K192" s="90">
        <f t="shared" si="13"/>
        <v>410</v>
      </c>
      <c r="L192" s="90">
        <f t="shared" si="14"/>
        <v>410</v>
      </c>
      <c r="M192" s="91"/>
      <c r="N192" s="59" t="str">
        <f t="shared" si="10"/>
        <v>Team Ups|Team Ups|TU-11|Base</v>
      </c>
      <c r="O192" s="59">
        <f t="shared" si="11"/>
        <v>410</v>
      </c>
    </row>
    <row r="193" spans="1:15" x14ac:dyDescent="0.25">
      <c r="A193" s="90" t="s">
        <v>25</v>
      </c>
      <c r="B193" s="90" t="s">
        <v>25</v>
      </c>
      <c r="C193" s="90" t="s">
        <v>465</v>
      </c>
      <c r="D193" s="91" t="s">
        <v>466</v>
      </c>
      <c r="E193" s="90" t="s">
        <v>60</v>
      </c>
      <c r="F193" s="90">
        <v>100</v>
      </c>
      <c r="G193" s="90" t="s">
        <v>183</v>
      </c>
      <c r="H193" s="90">
        <v>25</v>
      </c>
      <c r="I193" s="90">
        <f>'Odds &amp; Rarity'!$D$13</f>
        <v>1026000</v>
      </c>
      <c r="J193" s="90">
        <f t="shared" si="12"/>
        <v>410</v>
      </c>
      <c r="K193" s="90">
        <f t="shared" si="13"/>
        <v>410</v>
      </c>
      <c r="L193" s="90">
        <f t="shared" si="14"/>
        <v>410</v>
      </c>
      <c r="M193" s="91"/>
      <c r="N193" s="59" t="str">
        <f t="shared" si="10"/>
        <v>Team Ups|Team Ups|TU-12|Base</v>
      </c>
      <c r="O193" s="59">
        <f t="shared" si="11"/>
        <v>410</v>
      </c>
    </row>
    <row r="194" spans="1:15" x14ac:dyDescent="0.25">
      <c r="A194" s="90" t="s">
        <v>25</v>
      </c>
      <c r="B194" s="90" t="s">
        <v>25</v>
      </c>
      <c r="C194" s="90" t="s">
        <v>467</v>
      </c>
      <c r="D194" s="91" t="s">
        <v>468</v>
      </c>
      <c r="E194" s="90" t="s">
        <v>60</v>
      </c>
      <c r="F194" s="90">
        <v>100</v>
      </c>
      <c r="G194" s="90" t="s">
        <v>183</v>
      </c>
      <c r="H194" s="90">
        <v>25</v>
      </c>
      <c r="I194" s="90">
        <f>'Odds &amp; Rarity'!$D$13</f>
        <v>1026000</v>
      </c>
      <c r="J194" s="90">
        <f t="shared" si="12"/>
        <v>410</v>
      </c>
      <c r="K194" s="90">
        <f t="shared" si="13"/>
        <v>410</v>
      </c>
      <c r="L194" s="90">
        <f t="shared" si="14"/>
        <v>410</v>
      </c>
      <c r="M194" s="91"/>
      <c r="N194" s="59" t="str">
        <f t="shared" ref="N194:N257" si="15">IF($A194="","",$A194&amp;"|"&amp;$B194&amp;"|"&amp;$C194&amp;"|"&amp;$E194)</f>
        <v>Team Ups|Team Ups|TU-13|Base</v>
      </c>
      <c r="O194" s="59">
        <f t="shared" ref="O194:O257" si="16">IF($A194="","",$J194)</f>
        <v>410</v>
      </c>
    </row>
    <row r="195" spans="1:15" x14ac:dyDescent="0.25">
      <c r="A195" s="90" t="s">
        <v>25</v>
      </c>
      <c r="B195" s="90" t="s">
        <v>25</v>
      </c>
      <c r="C195" s="90" t="s">
        <v>469</v>
      </c>
      <c r="D195" s="91" t="s">
        <v>470</v>
      </c>
      <c r="E195" s="90" t="s">
        <v>60</v>
      </c>
      <c r="F195" s="90">
        <v>100</v>
      </c>
      <c r="G195" s="90" t="s">
        <v>183</v>
      </c>
      <c r="H195" s="90">
        <v>25</v>
      </c>
      <c r="I195" s="90">
        <f>'Odds &amp; Rarity'!$D$13</f>
        <v>1026000</v>
      </c>
      <c r="J195" s="90">
        <f t="shared" si="12"/>
        <v>410</v>
      </c>
      <c r="K195" s="90">
        <f t="shared" si="13"/>
        <v>410</v>
      </c>
      <c r="L195" s="90">
        <f t="shared" si="14"/>
        <v>410</v>
      </c>
      <c r="M195" s="91"/>
      <c r="N195" s="59" t="str">
        <f t="shared" si="15"/>
        <v>Team Ups|Team Ups|TU-14|Base</v>
      </c>
      <c r="O195" s="59">
        <f t="shared" si="16"/>
        <v>410</v>
      </c>
    </row>
    <row r="196" spans="1:15" x14ac:dyDescent="0.25">
      <c r="A196" s="90" t="s">
        <v>25</v>
      </c>
      <c r="B196" s="90" t="s">
        <v>25</v>
      </c>
      <c r="C196" s="90" t="s">
        <v>471</v>
      </c>
      <c r="D196" s="91" t="s">
        <v>472</v>
      </c>
      <c r="E196" s="90" t="s">
        <v>60</v>
      </c>
      <c r="F196" s="90">
        <v>100</v>
      </c>
      <c r="G196" s="90" t="s">
        <v>183</v>
      </c>
      <c r="H196" s="90">
        <v>25</v>
      </c>
      <c r="I196" s="90">
        <f>'Odds &amp; Rarity'!$D$13</f>
        <v>1026000</v>
      </c>
      <c r="J196" s="90">
        <f t="shared" ref="J196:J259" si="17">IF(OR(I196="",F196="",H196=""),"",ROUND(I196/(F196*H196),0))</f>
        <v>410</v>
      </c>
      <c r="K196" s="90">
        <f t="shared" ref="K196:K259" si="18">J196</f>
        <v>410</v>
      </c>
      <c r="L196" s="90">
        <f t="shared" ref="L196:L259" si="19">J196</f>
        <v>410</v>
      </c>
      <c r="M196" s="91"/>
      <c r="N196" s="59" t="str">
        <f t="shared" si="15"/>
        <v>Team Ups|Team Ups|TU-15|Base</v>
      </c>
      <c r="O196" s="59">
        <f t="shared" si="16"/>
        <v>410</v>
      </c>
    </row>
    <row r="197" spans="1:15" x14ac:dyDescent="0.25">
      <c r="A197" s="90" t="s">
        <v>25</v>
      </c>
      <c r="B197" s="90" t="s">
        <v>25</v>
      </c>
      <c r="C197" s="90" t="s">
        <v>473</v>
      </c>
      <c r="D197" s="91" t="s">
        <v>474</v>
      </c>
      <c r="E197" s="90" t="s">
        <v>60</v>
      </c>
      <c r="F197" s="90">
        <v>100</v>
      </c>
      <c r="G197" s="90" t="s">
        <v>183</v>
      </c>
      <c r="H197" s="90">
        <v>25</v>
      </c>
      <c r="I197" s="90">
        <f>'Odds &amp; Rarity'!$D$13</f>
        <v>1026000</v>
      </c>
      <c r="J197" s="90">
        <f t="shared" si="17"/>
        <v>410</v>
      </c>
      <c r="K197" s="90">
        <f t="shared" si="18"/>
        <v>410</v>
      </c>
      <c r="L197" s="90">
        <f t="shared" si="19"/>
        <v>410</v>
      </c>
      <c r="M197" s="91"/>
      <c r="N197" s="59" t="str">
        <f t="shared" si="15"/>
        <v>Team Ups|Team Ups|TU-16|Base</v>
      </c>
      <c r="O197" s="59">
        <f t="shared" si="16"/>
        <v>410</v>
      </c>
    </row>
    <row r="198" spans="1:15" x14ac:dyDescent="0.25">
      <c r="A198" s="90" t="s">
        <v>25</v>
      </c>
      <c r="B198" s="90" t="s">
        <v>25</v>
      </c>
      <c r="C198" s="90" t="s">
        <v>475</v>
      </c>
      <c r="D198" s="91" t="s">
        <v>476</v>
      </c>
      <c r="E198" s="90" t="s">
        <v>60</v>
      </c>
      <c r="F198" s="90">
        <v>100</v>
      </c>
      <c r="G198" s="90" t="s">
        <v>183</v>
      </c>
      <c r="H198" s="90">
        <v>25</v>
      </c>
      <c r="I198" s="90">
        <f>'Odds &amp; Rarity'!$D$13</f>
        <v>1026000</v>
      </c>
      <c r="J198" s="90">
        <f t="shared" si="17"/>
        <v>410</v>
      </c>
      <c r="K198" s="90">
        <f t="shared" si="18"/>
        <v>410</v>
      </c>
      <c r="L198" s="90">
        <f t="shared" si="19"/>
        <v>410</v>
      </c>
      <c r="M198" s="91"/>
      <c r="N198" s="59" t="str">
        <f t="shared" si="15"/>
        <v>Team Ups|Team Ups|TU-17|Base</v>
      </c>
      <c r="O198" s="59">
        <f t="shared" si="16"/>
        <v>410</v>
      </c>
    </row>
    <row r="199" spans="1:15" x14ac:dyDescent="0.25">
      <c r="A199" s="90" t="s">
        <v>25</v>
      </c>
      <c r="B199" s="90" t="s">
        <v>25</v>
      </c>
      <c r="C199" s="90" t="s">
        <v>477</v>
      </c>
      <c r="D199" s="91" t="s">
        <v>478</v>
      </c>
      <c r="E199" s="90" t="s">
        <v>60</v>
      </c>
      <c r="F199" s="90">
        <v>100</v>
      </c>
      <c r="G199" s="90" t="s">
        <v>183</v>
      </c>
      <c r="H199" s="90">
        <v>25</v>
      </c>
      <c r="I199" s="90">
        <f>'Odds &amp; Rarity'!$D$13</f>
        <v>1026000</v>
      </c>
      <c r="J199" s="90">
        <f t="shared" si="17"/>
        <v>410</v>
      </c>
      <c r="K199" s="90">
        <f t="shared" si="18"/>
        <v>410</v>
      </c>
      <c r="L199" s="90">
        <f t="shared" si="19"/>
        <v>410</v>
      </c>
      <c r="M199" s="91"/>
      <c r="N199" s="59" t="str">
        <f t="shared" si="15"/>
        <v>Team Ups|Team Ups|TU-18|Base</v>
      </c>
      <c r="O199" s="59">
        <f t="shared" si="16"/>
        <v>410</v>
      </c>
    </row>
    <row r="200" spans="1:15" x14ac:dyDescent="0.25">
      <c r="A200" s="90" t="s">
        <v>25</v>
      </c>
      <c r="B200" s="90" t="s">
        <v>25</v>
      </c>
      <c r="C200" s="90" t="s">
        <v>479</v>
      </c>
      <c r="D200" s="91" t="s">
        <v>480</v>
      </c>
      <c r="E200" s="90" t="s">
        <v>60</v>
      </c>
      <c r="F200" s="90">
        <v>100</v>
      </c>
      <c r="G200" s="90" t="s">
        <v>183</v>
      </c>
      <c r="H200" s="90">
        <v>25</v>
      </c>
      <c r="I200" s="90">
        <f>'Odds &amp; Rarity'!$D$13</f>
        <v>1026000</v>
      </c>
      <c r="J200" s="90">
        <f t="shared" si="17"/>
        <v>410</v>
      </c>
      <c r="K200" s="90">
        <f t="shared" si="18"/>
        <v>410</v>
      </c>
      <c r="L200" s="90">
        <f t="shared" si="19"/>
        <v>410</v>
      </c>
      <c r="M200" s="91"/>
      <c r="N200" s="59" t="str">
        <f t="shared" si="15"/>
        <v>Team Ups|Team Ups|TU-19|Base</v>
      </c>
      <c r="O200" s="59">
        <f t="shared" si="16"/>
        <v>410</v>
      </c>
    </row>
    <row r="201" spans="1:15" x14ac:dyDescent="0.25">
      <c r="A201" s="90" t="s">
        <v>25</v>
      </c>
      <c r="B201" s="90" t="s">
        <v>25</v>
      </c>
      <c r="C201" s="90" t="s">
        <v>481</v>
      </c>
      <c r="D201" s="91" t="s">
        <v>482</v>
      </c>
      <c r="E201" s="90" t="s">
        <v>60</v>
      </c>
      <c r="F201" s="90">
        <v>100</v>
      </c>
      <c r="G201" s="90" t="s">
        <v>183</v>
      </c>
      <c r="H201" s="90">
        <v>25</v>
      </c>
      <c r="I201" s="90">
        <f>'Odds &amp; Rarity'!$D$13</f>
        <v>1026000</v>
      </c>
      <c r="J201" s="90">
        <f t="shared" si="17"/>
        <v>410</v>
      </c>
      <c r="K201" s="90">
        <f t="shared" si="18"/>
        <v>410</v>
      </c>
      <c r="L201" s="90">
        <f t="shared" si="19"/>
        <v>410</v>
      </c>
      <c r="M201" s="91"/>
      <c r="N201" s="59" t="str">
        <f t="shared" si="15"/>
        <v>Team Ups|Team Ups|TU-2|Base</v>
      </c>
      <c r="O201" s="59">
        <f t="shared" si="16"/>
        <v>410</v>
      </c>
    </row>
    <row r="202" spans="1:15" x14ac:dyDescent="0.25">
      <c r="A202" s="90" t="s">
        <v>25</v>
      </c>
      <c r="B202" s="90" t="s">
        <v>25</v>
      </c>
      <c r="C202" s="90" t="s">
        <v>483</v>
      </c>
      <c r="D202" s="91" t="s">
        <v>484</v>
      </c>
      <c r="E202" s="90" t="s">
        <v>60</v>
      </c>
      <c r="F202" s="90">
        <v>100</v>
      </c>
      <c r="G202" s="90" t="s">
        <v>183</v>
      </c>
      <c r="H202" s="90">
        <v>25</v>
      </c>
      <c r="I202" s="90">
        <f>'Odds &amp; Rarity'!$D$13</f>
        <v>1026000</v>
      </c>
      <c r="J202" s="90">
        <f t="shared" si="17"/>
        <v>410</v>
      </c>
      <c r="K202" s="90">
        <f t="shared" si="18"/>
        <v>410</v>
      </c>
      <c r="L202" s="90">
        <f t="shared" si="19"/>
        <v>410</v>
      </c>
      <c r="M202" s="91"/>
      <c r="N202" s="59" t="str">
        <f t="shared" si="15"/>
        <v>Team Ups|Team Ups|TU-20|Base</v>
      </c>
      <c r="O202" s="59">
        <f t="shared" si="16"/>
        <v>410</v>
      </c>
    </row>
    <row r="203" spans="1:15" x14ac:dyDescent="0.25">
      <c r="A203" s="90" t="s">
        <v>25</v>
      </c>
      <c r="B203" s="90" t="s">
        <v>25</v>
      </c>
      <c r="C203" s="90" t="s">
        <v>485</v>
      </c>
      <c r="D203" s="91" t="s">
        <v>486</v>
      </c>
      <c r="E203" s="90" t="s">
        <v>60</v>
      </c>
      <c r="F203" s="90">
        <v>100</v>
      </c>
      <c r="G203" s="90" t="s">
        <v>183</v>
      </c>
      <c r="H203" s="90">
        <v>25</v>
      </c>
      <c r="I203" s="90">
        <f>'Odds &amp; Rarity'!$D$13</f>
        <v>1026000</v>
      </c>
      <c r="J203" s="90">
        <f t="shared" si="17"/>
        <v>410</v>
      </c>
      <c r="K203" s="90">
        <f t="shared" si="18"/>
        <v>410</v>
      </c>
      <c r="L203" s="90">
        <f t="shared" si="19"/>
        <v>410</v>
      </c>
      <c r="M203" s="91"/>
      <c r="N203" s="59" t="str">
        <f t="shared" si="15"/>
        <v>Team Ups|Team Ups|TU-21|Base</v>
      </c>
      <c r="O203" s="59">
        <f t="shared" si="16"/>
        <v>410</v>
      </c>
    </row>
    <row r="204" spans="1:15" x14ac:dyDescent="0.25">
      <c r="A204" s="90" t="s">
        <v>25</v>
      </c>
      <c r="B204" s="90" t="s">
        <v>25</v>
      </c>
      <c r="C204" s="90" t="s">
        <v>487</v>
      </c>
      <c r="D204" s="91" t="s">
        <v>488</v>
      </c>
      <c r="E204" s="90" t="s">
        <v>60</v>
      </c>
      <c r="F204" s="90">
        <v>100</v>
      </c>
      <c r="G204" s="90" t="s">
        <v>183</v>
      </c>
      <c r="H204" s="90">
        <v>25</v>
      </c>
      <c r="I204" s="90">
        <f>'Odds &amp; Rarity'!$D$13</f>
        <v>1026000</v>
      </c>
      <c r="J204" s="90">
        <f t="shared" si="17"/>
        <v>410</v>
      </c>
      <c r="K204" s="90">
        <f t="shared" si="18"/>
        <v>410</v>
      </c>
      <c r="L204" s="90">
        <f t="shared" si="19"/>
        <v>410</v>
      </c>
      <c r="M204" s="91"/>
      <c r="N204" s="59" t="str">
        <f t="shared" si="15"/>
        <v>Team Ups|Team Ups|TU-22|Base</v>
      </c>
      <c r="O204" s="59">
        <f t="shared" si="16"/>
        <v>410</v>
      </c>
    </row>
    <row r="205" spans="1:15" x14ac:dyDescent="0.25">
      <c r="A205" s="90" t="s">
        <v>25</v>
      </c>
      <c r="B205" s="90" t="s">
        <v>25</v>
      </c>
      <c r="C205" s="90" t="s">
        <v>489</v>
      </c>
      <c r="D205" s="91" t="s">
        <v>490</v>
      </c>
      <c r="E205" s="90" t="s">
        <v>60</v>
      </c>
      <c r="F205" s="90">
        <v>100</v>
      </c>
      <c r="G205" s="90" t="s">
        <v>183</v>
      </c>
      <c r="H205" s="90">
        <v>25</v>
      </c>
      <c r="I205" s="90">
        <f>'Odds &amp; Rarity'!$D$13</f>
        <v>1026000</v>
      </c>
      <c r="J205" s="90">
        <f t="shared" si="17"/>
        <v>410</v>
      </c>
      <c r="K205" s="90">
        <f t="shared" si="18"/>
        <v>410</v>
      </c>
      <c r="L205" s="90">
        <f t="shared" si="19"/>
        <v>410</v>
      </c>
      <c r="M205" s="91"/>
      <c r="N205" s="59" t="str">
        <f t="shared" si="15"/>
        <v>Team Ups|Team Ups|TU-23|Base</v>
      </c>
      <c r="O205" s="59">
        <f t="shared" si="16"/>
        <v>410</v>
      </c>
    </row>
    <row r="206" spans="1:15" x14ac:dyDescent="0.25">
      <c r="A206" s="90" t="s">
        <v>25</v>
      </c>
      <c r="B206" s="90" t="s">
        <v>25</v>
      </c>
      <c r="C206" s="90" t="s">
        <v>491</v>
      </c>
      <c r="D206" s="91" t="s">
        <v>492</v>
      </c>
      <c r="E206" s="90" t="s">
        <v>60</v>
      </c>
      <c r="F206" s="90">
        <v>100</v>
      </c>
      <c r="G206" s="90" t="s">
        <v>183</v>
      </c>
      <c r="H206" s="90">
        <v>25</v>
      </c>
      <c r="I206" s="90">
        <f>'Odds &amp; Rarity'!$D$13</f>
        <v>1026000</v>
      </c>
      <c r="J206" s="90">
        <f t="shared" si="17"/>
        <v>410</v>
      </c>
      <c r="K206" s="90">
        <f t="shared" si="18"/>
        <v>410</v>
      </c>
      <c r="L206" s="90">
        <f t="shared" si="19"/>
        <v>410</v>
      </c>
      <c r="M206" s="91"/>
      <c r="N206" s="59" t="str">
        <f t="shared" si="15"/>
        <v>Team Ups|Team Ups|TU-24|Base</v>
      </c>
      <c r="O206" s="59">
        <f t="shared" si="16"/>
        <v>410</v>
      </c>
    </row>
    <row r="207" spans="1:15" x14ac:dyDescent="0.25">
      <c r="A207" s="90" t="s">
        <v>25</v>
      </c>
      <c r="B207" s="90" t="s">
        <v>25</v>
      </c>
      <c r="C207" s="90" t="s">
        <v>493</v>
      </c>
      <c r="D207" s="91" t="s">
        <v>494</v>
      </c>
      <c r="E207" s="90" t="s">
        <v>60</v>
      </c>
      <c r="F207" s="90">
        <v>100</v>
      </c>
      <c r="G207" s="90" t="s">
        <v>183</v>
      </c>
      <c r="H207" s="90">
        <v>25</v>
      </c>
      <c r="I207" s="90">
        <f>'Odds &amp; Rarity'!$D$13</f>
        <v>1026000</v>
      </c>
      <c r="J207" s="90">
        <f t="shared" si="17"/>
        <v>410</v>
      </c>
      <c r="K207" s="90">
        <f t="shared" si="18"/>
        <v>410</v>
      </c>
      <c r="L207" s="90">
        <f t="shared" si="19"/>
        <v>410</v>
      </c>
      <c r="M207" s="91"/>
      <c r="N207" s="59" t="str">
        <f t="shared" si="15"/>
        <v>Team Ups|Team Ups|TU-25|Base</v>
      </c>
      <c r="O207" s="59">
        <f t="shared" si="16"/>
        <v>410</v>
      </c>
    </row>
    <row r="208" spans="1:15" x14ac:dyDescent="0.25">
      <c r="A208" s="90" t="s">
        <v>25</v>
      </c>
      <c r="B208" s="90" t="s">
        <v>25</v>
      </c>
      <c r="C208" s="90" t="s">
        <v>495</v>
      </c>
      <c r="D208" s="91" t="s">
        <v>496</v>
      </c>
      <c r="E208" s="90" t="s">
        <v>60</v>
      </c>
      <c r="F208" s="90">
        <v>100</v>
      </c>
      <c r="G208" s="90" t="s">
        <v>183</v>
      </c>
      <c r="H208" s="90">
        <v>25</v>
      </c>
      <c r="I208" s="90">
        <f>'Odds &amp; Rarity'!$D$13</f>
        <v>1026000</v>
      </c>
      <c r="J208" s="90">
        <f t="shared" si="17"/>
        <v>410</v>
      </c>
      <c r="K208" s="90">
        <f t="shared" si="18"/>
        <v>410</v>
      </c>
      <c r="L208" s="90">
        <f t="shared" si="19"/>
        <v>410</v>
      </c>
      <c r="M208" s="91"/>
      <c r="N208" s="59" t="str">
        <f t="shared" si="15"/>
        <v>Team Ups|Team Ups|TU-3|Base</v>
      </c>
      <c r="O208" s="59">
        <f t="shared" si="16"/>
        <v>410</v>
      </c>
    </row>
    <row r="209" spans="1:15" x14ac:dyDescent="0.25">
      <c r="A209" s="90" t="s">
        <v>25</v>
      </c>
      <c r="B209" s="90" t="s">
        <v>25</v>
      </c>
      <c r="C209" s="90" t="s">
        <v>497</v>
      </c>
      <c r="D209" s="91" t="s">
        <v>498</v>
      </c>
      <c r="E209" s="90" t="s">
        <v>60</v>
      </c>
      <c r="F209" s="90">
        <v>100</v>
      </c>
      <c r="G209" s="90" t="s">
        <v>183</v>
      </c>
      <c r="H209" s="90">
        <v>25</v>
      </c>
      <c r="I209" s="90">
        <f>'Odds &amp; Rarity'!$D$13</f>
        <v>1026000</v>
      </c>
      <c r="J209" s="90">
        <f t="shared" si="17"/>
        <v>410</v>
      </c>
      <c r="K209" s="90">
        <f t="shared" si="18"/>
        <v>410</v>
      </c>
      <c r="L209" s="90">
        <f t="shared" si="19"/>
        <v>410</v>
      </c>
      <c r="M209" s="91"/>
      <c r="N209" s="59" t="str">
        <f t="shared" si="15"/>
        <v>Team Ups|Team Ups|TU-4|Base</v>
      </c>
      <c r="O209" s="59">
        <f t="shared" si="16"/>
        <v>410</v>
      </c>
    </row>
    <row r="210" spans="1:15" x14ac:dyDescent="0.25">
      <c r="A210" s="90" t="s">
        <v>25</v>
      </c>
      <c r="B210" s="90" t="s">
        <v>25</v>
      </c>
      <c r="C210" s="90" t="s">
        <v>499</v>
      </c>
      <c r="D210" s="91" t="s">
        <v>500</v>
      </c>
      <c r="E210" s="90" t="s">
        <v>60</v>
      </c>
      <c r="F210" s="90">
        <v>100</v>
      </c>
      <c r="G210" s="90" t="s">
        <v>183</v>
      </c>
      <c r="H210" s="90">
        <v>25</v>
      </c>
      <c r="I210" s="90">
        <f>'Odds &amp; Rarity'!$D$13</f>
        <v>1026000</v>
      </c>
      <c r="J210" s="90">
        <f t="shared" si="17"/>
        <v>410</v>
      </c>
      <c r="K210" s="90">
        <f t="shared" si="18"/>
        <v>410</v>
      </c>
      <c r="L210" s="90">
        <f t="shared" si="19"/>
        <v>410</v>
      </c>
      <c r="M210" s="91"/>
      <c r="N210" s="59" t="str">
        <f t="shared" si="15"/>
        <v>Team Ups|Team Ups|TU-5|Base</v>
      </c>
      <c r="O210" s="59">
        <f t="shared" si="16"/>
        <v>410</v>
      </c>
    </row>
    <row r="211" spans="1:15" x14ac:dyDescent="0.25">
      <c r="A211" s="90" t="s">
        <v>25</v>
      </c>
      <c r="B211" s="90" t="s">
        <v>25</v>
      </c>
      <c r="C211" s="90" t="s">
        <v>501</v>
      </c>
      <c r="D211" s="91" t="s">
        <v>502</v>
      </c>
      <c r="E211" s="90" t="s">
        <v>60</v>
      </c>
      <c r="F211" s="90">
        <v>100</v>
      </c>
      <c r="G211" s="90" t="s">
        <v>183</v>
      </c>
      <c r="H211" s="90">
        <v>25</v>
      </c>
      <c r="I211" s="90">
        <f>'Odds &amp; Rarity'!$D$13</f>
        <v>1026000</v>
      </c>
      <c r="J211" s="90">
        <f t="shared" si="17"/>
        <v>410</v>
      </c>
      <c r="K211" s="90">
        <f t="shared" si="18"/>
        <v>410</v>
      </c>
      <c r="L211" s="90">
        <f t="shared" si="19"/>
        <v>410</v>
      </c>
      <c r="M211" s="91"/>
      <c r="N211" s="59" t="str">
        <f t="shared" si="15"/>
        <v>Team Ups|Team Ups|TU-6|Base</v>
      </c>
      <c r="O211" s="59">
        <f t="shared" si="16"/>
        <v>410</v>
      </c>
    </row>
    <row r="212" spans="1:15" x14ac:dyDescent="0.25">
      <c r="A212" s="90" t="s">
        <v>25</v>
      </c>
      <c r="B212" s="90" t="s">
        <v>25</v>
      </c>
      <c r="C212" s="90" t="s">
        <v>503</v>
      </c>
      <c r="D212" s="91" t="s">
        <v>504</v>
      </c>
      <c r="E212" s="90" t="s">
        <v>60</v>
      </c>
      <c r="F212" s="90">
        <v>100</v>
      </c>
      <c r="G212" s="90" t="s">
        <v>183</v>
      </c>
      <c r="H212" s="90">
        <v>25</v>
      </c>
      <c r="I212" s="90">
        <f>'Odds &amp; Rarity'!$D$13</f>
        <v>1026000</v>
      </c>
      <c r="J212" s="90">
        <f t="shared" si="17"/>
        <v>410</v>
      </c>
      <c r="K212" s="90">
        <f t="shared" si="18"/>
        <v>410</v>
      </c>
      <c r="L212" s="90">
        <f t="shared" si="19"/>
        <v>410</v>
      </c>
      <c r="M212" s="91"/>
      <c r="N212" s="59" t="str">
        <f t="shared" si="15"/>
        <v>Team Ups|Team Ups|TU-7|Base</v>
      </c>
      <c r="O212" s="59">
        <f t="shared" si="16"/>
        <v>410</v>
      </c>
    </row>
    <row r="213" spans="1:15" x14ac:dyDescent="0.25">
      <c r="A213" s="90" t="s">
        <v>25</v>
      </c>
      <c r="B213" s="90" t="s">
        <v>25</v>
      </c>
      <c r="C213" s="90" t="s">
        <v>505</v>
      </c>
      <c r="D213" s="91" t="s">
        <v>506</v>
      </c>
      <c r="E213" s="90" t="s">
        <v>60</v>
      </c>
      <c r="F213" s="90">
        <v>100</v>
      </c>
      <c r="G213" s="90" t="s">
        <v>183</v>
      </c>
      <c r="H213" s="90">
        <v>25</v>
      </c>
      <c r="I213" s="90">
        <f>'Odds &amp; Rarity'!$D$13</f>
        <v>1026000</v>
      </c>
      <c r="J213" s="90">
        <f t="shared" si="17"/>
        <v>410</v>
      </c>
      <c r="K213" s="90">
        <f t="shared" si="18"/>
        <v>410</v>
      </c>
      <c r="L213" s="90">
        <f t="shared" si="19"/>
        <v>410</v>
      </c>
      <c r="M213" s="91"/>
      <c r="N213" s="59" t="str">
        <f t="shared" si="15"/>
        <v>Team Ups|Team Ups|TU-8|Base</v>
      </c>
      <c r="O213" s="59">
        <f t="shared" si="16"/>
        <v>410</v>
      </c>
    </row>
    <row r="214" spans="1:15" x14ac:dyDescent="0.25">
      <c r="A214" s="90" t="s">
        <v>25</v>
      </c>
      <c r="B214" s="90" t="s">
        <v>25</v>
      </c>
      <c r="C214" s="90" t="s">
        <v>507</v>
      </c>
      <c r="D214" s="91" t="s">
        <v>508</v>
      </c>
      <c r="E214" s="90" t="s">
        <v>60</v>
      </c>
      <c r="F214" s="90">
        <v>100</v>
      </c>
      <c r="G214" s="90" t="s">
        <v>183</v>
      </c>
      <c r="H214" s="90">
        <v>25</v>
      </c>
      <c r="I214" s="90">
        <f>'Odds &amp; Rarity'!$D$13</f>
        <v>1026000</v>
      </c>
      <c r="J214" s="90">
        <f t="shared" si="17"/>
        <v>410</v>
      </c>
      <c r="K214" s="90">
        <f t="shared" si="18"/>
        <v>410</v>
      </c>
      <c r="L214" s="90">
        <f t="shared" si="19"/>
        <v>410</v>
      </c>
      <c r="M214" s="91"/>
      <c r="N214" s="59" t="str">
        <f t="shared" si="15"/>
        <v>Team Ups|Team Ups|TU-9|Base</v>
      </c>
      <c r="O214" s="59">
        <f t="shared" si="16"/>
        <v>410</v>
      </c>
    </row>
    <row r="215" spans="1:15" x14ac:dyDescent="0.25">
      <c r="A215" s="90" t="s">
        <v>31</v>
      </c>
      <c r="B215" s="90" t="s">
        <v>124</v>
      </c>
      <c r="C215" s="90" t="s">
        <v>509</v>
      </c>
      <c r="D215" s="91" t="s">
        <v>446</v>
      </c>
      <c r="E215" s="90" t="s">
        <v>60</v>
      </c>
      <c r="F215" s="90">
        <v>60</v>
      </c>
      <c r="G215" s="90" t="s">
        <v>183</v>
      </c>
      <c r="H215" s="90">
        <v>30</v>
      </c>
      <c r="I215" s="90">
        <f>'Odds &amp; Rarity'!$D$13</f>
        <v>1026000</v>
      </c>
      <c r="J215" s="90">
        <f t="shared" si="17"/>
        <v>570</v>
      </c>
      <c r="K215" s="90">
        <f t="shared" si="18"/>
        <v>570</v>
      </c>
      <c r="L215" s="90">
        <f t="shared" si="19"/>
        <v>570</v>
      </c>
      <c r="M215" s="91"/>
      <c r="N215" s="59" t="str">
        <f t="shared" si="15"/>
        <v>Inserts - General|Metal Prints|MP-1|Base</v>
      </c>
      <c r="O215" s="59">
        <f t="shared" si="16"/>
        <v>570</v>
      </c>
    </row>
    <row r="216" spans="1:15" x14ac:dyDescent="0.25">
      <c r="A216" s="90" t="s">
        <v>31</v>
      </c>
      <c r="B216" s="90" t="s">
        <v>124</v>
      </c>
      <c r="C216" s="90" t="s">
        <v>510</v>
      </c>
      <c r="D216" s="91" t="s">
        <v>511</v>
      </c>
      <c r="E216" s="90" t="s">
        <v>60</v>
      </c>
      <c r="F216" s="90">
        <v>60</v>
      </c>
      <c r="G216" s="90" t="s">
        <v>183</v>
      </c>
      <c r="H216" s="90">
        <v>30</v>
      </c>
      <c r="I216" s="90">
        <f>'Odds &amp; Rarity'!$D$13</f>
        <v>1026000</v>
      </c>
      <c r="J216" s="90">
        <f t="shared" si="17"/>
        <v>570</v>
      </c>
      <c r="K216" s="90">
        <f t="shared" si="18"/>
        <v>570</v>
      </c>
      <c r="L216" s="90">
        <f t="shared" si="19"/>
        <v>570</v>
      </c>
      <c r="M216" s="91"/>
      <c r="N216" s="59" t="str">
        <f t="shared" si="15"/>
        <v>Inserts - General|Metal Prints|MP-10|Base</v>
      </c>
      <c r="O216" s="59">
        <f t="shared" si="16"/>
        <v>570</v>
      </c>
    </row>
    <row r="217" spans="1:15" x14ac:dyDescent="0.25">
      <c r="A217" s="90" t="s">
        <v>31</v>
      </c>
      <c r="B217" s="90" t="s">
        <v>124</v>
      </c>
      <c r="C217" s="90" t="s">
        <v>512</v>
      </c>
      <c r="D217" s="91" t="s">
        <v>444</v>
      </c>
      <c r="E217" s="90" t="s">
        <v>60</v>
      </c>
      <c r="F217" s="90">
        <v>60</v>
      </c>
      <c r="G217" s="90" t="s">
        <v>183</v>
      </c>
      <c r="H217" s="90">
        <v>30</v>
      </c>
      <c r="I217" s="90">
        <f>'Odds &amp; Rarity'!$D$13</f>
        <v>1026000</v>
      </c>
      <c r="J217" s="90">
        <f t="shared" si="17"/>
        <v>570</v>
      </c>
      <c r="K217" s="90">
        <f t="shared" si="18"/>
        <v>570</v>
      </c>
      <c r="L217" s="90">
        <f t="shared" si="19"/>
        <v>570</v>
      </c>
      <c r="M217" s="91"/>
      <c r="N217" s="59" t="str">
        <f t="shared" si="15"/>
        <v>Inserts - General|Metal Prints|MP-11|Base</v>
      </c>
      <c r="O217" s="59">
        <f t="shared" si="16"/>
        <v>570</v>
      </c>
    </row>
    <row r="218" spans="1:15" x14ac:dyDescent="0.25">
      <c r="A218" s="90" t="s">
        <v>31</v>
      </c>
      <c r="B218" s="90" t="s">
        <v>124</v>
      </c>
      <c r="C218" s="90" t="s">
        <v>513</v>
      </c>
      <c r="D218" s="91" t="s">
        <v>384</v>
      </c>
      <c r="E218" s="90" t="s">
        <v>60</v>
      </c>
      <c r="F218" s="90">
        <v>60</v>
      </c>
      <c r="G218" s="90" t="s">
        <v>183</v>
      </c>
      <c r="H218" s="90">
        <v>30</v>
      </c>
      <c r="I218" s="90">
        <f>'Odds &amp; Rarity'!$D$13</f>
        <v>1026000</v>
      </c>
      <c r="J218" s="90">
        <f t="shared" si="17"/>
        <v>570</v>
      </c>
      <c r="K218" s="90">
        <f t="shared" si="18"/>
        <v>570</v>
      </c>
      <c r="L218" s="90">
        <f t="shared" si="19"/>
        <v>570</v>
      </c>
      <c r="M218" s="91"/>
      <c r="N218" s="59" t="str">
        <f t="shared" si="15"/>
        <v>Inserts - General|Metal Prints|MP-12|Base</v>
      </c>
      <c r="O218" s="59">
        <f t="shared" si="16"/>
        <v>570</v>
      </c>
    </row>
    <row r="219" spans="1:15" x14ac:dyDescent="0.25">
      <c r="A219" s="90" t="s">
        <v>31</v>
      </c>
      <c r="B219" s="90" t="s">
        <v>124</v>
      </c>
      <c r="C219" s="90" t="s">
        <v>514</v>
      </c>
      <c r="D219" s="91" t="s">
        <v>387</v>
      </c>
      <c r="E219" s="90" t="s">
        <v>60</v>
      </c>
      <c r="F219" s="90">
        <v>60</v>
      </c>
      <c r="G219" s="90" t="s">
        <v>183</v>
      </c>
      <c r="H219" s="90">
        <v>30</v>
      </c>
      <c r="I219" s="90">
        <f>'Odds &amp; Rarity'!$D$13</f>
        <v>1026000</v>
      </c>
      <c r="J219" s="90">
        <f t="shared" si="17"/>
        <v>570</v>
      </c>
      <c r="K219" s="90">
        <f t="shared" si="18"/>
        <v>570</v>
      </c>
      <c r="L219" s="90">
        <f t="shared" si="19"/>
        <v>570</v>
      </c>
      <c r="M219" s="91"/>
      <c r="N219" s="59" t="str">
        <f t="shared" si="15"/>
        <v>Inserts - General|Metal Prints|MP-13|Base</v>
      </c>
      <c r="O219" s="59">
        <f t="shared" si="16"/>
        <v>570</v>
      </c>
    </row>
    <row r="220" spans="1:15" x14ac:dyDescent="0.25">
      <c r="A220" s="90" t="s">
        <v>31</v>
      </c>
      <c r="B220" s="90" t="s">
        <v>124</v>
      </c>
      <c r="C220" s="90" t="s">
        <v>515</v>
      </c>
      <c r="D220" s="91" t="s">
        <v>516</v>
      </c>
      <c r="E220" s="90" t="s">
        <v>60</v>
      </c>
      <c r="F220" s="90">
        <v>60</v>
      </c>
      <c r="G220" s="90" t="s">
        <v>183</v>
      </c>
      <c r="H220" s="90">
        <v>30</v>
      </c>
      <c r="I220" s="90">
        <f>'Odds &amp; Rarity'!$D$13</f>
        <v>1026000</v>
      </c>
      <c r="J220" s="90">
        <f t="shared" si="17"/>
        <v>570</v>
      </c>
      <c r="K220" s="90">
        <f t="shared" si="18"/>
        <v>570</v>
      </c>
      <c r="L220" s="90">
        <f t="shared" si="19"/>
        <v>570</v>
      </c>
      <c r="M220" s="91"/>
      <c r="N220" s="59" t="str">
        <f t="shared" si="15"/>
        <v>Inserts - General|Metal Prints|MP-14|Base</v>
      </c>
      <c r="O220" s="59">
        <f t="shared" si="16"/>
        <v>570</v>
      </c>
    </row>
    <row r="221" spans="1:15" x14ac:dyDescent="0.25">
      <c r="A221" s="90" t="s">
        <v>31</v>
      </c>
      <c r="B221" s="90" t="s">
        <v>124</v>
      </c>
      <c r="C221" s="90" t="s">
        <v>517</v>
      </c>
      <c r="D221" s="91" t="s">
        <v>518</v>
      </c>
      <c r="E221" s="90" t="s">
        <v>60</v>
      </c>
      <c r="F221" s="90">
        <v>60</v>
      </c>
      <c r="G221" s="90" t="s">
        <v>183</v>
      </c>
      <c r="H221" s="90">
        <v>30</v>
      </c>
      <c r="I221" s="90">
        <f>'Odds &amp; Rarity'!$D$13</f>
        <v>1026000</v>
      </c>
      <c r="J221" s="90">
        <f t="shared" si="17"/>
        <v>570</v>
      </c>
      <c r="K221" s="90">
        <f t="shared" si="18"/>
        <v>570</v>
      </c>
      <c r="L221" s="90">
        <f t="shared" si="19"/>
        <v>570</v>
      </c>
      <c r="M221" s="91"/>
      <c r="N221" s="59" t="str">
        <f t="shared" si="15"/>
        <v>Inserts - General|Metal Prints|MP-15|Base</v>
      </c>
      <c r="O221" s="59">
        <f t="shared" si="16"/>
        <v>570</v>
      </c>
    </row>
    <row r="222" spans="1:15" x14ac:dyDescent="0.25">
      <c r="A222" s="90" t="s">
        <v>31</v>
      </c>
      <c r="B222" s="90" t="s">
        <v>124</v>
      </c>
      <c r="C222" s="90" t="s">
        <v>519</v>
      </c>
      <c r="D222" s="91" t="s">
        <v>520</v>
      </c>
      <c r="E222" s="90" t="s">
        <v>60</v>
      </c>
      <c r="F222" s="90">
        <v>60</v>
      </c>
      <c r="G222" s="90" t="s">
        <v>183</v>
      </c>
      <c r="H222" s="90">
        <v>30</v>
      </c>
      <c r="I222" s="90">
        <f>'Odds &amp; Rarity'!$D$13</f>
        <v>1026000</v>
      </c>
      <c r="J222" s="90">
        <f t="shared" si="17"/>
        <v>570</v>
      </c>
      <c r="K222" s="90">
        <f t="shared" si="18"/>
        <v>570</v>
      </c>
      <c r="L222" s="90">
        <f t="shared" si="19"/>
        <v>570</v>
      </c>
      <c r="M222" s="91"/>
      <c r="N222" s="59" t="str">
        <f t="shared" si="15"/>
        <v>Inserts - General|Metal Prints|MP-16|Base</v>
      </c>
      <c r="O222" s="59">
        <f t="shared" si="16"/>
        <v>570</v>
      </c>
    </row>
    <row r="223" spans="1:15" x14ac:dyDescent="0.25">
      <c r="A223" s="90" t="s">
        <v>31</v>
      </c>
      <c r="B223" s="90" t="s">
        <v>124</v>
      </c>
      <c r="C223" s="90" t="s">
        <v>521</v>
      </c>
      <c r="D223" s="91" t="s">
        <v>352</v>
      </c>
      <c r="E223" s="90" t="s">
        <v>60</v>
      </c>
      <c r="F223" s="90">
        <v>60</v>
      </c>
      <c r="G223" s="90" t="s">
        <v>183</v>
      </c>
      <c r="H223" s="90">
        <v>30</v>
      </c>
      <c r="I223" s="90">
        <f>'Odds &amp; Rarity'!$D$13</f>
        <v>1026000</v>
      </c>
      <c r="J223" s="90">
        <f t="shared" si="17"/>
        <v>570</v>
      </c>
      <c r="K223" s="90">
        <f t="shared" si="18"/>
        <v>570</v>
      </c>
      <c r="L223" s="90">
        <f t="shared" si="19"/>
        <v>570</v>
      </c>
      <c r="M223" s="91"/>
      <c r="N223" s="59" t="str">
        <f t="shared" si="15"/>
        <v>Inserts - General|Metal Prints|MP-17|Base</v>
      </c>
      <c r="O223" s="59">
        <f t="shared" si="16"/>
        <v>570</v>
      </c>
    </row>
    <row r="224" spans="1:15" x14ac:dyDescent="0.25">
      <c r="A224" s="90" t="s">
        <v>31</v>
      </c>
      <c r="B224" s="90" t="s">
        <v>124</v>
      </c>
      <c r="C224" s="90" t="s">
        <v>522</v>
      </c>
      <c r="D224" s="91" t="s">
        <v>523</v>
      </c>
      <c r="E224" s="90" t="s">
        <v>60</v>
      </c>
      <c r="F224" s="90">
        <v>60</v>
      </c>
      <c r="G224" s="90" t="s">
        <v>183</v>
      </c>
      <c r="H224" s="90">
        <v>30</v>
      </c>
      <c r="I224" s="90">
        <f>'Odds &amp; Rarity'!$D$13</f>
        <v>1026000</v>
      </c>
      <c r="J224" s="90">
        <f t="shared" si="17"/>
        <v>570</v>
      </c>
      <c r="K224" s="90">
        <f t="shared" si="18"/>
        <v>570</v>
      </c>
      <c r="L224" s="90">
        <f t="shared" si="19"/>
        <v>570</v>
      </c>
      <c r="M224" s="91"/>
      <c r="N224" s="59" t="str">
        <f t="shared" si="15"/>
        <v>Inserts - General|Metal Prints|MP-18|Base</v>
      </c>
      <c r="O224" s="59">
        <f t="shared" si="16"/>
        <v>570</v>
      </c>
    </row>
    <row r="225" spans="1:15" x14ac:dyDescent="0.25">
      <c r="A225" s="90" t="s">
        <v>31</v>
      </c>
      <c r="B225" s="90" t="s">
        <v>124</v>
      </c>
      <c r="C225" s="90" t="s">
        <v>524</v>
      </c>
      <c r="D225" s="91" t="s">
        <v>525</v>
      </c>
      <c r="E225" s="90" t="s">
        <v>60</v>
      </c>
      <c r="F225" s="90">
        <v>60</v>
      </c>
      <c r="G225" s="90" t="s">
        <v>183</v>
      </c>
      <c r="H225" s="90">
        <v>30</v>
      </c>
      <c r="I225" s="90">
        <f>'Odds &amp; Rarity'!$D$13</f>
        <v>1026000</v>
      </c>
      <c r="J225" s="90">
        <f t="shared" si="17"/>
        <v>570</v>
      </c>
      <c r="K225" s="90">
        <f t="shared" si="18"/>
        <v>570</v>
      </c>
      <c r="L225" s="90">
        <f t="shared" si="19"/>
        <v>570</v>
      </c>
      <c r="M225" s="91"/>
      <c r="N225" s="59" t="str">
        <f t="shared" si="15"/>
        <v>Inserts - General|Metal Prints|MP-19|Base</v>
      </c>
      <c r="O225" s="59">
        <f t="shared" si="16"/>
        <v>570</v>
      </c>
    </row>
    <row r="226" spans="1:15" x14ac:dyDescent="0.25">
      <c r="A226" s="90" t="s">
        <v>31</v>
      </c>
      <c r="B226" s="90" t="s">
        <v>124</v>
      </c>
      <c r="C226" s="90" t="s">
        <v>526</v>
      </c>
      <c r="D226" s="91" t="s">
        <v>337</v>
      </c>
      <c r="E226" s="90" t="s">
        <v>60</v>
      </c>
      <c r="F226" s="90">
        <v>60</v>
      </c>
      <c r="G226" s="90" t="s">
        <v>183</v>
      </c>
      <c r="H226" s="90">
        <v>30</v>
      </c>
      <c r="I226" s="90">
        <f>'Odds &amp; Rarity'!$D$13</f>
        <v>1026000</v>
      </c>
      <c r="J226" s="90">
        <f t="shared" si="17"/>
        <v>570</v>
      </c>
      <c r="K226" s="90">
        <f t="shared" si="18"/>
        <v>570</v>
      </c>
      <c r="L226" s="90">
        <f t="shared" si="19"/>
        <v>570</v>
      </c>
      <c r="M226" s="91"/>
      <c r="N226" s="59" t="str">
        <f t="shared" si="15"/>
        <v>Inserts - General|Metal Prints|MP-2|Base</v>
      </c>
      <c r="O226" s="59">
        <f t="shared" si="16"/>
        <v>570</v>
      </c>
    </row>
    <row r="227" spans="1:15" x14ac:dyDescent="0.25">
      <c r="A227" s="90" t="s">
        <v>31</v>
      </c>
      <c r="B227" s="90" t="s">
        <v>124</v>
      </c>
      <c r="C227" s="90" t="s">
        <v>527</v>
      </c>
      <c r="D227" s="91" t="s">
        <v>528</v>
      </c>
      <c r="E227" s="90" t="s">
        <v>60</v>
      </c>
      <c r="F227" s="90">
        <v>60</v>
      </c>
      <c r="G227" s="90" t="s">
        <v>183</v>
      </c>
      <c r="H227" s="90">
        <v>30</v>
      </c>
      <c r="I227" s="90">
        <f>'Odds &amp; Rarity'!$D$13</f>
        <v>1026000</v>
      </c>
      <c r="J227" s="90">
        <f t="shared" si="17"/>
        <v>570</v>
      </c>
      <c r="K227" s="90">
        <f t="shared" si="18"/>
        <v>570</v>
      </c>
      <c r="L227" s="90">
        <f t="shared" si="19"/>
        <v>570</v>
      </c>
      <c r="M227" s="91"/>
      <c r="N227" s="59" t="str">
        <f t="shared" si="15"/>
        <v>Inserts - General|Metal Prints|MP-20|Base</v>
      </c>
      <c r="O227" s="59">
        <f t="shared" si="16"/>
        <v>570</v>
      </c>
    </row>
    <row r="228" spans="1:15" x14ac:dyDescent="0.25">
      <c r="A228" s="90" t="s">
        <v>31</v>
      </c>
      <c r="B228" s="90" t="s">
        <v>124</v>
      </c>
      <c r="C228" s="90" t="s">
        <v>529</v>
      </c>
      <c r="D228" s="91" t="s">
        <v>345</v>
      </c>
      <c r="E228" s="90" t="s">
        <v>60</v>
      </c>
      <c r="F228" s="90">
        <v>60</v>
      </c>
      <c r="G228" s="90" t="s">
        <v>183</v>
      </c>
      <c r="H228" s="90">
        <v>30</v>
      </c>
      <c r="I228" s="90">
        <f>'Odds &amp; Rarity'!$D$13</f>
        <v>1026000</v>
      </c>
      <c r="J228" s="90">
        <f t="shared" si="17"/>
        <v>570</v>
      </c>
      <c r="K228" s="90">
        <f t="shared" si="18"/>
        <v>570</v>
      </c>
      <c r="L228" s="90">
        <f t="shared" si="19"/>
        <v>570</v>
      </c>
      <c r="M228" s="91"/>
      <c r="N228" s="59" t="str">
        <f t="shared" si="15"/>
        <v>Inserts - General|Metal Prints|MP-21|Base</v>
      </c>
      <c r="O228" s="59">
        <f t="shared" si="16"/>
        <v>570</v>
      </c>
    </row>
    <row r="229" spans="1:15" x14ac:dyDescent="0.25">
      <c r="A229" s="90" t="s">
        <v>31</v>
      </c>
      <c r="B229" s="90" t="s">
        <v>124</v>
      </c>
      <c r="C229" s="90" t="s">
        <v>530</v>
      </c>
      <c r="D229" s="91" t="s">
        <v>531</v>
      </c>
      <c r="E229" s="90" t="s">
        <v>60</v>
      </c>
      <c r="F229" s="90">
        <v>60</v>
      </c>
      <c r="G229" s="90" t="s">
        <v>183</v>
      </c>
      <c r="H229" s="90">
        <v>30</v>
      </c>
      <c r="I229" s="90">
        <f>'Odds &amp; Rarity'!$D$13</f>
        <v>1026000</v>
      </c>
      <c r="J229" s="90">
        <f t="shared" si="17"/>
        <v>570</v>
      </c>
      <c r="K229" s="90">
        <f t="shared" si="18"/>
        <v>570</v>
      </c>
      <c r="L229" s="90">
        <f t="shared" si="19"/>
        <v>570</v>
      </c>
      <c r="M229" s="91"/>
      <c r="N229" s="59" t="str">
        <f t="shared" si="15"/>
        <v>Inserts - General|Metal Prints|MP-22|Base</v>
      </c>
      <c r="O229" s="59">
        <f t="shared" si="16"/>
        <v>570</v>
      </c>
    </row>
    <row r="230" spans="1:15" x14ac:dyDescent="0.25">
      <c r="A230" s="90" t="s">
        <v>31</v>
      </c>
      <c r="B230" s="90" t="s">
        <v>124</v>
      </c>
      <c r="C230" s="90" t="s">
        <v>532</v>
      </c>
      <c r="D230" s="91" t="s">
        <v>533</v>
      </c>
      <c r="E230" s="90" t="s">
        <v>60</v>
      </c>
      <c r="F230" s="90">
        <v>60</v>
      </c>
      <c r="G230" s="90" t="s">
        <v>183</v>
      </c>
      <c r="H230" s="90">
        <v>30</v>
      </c>
      <c r="I230" s="90">
        <f>'Odds &amp; Rarity'!$D$13</f>
        <v>1026000</v>
      </c>
      <c r="J230" s="90">
        <f t="shared" si="17"/>
        <v>570</v>
      </c>
      <c r="K230" s="90">
        <f t="shared" si="18"/>
        <v>570</v>
      </c>
      <c r="L230" s="90">
        <f t="shared" si="19"/>
        <v>570</v>
      </c>
      <c r="M230" s="91"/>
      <c r="N230" s="59" t="str">
        <f t="shared" si="15"/>
        <v>Inserts - General|Metal Prints|MP-23|Base</v>
      </c>
      <c r="O230" s="59">
        <f t="shared" si="16"/>
        <v>570</v>
      </c>
    </row>
    <row r="231" spans="1:15" x14ac:dyDescent="0.25">
      <c r="A231" s="90" t="s">
        <v>31</v>
      </c>
      <c r="B231" s="90" t="s">
        <v>124</v>
      </c>
      <c r="C231" s="90" t="s">
        <v>534</v>
      </c>
      <c r="D231" s="91" t="s">
        <v>535</v>
      </c>
      <c r="E231" s="90" t="s">
        <v>60</v>
      </c>
      <c r="F231" s="90">
        <v>60</v>
      </c>
      <c r="G231" s="90" t="s">
        <v>183</v>
      </c>
      <c r="H231" s="90">
        <v>30</v>
      </c>
      <c r="I231" s="90">
        <f>'Odds &amp; Rarity'!$D$13</f>
        <v>1026000</v>
      </c>
      <c r="J231" s="90">
        <f t="shared" si="17"/>
        <v>570</v>
      </c>
      <c r="K231" s="90">
        <f t="shared" si="18"/>
        <v>570</v>
      </c>
      <c r="L231" s="90">
        <f t="shared" si="19"/>
        <v>570</v>
      </c>
      <c r="M231" s="91"/>
      <c r="N231" s="59" t="str">
        <f t="shared" si="15"/>
        <v>Inserts - General|Metal Prints|MP-24|Base</v>
      </c>
      <c r="O231" s="59">
        <f t="shared" si="16"/>
        <v>570</v>
      </c>
    </row>
    <row r="232" spans="1:15" x14ac:dyDescent="0.25">
      <c r="A232" s="90" t="s">
        <v>31</v>
      </c>
      <c r="B232" s="90" t="s">
        <v>124</v>
      </c>
      <c r="C232" s="90" t="s">
        <v>536</v>
      </c>
      <c r="D232" s="91" t="s">
        <v>537</v>
      </c>
      <c r="E232" s="90" t="s">
        <v>60</v>
      </c>
      <c r="F232" s="90">
        <v>60</v>
      </c>
      <c r="G232" s="90" t="s">
        <v>183</v>
      </c>
      <c r="H232" s="90">
        <v>30</v>
      </c>
      <c r="I232" s="90">
        <f>'Odds &amp; Rarity'!$D$13</f>
        <v>1026000</v>
      </c>
      <c r="J232" s="90">
        <f t="shared" si="17"/>
        <v>570</v>
      </c>
      <c r="K232" s="90">
        <f t="shared" si="18"/>
        <v>570</v>
      </c>
      <c r="L232" s="90">
        <f t="shared" si="19"/>
        <v>570</v>
      </c>
      <c r="M232" s="91"/>
      <c r="N232" s="59" t="str">
        <f t="shared" si="15"/>
        <v>Inserts - General|Metal Prints|MP-25|Base</v>
      </c>
      <c r="O232" s="59">
        <f t="shared" si="16"/>
        <v>570</v>
      </c>
    </row>
    <row r="233" spans="1:15" x14ac:dyDescent="0.25">
      <c r="A233" s="90" t="s">
        <v>31</v>
      </c>
      <c r="B233" s="90" t="s">
        <v>124</v>
      </c>
      <c r="C233" s="90" t="s">
        <v>538</v>
      </c>
      <c r="D233" s="91" t="s">
        <v>539</v>
      </c>
      <c r="E233" s="90" t="s">
        <v>60</v>
      </c>
      <c r="F233" s="90">
        <v>60</v>
      </c>
      <c r="G233" s="90" t="s">
        <v>183</v>
      </c>
      <c r="H233" s="90">
        <v>30</v>
      </c>
      <c r="I233" s="90">
        <f>'Odds &amp; Rarity'!$D$13</f>
        <v>1026000</v>
      </c>
      <c r="J233" s="90">
        <f t="shared" si="17"/>
        <v>570</v>
      </c>
      <c r="K233" s="90">
        <f t="shared" si="18"/>
        <v>570</v>
      </c>
      <c r="L233" s="90">
        <f t="shared" si="19"/>
        <v>570</v>
      </c>
      <c r="M233" s="91"/>
      <c r="N233" s="59" t="str">
        <f t="shared" si="15"/>
        <v>Inserts - General|Metal Prints|MP-26|Base</v>
      </c>
      <c r="O233" s="59">
        <f t="shared" si="16"/>
        <v>570</v>
      </c>
    </row>
    <row r="234" spans="1:15" x14ac:dyDescent="0.25">
      <c r="A234" s="90" t="s">
        <v>31</v>
      </c>
      <c r="B234" s="90" t="s">
        <v>124</v>
      </c>
      <c r="C234" s="90" t="s">
        <v>540</v>
      </c>
      <c r="D234" s="91" t="s">
        <v>347</v>
      </c>
      <c r="E234" s="90" t="s">
        <v>60</v>
      </c>
      <c r="F234" s="90">
        <v>60</v>
      </c>
      <c r="G234" s="90" t="s">
        <v>183</v>
      </c>
      <c r="H234" s="90">
        <v>30</v>
      </c>
      <c r="I234" s="90">
        <f>'Odds &amp; Rarity'!$D$13</f>
        <v>1026000</v>
      </c>
      <c r="J234" s="90">
        <f t="shared" si="17"/>
        <v>570</v>
      </c>
      <c r="K234" s="90">
        <f t="shared" si="18"/>
        <v>570</v>
      </c>
      <c r="L234" s="90">
        <f t="shared" si="19"/>
        <v>570</v>
      </c>
      <c r="M234" s="91"/>
      <c r="N234" s="59" t="str">
        <f t="shared" si="15"/>
        <v>Inserts - General|Metal Prints|MP-27|Base</v>
      </c>
      <c r="O234" s="59">
        <f t="shared" si="16"/>
        <v>570</v>
      </c>
    </row>
    <row r="235" spans="1:15" x14ac:dyDescent="0.25">
      <c r="A235" s="90" t="s">
        <v>31</v>
      </c>
      <c r="B235" s="90" t="s">
        <v>124</v>
      </c>
      <c r="C235" s="90" t="s">
        <v>541</v>
      </c>
      <c r="D235" s="91" t="s">
        <v>542</v>
      </c>
      <c r="E235" s="90" t="s">
        <v>60</v>
      </c>
      <c r="F235" s="90">
        <v>60</v>
      </c>
      <c r="G235" s="90" t="s">
        <v>183</v>
      </c>
      <c r="H235" s="90">
        <v>30</v>
      </c>
      <c r="I235" s="90">
        <f>'Odds &amp; Rarity'!$D$13</f>
        <v>1026000</v>
      </c>
      <c r="J235" s="90">
        <f t="shared" si="17"/>
        <v>570</v>
      </c>
      <c r="K235" s="90">
        <f t="shared" si="18"/>
        <v>570</v>
      </c>
      <c r="L235" s="90">
        <f t="shared" si="19"/>
        <v>570</v>
      </c>
      <c r="M235" s="91"/>
      <c r="N235" s="59" t="str">
        <f t="shared" si="15"/>
        <v>Inserts - General|Metal Prints|MP-28|Base</v>
      </c>
      <c r="O235" s="59">
        <f t="shared" si="16"/>
        <v>570</v>
      </c>
    </row>
    <row r="236" spans="1:15" x14ac:dyDescent="0.25">
      <c r="A236" s="90" t="s">
        <v>31</v>
      </c>
      <c r="B236" s="90" t="s">
        <v>124</v>
      </c>
      <c r="C236" s="90" t="s">
        <v>543</v>
      </c>
      <c r="D236" s="91" t="s">
        <v>441</v>
      </c>
      <c r="E236" s="90" t="s">
        <v>60</v>
      </c>
      <c r="F236" s="90">
        <v>60</v>
      </c>
      <c r="G236" s="90" t="s">
        <v>183</v>
      </c>
      <c r="H236" s="90">
        <v>30</v>
      </c>
      <c r="I236" s="90">
        <f>'Odds &amp; Rarity'!$D$13</f>
        <v>1026000</v>
      </c>
      <c r="J236" s="90">
        <f t="shared" si="17"/>
        <v>570</v>
      </c>
      <c r="K236" s="90">
        <f t="shared" si="18"/>
        <v>570</v>
      </c>
      <c r="L236" s="90">
        <f t="shared" si="19"/>
        <v>570</v>
      </c>
      <c r="M236" s="91"/>
      <c r="N236" s="59" t="str">
        <f t="shared" si="15"/>
        <v>Inserts - General|Metal Prints|MP-29|Base</v>
      </c>
      <c r="O236" s="59">
        <f t="shared" si="16"/>
        <v>570</v>
      </c>
    </row>
    <row r="237" spans="1:15" x14ac:dyDescent="0.25">
      <c r="A237" s="90" t="s">
        <v>31</v>
      </c>
      <c r="B237" s="90" t="s">
        <v>124</v>
      </c>
      <c r="C237" s="90" t="s">
        <v>544</v>
      </c>
      <c r="D237" s="91" t="s">
        <v>339</v>
      </c>
      <c r="E237" s="90" t="s">
        <v>60</v>
      </c>
      <c r="F237" s="90">
        <v>60</v>
      </c>
      <c r="G237" s="90" t="s">
        <v>183</v>
      </c>
      <c r="H237" s="90">
        <v>30</v>
      </c>
      <c r="I237" s="90">
        <f>'Odds &amp; Rarity'!$D$13</f>
        <v>1026000</v>
      </c>
      <c r="J237" s="90">
        <f t="shared" si="17"/>
        <v>570</v>
      </c>
      <c r="K237" s="90">
        <f t="shared" si="18"/>
        <v>570</v>
      </c>
      <c r="L237" s="90">
        <f t="shared" si="19"/>
        <v>570</v>
      </c>
      <c r="M237" s="91"/>
      <c r="N237" s="59" t="str">
        <f t="shared" si="15"/>
        <v>Inserts - General|Metal Prints|MP-3|Base</v>
      </c>
      <c r="O237" s="59">
        <f t="shared" si="16"/>
        <v>570</v>
      </c>
    </row>
    <row r="238" spans="1:15" x14ac:dyDescent="0.25">
      <c r="A238" s="90" t="s">
        <v>31</v>
      </c>
      <c r="B238" s="90" t="s">
        <v>124</v>
      </c>
      <c r="C238" s="90" t="s">
        <v>545</v>
      </c>
      <c r="D238" s="91" t="s">
        <v>350</v>
      </c>
      <c r="E238" s="90" t="s">
        <v>60</v>
      </c>
      <c r="F238" s="90">
        <v>60</v>
      </c>
      <c r="G238" s="90" t="s">
        <v>183</v>
      </c>
      <c r="H238" s="90">
        <v>30</v>
      </c>
      <c r="I238" s="90">
        <f>'Odds &amp; Rarity'!$D$13</f>
        <v>1026000</v>
      </c>
      <c r="J238" s="90">
        <f t="shared" si="17"/>
        <v>570</v>
      </c>
      <c r="K238" s="90">
        <f t="shared" si="18"/>
        <v>570</v>
      </c>
      <c r="L238" s="90">
        <f t="shared" si="19"/>
        <v>570</v>
      </c>
      <c r="M238" s="91"/>
      <c r="N238" s="59" t="str">
        <f t="shared" si="15"/>
        <v>Inserts - General|Metal Prints|MP-30|Base</v>
      </c>
      <c r="O238" s="59">
        <f t="shared" si="16"/>
        <v>570</v>
      </c>
    </row>
    <row r="239" spans="1:15" x14ac:dyDescent="0.25">
      <c r="A239" s="90" t="s">
        <v>31</v>
      </c>
      <c r="B239" s="90" t="s">
        <v>124</v>
      </c>
      <c r="C239" s="90" t="s">
        <v>546</v>
      </c>
      <c r="D239" s="91" t="s">
        <v>341</v>
      </c>
      <c r="E239" s="90" t="s">
        <v>60</v>
      </c>
      <c r="F239" s="90">
        <v>60</v>
      </c>
      <c r="G239" s="90" t="s">
        <v>183</v>
      </c>
      <c r="H239" s="90">
        <v>30</v>
      </c>
      <c r="I239" s="90">
        <f>'Odds &amp; Rarity'!$D$13</f>
        <v>1026000</v>
      </c>
      <c r="J239" s="90">
        <f t="shared" si="17"/>
        <v>570</v>
      </c>
      <c r="K239" s="90">
        <f t="shared" si="18"/>
        <v>570</v>
      </c>
      <c r="L239" s="90">
        <f t="shared" si="19"/>
        <v>570</v>
      </c>
      <c r="M239" s="91"/>
      <c r="N239" s="59" t="str">
        <f t="shared" si="15"/>
        <v>Inserts - General|Metal Prints|MP-4|Base</v>
      </c>
      <c r="O239" s="59">
        <f t="shared" si="16"/>
        <v>570</v>
      </c>
    </row>
    <row r="240" spans="1:15" x14ac:dyDescent="0.25">
      <c r="A240" s="90" t="s">
        <v>31</v>
      </c>
      <c r="B240" s="90" t="s">
        <v>124</v>
      </c>
      <c r="C240" s="90" t="s">
        <v>547</v>
      </c>
      <c r="D240" s="91" t="s">
        <v>391</v>
      </c>
      <c r="E240" s="90" t="s">
        <v>60</v>
      </c>
      <c r="F240" s="90">
        <v>60</v>
      </c>
      <c r="G240" s="90" t="s">
        <v>183</v>
      </c>
      <c r="H240" s="90">
        <v>30</v>
      </c>
      <c r="I240" s="90">
        <f>'Odds &amp; Rarity'!$D$13</f>
        <v>1026000</v>
      </c>
      <c r="J240" s="90">
        <f t="shared" si="17"/>
        <v>570</v>
      </c>
      <c r="K240" s="90">
        <f t="shared" si="18"/>
        <v>570</v>
      </c>
      <c r="L240" s="90">
        <f t="shared" si="19"/>
        <v>570</v>
      </c>
      <c r="M240" s="91"/>
      <c r="N240" s="59" t="str">
        <f t="shared" si="15"/>
        <v>Inserts - General|Metal Prints|MP-5|Base</v>
      </c>
      <c r="O240" s="59">
        <f t="shared" si="16"/>
        <v>570</v>
      </c>
    </row>
    <row r="241" spans="1:15" x14ac:dyDescent="0.25">
      <c r="A241" s="90" t="s">
        <v>31</v>
      </c>
      <c r="B241" s="90" t="s">
        <v>124</v>
      </c>
      <c r="C241" s="90" t="s">
        <v>548</v>
      </c>
      <c r="D241" s="91" t="s">
        <v>549</v>
      </c>
      <c r="E241" s="90" t="s">
        <v>60</v>
      </c>
      <c r="F241" s="90">
        <v>60</v>
      </c>
      <c r="G241" s="90" t="s">
        <v>183</v>
      </c>
      <c r="H241" s="90">
        <v>30</v>
      </c>
      <c r="I241" s="90">
        <f>'Odds &amp; Rarity'!$D$13</f>
        <v>1026000</v>
      </c>
      <c r="J241" s="90">
        <f t="shared" si="17"/>
        <v>570</v>
      </c>
      <c r="K241" s="90">
        <f t="shared" si="18"/>
        <v>570</v>
      </c>
      <c r="L241" s="90">
        <f t="shared" si="19"/>
        <v>570</v>
      </c>
      <c r="M241" s="91"/>
      <c r="N241" s="59" t="str">
        <f t="shared" si="15"/>
        <v>Inserts - General|Metal Prints|MP-6|Base</v>
      </c>
      <c r="O241" s="59">
        <f t="shared" si="16"/>
        <v>570</v>
      </c>
    </row>
    <row r="242" spans="1:15" x14ac:dyDescent="0.25">
      <c r="A242" s="90" t="s">
        <v>31</v>
      </c>
      <c r="B242" s="90" t="s">
        <v>124</v>
      </c>
      <c r="C242" s="90" t="s">
        <v>550</v>
      </c>
      <c r="D242" s="91" t="s">
        <v>454</v>
      </c>
      <c r="E242" s="90" t="s">
        <v>60</v>
      </c>
      <c r="F242" s="90">
        <v>60</v>
      </c>
      <c r="G242" s="90" t="s">
        <v>183</v>
      </c>
      <c r="H242" s="90">
        <v>30</v>
      </c>
      <c r="I242" s="90">
        <f>'Odds &amp; Rarity'!$D$13</f>
        <v>1026000</v>
      </c>
      <c r="J242" s="90">
        <f t="shared" si="17"/>
        <v>570</v>
      </c>
      <c r="K242" s="90">
        <f t="shared" si="18"/>
        <v>570</v>
      </c>
      <c r="L242" s="90">
        <f t="shared" si="19"/>
        <v>570</v>
      </c>
      <c r="M242" s="91"/>
      <c r="N242" s="59" t="str">
        <f t="shared" si="15"/>
        <v>Inserts - General|Metal Prints|MP-7|Base</v>
      </c>
      <c r="O242" s="59">
        <f t="shared" si="16"/>
        <v>570</v>
      </c>
    </row>
    <row r="243" spans="1:15" x14ac:dyDescent="0.25">
      <c r="A243" s="90" t="s">
        <v>31</v>
      </c>
      <c r="B243" s="90" t="s">
        <v>124</v>
      </c>
      <c r="C243" s="90" t="s">
        <v>551</v>
      </c>
      <c r="D243" s="91" t="s">
        <v>389</v>
      </c>
      <c r="E243" s="90" t="s">
        <v>60</v>
      </c>
      <c r="F243" s="90">
        <v>60</v>
      </c>
      <c r="G243" s="90" t="s">
        <v>183</v>
      </c>
      <c r="H243" s="90">
        <v>30</v>
      </c>
      <c r="I243" s="90">
        <f>'Odds &amp; Rarity'!$D$13</f>
        <v>1026000</v>
      </c>
      <c r="J243" s="90">
        <f t="shared" si="17"/>
        <v>570</v>
      </c>
      <c r="K243" s="90">
        <f t="shared" si="18"/>
        <v>570</v>
      </c>
      <c r="L243" s="90">
        <f t="shared" si="19"/>
        <v>570</v>
      </c>
      <c r="M243" s="91"/>
      <c r="N243" s="59" t="str">
        <f t="shared" si="15"/>
        <v>Inserts - General|Metal Prints|MP-8|Base</v>
      </c>
      <c r="O243" s="59">
        <f t="shared" si="16"/>
        <v>570</v>
      </c>
    </row>
    <row r="244" spans="1:15" x14ac:dyDescent="0.25">
      <c r="A244" s="90" t="s">
        <v>31</v>
      </c>
      <c r="B244" s="90" t="s">
        <v>124</v>
      </c>
      <c r="C244" s="90" t="s">
        <v>552</v>
      </c>
      <c r="D244" s="91" t="s">
        <v>458</v>
      </c>
      <c r="E244" s="90" t="s">
        <v>60</v>
      </c>
      <c r="F244" s="90">
        <v>60</v>
      </c>
      <c r="G244" s="90" t="s">
        <v>183</v>
      </c>
      <c r="H244" s="90">
        <v>30</v>
      </c>
      <c r="I244" s="90">
        <f>'Odds &amp; Rarity'!$D$13</f>
        <v>1026000</v>
      </c>
      <c r="J244" s="90">
        <f t="shared" si="17"/>
        <v>570</v>
      </c>
      <c r="K244" s="90">
        <f t="shared" si="18"/>
        <v>570</v>
      </c>
      <c r="L244" s="90">
        <f t="shared" si="19"/>
        <v>570</v>
      </c>
      <c r="M244" s="91"/>
      <c r="N244" s="59" t="str">
        <f t="shared" si="15"/>
        <v>Inserts - General|Metal Prints|MP-9|Base</v>
      </c>
      <c r="O244" s="59">
        <f t="shared" si="16"/>
        <v>570</v>
      </c>
    </row>
    <row r="245" spans="1:15" x14ac:dyDescent="0.25">
      <c r="A245" s="90" t="s">
        <v>27</v>
      </c>
      <c r="B245" s="90" t="s">
        <v>27</v>
      </c>
      <c r="C245" s="90" t="s">
        <v>553</v>
      </c>
      <c r="D245" s="91" t="s">
        <v>554</v>
      </c>
      <c r="E245" s="90" t="s">
        <v>60</v>
      </c>
      <c r="F245" s="90">
        <v>48</v>
      </c>
      <c r="G245" s="90" t="s">
        <v>183</v>
      </c>
      <c r="H245" s="90">
        <v>30</v>
      </c>
      <c r="I245" s="90">
        <f>'Odds &amp; Rarity'!$D$13</f>
        <v>1026000</v>
      </c>
      <c r="J245" s="90">
        <f t="shared" si="17"/>
        <v>713</v>
      </c>
      <c r="K245" s="90">
        <f t="shared" si="18"/>
        <v>713</v>
      </c>
      <c r="L245" s="90">
        <f t="shared" si="19"/>
        <v>713</v>
      </c>
      <c r="M245" s="91"/>
      <c r="N245" s="59" t="str">
        <f t="shared" si="15"/>
        <v>A View From Home|A View From Home|VFH-1|Base</v>
      </c>
      <c r="O245" s="59">
        <f t="shared" si="16"/>
        <v>713</v>
      </c>
    </row>
    <row r="246" spans="1:15" x14ac:dyDescent="0.25">
      <c r="A246" s="90" t="s">
        <v>27</v>
      </c>
      <c r="B246" s="90" t="s">
        <v>27</v>
      </c>
      <c r="C246" s="90" t="s">
        <v>555</v>
      </c>
      <c r="D246" s="91" t="s">
        <v>556</v>
      </c>
      <c r="E246" s="90" t="s">
        <v>60</v>
      </c>
      <c r="F246" s="90">
        <v>48</v>
      </c>
      <c r="G246" s="90" t="s">
        <v>183</v>
      </c>
      <c r="H246" s="90">
        <v>30</v>
      </c>
      <c r="I246" s="90">
        <f>'Odds &amp; Rarity'!$D$13</f>
        <v>1026000</v>
      </c>
      <c r="J246" s="90">
        <f t="shared" si="17"/>
        <v>713</v>
      </c>
      <c r="K246" s="90">
        <f t="shared" si="18"/>
        <v>713</v>
      </c>
      <c r="L246" s="90">
        <f t="shared" si="19"/>
        <v>713</v>
      </c>
      <c r="M246" s="91"/>
      <c r="N246" s="59" t="str">
        <f t="shared" si="15"/>
        <v>A View From Home|A View From Home|VFH-10|Base</v>
      </c>
      <c r="O246" s="59">
        <f t="shared" si="16"/>
        <v>713</v>
      </c>
    </row>
    <row r="247" spans="1:15" x14ac:dyDescent="0.25">
      <c r="A247" s="90" t="s">
        <v>27</v>
      </c>
      <c r="B247" s="90" t="s">
        <v>27</v>
      </c>
      <c r="C247" s="90" t="s">
        <v>557</v>
      </c>
      <c r="D247" s="91" t="s">
        <v>558</v>
      </c>
      <c r="E247" s="90" t="s">
        <v>60</v>
      </c>
      <c r="F247" s="90">
        <v>48</v>
      </c>
      <c r="G247" s="90" t="s">
        <v>183</v>
      </c>
      <c r="H247" s="90">
        <v>30</v>
      </c>
      <c r="I247" s="90">
        <f>'Odds &amp; Rarity'!$D$13</f>
        <v>1026000</v>
      </c>
      <c r="J247" s="90">
        <f t="shared" si="17"/>
        <v>713</v>
      </c>
      <c r="K247" s="90">
        <f t="shared" si="18"/>
        <v>713</v>
      </c>
      <c r="L247" s="90">
        <f t="shared" si="19"/>
        <v>713</v>
      </c>
      <c r="M247" s="91"/>
      <c r="N247" s="59" t="str">
        <f t="shared" si="15"/>
        <v>A View From Home|A View From Home|VFH-11|Base</v>
      </c>
      <c r="O247" s="59">
        <f t="shared" si="16"/>
        <v>713</v>
      </c>
    </row>
    <row r="248" spans="1:15" x14ac:dyDescent="0.25">
      <c r="A248" s="90" t="s">
        <v>27</v>
      </c>
      <c r="B248" s="90" t="s">
        <v>27</v>
      </c>
      <c r="C248" s="90" t="s">
        <v>559</v>
      </c>
      <c r="D248" s="91" t="s">
        <v>560</v>
      </c>
      <c r="E248" s="90" t="s">
        <v>60</v>
      </c>
      <c r="F248" s="90">
        <v>48</v>
      </c>
      <c r="G248" s="90" t="s">
        <v>183</v>
      </c>
      <c r="H248" s="90">
        <v>30</v>
      </c>
      <c r="I248" s="90">
        <f>'Odds &amp; Rarity'!$D$13</f>
        <v>1026000</v>
      </c>
      <c r="J248" s="90">
        <f t="shared" si="17"/>
        <v>713</v>
      </c>
      <c r="K248" s="90">
        <f t="shared" si="18"/>
        <v>713</v>
      </c>
      <c r="L248" s="90">
        <f t="shared" si="19"/>
        <v>713</v>
      </c>
      <c r="M248" s="91"/>
      <c r="N248" s="59" t="str">
        <f t="shared" si="15"/>
        <v>A View From Home|A View From Home|VFH-12|Base</v>
      </c>
      <c r="O248" s="59">
        <f t="shared" si="16"/>
        <v>713</v>
      </c>
    </row>
    <row r="249" spans="1:15" x14ac:dyDescent="0.25">
      <c r="A249" s="90" t="s">
        <v>27</v>
      </c>
      <c r="B249" s="90" t="s">
        <v>27</v>
      </c>
      <c r="C249" s="90" t="s">
        <v>561</v>
      </c>
      <c r="D249" s="91" t="s">
        <v>562</v>
      </c>
      <c r="E249" s="90" t="s">
        <v>60</v>
      </c>
      <c r="F249" s="90">
        <v>48</v>
      </c>
      <c r="G249" s="90" t="s">
        <v>183</v>
      </c>
      <c r="H249" s="90">
        <v>30</v>
      </c>
      <c r="I249" s="90">
        <f>'Odds &amp; Rarity'!$D$13</f>
        <v>1026000</v>
      </c>
      <c r="J249" s="90">
        <f t="shared" si="17"/>
        <v>713</v>
      </c>
      <c r="K249" s="90">
        <f t="shared" si="18"/>
        <v>713</v>
      </c>
      <c r="L249" s="90">
        <f t="shared" si="19"/>
        <v>713</v>
      </c>
      <c r="M249" s="91"/>
      <c r="N249" s="59" t="str">
        <f t="shared" si="15"/>
        <v>A View From Home|A View From Home|VFH-13|Base</v>
      </c>
      <c r="O249" s="59">
        <f t="shared" si="16"/>
        <v>713</v>
      </c>
    </row>
    <row r="250" spans="1:15" x14ac:dyDescent="0.25">
      <c r="A250" s="90" t="s">
        <v>27</v>
      </c>
      <c r="B250" s="90" t="s">
        <v>27</v>
      </c>
      <c r="C250" s="90" t="s">
        <v>563</v>
      </c>
      <c r="D250" s="91" t="s">
        <v>564</v>
      </c>
      <c r="E250" s="90" t="s">
        <v>60</v>
      </c>
      <c r="F250" s="90">
        <v>48</v>
      </c>
      <c r="G250" s="90" t="s">
        <v>183</v>
      </c>
      <c r="H250" s="90">
        <v>30</v>
      </c>
      <c r="I250" s="90">
        <f>'Odds &amp; Rarity'!$D$13</f>
        <v>1026000</v>
      </c>
      <c r="J250" s="90">
        <f t="shared" si="17"/>
        <v>713</v>
      </c>
      <c r="K250" s="90">
        <f t="shared" si="18"/>
        <v>713</v>
      </c>
      <c r="L250" s="90">
        <f t="shared" si="19"/>
        <v>713</v>
      </c>
      <c r="M250" s="91"/>
      <c r="N250" s="59" t="str">
        <f t="shared" si="15"/>
        <v>A View From Home|A View From Home|VFH-14|Base</v>
      </c>
      <c r="O250" s="59">
        <f t="shared" si="16"/>
        <v>713</v>
      </c>
    </row>
    <row r="251" spans="1:15" x14ac:dyDescent="0.25">
      <c r="A251" s="90" t="s">
        <v>27</v>
      </c>
      <c r="B251" s="90" t="s">
        <v>27</v>
      </c>
      <c r="C251" s="90" t="s">
        <v>565</v>
      </c>
      <c r="D251" s="91" t="s">
        <v>566</v>
      </c>
      <c r="E251" s="90" t="s">
        <v>60</v>
      </c>
      <c r="F251" s="90">
        <v>48</v>
      </c>
      <c r="G251" s="90" t="s">
        <v>183</v>
      </c>
      <c r="H251" s="90">
        <v>30</v>
      </c>
      <c r="I251" s="90">
        <f>'Odds &amp; Rarity'!$D$13</f>
        <v>1026000</v>
      </c>
      <c r="J251" s="90">
        <f t="shared" si="17"/>
        <v>713</v>
      </c>
      <c r="K251" s="90">
        <f t="shared" si="18"/>
        <v>713</v>
      </c>
      <c r="L251" s="90">
        <f t="shared" si="19"/>
        <v>713</v>
      </c>
      <c r="M251" s="91"/>
      <c r="N251" s="59" t="str">
        <f t="shared" si="15"/>
        <v>A View From Home|A View From Home|VFH-15|Base</v>
      </c>
      <c r="O251" s="59">
        <f t="shared" si="16"/>
        <v>713</v>
      </c>
    </row>
    <row r="252" spans="1:15" x14ac:dyDescent="0.25">
      <c r="A252" s="90" t="s">
        <v>27</v>
      </c>
      <c r="B252" s="90" t="s">
        <v>27</v>
      </c>
      <c r="C252" s="90" t="s">
        <v>567</v>
      </c>
      <c r="D252" s="91" t="s">
        <v>568</v>
      </c>
      <c r="E252" s="90" t="s">
        <v>60</v>
      </c>
      <c r="F252" s="90">
        <v>48</v>
      </c>
      <c r="G252" s="90" t="s">
        <v>183</v>
      </c>
      <c r="H252" s="90">
        <v>30</v>
      </c>
      <c r="I252" s="90">
        <f>'Odds &amp; Rarity'!$D$13</f>
        <v>1026000</v>
      </c>
      <c r="J252" s="90">
        <f t="shared" si="17"/>
        <v>713</v>
      </c>
      <c r="K252" s="90">
        <f t="shared" si="18"/>
        <v>713</v>
      </c>
      <c r="L252" s="90">
        <f t="shared" si="19"/>
        <v>713</v>
      </c>
      <c r="M252" s="91"/>
      <c r="N252" s="59" t="str">
        <f t="shared" si="15"/>
        <v>A View From Home|A View From Home|VFH-16|Base</v>
      </c>
      <c r="O252" s="59">
        <f t="shared" si="16"/>
        <v>713</v>
      </c>
    </row>
    <row r="253" spans="1:15" x14ac:dyDescent="0.25">
      <c r="A253" s="90" t="s">
        <v>27</v>
      </c>
      <c r="B253" s="90" t="s">
        <v>27</v>
      </c>
      <c r="C253" s="90" t="s">
        <v>569</v>
      </c>
      <c r="D253" s="91" t="s">
        <v>570</v>
      </c>
      <c r="E253" s="90" t="s">
        <v>60</v>
      </c>
      <c r="F253" s="90">
        <v>48</v>
      </c>
      <c r="G253" s="90" t="s">
        <v>183</v>
      </c>
      <c r="H253" s="90">
        <v>30</v>
      </c>
      <c r="I253" s="90">
        <f>'Odds &amp; Rarity'!$D$13</f>
        <v>1026000</v>
      </c>
      <c r="J253" s="90">
        <f t="shared" si="17"/>
        <v>713</v>
      </c>
      <c r="K253" s="90">
        <f t="shared" si="18"/>
        <v>713</v>
      </c>
      <c r="L253" s="90">
        <f t="shared" si="19"/>
        <v>713</v>
      </c>
      <c r="M253" s="91"/>
      <c r="N253" s="59" t="str">
        <f t="shared" si="15"/>
        <v>A View From Home|A View From Home|VFH-17|Base</v>
      </c>
      <c r="O253" s="59">
        <f t="shared" si="16"/>
        <v>713</v>
      </c>
    </row>
    <row r="254" spans="1:15" x14ac:dyDescent="0.25">
      <c r="A254" s="90" t="s">
        <v>27</v>
      </c>
      <c r="B254" s="90" t="s">
        <v>27</v>
      </c>
      <c r="C254" s="90" t="s">
        <v>571</v>
      </c>
      <c r="D254" s="91" t="s">
        <v>572</v>
      </c>
      <c r="E254" s="90" t="s">
        <v>60</v>
      </c>
      <c r="F254" s="90">
        <v>48</v>
      </c>
      <c r="G254" s="90" t="s">
        <v>183</v>
      </c>
      <c r="H254" s="90">
        <v>30</v>
      </c>
      <c r="I254" s="90">
        <f>'Odds &amp; Rarity'!$D$13</f>
        <v>1026000</v>
      </c>
      <c r="J254" s="90">
        <f t="shared" si="17"/>
        <v>713</v>
      </c>
      <c r="K254" s="90">
        <f t="shared" si="18"/>
        <v>713</v>
      </c>
      <c r="L254" s="90">
        <f t="shared" si="19"/>
        <v>713</v>
      </c>
      <c r="M254" s="91"/>
      <c r="N254" s="59" t="str">
        <f t="shared" si="15"/>
        <v>A View From Home|A View From Home|VFH-18|Base</v>
      </c>
      <c r="O254" s="59">
        <f t="shared" si="16"/>
        <v>713</v>
      </c>
    </row>
    <row r="255" spans="1:15" x14ac:dyDescent="0.25">
      <c r="A255" s="90" t="s">
        <v>27</v>
      </c>
      <c r="B255" s="90" t="s">
        <v>27</v>
      </c>
      <c r="C255" s="90" t="s">
        <v>573</v>
      </c>
      <c r="D255" s="91" t="s">
        <v>574</v>
      </c>
      <c r="E255" s="90" t="s">
        <v>60</v>
      </c>
      <c r="F255" s="90">
        <v>48</v>
      </c>
      <c r="G255" s="90" t="s">
        <v>183</v>
      </c>
      <c r="H255" s="90">
        <v>30</v>
      </c>
      <c r="I255" s="90">
        <f>'Odds &amp; Rarity'!$D$13</f>
        <v>1026000</v>
      </c>
      <c r="J255" s="90">
        <f t="shared" si="17"/>
        <v>713</v>
      </c>
      <c r="K255" s="90">
        <f t="shared" si="18"/>
        <v>713</v>
      </c>
      <c r="L255" s="90">
        <f t="shared" si="19"/>
        <v>713</v>
      </c>
      <c r="M255" s="91"/>
      <c r="N255" s="59" t="str">
        <f t="shared" si="15"/>
        <v>A View From Home|A View From Home|VFH-19|Base</v>
      </c>
      <c r="O255" s="59">
        <f t="shared" si="16"/>
        <v>713</v>
      </c>
    </row>
    <row r="256" spans="1:15" x14ac:dyDescent="0.25">
      <c r="A256" s="90" t="s">
        <v>27</v>
      </c>
      <c r="B256" s="90" t="s">
        <v>27</v>
      </c>
      <c r="C256" s="90" t="s">
        <v>575</v>
      </c>
      <c r="D256" s="91" t="s">
        <v>576</v>
      </c>
      <c r="E256" s="90" t="s">
        <v>60</v>
      </c>
      <c r="F256" s="90">
        <v>48</v>
      </c>
      <c r="G256" s="90" t="s">
        <v>183</v>
      </c>
      <c r="H256" s="90">
        <v>30</v>
      </c>
      <c r="I256" s="90">
        <f>'Odds &amp; Rarity'!$D$13</f>
        <v>1026000</v>
      </c>
      <c r="J256" s="90">
        <f t="shared" si="17"/>
        <v>713</v>
      </c>
      <c r="K256" s="90">
        <f t="shared" si="18"/>
        <v>713</v>
      </c>
      <c r="L256" s="90">
        <f t="shared" si="19"/>
        <v>713</v>
      </c>
      <c r="M256" s="91"/>
      <c r="N256" s="59" t="str">
        <f t="shared" si="15"/>
        <v>A View From Home|A View From Home|VFH-2|Base</v>
      </c>
      <c r="O256" s="59">
        <f t="shared" si="16"/>
        <v>713</v>
      </c>
    </row>
    <row r="257" spans="1:15" x14ac:dyDescent="0.25">
      <c r="A257" s="90" t="s">
        <v>27</v>
      </c>
      <c r="B257" s="90" t="s">
        <v>27</v>
      </c>
      <c r="C257" s="90" t="s">
        <v>577</v>
      </c>
      <c r="D257" s="91" t="s">
        <v>578</v>
      </c>
      <c r="E257" s="90" t="s">
        <v>60</v>
      </c>
      <c r="F257" s="90">
        <v>48</v>
      </c>
      <c r="G257" s="90" t="s">
        <v>183</v>
      </c>
      <c r="H257" s="90">
        <v>30</v>
      </c>
      <c r="I257" s="90">
        <f>'Odds &amp; Rarity'!$D$13</f>
        <v>1026000</v>
      </c>
      <c r="J257" s="90">
        <f t="shared" si="17"/>
        <v>713</v>
      </c>
      <c r="K257" s="90">
        <f t="shared" si="18"/>
        <v>713</v>
      </c>
      <c r="L257" s="90">
        <f t="shared" si="19"/>
        <v>713</v>
      </c>
      <c r="M257" s="91"/>
      <c r="N257" s="59" t="str">
        <f t="shared" si="15"/>
        <v>A View From Home|A View From Home|VFH-20|Base</v>
      </c>
      <c r="O257" s="59">
        <f t="shared" si="16"/>
        <v>713</v>
      </c>
    </row>
    <row r="258" spans="1:15" x14ac:dyDescent="0.25">
      <c r="A258" s="90" t="s">
        <v>27</v>
      </c>
      <c r="B258" s="90" t="s">
        <v>27</v>
      </c>
      <c r="C258" s="90" t="s">
        <v>579</v>
      </c>
      <c r="D258" s="91" t="s">
        <v>580</v>
      </c>
      <c r="E258" s="90" t="s">
        <v>60</v>
      </c>
      <c r="F258" s="90">
        <v>48</v>
      </c>
      <c r="G258" s="90" t="s">
        <v>183</v>
      </c>
      <c r="H258" s="90">
        <v>30</v>
      </c>
      <c r="I258" s="90">
        <f>'Odds &amp; Rarity'!$D$13</f>
        <v>1026000</v>
      </c>
      <c r="J258" s="90">
        <f t="shared" si="17"/>
        <v>713</v>
      </c>
      <c r="K258" s="90">
        <f t="shared" si="18"/>
        <v>713</v>
      </c>
      <c r="L258" s="90">
        <f t="shared" si="19"/>
        <v>713</v>
      </c>
      <c r="M258" s="91"/>
      <c r="N258" s="59" t="str">
        <f t="shared" ref="N258:N321" si="20">IF($A258="","",$A258&amp;"|"&amp;$B258&amp;"|"&amp;$C258&amp;"|"&amp;$E258)</f>
        <v>A View From Home|A View From Home|VFH-21|Base</v>
      </c>
      <c r="O258" s="59">
        <f t="shared" ref="O258:O321" si="21">IF($A258="","",$J258)</f>
        <v>713</v>
      </c>
    </row>
    <row r="259" spans="1:15" x14ac:dyDescent="0.25">
      <c r="A259" s="90" t="s">
        <v>27</v>
      </c>
      <c r="B259" s="90" t="s">
        <v>27</v>
      </c>
      <c r="C259" s="90" t="s">
        <v>581</v>
      </c>
      <c r="D259" s="91" t="s">
        <v>582</v>
      </c>
      <c r="E259" s="90" t="s">
        <v>60</v>
      </c>
      <c r="F259" s="90">
        <v>48</v>
      </c>
      <c r="G259" s="90" t="s">
        <v>183</v>
      </c>
      <c r="H259" s="90">
        <v>30</v>
      </c>
      <c r="I259" s="90">
        <f>'Odds &amp; Rarity'!$D$13</f>
        <v>1026000</v>
      </c>
      <c r="J259" s="90">
        <f t="shared" si="17"/>
        <v>713</v>
      </c>
      <c r="K259" s="90">
        <f t="shared" si="18"/>
        <v>713</v>
      </c>
      <c r="L259" s="90">
        <f t="shared" si="19"/>
        <v>713</v>
      </c>
      <c r="M259" s="91"/>
      <c r="N259" s="59" t="str">
        <f t="shared" si="20"/>
        <v>A View From Home|A View From Home|VFH-22|Base</v>
      </c>
      <c r="O259" s="59">
        <f t="shared" si="21"/>
        <v>713</v>
      </c>
    </row>
    <row r="260" spans="1:15" x14ac:dyDescent="0.25">
      <c r="A260" s="90" t="s">
        <v>27</v>
      </c>
      <c r="B260" s="90" t="s">
        <v>27</v>
      </c>
      <c r="C260" s="90" t="s">
        <v>583</v>
      </c>
      <c r="D260" s="91" t="s">
        <v>584</v>
      </c>
      <c r="E260" s="90" t="s">
        <v>60</v>
      </c>
      <c r="F260" s="90">
        <v>48</v>
      </c>
      <c r="G260" s="90" t="s">
        <v>183</v>
      </c>
      <c r="H260" s="90">
        <v>30</v>
      </c>
      <c r="I260" s="90">
        <f>'Odds &amp; Rarity'!$D$13</f>
        <v>1026000</v>
      </c>
      <c r="J260" s="90">
        <f t="shared" ref="J260:J323" si="22">IF(OR(I260="",F260="",H260=""),"",ROUND(I260/(F260*H260),0))</f>
        <v>713</v>
      </c>
      <c r="K260" s="90">
        <f t="shared" ref="K260:K323" si="23">J260</f>
        <v>713</v>
      </c>
      <c r="L260" s="90">
        <f t="shared" ref="L260:L323" si="24">J260</f>
        <v>713</v>
      </c>
      <c r="M260" s="91"/>
      <c r="N260" s="59" t="str">
        <f t="shared" si="20"/>
        <v>A View From Home|A View From Home|VFH-23|Base</v>
      </c>
      <c r="O260" s="59">
        <f t="shared" si="21"/>
        <v>713</v>
      </c>
    </row>
    <row r="261" spans="1:15" x14ac:dyDescent="0.25">
      <c r="A261" s="90" t="s">
        <v>27</v>
      </c>
      <c r="B261" s="90" t="s">
        <v>27</v>
      </c>
      <c r="C261" s="90" t="s">
        <v>585</v>
      </c>
      <c r="D261" s="91" t="s">
        <v>586</v>
      </c>
      <c r="E261" s="90" t="s">
        <v>60</v>
      </c>
      <c r="F261" s="90">
        <v>48</v>
      </c>
      <c r="G261" s="90" t="s">
        <v>183</v>
      </c>
      <c r="H261" s="90">
        <v>30</v>
      </c>
      <c r="I261" s="90">
        <f>'Odds &amp; Rarity'!$D$13</f>
        <v>1026000</v>
      </c>
      <c r="J261" s="90">
        <f t="shared" si="22"/>
        <v>713</v>
      </c>
      <c r="K261" s="90">
        <f t="shared" si="23"/>
        <v>713</v>
      </c>
      <c r="L261" s="90">
        <f t="shared" si="24"/>
        <v>713</v>
      </c>
      <c r="M261" s="91"/>
      <c r="N261" s="59" t="str">
        <f t="shared" si="20"/>
        <v>A View From Home|A View From Home|VFH-24|Base</v>
      </c>
      <c r="O261" s="59">
        <f t="shared" si="21"/>
        <v>713</v>
      </c>
    </row>
    <row r="262" spans="1:15" x14ac:dyDescent="0.25">
      <c r="A262" s="90" t="s">
        <v>27</v>
      </c>
      <c r="B262" s="90" t="s">
        <v>27</v>
      </c>
      <c r="C262" s="90" t="s">
        <v>587</v>
      </c>
      <c r="D262" s="91" t="s">
        <v>588</v>
      </c>
      <c r="E262" s="90" t="s">
        <v>60</v>
      </c>
      <c r="F262" s="90">
        <v>48</v>
      </c>
      <c r="G262" s="90" t="s">
        <v>183</v>
      </c>
      <c r="H262" s="90">
        <v>30</v>
      </c>
      <c r="I262" s="90">
        <f>'Odds &amp; Rarity'!$D$13</f>
        <v>1026000</v>
      </c>
      <c r="J262" s="90">
        <f t="shared" si="22"/>
        <v>713</v>
      </c>
      <c r="K262" s="90">
        <f t="shared" si="23"/>
        <v>713</v>
      </c>
      <c r="L262" s="90">
        <f t="shared" si="24"/>
        <v>713</v>
      </c>
      <c r="M262" s="91"/>
      <c r="N262" s="59" t="str">
        <f t="shared" si="20"/>
        <v>A View From Home|A View From Home|VFH-25|Base</v>
      </c>
      <c r="O262" s="59">
        <f t="shared" si="21"/>
        <v>713</v>
      </c>
    </row>
    <row r="263" spans="1:15" x14ac:dyDescent="0.25">
      <c r="A263" s="90" t="s">
        <v>27</v>
      </c>
      <c r="B263" s="90" t="s">
        <v>27</v>
      </c>
      <c r="C263" s="90" t="s">
        <v>589</v>
      </c>
      <c r="D263" s="91" t="s">
        <v>590</v>
      </c>
      <c r="E263" s="90" t="s">
        <v>60</v>
      </c>
      <c r="F263" s="90">
        <v>48</v>
      </c>
      <c r="G263" s="90" t="s">
        <v>183</v>
      </c>
      <c r="H263" s="90">
        <v>30</v>
      </c>
      <c r="I263" s="90">
        <f>'Odds &amp; Rarity'!$D$13</f>
        <v>1026000</v>
      </c>
      <c r="J263" s="90">
        <f t="shared" si="22"/>
        <v>713</v>
      </c>
      <c r="K263" s="90">
        <f t="shared" si="23"/>
        <v>713</v>
      </c>
      <c r="L263" s="90">
        <f t="shared" si="24"/>
        <v>713</v>
      </c>
      <c r="M263" s="91"/>
      <c r="N263" s="59" t="str">
        <f t="shared" si="20"/>
        <v>A View From Home|A View From Home|VFH-26|Base</v>
      </c>
      <c r="O263" s="59">
        <f t="shared" si="21"/>
        <v>713</v>
      </c>
    </row>
    <row r="264" spans="1:15" x14ac:dyDescent="0.25">
      <c r="A264" s="90" t="s">
        <v>27</v>
      </c>
      <c r="B264" s="90" t="s">
        <v>27</v>
      </c>
      <c r="C264" s="90" t="s">
        <v>591</v>
      </c>
      <c r="D264" s="91" t="s">
        <v>592</v>
      </c>
      <c r="E264" s="90" t="s">
        <v>60</v>
      </c>
      <c r="F264" s="90">
        <v>48</v>
      </c>
      <c r="G264" s="90" t="s">
        <v>183</v>
      </c>
      <c r="H264" s="90">
        <v>30</v>
      </c>
      <c r="I264" s="90">
        <f>'Odds &amp; Rarity'!$D$13</f>
        <v>1026000</v>
      </c>
      <c r="J264" s="90">
        <f t="shared" si="22"/>
        <v>713</v>
      </c>
      <c r="K264" s="90">
        <f t="shared" si="23"/>
        <v>713</v>
      </c>
      <c r="L264" s="90">
        <f t="shared" si="24"/>
        <v>713</v>
      </c>
      <c r="M264" s="91"/>
      <c r="N264" s="59" t="str">
        <f t="shared" si="20"/>
        <v>A View From Home|A View From Home|VFH-27|Base</v>
      </c>
      <c r="O264" s="59">
        <f t="shared" si="21"/>
        <v>713</v>
      </c>
    </row>
    <row r="265" spans="1:15" x14ac:dyDescent="0.25">
      <c r="A265" s="90" t="s">
        <v>27</v>
      </c>
      <c r="B265" s="90" t="s">
        <v>27</v>
      </c>
      <c r="C265" s="90" t="s">
        <v>593</v>
      </c>
      <c r="D265" s="91" t="s">
        <v>594</v>
      </c>
      <c r="E265" s="90" t="s">
        <v>60</v>
      </c>
      <c r="F265" s="90">
        <v>48</v>
      </c>
      <c r="G265" s="90" t="s">
        <v>183</v>
      </c>
      <c r="H265" s="90">
        <v>30</v>
      </c>
      <c r="I265" s="90">
        <f>'Odds &amp; Rarity'!$D$13</f>
        <v>1026000</v>
      </c>
      <c r="J265" s="90">
        <f t="shared" si="22"/>
        <v>713</v>
      </c>
      <c r="K265" s="90">
        <f t="shared" si="23"/>
        <v>713</v>
      </c>
      <c r="L265" s="90">
        <f t="shared" si="24"/>
        <v>713</v>
      </c>
      <c r="M265" s="91"/>
      <c r="N265" s="59" t="str">
        <f t="shared" si="20"/>
        <v>A View From Home|A View From Home|VFH-28|Base</v>
      </c>
      <c r="O265" s="59">
        <f t="shared" si="21"/>
        <v>713</v>
      </c>
    </row>
    <row r="266" spans="1:15" x14ac:dyDescent="0.25">
      <c r="A266" s="90" t="s">
        <v>27</v>
      </c>
      <c r="B266" s="90" t="s">
        <v>27</v>
      </c>
      <c r="C266" s="90" t="s">
        <v>595</v>
      </c>
      <c r="D266" s="91" t="s">
        <v>596</v>
      </c>
      <c r="E266" s="90" t="s">
        <v>60</v>
      </c>
      <c r="F266" s="90">
        <v>48</v>
      </c>
      <c r="G266" s="90" t="s">
        <v>183</v>
      </c>
      <c r="H266" s="90">
        <v>30</v>
      </c>
      <c r="I266" s="90">
        <f>'Odds &amp; Rarity'!$D$13</f>
        <v>1026000</v>
      </c>
      <c r="J266" s="90">
        <f t="shared" si="22"/>
        <v>713</v>
      </c>
      <c r="K266" s="90">
        <f t="shared" si="23"/>
        <v>713</v>
      </c>
      <c r="L266" s="90">
        <f t="shared" si="24"/>
        <v>713</v>
      </c>
      <c r="M266" s="91"/>
      <c r="N266" s="59" t="str">
        <f t="shared" si="20"/>
        <v>A View From Home|A View From Home|VFH-29|Base</v>
      </c>
      <c r="O266" s="59">
        <f t="shared" si="21"/>
        <v>713</v>
      </c>
    </row>
    <row r="267" spans="1:15" x14ac:dyDescent="0.25">
      <c r="A267" s="90" t="s">
        <v>27</v>
      </c>
      <c r="B267" s="90" t="s">
        <v>27</v>
      </c>
      <c r="C267" s="90" t="s">
        <v>597</v>
      </c>
      <c r="D267" s="91" t="s">
        <v>598</v>
      </c>
      <c r="E267" s="90" t="s">
        <v>60</v>
      </c>
      <c r="F267" s="90">
        <v>48</v>
      </c>
      <c r="G267" s="90" t="s">
        <v>183</v>
      </c>
      <c r="H267" s="90">
        <v>30</v>
      </c>
      <c r="I267" s="90">
        <f>'Odds &amp; Rarity'!$D$13</f>
        <v>1026000</v>
      </c>
      <c r="J267" s="90">
        <f t="shared" si="22"/>
        <v>713</v>
      </c>
      <c r="K267" s="90">
        <f t="shared" si="23"/>
        <v>713</v>
      </c>
      <c r="L267" s="90">
        <f t="shared" si="24"/>
        <v>713</v>
      </c>
      <c r="M267" s="91"/>
      <c r="N267" s="59" t="str">
        <f t="shared" si="20"/>
        <v>A View From Home|A View From Home|VFH-3|Base</v>
      </c>
      <c r="O267" s="59">
        <f t="shared" si="21"/>
        <v>713</v>
      </c>
    </row>
    <row r="268" spans="1:15" x14ac:dyDescent="0.25">
      <c r="A268" s="90" t="s">
        <v>27</v>
      </c>
      <c r="B268" s="90" t="s">
        <v>27</v>
      </c>
      <c r="C268" s="90" t="s">
        <v>599</v>
      </c>
      <c r="D268" s="91" t="s">
        <v>600</v>
      </c>
      <c r="E268" s="90" t="s">
        <v>60</v>
      </c>
      <c r="F268" s="90">
        <v>48</v>
      </c>
      <c r="G268" s="90" t="s">
        <v>183</v>
      </c>
      <c r="H268" s="90">
        <v>30</v>
      </c>
      <c r="I268" s="90">
        <f>'Odds &amp; Rarity'!$D$13</f>
        <v>1026000</v>
      </c>
      <c r="J268" s="90">
        <f t="shared" si="22"/>
        <v>713</v>
      </c>
      <c r="K268" s="90">
        <f t="shared" si="23"/>
        <v>713</v>
      </c>
      <c r="L268" s="90">
        <f t="shared" si="24"/>
        <v>713</v>
      </c>
      <c r="M268" s="91"/>
      <c r="N268" s="59" t="str">
        <f t="shared" si="20"/>
        <v>A View From Home|A View From Home|VFH-30|Base</v>
      </c>
      <c r="O268" s="59">
        <f t="shared" si="21"/>
        <v>713</v>
      </c>
    </row>
    <row r="269" spans="1:15" x14ac:dyDescent="0.25">
      <c r="A269" s="90" t="s">
        <v>27</v>
      </c>
      <c r="B269" s="90" t="s">
        <v>27</v>
      </c>
      <c r="C269" s="90" t="s">
        <v>601</v>
      </c>
      <c r="D269" s="91" t="s">
        <v>602</v>
      </c>
      <c r="E269" s="90" t="s">
        <v>60</v>
      </c>
      <c r="F269" s="90">
        <v>48</v>
      </c>
      <c r="G269" s="90" t="s">
        <v>183</v>
      </c>
      <c r="H269" s="90">
        <v>30</v>
      </c>
      <c r="I269" s="90">
        <f>'Odds &amp; Rarity'!$D$13</f>
        <v>1026000</v>
      </c>
      <c r="J269" s="90">
        <f t="shared" si="22"/>
        <v>713</v>
      </c>
      <c r="K269" s="90">
        <f t="shared" si="23"/>
        <v>713</v>
      </c>
      <c r="L269" s="90">
        <f t="shared" si="24"/>
        <v>713</v>
      </c>
      <c r="M269" s="91"/>
      <c r="N269" s="59" t="str">
        <f t="shared" si="20"/>
        <v>A View From Home|A View From Home|VFH-4|Base</v>
      </c>
      <c r="O269" s="59">
        <f t="shared" si="21"/>
        <v>713</v>
      </c>
    </row>
    <row r="270" spans="1:15" x14ac:dyDescent="0.25">
      <c r="A270" s="90" t="s">
        <v>27</v>
      </c>
      <c r="B270" s="90" t="s">
        <v>27</v>
      </c>
      <c r="C270" s="90" t="s">
        <v>603</v>
      </c>
      <c r="D270" s="91" t="s">
        <v>604</v>
      </c>
      <c r="E270" s="90" t="s">
        <v>60</v>
      </c>
      <c r="F270" s="90">
        <v>48</v>
      </c>
      <c r="G270" s="90" t="s">
        <v>183</v>
      </c>
      <c r="H270" s="90">
        <v>30</v>
      </c>
      <c r="I270" s="90">
        <f>'Odds &amp; Rarity'!$D$13</f>
        <v>1026000</v>
      </c>
      <c r="J270" s="90">
        <f t="shared" si="22"/>
        <v>713</v>
      </c>
      <c r="K270" s="90">
        <f t="shared" si="23"/>
        <v>713</v>
      </c>
      <c r="L270" s="90">
        <f t="shared" si="24"/>
        <v>713</v>
      </c>
      <c r="M270" s="91"/>
      <c r="N270" s="59" t="str">
        <f t="shared" si="20"/>
        <v>A View From Home|A View From Home|VFH-5|Base</v>
      </c>
      <c r="O270" s="59">
        <f t="shared" si="21"/>
        <v>713</v>
      </c>
    </row>
    <row r="271" spans="1:15" x14ac:dyDescent="0.25">
      <c r="A271" s="90" t="s">
        <v>27</v>
      </c>
      <c r="B271" s="90" t="s">
        <v>27</v>
      </c>
      <c r="C271" s="90" t="s">
        <v>605</v>
      </c>
      <c r="D271" s="91" t="s">
        <v>606</v>
      </c>
      <c r="E271" s="90" t="s">
        <v>60</v>
      </c>
      <c r="F271" s="90">
        <v>48</v>
      </c>
      <c r="G271" s="90" t="s">
        <v>183</v>
      </c>
      <c r="H271" s="90">
        <v>30</v>
      </c>
      <c r="I271" s="90">
        <f>'Odds &amp; Rarity'!$D$13</f>
        <v>1026000</v>
      </c>
      <c r="J271" s="90">
        <f t="shared" si="22"/>
        <v>713</v>
      </c>
      <c r="K271" s="90">
        <f t="shared" si="23"/>
        <v>713</v>
      </c>
      <c r="L271" s="90">
        <f t="shared" si="24"/>
        <v>713</v>
      </c>
      <c r="M271" s="91"/>
      <c r="N271" s="59" t="str">
        <f t="shared" si="20"/>
        <v>A View From Home|A View From Home|VFH-6|Base</v>
      </c>
      <c r="O271" s="59">
        <f t="shared" si="21"/>
        <v>713</v>
      </c>
    </row>
    <row r="272" spans="1:15" x14ac:dyDescent="0.25">
      <c r="A272" s="90" t="s">
        <v>27</v>
      </c>
      <c r="B272" s="90" t="s">
        <v>27</v>
      </c>
      <c r="C272" s="90" t="s">
        <v>607</v>
      </c>
      <c r="D272" s="91" t="s">
        <v>608</v>
      </c>
      <c r="E272" s="90" t="s">
        <v>60</v>
      </c>
      <c r="F272" s="90">
        <v>48</v>
      </c>
      <c r="G272" s="90" t="s">
        <v>183</v>
      </c>
      <c r="H272" s="90">
        <v>30</v>
      </c>
      <c r="I272" s="90">
        <f>'Odds &amp; Rarity'!$D$13</f>
        <v>1026000</v>
      </c>
      <c r="J272" s="90">
        <f t="shared" si="22"/>
        <v>713</v>
      </c>
      <c r="K272" s="90">
        <f t="shared" si="23"/>
        <v>713</v>
      </c>
      <c r="L272" s="90">
        <f t="shared" si="24"/>
        <v>713</v>
      </c>
      <c r="M272" s="91"/>
      <c r="N272" s="59" t="str">
        <f t="shared" si="20"/>
        <v>A View From Home|A View From Home|VFH-7|Base</v>
      </c>
      <c r="O272" s="59">
        <f t="shared" si="21"/>
        <v>713</v>
      </c>
    </row>
    <row r="273" spans="1:15" x14ac:dyDescent="0.25">
      <c r="A273" s="90" t="s">
        <v>27</v>
      </c>
      <c r="B273" s="90" t="s">
        <v>27</v>
      </c>
      <c r="C273" s="90" t="s">
        <v>609</v>
      </c>
      <c r="D273" s="91" t="s">
        <v>610</v>
      </c>
      <c r="E273" s="90" t="s">
        <v>60</v>
      </c>
      <c r="F273" s="90">
        <v>48</v>
      </c>
      <c r="G273" s="90" t="s">
        <v>183</v>
      </c>
      <c r="H273" s="90">
        <v>30</v>
      </c>
      <c r="I273" s="90">
        <f>'Odds &amp; Rarity'!$D$13</f>
        <v>1026000</v>
      </c>
      <c r="J273" s="90">
        <f t="shared" si="22"/>
        <v>713</v>
      </c>
      <c r="K273" s="90">
        <f t="shared" si="23"/>
        <v>713</v>
      </c>
      <c r="L273" s="90">
        <f t="shared" si="24"/>
        <v>713</v>
      </c>
      <c r="M273" s="91"/>
      <c r="N273" s="59" t="str">
        <f t="shared" si="20"/>
        <v>A View From Home|A View From Home|VFH-8|Base</v>
      </c>
      <c r="O273" s="59">
        <f t="shared" si="21"/>
        <v>713</v>
      </c>
    </row>
    <row r="274" spans="1:15" x14ac:dyDescent="0.25">
      <c r="A274" s="90" t="s">
        <v>27</v>
      </c>
      <c r="B274" s="90" t="s">
        <v>27</v>
      </c>
      <c r="C274" s="90" t="s">
        <v>611</v>
      </c>
      <c r="D274" s="91" t="s">
        <v>612</v>
      </c>
      <c r="E274" s="90" t="s">
        <v>60</v>
      </c>
      <c r="F274" s="90">
        <v>48</v>
      </c>
      <c r="G274" s="90" t="s">
        <v>183</v>
      </c>
      <c r="H274" s="90">
        <v>30</v>
      </c>
      <c r="I274" s="90">
        <f>'Odds &amp; Rarity'!$D$13</f>
        <v>1026000</v>
      </c>
      <c r="J274" s="90">
        <f t="shared" si="22"/>
        <v>713</v>
      </c>
      <c r="K274" s="90">
        <f t="shared" si="23"/>
        <v>713</v>
      </c>
      <c r="L274" s="90">
        <f t="shared" si="24"/>
        <v>713</v>
      </c>
      <c r="M274" s="91"/>
      <c r="N274" s="59" t="str">
        <f t="shared" si="20"/>
        <v>A View From Home|A View From Home|VFH-9|Base</v>
      </c>
      <c r="O274" s="59">
        <f t="shared" si="21"/>
        <v>713</v>
      </c>
    </row>
    <row r="275" spans="1:15" x14ac:dyDescent="0.25">
      <c r="A275" s="90" t="s">
        <v>41</v>
      </c>
      <c r="B275" s="90" t="s">
        <v>128</v>
      </c>
      <c r="C275" s="90" t="s">
        <v>613</v>
      </c>
      <c r="D275" s="91" t="s">
        <v>337</v>
      </c>
      <c r="E275" s="90" t="s">
        <v>60</v>
      </c>
      <c r="F275" s="90">
        <v>90</v>
      </c>
      <c r="G275" s="90" t="s">
        <v>183</v>
      </c>
      <c r="H275" s="90">
        <v>15</v>
      </c>
      <c r="I275" s="90">
        <f>'Odds &amp; Rarity'!$D$13</f>
        <v>1026000</v>
      </c>
      <c r="J275" s="90">
        <f t="shared" si="22"/>
        <v>760</v>
      </c>
      <c r="K275" s="90">
        <f t="shared" si="23"/>
        <v>760</v>
      </c>
      <c r="L275" s="90">
        <f t="shared" si="24"/>
        <v>760</v>
      </c>
      <c r="M275" s="91"/>
      <c r="N275" s="59" t="str">
        <f t="shared" si="20"/>
        <v>Action Figures|Action Figures Variation|AFV-1|Base</v>
      </c>
      <c r="O275" s="59">
        <f t="shared" si="21"/>
        <v>760</v>
      </c>
    </row>
    <row r="276" spans="1:15" x14ac:dyDescent="0.25">
      <c r="A276" s="90" t="s">
        <v>41</v>
      </c>
      <c r="B276" s="90" t="s">
        <v>128</v>
      </c>
      <c r="C276" s="90" t="s">
        <v>614</v>
      </c>
      <c r="D276" s="91" t="s">
        <v>454</v>
      </c>
      <c r="E276" s="90" t="s">
        <v>60</v>
      </c>
      <c r="F276" s="90">
        <v>90</v>
      </c>
      <c r="G276" s="90" t="s">
        <v>183</v>
      </c>
      <c r="H276" s="90">
        <v>15</v>
      </c>
      <c r="I276" s="90">
        <f>'Odds &amp; Rarity'!$D$13</f>
        <v>1026000</v>
      </c>
      <c r="J276" s="90">
        <f t="shared" si="22"/>
        <v>760</v>
      </c>
      <c r="K276" s="90">
        <f t="shared" si="23"/>
        <v>760</v>
      </c>
      <c r="L276" s="90">
        <f t="shared" si="24"/>
        <v>760</v>
      </c>
      <c r="M276" s="91"/>
      <c r="N276" s="59" t="str">
        <f t="shared" si="20"/>
        <v>Action Figures|Action Figures Variation|AFV-10|Base</v>
      </c>
      <c r="O276" s="59">
        <f t="shared" si="21"/>
        <v>760</v>
      </c>
    </row>
    <row r="277" spans="1:15" x14ac:dyDescent="0.25">
      <c r="A277" s="90" t="s">
        <v>41</v>
      </c>
      <c r="B277" s="90" t="s">
        <v>128</v>
      </c>
      <c r="C277" s="90" t="s">
        <v>615</v>
      </c>
      <c r="D277" s="91" t="s">
        <v>339</v>
      </c>
      <c r="E277" s="90" t="s">
        <v>60</v>
      </c>
      <c r="F277" s="90">
        <v>90</v>
      </c>
      <c r="G277" s="90" t="s">
        <v>183</v>
      </c>
      <c r="H277" s="90">
        <v>15</v>
      </c>
      <c r="I277" s="90">
        <f>'Odds &amp; Rarity'!$D$13</f>
        <v>1026000</v>
      </c>
      <c r="J277" s="90">
        <f t="shared" si="22"/>
        <v>760</v>
      </c>
      <c r="K277" s="90">
        <f t="shared" si="23"/>
        <v>760</v>
      </c>
      <c r="L277" s="90">
        <f t="shared" si="24"/>
        <v>760</v>
      </c>
      <c r="M277" s="91"/>
      <c r="N277" s="59" t="str">
        <f t="shared" si="20"/>
        <v>Action Figures|Action Figures Variation|AFV-11|Base</v>
      </c>
      <c r="O277" s="59">
        <f t="shared" si="21"/>
        <v>760</v>
      </c>
    </row>
    <row r="278" spans="1:15" x14ac:dyDescent="0.25">
      <c r="A278" s="90" t="s">
        <v>41</v>
      </c>
      <c r="B278" s="90" t="s">
        <v>128</v>
      </c>
      <c r="C278" s="90" t="s">
        <v>616</v>
      </c>
      <c r="D278" s="91" t="s">
        <v>343</v>
      </c>
      <c r="E278" s="90" t="s">
        <v>60</v>
      </c>
      <c r="F278" s="90">
        <v>90</v>
      </c>
      <c r="G278" s="90" t="s">
        <v>183</v>
      </c>
      <c r="H278" s="90">
        <v>15</v>
      </c>
      <c r="I278" s="90">
        <f>'Odds &amp; Rarity'!$D$13</f>
        <v>1026000</v>
      </c>
      <c r="J278" s="90">
        <f t="shared" si="22"/>
        <v>760</v>
      </c>
      <c r="K278" s="90">
        <f t="shared" si="23"/>
        <v>760</v>
      </c>
      <c r="L278" s="90">
        <f t="shared" si="24"/>
        <v>760</v>
      </c>
      <c r="M278" s="91"/>
      <c r="N278" s="59" t="str">
        <f t="shared" si="20"/>
        <v>Action Figures|Action Figures Variation|AFV-12|Base</v>
      </c>
      <c r="O278" s="59">
        <f t="shared" si="21"/>
        <v>760</v>
      </c>
    </row>
    <row r="279" spans="1:15" x14ac:dyDescent="0.25">
      <c r="A279" s="90" t="s">
        <v>41</v>
      </c>
      <c r="B279" s="90" t="s">
        <v>128</v>
      </c>
      <c r="C279" s="90" t="s">
        <v>617</v>
      </c>
      <c r="D279" s="91" t="s">
        <v>446</v>
      </c>
      <c r="E279" s="90" t="s">
        <v>60</v>
      </c>
      <c r="F279" s="90">
        <v>90</v>
      </c>
      <c r="G279" s="90" t="s">
        <v>183</v>
      </c>
      <c r="H279" s="90">
        <v>15</v>
      </c>
      <c r="I279" s="90">
        <f>'Odds &amp; Rarity'!$D$13</f>
        <v>1026000</v>
      </c>
      <c r="J279" s="90">
        <f t="shared" si="22"/>
        <v>760</v>
      </c>
      <c r="K279" s="90">
        <f t="shared" si="23"/>
        <v>760</v>
      </c>
      <c r="L279" s="90">
        <f t="shared" si="24"/>
        <v>760</v>
      </c>
      <c r="M279" s="91"/>
      <c r="N279" s="59" t="str">
        <f t="shared" si="20"/>
        <v>Action Figures|Action Figures Variation|AFV-13|Base</v>
      </c>
      <c r="O279" s="59">
        <f t="shared" si="21"/>
        <v>760</v>
      </c>
    </row>
    <row r="280" spans="1:15" x14ac:dyDescent="0.25">
      <c r="A280" s="90" t="s">
        <v>41</v>
      </c>
      <c r="B280" s="90" t="s">
        <v>128</v>
      </c>
      <c r="C280" s="90" t="s">
        <v>618</v>
      </c>
      <c r="D280" s="91" t="s">
        <v>389</v>
      </c>
      <c r="E280" s="90" t="s">
        <v>60</v>
      </c>
      <c r="F280" s="90">
        <v>90</v>
      </c>
      <c r="G280" s="90" t="s">
        <v>183</v>
      </c>
      <c r="H280" s="90">
        <v>15</v>
      </c>
      <c r="I280" s="90">
        <f>'Odds &amp; Rarity'!$D$13</f>
        <v>1026000</v>
      </c>
      <c r="J280" s="90">
        <f t="shared" si="22"/>
        <v>760</v>
      </c>
      <c r="K280" s="90">
        <f t="shared" si="23"/>
        <v>760</v>
      </c>
      <c r="L280" s="90">
        <f t="shared" si="24"/>
        <v>760</v>
      </c>
      <c r="M280" s="91"/>
      <c r="N280" s="59" t="str">
        <f t="shared" si="20"/>
        <v>Action Figures|Action Figures Variation|AFV-14|Base</v>
      </c>
      <c r="O280" s="59">
        <f t="shared" si="21"/>
        <v>760</v>
      </c>
    </row>
    <row r="281" spans="1:15" x14ac:dyDescent="0.25">
      <c r="A281" s="90" t="s">
        <v>41</v>
      </c>
      <c r="B281" s="90" t="s">
        <v>128</v>
      </c>
      <c r="C281" s="90" t="s">
        <v>619</v>
      </c>
      <c r="D281" s="91" t="s">
        <v>384</v>
      </c>
      <c r="E281" s="90" t="s">
        <v>60</v>
      </c>
      <c r="F281" s="90">
        <v>90</v>
      </c>
      <c r="G281" s="90" t="s">
        <v>183</v>
      </c>
      <c r="H281" s="90">
        <v>15</v>
      </c>
      <c r="I281" s="90">
        <f>'Odds &amp; Rarity'!$D$13</f>
        <v>1026000</v>
      </c>
      <c r="J281" s="90">
        <f t="shared" si="22"/>
        <v>760</v>
      </c>
      <c r="K281" s="90">
        <f t="shared" si="23"/>
        <v>760</v>
      </c>
      <c r="L281" s="90">
        <f t="shared" si="24"/>
        <v>760</v>
      </c>
      <c r="M281" s="91"/>
      <c r="N281" s="59" t="str">
        <f t="shared" si="20"/>
        <v>Action Figures|Action Figures Variation|AFV-15|Base</v>
      </c>
      <c r="O281" s="59">
        <f t="shared" si="21"/>
        <v>760</v>
      </c>
    </row>
    <row r="282" spans="1:15" x14ac:dyDescent="0.25">
      <c r="A282" s="90" t="s">
        <v>41</v>
      </c>
      <c r="B282" s="90" t="s">
        <v>128</v>
      </c>
      <c r="C282" s="90" t="s">
        <v>620</v>
      </c>
      <c r="D282" s="91" t="s">
        <v>391</v>
      </c>
      <c r="E282" s="90" t="s">
        <v>60</v>
      </c>
      <c r="F282" s="90">
        <v>90</v>
      </c>
      <c r="G282" s="90" t="s">
        <v>183</v>
      </c>
      <c r="H282" s="90">
        <v>15</v>
      </c>
      <c r="I282" s="90">
        <f>'Odds &amp; Rarity'!$D$13</f>
        <v>1026000</v>
      </c>
      <c r="J282" s="90">
        <f t="shared" si="22"/>
        <v>760</v>
      </c>
      <c r="K282" s="90">
        <f t="shared" si="23"/>
        <v>760</v>
      </c>
      <c r="L282" s="90">
        <f t="shared" si="24"/>
        <v>760</v>
      </c>
      <c r="M282" s="91"/>
      <c r="N282" s="59" t="str">
        <f t="shared" si="20"/>
        <v>Action Figures|Action Figures Variation|AFV-2|Base</v>
      </c>
      <c r="O282" s="59">
        <f t="shared" si="21"/>
        <v>760</v>
      </c>
    </row>
    <row r="283" spans="1:15" x14ac:dyDescent="0.25">
      <c r="A283" s="90" t="s">
        <v>41</v>
      </c>
      <c r="B283" s="90" t="s">
        <v>128</v>
      </c>
      <c r="C283" s="90" t="s">
        <v>621</v>
      </c>
      <c r="D283" s="91" t="s">
        <v>387</v>
      </c>
      <c r="E283" s="90" t="s">
        <v>60</v>
      </c>
      <c r="F283" s="90">
        <v>90</v>
      </c>
      <c r="G283" s="90" t="s">
        <v>183</v>
      </c>
      <c r="H283" s="90">
        <v>15</v>
      </c>
      <c r="I283" s="90">
        <f>'Odds &amp; Rarity'!$D$13</f>
        <v>1026000</v>
      </c>
      <c r="J283" s="90">
        <f t="shared" si="22"/>
        <v>760</v>
      </c>
      <c r="K283" s="90">
        <f t="shared" si="23"/>
        <v>760</v>
      </c>
      <c r="L283" s="90">
        <f t="shared" si="24"/>
        <v>760</v>
      </c>
      <c r="M283" s="91"/>
      <c r="N283" s="59" t="str">
        <f t="shared" si="20"/>
        <v>Action Figures|Action Figures Variation|AFV-3|Base</v>
      </c>
      <c r="O283" s="59">
        <f t="shared" si="21"/>
        <v>760</v>
      </c>
    </row>
    <row r="284" spans="1:15" x14ac:dyDescent="0.25">
      <c r="A284" s="90" t="s">
        <v>41</v>
      </c>
      <c r="B284" s="90" t="s">
        <v>128</v>
      </c>
      <c r="C284" s="90" t="s">
        <v>622</v>
      </c>
      <c r="D284" s="91" t="s">
        <v>347</v>
      </c>
      <c r="E284" s="90" t="s">
        <v>60</v>
      </c>
      <c r="F284" s="90">
        <v>90</v>
      </c>
      <c r="G284" s="90" t="s">
        <v>183</v>
      </c>
      <c r="H284" s="90">
        <v>15</v>
      </c>
      <c r="I284" s="90">
        <f>'Odds &amp; Rarity'!$D$13</f>
        <v>1026000</v>
      </c>
      <c r="J284" s="90">
        <f t="shared" si="22"/>
        <v>760</v>
      </c>
      <c r="K284" s="90">
        <f t="shared" si="23"/>
        <v>760</v>
      </c>
      <c r="L284" s="90">
        <f t="shared" si="24"/>
        <v>760</v>
      </c>
      <c r="M284" s="91"/>
      <c r="N284" s="59" t="str">
        <f t="shared" si="20"/>
        <v>Action Figures|Action Figures Variation|AFV-4|Base</v>
      </c>
      <c r="O284" s="59">
        <f t="shared" si="21"/>
        <v>760</v>
      </c>
    </row>
    <row r="285" spans="1:15" x14ac:dyDescent="0.25">
      <c r="A285" s="90" t="s">
        <v>41</v>
      </c>
      <c r="B285" s="90" t="s">
        <v>128</v>
      </c>
      <c r="C285" s="90" t="s">
        <v>623</v>
      </c>
      <c r="D285" s="91" t="s">
        <v>458</v>
      </c>
      <c r="E285" s="90" t="s">
        <v>60</v>
      </c>
      <c r="F285" s="90">
        <v>90</v>
      </c>
      <c r="G285" s="90" t="s">
        <v>183</v>
      </c>
      <c r="H285" s="90">
        <v>15</v>
      </c>
      <c r="I285" s="90">
        <f>'Odds &amp; Rarity'!$D$13</f>
        <v>1026000</v>
      </c>
      <c r="J285" s="90">
        <f t="shared" si="22"/>
        <v>760</v>
      </c>
      <c r="K285" s="90">
        <f t="shared" si="23"/>
        <v>760</v>
      </c>
      <c r="L285" s="90">
        <f t="shared" si="24"/>
        <v>760</v>
      </c>
      <c r="M285" s="91"/>
      <c r="N285" s="59" t="str">
        <f t="shared" si="20"/>
        <v>Action Figures|Action Figures Variation|AFV-5|Base</v>
      </c>
      <c r="O285" s="59">
        <f t="shared" si="21"/>
        <v>760</v>
      </c>
    </row>
    <row r="286" spans="1:15" x14ac:dyDescent="0.25">
      <c r="A286" s="90" t="s">
        <v>41</v>
      </c>
      <c r="B286" s="90" t="s">
        <v>128</v>
      </c>
      <c r="C286" s="90" t="s">
        <v>624</v>
      </c>
      <c r="D286" s="91" t="s">
        <v>444</v>
      </c>
      <c r="E286" s="90" t="s">
        <v>60</v>
      </c>
      <c r="F286" s="90">
        <v>90</v>
      </c>
      <c r="G286" s="90" t="s">
        <v>183</v>
      </c>
      <c r="H286" s="90">
        <v>15</v>
      </c>
      <c r="I286" s="90">
        <f>'Odds &amp; Rarity'!$D$13</f>
        <v>1026000</v>
      </c>
      <c r="J286" s="90">
        <f t="shared" si="22"/>
        <v>760</v>
      </c>
      <c r="K286" s="90">
        <f t="shared" si="23"/>
        <v>760</v>
      </c>
      <c r="L286" s="90">
        <f t="shared" si="24"/>
        <v>760</v>
      </c>
      <c r="M286" s="91"/>
      <c r="N286" s="59" t="str">
        <f t="shared" si="20"/>
        <v>Action Figures|Action Figures Variation|AFV-6|Base</v>
      </c>
      <c r="O286" s="59">
        <f t="shared" si="21"/>
        <v>760</v>
      </c>
    </row>
    <row r="287" spans="1:15" x14ac:dyDescent="0.25">
      <c r="A287" s="90" t="s">
        <v>41</v>
      </c>
      <c r="B287" s="90" t="s">
        <v>128</v>
      </c>
      <c r="C287" s="90" t="s">
        <v>625</v>
      </c>
      <c r="D287" s="91" t="s">
        <v>341</v>
      </c>
      <c r="E287" s="90" t="s">
        <v>60</v>
      </c>
      <c r="F287" s="90">
        <v>90</v>
      </c>
      <c r="G287" s="90" t="s">
        <v>183</v>
      </c>
      <c r="H287" s="90">
        <v>15</v>
      </c>
      <c r="I287" s="90">
        <f>'Odds &amp; Rarity'!$D$13</f>
        <v>1026000</v>
      </c>
      <c r="J287" s="90">
        <f t="shared" si="22"/>
        <v>760</v>
      </c>
      <c r="K287" s="90">
        <f t="shared" si="23"/>
        <v>760</v>
      </c>
      <c r="L287" s="90">
        <f t="shared" si="24"/>
        <v>760</v>
      </c>
      <c r="M287" s="91"/>
      <c r="N287" s="59" t="str">
        <f t="shared" si="20"/>
        <v>Action Figures|Action Figures Variation|AFV-7|Base</v>
      </c>
      <c r="O287" s="59">
        <f t="shared" si="21"/>
        <v>760</v>
      </c>
    </row>
    <row r="288" spans="1:15" x14ac:dyDescent="0.25">
      <c r="A288" s="90" t="s">
        <v>41</v>
      </c>
      <c r="B288" s="90" t="s">
        <v>128</v>
      </c>
      <c r="C288" s="90" t="s">
        <v>626</v>
      </c>
      <c r="D288" s="91" t="s">
        <v>441</v>
      </c>
      <c r="E288" s="90" t="s">
        <v>60</v>
      </c>
      <c r="F288" s="90">
        <v>90</v>
      </c>
      <c r="G288" s="90" t="s">
        <v>183</v>
      </c>
      <c r="H288" s="90">
        <v>15</v>
      </c>
      <c r="I288" s="90">
        <f>'Odds &amp; Rarity'!$D$13</f>
        <v>1026000</v>
      </c>
      <c r="J288" s="90">
        <f t="shared" si="22"/>
        <v>760</v>
      </c>
      <c r="K288" s="90">
        <f t="shared" si="23"/>
        <v>760</v>
      </c>
      <c r="L288" s="90">
        <f t="shared" si="24"/>
        <v>760</v>
      </c>
      <c r="M288" s="91"/>
      <c r="N288" s="59" t="str">
        <f t="shared" si="20"/>
        <v>Action Figures|Action Figures Variation|AFV-8|Base</v>
      </c>
      <c r="O288" s="59">
        <f t="shared" si="21"/>
        <v>760</v>
      </c>
    </row>
    <row r="289" spans="1:15" x14ac:dyDescent="0.25">
      <c r="A289" s="90" t="s">
        <v>41</v>
      </c>
      <c r="B289" s="90" t="s">
        <v>128</v>
      </c>
      <c r="C289" s="90" t="s">
        <v>627</v>
      </c>
      <c r="D289" s="91" t="s">
        <v>345</v>
      </c>
      <c r="E289" s="90" t="s">
        <v>60</v>
      </c>
      <c r="F289" s="90">
        <v>90</v>
      </c>
      <c r="G289" s="90" t="s">
        <v>183</v>
      </c>
      <c r="H289" s="90">
        <v>15</v>
      </c>
      <c r="I289" s="90">
        <f>'Odds &amp; Rarity'!$D$13</f>
        <v>1026000</v>
      </c>
      <c r="J289" s="90">
        <f t="shared" si="22"/>
        <v>760</v>
      </c>
      <c r="K289" s="90">
        <f t="shared" si="23"/>
        <v>760</v>
      </c>
      <c r="L289" s="90">
        <f t="shared" si="24"/>
        <v>760</v>
      </c>
      <c r="M289" s="91"/>
      <c r="N289" s="59" t="str">
        <f t="shared" si="20"/>
        <v>Action Figures|Action Figures Variation|AFV-9|Base</v>
      </c>
      <c r="O289" s="59">
        <f t="shared" si="21"/>
        <v>760</v>
      </c>
    </row>
    <row r="290" spans="1:15" x14ac:dyDescent="0.25">
      <c r="A290" s="90" t="s">
        <v>35</v>
      </c>
      <c r="B290" s="90" t="s">
        <v>35</v>
      </c>
      <c r="C290" s="90" t="s">
        <v>628</v>
      </c>
      <c r="D290" s="91" t="s">
        <v>222</v>
      </c>
      <c r="E290" s="90" t="s">
        <v>60</v>
      </c>
      <c r="F290" s="90">
        <v>165</v>
      </c>
      <c r="G290" s="90" t="s">
        <v>183</v>
      </c>
      <c r="H290" s="90">
        <v>8</v>
      </c>
      <c r="I290" s="90">
        <f>'Odds &amp; Rarity'!$D$13</f>
        <v>1026000</v>
      </c>
      <c r="J290" s="90">
        <f t="shared" si="22"/>
        <v>777</v>
      </c>
      <c r="K290" s="90">
        <f t="shared" si="23"/>
        <v>777</v>
      </c>
      <c r="L290" s="90">
        <f t="shared" si="24"/>
        <v>777</v>
      </c>
      <c r="M290" s="91"/>
      <c r="N290" s="59" t="str">
        <f t="shared" si="20"/>
        <v>Supes Suits|Supes Suits|SS-1|Base</v>
      </c>
      <c r="O290" s="59">
        <f t="shared" si="21"/>
        <v>777</v>
      </c>
    </row>
    <row r="291" spans="1:15" x14ac:dyDescent="0.25">
      <c r="A291" s="90" t="s">
        <v>35</v>
      </c>
      <c r="B291" s="90" t="s">
        <v>35</v>
      </c>
      <c r="C291" s="90" t="s">
        <v>629</v>
      </c>
      <c r="D291" s="91" t="s">
        <v>216</v>
      </c>
      <c r="E291" s="90" t="s">
        <v>60</v>
      </c>
      <c r="F291" s="90">
        <v>165</v>
      </c>
      <c r="G291" s="90" t="s">
        <v>183</v>
      </c>
      <c r="H291" s="90">
        <v>8</v>
      </c>
      <c r="I291" s="90">
        <f>'Odds &amp; Rarity'!$D$13</f>
        <v>1026000</v>
      </c>
      <c r="J291" s="90">
        <f t="shared" si="22"/>
        <v>777</v>
      </c>
      <c r="K291" s="90">
        <f t="shared" si="23"/>
        <v>777</v>
      </c>
      <c r="L291" s="90">
        <f t="shared" si="24"/>
        <v>777</v>
      </c>
      <c r="M291" s="91"/>
      <c r="N291" s="59" t="str">
        <f t="shared" si="20"/>
        <v>Supes Suits|Supes Suits|SS-2|Base</v>
      </c>
      <c r="O291" s="59">
        <f t="shared" si="21"/>
        <v>777</v>
      </c>
    </row>
    <row r="292" spans="1:15" x14ac:dyDescent="0.25">
      <c r="A292" s="90" t="s">
        <v>35</v>
      </c>
      <c r="B292" s="90" t="s">
        <v>35</v>
      </c>
      <c r="C292" s="90" t="s">
        <v>630</v>
      </c>
      <c r="D292" s="91" t="s">
        <v>267</v>
      </c>
      <c r="E292" s="90" t="s">
        <v>60</v>
      </c>
      <c r="F292" s="90">
        <v>165</v>
      </c>
      <c r="G292" s="90" t="s">
        <v>183</v>
      </c>
      <c r="H292" s="90">
        <v>8</v>
      </c>
      <c r="I292" s="90">
        <f>'Odds &amp; Rarity'!$D$13</f>
        <v>1026000</v>
      </c>
      <c r="J292" s="90">
        <f t="shared" si="22"/>
        <v>777</v>
      </c>
      <c r="K292" s="90">
        <f t="shared" si="23"/>
        <v>777</v>
      </c>
      <c r="L292" s="90">
        <f t="shared" si="24"/>
        <v>777</v>
      </c>
      <c r="M292" s="91"/>
      <c r="N292" s="59" t="str">
        <f t="shared" si="20"/>
        <v>Supes Suits|Supes Suits|SS-3|Base</v>
      </c>
      <c r="O292" s="59">
        <f t="shared" si="21"/>
        <v>777</v>
      </c>
    </row>
    <row r="293" spans="1:15" x14ac:dyDescent="0.25">
      <c r="A293" s="90" t="s">
        <v>35</v>
      </c>
      <c r="B293" s="90" t="s">
        <v>35</v>
      </c>
      <c r="C293" s="90" t="s">
        <v>631</v>
      </c>
      <c r="D293" s="91" t="s">
        <v>248</v>
      </c>
      <c r="E293" s="90" t="s">
        <v>60</v>
      </c>
      <c r="F293" s="90">
        <v>165</v>
      </c>
      <c r="G293" s="90" t="s">
        <v>183</v>
      </c>
      <c r="H293" s="90">
        <v>8</v>
      </c>
      <c r="I293" s="90">
        <f>'Odds &amp; Rarity'!$D$13</f>
        <v>1026000</v>
      </c>
      <c r="J293" s="90">
        <f t="shared" si="22"/>
        <v>777</v>
      </c>
      <c r="K293" s="90">
        <f t="shared" si="23"/>
        <v>777</v>
      </c>
      <c r="L293" s="90">
        <f t="shared" si="24"/>
        <v>777</v>
      </c>
      <c r="M293" s="91"/>
      <c r="N293" s="59" t="str">
        <f t="shared" si="20"/>
        <v>Supes Suits|Supes Suits|SS-4|Base</v>
      </c>
      <c r="O293" s="59">
        <f t="shared" si="21"/>
        <v>777</v>
      </c>
    </row>
    <row r="294" spans="1:15" x14ac:dyDescent="0.25">
      <c r="A294" s="90" t="s">
        <v>35</v>
      </c>
      <c r="B294" s="90" t="s">
        <v>35</v>
      </c>
      <c r="C294" s="90" t="s">
        <v>632</v>
      </c>
      <c r="D294" s="91" t="s">
        <v>222</v>
      </c>
      <c r="E294" s="90" t="s">
        <v>60</v>
      </c>
      <c r="F294" s="90">
        <v>165</v>
      </c>
      <c r="G294" s="90" t="s">
        <v>183</v>
      </c>
      <c r="H294" s="90">
        <v>8</v>
      </c>
      <c r="I294" s="90">
        <f>'Odds &amp; Rarity'!$D$13</f>
        <v>1026000</v>
      </c>
      <c r="J294" s="90">
        <f t="shared" si="22"/>
        <v>777</v>
      </c>
      <c r="K294" s="90">
        <f t="shared" si="23"/>
        <v>777</v>
      </c>
      <c r="L294" s="90">
        <f t="shared" si="24"/>
        <v>777</v>
      </c>
      <c r="M294" s="91"/>
      <c r="N294" s="59" t="str">
        <f t="shared" si="20"/>
        <v>Supes Suits|Supes Suits|SS-5|Base</v>
      </c>
      <c r="O294" s="59">
        <f t="shared" si="21"/>
        <v>777</v>
      </c>
    </row>
    <row r="295" spans="1:15" x14ac:dyDescent="0.25">
      <c r="A295" s="90" t="s">
        <v>35</v>
      </c>
      <c r="B295" s="90" t="s">
        <v>35</v>
      </c>
      <c r="C295" s="90" t="s">
        <v>633</v>
      </c>
      <c r="D295" s="91" t="s">
        <v>216</v>
      </c>
      <c r="E295" s="90" t="s">
        <v>60</v>
      </c>
      <c r="F295" s="90">
        <v>165</v>
      </c>
      <c r="G295" s="90" t="s">
        <v>183</v>
      </c>
      <c r="H295" s="90">
        <v>8</v>
      </c>
      <c r="I295" s="90">
        <f>'Odds &amp; Rarity'!$D$13</f>
        <v>1026000</v>
      </c>
      <c r="J295" s="90">
        <f t="shared" si="22"/>
        <v>777</v>
      </c>
      <c r="K295" s="90">
        <f t="shared" si="23"/>
        <v>777</v>
      </c>
      <c r="L295" s="90">
        <f t="shared" si="24"/>
        <v>777</v>
      </c>
      <c r="M295" s="91"/>
      <c r="N295" s="59" t="str">
        <f t="shared" si="20"/>
        <v>Supes Suits|Supes Suits|SS-6|Base</v>
      </c>
      <c r="O295" s="59">
        <f t="shared" si="21"/>
        <v>777</v>
      </c>
    </row>
    <row r="296" spans="1:15" x14ac:dyDescent="0.25">
      <c r="A296" s="90" t="s">
        <v>35</v>
      </c>
      <c r="B296" s="90" t="s">
        <v>35</v>
      </c>
      <c r="C296" s="90" t="s">
        <v>634</v>
      </c>
      <c r="D296" s="91" t="s">
        <v>248</v>
      </c>
      <c r="E296" s="90" t="s">
        <v>60</v>
      </c>
      <c r="F296" s="90">
        <v>165</v>
      </c>
      <c r="G296" s="90" t="s">
        <v>183</v>
      </c>
      <c r="H296" s="90">
        <v>8</v>
      </c>
      <c r="I296" s="90">
        <f>'Odds &amp; Rarity'!$D$13</f>
        <v>1026000</v>
      </c>
      <c r="J296" s="90">
        <f t="shared" si="22"/>
        <v>777</v>
      </c>
      <c r="K296" s="90">
        <f t="shared" si="23"/>
        <v>777</v>
      </c>
      <c r="L296" s="90">
        <f t="shared" si="24"/>
        <v>777</v>
      </c>
      <c r="M296" s="91"/>
      <c r="N296" s="59" t="str">
        <f t="shared" si="20"/>
        <v>Supes Suits|Supes Suits|SS-7|Base</v>
      </c>
      <c r="O296" s="59">
        <f t="shared" si="21"/>
        <v>777</v>
      </c>
    </row>
    <row r="297" spans="1:15" x14ac:dyDescent="0.25">
      <c r="A297" s="90" t="s">
        <v>35</v>
      </c>
      <c r="B297" s="90" t="s">
        <v>35</v>
      </c>
      <c r="C297" s="90" t="s">
        <v>635</v>
      </c>
      <c r="D297" s="91" t="s">
        <v>267</v>
      </c>
      <c r="E297" s="90" t="s">
        <v>60</v>
      </c>
      <c r="F297" s="90">
        <v>165</v>
      </c>
      <c r="G297" s="90" t="s">
        <v>183</v>
      </c>
      <c r="H297" s="90">
        <v>8</v>
      </c>
      <c r="I297" s="90">
        <f>'Odds &amp; Rarity'!$D$13</f>
        <v>1026000</v>
      </c>
      <c r="J297" s="90">
        <f t="shared" si="22"/>
        <v>777</v>
      </c>
      <c r="K297" s="90">
        <f t="shared" si="23"/>
        <v>777</v>
      </c>
      <c r="L297" s="90">
        <f t="shared" si="24"/>
        <v>777</v>
      </c>
      <c r="M297" s="91"/>
      <c r="N297" s="59" t="str">
        <f t="shared" si="20"/>
        <v>Supes Suits|Supes Suits|SS-8|Base</v>
      </c>
      <c r="O297" s="59">
        <f t="shared" si="21"/>
        <v>777</v>
      </c>
    </row>
    <row r="298" spans="1:15" x14ac:dyDescent="0.25">
      <c r="A298" s="90" t="s">
        <v>126</v>
      </c>
      <c r="B298" s="90" t="s">
        <v>90</v>
      </c>
      <c r="C298" s="90" t="s">
        <v>636</v>
      </c>
      <c r="D298" s="91" t="s">
        <v>539</v>
      </c>
      <c r="E298" s="90" t="s">
        <v>60</v>
      </c>
      <c r="F298" s="90">
        <v>30</v>
      </c>
      <c r="G298" s="90" t="s">
        <v>183</v>
      </c>
      <c r="H298" s="90">
        <v>30</v>
      </c>
      <c r="I298" s="90">
        <f>'Odds &amp; Rarity'!$D$13</f>
        <v>1026000</v>
      </c>
      <c r="J298" s="90">
        <f t="shared" si="22"/>
        <v>1140</v>
      </c>
      <c r="K298" s="90">
        <f t="shared" si="23"/>
        <v>1140</v>
      </c>
      <c r="L298" s="90">
        <f t="shared" si="24"/>
        <v>1140</v>
      </c>
      <c r="M298" s="91"/>
      <c r="N298" s="59" t="str">
        <f t="shared" si="20"/>
        <v>Lenticular &amp; SP|Supes|S3D-1|Base</v>
      </c>
      <c r="O298" s="59">
        <f t="shared" si="21"/>
        <v>1140</v>
      </c>
    </row>
    <row r="299" spans="1:15" x14ac:dyDescent="0.25">
      <c r="A299" s="90" t="s">
        <v>126</v>
      </c>
      <c r="B299" s="90" t="s">
        <v>90</v>
      </c>
      <c r="C299" s="90" t="s">
        <v>637</v>
      </c>
      <c r="D299" s="91" t="s">
        <v>454</v>
      </c>
      <c r="E299" s="90" t="s">
        <v>60</v>
      </c>
      <c r="F299" s="90">
        <v>30</v>
      </c>
      <c r="G299" s="90" t="s">
        <v>183</v>
      </c>
      <c r="H299" s="90">
        <v>30</v>
      </c>
      <c r="I299" s="90">
        <f>'Odds &amp; Rarity'!$D$13</f>
        <v>1026000</v>
      </c>
      <c r="J299" s="90">
        <f t="shared" si="22"/>
        <v>1140</v>
      </c>
      <c r="K299" s="90">
        <f t="shared" si="23"/>
        <v>1140</v>
      </c>
      <c r="L299" s="90">
        <f t="shared" si="24"/>
        <v>1140</v>
      </c>
      <c r="M299" s="91"/>
      <c r="N299" s="59" t="str">
        <f t="shared" si="20"/>
        <v>Lenticular &amp; SP|Supes|S3D-10|Base</v>
      </c>
      <c r="O299" s="59">
        <f t="shared" si="21"/>
        <v>1140</v>
      </c>
    </row>
    <row r="300" spans="1:15" x14ac:dyDescent="0.25">
      <c r="A300" s="90" t="s">
        <v>126</v>
      </c>
      <c r="B300" s="90" t="s">
        <v>90</v>
      </c>
      <c r="C300" s="90" t="s">
        <v>638</v>
      </c>
      <c r="D300" s="91" t="s">
        <v>337</v>
      </c>
      <c r="E300" s="90" t="s">
        <v>60</v>
      </c>
      <c r="F300" s="90">
        <v>30</v>
      </c>
      <c r="G300" s="90" t="s">
        <v>183</v>
      </c>
      <c r="H300" s="90">
        <v>30</v>
      </c>
      <c r="I300" s="90">
        <f>'Odds &amp; Rarity'!$D$13</f>
        <v>1026000</v>
      </c>
      <c r="J300" s="90">
        <f t="shared" si="22"/>
        <v>1140</v>
      </c>
      <c r="K300" s="90">
        <f t="shared" si="23"/>
        <v>1140</v>
      </c>
      <c r="L300" s="90">
        <f t="shared" si="24"/>
        <v>1140</v>
      </c>
      <c r="M300" s="91"/>
      <c r="N300" s="59" t="str">
        <f t="shared" si="20"/>
        <v>Lenticular &amp; SP|Supes|S3D-11|Base</v>
      </c>
      <c r="O300" s="59">
        <f t="shared" si="21"/>
        <v>1140</v>
      </c>
    </row>
    <row r="301" spans="1:15" x14ac:dyDescent="0.25">
      <c r="A301" s="90" t="s">
        <v>126</v>
      </c>
      <c r="B301" s="90" t="s">
        <v>90</v>
      </c>
      <c r="C301" s="90" t="s">
        <v>639</v>
      </c>
      <c r="D301" s="91" t="s">
        <v>341</v>
      </c>
      <c r="E301" s="90" t="s">
        <v>60</v>
      </c>
      <c r="F301" s="90">
        <v>30</v>
      </c>
      <c r="G301" s="90" t="s">
        <v>183</v>
      </c>
      <c r="H301" s="90">
        <v>30</v>
      </c>
      <c r="I301" s="90">
        <f>'Odds &amp; Rarity'!$D$13</f>
        <v>1026000</v>
      </c>
      <c r="J301" s="90">
        <f t="shared" si="22"/>
        <v>1140</v>
      </c>
      <c r="K301" s="90">
        <f t="shared" si="23"/>
        <v>1140</v>
      </c>
      <c r="L301" s="90">
        <f t="shared" si="24"/>
        <v>1140</v>
      </c>
      <c r="M301" s="91"/>
      <c r="N301" s="59" t="str">
        <f t="shared" si="20"/>
        <v>Lenticular &amp; SP|Supes|S3D-12|Base</v>
      </c>
      <c r="O301" s="59">
        <f t="shared" si="21"/>
        <v>1140</v>
      </c>
    </row>
    <row r="302" spans="1:15" x14ac:dyDescent="0.25">
      <c r="A302" s="90" t="s">
        <v>126</v>
      </c>
      <c r="B302" s="90" t="s">
        <v>90</v>
      </c>
      <c r="C302" s="90" t="s">
        <v>640</v>
      </c>
      <c r="D302" s="91" t="s">
        <v>337</v>
      </c>
      <c r="E302" s="90" t="s">
        <v>60</v>
      </c>
      <c r="F302" s="90">
        <v>30</v>
      </c>
      <c r="G302" s="90" t="s">
        <v>183</v>
      </c>
      <c r="H302" s="90">
        <v>30</v>
      </c>
      <c r="I302" s="90">
        <f>'Odds &amp; Rarity'!$D$13</f>
        <v>1026000</v>
      </c>
      <c r="J302" s="90">
        <f t="shared" si="22"/>
        <v>1140</v>
      </c>
      <c r="K302" s="90">
        <f t="shared" si="23"/>
        <v>1140</v>
      </c>
      <c r="L302" s="90">
        <f t="shared" si="24"/>
        <v>1140</v>
      </c>
      <c r="M302" s="91"/>
      <c r="N302" s="59" t="str">
        <f t="shared" si="20"/>
        <v>Lenticular &amp; SP|Supes|S3D-13|Base</v>
      </c>
      <c r="O302" s="59">
        <f t="shared" si="21"/>
        <v>1140</v>
      </c>
    </row>
    <row r="303" spans="1:15" x14ac:dyDescent="0.25">
      <c r="A303" s="90" t="s">
        <v>126</v>
      </c>
      <c r="B303" s="90" t="s">
        <v>90</v>
      </c>
      <c r="C303" s="90" t="s">
        <v>641</v>
      </c>
      <c r="D303" s="91" t="s">
        <v>345</v>
      </c>
      <c r="E303" s="90" t="s">
        <v>60</v>
      </c>
      <c r="F303" s="90">
        <v>30</v>
      </c>
      <c r="G303" s="90" t="s">
        <v>183</v>
      </c>
      <c r="H303" s="90">
        <v>30</v>
      </c>
      <c r="I303" s="90">
        <f>'Odds &amp; Rarity'!$D$13</f>
        <v>1026000</v>
      </c>
      <c r="J303" s="90">
        <f t="shared" si="22"/>
        <v>1140</v>
      </c>
      <c r="K303" s="90">
        <f t="shared" si="23"/>
        <v>1140</v>
      </c>
      <c r="L303" s="90">
        <f t="shared" si="24"/>
        <v>1140</v>
      </c>
      <c r="M303" s="91"/>
      <c r="N303" s="59" t="str">
        <f t="shared" si="20"/>
        <v>Lenticular &amp; SP|Supes|S3D-14|Base</v>
      </c>
      <c r="O303" s="59">
        <f t="shared" si="21"/>
        <v>1140</v>
      </c>
    </row>
    <row r="304" spans="1:15" x14ac:dyDescent="0.25">
      <c r="A304" s="90" t="s">
        <v>126</v>
      </c>
      <c r="B304" s="90" t="s">
        <v>90</v>
      </c>
      <c r="C304" s="90" t="s">
        <v>642</v>
      </c>
      <c r="D304" s="91" t="s">
        <v>454</v>
      </c>
      <c r="E304" s="90" t="s">
        <v>60</v>
      </c>
      <c r="F304" s="90">
        <v>30</v>
      </c>
      <c r="G304" s="90" t="s">
        <v>183</v>
      </c>
      <c r="H304" s="90">
        <v>30</v>
      </c>
      <c r="I304" s="90">
        <f>'Odds &amp; Rarity'!$D$13</f>
        <v>1026000</v>
      </c>
      <c r="J304" s="90">
        <f t="shared" si="22"/>
        <v>1140</v>
      </c>
      <c r="K304" s="90">
        <f t="shared" si="23"/>
        <v>1140</v>
      </c>
      <c r="L304" s="90">
        <f t="shared" si="24"/>
        <v>1140</v>
      </c>
      <c r="M304" s="91"/>
      <c r="N304" s="59" t="str">
        <f t="shared" si="20"/>
        <v>Lenticular &amp; SP|Supes|S3D-15|Base</v>
      </c>
      <c r="O304" s="59">
        <f t="shared" si="21"/>
        <v>1140</v>
      </c>
    </row>
    <row r="305" spans="1:15" x14ac:dyDescent="0.25">
      <c r="A305" s="90" t="s">
        <v>126</v>
      </c>
      <c r="B305" s="90" t="s">
        <v>90</v>
      </c>
      <c r="C305" s="90" t="s">
        <v>643</v>
      </c>
      <c r="D305" s="91" t="s">
        <v>337</v>
      </c>
      <c r="E305" s="90" t="s">
        <v>60</v>
      </c>
      <c r="F305" s="90">
        <v>30</v>
      </c>
      <c r="G305" s="90" t="s">
        <v>183</v>
      </c>
      <c r="H305" s="90">
        <v>30</v>
      </c>
      <c r="I305" s="90">
        <f>'Odds &amp; Rarity'!$D$13</f>
        <v>1026000</v>
      </c>
      <c r="J305" s="90">
        <f t="shared" si="22"/>
        <v>1140</v>
      </c>
      <c r="K305" s="90">
        <f t="shared" si="23"/>
        <v>1140</v>
      </c>
      <c r="L305" s="90">
        <f t="shared" si="24"/>
        <v>1140</v>
      </c>
      <c r="M305" s="91"/>
      <c r="N305" s="59" t="str">
        <f t="shared" si="20"/>
        <v>Lenticular &amp; SP|Supes|S3D-16|Base</v>
      </c>
      <c r="O305" s="59">
        <f t="shared" si="21"/>
        <v>1140</v>
      </c>
    </row>
    <row r="306" spans="1:15" x14ac:dyDescent="0.25">
      <c r="A306" s="90" t="s">
        <v>126</v>
      </c>
      <c r="B306" s="90" t="s">
        <v>90</v>
      </c>
      <c r="C306" s="90" t="s">
        <v>644</v>
      </c>
      <c r="D306" s="91" t="s">
        <v>343</v>
      </c>
      <c r="E306" s="90" t="s">
        <v>60</v>
      </c>
      <c r="F306" s="90">
        <v>30</v>
      </c>
      <c r="G306" s="90" t="s">
        <v>183</v>
      </c>
      <c r="H306" s="90">
        <v>30</v>
      </c>
      <c r="I306" s="90">
        <f>'Odds &amp; Rarity'!$D$13</f>
        <v>1026000</v>
      </c>
      <c r="J306" s="90">
        <f t="shared" si="22"/>
        <v>1140</v>
      </c>
      <c r="K306" s="90">
        <f t="shared" si="23"/>
        <v>1140</v>
      </c>
      <c r="L306" s="90">
        <f t="shared" si="24"/>
        <v>1140</v>
      </c>
      <c r="M306" s="91"/>
      <c r="N306" s="59" t="str">
        <f t="shared" si="20"/>
        <v>Lenticular &amp; SP|Supes|S3D-17|Base</v>
      </c>
      <c r="O306" s="59">
        <f t="shared" si="21"/>
        <v>1140</v>
      </c>
    </row>
    <row r="307" spans="1:15" x14ac:dyDescent="0.25">
      <c r="A307" s="90" t="s">
        <v>126</v>
      </c>
      <c r="B307" s="90" t="s">
        <v>90</v>
      </c>
      <c r="C307" s="90" t="s">
        <v>645</v>
      </c>
      <c r="D307" s="91" t="s">
        <v>446</v>
      </c>
      <c r="E307" s="90" t="s">
        <v>60</v>
      </c>
      <c r="F307" s="90">
        <v>30</v>
      </c>
      <c r="G307" s="90" t="s">
        <v>183</v>
      </c>
      <c r="H307" s="90">
        <v>30</v>
      </c>
      <c r="I307" s="90">
        <f>'Odds &amp; Rarity'!$D$13</f>
        <v>1026000</v>
      </c>
      <c r="J307" s="90">
        <f t="shared" si="22"/>
        <v>1140</v>
      </c>
      <c r="K307" s="90">
        <f t="shared" si="23"/>
        <v>1140</v>
      </c>
      <c r="L307" s="90">
        <f t="shared" si="24"/>
        <v>1140</v>
      </c>
      <c r="M307" s="91"/>
      <c r="N307" s="59" t="str">
        <f t="shared" si="20"/>
        <v>Lenticular &amp; SP|Supes|S3D-18|Base</v>
      </c>
      <c r="O307" s="59">
        <f t="shared" si="21"/>
        <v>1140</v>
      </c>
    </row>
    <row r="308" spans="1:15" x14ac:dyDescent="0.25">
      <c r="A308" s="90" t="s">
        <v>126</v>
      </c>
      <c r="B308" s="90" t="s">
        <v>90</v>
      </c>
      <c r="C308" s="90" t="s">
        <v>646</v>
      </c>
      <c r="D308" s="91" t="s">
        <v>520</v>
      </c>
      <c r="E308" s="90" t="s">
        <v>60</v>
      </c>
      <c r="F308" s="90">
        <v>30</v>
      </c>
      <c r="G308" s="90" t="s">
        <v>183</v>
      </c>
      <c r="H308" s="90">
        <v>30</v>
      </c>
      <c r="I308" s="90">
        <f>'Odds &amp; Rarity'!$D$13</f>
        <v>1026000</v>
      </c>
      <c r="J308" s="90">
        <f t="shared" si="22"/>
        <v>1140</v>
      </c>
      <c r="K308" s="90">
        <f t="shared" si="23"/>
        <v>1140</v>
      </c>
      <c r="L308" s="90">
        <f t="shared" si="24"/>
        <v>1140</v>
      </c>
      <c r="M308" s="91"/>
      <c r="N308" s="59" t="str">
        <f t="shared" si="20"/>
        <v>Lenticular &amp; SP|Supes|S3D-19|Base</v>
      </c>
      <c r="O308" s="59">
        <f t="shared" si="21"/>
        <v>1140</v>
      </c>
    </row>
    <row r="309" spans="1:15" x14ac:dyDescent="0.25">
      <c r="A309" s="90" t="s">
        <v>126</v>
      </c>
      <c r="B309" s="90" t="s">
        <v>90</v>
      </c>
      <c r="C309" s="90" t="s">
        <v>647</v>
      </c>
      <c r="D309" s="91" t="s">
        <v>337</v>
      </c>
      <c r="E309" s="90" t="s">
        <v>60</v>
      </c>
      <c r="F309" s="90">
        <v>30</v>
      </c>
      <c r="G309" s="90" t="s">
        <v>183</v>
      </c>
      <c r="H309" s="90">
        <v>30</v>
      </c>
      <c r="I309" s="90">
        <f>'Odds &amp; Rarity'!$D$13</f>
        <v>1026000</v>
      </c>
      <c r="J309" s="90">
        <f t="shared" si="22"/>
        <v>1140</v>
      </c>
      <c r="K309" s="90">
        <f t="shared" si="23"/>
        <v>1140</v>
      </c>
      <c r="L309" s="90">
        <f t="shared" si="24"/>
        <v>1140</v>
      </c>
      <c r="M309" s="91"/>
      <c r="N309" s="59" t="str">
        <f t="shared" si="20"/>
        <v>Lenticular &amp; SP|Supes|S3D-2|Base</v>
      </c>
      <c r="O309" s="59">
        <f t="shared" si="21"/>
        <v>1140</v>
      </c>
    </row>
    <row r="310" spans="1:15" x14ac:dyDescent="0.25">
      <c r="A310" s="90" t="s">
        <v>126</v>
      </c>
      <c r="B310" s="90" t="s">
        <v>90</v>
      </c>
      <c r="C310" s="90" t="s">
        <v>648</v>
      </c>
      <c r="D310" s="91" t="s">
        <v>341</v>
      </c>
      <c r="E310" s="90" t="s">
        <v>60</v>
      </c>
      <c r="F310" s="90">
        <v>30</v>
      </c>
      <c r="G310" s="90" t="s">
        <v>183</v>
      </c>
      <c r="H310" s="90">
        <v>30</v>
      </c>
      <c r="I310" s="90">
        <f>'Odds &amp; Rarity'!$D$13</f>
        <v>1026000</v>
      </c>
      <c r="J310" s="90">
        <f t="shared" si="22"/>
        <v>1140</v>
      </c>
      <c r="K310" s="90">
        <f t="shared" si="23"/>
        <v>1140</v>
      </c>
      <c r="L310" s="90">
        <f t="shared" si="24"/>
        <v>1140</v>
      </c>
      <c r="M310" s="91"/>
      <c r="N310" s="59" t="str">
        <f t="shared" si="20"/>
        <v>Lenticular &amp; SP|Supes|S3D-20|Base</v>
      </c>
      <c r="O310" s="59">
        <f t="shared" si="21"/>
        <v>1140</v>
      </c>
    </row>
    <row r="311" spans="1:15" x14ac:dyDescent="0.25">
      <c r="A311" s="90" t="s">
        <v>126</v>
      </c>
      <c r="B311" s="90" t="s">
        <v>90</v>
      </c>
      <c r="C311" s="90" t="s">
        <v>649</v>
      </c>
      <c r="D311" s="91" t="s">
        <v>350</v>
      </c>
      <c r="E311" s="90" t="s">
        <v>60</v>
      </c>
      <c r="F311" s="90">
        <v>30</v>
      </c>
      <c r="G311" s="90" t="s">
        <v>183</v>
      </c>
      <c r="H311" s="90">
        <v>30</v>
      </c>
      <c r="I311" s="90">
        <f>'Odds &amp; Rarity'!$D$13</f>
        <v>1026000</v>
      </c>
      <c r="J311" s="90">
        <f t="shared" si="22"/>
        <v>1140</v>
      </c>
      <c r="K311" s="90">
        <f t="shared" si="23"/>
        <v>1140</v>
      </c>
      <c r="L311" s="90">
        <f t="shared" si="24"/>
        <v>1140</v>
      </c>
      <c r="M311" s="91"/>
      <c r="N311" s="59" t="str">
        <f t="shared" si="20"/>
        <v>Lenticular &amp; SP|Supes|S3D-21|Base</v>
      </c>
      <c r="O311" s="59">
        <f t="shared" si="21"/>
        <v>1140</v>
      </c>
    </row>
    <row r="312" spans="1:15" x14ac:dyDescent="0.25">
      <c r="A312" s="90" t="s">
        <v>126</v>
      </c>
      <c r="B312" s="90" t="s">
        <v>90</v>
      </c>
      <c r="C312" s="90" t="s">
        <v>650</v>
      </c>
      <c r="D312" s="91" t="s">
        <v>339</v>
      </c>
      <c r="E312" s="90" t="s">
        <v>60</v>
      </c>
      <c r="F312" s="90">
        <v>30</v>
      </c>
      <c r="G312" s="90" t="s">
        <v>183</v>
      </c>
      <c r="H312" s="90">
        <v>30</v>
      </c>
      <c r="I312" s="90">
        <f>'Odds &amp; Rarity'!$D$13</f>
        <v>1026000</v>
      </c>
      <c r="J312" s="90">
        <f t="shared" si="22"/>
        <v>1140</v>
      </c>
      <c r="K312" s="90">
        <f t="shared" si="23"/>
        <v>1140</v>
      </c>
      <c r="L312" s="90">
        <f t="shared" si="24"/>
        <v>1140</v>
      </c>
      <c r="M312" s="91"/>
      <c r="N312" s="59" t="str">
        <f t="shared" si="20"/>
        <v>Lenticular &amp; SP|Supes|S3D-22|Base</v>
      </c>
      <c r="O312" s="59">
        <f t="shared" si="21"/>
        <v>1140</v>
      </c>
    </row>
    <row r="313" spans="1:15" x14ac:dyDescent="0.25">
      <c r="A313" s="90" t="s">
        <v>126</v>
      </c>
      <c r="B313" s="90" t="s">
        <v>90</v>
      </c>
      <c r="C313" s="90" t="s">
        <v>651</v>
      </c>
      <c r="D313" s="91" t="s">
        <v>528</v>
      </c>
      <c r="E313" s="90" t="s">
        <v>60</v>
      </c>
      <c r="F313" s="90">
        <v>30</v>
      </c>
      <c r="G313" s="90" t="s">
        <v>183</v>
      </c>
      <c r="H313" s="90">
        <v>30</v>
      </c>
      <c r="I313" s="90">
        <f>'Odds &amp; Rarity'!$D$13</f>
        <v>1026000</v>
      </c>
      <c r="J313" s="90">
        <f t="shared" si="22"/>
        <v>1140</v>
      </c>
      <c r="K313" s="90">
        <f t="shared" si="23"/>
        <v>1140</v>
      </c>
      <c r="L313" s="90">
        <f t="shared" si="24"/>
        <v>1140</v>
      </c>
      <c r="M313" s="91"/>
      <c r="N313" s="59" t="str">
        <f t="shared" si="20"/>
        <v>Lenticular &amp; SP|Supes|S3D-23|Base</v>
      </c>
      <c r="O313" s="59">
        <f t="shared" si="21"/>
        <v>1140</v>
      </c>
    </row>
    <row r="314" spans="1:15" x14ac:dyDescent="0.25">
      <c r="A314" s="90" t="s">
        <v>126</v>
      </c>
      <c r="B314" s="90" t="s">
        <v>90</v>
      </c>
      <c r="C314" s="90" t="s">
        <v>652</v>
      </c>
      <c r="D314" s="91" t="s">
        <v>441</v>
      </c>
      <c r="E314" s="90" t="s">
        <v>60</v>
      </c>
      <c r="F314" s="90">
        <v>30</v>
      </c>
      <c r="G314" s="90" t="s">
        <v>183</v>
      </c>
      <c r="H314" s="90">
        <v>30</v>
      </c>
      <c r="I314" s="90">
        <f>'Odds &amp; Rarity'!$D$13</f>
        <v>1026000</v>
      </c>
      <c r="J314" s="90">
        <f t="shared" si="22"/>
        <v>1140</v>
      </c>
      <c r="K314" s="90">
        <f t="shared" si="23"/>
        <v>1140</v>
      </c>
      <c r="L314" s="90">
        <f t="shared" si="24"/>
        <v>1140</v>
      </c>
      <c r="M314" s="91"/>
      <c r="N314" s="59" t="str">
        <f t="shared" si="20"/>
        <v>Lenticular &amp; SP|Supes|S3D-24|Base</v>
      </c>
      <c r="O314" s="59">
        <f t="shared" si="21"/>
        <v>1140</v>
      </c>
    </row>
    <row r="315" spans="1:15" x14ac:dyDescent="0.25">
      <c r="A315" s="90" t="s">
        <v>126</v>
      </c>
      <c r="B315" s="90" t="s">
        <v>90</v>
      </c>
      <c r="C315" s="90" t="s">
        <v>653</v>
      </c>
      <c r="D315" s="91" t="s">
        <v>337</v>
      </c>
      <c r="E315" s="90" t="s">
        <v>60</v>
      </c>
      <c r="F315" s="90">
        <v>30</v>
      </c>
      <c r="G315" s="90" t="s">
        <v>183</v>
      </c>
      <c r="H315" s="90">
        <v>30</v>
      </c>
      <c r="I315" s="90">
        <f>'Odds &amp; Rarity'!$D$13</f>
        <v>1026000</v>
      </c>
      <c r="J315" s="90">
        <f t="shared" si="22"/>
        <v>1140</v>
      </c>
      <c r="K315" s="90">
        <f t="shared" si="23"/>
        <v>1140</v>
      </c>
      <c r="L315" s="90">
        <f t="shared" si="24"/>
        <v>1140</v>
      </c>
      <c r="M315" s="91"/>
      <c r="N315" s="59" t="str">
        <f t="shared" si="20"/>
        <v>Lenticular &amp; SP|Supes|S3D-25|Base</v>
      </c>
      <c r="O315" s="59">
        <f t="shared" si="21"/>
        <v>1140</v>
      </c>
    </row>
    <row r="316" spans="1:15" x14ac:dyDescent="0.25">
      <c r="A316" s="90" t="s">
        <v>126</v>
      </c>
      <c r="B316" s="90" t="s">
        <v>90</v>
      </c>
      <c r="C316" s="90" t="s">
        <v>654</v>
      </c>
      <c r="D316" s="91" t="s">
        <v>531</v>
      </c>
      <c r="E316" s="90" t="s">
        <v>60</v>
      </c>
      <c r="F316" s="90">
        <v>30</v>
      </c>
      <c r="G316" s="90" t="s">
        <v>183</v>
      </c>
      <c r="H316" s="90">
        <v>30</v>
      </c>
      <c r="I316" s="90">
        <f>'Odds &amp; Rarity'!$D$13</f>
        <v>1026000</v>
      </c>
      <c r="J316" s="90">
        <f t="shared" si="22"/>
        <v>1140</v>
      </c>
      <c r="K316" s="90">
        <f t="shared" si="23"/>
        <v>1140</v>
      </c>
      <c r="L316" s="90">
        <f t="shared" si="24"/>
        <v>1140</v>
      </c>
      <c r="M316" s="91"/>
      <c r="N316" s="59" t="str">
        <f t="shared" si="20"/>
        <v>Lenticular &amp; SP|Supes|S3D-26|Base</v>
      </c>
      <c r="O316" s="59">
        <f t="shared" si="21"/>
        <v>1140</v>
      </c>
    </row>
    <row r="317" spans="1:15" x14ac:dyDescent="0.25">
      <c r="A317" s="90" t="s">
        <v>126</v>
      </c>
      <c r="B317" s="90" t="s">
        <v>90</v>
      </c>
      <c r="C317" s="90" t="s">
        <v>655</v>
      </c>
      <c r="D317" s="91" t="s">
        <v>341</v>
      </c>
      <c r="E317" s="90" t="s">
        <v>60</v>
      </c>
      <c r="F317" s="90">
        <v>30</v>
      </c>
      <c r="G317" s="90" t="s">
        <v>183</v>
      </c>
      <c r="H317" s="90">
        <v>30</v>
      </c>
      <c r="I317" s="90">
        <f>'Odds &amp; Rarity'!$D$13</f>
        <v>1026000</v>
      </c>
      <c r="J317" s="90">
        <f t="shared" si="22"/>
        <v>1140</v>
      </c>
      <c r="K317" s="90">
        <f t="shared" si="23"/>
        <v>1140</v>
      </c>
      <c r="L317" s="90">
        <f t="shared" si="24"/>
        <v>1140</v>
      </c>
      <c r="M317" s="91"/>
      <c r="N317" s="59" t="str">
        <f t="shared" si="20"/>
        <v>Lenticular &amp; SP|Supes|S3D-27|Base</v>
      </c>
      <c r="O317" s="59">
        <f t="shared" si="21"/>
        <v>1140</v>
      </c>
    </row>
    <row r="318" spans="1:15" x14ac:dyDescent="0.25">
      <c r="A318" s="90" t="s">
        <v>126</v>
      </c>
      <c r="B318" s="90" t="s">
        <v>90</v>
      </c>
      <c r="C318" s="90" t="s">
        <v>656</v>
      </c>
      <c r="D318" s="91" t="s">
        <v>343</v>
      </c>
      <c r="E318" s="90" t="s">
        <v>60</v>
      </c>
      <c r="F318" s="90">
        <v>30</v>
      </c>
      <c r="G318" s="90" t="s">
        <v>183</v>
      </c>
      <c r="H318" s="90">
        <v>30</v>
      </c>
      <c r="I318" s="90">
        <f>'Odds &amp; Rarity'!$D$13</f>
        <v>1026000</v>
      </c>
      <c r="J318" s="90">
        <f t="shared" si="22"/>
        <v>1140</v>
      </c>
      <c r="K318" s="90">
        <f t="shared" si="23"/>
        <v>1140</v>
      </c>
      <c r="L318" s="90">
        <f t="shared" si="24"/>
        <v>1140</v>
      </c>
      <c r="M318" s="91"/>
      <c r="N318" s="59" t="str">
        <f t="shared" si="20"/>
        <v>Lenticular &amp; SP|Supes|S3D-28|Base</v>
      </c>
      <c r="O318" s="59">
        <f t="shared" si="21"/>
        <v>1140</v>
      </c>
    </row>
    <row r="319" spans="1:15" x14ac:dyDescent="0.25">
      <c r="A319" s="90" t="s">
        <v>126</v>
      </c>
      <c r="B319" s="90" t="s">
        <v>90</v>
      </c>
      <c r="C319" s="90" t="s">
        <v>657</v>
      </c>
      <c r="D319" s="91" t="s">
        <v>345</v>
      </c>
      <c r="E319" s="90" t="s">
        <v>60</v>
      </c>
      <c r="F319" s="90">
        <v>30</v>
      </c>
      <c r="G319" s="90" t="s">
        <v>183</v>
      </c>
      <c r="H319" s="90">
        <v>30</v>
      </c>
      <c r="I319" s="90">
        <f>'Odds &amp; Rarity'!$D$13</f>
        <v>1026000</v>
      </c>
      <c r="J319" s="90">
        <f t="shared" si="22"/>
        <v>1140</v>
      </c>
      <c r="K319" s="90">
        <f t="shared" si="23"/>
        <v>1140</v>
      </c>
      <c r="L319" s="90">
        <f t="shared" si="24"/>
        <v>1140</v>
      </c>
      <c r="M319" s="91"/>
      <c r="N319" s="59" t="str">
        <f t="shared" si="20"/>
        <v>Lenticular &amp; SP|Supes|S3D-29|Base</v>
      </c>
      <c r="O319" s="59">
        <f t="shared" si="21"/>
        <v>1140</v>
      </c>
    </row>
    <row r="320" spans="1:15" x14ac:dyDescent="0.25">
      <c r="A320" s="90" t="s">
        <v>126</v>
      </c>
      <c r="B320" s="90" t="s">
        <v>90</v>
      </c>
      <c r="C320" s="90" t="s">
        <v>658</v>
      </c>
      <c r="D320" s="91" t="s">
        <v>341</v>
      </c>
      <c r="E320" s="90" t="s">
        <v>60</v>
      </c>
      <c r="F320" s="90">
        <v>30</v>
      </c>
      <c r="G320" s="90" t="s">
        <v>183</v>
      </c>
      <c r="H320" s="90">
        <v>30</v>
      </c>
      <c r="I320" s="90">
        <f>'Odds &amp; Rarity'!$D$13</f>
        <v>1026000</v>
      </c>
      <c r="J320" s="90">
        <f t="shared" si="22"/>
        <v>1140</v>
      </c>
      <c r="K320" s="90">
        <f t="shared" si="23"/>
        <v>1140</v>
      </c>
      <c r="L320" s="90">
        <f t="shared" si="24"/>
        <v>1140</v>
      </c>
      <c r="M320" s="91"/>
      <c r="N320" s="59" t="str">
        <f t="shared" si="20"/>
        <v>Lenticular &amp; SP|Supes|S3D-3|Base</v>
      </c>
      <c r="O320" s="59">
        <f t="shared" si="21"/>
        <v>1140</v>
      </c>
    </row>
    <row r="321" spans="1:15" x14ac:dyDescent="0.25">
      <c r="A321" s="90" t="s">
        <v>126</v>
      </c>
      <c r="B321" s="90" t="s">
        <v>90</v>
      </c>
      <c r="C321" s="90" t="s">
        <v>659</v>
      </c>
      <c r="D321" s="91" t="s">
        <v>347</v>
      </c>
      <c r="E321" s="90" t="s">
        <v>60</v>
      </c>
      <c r="F321" s="90">
        <v>30</v>
      </c>
      <c r="G321" s="90" t="s">
        <v>183</v>
      </c>
      <c r="H321" s="90">
        <v>30</v>
      </c>
      <c r="I321" s="90">
        <f>'Odds &amp; Rarity'!$D$13</f>
        <v>1026000</v>
      </c>
      <c r="J321" s="90">
        <f t="shared" si="22"/>
        <v>1140</v>
      </c>
      <c r="K321" s="90">
        <f t="shared" si="23"/>
        <v>1140</v>
      </c>
      <c r="L321" s="90">
        <f t="shared" si="24"/>
        <v>1140</v>
      </c>
      <c r="M321" s="91"/>
      <c r="N321" s="59" t="str">
        <f t="shared" si="20"/>
        <v>Lenticular &amp; SP|Supes|S3D-30|Base</v>
      </c>
      <c r="O321" s="59">
        <f t="shared" si="21"/>
        <v>1140</v>
      </c>
    </row>
    <row r="322" spans="1:15" x14ac:dyDescent="0.25">
      <c r="A322" s="90" t="s">
        <v>126</v>
      </c>
      <c r="B322" s="90" t="s">
        <v>90</v>
      </c>
      <c r="C322" s="90" t="s">
        <v>660</v>
      </c>
      <c r="D322" s="91" t="s">
        <v>341</v>
      </c>
      <c r="E322" s="90" t="s">
        <v>60</v>
      </c>
      <c r="F322" s="90">
        <v>30</v>
      </c>
      <c r="G322" s="90" t="s">
        <v>183</v>
      </c>
      <c r="H322" s="90">
        <v>30</v>
      </c>
      <c r="I322" s="90">
        <f>'Odds &amp; Rarity'!$D$13</f>
        <v>1026000</v>
      </c>
      <c r="J322" s="90">
        <f t="shared" si="22"/>
        <v>1140</v>
      </c>
      <c r="K322" s="90">
        <f t="shared" si="23"/>
        <v>1140</v>
      </c>
      <c r="L322" s="90">
        <f t="shared" si="24"/>
        <v>1140</v>
      </c>
      <c r="M322" s="91"/>
      <c r="N322" s="59" t="str">
        <f t="shared" ref="N322:N385" si="25">IF($A322="","",$A322&amp;"|"&amp;$B322&amp;"|"&amp;$C322&amp;"|"&amp;$E322)</f>
        <v>Lenticular &amp; SP|Supes|S3D-4|Base</v>
      </c>
      <c r="O322" s="59">
        <f t="shared" ref="O322:O385" si="26">IF($A322="","",$J322)</f>
        <v>1140</v>
      </c>
    </row>
    <row r="323" spans="1:15" x14ac:dyDescent="0.25">
      <c r="A323" s="90" t="s">
        <v>126</v>
      </c>
      <c r="B323" s="90" t="s">
        <v>90</v>
      </c>
      <c r="C323" s="90" t="s">
        <v>661</v>
      </c>
      <c r="D323" s="91" t="s">
        <v>458</v>
      </c>
      <c r="E323" s="90" t="s">
        <v>60</v>
      </c>
      <c r="F323" s="90">
        <v>30</v>
      </c>
      <c r="G323" s="90" t="s">
        <v>183</v>
      </c>
      <c r="H323" s="90">
        <v>30</v>
      </c>
      <c r="I323" s="90">
        <f>'Odds &amp; Rarity'!$D$13</f>
        <v>1026000</v>
      </c>
      <c r="J323" s="90">
        <f t="shared" si="22"/>
        <v>1140</v>
      </c>
      <c r="K323" s="90">
        <f t="shared" si="23"/>
        <v>1140</v>
      </c>
      <c r="L323" s="90">
        <f t="shared" si="24"/>
        <v>1140</v>
      </c>
      <c r="M323" s="91"/>
      <c r="N323" s="59" t="str">
        <f t="shared" si="25"/>
        <v>Lenticular &amp; SP|Supes|S3D-5|Base</v>
      </c>
      <c r="O323" s="59">
        <f t="shared" si="26"/>
        <v>1140</v>
      </c>
    </row>
    <row r="324" spans="1:15" x14ac:dyDescent="0.25">
      <c r="A324" s="90" t="s">
        <v>126</v>
      </c>
      <c r="B324" s="90" t="s">
        <v>90</v>
      </c>
      <c r="C324" s="90" t="s">
        <v>662</v>
      </c>
      <c r="D324" s="91" t="s">
        <v>347</v>
      </c>
      <c r="E324" s="90" t="s">
        <v>60</v>
      </c>
      <c r="F324" s="90">
        <v>30</v>
      </c>
      <c r="G324" s="90" t="s">
        <v>183</v>
      </c>
      <c r="H324" s="90">
        <v>30</v>
      </c>
      <c r="I324" s="90">
        <f>'Odds &amp; Rarity'!$D$13</f>
        <v>1026000</v>
      </c>
      <c r="J324" s="90">
        <f t="shared" ref="J324:J387" si="27">IF(OR(I324="",F324="",H324=""),"",ROUND(I324/(F324*H324),0))</f>
        <v>1140</v>
      </c>
      <c r="K324" s="90">
        <f t="shared" ref="K324:K387" si="28">J324</f>
        <v>1140</v>
      </c>
      <c r="L324" s="90">
        <f t="shared" ref="L324:L387" si="29">J324</f>
        <v>1140</v>
      </c>
      <c r="M324" s="91"/>
      <c r="N324" s="59" t="str">
        <f t="shared" si="25"/>
        <v>Lenticular &amp; SP|Supes|S3D-6|Base</v>
      </c>
      <c r="O324" s="59">
        <f t="shared" si="26"/>
        <v>1140</v>
      </c>
    </row>
    <row r="325" spans="1:15" x14ac:dyDescent="0.25">
      <c r="A325" s="90" t="s">
        <v>126</v>
      </c>
      <c r="B325" s="90" t="s">
        <v>90</v>
      </c>
      <c r="C325" s="90" t="s">
        <v>663</v>
      </c>
      <c r="D325" s="91" t="s">
        <v>339</v>
      </c>
      <c r="E325" s="90" t="s">
        <v>60</v>
      </c>
      <c r="F325" s="90">
        <v>30</v>
      </c>
      <c r="G325" s="90" t="s">
        <v>183</v>
      </c>
      <c r="H325" s="90">
        <v>30</v>
      </c>
      <c r="I325" s="90">
        <f>'Odds &amp; Rarity'!$D$13</f>
        <v>1026000</v>
      </c>
      <c r="J325" s="90">
        <f t="shared" si="27"/>
        <v>1140</v>
      </c>
      <c r="K325" s="90">
        <f t="shared" si="28"/>
        <v>1140</v>
      </c>
      <c r="L325" s="90">
        <f t="shared" si="29"/>
        <v>1140</v>
      </c>
      <c r="M325" s="91"/>
      <c r="N325" s="59" t="str">
        <f t="shared" si="25"/>
        <v>Lenticular &amp; SP|Supes|S3D-7|Base</v>
      </c>
      <c r="O325" s="59">
        <f t="shared" si="26"/>
        <v>1140</v>
      </c>
    </row>
    <row r="326" spans="1:15" x14ac:dyDescent="0.25">
      <c r="A326" s="90" t="s">
        <v>126</v>
      </c>
      <c r="B326" s="90" t="s">
        <v>90</v>
      </c>
      <c r="C326" s="90" t="s">
        <v>664</v>
      </c>
      <c r="D326" s="91" t="s">
        <v>352</v>
      </c>
      <c r="E326" s="90" t="s">
        <v>60</v>
      </c>
      <c r="F326" s="90">
        <v>30</v>
      </c>
      <c r="G326" s="90" t="s">
        <v>183</v>
      </c>
      <c r="H326" s="90">
        <v>30</v>
      </c>
      <c r="I326" s="90">
        <f>'Odds &amp; Rarity'!$D$13</f>
        <v>1026000</v>
      </c>
      <c r="J326" s="90">
        <f t="shared" si="27"/>
        <v>1140</v>
      </c>
      <c r="K326" s="90">
        <f t="shared" si="28"/>
        <v>1140</v>
      </c>
      <c r="L326" s="90">
        <f t="shared" si="29"/>
        <v>1140</v>
      </c>
      <c r="M326" s="91"/>
      <c r="N326" s="59" t="str">
        <f t="shared" si="25"/>
        <v>Lenticular &amp; SP|Supes|S3D-8|Base</v>
      </c>
      <c r="O326" s="59">
        <f t="shared" si="26"/>
        <v>1140</v>
      </c>
    </row>
    <row r="327" spans="1:15" x14ac:dyDescent="0.25">
      <c r="A327" s="90" t="s">
        <v>126</v>
      </c>
      <c r="B327" s="90" t="s">
        <v>90</v>
      </c>
      <c r="C327" s="90" t="s">
        <v>665</v>
      </c>
      <c r="D327" s="91" t="s">
        <v>343</v>
      </c>
      <c r="E327" s="90" t="s">
        <v>60</v>
      </c>
      <c r="F327" s="90">
        <v>30</v>
      </c>
      <c r="G327" s="90" t="s">
        <v>183</v>
      </c>
      <c r="H327" s="90">
        <v>30</v>
      </c>
      <c r="I327" s="90">
        <f>'Odds &amp; Rarity'!$D$13</f>
        <v>1026000</v>
      </c>
      <c r="J327" s="90">
        <f t="shared" si="27"/>
        <v>1140</v>
      </c>
      <c r="K327" s="90">
        <f t="shared" si="28"/>
        <v>1140</v>
      </c>
      <c r="L327" s="90">
        <f t="shared" si="29"/>
        <v>1140</v>
      </c>
      <c r="M327" s="91"/>
      <c r="N327" s="59" t="str">
        <f t="shared" si="25"/>
        <v>Lenticular &amp; SP|Supes|S3D-9|Base</v>
      </c>
      <c r="O327" s="59">
        <f t="shared" si="26"/>
        <v>1140</v>
      </c>
    </row>
    <row r="328" spans="1:15" x14ac:dyDescent="0.25">
      <c r="A328" s="90" t="s">
        <v>41</v>
      </c>
      <c r="B328" s="90" t="s">
        <v>41</v>
      </c>
      <c r="C328" s="90" t="s">
        <v>666</v>
      </c>
      <c r="D328" s="91" t="s">
        <v>337</v>
      </c>
      <c r="E328" s="90" t="s">
        <v>60</v>
      </c>
      <c r="F328" s="90">
        <v>11</v>
      </c>
      <c r="G328" s="90" t="s">
        <v>183</v>
      </c>
      <c r="H328" s="90">
        <v>15</v>
      </c>
      <c r="I328" s="90">
        <f>'Odds &amp; Rarity'!$D$13</f>
        <v>1026000</v>
      </c>
      <c r="J328" s="90">
        <f t="shared" si="27"/>
        <v>6218</v>
      </c>
      <c r="K328" s="90">
        <f t="shared" si="28"/>
        <v>6218</v>
      </c>
      <c r="L328" s="90">
        <f t="shared" si="29"/>
        <v>6218</v>
      </c>
      <c r="M328" s="91"/>
      <c r="N328" s="59" t="str">
        <f t="shared" si="25"/>
        <v>Action Figures|Action Figures|AF-1|Base</v>
      </c>
      <c r="O328" s="59">
        <f t="shared" si="26"/>
        <v>6218</v>
      </c>
    </row>
    <row r="329" spans="1:15" x14ac:dyDescent="0.25">
      <c r="A329" s="90" t="s">
        <v>41</v>
      </c>
      <c r="B329" s="90" t="s">
        <v>41</v>
      </c>
      <c r="C329" s="90" t="s">
        <v>667</v>
      </c>
      <c r="D329" s="91" t="s">
        <v>454</v>
      </c>
      <c r="E329" s="90" t="s">
        <v>60</v>
      </c>
      <c r="F329" s="90">
        <v>11</v>
      </c>
      <c r="G329" s="90" t="s">
        <v>183</v>
      </c>
      <c r="H329" s="90">
        <v>15</v>
      </c>
      <c r="I329" s="90">
        <f>'Odds &amp; Rarity'!$D$13</f>
        <v>1026000</v>
      </c>
      <c r="J329" s="90">
        <f t="shared" si="27"/>
        <v>6218</v>
      </c>
      <c r="K329" s="90">
        <f t="shared" si="28"/>
        <v>6218</v>
      </c>
      <c r="L329" s="90">
        <f t="shared" si="29"/>
        <v>6218</v>
      </c>
      <c r="M329" s="91"/>
      <c r="N329" s="59" t="str">
        <f t="shared" si="25"/>
        <v>Action Figures|Action Figures|AF-10|Base</v>
      </c>
      <c r="O329" s="59">
        <f t="shared" si="26"/>
        <v>6218</v>
      </c>
    </row>
    <row r="330" spans="1:15" x14ac:dyDescent="0.25">
      <c r="A330" s="90" t="s">
        <v>41</v>
      </c>
      <c r="B330" s="90" t="s">
        <v>41</v>
      </c>
      <c r="C330" s="90" t="s">
        <v>668</v>
      </c>
      <c r="D330" s="91" t="s">
        <v>339</v>
      </c>
      <c r="E330" s="90" t="s">
        <v>60</v>
      </c>
      <c r="F330" s="90">
        <v>11</v>
      </c>
      <c r="G330" s="90" t="s">
        <v>183</v>
      </c>
      <c r="H330" s="90">
        <v>15</v>
      </c>
      <c r="I330" s="90">
        <f>'Odds &amp; Rarity'!$D$13</f>
        <v>1026000</v>
      </c>
      <c r="J330" s="90">
        <f t="shared" si="27"/>
        <v>6218</v>
      </c>
      <c r="K330" s="90">
        <f t="shared" si="28"/>
        <v>6218</v>
      </c>
      <c r="L330" s="90">
        <f t="shared" si="29"/>
        <v>6218</v>
      </c>
      <c r="M330" s="91"/>
      <c r="N330" s="59" t="str">
        <f t="shared" si="25"/>
        <v>Action Figures|Action Figures|AF-11|Base</v>
      </c>
      <c r="O330" s="59">
        <f t="shared" si="26"/>
        <v>6218</v>
      </c>
    </row>
    <row r="331" spans="1:15" x14ac:dyDescent="0.25">
      <c r="A331" s="90" t="s">
        <v>41</v>
      </c>
      <c r="B331" s="90" t="s">
        <v>41</v>
      </c>
      <c r="C331" s="90" t="s">
        <v>669</v>
      </c>
      <c r="D331" s="91" t="s">
        <v>343</v>
      </c>
      <c r="E331" s="90" t="s">
        <v>60</v>
      </c>
      <c r="F331" s="90">
        <v>11</v>
      </c>
      <c r="G331" s="90" t="s">
        <v>183</v>
      </c>
      <c r="H331" s="90">
        <v>15</v>
      </c>
      <c r="I331" s="90">
        <f>'Odds &amp; Rarity'!$D$13</f>
        <v>1026000</v>
      </c>
      <c r="J331" s="90">
        <f t="shared" si="27"/>
        <v>6218</v>
      </c>
      <c r="K331" s="90">
        <f t="shared" si="28"/>
        <v>6218</v>
      </c>
      <c r="L331" s="90">
        <f t="shared" si="29"/>
        <v>6218</v>
      </c>
      <c r="M331" s="91"/>
      <c r="N331" s="59" t="str">
        <f t="shared" si="25"/>
        <v>Action Figures|Action Figures|AF-12|Base</v>
      </c>
      <c r="O331" s="59">
        <f t="shared" si="26"/>
        <v>6218</v>
      </c>
    </row>
    <row r="332" spans="1:15" x14ac:dyDescent="0.25">
      <c r="A332" s="90" t="s">
        <v>41</v>
      </c>
      <c r="B332" s="90" t="s">
        <v>41</v>
      </c>
      <c r="C332" s="90" t="s">
        <v>670</v>
      </c>
      <c r="D332" s="91" t="s">
        <v>446</v>
      </c>
      <c r="E332" s="90" t="s">
        <v>60</v>
      </c>
      <c r="F332" s="90">
        <v>11</v>
      </c>
      <c r="G332" s="90" t="s">
        <v>183</v>
      </c>
      <c r="H332" s="90">
        <v>15</v>
      </c>
      <c r="I332" s="90">
        <f>'Odds &amp; Rarity'!$D$13</f>
        <v>1026000</v>
      </c>
      <c r="J332" s="90">
        <f t="shared" si="27"/>
        <v>6218</v>
      </c>
      <c r="K332" s="90">
        <f t="shared" si="28"/>
        <v>6218</v>
      </c>
      <c r="L332" s="90">
        <f t="shared" si="29"/>
        <v>6218</v>
      </c>
      <c r="M332" s="91"/>
      <c r="N332" s="59" t="str">
        <f t="shared" si="25"/>
        <v>Action Figures|Action Figures|AF-13|Base</v>
      </c>
      <c r="O332" s="59">
        <f t="shared" si="26"/>
        <v>6218</v>
      </c>
    </row>
    <row r="333" spans="1:15" x14ac:dyDescent="0.25">
      <c r="A333" s="90" t="s">
        <v>41</v>
      </c>
      <c r="B333" s="90" t="s">
        <v>41</v>
      </c>
      <c r="C333" s="90" t="s">
        <v>671</v>
      </c>
      <c r="D333" s="91" t="s">
        <v>389</v>
      </c>
      <c r="E333" s="90" t="s">
        <v>60</v>
      </c>
      <c r="F333" s="90">
        <v>11</v>
      </c>
      <c r="G333" s="90" t="s">
        <v>183</v>
      </c>
      <c r="H333" s="90">
        <v>15</v>
      </c>
      <c r="I333" s="90">
        <f>'Odds &amp; Rarity'!$D$13</f>
        <v>1026000</v>
      </c>
      <c r="J333" s="90">
        <f t="shared" si="27"/>
        <v>6218</v>
      </c>
      <c r="K333" s="90">
        <f t="shared" si="28"/>
        <v>6218</v>
      </c>
      <c r="L333" s="90">
        <f t="shared" si="29"/>
        <v>6218</v>
      </c>
      <c r="M333" s="91"/>
      <c r="N333" s="59" t="str">
        <f t="shared" si="25"/>
        <v>Action Figures|Action Figures|AF-14|Base</v>
      </c>
      <c r="O333" s="59">
        <f t="shared" si="26"/>
        <v>6218</v>
      </c>
    </row>
    <row r="334" spans="1:15" x14ac:dyDescent="0.25">
      <c r="A334" s="90" t="s">
        <v>41</v>
      </c>
      <c r="B334" s="90" t="s">
        <v>41</v>
      </c>
      <c r="C334" s="90" t="s">
        <v>672</v>
      </c>
      <c r="D334" s="91" t="s">
        <v>384</v>
      </c>
      <c r="E334" s="90" t="s">
        <v>60</v>
      </c>
      <c r="F334" s="90">
        <v>11</v>
      </c>
      <c r="G334" s="90" t="s">
        <v>183</v>
      </c>
      <c r="H334" s="90">
        <v>15</v>
      </c>
      <c r="I334" s="90">
        <f>'Odds &amp; Rarity'!$D$13</f>
        <v>1026000</v>
      </c>
      <c r="J334" s="90">
        <f t="shared" si="27"/>
        <v>6218</v>
      </c>
      <c r="K334" s="90">
        <f t="shared" si="28"/>
        <v>6218</v>
      </c>
      <c r="L334" s="90">
        <f t="shared" si="29"/>
        <v>6218</v>
      </c>
      <c r="M334" s="91"/>
      <c r="N334" s="59" t="str">
        <f t="shared" si="25"/>
        <v>Action Figures|Action Figures|AF-15|Base</v>
      </c>
      <c r="O334" s="59">
        <f t="shared" si="26"/>
        <v>6218</v>
      </c>
    </row>
    <row r="335" spans="1:15" x14ac:dyDescent="0.25">
      <c r="A335" s="90" t="s">
        <v>41</v>
      </c>
      <c r="B335" s="90" t="s">
        <v>41</v>
      </c>
      <c r="C335" s="90" t="s">
        <v>673</v>
      </c>
      <c r="D335" s="91" t="s">
        <v>391</v>
      </c>
      <c r="E335" s="90" t="s">
        <v>60</v>
      </c>
      <c r="F335" s="90">
        <v>11</v>
      </c>
      <c r="G335" s="90" t="s">
        <v>183</v>
      </c>
      <c r="H335" s="90">
        <v>15</v>
      </c>
      <c r="I335" s="90">
        <f>'Odds &amp; Rarity'!$D$13</f>
        <v>1026000</v>
      </c>
      <c r="J335" s="90">
        <f t="shared" si="27"/>
        <v>6218</v>
      </c>
      <c r="K335" s="90">
        <f t="shared" si="28"/>
        <v>6218</v>
      </c>
      <c r="L335" s="90">
        <f t="shared" si="29"/>
        <v>6218</v>
      </c>
      <c r="M335" s="91"/>
      <c r="N335" s="59" t="str">
        <f t="shared" si="25"/>
        <v>Action Figures|Action Figures|AF-2|Base</v>
      </c>
      <c r="O335" s="59">
        <f t="shared" si="26"/>
        <v>6218</v>
      </c>
    </row>
    <row r="336" spans="1:15" x14ac:dyDescent="0.25">
      <c r="A336" s="90" t="s">
        <v>41</v>
      </c>
      <c r="B336" s="90" t="s">
        <v>41</v>
      </c>
      <c r="C336" s="90" t="s">
        <v>674</v>
      </c>
      <c r="D336" s="91" t="s">
        <v>387</v>
      </c>
      <c r="E336" s="90" t="s">
        <v>60</v>
      </c>
      <c r="F336" s="90">
        <v>11</v>
      </c>
      <c r="G336" s="90" t="s">
        <v>183</v>
      </c>
      <c r="H336" s="90">
        <v>15</v>
      </c>
      <c r="I336" s="90">
        <f>'Odds &amp; Rarity'!$D$13</f>
        <v>1026000</v>
      </c>
      <c r="J336" s="90">
        <f t="shared" si="27"/>
        <v>6218</v>
      </c>
      <c r="K336" s="90">
        <f t="shared" si="28"/>
        <v>6218</v>
      </c>
      <c r="L336" s="90">
        <f t="shared" si="29"/>
        <v>6218</v>
      </c>
      <c r="M336" s="91"/>
      <c r="N336" s="59" t="str">
        <f t="shared" si="25"/>
        <v>Action Figures|Action Figures|AF-3|Base</v>
      </c>
      <c r="O336" s="59">
        <f t="shared" si="26"/>
        <v>6218</v>
      </c>
    </row>
    <row r="337" spans="1:15" x14ac:dyDescent="0.25">
      <c r="A337" s="90" t="s">
        <v>41</v>
      </c>
      <c r="B337" s="90" t="s">
        <v>41</v>
      </c>
      <c r="C337" s="90" t="s">
        <v>675</v>
      </c>
      <c r="D337" s="91" t="s">
        <v>347</v>
      </c>
      <c r="E337" s="90" t="s">
        <v>60</v>
      </c>
      <c r="F337" s="90">
        <v>11</v>
      </c>
      <c r="G337" s="90" t="s">
        <v>183</v>
      </c>
      <c r="H337" s="90">
        <v>15</v>
      </c>
      <c r="I337" s="90">
        <f>'Odds &amp; Rarity'!$D$13</f>
        <v>1026000</v>
      </c>
      <c r="J337" s="90">
        <f t="shared" si="27"/>
        <v>6218</v>
      </c>
      <c r="K337" s="90">
        <f t="shared" si="28"/>
        <v>6218</v>
      </c>
      <c r="L337" s="90">
        <f t="shared" si="29"/>
        <v>6218</v>
      </c>
      <c r="M337" s="91"/>
      <c r="N337" s="59" t="str">
        <f t="shared" si="25"/>
        <v>Action Figures|Action Figures|AF-4|Base</v>
      </c>
      <c r="O337" s="59">
        <f t="shared" si="26"/>
        <v>6218</v>
      </c>
    </row>
    <row r="338" spans="1:15" x14ac:dyDescent="0.25">
      <c r="A338" s="90" t="s">
        <v>41</v>
      </c>
      <c r="B338" s="90" t="s">
        <v>41</v>
      </c>
      <c r="C338" s="90" t="s">
        <v>676</v>
      </c>
      <c r="D338" s="91" t="s">
        <v>458</v>
      </c>
      <c r="E338" s="90" t="s">
        <v>60</v>
      </c>
      <c r="F338" s="90">
        <v>11</v>
      </c>
      <c r="G338" s="90" t="s">
        <v>183</v>
      </c>
      <c r="H338" s="90">
        <v>15</v>
      </c>
      <c r="I338" s="90">
        <f>'Odds &amp; Rarity'!$D$13</f>
        <v>1026000</v>
      </c>
      <c r="J338" s="90">
        <f t="shared" si="27"/>
        <v>6218</v>
      </c>
      <c r="K338" s="90">
        <f t="shared" si="28"/>
        <v>6218</v>
      </c>
      <c r="L338" s="90">
        <f t="shared" si="29"/>
        <v>6218</v>
      </c>
      <c r="M338" s="91"/>
      <c r="N338" s="59" t="str">
        <f t="shared" si="25"/>
        <v>Action Figures|Action Figures|AF-5|Base</v>
      </c>
      <c r="O338" s="59">
        <f t="shared" si="26"/>
        <v>6218</v>
      </c>
    </row>
    <row r="339" spans="1:15" x14ac:dyDescent="0.25">
      <c r="A339" s="90" t="s">
        <v>41</v>
      </c>
      <c r="B339" s="90" t="s">
        <v>41</v>
      </c>
      <c r="C339" s="90" t="s">
        <v>677</v>
      </c>
      <c r="D339" s="91" t="s">
        <v>444</v>
      </c>
      <c r="E339" s="90" t="s">
        <v>60</v>
      </c>
      <c r="F339" s="90">
        <v>11</v>
      </c>
      <c r="G339" s="90" t="s">
        <v>183</v>
      </c>
      <c r="H339" s="90">
        <v>15</v>
      </c>
      <c r="I339" s="90">
        <f>'Odds &amp; Rarity'!$D$13</f>
        <v>1026000</v>
      </c>
      <c r="J339" s="90">
        <f t="shared" si="27"/>
        <v>6218</v>
      </c>
      <c r="K339" s="90">
        <f t="shared" si="28"/>
        <v>6218</v>
      </c>
      <c r="L339" s="90">
        <f t="shared" si="29"/>
        <v>6218</v>
      </c>
      <c r="M339" s="91"/>
      <c r="N339" s="59" t="str">
        <f t="shared" si="25"/>
        <v>Action Figures|Action Figures|AF-6|Base</v>
      </c>
      <c r="O339" s="59">
        <f t="shared" si="26"/>
        <v>6218</v>
      </c>
    </row>
    <row r="340" spans="1:15" x14ac:dyDescent="0.25">
      <c r="A340" s="90" t="s">
        <v>41</v>
      </c>
      <c r="B340" s="90" t="s">
        <v>41</v>
      </c>
      <c r="C340" s="90" t="s">
        <v>678</v>
      </c>
      <c r="D340" s="91" t="s">
        <v>341</v>
      </c>
      <c r="E340" s="90" t="s">
        <v>60</v>
      </c>
      <c r="F340" s="90">
        <v>11</v>
      </c>
      <c r="G340" s="90" t="s">
        <v>183</v>
      </c>
      <c r="H340" s="90">
        <v>15</v>
      </c>
      <c r="I340" s="90">
        <f>'Odds &amp; Rarity'!$D$13</f>
        <v>1026000</v>
      </c>
      <c r="J340" s="90">
        <f t="shared" si="27"/>
        <v>6218</v>
      </c>
      <c r="K340" s="90">
        <f t="shared" si="28"/>
        <v>6218</v>
      </c>
      <c r="L340" s="90">
        <f t="shared" si="29"/>
        <v>6218</v>
      </c>
      <c r="M340" s="91"/>
      <c r="N340" s="59" t="str">
        <f t="shared" si="25"/>
        <v>Action Figures|Action Figures|AF-7|Base</v>
      </c>
      <c r="O340" s="59">
        <f t="shared" si="26"/>
        <v>6218</v>
      </c>
    </row>
    <row r="341" spans="1:15" x14ac:dyDescent="0.25">
      <c r="A341" s="90" t="s">
        <v>41</v>
      </c>
      <c r="B341" s="90" t="s">
        <v>41</v>
      </c>
      <c r="C341" s="90" t="s">
        <v>679</v>
      </c>
      <c r="D341" s="91" t="s">
        <v>441</v>
      </c>
      <c r="E341" s="90" t="s">
        <v>60</v>
      </c>
      <c r="F341" s="90">
        <v>11</v>
      </c>
      <c r="G341" s="90" t="s">
        <v>183</v>
      </c>
      <c r="H341" s="90">
        <v>15</v>
      </c>
      <c r="I341" s="90">
        <f>'Odds &amp; Rarity'!$D$13</f>
        <v>1026000</v>
      </c>
      <c r="J341" s="90">
        <f t="shared" si="27"/>
        <v>6218</v>
      </c>
      <c r="K341" s="90">
        <f t="shared" si="28"/>
        <v>6218</v>
      </c>
      <c r="L341" s="90">
        <f t="shared" si="29"/>
        <v>6218</v>
      </c>
      <c r="M341" s="91"/>
      <c r="N341" s="59" t="str">
        <f t="shared" si="25"/>
        <v>Action Figures|Action Figures|AF-8|Base</v>
      </c>
      <c r="O341" s="59">
        <f t="shared" si="26"/>
        <v>6218</v>
      </c>
    </row>
    <row r="342" spans="1:15" x14ac:dyDescent="0.25">
      <c r="A342" s="90" t="s">
        <v>41</v>
      </c>
      <c r="B342" s="90" t="s">
        <v>41</v>
      </c>
      <c r="C342" s="90" t="s">
        <v>680</v>
      </c>
      <c r="D342" s="91" t="s">
        <v>345</v>
      </c>
      <c r="E342" s="90" t="s">
        <v>60</v>
      </c>
      <c r="F342" s="90">
        <v>11</v>
      </c>
      <c r="G342" s="90" t="s">
        <v>183</v>
      </c>
      <c r="H342" s="90">
        <v>15</v>
      </c>
      <c r="I342" s="90">
        <f>'Odds &amp; Rarity'!$D$13</f>
        <v>1026000</v>
      </c>
      <c r="J342" s="90">
        <f t="shared" si="27"/>
        <v>6218</v>
      </c>
      <c r="K342" s="90">
        <f t="shared" si="28"/>
        <v>6218</v>
      </c>
      <c r="L342" s="90">
        <f t="shared" si="29"/>
        <v>6218</v>
      </c>
      <c r="M342" s="91"/>
      <c r="N342" s="59" t="str">
        <f t="shared" si="25"/>
        <v>Action Figures|Action Figures|AF-9|Base</v>
      </c>
      <c r="O342" s="59">
        <f t="shared" si="26"/>
        <v>6218</v>
      </c>
    </row>
    <row r="343" spans="1:15" x14ac:dyDescent="0.25">
      <c r="A343" s="90" t="s">
        <v>23</v>
      </c>
      <c r="B343" s="90" t="s">
        <v>103</v>
      </c>
      <c r="C343" s="90" t="s">
        <v>681</v>
      </c>
      <c r="D343" s="91" t="s">
        <v>542</v>
      </c>
      <c r="E343" s="90" t="s">
        <v>60</v>
      </c>
      <c r="F343" s="90">
        <v>5</v>
      </c>
      <c r="G343" s="90" t="s">
        <v>183</v>
      </c>
      <c r="H343" s="90">
        <v>15</v>
      </c>
      <c r="I343" s="90">
        <f>'Odds &amp; Rarity'!$D$13</f>
        <v>1026000</v>
      </c>
      <c r="J343" s="90">
        <f t="shared" si="27"/>
        <v>13680</v>
      </c>
      <c r="K343" s="90">
        <f t="shared" si="28"/>
        <v>13680</v>
      </c>
      <c r="L343" s="90">
        <f t="shared" si="29"/>
        <v>13680</v>
      </c>
      <c r="M343" s="91"/>
      <c r="N343" s="59" t="str">
        <f t="shared" si="25"/>
        <v>Inserts - Story|Behind The Boys|BB-1|Base</v>
      </c>
      <c r="O343" s="59">
        <f t="shared" si="26"/>
        <v>13680</v>
      </c>
    </row>
    <row r="344" spans="1:15" x14ac:dyDescent="0.25">
      <c r="A344" s="90" t="s">
        <v>23</v>
      </c>
      <c r="B344" s="90" t="s">
        <v>103</v>
      </c>
      <c r="C344" s="90" t="s">
        <v>682</v>
      </c>
      <c r="D344" s="91" t="s">
        <v>683</v>
      </c>
      <c r="E344" s="90" t="s">
        <v>60</v>
      </c>
      <c r="F344" s="90">
        <v>5</v>
      </c>
      <c r="G344" s="90" t="s">
        <v>183</v>
      </c>
      <c r="H344" s="90">
        <v>15</v>
      </c>
      <c r="I344" s="90">
        <f>'Odds &amp; Rarity'!$D$13</f>
        <v>1026000</v>
      </c>
      <c r="J344" s="90">
        <f t="shared" si="27"/>
        <v>13680</v>
      </c>
      <c r="K344" s="90">
        <f t="shared" si="28"/>
        <v>13680</v>
      </c>
      <c r="L344" s="90">
        <f t="shared" si="29"/>
        <v>13680</v>
      </c>
      <c r="M344" s="91"/>
      <c r="N344" s="59" t="str">
        <f t="shared" si="25"/>
        <v>Inserts - Story|Behind The Boys|BB-10|Base</v>
      </c>
      <c r="O344" s="59">
        <f t="shared" si="26"/>
        <v>13680</v>
      </c>
    </row>
    <row r="345" spans="1:15" x14ac:dyDescent="0.25">
      <c r="A345" s="90" t="s">
        <v>23</v>
      </c>
      <c r="B345" s="90" t="s">
        <v>103</v>
      </c>
      <c r="C345" s="90" t="s">
        <v>684</v>
      </c>
      <c r="D345" s="91" t="s">
        <v>685</v>
      </c>
      <c r="E345" s="90" t="s">
        <v>60</v>
      </c>
      <c r="F345" s="90">
        <v>5</v>
      </c>
      <c r="G345" s="90" t="s">
        <v>183</v>
      </c>
      <c r="H345" s="90">
        <v>15</v>
      </c>
      <c r="I345" s="90">
        <f>'Odds &amp; Rarity'!$D$13</f>
        <v>1026000</v>
      </c>
      <c r="J345" s="90">
        <f t="shared" si="27"/>
        <v>13680</v>
      </c>
      <c r="K345" s="90">
        <f t="shared" si="28"/>
        <v>13680</v>
      </c>
      <c r="L345" s="90">
        <f t="shared" si="29"/>
        <v>13680</v>
      </c>
      <c r="M345" s="91"/>
      <c r="N345" s="59" t="str">
        <f t="shared" si="25"/>
        <v>Inserts - Story|Behind The Boys|BB-11|Base</v>
      </c>
      <c r="O345" s="59">
        <f t="shared" si="26"/>
        <v>13680</v>
      </c>
    </row>
    <row r="346" spans="1:15" x14ac:dyDescent="0.25">
      <c r="A346" s="90" t="s">
        <v>23</v>
      </c>
      <c r="B346" s="90" t="s">
        <v>103</v>
      </c>
      <c r="C346" s="90" t="s">
        <v>686</v>
      </c>
      <c r="D346" s="91" t="s">
        <v>687</v>
      </c>
      <c r="E346" s="90" t="s">
        <v>60</v>
      </c>
      <c r="F346" s="90">
        <v>5</v>
      </c>
      <c r="G346" s="90" t="s">
        <v>183</v>
      </c>
      <c r="H346" s="90">
        <v>15</v>
      </c>
      <c r="I346" s="90">
        <f>'Odds &amp; Rarity'!$D$13</f>
        <v>1026000</v>
      </c>
      <c r="J346" s="90">
        <f t="shared" si="27"/>
        <v>13680</v>
      </c>
      <c r="K346" s="90">
        <f t="shared" si="28"/>
        <v>13680</v>
      </c>
      <c r="L346" s="90">
        <f t="shared" si="29"/>
        <v>13680</v>
      </c>
      <c r="M346" s="91"/>
      <c r="N346" s="59" t="str">
        <f t="shared" si="25"/>
        <v>Inserts - Story|Behind The Boys|BB-12|Base</v>
      </c>
      <c r="O346" s="59">
        <f t="shared" si="26"/>
        <v>13680</v>
      </c>
    </row>
    <row r="347" spans="1:15" x14ac:dyDescent="0.25">
      <c r="A347" s="90" t="s">
        <v>23</v>
      </c>
      <c r="B347" s="90" t="s">
        <v>103</v>
      </c>
      <c r="C347" s="90" t="s">
        <v>688</v>
      </c>
      <c r="D347" s="91" t="s">
        <v>689</v>
      </c>
      <c r="E347" s="90" t="s">
        <v>60</v>
      </c>
      <c r="F347" s="90">
        <v>5</v>
      </c>
      <c r="G347" s="90" t="s">
        <v>183</v>
      </c>
      <c r="H347" s="90">
        <v>15</v>
      </c>
      <c r="I347" s="90">
        <f>'Odds &amp; Rarity'!$D$13</f>
        <v>1026000</v>
      </c>
      <c r="J347" s="90">
        <f t="shared" si="27"/>
        <v>13680</v>
      </c>
      <c r="K347" s="90">
        <f t="shared" si="28"/>
        <v>13680</v>
      </c>
      <c r="L347" s="90">
        <f t="shared" si="29"/>
        <v>13680</v>
      </c>
      <c r="M347" s="91"/>
      <c r="N347" s="59" t="str">
        <f t="shared" si="25"/>
        <v>Inserts - Story|Behind The Boys|BB-13|Base</v>
      </c>
      <c r="O347" s="59">
        <f t="shared" si="26"/>
        <v>13680</v>
      </c>
    </row>
    <row r="348" spans="1:15" x14ac:dyDescent="0.25">
      <c r="A348" s="90" t="s">
        <v>23</v>
      </c>
      <c r="B348" s="90" t="s">
        <v>103</v>
      </c>
      <c r="C348" s="90" t="s">
        <v>690</v>
      </c>
      <c r="D348" s="91" t="s">
        <v>691</v>
      </c>
      <c r="E348" s="90" t="s">
        <v>60</v>
      </c>
      <c r="F348" s="90">
        <v>5</v>
      </c>
      <c r="G348" s="90" t="s">
        <v>183</v>
      </c>
      <c r="H348" s="90">
        <v>15</v>
      </c>
      <c r="I348" s="90">
        <f>'Odds &amp; Rarity'!$D$13</f>
        <v>1026000</v>
      </c>
      <c r="J348" s="90">
        <f t="shared" si="27"/>
        <v>13680</v>
      </c>
      <c r="K348" s="90">
        <f t="shared" si="28"/>
        <v>13680</v>
      </c>
      <c r="L348" s="90">
        <f t="shared" si="29"/>
        <v>13680</v>
      </c>
      <c r="M348" s="91"/>
      <c r="N348" s="59" t="str">
        <f t="shared" si="25"/>
        <v>Inserts - Story|Behind The Boys|BB-14|Base</v>
      </c>
      <c r="O348" s="59">
        <f t="shared" si="26"/>
        <v>13680</v>
      </c>
    </row>
    <row r="349" spans="1:15" x14ac:dyDescent="0.25">
      <c r="A349" s="90" t="s">
        <v>23</v>
      </c>
      <c r="B349" s="90" t="s">
        <v>103</v>
      </c>
      <c r="C349" s="90" t="s">
        <v>692</v>
      </c>
      <c r="D349" s="91" t="s">
        <v>693</v>
      </c>
      <c r="E349" s="90" t="s">
        <v>60</v>
      </c>
      <c r="F349" s="90">
        <v>5</v>
      </c>
      <c r="G349" s="90" t="s">
        <v>183</v>
      </c>
      <c r="H349" s="90">
        <v>15</v>
      </c>
      <c r="I349" s="90">
        <f>'Odds &amp; Rarity'!$D$13</f>
        <v>1026000</v>
      </c>
      <c r="J349" s="90">
        <f t="shared" si="27"/>
        <v>13680</v>
      </c>
      <c r="K349" s="90">
        <f t="shared" si="28"/>
        <v>13680</v>
      </c>
      <c r="L349" s="90">
        <f t="shared" si="29"/>
        <v>13680</v>
      </c>
      <c r="M349" s="91"/>
      <c r="N349" s="59" t="str">
        <f t="shared" si="25"/>
        <v>Inserts - Story|Behind The Boys|BB-15|Base</v>
      </c>
      <c r="O349" s="59">
        <f t="shared" si="26"/>
        <v>13680</v>
      </c>
    </row>
    <row r="350" spans="1:15" x14ac:dyDescent="0.25">
      <c r="A350" s="90" t="s">
        <v>23</v>
      </c>
      <c r="B350" s="90" t="s">
        <v>103</v>
      </c>
      <c r="C350" s="90" t="s">
        <v>694</v>
      </c>
      <c r="D350" s="91" t="s">
        <v>695</v>
      </c>
      <c r="E350" s="90" t="s">
        <v>60</v>
      </c>
      <c r="F350" s="90">
        <v>5</v>
      </c>
      <c r="G350" s="90" t="s">
        <v>183</v>
      </c>
      <c r="H350" s="90">
        <v>15</v>
      </c>
      <c r="I350" s="90">
        <f>'Odds &amp; Rarity'!$D$13</f>
        <v>1026000</v>
      </c>
      <c r="J350" s="90">
        <f t="shared" si="27"/>
        <v>13680</v>
      </c>
      <c r="K350" s="90">
        <f t="shared" si="28"/>
        <v>13680</v>
      </c>
      <c r="L350" s="90">
        <f t="shared" si="29"/>
        <v>13680</v>
      </c>
      <c r="M350" s="91"/>
      <c r="N350" s="59" t="str">
        <f t="shared" si="25"/>
        <v>Inserts - Story|Behind The Boys|BB-2|Base</v>
      </c>
      <c r="O350" s="59">
        <f t="shared" si="26"/>
        <v>13680</v>
      </c>
    </row>
    <row r="351" spans="1:15" x14ac:dyDescent="0.25">
      <c r="A351" s="90" t="s">
        <v>23</v>
      </c>
      <c r="B351" s="90" t="s">
        <v>103</v>
      </c>
      <c r="C351" s="90" t="s">
        <v>696</v>
      </c>
      <c r="D351" s="91" t="s">
        <v>697</v>
      </c>
      <c r="E351" s="90" t="s">
        <v>60</v>
      </c>
      <c r="F351" s="90">
        <v>5</v>
      </c>
      <c r="G351" s="90" t="s">
        <v>183</v>
      </c>
      <c r="H351" s="90">
        <v>15</v>
      </c>
      <c r="I351" s="90">
        <f>'Odds &amp; Rarity'!$D$13</f>
        <v>1026000</v>
      </c>
      <c r="J351" s="90">
        <f t="shared" si="27"/>
        <v>13680</v>
      </c>
      <c r="K351" s="90">
        <f t="shared" si="28"/>
        <v>13680</v>
      </c>
      <c r="L351" s="90">
        <f t="shared" si="29"/>
        <v>13680</v>
      </c>
      <c r="M351" s="91"/>
      <c r="N351" s="59" t="str">
        <f t="shared" si="25"/>
        <v>Inserts - Story|Behind The Boys|BB-3|Base</v>
      </c>
      <c r="O351" s="59">
        <f t="shared" si="26"/>
        <v>13680</v>
      </c>
    </row>
    <row r="352" spans="1:15" x14ac:dyDescent="0.25">
      <c r="A352" s="90" t="s">
        <v>23</v>
      </c>
      <c r="B352" s="90" t="s">
        <v>103</v>
      </c>
      <c r="C352" s="90" t="s">
        <v>698</v>
      </c>
      <c r="D352" s="91" t="s">
        <v>689</v>
      </c>
      <c r="E352" s="90" t="s">
        <v>60</v>
      </c>
      <c r="F352" s="90">
        <v>5</v>
      </c>
      <c r="G352" s="90" t="s">
        <v>183</v>
      </c>
      <c r="H352" s="90">
        <v>15</v>
      </c>
      <c r="I352" s="90">
        <f>'Odds &amp; Rarity'!$D$13</f>
        <v>1026000</v>
      </c>
      <c r="J352" s="90">
        <f t="shared" si="27"/>
        <v>13680</v>
      </c>
      <c r="K352" s="90">
        <f t="shared" si="28"/>
        <v>13680</v>
      </c>
      <c r="L352" s="90">
        <f t="shared" si="29"/>
        <v>13680</v>
      </c>
      <c r="M352" s="91"/>
      <c r="N352" s="59" t="str">
        <f t="shared" si="25"/>
        <v>Inserts - Story|Behind The Boys|BB-4|Base</v>
      </c>
      <c r="O352" s="59">
        <f t="shared" si="26"/>
        <v>13680</v>
      </c>
    </row>
    <row r="353" spans="1:15" x14ac:dyDescent="0.25">
      <c r="A353" s="90" t="s">
        <v>23</v>
      </c>
      <c r="B353" s="90" t="s">
        <v>103</v>
      </c>
      <c r="C353" s="90" t="s">
        <v>699</v>
      </c>
      <c r="D353" s="91" t="s">
        <v>687</v>
      </c>
      <c r="E353" s="90" t="s">
        <v>60</v>
      </c>
      <c r="F353" s="90">
        <v>5</v>
      </c>
      <c r="G353" s="90" t="s">
        <v>183</v>
      </c>
      <c r="H353" s="90">
        <v>15</v>
      </c>
      <c r="I353" s="90">
        <f>'Odds &amp; Rarity'!$D$13</f>
        <v>1026000</v>
      </c>
      <c r="J353" s="90">
        <f t="shared" si="27"/>
        <v>13680</v>
      </c>
      <c r="K353" s="90">
        <f t="shared" si="28"/>
        <v>13680</v>
      </c>
      <c r="L353" s="90">
        <f t="shared" si="29"/>
        <v>13680</v>
      </c>
      <c r="M353" s="91"/>
      <c r="N353" s="59" t="str">
        <f t="shared" si="25"/>
        <v>Inserts - Story|Behind The Boys|BB-5|Base</v>
      </c>
      <c r="O353" s="59">
        <f t="shared" si="26"/>
        <v>13680</v>
      </c>
    </row>
    <row r="354" spans="1:15" x14ac:dyDescent="0.25">
      <c r="A354" s="90" t="s">
        <v>23</v>
      </c>
      <c r="B354" s="90" t="s">
        <v>103</v>
      </c>
      <c r="C354" s="90" t="s">
        <v>700</v>
      </c>
      <c r="D354" s="91" t="s">
        <v>701</v>
      </c>
      <c r="E354" s="90" t="s">
        <v>60</v>
      </c>
      <c r="F354" s="90">
        <v>5</v>
      </c>
      <c r="G354" s="90" t="s">
        <v>183</v>
      </c>
      <c r="H354" s="90">
        <v>15</v>
      </c>
      <c r="I354" s="90">
        <f>'Odds &amp; Rarity'!$D$13</f>
        <v>1026000</v>
      </c>
      <c r="J354" s="90">
        <f t="shared" si="27"/>
        <v>13680</v>
      </c>
      <c r="K354" s="90">
        <f t="shared" si="28"/>
        <v>13680</v>
      </c>
      <c r="L354" s="90">
        <f t="shared" si="29"/>
        <v>13680</v>
      </c>
      <c r="M354" s="91"/>
      <c r="N354" s="59" t="str">
        <f t="shared" si="25"/>
        <v>Inserts - Story|Behind The Boys|BB-6|Base</v>
      </c>
      <c r="O354" s="59">
        <f t="shared" si="26"/>
        <v>13680</v>
      </c>
    </row>
    <row r="355" spans="1:15" x14ac:dyDescent="0.25">
      <c r="A355" s="90" t="s">
        <v>23</v>
      </c>
      <c r="B355" s="90" t="s">
        <v>103</v>
      </c>
      <c r="C355" s="90" t="s">
        <v>702</v>
      </c>
      <c r="D355" s="91" t="s">
        <v>703</v>
      </c>
      <c r="E355" s="90" t="s">
        <v>60</v>
      </c>
      <c r="F355" s="90">
        <v>5</v>
      </c>
      <c r="G355" s="90" t="s">
        <v>183</v>
      </c>
      <c r="H355" s="90">
        <v>15</v>
      </c>
      <c r="I355" s="90">
        <f>'Odds &amp; Rarity'!$D$13</f>
        <v>1026000</v>
      </c>
      <c r="J355" s="90">
        <f t="shared" si="27"/>
        <v>13680</v>
      </c>
      <c r="K355" s="90">
        <f t="shared" si="28"/>
        <v>13680</v>
      </c>
      <c r="L355" s="90">
        <f t="shared" si="29"/>
        <v>13680</v>
      </c>
      <c r="M355" s="91"/>
      <c r="N355" s="59" t="str">
        <f t="shared" si="25"/>
        <v>Inserts - Story|Behind The Boys|BB-7|Base</v>
      </c>
      <c r="O355" s="59">
        <f t="shared" si="26"/>
        <v>13680</v>
      </c>
    </row>
    <row r="356" spans="1:15" x14ac:dyDescent="0.25">
      <c r="A356" s="90" t="s">
        <v>23</v>
      </c>
      <c r="B356" s="90" t="s">
        <v>103</v>
      </c>
      <c r="C356" s="90" t="s">
        <v>704</v>
      </c>
      <c r="D356" s="91" t="s">
        <v>705</v>
      </c>
      <c r="E356" s="90" t="s">
        <v>60</v>
      </c>
      <c r="F356" s="90">
        <v>5</v>
      </c>
      <c r="G356" s="90" t="s">
        <v>183</v>
      </c>
      <c r="H356" s="90">
        <v>15</v>
      </c>
      <c r="I356" s="90">
        <f>'Odds &amp; Rarity'!$D$13</f>
        <v>1026000</v>
      </c>
      <c r="J356" s="90">
        <f t="shared" si="27"/>
        <v>13680</v>
      </c>
      <c r="K356" s="90">
        <f t="shared" si="28"/>
        <v>13680</v>
      </c>
      <c r="L356" s="90">
        <f t="shared" si="29"/>
        <v>13680</v>
      </c>
      <c r="M356" s="91"/>
      <c r="N356" s="59" t="str">
        <f t="shared" si="25"/>
        <v>Inserts - Story|Behind The Boys|BB-8|Base</v>
      </c>
      <c r="O356" s="59">
        <f t="shared" si="26"/>
        <v>13680</v>
      </c>
    </row>
    <row r="357" spans="1:15" x14ac:dyDescent="0.25">
      <c r="A357" s="90" t="s">
        <v>23</v>
      </c>
      <c r="B357" s="90" t="s">
        <v>103</v>
      </c>
      <c r="C357" s="90" t="s">
        <v>706</v>
      </c>
      <c r="D357" s="91" t="s">
        <v>707</v>
      </c>
      <c r="E357" s="90" t="s">
        <v>60</v>
      </c>
      <c r="F357" s="90">
        <v>5</v>
      </c>
      <c r="G357" s="90" t="s">
        <v>183</v>
      </c>
      <c r="H357" s="90">
        <v>15</v>
      </c>
      <c r="I357" s="90">
        <f>'Odds &amp; Rarity'!$D$13</f>
        <v>1026000</v>
      </c>
      <c r="J357" s="90">
        <f t="shared" si="27"/>
        <v>13680</v>
      </c>
      <c r="K357" s="90">
        <f t="shared" si="28"/>
        <v>13680</v>
      </c>
      <c r="L357" s="90">
        <f t="shared" si="29"/>
        <v>13680</v>
      </c>
      <c r="M357" s="91"/>
      <c r="N357" s="59" t="str">
        <f t="shared" si="25"/>
        <v>Inserts - Story|Behind The Boys|BB-9|Base</v>
      </c>
      <c r="O357" s="59">
        <f t="shared" si="26"/>
        <v>13680</v>
      </c>
    </row>
    <row r="358" spans="1:15" x14ac:dyDescent="0.25">
      <c r="A358" s="90" t="s">
        <v>23</v>
      </c>
      <c r="B358" s="90" t="s">
        <v>105</v>
      </c>
      <c r="C358" s="90" t="s">
        <v>708</v>
      </c>
      <c r="D358" s="91" t="s">
        <v>709</v>
      </c>
      <c r="E358" s="90" t="s">
        <v>60</v>
      </c>
      <c r="F358" s="90">
        <v>5</v>
      </c>
      <c r="G358" s="90" t="s">
        <v>183</v>
      </c>
      <c r="H358" s="90">
        <v>15</v>
      </c>
      <c r="I358" s="90">
        <f>'Odds &amp; Rarity'!$D$13</f>
        <v>1026000</v>
      </c>
      <c r="J358" s="90">
        <f t="shared" si="27"/>
        <v>13680</v>
      </c>
      <c r="K358" s="90">
        <f t="shared" si="28"/>
        <v>13680</v>
      </c>
      <c r="L358" s="90">
        <f t="shared" si="29"/>
        <v>13680</v>
      </c>
      <c r="M358" s="91"/>
      <c r="N358" s="59" t="str">
        <f t="shared" si="25"/>
        <v>Inserts - Story|In Memory Of...|IMO-1|Base</v>
      </c>
      <c r="O358" s="59">
        <f t="shared" si="26"/>
        <v>13680</v>
      </c>
    </row>
    <row r="359" spans="1:15" x14ac:dyDescent="0.25">
      <c r="A359" s="90" t="s">
        <v>23</v>
      </c>
      <c r="B359" s="90" t="s">
        <v>105</v>
      </c>
      <c r="C359" s="90" t="s">
        <v>710</v>
      </c>
      <c r="D359" s="91" t="s">
        <v>458</v>
      </c>
      <c r="E359" s="90" t="s">
        <v>60</v>
      </c>
      <c r="F359" s="90">
        <v>5</v>
      </c>
      <c r="G359" s="90" t="s">
        <v>183</v>
      </c>
      <c r="H359" s="90">
        <v>15</v>
      </c>
      <c r="I359" s="90">
        <f>'Odds &amp; Rarity'!$D$13</f>
        <v>1026000</v>
      </c>
      <c r="J359" s="90">
        <f t="shared" si="27"/>
        <v>13680</v>
      </c>
      <c r="K359" s="90">
        <f t="shared" si="28"/>
        <v>13680</v>
      </c>
      <c r="L359" s="90">
        <f t="shared" si="29"/>
        <v>13680</v>
      </c>
      <c r="M359" s="91"/>
      <c r="N359" s="59" t="str">
        <f t="shared" si="25"/>
        <v>Inserts - Story|In Memory Of...|IMO-10|Base</v>
      </c>
      <c r="O359" s="59">
        <f t="shared" si="26"/>
        <v>13680</v>
      </c>
    </row>
    <row r="360" spans="1:15" x14ac:dyDescent="0.25">
      <c r="A360" s="90" t="s">
        <v>23</v>
      </c>
      <c r="B360" s="90" t="s">
        <v>105</v>
      </c>
      <c r="C360" s="90" t="s">
        <v>711</v>
      </c>
      <c r="D360" s="91" t="s">
        <v>712</v>
      </c>
      <c r="E360" s="90" t="s">
        <v>60</v>
      </c>
      <c r="F360" s="90">
        <v>5</v>
      </c>
      <c r="G360" s="90" t="s">
        <v>183</v>
      </c>
      <c r="H360" s="90">
        <v>15</v>
      </c>
      <c r="I360" s="90">
        <f>'Odds &amp; Rarity'!$D$13</f>
        <v>1026000</v>
      </c>
      <c r="J360" s="90">
        <f t="shared" si="27"/>
        <v>13680</v>
      </c>
      <c r="K360" s="90">
        <f t="shared" si="28"/>
        <v>13680</v>
      </c>
      <c r="L360" s="90">
        <f t="shared" si="29"/>
        <v>13680</v>
      </c>
      <c r="M360" s="91"/>
      <c r="N360" s="59" t="str">
        <f t="shared" si="25"/>
        <v>Inserts - Story|In Memory Of...|IMO-11|Base</v>
      </c>
      <c r="O360" s="59">
        <f t="shared" si="26"/>
        <v>13680</v>
      </c>
    </row>
    <row r="361" spans="1:15" x14ac:dyDescent="0.25">
      <c r="A361" s="90" t="s">
        <v>23</v>
      </c>
      <c r="B361" s="90" t="s">
        <v>105</v>
      </c>
      <c r="C361" s="90" t="s">
        <v>713</v>
      </c>
      <c r="D361" s="91" t="s">
        <v>714</v>
      </c>
      <c r="E361" s="90" t="s">
        <v>60</v>
      </c>
      <c r="F361" s="90">
        <v>5</v>
      </c>
      <c r="G361" s="90" t="s">
        <v>183</v>
      </c>
      <c r="H361" s="90">
        <v>15</v>
      </c>
      <c r="I361" s="90">
        <f>'Odds &amp; Rarity'!$D$13</f>
        <v>1026000</v>
      </c>
      <c r="J361" s="90">
        <f t="shared" si="27"/>
        <v>13680</v>
      </c>
      <c r="K361" s="90">
        <f t="shared" si="28"/>
        <v>13680</v>
      </c>
      <c r="L361" s="90">
        <f t="shared" si="29"/>
        <v>13680</v>
      </c>
      <c r="M361" s="91"/>
      <c r="N361" s="59" t="str">
        <f t="shared" si="25"/>
        <v>Inserts - Story|In Memory Of...|IMO-12|Base</v>
      </c>
      <c r="O361" s="59">
        <f t="shared" si="26"/>
        <v>13680</v>
      </c>
    </row>
    <row r="362" spans="1:15" x14ac:dyDescent="0.25">
      <c r="A362" s="90" t="s">
        <v>23</v>
      </c>
      <c r="B362" s="90" t="s">
        <v>105</v>
      </c>
      <c r="C362" s="90" t="s">
        <v>715</v>
      </c>
      <c r="D362" s="91" t="s">
        <v>716</v>
      </c>
      <c r="E362" s="90" t="s">
        <v>60</v>
      </c>
      <c r="F362" s="90">
        <v>5</v>
      </c>
      <c r="G362" s="90" t="s">
        <v>183</v>
      </c>
      <c r="H362" s="90">
        <v>15</v>
      </c>
      <c r="I362" s="90">
        <f>'Odds &amp; Rarity'!$D$13</f>
        <v>1026000</v>
      </c>
      <c r="J362" s="90">
        <f t="shared" si="27"/>
        <v>13680</v>
      </c>
      <c r="K362" s="90">
        <f t="shared" si="28"/>
        <v>13680</v>
      </c>
      <c r="L362" s="90">
        <f t="shared" si="29"/>
        <v>13680</v>
      </c>
      <c r="M362" s="91"/>
      <c r="N362" s="59" t="str">
        <f t="shared" si="25"/>
        <v>Inserts - Story|In Memory Of...|IMO-13|Base</v>
      </c>
      <c r="O362" s="59">
        <f t="shared" si="26"/>
        <v>13680</v>
      </c>
    </row>
    <row r="363" spans="1:15" x14ac:dyDescent="0.25">
      <c r="A363" s="90" t="s">
        <v>23</v>
      </c>
      <c r="B363" s="90" t="s">
        <v>105</v>
      </c>
      <c r="C363" s="90" t="s">
        <v>717</v>
      </c>
      <c r="D363" s="91" t="s">
        <v>718</v>
      </c>
      <c r="E363" s="90" t="s">
        <v>60</v>
      </c>
      <c r="F363" s="90">
        <v>5</v>
      </c>
      <c r="G363" s="90" t="s">
        <v>183</v>
      </c>
      <c r="H363" s="90">
        <v>15</v>
      </c>
      <c r="I363" s="90">
        <f>'Odds &amp; Rarity'!$D$13</f>
        <v>1026000</v>
      </c>
      <c r="J363" s="90">
        <f t="shared" si="27"/>
        <v>13680</v>
      </c>
      <c r="K363" s="90">
        <f t="shared" si="28"/>
        <v>13680</v>
      </c>
      <c r="L363" s="90">
        <f t="shared" si="29"/>
        <v>13680</v>
      </c>
      <c r="M363" s="91"/>
      <c r="N363" s="59" t="str">
        <f t="shared" si="25"/>
        <v>Inserts - Story|In Memory Of...|IMO-14|Base</v>
      </c>
      <c r="O363" s="59">
        <f t="shared" si="26"/>
        <v>13680</v>
      </c>
    </row>
    <row r="364" spans="1:15" x14ac:dyDescent="0.25">
      <c r="A364" s="90" t="s">
        <v>23</v>
      </c>
      <c r="B364" s="90" t="s">
        <v>105</v>
      </c>
      <c r="C364" s="90" t="s">
        <v>719</v>
      </c>
      <c r="D364" s="91" t="s">
        <v>714</v>
      </c>
      <c r="E364" s="90" t="s">
        <v>60</v>
      </c>
      <c r="F364" s="90">
        <v>5</v>
      </c>
      <c r="G364" s="90" t="s">
        <v>183</v>
      </c>
      <c r="H364" s="90">
        <v>15</v>
      </c>
      <c r="I364" s="90">
        <f>'Odds &amp; Rarity'!$D$13</f>
        <v>1026000</v>
      </c>
      <c r="J364" s="90">
        <f t="shared" si="27"/>
        <v>13680</v>
      </c>
      <c r="K364" s="90">
        <f t="shared" si="28"/>
        <v>13680</v>
      </c>
      <c r="L364" s="90">
        <f t="shared" si="29"/>
        <v>13680</v>
      </c>
      <c r="M364" s="91"/>
      <c r="N364" s="59" t="str">
        <f t="shared" si="25"/>
        <v>Inserts - Story|In Memory Of...|IMO-15|Base</v>
      </c>
      <c r="O364" s="59">
        <f t="shared" si="26"/>
        <v>13680</v>
      </c>
    </row>
    <row r="365" spans="1:15" x14ac:dyDescent="0.25">
      <c r="A365" s="90" t="s">
        <v>23</v>
      </c>
      <c r="B365" s="90" t="s">
        <v>105</v>
      </c>
      <c r="C365" s="90" t="s">
        <v>720</v>
      </c>
      <c r="D365" s="91" t="s">
        <v>446</v>
      </c>
      <c r="E365" s="90" t="s">
        <v>60</v>
      </c>
      <c r="F365" s="90">
        <v>5</v>
      </c>
      <c r="G365" s="90" t="s">
        <v>183</v>
      </c>
      <c r="H365" s="90">
        <v>15</v>
      </c>
      <c r="I365" s="90">
        <f>'Odds &amp; Rarity'!$D$13</f>
        <v>1026000</v>
      </c>
      <c r="J365" s="90">
        <f t="shared" si="27"/>
        <v>13680</v>
      </c>
      <c r="K365" s="90">
        <f t="shared" si="28"/>
        <v>13680</v>
      </c>
      <c r="L365" s="90">
        <f t="shared" si="29"/>
        <v>13680</v>
      </c>
      <c r="M365" s="91"/>
      <c r="N365" s="59" t="str">
        <f t="shared" si="25"/>
        <v>Inserts - Story|In Memory Of...|IMO-2|Base</v>
      </c>
      <c r="O365" s="59">
        <f t="shared" si="26"/>
        <v>13680</v>
      </c>
    </row>
    <row r="366" spans="1:15" x14ac:dyDescent="0.25">
      <c r="A366" s="90" t="s">
        <v>23</v>
      </c>
      <c r="B366" s="90" t="s">
        <v>105</v>
      </c>
      <c r="C366" s="90" t="s">
        <v>721</v>
      </c>
      <c r="D366" s="91" t="s">
        <v>444</v>
      </c>
      <c r="E366" s="90" t="s">
        <v>60</v>
      </c>
      <c r="F366" s="90">
        <v>5</v>
      </c>
      <c r="G366" s="90" t="s">
        <v>183</v>
      </c>
      <c r="H366" s="90">
        <v>15</v>
      </c>
      <c r="I366" s="90">
        <f>'Odds &amp; Rarity'!$D$13</f>
        <v>1026000</v>
      </c>
      <c r="J366" s="90">
        <f t="shared" si="27"/>
        <v>13680</v>
      </c>
      <c r="K366" s="90">
        <f t="shared" si="28"/>
        <v>13680</v>
      </c>
      <c r="L366" s="90">
        <f t="shared" si="29"/>
        <v>13680</v>
      </c>
      <c r="M366" s="91"/>
      <c r="N366" s="59" t="str">
        <f t="shared" si="25"/>
        <v>Inserts - Story|In Memory Of...|IMO-3|Base</v>
      </c>
      <c r="O366" s="59">
        <f t="shared" si="26"/>
        <v>13680</v>
      </c>
    </row>
    <row r="367" spans="1:15" x14ac:dyDescent="0.25">
      <c r="A367" s="90" t="s">
        <v>23</v>
      </c>
      <c r="B367" s="90" t="s">
        <v>105</v>
      </c>
      <c r="C367" s="90" t="s">
        <v>722</v>
      </c>
      <c r="D367" s="91" t="s">
        <v>723</v>
      </c>
      <c r="E367" s="90" t="s">
        <v>60</v>
      </c>
      <c r="F367" s="90">
        <v>5</v>
      </c>
      <c r="G367" s="90" t="s">
        <v>183</v>
      </c>
      <c r="H367" s="90">
        <v>15</v>
      </c>
      <c r="I367" s="90">
        <f>'Odds &amp; Rarity'!$D$13</f>
        <v>1026000</v>
      </c>
      <c r="J367" s="90">
        <f t="shared" si="27"/>
        <v>13680</v>
      </c>
      <c r="K367" s="90">
        <f t="shared" si="28"/>
        <v>13680</v>
      </c>
      <c r="L367" s="90">
        <f t="shared" si="29"/>
        <v>13680</v>
      </c>
      <c r="M367" s="91"/>
      <c r="N367" s="59" t="str">
        <f t="shared" si="25"/>
        <v>Inserts - Story|In Memory Of...|IMO-4|Base</v>
      </c>
      <c r="O367" s="59">
        <f t="shared" si="26"/>
        <v>13680</v>
      </c>
    </row>
    <row r="368" spans="1:15" x14ac:dyDescent="0.25">
      <c r="A368" s="90" t="s">
        <v>23</v>
      </c>
      <c r="B368" s="90" t="s">
        <v>105</v>
      </c>
      <c r="C368" s="90" t="s">
        <v>724</v>
      </c>
      <c r="D368" s="91" t="s">
        <v>352</v>
      </c>
      <c r="E368" s="90" t="s">
        <v>60</v>
      </c>
      <c r="F368" s="90">
        <v>5</v>
      </c>
      <c r="G368" s="90" t="s">
        <v>183</v>
      </c>
      <c r="H368" s="90">
        <v>15</v>
      </c>
      <c r="I368" s="90">
        <f>'Odds &amp; Rarity'!$D$13</f>
        <v>1026000</v>
      </c>
      <c r="J368" s="90">
        <f t="shared" si="27"/>
        <v>13680</v>
      </c>
      <c r="K368" s="90">
        <f t="shared" si="28"/>
        <v>13680</v>
      </c>
      <c r="L368" s="90">
        <f t="shared" si="29"/>
        <v>13680</v>
      </c>
      <c r="M368" s="91"/>
      <c r="N368" s="59" t="str">
        <f t="shared" si="25"/>
        <v>Inserts - Story|In Memory Of...|IMO-5|Base</v>
      </c>
      <c r="O368" s="59">
        <f t="shared" si="26"/>
        <v>13680</v>
      </c>
    </row>
    <row r="369" spans="1:15" x14ac:dyDescent="0.25">
      <c r="A369" s="90" t="s">
        <v>23</v>
      </c>
      <c r="B369" s="90" t="s">
        <v>105</v>
      </c>
      <c r="C369" s="90" t="s">
        <v>725</v>
      </c>
      <c r="D369" s="91" t="s">
        <v>542</v>
      </c>
      <c r="E369" s="90" t="s">
        <v>60</v>
      </c>
      <c r="F369" s="90">
        <v>5</v>
      </c>
      <c r="G369" s="90" t="s">
        <v>183</v>
      </c>
      <c r="H369" s="90">
        <v>15</v>
      </c>
      <c r="I369" s="90">
        <f>'Odds &amp; Rarity'!$D$13</f>
        <v>1026000</v>
      </c>
      <c r="J369" s="90">
        <f t="shared" si="27"/>
        <v>13680</v>
      </c>
      <c r="K369" s="90">
        <f t="shared" si="28"/>
        <v>13680</v>
      </c>
      <c r="L369" s="90">
        <f t="shared" si="29"/>
        <v>13680</v>
      </c>
      <c r="M369" s="91"/>
      <c r="N369" s="59" t="str">
        <f t="shared" si="25"/>
        <v>Inserts - Story|In Memory Of...|IMO-6|Base</v>
      </c>
      <c r="O369" s="59">
        <f t="shared" si="26"/>
        <v>13680</v>
      </c>
    </row>
    <row r="370" spans="1:15" x14ac:dyDescent="0.25">
      <c r="A370" s="90" t="s">
        <v>23</v>
      </c>
      <c r="B370" s="90" t="s">
        <v>105</v>
      </c>
      <c r="C370" s="90" t="s">
        <v>726</v>
      </c>
      <c r="D370" s="91" t="s">
        <v>352</v>
      </c>
      <c r="E370" s="90" t="s">
        <v>60</v>
      </c>
      <c r="F370" s="90">
        <v>5</v>
      </c>
      <c r="G370" s="90" t="s">
        <v>183</v>
      </c>
      <c r="H370" s="90">
        <v>15</v>
      </c>
      <c r="I370" s="90">
        <f>'Odds &amp; Rarity'!$D$13</f>
        <v>1026000</v>
      </c>
      <c r="J370" s="90">
        <f t="shared" si="27"/>
        <v>13680</v>
      </c>
      <c r="K370" s="90">
        <f t="shared" si="28"/>
        <v>13680</v>
      </c>
      <c r="L370" s="90">
        <f t="shared" si="29"/>
        <v>13680</v>
      </c>
      <c r="M370" s="91"/>
      <c r="N370" s="59" t="str">
        <f t="shared" si="25"/>
        <v>Inserts - Story|In Memory Of...|IMO-7|Base</v>
      </c>
      <c r="O370" s="59">
        <f t="shared" si="26"/>
        <v>13680</v>
      </c>
    </row>
    <row r="371" spans="1:15" x14ac:dyDescent="0.25">
      <c r="A371" s="90" t="s">
        <v>23</v>
      </c>
      <c r="B371" s="90" t="s">
        <v>105</v>
      </c>
      <c r="C371" s="90" t="s">
        <v>727</v>
      </c>
      <c r="D371" s="91" t="s">
        <v>537</v>
      </c>
      <c r="E371" s="90" t="s">
        <v>60</v>
      </c>
      <c r="F371" s="90">
        <v>5</v>
      </c>
      <c r="G371" s="90" t="s">
        <v>183</v>
      </c>
      <c r="H371" s="90">
        <v>15</v>
      </c>
      <c r="I371" s="90">
        <f>'Odds &amp; Rarity'!$D$13</f>
        <v>1026000</v>
      </c>
      <c r="J371" s="90">
        <f t="shared" si="27"/>
        <v>13680</v>
      </c>
      <c r="K371" s="90">
        <f t="shared" si="28"/>
        <v>13680</v>
      </c>
      <c r="L371" s="90">
        <f t="shared" si="29"/>
        <v>13680</v>
      </c>
      <c r="M371" s="91"/>
      <c r="N371" s="59" t="str">
        <f t="shared" si="25"/>
        <v>Inserts - Story|In Memory Of...|IMO-8|Base</v>
      </c>
      <c r="O371" s="59">
        <f t="shared" si="26"/>
        <v>13680</v>
      </c>
    </row>
    <row r="372" spans="1:15" x14ac:dyDescent="0.25">
      <c r="A372" s="90" t="s">
        <v>23</v>
      </c>
      <c r="B372" s="90" t="s">
        <v>105</v>
      </c>
      <c r="C372" s="90" t="s">
        <v>728</v>
      </c>
      <c r="D372" s="91" t="s">
        <v>441</v>
      </c>
      <c r="E372" s="90" t="s">
        <v>60</v>
      </c>
      <c r="F372" s="90">
        <v>5</v>
      </c>
      <c r="G372" s="90" t="s">
        <v>183</v>
      </c>
      <c r="H372" s="90">
        <v>15</v>
      </c>
      <c r="I372" s="90">
        <f>'Odds &amp; Rarity'!$D$13</f>
        <v>1026000</v>
      </c>
      <c r="J372" s="90">
        <f t="shared" si="27"/>
        <v>13680</v>
      </c>
      <c r="K372" s="90">
        <f t="shared" si="28"/>
        <v>13680</v>
      </c>
      <c r="L372" s="90">
        <f t="shared" si="29"/>
        <v>13680</v>
      </c>
      <c r="M372" s="91"/>
      <c r="N372" s="59" t="str">
        <f t="shared" si="25"/>
        <v>Inserts - Story|In Memory Of...|IMO-9|Base</v>
      </c>
      <c r="O372" s="59">
        <f t="shared" si="26"/>
        <v>13680</v>
      </c>
    </row>
    <row r="373" spans="1:15" x14ac:dyDescent="0.25">
      <c r="A373" s="90" t="s">
        <v>23</v>
      </c>
      <c r="B373" s="90" t="s">
        <v>107</v>
      </c>
      <c r="C373" s="90" t="s">
        <v>729</v>
      </c>
      <c r="D373" s="91" t="s">
        <v>337</v>
      </c>
      <c r="E373" s="90" t="s">
        <v>60</v>
      </c>
      <c r="F373" s="90">
        <v>5</v>
      </c>
      <c r="G373" s="90" t="s">
        <v>183</v>
      </c>
      <c r="H373" s="90">
        <v>15</v>
      </c>
      <c r="I373" s="90">
        <f>'Odds &amp; Rarity'!$D$13</f>
        <v>1026000</v>
      </c>
      <c r="J373" s="90">
        <f t="shared" si="27"/>
        <v>13680</v>
      </c>
      <c r="K373" s="90">
        <f t="shared" si="28"/>
        <v>13680</v>
      </c>
      <c r="L373" s="90">
        <f t="shared" si="29"/>
        <v>13680</v>
      </c>
      <c r="M373" s="91"/>
      <c r="N373" s="59" t="str">
        <f t="shared" si="25"/>
        <v>Inserts - Story|Quotes|Q-1|Base</v>
      </c>
      <c r="O373" s="59">
        <f t="shared" si="26"/>
        <v>13680</v>
      </c>
    </row>
    <row r="374" spans="1:15" x14ac:dyDescent="0.25">
      <c r="A374" s="90" t="s">
        <v>23</v>
      </c>
      <c r="B374" s="90" t="s">
        <v>107</v>
      </c>
      <c r="C374" s="90" t="s">
        <v>730</v>
      </c>
      <c r="D374" s="91" t="s">
        <v>446</v>
      </c>
      <c r="E374" s="90" t="s">
        <v>60</v>
      </c>
      <c r="F374" s="90">
        <v>5</v>
      </c>
      <c r="G374" s="90" t="s">
        <v>183</v>
      </c>
      <c r="H374" s="90">
        <v>15</v>
      </c>
      <c r="I374" s="90">
        <f>'Odds &amp; Rarity'!$D$13</f>
        <v>1026000</v>
      </c>
      <c r="J374" s="90">
        <f t="shared" si="27"/>
        <v>13680</v>
      </c>
      <c r="K374" s="90">
        <f t="shared" si="28"/>
        <v>13680</v>
      </c>
      <c r="L374" s="90">
        <f t="shared" si="29"/>
        <v>13680</v>
      </c>
      <c r="M374" s="91"/>
      <c r="N374" s="59" t="str">
        <f t="shared" si="25"/>
        <v>Inserts - Story|Quotes|Q-10|Base</v>
      </c>
      <c r="O374" s="59">
        <f t="shared" si="26"/>
        <v>13680</v>
      </c>
    </row>
    <row r="375" spans="1:15" x14ac:dyDescent="0.25">
      <c r="A375" s="90" t="s">
        <v>23</v>
      </c>
      <c r="B375" s="90" t="s">
        <v>107</v>
      </c>
      <c r="C375" s="90" t="s">
        <v>731</v>
      </c>
      <c r="D375" s="91" t="s">
        <v>537</v>
      </c>
      <c r="E375" s="90" t="s">
        <v>60</v>
      </c>
      <c r="F375" s="90">
        <v>5</v>
      </c>
      <c r="G375" s="90" t="s">
        <v>183</v>
      </c>
      <c r="H375" s="90">
        <v>15</v>
      </c>
      <c r="I375" s="90">
        <f>'Odds &amp; Rarity'!$D$13</f>
        <v>1026000</v>
      </c>
      <c r="J375" s="90">
        <f t="shared" si="27"/>
        <v>13680</v>
      </c>
      <c r="K375" s="90">
        <f t="shared" si="28"/>
        <v>13680</v>
      </c>
      <c r="L375" s="90">
        <f t="shared" si="29"/>
        <v>13680</v>
      </c>
      <c r="M375" s="91"/>
      <c r="N375" s="59" t="str">
        <f t="shared" si="25"/>
        <v>Inserts - Story|Quotes|Q-11|Base</v>
      </c>
      <c r="O375" s="59">
        <f t="shared" si="26"/>
        <v>13680</v>
      </c>
    </row>
    <row r="376" spans="1:15" x14ac:dyDescent="0.25">
      <c r="A376" s="90" t="s">
        <v>23</v>
      </c>
      <c r="B376" s="90" t="s">
        <v>107</v>
      </c>
      <c r="C376" s="90" t="s">
        <v>732</v>
      </c>
      <c r="D376" s="91" t="s">
        <v>343</v>
      </c>
      <c r="E376" s="90" t="s">
        <v>60</v>
      </c>
      <c r="F376" s="90">
        <v>5</v>
      </c>
      <c r="G376" s="90" t="s">
        <v>183</v>
      </c>
      <c r="H376" s="90">
        <v>15</v>
      </c>
      <c r="I376" s="90">
        <f>'Odds &amp; Rarity'!$D$13</f>
        <v>1026000</v>
      </c>
      <c r="J376" s="90">
        <f t="shared" si="27"/>
        <v>13680</v>
      </c>
      <c r="K376" s="90">
        <f t="shared" si="28"/>
        <v>13680</v>
      </c>
      <c r="L376" s="90">
        <f t="shared" si="29"/>
        <v>13680</v>
      </c>
      <c r="M376" s="91"/>
      <c r="N376" s="59" t="str">
        <f t="shared" si="25"/>
        <v>Inserts - Story|Quotes|Q-12|Base</v>
      </c>
      <c r="O376" s="59">
        <f t="shared" si="26"/>
        <v>13680</v>
      </c>
    </row>
    <row r="377" spans="1:15" x14ac:dyDescent="0.25">
      <c r="A377" s="90" t="s">
        <v>23</v>
      </c>
      <c r="B377" s="90" t="s">
        <v>107</v>
      </c>
      <c r="C377" s="90" t="s">
        <v>733</v>
      </c>
      <c r="D377" s="91" t="s">
        <v>441</v>
      </c>
      <c r="E377" s="90" t="s">
        <v>60</v>
      </c>
      <c r="F377" s="90">
        <v>5</v>
      </c>
      <c r="G377" s="90" t="s">
        <v>183</v>
      </c>
      <c r="H377" s="90">
        <v>15</v>
      </c>
      <c r="I377" s="90">
        <f>'Odds &amp; Rarity'!$D$13</f>
        <v>1026000</v>
      </c>
      <c r="J377" s="90">
        <f t="shared" si="27"/>
        <v>13680</v>
      </c>
      <c r="K377" s="90">
        <f t="shared" si="28"/>
        <v>13680</v>
      </c>
      <c r="L377" s="90">
        <f t="shared" si="29"/>
        <v>13680</v>
      </c>
      <c r="M377" s="91"/>
      <c r="N377" s="59" t="str">
        <f t="shared" si="25"/>
        <v>Inserts - Story|Quotes|Q-13|Base</v>
      </c>
      <c r="O377" s="59">
        <f t="shared" si="26"/>
        <v>13680</v>
      </c>
    </row>
    <row r="378" spans="1:15" x14ac:dyDescent="0.25">
      <c r="A378" s="90" t="s">
        <v>23</v>
      </c>
      <c r="B378" s="90" t="s">
        <v>107</v>
      </c>
      <c r="C378" s="90" t="s">
        <v>734</v>
      </c>
      <c r="D378" s="91" t="s">
        <v>387</v>
      </c>
      <c r="E378" s="90" t="s">
        <v>60</v>
      </c>
      <c r="F378" s="90">
        <v>5</v>
      </c>
      <c r="G378" s="90" t="s">
        <v>183</v>
      </c>
      <c r="H378" s="90">
        <v>15</v>
      </c>
      <c r="I378" s="90">
        <f>'Odds &amp; Rarity'!$D$13</f>
        <v>1026000</v>
      </c>
      <c r="J378" s="90">
        <f t="shared" si="27"/>
        <v>13680</v>
      </c>
      <c r="K378" s="90">
        <f t="shared" si="28"/>
        <v>13680</v>
      </c>
      <c r="L378" s="90">
        <f t="shared" si="29"/>
        <v>13680</v>
      </c>
      <c r="M378" s="91"/>
      <c r="N378" s="59" t="str">
        <f t="shared" si="25"/>
        <v>Inserts - Story|Quotes|Q-14|Base</v>
      </c>
      <c r="O378" s="59">
        <f t="shared" si="26"/>
        <v>13680</v>
      </c>
    </row>
    <row r="379" spans="1:15" x14ac:dyDescent="0.25">
      <c r="A379" s="90" t="s">
        <v>23</v>
      </c>
      <c r="B379" s="90" t="s">
        <v>107</v>
      </c>
      <c r="C379" s="90" t="s">
        <v>735</v>
      </c>
      <c r="D379" s="91" t="s">
        <v>339</v>
      </c>
      <c r="E379" s="90" t="s">
        <v>60</v>
      </c>
      <c r="F379" s="90">
        <v>5</v>
      </c>
      <c r="G379" s="90" t="s">
        <v>183</v>
      </c>
      <c r="H379" s="90">
        <v>15</v>
      </c>
      <c r="I379" s="90">
        <f>'Odds &amp; Rarity'!$D$13</f>
        <v>1026000</v>
      </c>
      <c r="J379" s="90">
        <f t="shared" si="27"/>
        <v>13680</v>
      </c>
      <c r="K379" s="90">
        <f t="shared" si="28"/>
        <v>13680</v>
      </c>
      <c r="L379" s="90">
        <f t="shared" si="29"/>
        <v>13680</v>
      </c>
      <c r="M379" s="91"/>
      <c r="N379" s="59" t="str">
        <f t="shared" si="25"/>
        <v>Inserts - Story|Quotes|Q-15|Base</v>
      </c>
      <c r="O379" s="59">
        <f t="shared" si="26"/>
        <v>13680</v>
      </c>
    </row>
    <row r="380" spans="1:15" x14ac:dyDescent="0.25">
      <c r="A380" s="90" t="s">
        <v>23</v>
      </c>
      <c r="B380" s="90" t="s">
        <v>107</v>
      </c>
      <c r="C380" s="90" t="s">
        <v>736</v>
      </c>
      <c r="D380" s="91" t="s">
        <v>341</v>
      </c>
      <c r="E380" s="90" t="s">
        <v>60</v>
      </c>
      <c r="F380" s="90">
        <v>5</v>
      </c>
      <c r="G380" s="90" t="s">
        <v>183</v>
      </c>
      <c r="H380" s="90">
        <v>15</v>
      </c>
      <c r="I380" s="90">
        <f>'Odds &amp; Rarity'!$D$13</f>
        <v>1026000</v>
      </c>
      <c r="J380" s="90">
        <f t="shared" si="27"/>
        <v>13680</v>
      </c>
      <c r="K380" s="90">
        <f t="shared" si="28"/>
        <v>13680</v>
      </c>
      <c r="L380" s="90">
        <f t="shared" si="29"/>
        <v>13680</v>
      </c>
      <c r="M380" s="91"/>
      <c r="N380" s="59" t="str">
        <f t="shared" si="25"/>
        <v>Inserts - Story|Quotes|Q-2|Base</v>
      </c>
      <c r="O380" s="59">
        <f t="shared" si="26"/>
        <v>13680</v>
      </c>
    </row>
    <row r="381" spans="1:15" x14ac:dyDescent="0.25">
      <c r="A381" s="90" t="s">
        <v>23</v>
      </c>
      <c r="B381" s="90" t="s">
        <v>107</v>
      </c>
      <c r="C381" s="90" t="s">
        <v>737</v>
      </c>
      <c r="D381" s="91" t="s">
        <v>384</v>
      </c>
      <c r="E381" s="90" t="s">
        <v>60</v>
      </c>
      <c r="F381" s="90">
        <v>5</v>
      </c>
      <c r="G381" s="90" t="s">
        <v>183</v>
      </c>
      <c r="H381" s="90">
        <v>15</v>
      </c>
      <c r="I381" s="90">
        <f>'Odds &amp; Rarity'!$D$13</f>
        <v>1026000</v>
      </c>
      <c r="J381" s="90">
        <f t="shared" si="27"/>
        <v>13680</v>
      </c>
      <c r="K381" s="90">
        <f t="shared" si="28"/>
        <v>13680</v>
      </c>
      <c r="L381" s="90">
        <f t="shared" si="29"/>
        <v>13680</v>
      </c>
      <c r="M381" s="91"/>
      <c r="N381" s="59" t="str">
        <f t="shared" si="25"/>
        <v>Inserts - Story|Quotes|Q-3|Base</v>
      </c>
      <c r="O381" s="59">
        <f t="shared" si="26"/>
        <v>13680</v>
      </c>
    </row>
    <row r="382" spans="1:15" x14ac:dyDescent="0.25">
      <c r="A382" s="90" t="s">
        <v>23</v>
      </c>
      <c r="B382" s="90" t="s">
        <v>107</v>
      </c>
      <c r="C382" s="90" t="s">
        <v>738</v>
      </c>
      <c r="D382" s="91" t="s">
        <v>391</v>
      </c>
      <c r="E382" s="90" t="s">
        <v>60</v>
      </c>
      <c r="F382" s="90">
        <v>5</v>
      </c>
      <c r="G382" s="90" t="s">
        <v>183</v>
      </c>
      <c r="H382" s="90">
        <v>15</v>
      </c>
      <c r="I382" s="90">
        <f>'Odds &amp; Rarity'!$D$13</f>
        <v>1026000</v>
      </c>
      <c r="J382" s="90">
        <f t="shared" si="27"/>
        <v>13680</v>
      </c>
      <c r="K382" s="90">
        <f t="shared" si="28"/>
        <v>13680</v>
      </c>
      <c r="L382" s="90">
        <f t="shared" si="29"/>
        <v>13680</v>
      </c>
      <c r="M382" s="91"/>
      <c r="N382" s="59" t="str">
        <f t="shared" si="25"/>
        <v>Inserts - Story|Quotes|Q-4|Base</v>
      </c>
      <c r="O382" s="59">
        <f t="shared" si="26"/>
        <v>13680</v>
      </c>
    </row>
    <row r="383" spans="1:15" x14ac:dyDescent="0.25">
      <c r="A383" s="90" t="s">
        <v>23</v>
      </c>
      <c r="B383" s="90" t="s">
        <v>107</v>
      </c>
      <c r="C383" s="90" t="s">
        <v>739</v>
      </c>
      <c r="D383" s="91" t="s">
        <v>345</v>
      </c>
      <c r="E383" s="90" t="s">
        <v>60</v>
      </c>
      <c r="F383" s="90">
        <v>5</v>
      </c>
      <c r="G383" s="90" t="s">
        <v>183</v>
      </c>
      <c r="H383" s="90">
        <v>15</v>
      </c>
      <c r="I383" s="90">
        <f>'Odds &amp; Rarity'!$D$13</f>
        <v>1026000</v>
      </c>
      <c r="J383" s="90">
        <f t="shared" si="27"/>
        <v>13680</v>
      </c>
      <c r="K383" s="90">
        <f t="shared" si="28"/>
        <v>13680</v>
      </c>
      <c r="L383" s="90">
        <f t="shared" si="29"/>
        <v>13680</v>
      </c>
      <c r="M383" s="91"/>
      <c r="N383" s="59" t="str">
        <f t="shared" si="25"/>
        <v>Inserts - Story|Quotes|Q-5|Base</v>
      </c>
      <c r="O383" s="59">
        <f t="shared" si="26"/>
        <v>13680</v>
      </c>
    </row>
    <row r="384" spans="1:15" x14ac:dyDescent="0.25">
      <c r="A384" s="90" t="s">
        <v>23</v>
      </c>
      <c r="B384" s="90" t="s">
        <v>107</v>
      </c>
      <c r="C384" s="90" t="s">
        <v>740</v>
      </c>
      <c r="D384" s="91" t="s">
        <v>516</v>
      </c>
      <c r="E384" s="90" t="s">
        <v>60</v>
      </c>
      <c r="F384" s="90">
        <v>5</v>
      </c>
      <c r="G384" s="90" t="s">
        <v>183</v>
      </c>
      <c r="H384" s="90">
        <v>15</v>
      </c>
      <c r="I384" s="90">
        <f>'Odds &amp; Rarity'!$D$13</f>
        <v>1026000</v>
      </c>
      <c r="J384" s="90">
        <f t="shared" si="27"/>
        <v>13680</v>
      </c>
      <c r="K384" s="90">
        <f t="shared" si="28"/>
        <v>13680</v>
      </c>
      <c r="L384" s="90">
        <f t="shared" si="29"/>
        <v>13680</v>
      </c>
      <c r="M384" s="91"/>
      <c r="N384" s="59" t="str">
        <f t="shared" si="25"/>
        <v>Inserts - Story|Quotes|Q-6|Base</v>
      </c>
      <c r="O384" s="59">
        <f t="shared" si="26"/>
        <v>13680</v>
      </c>
    </row>
    <row r="385" spans="1:15" x14ac:dyDescent="0.25">
      <c r="A385" s="90" t="s">
        <v>23</v>
      </c>
      <c r="B385" s="90" t="s">
        <v>107</v>
      </c>
      <c r="C385" s="90" t="s">
        <v>741</v>
      </c>
      <c r="D385" s="91" t="s">
        <v>454</v>
      </c>
      <c r="E385" s="90" t="s">
        <v>60</v>
      </c>
      <c r="F385" s="90">
        <v>5</v>
      </c>
      <c r="G385" s="90" t="s">
        <v>183</v>
      </c>
      <c r="H385" s="90">
        <v>15</v>
      </c>
      <c r="I385" s="90">
        <f>'Odds &amp; Rarity'!$D$13</f>
        <v>1026000</v>
      </c>
      <c r="J385" s="90">
        <f t="shared" si="27"/>
        <v>13680</v>
      </c>
      <c r="K385" s="90">
        <f t="shared" si="28"/>
        <v>13680</v>
      </c>
      <c r="L385" s="90">
        <f t="shared" si="29"/>
        <v>13680</v>
      </c>
      <c r="M385" s="91"/>
      <c r="N385" s="59" t="str">
        <f t="shared" si="25"/>
        <v>Inserts - Story|Quotes|Q-7|Base</v>
      </c>
      <c r="O385" s="59">
        <f t="shared" si="26"/>
        <v>13680</v>
      </c>
    </row>
    <row r="386" spans="1:15" x14ac:dyDescent="0.25">
      <c r="A386" s="90" t="s">
        <v>23</v>
      </c>
      <c r="B386" s="90" t="s">
        <v>107</v>
      </c>
      <c r="C386" s="90" t="s">
        <v>742</v>
      </c>
      <c r="D386" s="91" t="s">
        <v>444</v>
      </c>
      <c r="E386" s="90" t="s">
        <v>60</v>
      </c>
      <c r="F386" s="90">
        <v>5</v>
      </c>
      <c r="G386" s="90" t="s">
        <v>183</v>
      </c>
      <c r="H386" s="90">
        <v>15</v>
      </c>
      <c r="I386" s="90">
        <f>'Odds &amp; Rarity'!$D$13</f>
        <v>1026000</v>
      </c>
      <c r="J386" s="90">
        <f t="shared" si="27"/>
        <v>13680</v>
      </c>
      <c r="K386" s="90">
        <f t="shared" si="28"/>
        <v>13680</v>
      </c>
      <c r="L386" s="90">
        <f t="shared" si="29"/>
        <v>13680</v>
      </c>
      <c r="M386" s="91"/>
      <c r="N386" s="59" t="str">
        <f t="shared" ref="N386:N394" si="30">IF($A386="","",$A386&amp;"|"&amp;$B386&amp;"|"&amp;$C386&amp;"|"&amp;$E386)</f>
        <v>Inserts - Story|Quotes|Q-8|Base</v>
      </c>
      <c r="O386" s="59">
        <f t="shared" ref="O386:O394" si="31">IF($A386="","",$J386)</f>
        <v>13680</v>
      </c>
    </row>
    <row r="387" spans="1:15" x14ac:dyDescent="0.25">
      <c r="A387" s="90" t="s">
        <v>23</v>
      </c>
      <c r="B387" s="90" t="s">
        <v>107</v>
      </c>
      <c r="C387" s="90" t="s">
        <v>743</v>
      </c>
      <c r="D387" s="91" t="s">
        <v>744</v>
      </c>
      <c r="E387" s="90" t="s">
        <v>60</v>
      </c>
      <c r="F387" s="90">
        <v>5</v>
      </c>
      <c r="G387" s="90" t="s">
        <v>183</v>
      </c>
      <c r="H387" s="90">
        <v>15</v>
      </c>
      <c r="I387" s="90">
        <f>'Odds &amp; Rarity'!$D$13</f>
        <v>1026000</v>
      </c>
      <c r="J387" s="90">
        <f t="shared" si="27"/>
        <v>13680</v>
      </c>
      <c r="K387" s="90">
        <f t="shared" si="28"/>
        <v>13680</v>
      </c>
      <c r="L387" s="90">
        <f t="shared" si="29"/>
        <v>13680</v>
      </c>
      <c r="M387" s="91"/>
      <c r="N387" s="59" t="str">
        <f t="shared" si="30"/>
        <v>Inserts - Story|Quotes|Q-9|Base</v>
      </c>
      <c r="O387" s="59">
        <f t="shared" si="31"/>
        <v>13680</v>
      </c>
    </row>
    <row r="388" spans="1:15" ht="30" customHeight="1" x14ac:dyDescent="0.25">
      <c r="A388" s="90" t="s">
        <v>43</v>
      </c>
      <c r="B388" s="90" t="s">
        <v>157</v>
      </c>
      <c r="C388" s="90" t="s">
        <v>745</v>
      </c>
      <c r="D388" s="91" t="s">
        <v>283</v>
      </c>
      <c r="E388" s="90" t="s">
        <v>746</v>
      </c>
      <c r="F388" s="90"/>
      <c r="G388" s="90" t="s">
        <v>747</v>
      </c>
      <c r="H388" s="90">
        <v>7</v>
      </c>
      <c r="I388" s="90">
        <f>'Odds &amp; Rarity'!$D$13</f>
        <v>1026000</v>
      </c>
      <c r="J388" s="90" t="str">
        <f t="shared" ref="J388:J394" si="32">IF(OR(I388="",F388="",H388=""),"",ROUND(I388/(F388*H388),0))</f>
        <v/>
      </c>
      <c r="K388" s="90" t="str">
        <f t="shared" ref="K388:K394" si="33">J388</f>
        <v/>
      </c>
      <c r="L388" s="90" t="str">
        <f t="shared" ref="L388:L394" si="34">J388</f>
        <v/>
      </c>
      <c r="M388" s="91" t="s">
        <v>748</v>
      </c>
      <c r="N388" s="59" t="str">
        <f t="shared" si="30"/>
        <v>Achievements|The Seven Achievements|S-1|Achievement</v>
      </c>
      <c r="O388" s="59" t="str">
        <f t="shared" si="31"/>
        <v/>
      </c>
    </row>
    <row r="389" spans="1:15" ht="30" customHeight="1" x14ac:dyDescent="0.25">
      <c r="A389" s="90" t="s">
        <v>43</v>
      </c>
      <c r="B389" s="90" t="s">
        <v>157</v>
      </c>
      <c r="C389" s="90" t="s">
        <v>749</v>
      </c>
      <c r="D389" s="91" t="s">
        <v>216</v>
      </c>
      <c r="E389" s="90" t="s">
        <v>746</v>
      </c>
      <c r="F389" s="90"/>
      <c r="G389" s="90" t="s">
        <v>747</v>
      </c>
      <c r="H389" s="90">
        <v>7</v>
      </c>
      <c r="I389" s="90">
        <f>'Odds &amp; Rarity'!$D$13</f>
        <v>1026000</v>
      </c>
      <c r="J389" s="90" t="str">
        <f t="shared" si="32"/>
        <v/>
      </c>
      <c r="K389" s="90" t="str">
        <f t="shared" si="33"/>
        <v/>
      </c>
      <c r="L389" s="90" t="str">
        <f t="shared" si="34"/>
        <v/>
      </c>
      <c r="M389" s="91" t="s">
        <v>748</v>
      </c>
      <c r="N389" s="59" t="str">
        <f t="shared" si="30"/>
        <v>Achievements|The Seven Achievements|S-2|Achievement</v>
      </c>
      <c r="O389" s="59" t="str">
        <f t="shared" si="31"/>
        <v/>
      </c>
    </row>
    <row r="390" spans="1:15" ht="30" customHeight="1" x14ac:dyDescent="0.25">
      <c r="A390" s="90" t="s">
        <v>43</v>
      </c>
      <c r="B390" s="90" t="s">
        <v>157</v>
      </c>
      <c r="C390" s="90" t="s">
        <v>750</v>
      </c>
      <c r="D390" s="91" t="s">
        <v>230</v>
      </c>
      <c r="E390" s="90" t="s">
        <v>746</v>
      </c>
      <c r="F390" s="90"/>
      <c r="G390" s="90" t="s">
        <v>747</v>
      </c>
      <c r="H390" s="90">
        <v>7</v>
      </c>
      <c r="I390" s="90">
        <f>'Odds &amp; Rarity'!$D$13</f>
        <v>1026000</v>
      </c>
      <c r="J390" s="90" t="str">
        <f t="shared" si="32"/>
        <v/>
      </c>
      <c r="K390" s="90" t="str">
        <f t="shared" si="33"/>
        <v/>
      </c>
      <c r="L390" s="90" t="str">
        <f t="shared" si="34"/>
        <v/>
      </c>
      <c r="M390" s="91" t="s">
        <v>748</v>
      </c>
      <c r="N390" s="59" t="str">
        <f t="shared" si="30"/>
        <v>Achievements|The Seven Achievements|S-3|Achievement</v>
      </c>
      <c r="O390" s="59" t="str">
        <f t="shared" si="31"/>
        <v/>
      </c>
    </row>
    <row r="391" spans="1:15" ht="30" customHeight="1" x14ac:dyDescent="0.25">
      <c r="A391" s="90" t="s">
        <v>43</v>
      </c>
      <c r="B391" s="90" t="s">
        <v>157</v>
      </c>
      <c r="C391" s="90" t="s">
        <v>751</v>
      </c>
      <c r="D391" s="91" t="s">
        <v>267</v>
      </c>
      <c r="E391" s="90" t="s">
        <v>746</v>
      </c>
      <c r="F391" s="90"/>
      <c r="G391" s="90" t="s">
        <v>747</v>
      </c>
      <c r="H391" s="90">
        <v>7</v>
      </c>
      <c r="I391" s="90">
        <f>'Odds &amp; Rarity'!$D$13</f>
        <v>1026000</v>
      </c>
      <c r="J391" s="90" t="str">
        <f t="shared" si="32"/>
        <v/>
      </c>
      <c r="K391" s="90" t="str">
        <f t="shared" si="33"/>
        <v/>
      </c>
      <c r="L391" s="90" t="str">
        <f t="shared" si="34"/>
        <v/>
      </c>
      <c r="M391" s="91" t="s">
        <v>748</v>
      </c>
      <c r="N391" s="59" t="str">
        <f t="shared" si="30"/>
        <v>Achievements|The Seven Achievements|S-4|Achievement</v>
      </c>
      <c r="O391" s="59" t="str">
        <f t="shared" si="31"/>
        <v/>
      </c>
    </row>
    <row r="392" spans="1:15" ht="30" customHeight="1" x14ac:dyDescent="0.25">
      <c r="A392" s="90" t="s">
        <v>43</v>
      </c>
      <c r="B392" s="90" t="s">
        <v>157</v>
      </c>
      <c r="C392" s="90" t="s">
        <v>752</v>
      </c>
      <c r="D392" s="91" t="s">
        <v>244</v>
      </c>
      <c r="E392" s="90" t="s">
        <v>746</v>
      </c>
      <c r="F392" s="90"/>
      <c r="G392" s="90" t="s">
        <v>747</v>
      </c>
      <c r="H392" s="90">
        <v>7</v>
      </c>
      <c r="I392" s="90">
        <f>'Odds &amp; Rarity'!$D$13</f>
        <v>1026000</v>
      </c>
      <c r="J392" s="90" t="str">
        <f t="shared" si="32"/>
        <v/>
      </c>
      <c r="K392" s="90" t="str">
        <f t="shared" si="33"/>
        <v/>
      </c>
      <c r="L392" s="90" t="str">
        <f t="shared" si="34"/>
        <v/>
      </c>
      <c r="M392" s="91" t="s">
        <v>748</v>
      </c>
      <c r="N392" s="59" t="str">
        <f t="shared" si="30"/>
        <v>Achievements|The Seven Achievements|S-5|Achievement</v>
      </c>
      <c r="O392" s="59" t="str">
        <f t="shared" si="31"/>
        <v/>
      </c>
    </row>
    <row r="393" spans="1:15" ht="30" customHeight="1" x14ac:dyDescent="0.25">
      <c r="A393" s="90" t="s">
        <v>43</v>
      </c>
      <c r="B393" s="90" t="s">
        <v>157</v>
      </c>
      <c r="C393" s="90" t="s">
        <v>753</v>
      </c>
      <c r="D393" s="91" t="s">
        <v>248</v>
      </c>
      <c r="E393" s="90" t="s">
        <v>746</v>
      </c>
      <c r="F393" s="90"/>
      <c r="G393" s="90" t="s">
        <v>747</v>
      </c>
      <c r="H393" s="90">
        <v>7</v>
      </c>
      <c r="I393" s="90">
        <f>'Odds &amp; Rarity'!$D$13</f>
        <v>1026000</v>
      </c>
      <c r="J393" s="90" t="str">
        <f t="shared" si="32"/>
        <v/>
      </c>
      <c r="K393" s="90" t="str">
        <f t="shared" si="33"/>
        <v/>
      </c>
      <c r="L393" s="90" t="str">
        <f t="shared" si="34"/>
        <v/>
      </c>
      <c r="M393" s="91" t="s">
        <v>748</v>
      </c>
      <c r="N393" s="59" t="str">
        <f t="shared" si="30"/>
        <v>Achievements|The Seven Achievements|S-6|Achievement</v>
      </c>
      <c r="O393" s="59" t="str">
        <f t="shared" si="31"/>
        <v/>
      </c>
    </row>
    <row r="394" spans="1:15" ht="30" customHeight="1" x14ac:dyDescent="0.25">
      <c r="A394" s="90" t="s">
        <v>43</v>
      </c>
      <c r="B394" s="90" t="s">
        <v>157</v>
      </c>
      <c r="C394" s="90" t="s">
        <v>754</v>
      </c>
      <c r="D394" s="91" t="s">
        <v>222</v>
      </c>
      <c r="E394" s="90" t="s">
        <v>746</v>
      </c>
      <c r="F394" s="90"/>
      <c r="G394" s="90" t="s">
        <v>747</v>
      </c>
      <c r="H394" s="90">
        <v>7</v>
      </c>
      <c r="I394" s="90">
        <f>'Odds &amp; Rarity'!$D$13</f>
        <v>1026000</v>
      </c>
      <c r="J394" s="90" t="str">
        <f t="shared" si="32"/>
        <v/>
      </c>
      <c r="K394" s="90" t="str">
        <f t="shared" si="33"/>
        <v/>
      </c>
      <c r="L394" s="90" t="str">
        <f t="shared" si="34"/>
        <v/>
      </c>
      <c r="M394" s="91" t="s">
        <v>748</v>
      </c>
      <c r="N394" s="59" t="str">
        <f t="shared" si="30"/>
        <v>Achievements|The Seven Achievements|S-7|Achievement</v>
      </c>
      <c r="O394" s="59" t="str">
        <f t="shared" si="31"/>
        <v/>
      </c>
    </row>
  </sheetData>
  <autoFilter ref="A1:M394" xr:uid="{00000000-0009-0000-0000-000002000000}">
    <sortState xmlns:xlrd2="http://schemas.microsoft.com/office/spreadsheetml/2017/richdata2" ref="A2:M394">
      <sortCondition ref="K1:K39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workbookViewId="0">
      <pane ySplit="15" topLeftCell="A95" activePane="bottomLeft" state="frozen"/>
      <selection pane="bottomLeft" activeCell="I68" sqref="I68"/>
    </sheetView>
  </sheetViews>
  <sheetFormatPr defaultRowHeight="15" x14ac:dyDescent="0.25"/>
  <cols>
    <col min="1" max="1" width="51.5703125" bestFit="1" customWidth="1"/>
    <col min="2" max="2" width="14" customWidth="1"/>
    <col min="3" max="3" width="18" customWidth="1"/>
    <col min="4" max="4" width="18" bestFit="1" customWidth="1"/>
    <col min="5" max="5" width="40" customWidth="1"/>
    <col min="6" max="6" width="20" customWidth="1"/>
    <col min="7" max="7" width="16" customWidth="1"/>
    <col min="8" max="8" width="16" bestFit="1" customWidth="1"/>
    <col min="9" max="9" width="18" customWidth="1"/>
    <col min="10" max="10" width="16" hidden="1" customWidth="1"/>
    <col min="11" max="11" width="16" customWidth="1"/>
    <col min="12" max="12" width="18" bestFit="1" customWidth="1"/>
    <col min="13" max="13" width="24" customWidth="1"/>
  </cols>
  <sheetData>
    <row r="1" spans="1:13" ht="27.95" customHeight="1" x14ac:dyDescent="0.25">
      <c r="A1" s="126" t="s">
        <v>755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3" spans="1:13" ht="15.75" customHeight="1" x14ac:dyDescent="0.25">
      <c r="A3" s="84" t="s">
        <v>756</v>
      </c>
      <c r="B3" s="65"/>
      <c r="C3" s="65"/>
      <c r="D3" s="84"/>
      <c r="E3" s="65"/>
      <c r="F3" s="65"/>
      <c r="G3" s="65"/>
      <c r="H3" s="65"/>
      <c r="I3" s="65"/>
      <c r="J3" s="65"/>
      <c r="K3" s="65"/>
      <c r="L3" s="65"/>
      <c r="M3" s="65"/>
    </row>
    <row r="4" spans="1:13" x14ac:dyDescent="0.25">
      <c r="A4" s="8" t="s">
        <v>757</v>
      </c>
      <c r="B4" s="9">
        <v>15</v>
      </c>
      <c r="C4" s="65"/>
      <c r="D4" s="94"/>
      <c r="E4" s="65"/>
      <c r="F4" s="65"/>
      <c r="G4" s="65"/>
      <c r="H4" s="65"/>
      <c r="I4" s="65"/>
      <c r="J4" s="65"/>
      <c r="K4" s="65">
        <f>B12*82</f>
        <v>20500</v>
      </c>
      <c r="L4" s="65">
        <f>IF($K$7=0,"",K4/$K$7)</f>
        <v>0.7192982456140351</v>
      </c>
      <c r="M4" s="65"/>
    </row>
    <row r="5" spans="1:13" x14ac:dyDescent="0.25">
      <c r="A5" s="8" t="s">
        <v>758</v>
      </c>
      <c r="B5" s="9">
        <v>12</v>
      </c>
      <c r="C5" s="65"/>
      <c r="D5" s="94"/>
      <c r="E5" s="65"/>
      <c r="F5" s="65"/>
      <c r="G5" s="65"/>
      <c r="H5" s="65"/>
      <c r="I5" s="65"/>
      <c r="J5" s="65"/>
      <c r="K5" s="65">
        <f>B12*25</f>
        <v>6250</v>
      </c>
      <c r="L5" s="65">
        <f>IF($K$7=0,"",K5/$K$7)</f>
        <v>0.21929824561403508</v>
      </c>
      <c r="M5" s="65"/>
    </row>
    <row r="6" spans="1:13" x14ac:dyDescent="0.25">
      <c r="A6" s="8" t="s">
        <v>759</v>
      </c>
      <c r="B6" s="9">
        <f>B4*B5</f>
        <v>180</v>
      </c>
      <c r="C6" s="65"/>
      <c r="D6" s="94"/>
      <c r="E6" s="65"/>
      <c r="F6" s="65"/>
      <c r="G6" s="65"/>
      <c r="H6" s="65"/>
      <c r="I6" s="65"/>
      <c r="J6" s="65"/>
      <c r="K6" s="65">
        <f>B12*7</f>
        <v>1750</v>
      </c>
      <c r="L6" s="65">
        <f>IF($K$7=0,"",K6/$K$7)</f>
        <v>6.1403508771929821E-2</v>
      </c>
      <c r="M6" s="65"/>
    </row>
    <row r="7" spans="1:13" x14ac:dyDescent="0.25">
      <c r="A7" s="8" t="s">
        <v>760</v>
      </c>
      <c r="B7" s="9">
        <v>2</v>
      </c>
      <c r="C7" s="65"/>
      <c r="D7" s="65"/>
      <c r="E7" s="65"/>
      <c r="F7" s="65"/>
      <c r="G7" s="65"/>
      <c r="H7" s="65"/>
      <c r="I7" s="65"/>
      <c r="J7" s="65"/>
      <c r="K7" s="65">
        <f>SUM(K4:K6)</f>
        <v>28500</v>
      </c>
      <c r="L7" s="65"/>
      <c r="M7" s="65"/>
    </row>
    <row r="8" spans="1:13" x14ac:dyDescent="0.25">
      <c r="A8" s="8" t="s">
        <v>761</v>
      </c>
      <c r="B8" s="9">
        <v>6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</row>
    <row r="9" spans="1:13" x14ac:dyDescent="0.25">
      <c r="A9" s="8" t="s">
        <v>762</v>
      </c>
      <c r="B9" s="9">
        <v>180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0" spans="1:13" x14ac:dyDescent="0.25">
      <c r="A10" s="8" t="s">
        <v>763</v>
      </c>
      <c r="B10" s="9">
        <f>B6/B9</f>
        <v>1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</row>
    <row r="11" spans="1:13" x14ac:dyDescent="0.25">
      <c r="A11" s="8" t="s">
        <v>764</v>
      </c>
      <c r="B11" s="9">
        <f>MAX(0,B8-B10)</f>
        <v>5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</row>
    <row r="12" spans="1:13" x14ac:dyDescent="0.25">
      <c r="A12" s="8" t="s">
        <v>765</v>
      </c>
      <c r="B12" s="9">
        <v>250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</row>
    <row r="13" spans="1:13" ht="45" customHeight="1" x14ac:dyDescent="0.25">
      <c r="A13" s="95" t="s">
        <v>766</v>
      </c>
      <c r="B13" s="96">
        <f>IF($B$11=0,"",$K$7/$B$11)</f>
        <v>5700</v>
      </c>
      <c r="C13" s="95" t="s">
        <v>767</v>
      </c>
      <c r="D13" s="96">
        <f>IF($B$13="","",$B$13*$B$6)</f>
        <v>1026000</v>
      </c>
      <c r="E13" s="65"/>
      <c r="F13" s="65"/>
      <c r="G13" s="65"/>
      <c r="H13" s="65"/>
      <c r="I13" s="65"/>
      <c r="J13" s="65"/>
      <c r="K13" s="65"/>
      <c r="L13" s="65"/>
      <c r="M13" s="65"/>
    </row>
    <row r="14" spans="1:13" ht="15.75" customHeight="1" x14ac:dyDescent="0.25">
      <c r="A14" s="84" t="s">
        <v>768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</row>
    <row r="15" spans="1:13" ht="32.1" customHeight="1" x14ac:dyDescent="0.25">
      <c r="A15" s="128" t="s">
        <v>769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</row>
    <row r="16" spans="1:13" ht="30" customHeight="1" x14ac:dyDescent="0.25">
      <c r="A16" s="1" t="s">
        <v>770</v>
      </c>
      <c r="B16" s="1" t="s">
        <v>771</v>
      </c>
      <c r="C16" s="1" t="s">
        <v>772</v>
      </c>
      <c r="D16" s="1" t="s">
        <v>773</v>
      </c>
      <c r="E16" s="1" t="s">
        <v>774</v>
      </c>
      <c r="F16" s="1" t="s">
        <v>775</v>
      </c>
      <c r="G16" s="1" t="s">
        <v>776</v>
      </c>
      <c r="H16" s="1" t="s">
        <v>777</v>
      </c>
      <c r="I16" s="1"/>
      <c r="J16" s="65"/>
      <c r="K16" s="65"/>
      <c r="L16" s="65"/>
      <c r="M16" s="65"/>
    </row>
    <row r="17" spans="1:13" x14ac:dyDescent="0.25">
      <c r="A17" s="10" t="s">
        <v>778</v>
      </c>
      <c r="B17" s="11">
        <v>399</v>
      </c>
      <c r="C17" s="12">
        <f>B7</f>
        <v>2</v>
      </c>
      <c r="D17" s="12">
        <f>B7*$B$5</f>
        <v>24</v>
      </c>
      <c r="E17" s="13">
        <f>1</f>
        <v>1</v>
      </c>
      <c r="F17" s="13">
        <f>1</f>
        <v>1</v>
      </c>
      <c r="G17" s="12">
        <f>1/(B7*$B$5)</f>
        <v>4.1666666666666664E-2</v>
      </c>
      <c r="H17" s="65">
        <f>$B$12/(B7*$B$5)</f>
        <v>10.416666666666666</v>
      </c>
      <c r="I17" s="12"/>
      <c r="J17" s="65"/>
      <c r="K17" s="65"/>
      <c r="L17" s="65"/>
      <c r="M17" s="65"/>
    </row>
    <row r="18" spans="1:13" x14ac:dyDescent="0.25">
      <c r="A18" s="10" t="s">
        <v>779</v>
      </c>
      <c r="B18" s="11">
        <v>82</v>
      </c>
      <c r="C18" s="12">
        <f>$B$11*$L$4/$B$5</f>
        <v>0.29970760233918131</v>
      </c>
      <c r="D18" s="12">
        <f>$B$11*$L$4</f>
        <v>3.5964912280701755</v>
      </c>
      <c r="E18" s="13">
        <f t="shared" ref="E18:F20" si="0">1-EXP(-C18)</f>
        <v>0.25896513413173361</v>
      </c>
      <c r="F18" s="13">
        <f t="shared" si="0"/>
        <v>0.97258023644773339</v>
      </c>
      <c r="G18" s="12">
        <f>IF(D18=0,"",1/D18)</f>
        <v>0.27804878048780485</v>
      </c>
      <c r="H18" s="65">
        <f>IF(D18=0,"",$B$12/D18)</f>
        <v>69.512195121951223</v>
      </c>
      <c r="I18" s="12"/>
      <c r="J18" s="65"/>
      <c r="K18" s="65"/>
      <c r="L18" s="65"/>
      <c r="M18" s="65"/>
    </row>
    <row r="19" spans="1:13" x14ac:dyDescent="0.25">
      <c r="A19" s="10" t="s">
        <v>780</v>
      </c>
      <c r="B19" s="11">
        <v>25</v>
      </c>
      <c r="C19" s="12">
        <f>$B$11*$L$5/$B$5</f>
        <v>9.1374269005847941E-2</v>
      </c>
      <c r="D19" s="12">
        <f>$B$11*$L$5</f>
        <v>1.0964912280701753</v>
      </c>
      <c r="E19" s="13">
        <f t="shared" si="0"/>
        <v>8.7323939393168293E-2</v>
      </c>
      <c r="F19" s="13">
        <f t="shared" si="0"/>
        <v>0.66595889612059533</v>
      </c>
      <c r="G19" s="12">
        <f>IF(D19=0,"",1/D19)</f>
        <v>0.91200000000000014</v>
      </c>
      <c r="H19" s="65">
        <f>IF(D19=0,"",$B$12/D19)</f>
        <v>228.00000000000003</v>
      </c>
      <c r="I19" s="12"/>
      <c r="J19" s="65"/>
      <c r="K19" s="65"/>
      <c r="L19" s="65"/>
      <c r="M19" s="65"/>
    </row>
    <row r="20" spans="1:13" x14ac:dyDescent="0.25">
      <c r="A20" s="10" t="s">
        <v>689</v>
      </c>
      <c r="B20" s="11">
        <v>7</v>
      </c>
      <c r="C20" s="12">
        <f>$B$11*$L$6/$B$5</f>
        <v>2.5584795321637422E-2</v>
      </c>
      <c r="D20" s="12">
        <f>$B$11*$L$6</f>
        <v>0.30701754385964908</v>
      </c>
      <c r="E20" s="13">
        <f t="shared" si="0"/>
        <v>2.5260277906915096E-2</v>
      </c>
      <c r="F20" s="13">
        <f t="shared" si="0"/>
        <v>0.26436230513042858</v>
      </c>
      <c r="G20" s="12">
        <f>IF(D20=0,"",1/D20)</f>
        <v>3.2571428571428576</v>
      </c>
      <c r="H20" s="65">
        <f>IF(D20=0,"",$B$12/D20)</f>
        <v>814.28571428571445</v>
      </c>
      <c r="I20" s="12"/>
      <c r="J20" s="65"/>
      <c r="K20" s="65"/>
      <c r="L20" s="65"/>
      <c r="M20" s="65"/>
    </row>
    <row r="22" spans="1:13" ht="15.75" customHeight="1" x14ac:dyDescent="0.25">
      <c r="A22" s="127" t="s">
        <v>781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</row>
    <row r="23" spans="1:13" ht="30" customHeight="1" x14ac:dyDescent="0.25">
      <c r="A23" s="1" t="s">
        <v>782</v>
      </c>
      <c r="B23" s="1" t="s">
        <v>783</v>
      </c>
      <c r="C23" s="1" t="s">
        <v>784</v>
      </c>
      <c r="D23" s="1" t="s">
        <v>772</v>
      </c>
      <c r="E23" s="1" t="s">
        <v>773</v>
      </c>
      <c r="F23" s="1" t="s">
        <v>774</v>
      </c>
      <c r="G23" s="1" t="s">
        <v>775</v>
      </c>
      <c r="H23" s="1" t="s">
        <v>776</v>
      </c>
      <c r="I23" s="1" t="s">
        <v>777</v>
      </c>
      <c r="J23" s="1" t="s">
        <v>165</v>
      </c>
      <c r="K23" s="1" t="s">
        <v>785</v>
      </c>
      <c r="L23" s="1" t="s">
        <v>786</v>
      </c>
      <c r="M23" s="1" t="s">
        <v>171</v>
      </c>
    </row>
    <row r="24" spans="1:13" ht="27" customHeight="1" x14ac:dyDescent="0.25">
      <c r="A24" s="4" t="s">
        <v>787</v>
      </c>
      <c r="B24" s="14">
        <f>COUNTIF(Data!$B:$B,$A24)</f>
        <v>14</v>
      </c>
      <c r="C24" s="14">
        <f t="shared" ref="C24:C57" si="1">IF($L24=0,"",ROUND($D$13/$L24,0))</f>
        <v>73286</v>
      </c>
      <c r="D24" s="15">
        <f t="shared" ref="D24:D57" si="2">IF($C24=0,"",$B$4/$C24)</f>
        <v>2.0467756460988457E-4</v>
      </c>
      <c r="E24" s="15">
        <f t="shared" ref="E24:E57" si="3">IF($C24=0,"",$B$6/$C24)</f>
        <v>2.4561307753186148E-3</v>
      </c>
      <c r="F24" s="16">
        <f t="shared" ref="F24:F57" si="4">IF($C24=0,"",1-POWER(1-1/$C24,$B$4))</f>
        <v>2.0465801574354181E-4</v>
      </c>
      <c r="G24" s="16">
        <f t="shared" ref="G24:G57" si="5">IF($C24=0,"",1-POWER(1-1/$C24,$B$6))</f>
        <v>2.4531336702861006E-3</v>
      </c>
      <c r="H24" s="15">
        <f t="shared" ref="H24:H57" si="6">IF($C24=0,"",$C24/$B$6)</f>
        <v>407.14444444444445</v>
      </c>
      <c r="I24" s="15">
        <f t="shared" ref="I24:I57" si="7">IF($C24=0,"",($C24*$B24)/$B$6)</f>
        <v>5700.0222222222219</v>
      </c>
      <c r="J24" s="40" t="s">
        <v>788</v>
      </c>
      <c r="K24" s="41">
        <v>1</v>
      </c>
      <c r="L24" s="14">
        <f>SUMIF(Data!$B:$B,$A24,Data!$F:$F)</f>
        <v>14</v>
      </c>
      <c r="M24" s="40"/>
    </row>
    <row r="25" spans="1:13" ht="27" customHeight="1" x14ac:dyDescent="0.25">
      <c r="A25" s="4" t="s">
        <v>116</v>
      </c>
      <c r="B25" s="14">
        <f>COUNTIF(Data!$B:$B,$A25)</f>
        <v>8</v>
      </c>
      <c r="C25" s="14">
        <f t="shared" si="1"/>
        <v>128250</v>
      </c>
      <c r="D25" s="15">
        <f t="shared" si="2"/>
        <v>1.1695906432748539E-4</v>
      </c>
      <c r="E25" s="15">
        <f t="shared" si="3"/>
        <v>1.4035087719298245E-3</v>
      </c>
      <c r="F25" s="16">
        <f t="shared" si="4"/>
        <v>1.169526808116883E-4</v>
      </c>
      <c r="G25" s="16">
        <f t="shared" si="5"/>
        <v>1.4025297782246371E-3</v>
      </c>
      <c r="H25" s="15">
        <f t="shared" si="6"/>
        <v>712.5</v>
      </c>
      <c r="I25" s="15">
        <f t="shared" si="7"/>
        <v>5700</v>
      </c>
      <c r="J25" s="40" t="s">
        <v>788</v>
      </c>
      <c r="K25" s="41">
        <v>1</v>
      </c>
      <c r="L25" s="14">
        <f>SUMIF(Data!$B:$B,$A25,Data!$F:$F)</f>
        <v>8</v>
      </c>
      <c r="M25" s="40"/>
    </row>
    <row r="26" spans="1:13" ht="27" customHeight="1" x14ac:dyDescent="0.25">
      <c r="A26" s="4" t="s">
        <v>789</v>
      </c>
      <c r="B26" s="14">
        <f>COUNTIF(Data!$B:$B,$A26)</f>
        <v>2</v>
      </c>
      <c r="C26" s="14">
        <f t="shared" si="1"/>
        <v>513000</v>
      </c>
      <c r="D26" s="15">
        <f t="shared" si="2"/>
        <v>2.9239766081871346E-5</v>
      </c>
      <c r="E26" s="15">
        <f t="shared" si="3"/>
        <v>3.5087719298245611E-4</v>
      </c>
      <c r="F26" s="16">
        <f t="shared" si="4"/>
        <v>2.9239367101974167E-5</v>
      </c>
      <c r="G26" s="16">
        <f t="shared" si="5"/>
        <v>3.5081598464503649E-4</v>
      </c>
      <c r="H26" s="15">
        <f t="shared" si="6"/>
        <v>2850</v>
      </c>
      <c r="I26" s="15">
        <f t="shared" si="7"/>
        <v>5700</v>
      </c>
      <c r="J26" s="40" t="s">
        <v>788</v>
      </c>
      <c r="K26" s="41">
        <v>1</v>
      </c>
      <c r="L26" s="14">
        <f>SUMIF(Data!$B:$B,$A26,Data!$F:$F)</f>
        <v>2</v>
      </c>
      <c r="M26" s="40"/>
    </row>
    <row r="27" spans="1:13" ht="27" customHeight="1" x14ac:dyDescent="0.25">
      <c r="A27" s="4" t="s">
        <v>119</v>
      </c>
      <c r="B27" s="14">
        <f>COUNTIF(Data!$B:$B,$A27)</f>
        <v>2</v>
      </c>
      <c r="C27" s="14">
        <f t="shared" si="1"/>
        <v>513000</v>
      </c>
      <c r="D27" s="15">
        <f t="shared" si="2"/>
        <v>2.9239766081871346E-5</v>
      </c>
      <c r="E27" s="15">
        <f t="shared" si="3"/>
        <v>3.5087719298245611E-4</v>
      </c>
      <c r="F27" s="16">
        <f t="shared" si="4"/>
        <v>2.9239367101974167E-5</v>
      </c>
      <c r="G27" s="16">
        <f t="shared" si="5"/>
        <v>3.5081598464503649E-4</v>
      </c>
      <c r="H27" s="15">
        <f t="shared" si="6"/>
        <v>2850</v>
      </c>
      <c r="I27" s="15">
        <f t="shared" si="7"/>
        <v>5700</v>
      </c>
      <c r="J27" s="40" t="s">
        <v>788</v>
      </c>
      <c r="K27" s="41">
        <v>1</v>
      </c>
      <c r="L27" s="14">
        <f>SUMIF(Data!$B:$B,$A27,Data!$F:$F)</f>
        <v>2</v>
      </c>
      <c r="M27" s="40"/>
    </row>
    <row r="28" spans="1:13" ht="27" customHeight="1" x14ac:dyDescent="0.25">
      <c r="A28" s="4" t="s">
        <v>117</v>
      </c>
      <c r="B28" s="14">
        <f>COUNTIF(Data!$B:$B,$A28)</f>
        <v>1</v>
      </c>
      <c r="C28" s="14">
        <f t="shared" si="1"/>
        <v>1026000</v>
      </c>
      <c r="D28" s="15">
        <f t="shared" si="2"/>
        <v>1.4619883040935673E-5</v>
      </c>
      <c r="E28" s="15">
        <f t="shared" si="3"/>
        <v>1.7543859649122806E-4</v>
      </c>
      <c r="F28" s="16">
        <f t="shared" si="4"/>
        <v>1.4619783295866107E-5</v>
      </c>
      <c r="G28" s="16">
        <f t="shared" si="5"/>
        <v>1.7542329352582264E-4</v>
      </c>
      <c r="H28" s="15">
        <f t="shared" si="6"/>
        <v>5700</v>
      </c>
      <c r="I28" s="15">
        <f t="shared" si="7"/>
        <v>5700</v>
      </c>
      <c r="J28" s="40" t="s">
        <v>788</v>
      </c>
      <c r="K28" s="41">
        <v>1</v>
      </c>
      <c r="L28" s="14">
        <f>SUMIF(Data!$B:$B,$A28,Data!$F:$F)</f>
        <v>1</v>
      </c>
      <c r="M28" s="40"/>
    </row>
    <row r="29" spans="1:13" ht="27" customHeight="1" x14ac:dyDescent="0.25">
      <c r="A29" s="4" t="s">
        <v>790</v>
      </c>
      <c r="B29" s="14">
        <f>COUNTIF(Data!$B:$B,$A29)</f>
        <v>64</v>
      </c>
      <c r="C29" s="14">
        <f t="shared" si="1"/>
        <v>16031</v>
      </c>
      <c r="D29" s="15">
        <f t="shared" si="2"/>
        <v>9.3568710623167617E-4</v>
      </c>
      <c r="E29" s="15">
        <f t="shared" si="3"/>
        <v>1.1228245274780113E-2</v>
      </c>
      <c r="F29" s="16">
        <f t="shared" si="4"/>
        <v>9.3527864514963976E-4</v>
      </c>
      <c r="G29" s="16">
        <f t="shared" si="5"/>
        <v>1.1165790106993367E-2</v>
      </c>
      <c r="H29" s="15">
        <f t="shared" si="6"/>
        <v>89.061111111111117</v>
      </c>
      <c r="I29" s="15">
        <f t="shared" si="7"/>
        <v>5699.9111111111115</v>
      </c>
      <c r="J29" s="40" t="s">
        <v>788</v>
      </c>
      <c r="K29" s="41">
        <v>1</v>
      </c>
      <c r="L29" s="14">
        <f>SUMIF(Data!$B:$B,$A29,Data!$F:$F)</f>
        <v>64</v>
      </c>
      <c r="M29" s="40"/>
    </row>
    <row r="30" spans="1:13" ht="27" customHeight="1" x14ac:dyDescent="0.25">
      <c r="A30" s="4" t="s">
        <v>118</v>
      </c>
      <c r="B30" s="14">
        <f>COUNTIF(Data!$B:$B,$A30)</f>
        <v>1</v>
      </c>
      <c r="C30" s="14">
        <f t="shared" si="1"/>
        <v>342000</v>
      </c>
      <c r="D30" s="15">
        <f t="shared" si="2"/>
        <v>4.3859649122807014E-5</v>
      </c>
      <c r="E30" s="15">
        <f t="shared" si="3"/>
        <v>5.263157894736842E-4</v>
      </c>
      <c r="F30" s="16">
        <f t="shared" si="4"/>
        <v>4.3858751422209963E-5</v>
      </c>
      <c r="G30" s="16">
        <f t="shared" si="5"/>
        <v>5.2617807867982869E-4</v>
      </c>
      <c r="H30" s="15">
        <f t="shared" si="6"/>
        <v>1900</v>
      </c>
      <c r="I30" s="15">
        <f t="shared" si="7"/>
        <v>1900</v>
      </c>
      <c r="J30" s="40" t="s">
        <v>788</v>
      </c>
      <c r="K30" s="41">
        <v>3</v>
      </c>
      <c r="L30" s="14">
        <f>SUMIF(Data!$B:$B,$A30,Data!$F:$F)</f>
        <v>3</v>
      </c>
      <c r="M30" s="40"/>
    </row>
    <row r="31" spans="1:13" ht="27" customHeight="1" x14ac:dyDescent="0.25">
      <c r="A31" s="4" t="s">
        <v>120</v>
      </c>
      <c r="B31" s="14">
        <f>COUNTIF(Data!$B:$B,$A31)</f>
        <v>7</v>
      </c>
      <c r="C31" s="14">
        <f t="shared" si="1"/>
        <v>36643</v>
      </c>
      <c r="D31" s="15">
        <f t="shared" si="2"/>
        <v>4.0935512921976914E-4</v>
      </c>
      <c r="E31" s="15">
        <f t="shared" si="3"/>
        <v>4.9122615506372296E-3</v>
      </c>
      <c r="F31" s="16">
        <f t="shared" si="4"/>
        <v>4.0927693837722323E-4</v>
      </c>
      <c r="G31" s="16">
        <f t="shared" si="5"/>
        <v>4.9002828267754595E-3</v>
      </c>
      <c r="H31" s="15">
        <f t="shared" si="6"/>
        <v>203.57222222222222</v>
      </c>
      <c r="I31" s="15">
        <f t="shared" si="7"/>
        <v>1425.0055555555555</v>
      </c>
      <c r="J31" s="40" t="s">
        <v>788</v>
      </c>
      <c r="K31" s="41">
        <v>4</v>
      </c>
      <c r="L31" s="14">
        <f>SUMIF(Data!$B:$B,$A31,Data!$F:$F)</f>
        <v>28</v>
      </c>
      <c r="M31" s="40" t="s">
        <v>791</v>
      </c>
    </row>
    <row r="32" spans="1:13" ht="27" customHeight="1" x14ac:dyDescent="0.25">
      <c r="A32" s="4" t="s">
        <v>792</v>
      </c>
      <c r="B32" s="14">
        <f>COUNTIF(Data!$B:$B,$A32)</f>
        <v>100</v>
      </c>
      <c r="C32" s="14">
        <f t="shared" si="1"/>
        <v>2565</v>
      </c>
      <c r="D32" s="15">
        <f t="shared" si="2"/>
        <v>5.8479532163742687E-3</v>
      </c>
      <c r="E32" s="15">
        <f t="shared" si="3"/>
        <v>7.0175438596491224E-2</v>
      </c>
      <c r="F32" s="16">
        <f t="shared" si="4"/>
        <v>5.832020820175754E-3</v>
      </c>
      <c r="G32" s="16">
        <f t="shared" si="5"/>
        <v>6.7782499209012914E-2</v>
      </c>
      <c r="H32" s="15">
        <f t="shared" si="6"/>
        <v>14.25</v>
      </c>
      <c r="I32" s="15">
        <f t="shared" si="7"/>
        <v>1425</v>
      </c>
      <c r="J32" s="40" t="s">
        <v>788</v>
      </c>
      <c r="K32" s="41">
        <v>4</v>
      </c>
      <c r="L32" s="14">
        <f>SUMIF(Data!$B:$B,$A32,Data!$F:$F)</f>
        <v>400</v>
      </c>
      <c r="M32" s="40" t="s">
        <v>791</v>
      </c>
    </row>
    <row r="33" spans="1:13" ht="27" customHeight="1" x14ac:dyDescent="0.25">
      <c r="A33" s="4" t="s">
        <v>793</v>
      </c>
      <c r="B33" s="14">
        <f>COUNTIF(Data!$B:$B,$A33)</f>
        <v>100</v>
      </c>
      <c r="C33" s="14">
        <f t="shared" si="1"/>
        <v>2565</v>
      </c>
      <c r="D33" s="15">
        <f t="shared" si="2"/>
        <v>5.8479532163742687E-3</v>
      </c>
      <c r="E33" s="15">
        <f t="shared" si="3"/>
        <v>7.0175438596491224E-2</v>
      </c>
      <c r="F33" s="16">
        <f t="shared" si="4"/>
        <v>5.832020820175754E-3</v>
      </c>
      <c r="G33" s="16">
        <f t="shared" si="5"/>
        <v>6.7782499209012914E-2</v>
      </c>
      <c r="H33" s="15">
        <f t="shared" si="6"/>
        <v>14.25</v>
      </c>
      <c r="I33" s="15">
        <f t="shared" si="7"/>
        <v>1425</v>
      </c>
      <c r="J33" s="40" t="s">
        <v>788</v>
      </c>
      <c r="K33" s="41">
        <v>4</v>
      </c>
      <c r="L33" s="14">
        <f>SUMIF(Data!$B:$B,$A33,Data!$F:$F)</f>
        <v>400</v>
      </c>
      <c r="M33" s="40" t="s">
        <v>791</v>
      </c>
    </row>
    <row r="34" spans="1:13" ht="27" customHeight="1" x14ac:dyDescent="0.25">
      <c r="A34" s="4" t="s">
        <v>794</v>
      </c>
      <c r="B34" s="14">
        <f>COUNTIF(Data!$B:$B,$A34)</f>
        <v>57</v>
      </c>
      <c r="C34" s="14">
        <f t="shared" si="1"/>
        <v>4500</v>
      </c>
      <c r="D34" s="15">
        <f t="shared" si="2"/>
        <v>3.3333333333333335E-3</v>
      </c>
      <c r="E34" s="15">
        <f t="shared" si="3"/>
        <v>0.04</v>
      </c>
      <c r="F34" s="16">
        <f t="shared" si="4"/>
        <v>3.3281531379626417E-3</v>
      </c>
      <c r="G34" s="16">
        <f t="shared" si="5"/>
        <v>3.9214831646197212E-2</v>
      </c>
      <c r="H34" s="15">
        <f t="shared" si="6"/>
        <v>25</v>
      </c>
      <c r="I34" s="15">
        <f t="shared" si="7"/>
        <v>1425</v>
      </c>
      <c r="J34" s="40" t="s">
        <v>788</v>
      </c>
      <c r="K34" s="41">
        <v>4</v>
      </c>
      <c r="L34" s="14">
        <f>SUMIF(Data!$B:$B,$A34,Data!$F:$F)</f>
        <v>228</v>
      </c>
      <c r="M34" s="40" t="s">
        <v>791</v>
      </c>
    </row>
    <row r="35" spans="1:13" ht="27" customHeight="1" x14ac:dyDescent="0.25">
      <c r="A35" s="4" t="s">
        <v>795</v>
      </c>
      <c r="B35" s="14">
        <f>COUNTIF(Data!$B:$B,$A35)</f>
        <v>50</v>
      </c>
      <c r="C35" s="14">
        <f t="shared" si="1"/>
        <v>5130</v>
      </c>
      <c r="D35" s="15">
        <f t="shared" si="2"/>
        <v>2.9239766081871343E-3</v>
      </c>
      <c r="E35" s="15">
        <f t="shared" si="3"/>
        <v>3.5087719298245612E-2</v>
      </c>
      <c r="F35" s="16">
        <f t="shared" si="4"/>
        <v>2.9199901448170307E-3</v>
      </c>
      <c r="G35" s="16">
        <f t="shared" si="5"/>
        <v>3.4482584622069434E-2</v>
      </c>
      <c r="H35" s="15">
        <f t="shared" si="6"/>
        <v>28.5</v>
      </c>
      <c r="I35" s="15">
        <f t="shared" si="7"/>
        <v>1425</v>
      </c>
      <c r="J35" s="40" t="s">
        <v>788</v>
      </c>
      <c r="K35" s="41">
        <v>4</v>
      </c>
      <c r="L35" s="14">
        <f>SUMIF(Data!$B:$B,$A35,Data!$F:$F)</f>
        <v>200</v>
      </c>
      <c r="M35" s="40" t="s">
        <v>791</v>
      </c>
    </row>
    <row r="36" spans="1:13" ht="27" customHeight="1" x14ac:dyDescent="0.25">
      <c r="A36" s="4" t="s">
        <v>796</v>
      </c>
      <c r="B36" s="14">
        <f>COUNTIF(Data!$B:$B,$A36)</f>
        <v>15</v>
      </c>
      <c r="C36" s="14">
        <f t="shared" si="1"/>
        <v>17100</v>
      </c>
      <c r="D36" s="15">
        <f t="shared" si="2"/>
        <v>8.7719298245614037E-4</v>
      </c>
      <c r="E36" s="15">
        <f t="shared" si="3"/>
        <v>1.0526315789473684E-2</v>
      </c>
      <c r="F36" s="16">
        <f t="shared" si="4"/>
        <v>8.7683398858950934E-4</v>
      </c>
      <c r="G36" s="16">
        <f t="shared" si="5"/>
        <v>1.0471412584702966E-2</v>
      </c>
      <c r="H36" s="15">
        <f t="shared" si="6"/>
        <v>95</v>
      </c>
      <c r="I36" s="15">
        <f t="shared" si="7"/>
        <v>1425</v>
      </c>
      <c r="J36" s="40" t="s">
        <v>788</v>
      </c>
      <c r="K36" s="41">
        <v>4</v>
      </c>
      <c r="L36" s="14">
        <f>SUMIF(Data!$B:$B,$A36,Data!$F:$F)</f>
        <v>60</v>
      </c>
      <c r="M36" s="40" t="s">
        <v>791</v>
      </c>
    </row>
    <row r="37" spans="1:13" ht="27" customHeight="1" x14ac:dyDescent="0.25">
      <c r="A37" s="4" t="s">
        <v>797</v>
      </c>
      <c r="B37" s="14">
        <f>COUNTIF(Data!$B:$B,$A37)</f>
        <v>10</v>
      </c>
      <c r="C37" s="14">
        <f t="shared" si="1"/>
        <v>25650</v>
      </c>
      <c r="D37" s="15">
        <f t="shared" si="2"/>
        <v>5.8479532163742691E-4</v>
      </c>
      <c r="E37" s="15">
        <f t="shared" si="3"/>
        <v>7.0175438596491229E-3</v>
      </c>
      <c r="F37" s="16">
        <f t="shared" si="4"/>
        <v>5.8463575533107548E-4</v>
      </c>
      <c r="G37" s="16">
        <f t="shared" si="5"/>
        <v>6.9931142365518006E-3</v>
      </c>
      <c r="H37" s="15">
        <f t="shared" si="6"/>
        <v>142.5</v>
      </c>
      <c r="I37" s="15">
        <f t="shared" si="7"/>
        <v>1425</v>
      </c>
      <c r="J37" s="40" t="s">
        <v>788</v>
      </c>
      <c r="K37" s="41">
        <v>4</v>
      </c>
      <c r="L37" s="14">
        <f>SUMIF(Data!$B:$B,$A37,Data!$F:$F)</f>
        <v>40</v>
      </c>
      <c r="M37" s="40" t="s">
        <v>791</v>
      </c>
    </row>
    <row r="38" spans="1:13" ht="27" customHeight="1" x14ac:dyDescent="0.25">
      <c r="A38" s="4" t="s">
        <v>798</v>
      </c>
      <c r="B38" s="14">
        <f>COUNTIF(Data!$B:$B,$A38)</f>
        <v>2</v>
      </c>
      <c r="C38" s="14">
        <f t="shared" si="1"/>
        <v>128250</v>
      </c>
      <c r="D38" s="15">
        <f t="shared" si="2"/>
        <v>1.1695906432748539E-4</v>
      </c>
      <c r="E38" s="15">
        <f t="shared" si="3"/>
        <v>1.4035087719298245E-3</v>
      </c>
      <c r="F38" s="16">
        <f t="shared" si="4"/>
        <v>1.169526808116883E-4</v>
      </c>
      <c r="G38" s="16">
        <f t="shared" si="5"/>
        <v>1.4025297782246371E-3</v>
      </c>
      <c r="H38" s="15">
        <f t="shared" si="6"/>
        <v>712.5</v>
      </c>
      <c r="I38" s="15">
        <f t="shared" si="7"/>
        <v>1425</v>
      </c>
      <c r="J38" s="40" t="s">
        <v>788</v>
      </c>
      <c r="K38" s="41">
        <v>4</v>
      </c>
      <c r="L38" s="14">
        <f>SUMIF(Data!$B:$B,$A38,Data!$F:$F)</f>
        <v>8</v>
      </c>
      <c r="M38" s="40" t="s">
        <v>791</v>
      </c>
    </row>
    <row r="39" spans="1:13" ht="27" customHeight="1" x14ac:dyDescent="0.25">
      <c r="A39" s="4" t="s">
        <v>799</v>
      </c>
      <c r="B39" s="14">
        <f>COUNTIF(Data!$B:$B,$A39)</f>
        <v>1</v>
      </c>
      <c r="C39" s="14">
        <f t="shared" si="1"/>
        <v>256500</v>
      </c>
      <c r="D39" s="15">
        <f t="shared" si="2"/>
        <v>5.8479532163742693E-5</v>
      </c>
      <c r="E39" s="15">
        <f t="shared" si="3"/>
        <v>7.0175438596491223E-4</v>
      </c>
      <c r="F39" s="16">
        <f t="shared" si="4"/>
        <v>5.8477936257572694E-5</v>
      </c>
      <c r="G39" s="16">
        <f t="shared" si="5"/>
        <v>7.0150958092363158E-4</v>
      </c>
      <c r="H39" s="15">
        <f t="shared" si="6"/>
        <v>1425</v>
      </c>
      <c r="I39" s="15">
        <f t="shared" si="7"/>
        <v>1425</v>
      </c>
      <c r="J39" s="40" t="s">
        <v>788</v>
      </c>
      <c r="K39" s="41">
        <v>4</v>
      </c>
      <c r="L39" s="14">
        <f>SUMIF(Data!$B:$B,$A39,Data!$F:$F)</f>
        <v>4</v>
      </c>
      <c r="M39" s="40" t="s">
        <v>791</v>
      </c>
    </row>
    <row r="40" spans="1:13" ht="27" customHeight="1" x14ac:dyDescent="0.25">
      <c r="A40" s="4" t="s">
        <v>144</v>
      </c>
      <c r="B40" s="14">
        <f>COUNTIF(Data!$B:$B,$A40)</f>
        <v>2</v>
      </c>
      <c r="C40" s="14">
        <f t="shared" si="1"/>
        <v>102600</v>
      </c>
      <c r="D40" s="15">
        <f t="shared" si="2"/>
        <v>1.4619883040935673E-4</v>
      </c>
      <c r="E40" s="15">
        <f t="shared" si="3"/>
        <v>1.7543859649122807E-3</v>
      </c>
      <c r="F40" s="16">
        <f t="shared" si="4"/>
        <v>1.461888562506175E-4</v>
      </c>
      <c r="G40" s="16">
        <f t="shared" si="5"/>
        <v>1.7528564641180466E-3</v>
      </c>
      <c r="H40" s="15">
        <f t="shared" si="6"/>
        <v>570</v>
      </c>
      <c r="I40" s="15">
        <f t="shared" si="7"/>
        <v>1140</v>
      </c>
      <c r="J40" s="40" t="s">
        <v>788</v>
      </c>
      <c r="K40" s="41">
        <v>5</v>
      </c>
      <c r="L40" s="14">
        <f>SUMIF(Data!$B:$B,$A40,Data!$F:$F)</f>
        <v>10</v>
      </c>
      <c r="M40" s="40"/>
    </row>
    <row r="41" spans="1:13" ht="27" customHeight="1" x14ac:dyDescent="0.25">
      <c r="A41" s="4" t="s">
        <v>72</v>
      </c>
      <c r="B41" s="14">
        <f>COUNTIF(Data!$B:$B,$A41)</f>
        <v>100</v>
      </c>
      <c r="C41" s="14">
        <f t="shared" si="1"/>
        <v>1466</v>
      </c>
      <c r="D41" s="15">
        <f t="shared" si="2"/>
        <v>1.0231923601637109E-2</v>
      </c>
      <c r="E41" s="15">
        <f t="shared" si="3"/>
        <v>0.12278308321964529</v>
      </c>
      <c r="F41" s="16">
        <f t="shared" si="4"/>
        <v>1.0183211332341346E-2</v>
      </c>
      <c r="G41" s="16">
        <f t="shared" si="5"/>
        <v>0.1155815593411279</v>
      </c>
      <c r="H41" s="15">
        <f t="shared" si="6"/>
        <v>8.1444444444444439</v>
      </c>
      <c r="I41" s="15">
        <f t="shared" si="7"/>
        <v>814.44444444444446</v>
      </c>
      <c r="J41" s="40" t="s">
        <v>788</v>
      </c>
      <c r="K41" s="41">
        <v>7</v>
      </c>
      <c r="L41" s="14">
        <f>SUMIF(Data!$B:$B,$A41,Data!$F:$F)</f>
        <v>700</v>
      </c>
      <c r="M41" s="40"/>
    </row>
    <row r="42" spans="1:13" ht="27" customHeight="1" x14ac:dyDescent="0.25">
      <c r="A42" s="4" t="s">
        <v>82</v>
      </c>
      <c r="B42" s="14">
        <f>COUNTIF(Data!$B:$B,$A42)</f>
        <v>100</v>
      </c>
      <c r="C42" s="14">
        <f t="shared" si="1"/>
        <v>1466</v>
      </c>
      <c r="D42" s="15">
        <f t="shared" si="2"/>
        <v>1.0231923601637109E-2</v>
      </c>
      <c r="E42" s="15">
        <f t="shared" si="3"/>
        <v>0.12278308321964529</v>
      </c>
      <c r="F42" s="16">
        <f t="shared" si="4"/>
        <v>1.0183211332341346E-2</v>
      </c>
      <c r="G42" s="16">
        <f t="shared" si="5"/>
        <v>0.1155815593411279</v>
      </c>
      <c r="H42" s="15">
        <f t="shared" si="6"/>
        <v>8.1444444444444439</v>
      </c>
      <c r="I42" s="15">
        <f t="shared" si="7"/>
        <v>814.44444444444446</v>
      </c>
      <c r="J42" s="40" t="s">
        <v>788</v>
      </c>
      <c r="K42" s="41">
        <v>7</v>
      </c>
      <c r="L42" s="14">
        <f>SUMIF(Data!$B:$B,$A42,Data!$F:$F)</f>
        <v>700</v>
      </c>
      <c r="M42" s="40"/>
    </row>
    <row r="43" spans="1:13" ht="27" customHeight="1" x14ac:dyDescent="0.25">
      <c r="A43" s="4" t="s">
        <v>104</v>
      </c>
      <c r="B43" s="14">
        <f>COUNTIF(Data!$B:$B,$A43)</f>
        <v>15</v>
      </c>
      <c r="C43" s="14">
        <f t="shared" si="1"/>
        <v>9771</v>
      </c>
      <c r="D43" s="15">
        <f t="shared" si="2"/>
        <v>1.5351550506601166E-3</v>
      </c>
      <c r="E43" s="15">
        <f t="shared" si="3"/>
        <v>1.8421860607921399E-2</v>
      </c>
      <c r="F43" s="16">
        <f t="shared" si="4"/>
        <v>1.534055744443541E-3</v>
      </c>
      <c r="G43" s="16">
        <f t="shared" si="5"/>
        <v>1.8254140844536471E-2</v>
      </c>
      <c r="H43" s="15">
        <f t="shared" si="6"/>
        <v>54.283333333333331</v>
      </c>
      <c r="I43" s="15">
        <f t="shared" si="7"/>
        <v>814.25</v>
      </c>
      <c r="J43" s="40" t="s">
        <v>788</v>
      </c>
      <c r="K43" s="41">
        <v>7</v>
      </c>
      <c r="L43" s="14">
        <f>SUMIF(Data!$B:$B,$A43,Data!$F:$F)</f>
        <v>105</v>
      </c>
      <c r="M43" s="40"/>
    </row>
    <row r="44" spans="1:13" ht="27" customHeight="1" x14ac:dyDescent="0.25">
      <c r="A44" s="4" t="s">
        <v>106</v>
      </c>
      <c r="B44" s="14">
        <f>COUNTIF(Data!$B:$B,$A44)</f>
        <v>15</v>
      </c>
      <c r="C44" s="14">
        <f t="shared" si="1"/>
        <v>9771</v>
      </c>
      <c r="D44" s="15">
        <f t="shared" si="2"/>
        <v>1.5351550506601166E-3</v>
      </c>
      <c r="E44" s="15">
        <f t="shared" si="3"/>
        <v>1.8421860607921399E-2</v>
      </c>
      <c r="F44" s="16">
        <f t="shared" si="4"/>
        <v>1.534055744443541E-3</v>
      </c>
      <c r="G44" s="16">
        <f t="shared" si="5"/>
        <v>1.8254140844536471E-2</v>
      </c>
      <c r="H44" s="15">
        <f t="shared" si="6"/>
        <v>54.283333333333331</v>
      </c>
      <c r="I44" s="15">
        <f t="shared" si="7"/>
        <v>814.25</v>
      </c>
      <c r="J44" s="40" t="s">
        <v>788</v>
      </c>
      <c r="K44" s="41">
        <v>7</v>
      </c>
      <c r="L44" s="14">
        <f>SUMIF(Data!$B:$B,$A44,Data!$F:$F)</f>
        <v>105</v>
      </c>
      <c r="M44" s="40"/>
    </row>
    <row r="45" spans="1:13" ht="27" customHeight="1" x14ac:dyDescent="0.25">
      <c r="A45" s="4" t="s">
        <v>108</v>
      </c>
      <c r="B45" s="14">
        <f>COUNTIF(Data!$B:$B,$A45)</f>
        <v>15</v>
      </c>
      <c r="C45" s="14">
        <f t="shared" si="1"/>
        <v>9771</v>
      </c>
      <c r="D45" s="15">
        <f t="shared" si="2"/>
        <v>1.5351550506601166E-3</v>
      </c>
      <c r="E45" s="15">
        <f t="shared" si="3"/>
        <v>1.8421860607921399E-2</v>
      </c>
      <c r="F45" s="16">
        <f t="shared" si="4"/>
        <v>1.534055744443541E-3</v>
      </c>
      <c r="G45" s="16">
        <f t="shared" si="5"/>
        <v>1.8254140844536471E-2</v>
      </c>
      <c r="H45" s="15">
        <f t="shared" si="6"/>
        <v>54.283333333333331</v>
      </c>
      <c r="I45" s="15">
        <f t="shared" si="7"/>
        <v>814.25</v>
      </c>
      <c r="J45" s="40" t="s">
        <v>788</v>
      </c>
      <c r="K45" s="41">
        <v>7</v>
      </c>
      <c r="L45" s="14">
        <f>SUMIF(Data!$B:$B,$A45,Data!$F:$F)</f>
        <v>105</v>
      </c>
      <c r="M45" s="40"/>
    </row>
    <row r="46" spans="1:13" ht="27" customHeight="1" x14ac:dyDescent="0.25">
      <c r="A46" s="4" t="s">
        <v>97</v>
      </c>
      <c r="B46" s="14">
        <f>COUNTIF(Data!$B:$B,$A46)</f>
        <v>50</v>
      </c>
      <c r="C46" s="14">
        <f t="shared" si="1"/>
        <v>2931</v>
      </c>
      <c r="D46" s="15">
        <f t="shared" si="2"/>
        <v>5.1177072671443197E-3</v>
      </c>
      <c r="E46" s="15">
        <f t="shared" si="3"/>
        <v>6.1412487205731829E-2</v>
      </c>
      <c r="F46" s="16">
        <f t="shared" si="4"/>
        <v>5.1055028859897655E-3</v>
      </c>
      <c r="G46" s="16">
        <f t="shared" si="5"/>
        <v>5.9574612284203243E-2</v>
      </c>
      <c r="H46" s="15">
        <f t="shared" si="6"/>
        <v>16.283333333333335</v>
      </c>
      <c r="I46" s="15">
        <f t="shared" si="7"/>
        <v>814.16666666666663</v>
      </c>
      <c r="J46" s="40" t="s">
        <v>788</v>
      </c>
      <c r="K46" s="41">
        <v>7</v>
      </c>
      <c r="L46" s="14">
        <f>SUMIF(Data!$B:$B,$A46,Data!$F:$F)</f>
        <v>350</v>
      </c>
      <c r="M46" s="40"/>
    </row>
    <row r="47" spans="1:13" ht="27" customHeight="1" x14ac:dyDescent="0.25">
      <c r="A47" s="4" t="s">
        <v>142</v>
      </c>
      <c r="B47" s="14">
        <f>COUNTIF(Data!$B:$B,$A47)</f>
        <v>10</v>
      </c>
      <c r="C47" s="14">
        <f t="shared" si="1"/>
        <v>10260</v>
      </c>
      <c r="D47" s="15">
        <f t="shared" si="2"/>
        <v>1.4619883040935672E-3</v>
      </c>
      <c r="E47" s="15">
        <f t="shared" si="3"/>
        <v>1.7543859649122806E-2</v>
      </c>
      <c r="F47" s="16">
        <f t="shared" si="4"/>
        <v>1.4609912673418934E-3</v>
      </c>
      <c r="G47" s="16">
        <f t="shared" si="5"/>
        <v>1.7391702321652103E-2</v>
      </c>
      <c r="H47" s="15">
        <f t="shared" si="6"/>
        <v>57</v>
      </c>
      <c r="I47" s="15">
        <f t="shared" si="7"/>
        <v>570</v>
      </c>
      <c r="J47" s="40" t="s">
        <v>788</v>
      </c>
      <c r="K47" s="41">
        <v>10</v>
      </c>
      <c r="L47" s="14">
        <f>SUMIF(Data!$B:$B,$A47,Data!$F:$F)</f>
        <v>100</v>
      </c>
      <c r="M47" s="40"/>
    </row>
    <row r="48" spans="1:13" ht="27" customHeight="1" x14ac:dyDescent="0.25">
      <c r="A48" s="4" t="s">
        <v>112</v>
      </c>
      <c r="B48" s="14">
        <f>COUNTIF(Data!$B:$B,$A48)</f>
        <v>10</v>
      </c>
      <c r="C48" s="14">
        <f t="shared" si="1"/>
        <v>7076</v>
      </c>
      <c r="D48" s="15">
        <f t="shared" si="2"/>
        <v>2.1198417184850197E-3</v>
      </c>
      <c r="E48" s="15">
        <f t="shared" si="3"/>
        <v>2.5438100621820236E-2</v>
      </c>
      <c r="F48" s="16">
        <f t="shared" si="4"/>
        <v>2.1177459286941813E-3</v>
      </c>
      <c r="G48" s="16">
        <f t="shared" si="5"/>
        <v>2.5119030774608087E-2</v>
      </c>
      <c r="H48" s="15">
        <f t="shared" si="6"/>
        <v>39.31111111111111</v>
      </c>
      <c r="I48" s="15">
        <f t="shared" si="7"/>
        <v>393.11111111111109</v>
      </c>
      <c r="J48" s="40" t="s">
        <v>788</v>
      </c>
      <c r="K48" s="41" t="s">
        <v>800</v>
      </c>
      <c r="L48" s="14">
        <f>SUMIF(Data!$B:$B,$A48,Data!$F:$F)</f>
        <v>145</v>
      </c>
      <c r="M48" s="40"/>
    </row>
    <row r="49" spans="1:13" ht="27" customHeight="1" x14ac:dyDescent="0.25">
      <c r="A49" s="4" t="s">
        <v>95</v>
      </c>
      <c r="B49" s="14">
        <f>COUNTIF(Data!$B:$B,$A49)</f>
        <v>50</v>
      </c>
      <c r="C49" s="14">
        <f t="shared" si="1"/>
        <v>821</v>
      </c>
      <c r="D49" s="15">
        <f t="shared" si="2"/>
        <v>1.8270401948842874E-2</v>
      </c>
      <c r="E49" s="15">
        <f t="shared" si="3"/>
        <v>0.21924482338611451</v>
      </c>
      <c r="F49" s="16">
        <f t="shared" si="4"/>
        <v>1.8115444286785243E-2</v>
      </c>
      <c r="G49" s="16">
        <f t="shared" si="5"/>
        <v>0.19698224539978748</v>
      </c>
      <c r="H49" s="15">
        <f t="shared" si="6"/>
        <v>4.5611111111111109</v>
      </c>
      <c r="I49" s="15">
        <f t="shared" si="7"/>
        <v>228.05555555555554</v>
      </c>
      <c r="J49" s="40" t="s">
        <v>788</v>
      </c>
      <c r="K49" s="41">
        <v>25</v>
      </c>
      <c r="L49" s="14">
        <f>SUMIF(Data!$B:$B,$A49,Data!$F:$F)</f>
        <v>1250</v>
      </c>
      <c r="M49" s="40"/>
    </row>
    <row r="50" spans="1:13" ht="27" customHeight="1" x14ac:dyDescent="0.25">
      <c r="A50" s="4" t="s">
        <v>133</v>
      </c>
      <c r="B50" s="14">
        <f>COUNTIF(Data!$B:$B,$A50)</f>
        <v>4</v>
      </c>
      <c r="C50" s="14">
        <f t="shared" si="1"/>
        <v>10260</v>
      </c>
      <c r="D50" s="15">
        <f t="shared" si="2"/>
        <v>1.4619883040935672E-3</v>
      </c>
      <c r="E50" s="15">
        <f t="shared" si="3"/>
        <v>1.7543859649122806E-2</v>
      </c>
      <c r="F50" s="16">
        <f t="shared" si="4"/>
        <v>1.4609912673418934E-3</v>
      </c>
      <c r="G50" s="16">
        <f t="shared" si="5"/>
        <v>1.7391702321652103E-2</v>
      </c>
      <c r="H50" s="15">
        <f t="shared" si="6"/>
        <v>57</v>
      </c>
      <c r="I50" s="15">
        <f t="shared" si="7"/>
        <v>228</v>
      </c>
      <c r="J50" s="40" t="s">
        <v>788</v>
      </c>
      <c r="K50" s="41">
        <v>25</v>
      </c>
      <c r="L50" s="14">
        <f>SUMIF(Data!$B:$B,$A50,Data!$F:$F)</f>
        <v>100</v>
      </c>
      <c r="M50" s="40"/>
    </row>
    <row r="51" spans="1:13" ht="27" customHeight="1" x14ac:dyDescent="0.25">
      <c r="A51" s="4" t="s">
        <v>100</v>
      </c>
      <c r="B51" s="14">
        <f>COUNTIF(Data!$B:$B,$A51)</f>
        <v>3</v>
      </c>
      <c r="C51" s="14">
        <f t="shared" si="1"/>
        <v>13680</v>
      </c>
      <c r="D51" s="15">
        <f t="shared" si="2"/>
        <v>1.0964912280701754E-3</v>
      </c>
      <c r="E51" s="15">
        <f t="shared" si="3"/>
        <v>1.3157894736842105E-2</v>
      </c>
      <c r="F51" s="16">
        <f t="shared" si="4"/>
        <v>1.0959303356857797E-3</v>
      </c>
      <c r="G51" s="16">
        <f t="shared" si="5"/>
        <v>1.3072182719547798E-2</v>
      </c>
      <c r="H51" s="15">
        <f t="shared" si="6"/>
        <v>76</v>
      </c>
      <c r="I51" s="15">
        <f t="shared" si="7"/>
        <v>228</v>
      </c>
      <c r="J51" s="40" t="s">
        <v>788</v>
      </c>
      <c r="K51" s="41">
        <v>25</v>
      </c>
      <c r="L51" s="14">
        <f>SUMIF(Data!$B:$B,$A51,Data!$F:$F)</f>
        <v>75</v>
      </c>
      <c r="M51" s="40"/>
    </row>
    <row r="52" spans="1:13" ht="27" customHeight="1" x14ac:dyDescent="0.25">
      <c r="A52" s="4" t="s">
        <v>113</v>
      </c>
      <c r="B52" s="14">
        <f>COUNTIF(Data!$B:$B,$A52)</f>
        <v>2</v>
      </c>
      <c r="C52" s="14">
        <f t="shared" si="1"/>
        <v>20520</v>
      </c>
      <c r="D52" s="15">
        <f t="shared" si="2"/>
        <v>7.3099415204678359E-4</v>
      </c>
      <c r="E52" s="15">
        <f t="shared" si="3"/>
        <v>8.771929824561403E-3</v>
      </c>
      <c r="F52" s="16">
        <f t="shared" si="4"/>
        <v>7.3074484022117581E-4</v>
      </c>
      <c r="G52" s="16">
        <f t="shared" si="5"/>
        <v>8.7337805782319311E-3</v>
      </c>
      <c r="H52" s="15">
        <f t="shared" si="6"/>
        <v>114</v>
      </c>
      <c r="I52" s="15">
        <f t="shared" si="7"/>
        <v>228</v>
      </c>
      <c r="J52" s="40" t="s">
        <v>788</v>
      </c>
      <c r="K52" s="41">
        <v>25</v>
      </c>
      <c r="L52" s="14">
        <f>SUMIF(Data!$B:$B,$A52,Data!$F:$F)</f>
        <v>50</v>
      </c>
      <c r="M52" s="40"/>
    </row>
    <row r="53" spans="1:13" ht="27" customHeight="1" x14ac:dyDescent="0.25">
      <c r="A53" s="4" t="s">
        <v>102</v>
      </c>
      <c r="B53" s="14">
        <f>COUNTIF(Data!$B:$B,$A53)</f>
        <v>1</v>
      </c>
      <c r="C53" s="14">
        <f t="shared" si="1"/>
        <v>41040</v>
      </c>
      <c r="D53" s="15">
        <f t="shared" si="2"/>
        <v>3.6549707602339179E-4</v>
      </c>
      <c r="E53" s="15">
        <f t="shared" si="3"/>
        <v>4.3859649122807015E-3</v>
      </c>
      <c r="F53" s="16">
        <f t="shared" si="4"/>
        <v>3.6543474148587052E-4</v>
      </c>
      <c r="G53" s="16">
        <f t="shared" si="5"/>
        <v>4.3764138169277711E-3</v>
      </c>
      <c r="H53" s="15">
        <f t="shared" si="6"/>
        <v>228</v>
      </c>
      <c r="I53" s="15">
        <f t="shared" si="7"/>
        <v>228</v>
      </c>
      <c r="J53" s="40" t="s">
        <v>788</v>
      </c>
      <c r="K53" s="41">
        <v>25</v>
      </c>
      <c r="L53" s="14">
        <f>SUMIF(Data!$B:$B,$A53,Data!$F:$F)</f>
        <v>25</v>
      </c>
      <c r="M53" s="40"/>
    </row>
    <row r="54" spans="1:13" ht="27" customHeight="1" x14ac:dyDescent="0.25">
      <c r="A54" s="4" t="s">
        <v>101</v>
      </c>
      <c r="B54" s="14">
        <f>COUNTIF(Data!$B:$B,$A54)</f>
        <v>1</v>
      </c>
      <c r="C54" s="14">
        <f t="shared" si="1"/>
        <v>41040</v>
      </c>
      <c r="D54" s="15">
        <f t="shared" si="2"/>
        <v>3.6549707602339179E-4</v>
      </c>
      <c r="E54" s="15">
        <f t="shared" si="3"/>
        <v>4.3859649122807015E-3</v>
      </c>
      <c r="F54" s="16">
        <f t="shared" si="4"/>
        <v>3.6543474148587052E-4</v>
      </c>
      <c r="G54" s="16">
        <f t="shared" si="5"/>
        <v>4.3764138169277711E-3</v>
      </c>
      <c r="H54" s="15">
        <f t="shared" si="6"/>
        <v>228</v>
      </c>
      <c r="I54" s="15">
        <f t="shared" si="7"/>
        <v>228</v>
      </c>
      <c r="J54" s="40" t="s">
        <v>788</v>
      </c>
      <c r="K54" s="41">
        <v>25</v>
      </c>
      <c r="L54" s="14">
        <f>SUMIF(Data!$B:$B,$A54,Data!$F:$F)</f>
        <v>25</v>
      </c>
      <c r="M54" s="40"/>
    </row>
    <row r="55" spans="1:13" ht="27" customHeight="1" x14ac:dyDescent="0.25">
      <c r="A55" s="4" t="s">
        <v>111</v>
      </c>
      <c r="B55" s="14">
        <f>COUNTIF(Data!$B:$B,$A55)</f>
        <v>66</v>
      </c>
      <c r="C55" s="14">
        <f t="shared" si="1"/>
        <v>622</v>
      </c>
      <c r="D55" s="15">
        <f t="shared" si="2"/>
        <v>2.4115755627009645E-2</v>
      </c>
      <c r="E55" s="15">
        <f t="shared" si="3"/>
        <v>0.28938906752411575</v>
      </c>
      <c r="F55" s="16">
        <f t="shared" si="4"/>
        <v>2.3846238137297582E-2</v>
      </c>
      <c r="G55" s="16">
        <f t="shared" si="5"/>
        <v>0.25145349417820051</v>
      </c>
      <c r="H55" s="15">
        <f t="shared" si="6"/>
        <v>3.4555555555555557</v>
      </c>
      <c r="I55" s="15">
        <f t="shared" si="7"/>
        <v>228.06666666666666</v>
      </c>
      <c r="J55" s="40" t="s">
        <v>788</v>
      </c>
      <c r="K55" s="41">
        <v>25</v>
      </c>
      <c r="L55" s="14">
        <f>SUMIF(Data!$B:$B,$A55,Data!$F:$F)</f>
        <v>1650</v>
      </c>
      <c r="M55" s="40"/>
    </row>
    <row r="56" spans="1:13" ht="27" customHeight="1" x14ac:dyDescent="0.25">
      <c r="A56" s="4" t="s">
        <v>70</v>
      </c>
      <c r="B56" s="14">
        <f>COUNTIF(Data!$B:$B,$A56)</f>
        <v>100</v>
      </c>
      <c r="C56" s="14">
        <f t="shared" si="1"/>
        <v>410</v>
      </c>
      <c r="D56" s="15">
        <f t="shared" si="2"/>
        <v>3.6585365853658534E-2</v>
      </c>
      <c r="E56" s="15">
        <f t="shared" si="3"/>
        <v>0.43902439024390244</v>
      </c>
      <c r="F56" s="16">
        <f t="shared" si="4"/>
        <v>3.596729137017296E-2</v>
      </c>
      <c r="G56" s="16">
        <f t="shared" si="5"/>
        <v>0.35568056450159824</v>
      </c>
      <c r="H56" s="15">
        <f t="shared" si="6"/>
        <v>2.2777777777777777</v>
      </c>
      <c r="I56" s="15">
        <f t="shared" si="7"/>
        <v>227.77777777777777</v>
      </c>
      <c r="J56" s="40" t="s">
        <v>788</v>
      </c>
      <c r="K56" s="41">
        <v>25</v>
      </c>
      <c r="L56" s="14">
        <f>SUMIF(Data!$B:$B,$A56,Data!$F:$F)</f>
        <v>2500</v>
      </c>
      <c r="M56" s="40"/>
    </row>
    <row r="57" spans="1:13" ht="27" customHeight="1" x14ac:dyDescent="0.25">
      <c r="A57" s="4" t="s">
        <v>81</v>
      </c>
      <c r="B57" s="14">
        <f>COUNTIF(Data!$B:$B,$A57)</f>
        <v>100</v>
      </c>
      <c r="C57" s="14">
        <f t="shared" si="1"/>
        <v>410</v>
      </c>
      <c r="D57" s="15">
        <f t="shared" si="2"/>
        <v>3.6585365853658534E-2</v>
      </c>
      <c r="E57" s="15">
        <f t="shared" si="3"/>
        <v>0.43902439024390244</v>
      </c>
      <c r="F57" s="16">
        <f t="shared" si="4"/>
        <v>3.596729137017296E-2</v>
      </c>
      <c r="G57" s="16">
        <f t="shared" si="5"/>
        <v>0.35568056450159824</v>
      </c>
      <c r="H57" s="15">
        <f t="shared" si="6"/>
        <v>2.2777777777777777</v>
      </c>
      <c r="I57" s="15">
        <f t="shared" si="7"/>
        <v>227.77777777777777</v>
      </c>
      <c r="J57" s="40" t="s">
        <v>788</v>
      </c>
      <c r="K57" s="41">
        <v>25</v>
      </c>
      <c r="L57" s="14">
        <f>SUMIF(Data!$B:$B,$A57,Data!$F:$F)</f>
        <v>2500</v>
      </c>
      <c r="M57" s="40"/>
    </row>
    <row r="58" spans="1:13" ht="27" customHeight="1" x14ac:dyDescent="0.25">
      <c r="A58" s="4" t="s">
        <v>143</v>
      </c>
      <c r="B58" s="14">
        <f>COUNTIFS(Data!$B:$B,"Autographs Triples",Data!$G:$G,"N",Data!$H:$H,"Y")</f>
        <v>2</v>
      </c>
      <c r="C58" s="14">
        <v>18000</v>
      </c>
      <c r="D58" s="15">
        <f>$B$4/C58</f>
        <v>8.3333333333333339E-4</v>
      </c>
      <c r="E58" s="15">
        <f>$B$6/C58</f>
        <v>0.01</v>
      </c>
      <c r="F58" s="16">
        <f>1-POWER(1-1/C58,$B$4)</f>
        <v>8.3300933726426774E-4</v>
      </c>
      <c r="G58" s="16">
        <f>1-POWER(1-1/C58,$B$6)</f>
        <v>9.9504412748249171E-3</v>
      </c>
      <c r="H58" s="15">
        <f>C58/$B$6</f>
        <v>100</v>
      </c>
      <c r="I58" s="15">
        <f>(C58*B58)/$B$6</f>
        <v>200</v>
      </c>
      <c r="J58" s="40" t="s">
        <v>183</v>
      </c>
      <c r="K58" s="14"/>
      <c r="L58" s="14"/>
      <c r="M58" s="40" t="s">
        <v>801</v>
      </c>
    </row>
    <row r="59" spans="1:13" ht="27" customHeight="1" x14ac:dyDescent="0.25">
      <c r="A59" s="4" t="s">
        <v>145</v>
      </c>
      <c r="B59" s="14">
        <f>COUNTIFS(Data!$B:$B,"Autographs Quads",Data!$G:$G,"N",Data!$H:$H,"Y")</f>
        <v>1</v>
      </c>
      <c r="C59" s="14">
        <v>30000</v>
      </c>
      <c r="D59" s="15">
        <f>$B$4/C59</f>
        <v>5.0000000000000001E-4</v>
      </c>
      <c r="E59" s="15">
        <f>$B$6/C59</f>
        <v>6.0000000000000001E-3</v>
      </c>
      <c r="F59" s="16">
        <f>1-POWER(1-1/C59,$B$4)</f>
        <v>4.9988335018369412E-4</v>
      </c>
      <c r="G59" s="16">
        <f>1-POWER(1-1/C59,$B$6)</f>
        <v>5.982135350067197E-3</v>
      </c>
      <c r="H59" s="15">
        <f>C59/$B$6</f>
        <v>166.66666666666666</v>
      </c>
      <c r="I59" s="15">
        <f>(C59*B59)/$B$6</f>
        <v>166.66666666666666</v>
      </c>
      <c r="J59" s="40" t="s">
        <v>183</v>
      </c>
      <c r="K59" s="14"/>
      <c r="L59" s="14"/>
      <c r="M59" s="40" t="s">
        <v>801</v>
      </c>
    </row>
    <row r="60" spans="1:13" ht="27" customHeight="1" x14ac:dyDescent="0.25">
      <c r="A60" s="4" t="s">
        <v>114</v>
      </c>
      <c r="B60" s="14">
        <f>COUNTIFS(Data!$B:$B,"Autographs Quads (Inscribed)",Data!$G:$G,"N",Data!$H:$H,"Y")</f>
        <v>1</v>
      </c>
      <c r="C60" s="14">
        <v>30000</v>
      </c>
      <c r="D60" s="15">
        <f>$B$4/C60</f>
        <v>5.0000000000000001E-4</v>
      </c>
      <c r="E60" s="15">
        <f>$B$6/C60</f>
        <v>6.0000000000000001E-3</v>
      </c>
      <c r="F60" s="16">
        <f>1-POWER(1-1/C60,$B$4)</f>
        <v>4.9988335018369412E-4</v>
      </c>
      <c r="G60" s="16">
        <f>1-POWER(1-1/C60,$B$6)</f>
        <v>5.982135350067197E-3</v>
      </c>
      <c r="H60" s="15">
        <f>C60/$B$6</f>
        <v>166.66666666666666</v>
      </c>
      <c r="I60" s="15">
        <f>(C60*B60)/$B$6</f>
        <v>166.66666666666666</v>
      </c>
      <c r="J60" s="40" t="s">
        <v>183</v>
      </c>
      <c r="K60" s="14"/>
      <c r="L60" s="14"/>
      <c r="M60" s="40" t="s">
        <v>801</v>
      </c>
    </row>
    <row r="61" spans="1:13" ht="27" customHeight="1" x14ac:dyDescent="0.25">
      <c r="A61" s="4" t="s">
        <v>136</v>
      </c>
      <c r="B61" s="14">
        <f>COUNTIF(Data!$B:$B,$A61)</f>
        <v>64</v>
      </c>
      <c r="C61" s="14">
        <f>IF($L61=0,"",ROUND($D$13/$L61,0))</f>
        <v>433</v>
      </c>
      <c r="D61" s="15">
        <f>IF($C61=0,"",$B$4/$C61)</f>
        <v>3.4642032332563508E-2</v>
      </c>
      <c r="E61" s="15">
        <f>IF($C61=0,"",$B$6/$C61)</f>
        <v>0.41570438799076215</v>
      </c>
      <c r="F61" s="16">
        <f>IF($C61=0,"",1-POWER(1-1/$C61,$B$4))</f>
        <v>3.4087565482431414E-2</v>
      </c>
      <c r="G61" s="16">
        <f>IF($C61=0,"",1-POWER(1-1/$C61,$B$6))</f>
        <v>0.34044186230390705</v>
      </c>
      <c r="H61" s="15">
        <f>IF($C61=0,"",$C61/$B$6)</f>
        <v>2.4055555555555554</v>
      </c>
      <c r="I61" s="15">
        <f>IF($C61=0,"",($C61*$B61)/$B$6)</f>
        <v>153.95555555555555</v>
      </c>
      <c r="J61" s="40" t="s">
        <v>788</v>
      </c>
      <c r="K61" s="41" t="s">
        <v>802</v>
      </c>
      <c r="L61" s="14">
        <f>SUMIF(Data!$B:$B,$A61,Data!$F:$F)</f>
        <v>2368</v>
      </c>
      <c r="M61" s="40"/>
    </row>
    <row r="62" spans="1:13" ht="27" customHeight="1" x14ac:dyDescent="0.25">
      <c r="A62" s="4" t="s">
        <v>141</v>
      </c>
      <c r="B62" s="14">
        <f>COUNTIFS(Data!$B:$B,"Autographs Duals",Data!$G:$G,"N",Data!$H:$H,"Y")</f>
        <v>12</v>
      </c>
      <c r="C62" s="14">
        <v>1800</v>
      </c>
      <c r="D62" s="15">
        <f>$B$4/C62</f>
        <v>8.3333333333333332E-3</v>
      </c>
      <c r="E62" s="15">
        <f>$B$6/C62</f>
        <v>0.1</v>
      </c>
      <c r="F62" s="16">
        <f>1-POWER(1-1/C62,$B$4)</f>
        <v>8.3010038138872089E-3</v>
      </c>
      <c r="G62" s="16">
        <f>1-POWER(1-1/C62,$B$6)</f>
        <v>9.5187725300322046E-2</v>
      </c>
      <c r="H62" s="15">
        <f>C62/$B$6</f>
        <v>10</v>
      </c>
      <c r="I62" s="15">
        <f>(C62*B62)/$B$6</f>
        <v>120</v>
      </c>
      <c r="J62" s="40" t="s">
        <v>183</v>
      </c>
      <c r="K62" s="14"/>
      <c r="L62" s="14"/>
      <c r="M62" s="40" t="s">
        <v>801</v>
      </c>
    </row>
    <row r="63" spans="1:13" ht="27" customHeight="1" x14ac:dyDescent="0.25">
      <c r="A63" s="4" t="s">
        <v>139</v>
      </c>
      <c r="B63" s="14">
        <f>COUNTIF(Data!$B:$B,$A63)</f>
        <v>29</v>
      </c>
      <c r="C63" s="14">
        <f>IF($L63=0,"",ROUND($D$13/$L63,0))</f>
        <v>722</v>
      </c>
      <c r="D63" s="15">
        <f>IF($C63=0,"",$B$4/$C63)</f>
        <v>2.077562326869806E-2</v>
      </c>
      <c r="E63" s="15">
        <f>IF($C63=0,"",$B$6/$C63)</f>
        <v>0.24930747922437674</v>
      </c>
      <c r="F63" s="16">
        <f>IF($C63=0,"",1-POWER(1-1/$C63,$B$4))</f>
        <v>2.0575401476608079E-2</v>
      </c>
      <c r="G63" s="16">
        <f>IF($C63=0,"",1-POWER(1-1/$C63,$B$6))</f>
        <v>0.22079436072536229</v>
      </c>
      <c r="H63" s="15">
        <f>IF($C63=0,"",$C63/$B$6)</f>
        <v>4.0111111111111111</v>
      </c>
      <c r="I63" s="15">
        <f>IF($C63=0,"",($C63*$B63)/$B$6)</f>
        <v>116.32222222222222</v>
      </c>
      <c r="J63" s="40" t="s">
        <v>788</v>
      </c>
      <c r="K63" s="41">
        <v>49</v>
      </c>
      <c r="L63" s="14">
        <f>SUMIF(Data!$B:$B,$A63,Data!$F:$F)</f>
        <v>1421</v>
      </c>
      <c r="M63" s="40"/>
    </row>
    <row r="64" spans="1:13" ht="27" customHeight="1" x14ac:dyDescent="0.25">
      <c r="A64" s="4" t="s">
        <v>98</v>
      </c>
      <c r="B64" s="14">
        <f>COUNTIFS(Data!$B:$B,"Quad Supes Suits",Data!$G:$G,"N",Data!$H:$H,"Y")</f>
        <v>2</v>
      </c>
      <c r="C64" s="14">
        <v>7200</v>
      </c>
      <c r="D64" s="15">
        <f>$B$4/C64</f>
        <v>2.0833333333333333E-3</v>
      </c>
      <c r="E64" s="15">
        <f>$B$6/C64</f>
        <v>2.5000000000000001E-2</v>
      </c>
      <c r="F64" s="16">
        <f>1-POWER(1-1/C64,$B$4)</f>
        <v>2.0813090888912589E-3</v>
      </c>
      <c r="G64" s="16">
        <f>1-POWER(1-1/C64,$B$6)</f>
        <v>2.4691781373369581E-2</v>
      </c>
      <c r="H64" s="15">
        <f>C64/$B$6</f>
        <v>40</v>
      </c>
      <c r="I64" s="15">
        <f>(C64*B64)/$B$6</f>
        <v>80</v>
      </c>
      <c r="J64" s="40" t="s">
        <v>183</v>
      </c>
      <c r="K64" s="14"/>
      <c r="L64" s="14"/>
      <c r="M64" s="40" t="s">
        <v>801</v>
      </c>
    </row>
    <row r="65" spans="1:13" ht="27" customHeight="1" x14ac:dyDescent="0.25">
      <c r="A65" s="4" t="s">
        <v>69</v>
      </c>
      <c r="B65" s="14">
        <f>COUNTIF(Data!$B:$B,$A65)</f>
        <v>100</v>
      </c>
      <c r="C65" s="14">
        <f>IF($L65=0,"",ROUND($D$13/$L65,0))</f>
        <v>125</v>
      </c>
      <c r="D65" s="15">
        <f>IF($C65=0,"",$B$4/$C65)</f>
        <v>0.12</v>
      </c>
      <c r="E65" s="15">
        <f>IF($C65=0,"",$B$6/$C65)</f>
        <v>1.44</v>
      </c>
      <c r="F65" s="16">
        <f>IF($C65=0,"",1-POWER(1-1/$C65,$B$4))</f>
        <v>0.11350746606366158</v>
      </c>
      <c r="G65" s="16">
        <f>IF($C65=0,"",1-POWER(1-1/$C65,$B$6))</f>
        <v>0.76444030260060691</v>
      </c>
      <c r="H65" s="15">
        <f>IF($C65=0,"",$C65/$B$6)</f>
        <v>0.69444444444444442</v>
      </c>
      <c r="I65" s="15">
        <f>IF($C65=0,"",($C65*$B65)/$B$6)</f>
        <v>69.444444444444443</v>
      </c>
      <c r="J65" s="40" t="s">
        <v>788</v>
      </c>
      <c r="K65" s="41">
        <v>82</v>
      </c>
      <c r="L65" s="14">
        <f>SUMIF(Data!$B:$B,$A65,Data!$F:$F)</f>
        <v>8200</v>
      </c>
      <c r="M65" s="40"/>
    </row>
    <row r="66" spans="1:13" ht="27" customHeight="1" x14ac:dyDescent="0.25">
      <c r="A66" s="4" t="s">
        <v>79</v>
      </c>
      <c r="B66" s="14">
        <f>COUNTIF(Data!$B:$B,$A66)</f>
        <v>100</v>
      </c>
      <c r="C66" s="14">
        <f>IF($L66=0,"",ROUND($D$13/$L66,0))</f>
        <v>125</v>
      </c>
      <c r="D66" s="15">
        <f>IF($C66=0,"",$B$4/$C66)</f>
        <v>0.12</v>
      </c>
      <c r="E66" s="15">
        <f>IF($C66=0,"",$B$6/$C66)</f>
        <v>1.44</v>
      </c>
      <c r="F66" s="16">
        <f>IF($C66=0,"",1-POWER(1-1/$C66,$B$4))</f>
        <v>0.11350746606366158</v>
      </c>
      <c r="G66" s="16">
        <f>IF($C66=0,"",1-POWER(1-1/$C66,$B$6))</f>
        <v>0.76444030260060691</v>
      </c>
      <c r="H66" s="15">
        <f>IF($C66=0,"",$C66/$B$6)</f>
        <v>0.69444444444444442</v>
      </c>
      <c r="I66" s="15">
        <f>IF($C66=0,"",($C66*$B66)/$B$6)</f>
        <v>69.444444444444443</v>
      </c>
      <c r="J66" s="40" t="s">
        <v>788</v>
      </c>
      <c r="K66" s="41">
        <v>82</v>
      </c>
      <c r="L66" s="14">
        <f>SUMIF(Data!$B:$B,$A66,Data!$F:$F)</f>
        <v>8200</v>
      </c>
      <c r="M66" s="40"/>
    </row>
    <row r="67" spans="1:13" ht="27" customHeight="1" x14ac:dyDescent="0.25">
      <c r="A67" s="4" t="s">
        <v>93</v>
      </c>
      <c r="B67" s="14">
        <f>COUNTIF(Data!$B:$B,$A67)</f>
        <v>50</v>
      </c>
      <c r="C67" s="14">
        <f>IF($L67=0,"",ROUND($D$13/$L67,0))</f>
        <v>250</v>
      </c>
      <c r="D67" s="15">
        <f>IF($C67=0,"",$B$4/$C67)</f>
        <v>0.06</v>
      </c>
      <c r="E67" s="15">
        <f>IF($C67=0,"",$B$6/$C67)</f>
        <v>0.72</v>
      </c>
      <c r="F67" s="16">
        <f>IF($C67=0,"",1-POWER(1-1/$C67,$B$4))</f>
        <v>5.8348773614676497E-2</v>
      </c>
      <c r="G67" s="16">
        <f>IF($C67=0,"",1-POWER(1-1/$C67,$B$6))</f>
        <v>0.51395003491876756</v>
      </c>
      <c r="H67" s="15">
        <f>IF($C67=0,"",$C67/$B$6)</f>
        <v>1.3888888888888888</v>
      </c>
      <c r="I67" s="15">
        <f>IF($C67=0,"",($C67*$B67)/$B$6)</f>
        <v>69.444444444444443</v>
      </c>
      <c r="J67" s="40" t="s">
        <v>788</v>
      </c>
      <c r="K67" s="41">
        <v>82</v>
      </c>
      <c r="L67" s="14">
        <f>SUMIF(Data!$B:$B,$A67,Data!$F:$F)</f>
        <v>4100</v>
      </c>
      <c r="M67" s="40"/>
    </row>
    <row r="68" spans="1:13" ht="27" customHeight="1" x14ac:dyDescent="0.25">
      <c r="A68" s="4" t="s">
        <v>122</v>
      </c>
      <c r="B68" s="14">
        <f>COUNTIF(Data!$B:$B,$A68)</f>
        <v>14</v>
      </c>
      <c r="C68" s="14">
        <f>IF($L68=0,"",ROUND($D$13/$L68,0))</f>
        <v>814</v>
      </c>
      <c r="D68" s="15">
        <f>IF($C68=0,"",$B$4/$C68)</f>
        <v>1.8427518427518427E-2</v>
      </c>
      <c r="E68" s="15">
        <f>IF($C68=0,"",$B$6/$C68)</f>
        <v>0.22113022113022113</v>
      </c>
      <c r="F68" s="16">
        <f>IF($C68=0,"",1-POWER(1-1/$C68,$B$4))</f>
        <v>1.8269891326746501E-2</v>
      </c>
      <c r="G68" s="16">
        <f>IF($C68=0,"",1-POWER(1-1/$C68,$B$6))</f>
        <v>0.19849667771055257</v>
      </c>
      <c r="H68" s="15">
        <f>IF($C68=0,"",$C68/$B$6)</f>
        <v>4.5222222222222221</v>
      </c>
      <c r="I68" s="15">
        <f>IF($C68=0,"",($C68*$B68)/$B$6)</f>
        <v>63.31111111111111</v>
      </c>
      <c r="J68" s="40" t="s">
        <v>788</v>
      </c>
      <c r="K68" s="41">
        <v>90</v>
      </c>
      <c r="L68" s="14">
        <f>SUMIF(Data!$B:$B,$A68,Data!$F:$F)</f>
        <v>1260</v>
      </c>
      <c r="M68" s="40"/>
    </row>
    <row r="69" spans="1:13" ht="27" customHeight="1" x14ac:dyDescent="0.25">
      <c r="A69" s="4" t="s">
        <v>88</v>
      </c>
      <c r="B69" s="14">
        <f>COUNTIFS(Data!$B:$B,"A View From Home SPs",Data!$G:$G,"N",Data!$H:$H,"Y")</f>
        <v>10</v>
      </c>
      <c r="C69" s="14">
        <v>720</v>
      </c>
      <c r="D69" s="15">
        <f t="shared" ref="D69:D78" si="8">$B$4/C69</f>
        <v>2.0833333333333332E-2</v>
      </c>
      <c r="E69" s="15">
        <f t="shared" ref="E69:E78" si="9">$B$6/C69</f>
        <v>0.25</v>
      </c>
      <c r="F69" s="16">
        <f t="shared" ref="F69:F78" si="10">1-POWER(1-1/C69,$B$4)</f>
        <v>2.0632001001870681E-2</v>
      </c>
      <c r="G69" s="16">
        <f t="shared" ref="G69:G78" si="11">1-POWER(1-1/C69,$B$6)</f>
        <v>0.22133453896352973</v>
      </c>
      <c r="H69" s="15">
        <f t="shared" ref="H69:H78" si="12">C69/$B$6</f>
        <v>4</v>
      </c>
      <c r="I69" s="15">
        <f t="shared" ref="I69:I78" si="13">(C69*B69)/$B$6</f>
        <v>40</v>
      </c>
      <c r="J69" s="40" t="s">
        <v>183</v>
      </c>
      <c r="K69" s="14"/>
      <c r="L69" s="14"/>
      <c r="M69" s="40" t="s">
        <v>801</v>
      </c>
    </row>
    <row r="70" spans="1:13" ht="27" customHeight="1" x14ac:dyDescent="0.25">
      <c r="A70" s="4" t="s">
        <v>92</v>
      </c>
      <c r="B70" s="14">
        <f>COUNTIFS(Data!$B:$B,"Supes SPs",Data!$G:$G,"N",Data!$H:$H,"Y")</f>
        <v>10</v>
      </c>
      <c r="C70" s="14">
        <v>720</v>
      </c>
      <c r="D70" s="15">
        <f t="shared" si="8"/>
        <v>2.0833333333333332E-2</v>
      </c>
      <c r="E70" s="15">
        <f t="shared" si="9"/>
        <v>0.25</v>
      </c>
      <c r="F70" s="16">
        <f t="shared" si="10"/>
        <v>2.0632001001870681E-2</v>
      </c>
      <c r="G70" s="16">
        <f t="shared" si="11"/>
        <v>0.22133453896352973</v>
      </c>
      <c r="H70" s="15">
        <f t="shared" si="12"/>
        <v>4</v>
      </c>
      <c r="I70" s="15">
        <f t="shared" si="13"/>
        <v>40</v>
      </c>
      <c r="J70" s="40" t="s">
        <v>183</v>
      </c>
      <c r="K70" s="14"/>
      <c r="L70" s="14"/>
      <c r="M70" s="40" t="s">
        <v>801</v>
      </c>
    </row>
    <row r="71" spans="1:13" ht="27" customHeight="1" x14ac:dyDescent="0.25">
      <c r="A71" s="4" t="s">
        <v>96</v>
      </c>
      <c r="B71" s="14">
        <f>COUNTIFS(Data!$B:$B,"Triple Supes Suits",Data!$G:$G,"N",Data!$H:$H,"Y")</f>
        <v>2</v>
      </c>
      <c r="C71" s="14">
        <v>3600</v>
      </c>
      <c r="D71" s="15">
        <f t="shared" si="8"/>
        <v>4.1666666666666666E-3</v>
      </c>
      <c r="E71" s="15">
        <f t="shared" si="9"/>
        <v>0.05</v>
      </c>
      <c r="F71" s="16">
        <f t="shared" si="10"/>
        <v>4.1585745589232115E-3</v>
      </c>
      <c r="G71" s="16">
        <f t="shared" si="11"/>
        <v>4.8777182459791013E-2</v>
      </c>
      <c r="H71" s="15">
        <f t="shared" si="12"/>
        <v>20</v>
      </c>
      <c r="I71" s="15">
        <f t="shared" si="13"/>
        <v>40</v>
      </c>
      <c r="J71" s="40" t="s">
        <v>183</v>
      </c>
      <c r="K71" s="14"/>
      <c r="L71" s="14"/>
      <c r="M71" s="40" t="s">
        <v>801</v>
      </c>
    </row>
    <row r="72" spans="1:13" ht="27" customHeight="1" x14ac:dyDescent="0.25">
      <c r="A72" s="4" t="s">
        <v>803</v>
      </c>
      <c r="B72" s="14">
        <f>COUNTIFS(Data!$B:$B,"Supes Suits SP's",Data!$G:$G,"N",Data!$H:$H,"Y")</f>
        <v>8</v>
      </c>
      <c r="C72" s="14">
        <v>720</v>
      </c>
      <c r="D72" s="15">
        <f t="shared" si="8"/>
        <v>2.0833333333333332E-2</v>
      </c>
      <c r="E72" s="15">
        <f t="shared" si="9"/>
        <v>0.25</v>
      </c>
      <c r="F72" s="16">
        <f t="shared" si="10"/>
        <v>2.0632001001870681E-2</v>
      </c>
      <c r="G72" s="16">
        <f t="shared" si="11"/>
        <v>0.22133453896352973</v>
      </c>
      <c r="H72" s="15">
        <f t="shared" si="12"/>
        <v>4</v>
      </c>
      <c r="I72" s="15">
        <f t="shared" si="13"/>
        <v>32</v>
      </c>
      <c r="J72" s="40" t="s">
        <v>183</v>
      </c>
      <c r="K72" s="14"/>
      <c r="L72" s="14"/>
      <c r="M72" s="40" t="s">
        <v>801</v>
      </c>
    </row>
    <row r="73" spans="1:13" ht="27" customHeight="1" x14ac:dyDescent="0.25">
      <c r="A73" s="4" t="s">
        <v>129</v>
      </c>
      <c r="B73" s="14">
        <f>COUNTIFS(Data!$B:$B,"Action Figures Autographs",Data!$G:$G,"N",Data!$H:$H,"Y")</f>
        <v>14</v>
      </c>
      <c r="C73" s="14">
        <v>360</v>
      </c>
      <c r="D73" s="15">
        <f t="shared" si="8"/>
        <v>4.1666666666666664E-2</v>
      </c>
      <c r="E73" s="15">
        <f t="shared" si="9"/>
        <v>0.5</v>
      </c>
      <c r="F73" s="16">
        <f t="shared" si="10"/>
        <v>4.0866152936336442E-2</v>
      </c>
      <c r="G73" s="16">
        <f t="shared" si="11"/>
        <v>0.3938911770065251</v>
      </c>
      <c r="H73" s="15">
        <f t="shared" si="12"/>
        <v>2</v>
      </c>
      <c r="I73" s="15">
        <f t="shared" si="13"/>
        <v>28</v>
      </c>
      <c r="J73" s="40" t="s">
        <v>183</v>
      </c>
      <c r="K73" s="14"/>
      <c r="L73" s="14"/>
      <c r="M73" s="40" t="s">
        <v>801</v>
      </c>
    </row>
    <row r="74" spans="1:13" ht="27" customHeight="1" x14ac:dyDescent="0.25">
      <c r="A74" s="4" t="s">
        <v>86</v>
      </c>
      <c r="B74" s="14">
        <f>COUNTIFS(Data!$B:$B,"Most Wanted",Data!$G:$G,"N",Data!$H:$H,"Y")</f>
        <v>5</v>
      </c>
      <c r="C74" s="14">
        <v>900</v>
      </c>
      <c r="D74" s="15">
        <f t="shared" si="8"/>
        <v>1.6666666666666666E-2</v>
      </c>
      <c r="E74" s="15">
        <f t="shared" si="9"/>
        <v>0.2</v>
      </c>
      <c r="F74" s="16">
        <f t="shared" si="10"/>
        <v>1.6537659104298164E-2</v>
      </c>
      <c r="G74" s="16">
        <f t="shared" si="11"/>
        <v>0.18136027938593513</v>
      </c>
      <c r="H74" s="15">
        <f t="shared" si="12"/>
        <v>5</v>
      </c>
      <c r="I74" s="15">
        <f t="shared" si="13"/>
        <v>25</v>
      </c>
      <c r="J74" s="40" t="s">
        <v>183</v>
      </c>
      <c r="K74" s="14"/>
      <c r="L74" s="14"/>
      <c r="M74" s="40" t="s">
        <v>801</v>
      </c>
    </row>
    <row r="75" spans="1:13" ht="27" customHeight="1" x14ac:dyDescent="0.25">
      <c r="A75" s="4" t="s">
        <v>94</v>
      </c>
      <c r="B75" s="14">
        <f>COUNTIFS(Data!$B:$B,"Action Figures Autographs Variation",Data!$G:$G,"N",Data!$H:$H,"Y")</f>
        <v>4</v>
      </c>
      <c r="C75" s="14">
        <v>1080</v>
      </c>
      <c r="D75" s="15">
        <f t="shared" si="8"/>
        <v>1.3888888888888888E-2</v>
      </c>
      <c r="E75" s="15">
        <f t="shared" si="9"/>
        <v>0.16666666666666666</v>
      </c>
      <c r="F75" s="16">
        <f t="shared" si="10"/>
        <v>1.3799228505151473E-2</v>
      </c>
      <c r="G75" s="16">
        <f t="shared" si="11"/>
        <v>0.15358362788026325</v>
      </c>
      <c r="H75" s="15">
        <f t="shared" si="12"/>
        <v>6</v>
      </c>
      <c r="I75" s="15">
        <f t="shared" si="13"/>
        <v>24</v>
      </c>
      <c r="J75" s="40" t="s">
        <v>183</v>
      </c>
      <c r="K75" s="14"/>
      <c r="L75" s="14"/>
      <c r="M75" s="40" t="s">
        <v>801</v>
      </c>
    </row>
    <row r="76" spans="1:13" ht="27" customHeight="1" x14ac:dyDescent="0.25">
      <c r="A76" s="4" t="s">
        <v>132</v>
      </c>
      <c r="B76" s="14">
        <f>COUNTIFS(Data!$B:$B,"Dual Supes Suits",Data!$G:$G,"N",Data!$H:$H,"Y")</f>
        <v>6</v>
      </c>
      <c r="C76" s="14">
        <v>630</v>
      </c>
      <c r="D76" s="15">
        <f t="shared" si="8"/>
        <v>2.3809523809523808E-2</v>
      </c>
      <c r="E76" s="15">
        <f t="shared" si="9"/>
        <v>0.2857142857142857</v>
      </c>
      <c r="F76" s="16">
        <f t="shared" si="10"/>
        <v>2.3546784568019286E-2</v>
      </c>
      <c r="G76" s="16">
        <f t="shared" si="11"/>
        <v>0.24869327111504336</v>
      </c>
      <c r="H76" s="15">
        <f t="shared" si="12"/>
        <v>3.5</v>
      </c>
      <c r="I76" s="15">
        <f t="shared" si="13"/>
        <v>21</v>
      </c>
      <c r="J76" s="40" t="s">
        <v>183</v>
      </c>
      <c r="K76" s="14"/>
      <c r="L76" s="14"/>
      <c r="M76" s="40" t="s">
        <v>801</v>
      </c>
    </row>
    <row r="77" spans="1:13" ht="27" customHeight="1" x14ac:dyDescent="0.25">
      <c r="A77" s="4" t="s">
        <v>138</v>
      </c>
      <c r="B77" s="14">
        <f>COUNTIFS(Data!$B:$B,"Characters Auto Parallel",Data!$G:$G,"N",Data!$H:$H,"Y")</f>
        <v>30</v>
      </c>
      <c r="C77" s="14">
        <v>105</v>
      </c>
      <c r="D77" s="15">
        <f t="shared" si="8"/>
        <v>0.14285714285714285</v>
      </c>
      <c r="E77" s="15">
        <f t="shared" si="9"/>
        <v>1.7142857142857142</v>
      </c>
      <c r="F77" s="16">
        <f t="shared" si="10"/>
        <v>0.13371538115528336</v>
      </c>
      <c r="G77" s="16">
        <f t="shared" si="11"/>
        <v>0.82138116963221075</v>
      </c>
      <c r="H77" s="15">
        <f t="shared" si="12"/>
        <v>0.58333333333333337</v>
      </c>
      <c r="I77" s="15">
        <f t="shared" si="13"/>
        <v>17.5</v>
      </c>
      <c r="J77" s="40" t="s">
        <v>183</v>
      </c>
      <c r="K77" s="14"/>
      <c r="L77" s="14"/>
      <c r="M77" s="40" t="s">
        <v>801</v>
      </c>
    </row>
    <row r="78" spans="1:13" ht="27" customHeight="1" x14ac:dyDescent="0.25">
      <c r="A78" s="4" t="s">
        <v>29</v>
      </c>
      <c r="B78" s="14">
        <f>COUNTIFS(Data!$B:$B,"Retro",Data!$G:$G,"N",Data!$H:$H,"Y")</f>
        <v>15</v>
      </c>
      <c r="C78" s="14">
        <v>180</v>
      </c>
      <c r="D78" s="15">
        <f t="shared" si="8"/>
        <v>8.3333333333333329E-2</v>
      </c>
      <c r="E78" s="15">
        <f t="shared" si="9"/>
        <v>1</v>
      </c>
      <c r="F78" s="16">
        <f t="shared" si="10"/>
        <v>8.016932587444292E-2</v>
      </c>
      <c r="G78" s="16">
        <f t="shared" si="11"/>
        <v>0.63314481823644075</v>
      </c>
      <c r="H78" s="15">
        <f t="shared" si="12"/>
        <v>1</v>
      </c>
      <c r="I78" s="15">
        <f t="shared" si="13"/>
        <v>15</v>
      </c>
      <c r="J78" s="40" t="s">
        <v>183</v>
      </c>
      <c r="K78" s="14"/>
      <c r="L78" s="14"/>
      <c r="M78" s="40" t="s">
        <v>801</v>
      </c>
    </row>
    <row r="79" spans="1:13" ht="27" customHeight="1" x14ac:dyDescent="0.25">
      <c r="A79" s="4" t="s">
        <v>65</v>
      </c>
      <c r="B79" s="14">
        <f>COUNTIF(Data!$B:$B,$A79)</f>
        <v>100</v>
      </c>
      <c r="C79" s="14">
        <f>IF($L79=0,"",ROUND($D$13/$L79,0))</f>
        <v>26</v>
      </c>
      <c r="D79" s="15">
        <f>IF($C79=0,"",$B$4/$C79)</f>
        <v>0.57692307692307687</v>
      </c>
      <c r="E79" s="15">
        <f>IF($C79=0,"",$B$6/$C79)</f>
        <v>6.9230769230769234</v>
      </c>
      <c r="F79" s="16">
        <f>IF($C79=0,"",1-POWER(1-1/$C79,$B$4))</f>
        <v>0.4447354972867249</v>
      </c>
      <c r="G79" s="16">
        <f>IF($C79=0,"",1-POWER(1-1/$C79,$B$6))</f>
        <v>0.99914098860237788</v>
      </c>
      <c r="H79" s="15">
        <f>IF($C79=0,"",$C79/$B$6)</f>
        <v>0.14444444444444443</v>
      </c>
      <c r="I79" s="15">
        <f>IF($C79=0,"",($C79*$B79)/$B$6)</f>
        <v>14.444444444444445</v>
      </c>
      <c r="J79" s="40" t="s">
        <v>788</v>
      </c>
      <c r="K79" s="41">
        <v>399</v>
      </c>
      <c r="L79" s="14">
        <f>SUMIF(Data!$B:$B,$A79,Data!$F:$F)</f>
        <v>39900</v>
      </c>
      <c r="M79" s="40"/>
    </row>
    <row r="80" spans="1:13" ht="27" customHeight="1" x14ac:dyDescent="0.25">
      <c r="A80" s="4" t="s">
        <v>76</v>
      </c>
      <c r="B80" s="14">
        <f>COUNTIF(Data!$B:$B,$A80)</f>
        <v>100</v>
      </c>
      <c r="C80" s="14">
        <f>IF($L80=0,"",ROUND($D$13/$L80,0))</f>
        <v>26</v>
      </c>
      <c r="D80" s="15">
        <f>IF($C80=0,"",$B$4/$C80)</f>
        <v>0.57692307692307687</v>
      </c>
      <c r="E80" s="15">
        <f>IF($C80=0,"",$B$6/$C80)</f>
        <v>6.9230769230769234</v>
      </c>
      <c r="F80" s="16">
        <f>IF($C80=0,"",1-POWER(1-1/$C80,$B$4))</f>
        <v>0.4447354972867249</v>
      </c>
      <c r="G80" s="16">
        <f>IF($C80=0,"",1-POWER(1-1/$C80,$B$6))</f>
        <v>0.99914098860237788</v>
      </c>
      <c r="H80" s="15">
        <f>IF($C80=0,"",$C80/$B$6)</f>
        <v>0.14444444444444443</v>
      </c>
      <c r="I80" s="15">
        <f>IF($C80=0,"",($C80*$B80)/$B$6)</f>
        <v>14.444444444444445</v>
      </c>
      <c r="J80" s="40" t="s">
        <v>788</v>
      </c>
      <c r="K80" s="41">
        <v>399</v>
      </c>
      <c r="L80" s="14">
        <f>SUMIF(Data!$B:$B,$A80,Data!$F:$F)</f>
        <v>39900</v>
      </c>
      <c r="M80" s="40"/>
    </row>
    <row r="81" spans="1:13" ht="27" customHeight="1" x14ac:dyDescent="0.25">
      <c r="A81" s="4" t="s">
        <v>89</v>
      </c>
      <c r="B81" s="14">
        <f>COUNTIF(Data!$B:$B,$A81)</f>
        <v>50</v>
      </c>
      <c r="C81" s="14">
        <f>IF($L81=0,"",ROUND($D$13/$L81,0))</f>
        <v>51</v>
      </c>
      <c r="D81" s="15">
        <f>IF($C81=0,"",$B$4/$C81)</f>
        <v>0.29411764705882354</v>
      </c>
      <c r="E81" s="15">
        <f>IF($C81=0,"",$B$6/$C81)</f>
        <v>3.5294117647058822</v>
      </c>
      <c r="F81" s="16">
        <f>IF($C81=0,"",1-POWER(1-1/$C81,$B$4))</f>
        <v>0.2569852700114813</v>
      </c>
      <c r="G81" s="16">
        <f>IF($C81=0,"",1-POWER(1-1/$C81,$B$6))</f>
        <v>0.97168809562003366</v>
      </c>
      <c r="H81" s="15">
        <f>IF($C81=0,"",$C81/$B$6)</f>
        <v>0.28333333333333333</v>
      </c>
      <c r="I81" s="15">
        <f>IF($C81=0,"",($C81*$B81)/$B$6)</f>
        <v>14.166666666666666</v>
      </c>
      <c r="J81" s="40" t="s">
        <v>788</v>
      </c>
      <c r="K81" s="41">
        <v>399</v>
      </c>
      <c r="L81" s="14">
        <f>SUMIF(Data!$B:$B,$A81,Data!$F:$F)</f>
        <v>19950</v>
      </c>
      <c r="M81" s="40"/>
    </row>
    <row r="82" spans="1:13" ht="27" customHeight="1" x14ac:dyDescent="0.25">
      <c r="A82" s="4" t="s">
        <v>25</v>
      </c>
      <c r="B82" s="14">
        <f>COUNTIFS(Data!$B:$B,"Team Ups",Data!$G:$G,"N",Data!$H:$H,"Y")</f>
        <v>25</v>
      </c>
      <c r="C82" s="14">
        <v>100</v>
      </c>
      <c r="D82" s="15">
        <f t="shared" ref="D82:D95" si="14">$B$4/C82</f>
        <v>0.15</v>
      </c>
      <c r="E82" s="15">
        <f t="shared" ref="E82:E95" si="15">$B$6/C82</f>
        <v>1.8</v>
      </c>
      <c r="F82" s="16">
        <f t="shared" ref="F82:F95" si="16">1-POWER(1-1/C82,$B$4)</f>
        <v>0.13994164535871167</v>
      </c>
      <c r="G82" s="16">
        <f t="shared" ref="G82:G95" si="17">1-POWER(1-1/C82,$B$6)</f>
        <v>0.8361920302919128</v>
      </c>
      <c r="H82" s="15">
        <f t="shared" ref="H82:H95" si="18">C82/$B$6</f>
        <v>0.55555555555555558</v>
      </c>
      <c r="I82" s="15">
        <f t="shared" ref="I82:I95" si="19">(C82*B82)/$B$6</f>
        <v>13.888888888888889</v>
      </c>
      <c r="J82" s="40" t="s">
        <v>183</v>
      </c>
      <c r="K82" s="14"/>
      <c r="L82" s="14"/>
      <c r="M82" s="40" t="s">
        <v>801</v>
      </c>
    </row>
    <row r="83" spans="1:13" ht="27" customHeight="1" x14ac:dyDescent="0.25">
      <c r="A83" s="4" t="s">
        <v>137</v>
      </c>
      <c r="B83" s="14">
        <f>COUNTIFS(Data!$B:$B,"Autographs",Data!$E:$E,"Inscribed",Data!$G:$G,"N",Data!$H:$H,"Y")</f>
        <v>10</v>
      </c>
      <c r="C83" s="14">
        <v>210</v>
      </c>
      <c r="D83" s="15">
        <f t="shared" si="14"/>
        <v>7.1428571428571425E-2</v>
      </c>
      <c r="E83" s="15">
        <f t="shared" si="15"/>
        <v>0.8571428571428571</v>
      </c>
      <c r="F83" s="16">
        <f t="shared" si="16"/>
        <v>6.9096055237888976E-2</v>
      </c>
      <c r="G83" s="16">
        <f t="shared" si="17"/>
        <v>0.57649509185572456</v>
      </c>
      <c r="H83" s="15">
        <f t="shared" si="18"/>
        <v>1.1666666666666667</v>
      </c>
      <c r="I83" s="15">
        <f t="shared" si="19"/>
        <v>11.666666666666666</v>
      </c>
      <c r="J83" s="40" t="s">
        <v>183</v>
      </c>
      <c r="K83" s="14"/>
      <c r="L83" s="14"/>
      <c r="M83" s="40" t="s">
        <v>801</v>
      </c>
    </row>
    <row r="84" spans="1:13" ht="27" customHeight="1" x14ac:dyDescent="0.25">
      <c r="A84" s="4" t="s">
        <v>124</v>
      </c>
      <c r="B84" s="14">
        <f>COUNTIFS(Data!$B:$B,"Metal Prints",Data!$G:$G,"N",Data!$H:$H,"Y")</f>
        <v>30</v>
      </c>
      <c r="C84" s="14">
        <v>60</v>
      </c>
      <c r="D84" s="15">
        <f t="shared" si="14"/>
        <v>0.25</v>
      </c>
      <c r="E84" s="15">
        <f t="shared" si="15"/>
        <v>3</v>
      </c>
      <c r="F84" s="16">
        <f t="shared" si="16"/>
        <v>0.22283824760985627</v>
      </c>
      <c r="G84" s="16">
        <f t="shared" si="17"/>
        <v>0.95145583597598438</v>
      </c>
      <c r="H84" s="15">
        <f t="shared" si="18"/>
        <v>0.33333333333333331</v>
      </c>
      <c r="I84" s="15">
        <f t="shared" si="19"/>
        <v>10</v>
      </c>
      <c r="J84" s="40" t="s">
        <v>183</v>
      </c>
      <c r="K84" s="14"/>
      <c r="L84" s="14"/>
      <c r="M84" s="40" t="s">
        <v>801</v>
      </c>
    </row>
    <row r="85" spans="1:13" ht="27" customHeight="1" x14ac:dyDescent="0.25">
      <c r="A85" s="4" t="s">
        <v>27</v>
      </c>
      <c r="B85" s="14">
        <f>COUNTIFS(Data!$B:$B,"A View From Home",Data!$G:$G,"N",Data!$H:$H,"Y")</f>
        <v>30</v>
      </c>
      <c r="C85" s="14">
        <v>48</v>
      </c>
      <c r="D85" s="15">
        <f t="shared" si="14"/>
        <v>0.3125</v>
      </c>
      <c r="E85" s="15">
        <f t="shared" si="15"/>
        <v>3.75</v>
      </c>
      <c r="F85" s="16">
        <f t="shared" si="16"/>
        <v>0.27079555317160464</v>
      </c>
      <c r="G85" s="16">
        <f t="shared" si="17"/>
        <v>0.97739566677831102</v>
      </c>
      <c r="H85" s="15">
        <f t="shared" si="18"/>
        <v>0.26666666666666666</v>
      </c>
      <c r="I85" s="15">
        <f t="shared" si="19"/>
        <v>8</v>
      </c>
      <c r="J85" s="40" t="s">
        <v>183</v>
      </c>
      <c r="K85" s="14"/>
      <c r="L85" s="14"/>
      <c r="M85" s="40" t="s">
        <v>801</v>
      </c>
    </row>
    <row r="86" spans="1:13" ht="27" customHeight="1" x14ac:dyDescent="0.25">
      <c r="A86" s="4" t="s">
        <v>128</v>
      </c>
      <c r="B86" s="14">
        <f>COUNTIFS(Data!$B:$B,"Action Figures Variation",Data!$G:$G,"N",Data!$H:$H,"Y")</f>
        <v>15</v>
      </c>
      <c r="C86" s="14">
        <v>90</v>
      </c>
      <c r="D86" s="15">
        <f t="shared" si="14"/>
        <v>0.16666666666666666</v>
      </c>
      <c r="E86" s="15">
        <f t="shared" si="15"/>
        <v>2</v>
      </c>
      <c r="F86" s="16">
        <f t="shared" si="16"/>
        <v>0.15430754088546428</v>
      </c>
      <c r="G86" s="16">
        <f t="shared" si="17"/>
        <v>0.86617122674555747</v>
      </c>
      <c r="H86" s="15">
        <f t="shared" si="18"/>
        <v>0.5</v>
      </c>
      <c r="I86" s="15">
        <f t="shared" si="19"/>
        <v>7.5</v>
      </c>
      <c r="J86" s="40" t="s">
        <v>183</v>
      </c>
      <c r="K86" s="14"/>
      <c r="L86" s="14"/>
      <c r="M86" s="40" t="s">
        <v>801</v>
      </c>
    </row>
    <row r="87" spans="1:13" ht="27" customHeight="1" x14ac:dyDescent="0.25">
      <c r="A87" s="4" t="s">
        <v>35</v>
      </c>
      <c r="B87" s="14">
        <f>COUNTIFS(Data!$B:$B,"Supes Suits",Data!$G:$G,"N",Data!$H:$H,"Y")</f>
        <v>8</v>
      </c>
      <c r="C87" s="14">
        <v>165</v>
      </c>
      <c r="D87" s="15">
        <f t="shared" si="14"/>
        <v>9.0909090909090912E-2</v>
      </c>
      <c r="E87" s="15">
        <f t="shared" si="15"/>
        <v>1.0909090909090908</v>
      </c>
      <c r="F87" s="16">
        <f t="shared" si="16"/>
        <v>8.7151812665545947E-2</v>
      </c>
      <c r="G87" s="16">
        <f t="shared" si="17"/>
        <v>0.66520212710552906</v>
      </c>
      <c r="H87" s="15">
        <f t="shared" si="18"/>
        <v>0.91666666666666663</v>
      </c>
      <c r="I87" s="15">
        <f t="shared" si="19"/>
        <v>7.333333333333333</v>
      </c>
      <c r="J87" s="40" t="s">
        <v>183</v>
      </c>
      <c r="K87" s="14"/>
      <c r="L87" s="14"/>
      <c r="M87" s="40" t="s">
        <v>801</v>
      </c>
    </row>
    <row r="88" spans="1:13" ht="27" customHeight="1" x14ac:dyDescent="0.25">
      <c r="A88" s="4" t="s">
        <v>804</v>
      </c>
      <c r="B88" s="14">
        <f>COUNTIFS(Data!$B:$B,"Supes",Data!$G:$G,"N",Data!$H:$H,"Y")</f>
        <v>30</v>
      </c>
      <c r="C88" s="14">
        <v>30</v>
      </c>
      <c r="D88" s="15">
        <f t="shared" si="14"/>
        <v>0.5</v>
      </c>
      <c r="E88" s="15">
        <f t="shared" si="15"/>
        <v>6</v>
      </c>
      <c r="F88" s="16">
        <f t="shared" si="16"/>
        <v>0.39861699935763883</v>
      </c>
      <c r="G88" s="16">
        <f t="shared" si="17"/>
        <v>0.99776223863087954</v>
      </c>
      <c r="H88" s="15">
        <f t="shared" si="18"/>
        <v>0.16666666666666666</v>
      </c>
      <c r="I88" s="15">
        <f t="shared" si="19"/>
        <v>5</v>
      </c>
      <c r="J88" s="40" t="s">
        <v>183</v>
      </c>
      <c r="K88" s="14"/>
      <c r="L88" s="14"/>
      <c r="M88" s="40" t="s">
        <v>801</v>
      </c>
    </row>
    <row r="89" spans="1:13" ht="27" customHeight="1" x14ac:dyDescent="0.25">
      <c r="A89" s="4" t="s">
        <v>63</v>
      </c>
      <c r="B89" s="14">
        <f>COUNTIFS(Data!$B:$B,"Red Parallel - Season 1",Data!$G:$G,"N",Data!$H:$H,"Y")</f>
        <v>100</v>
      </c>
      <c r="C89" s="14">
        <v>3</v>
      </c>
      <c r="D89" s="15">
        <f t="shared" si="14"/>
        <v>5</v>
      </c>
      <c r="E89" s="15">
        <f t="shared" si="15"/>
        <v>60</v>
      </c>
      <c r="F89" s="16">
        <f t="shared" si="16"/>
        <v>0.99771634173947887</v>
      </c>
      <c r="G89" s="16">
        <f t="shared" si="17"/>
        <v>1</v>
      </c>
      <c r="H89" s="15">
        <f t="shared" si="18"/>
        <v>1.6666666666666666E-2</v>
      </c>
      <c r="I89" s="15">
        <f t="shared" si="19"/>
        <v>1.6666666666666667</v>
      </c>
      <c r="J89" s="40" t="s">
        <v>183</v>
      </c>
      <c r="K89" s="14"/>
      <c r="L89" s="14"/>
      <c r="M89" s="40" t="s">
        <v>801</v>
      </c>
    </row>
    <row r="90" spans="1:13" ht="27" customHeight="1" x14ac:dyDescent="0.25">
      <c r="A90" s="4" t="s">
        <v>75</v>
      </c>
      <c r="B90" s="14">
        <f>COUNTIFS(Data!$B:$B,"Red Parallel - Season 2",Data!$G:$G,"N",Data!$H:$H,"Y")</f>
        <v>100</v>
      </c>
      <c r="C90" s="14">
        <v>3</v>
      </c>
      <c r="D90" s="15">
        <f t="shared" si="14"/>
        <v>5</v>
      </c>
      <c r="E90" s="15">
        <f t="shared" si="15"/>
        <v>60</v>
      </c>
      <c r="F90" s="16">
        <f t="shared" si="16"/>
        <v>0.99771634173947887</v>
      </c>
      <c r="G90" s="16">
        <f t="shared" si="17"/>
        <v>1</v>
      </c>
      <c r="H90" s="15">
        <f t="shared" si="18"/>
        <v>1.6666666666666666E-2</v>
      </c>
      <c r="I90" s="15">
        <f t="shared" si="19"/>
        <v>1.6666666666666667</v>
      </c>
      <c r="J90" s="40" t="s">
        <v>183</v>
      </c>
      <c r="K90" s="14"/>
      <c r="L90" s="14"/>
      <c r="M90" s="40" t="s">
        <v>801</v>
      </c>
    </row>
    <row r="91" spans="1:13" ht="27" customHeight="1" x14ac:dyDescent="0.25">
      <c r="A91" s="4" t="s">
        <v>41</v>
      </c>
      <c r="B91" s="14">
        <f>COUNTIFS(Data!$B:$B,"Action Figures",Data!$G:$G,"N",Data!$H:$H,"Y")</f>
        <v>15</v>
      </c>
      <c r="C91" s="14">
        <v>11</v>
      </c>
      <c r="D91" s="15">
        <f t="shared" si="14"/>
        <v>1.3636363636363635</v>
      </c>
      <c r="E91" s="15">
        <f t="shared" si="15"/>
        <v>16.363636363636363</v>
      </c>
      <c r="F91" s="16">
        <f t="shared" si="16"/>
        <v>0.76060795063083653</v>
      </c>
      <c r="G91" s="16">
        <f t="shared" si="17"/>
        <v>0.99999996457444429</v>
      </c>
      <c r="H91" s="15">
        <f t="shared" si="18"/>
        <v>6.1111111111111109E-2</v>
      </c>
      <c r="I91" s="15">
        <f t="shared" si="19"/>
        <v>0.91666666666666663</v>
      </c>
      <c r="J91" s="40" t="s">
        <v>183</v>
      </c>
      <c r="K91" s="14"/>
      <c r="L91" s="14"/>
      <c r="M91" s="40" t="s">
        <v>801</v>
      </c>
    </row>
    <row r="92" spans="1:13" ht="27" customHeight="1" x14ac:dyDescent="0.25">
      <c r="A92" s="4" t="s">
        <v>87</v>
      </c>
      <c r="B92" s="14">
        <f>COUNTIFS(Data!$B:$B,"Characters Red Parallel",Data!$G:$G,"N",Data!$H:$H,"Y")</f>
        <v>50</v>
      </c>
      <c r="C92" s="14">
        <v>3</v>
      </c>
      <c r="D92" s="15">
        <f t="shared" si="14"/>
        <v>5</v>
      </c>
      <c r="E92" s="15">
        <f t="shared" si="15"/>
        <v>60</v>
      </c>
      <c r="F92" s="16">
        <f t="shared" si="16"/>
        <v>0.99771634173947887</v>
      </c>
      <c r="G92" s="16">
        <f t="shared" si="17"/>
        <v>1</v>
      </c>
      <c r="H92" s="15">
        <f t="shared" si="18"/>
        <v>1.6666666666666666E-2</v>
      </c>
      <c r="I92" s="15">
        <f t="shared" si="19"/>
        <v>0.83333333333333337</v>
      </c>
      <c r="J92" s="40" t="s">
        <v>183</v>
      </c>
      <c r="K92" s="14"/>
      <c r="L92" s="14"/>
      <c r="M92" s="40" t="s">
        <v>801</v>
      </c>
    </row>
    <row r="93" spans="1:13" ht="27" customHeight="1" x14ac:dyDescent="0.25">
      <c r="A93" s="4" t="s">
        <v>103</v>
      </c>
      <c r="B93" s="14">
        <f>COUNTIFS(Data!$B:$B,"Behind The Boys",Data!$G:$G,"N",Data!$H:$H,"Y")</f>
        <v>15</v>
      </c>
      <c r="C93" s="14">
        <v>5</v>
      </c>
      <c r="D93" s="15">
        <f t="shared" si="14"/>
        <v>3</v>
      </c>
      <c r="E93" s="15">
        <f t="shared" si="15"/>
        <v>36</v>
      </c>
      <c r="F93" s="16">
        <f t="shared" si="16"/>
        <v>0.96481562791116793</v>
      </c>
      <c r="G93" s="16">
        <f t="shared" si="17"/>
        <v>1</v>
      </c>
      <c r="H93" s="15">
        <f t="shared" si="18"/>
        <v>2.7777777777777776E-2</v>
      </c>
      <c r="I93" s="15">
        <f t="shared" si="19"/>
        <v>0.41666666666666669</v>
      </c>
      <c r="J93" s="40" t="s">
        <v>183</v>
      </c>
      <c r="K93" s="14"/>
      <c r="L93" s="14"/>
      <c r="M93" s="40" t="s">
        <v>801</v>
      </c>
    </row>
    <row r="94" spans="1:13" ht="27" customHeight="1" x14ac:dyDescent="0.25">
      <c r="A94" s="4" t="s">
        <v>105</v>
      </c>
      <c r="B94" s="14">
        <f>COUNTIFS(Data!$B:$B,"In Memory Of...",Data!$G:$G,"N",Data!$H:$H,"Y")</f>
        <v>15</v>
      </c>
      <c r="C94" s="14">
        <v>5</v>
      </c>
      <c r="D94" s="15">
        <f t="shared" si="14"/>
        <v>3</v>
      </c>
      <c r="E94" s="15">
        <f t="shared" si="15"/>
        <v>36</v>
      </c>
      <c r="F94" s="16">
        <f t="shared" si="16"/>
        <v>0.96481562791116793</v>
      </c>
      <c r="G94" s="16">
        <f t="shared" si="17"/>
        <v>1</v>
      </c>
      <c r="H94" s="15">
        <f t="shared" si="18"/>
        <v>2.7777777777777776E-2</v>
      </c>
      <c r="I94" s="15">
        <f t="shared" si="19"/>
        <v>0.41666666666666669</v>
      </c>
      <c r="J94" s="40" t="s">
        <v>183</v>
      </c>
      <c r="K94" s="14"/>
      <c r="L94" s="14"/>
      <c r="M94" s="40" t="s">
        <v>801</v>
      </c>
    </row>
    <row r="95" spans="1:13" ht="27" customHeight="1" x14ac:dyDescent="0.25">
      <c r="A95" s="4" t="s">
        <v>107</v>
      </c>
      <c r="B95" s="14">
        <f>COUNTIFS(Data!$B:$B,"Quotes",Data!$G:$G,"N",Data!$H:$H,"Y")</f>
        <v>15</v>
      </c>
      <c r="C95" s="14">
        <v>5</v>
      </c>
      <c r="D95" s="15">
        <f t="shared" si="14"/>
        <v>3</v>
      </c>
      <c r="E95" s="15">
        <f t="shared" si="15"/>
        <v>36</v>
      </c>
      <c r="F95" s="16">
        <f t="shared" si="16"/>
        <v>0.96481562791116793</v>
      </c>
      <c r="G95" s="16">
        <f t="shared" si="17"/>
        <v>1</v>
      </c>
      <c r="H95" s="15">
        <f t="shared" si="18"/>
        <v>2.7777777777777776E-2</v>
      </c>
      <c r="I95" s="15">
        <f t="shared" si="19"/>
        <v>0.41666666666666669</v>
      </c>
      <c r="J95" s="40" t="s">
        <v>183</v>
      </c>
      <c r="K95" s="14"/>
      <c r="L95" s="14"/>
      <c r="M95" s="40" t="s">
        <v>801</v>
      </c>
    </row>
    <row r="96" spans="1:13" x14ac:dyDescent="0.25">
      <c r="A96" s="4"/>
      <c r="B96" s="14"/>
      <c r="C96" s="14"/>
      <c r="D96" s="39"/>
      <c r="E96" s="15"/>
      <c r="F96" s="96"/>
      <c r="G96" s="97"/>
      <c r="H96" s="97"/>
      <c r="I96" s="98"/>
      <c r="J96" s="65"/>
      <c r="K96" s="65"/>
      <c r="L96" s="65"/>
      <c r="M96" s="65"/>
    </row>
    <row r="97" spans="1:13" x14ac:dyDescent="0.25">
      <c r="A97" s="4"/>
      <c r="B97" s="14"/>
      <c r="C97" s="14"/>
      <c r="D97" s="39"/>
      <c r="E97" s="15"/>
      <c r="F97" s="96"/>
      <c r="G97" s="97"/>
      <c r="H97" s="97"/>
      <c r="I97" s="98"/>
      <c r="J97" s="65"/>
      <c r="K97" s="65"/>
      <c r="L97" s="65"/>
      <c r="M97" s="65"/>
    </row>
    <row r="98" spans="1:13" x14ac:dyDescent="0.25">
      <c r="A98" s="4"/>
      <c r="B98" s="14"/>
      <c r="C98" s="14"/>
      <c r="D98" s="39"/>
      <c r="E98" s="15"/>
      <c r="F98" s="96"/>
      <c r="G98" s="97"/>
      <c r="H98" s="97"/>
      <c r="I98" s="98"/>
      <c r="J98" s="65"/>
      <c r="K98" s="65"/>
      <c r="L98" s="65"/>
      <c r="M98" s="65"/>
    </row>
    <row r="100" spans="1:13" ht="15.75" customHeight="1" x14ac:dyDescent="0.25">
      <c r="A100" s="127" t="s">
        <v>805</v>
      </c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</row>
    <row r="101" spans="1:13" ht="30" customHeight="1" x14ac:dyDescent="0.25">
      <c r="A101" s="1" t="s">
        <v>782</v>
      </c>
      <c r="B101" s="1" t="s">
        <v>783</v>
      </c>
      <c r="C101" s="1" t="s">
        <v>171</v>
      </c>
      <c r="D101" s="1"/>
      <c r="E101" s="1"/>
      <c r="F101" s="1"/>
      <c r="G101" s="1"/>
      <c r="H101" s="1"/>
      <c r="I101" s="1"/>
      <c r="J101" s="65"/>
      <c r="K101" s="65"/>
      <c r="L101" s="65"/>
      <c r="M101" s="65"/>
    </row>
    <row r="102" spans="1:13" x14ac:dyDescent="0.25">
      <c r="A102" s="4" t="s">
        <v>61</v>
      </c>
      <c r="B102" s="14">
        <f>COUNTIFS(Data!$B:$B,"Base Set - Season 1",Data!$H:$H,"Y")</f>
        <v>100</v>
      </c>
      <c r="C102" s="38" t="s">
        <v>806</v>
      </c>
      <c r="D102" s="65"/>
      <c r="E102" s="65"/>
      <c r="F102" s="65"/>
      <c r="G102" s="65"/>
      <c r="H102" s="65"/>
      <c r="I102" s="65"/>
      <c r="J102" s="65"/>
      <c r="K102" s="65"/>
      <c r="L102" s="65"/>
      <c r="M102" s="65"/>
    </row>
    <row r="103" spans="1:13" x14ac:dyDescent="0.25">
      <c r="A103" s="4" t="s">
        <v>74</v>
      </c>
      <c r="B103" s="14">
        <f>COUNTIFS(Data!$B:$B,"Base Set - Season 2",Data!$H:$H,"Y")</f>
        <v>100</v>
      </c>
      <c r="C103" s="38" t="s">
        <v>807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</row>
    <row r="104" spans="1:13" x14ac:dyDescent="0.25">
      <c r="A104" s="4" t="s">
        <v>21</v>
      </c>
      <c r="B104" s="14">
        <f>COUNTIFS(Data!$B:$B,"Characters",Data!$H:$H,"Y")</f>
        <v>50</v>
      </c>
      <c r="C104" s="38" t="s">
        <v>808</v>
      </c>
      <c r="D104" s="65"/>
      <c r="E104" s="65"/>
      <c r="F104" s="65"/>
      <c r="G104" s="65"/>
      <c r="H104" s="65"/>
      <c r="I104" s="65"/>
      <c r="J104" s="65"/>
      <c r="K104" s="65"/>
      <c r="L104" s="65"/>
      <c r="M104" s="65"/>
    </row>
    <row r="105" spans="1:13" x14ac:dyDescent="0.25">
      <c r="A105" s="4" t="s">
        <v>214</v>
      </c>
      <c r="B105" s="14">
        <f>COUNTIFS(Data!$B:$B,"Autographs",Data!$H:$H,"Y")</f>
        <v>66</v>
      </c>
      <c r="C105" s="38" t="s">
        <v>809</v>
      </c>
      <c r="D105" s="65"/>
      <c r="E105" s="65"/>
      <c r="F105" s="65"/>
      <c r="G105" s="65"/>
      <c r="H105" s="65"/>
      <c r="I105" s="65"/>
      <c r="J105" s="65"/>
      <c r="K105" s="65"/>
      <c r="L105" s="65"/>
      <c r="M105" s="65"/>
    </row>
    <row r="107" spans="1:13" ht="42" customHeight="1" x14ac:dyDescent="0.25">
      <c r="A107" s="129" t="s">
        <v>810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9" spans="1:13" x14ac:dyDescent="0.25">
      <c r="A109" s="82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</row>
  </sheetData>
  <autoFilter ref="A23:M95" xr:uid="{00000000-0009-0000-0000-000003000000}">
    <sortState xmlns:xlrd2="http://schemas.microsoft.com/office/spreadsheetml/2017/richdata2" ref="A24:M95">
      <sortCondition descending="1" ref="I23:I95"/>
    </sortState>
  </autoFilter>
  <mergeCells count="5">
    <mergeCell ref="A1:M1"/>
    <mergeCell ref="A22:M22"/>
    <mergeCell ref="A100:M100"/>
    <mergeCell ref="A15:M15"/>
    <mergeCell ref="A107:M107"/>
  </mergeCells>
  <conditionalFormatting sqref="B24:B9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4:E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:I9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>
      <selection activeCell="B17" sqref="B17"/>
    </sheetView>
  </sheetViews>
  <sheetFormatPr defaultRowHeight="15" x14ac:dyDescent="0.25"/>
  <cols>
    <col min="1" max="1" width="28" customWidth="1"/>
    <col min="2" max="3" width="14" customWidth="1"/>
    <col min="4" max="4" width="28" customWidth="1"/>
  </cols>
  <sheetData>
    <row r="1" spans="1:4" x14ac:dyDescent="0.25">
      <c r="A1" s="1" t="s">
        <v>811</v>
      </c>
      <c r="B1" s="1" t="s">
        <v>812</v>
      </c>
      <c r="C1" s="1" t="s">
        <v>813</v>
      </c>
      <c r="D1" s="1" t="s">
        <v>171</v>
      </c>
    </row>
    <row r="2" spans="1:4" x14ac:dyDescent="0.25">
      <c r="A2" s="54" t="s">
        <v>343</v>
      </c>
      <c r="B2" s="60">
        <v>4</v>
      </c>
      <c r="C2" s="61">
        <f>1+(B2-3)*Dashboard!$R$23</f>
        <v>1.1000000000000001</v>
      </c>
      <c r="D2" s="54" t="s">
        <v>814</v>
      </c>
    </row>
    <row r="3" spans="1:4" x14ac:dyDescent="0.25">
      <c r="A3" s="54" t="s">
        <v>523</v>
      </c>
      <c r="B3" s="60">
        <v>3</v>
      </c>
      <c r="C3" s="61">
        <f>1+(B3-3)*Dashboard!$R$23</f>
        <v>1</v>
      </c>
      <c r="D3" s="54" t="s">
        <v>814</v>
      </c>
    </row>
    <row r="4" spans="1:4" x14ac:dyDescent="0.25">
      <c r="A4" s="54" t="s">
        <v>537</v>
      </c>
      <c r="B4" s="60">
        <v>3</v>
      </c>
      <c r="C4" s="61">
        <f>1+(B4-3)*Dashboard!$R$23</f>
        <v>1</v>
      </c>
      <c r="D4" s="54" t="s">
        <v>814</v>
      </c>
    </row>
    <row r="5" spans="1:4" x14ac:dyDescent="0.25">
      <c r="A5" s="54" t="s">
        <v>384</v>
      </c>
      <c r="B5" s="60">
        <v>5</v>
      </c>
      <c r="C5" s="61">
        <f>1+(B5-3)*Dashboard!$R$23</f>
        <v>1.2</v>
      </c>
      <c r="D5" s="54" t="s">
        <v>814</v>
      </c>
    </row>
    <row r="6" spans="1:4" x14ac:dyDescent="0.25">
      <c r="A6" s="54" t="s">
        <v>339</v>
      </c>
      <c r="B6" s="60">
        <v>4</v>
      </c>
      <c r="C6" s="61">
        <f>1+(B6-3)*Dashboard!$R$23</f>
        <v>1.1000000000000001</v>
      </c>
      <c r="D6" s="54" t="s">
        <v>814</v>
      </c>
    </row>
    <row r="7" spans="1:4" x14ac:dyDescent="0.25">
      <c r="A7" s="54" t="s">
        <v>815</v>
      </c>
      <c r="B7" s="60">
        <v>3</v>
      </c>
      <c r="C7" s="61">
        <f>1+(B7-3)*Dashboard!$R$23</f>
        <v>1</v>
      </c>
      <c r="D7" s="54" t="s">
        <v>814</v>
      </c>
    </row>
    <row r="8" spans="1:4" x14ac:dyDescent="0.25">
      <c r="A8" s="54" t="s">
        <v>518</v>
      </c>
      <c r="B8" s="60">
        <v>3</v>
      </c>
      <c r="C8" s="61">
        <f>1+(B8-3)*Dashboard!$R$23</f>
        <v>1</v>
      </c>
      <c r="D8" s="54" t="s">
        <v>814</v>
      </c>
    </row>
    <row r="9" spans="1:4" x14ac:dyDescent="0.25">
      <c r="A9" s="54" t="s">
        <v>528</v>
      </c>
      <c r="B9" s="60">
        <v>3</v>
      </c>
      <c r="C9" s="61">
        <f>1+(B9-3)*Dashboard!$R$23</f>
        <v>1</v>
      </c>
      <c r="D9" s="54" t="s">
        <v>814</v>
      </c>
    </row>
    <row r="10" spans="1:4" x14ac:dyDescent="0.25">
      <c r="A10" s="54" t="s">
        <v>744</v>
      </c>
      <c r="B10" s="60">
        <v>3</v>
      </c>
      <c r="C10" s="61">
        <f>1+(B10-3)*Dashboard!$R$23</f>
        <v>1</v>
      </c>
      <c r="D10" s="54" t="s">
        <v>814</v>
      </c>
    </row>
    <row r="11" spans="1:4" x14ac:dyDescent="0.25">
      <c r="A11" s="54" t="s">
        <v>350</v>
      </c>
      <c r="B11" s="60">
        <v>3</v>
      </c>
      <c r="C11" s="61">
        <f>1+(B11-3)*Dashboard!$R$23</f>
        <v>1</v>
      </c>
      <c r="D11" s="54" t="s">
        <v>814</v>
      </c>
    </row>
    <row r="12" spans="1:4" x14ac:dyDescent="0.25">
      <c r="A12" s="54" t="s">
        <v>525</v>
      </c>
      <c r="B12" s="60">
        <v>3</v>
      </c>
      <c r="C12" s="61">
        <f>1+(B12-3)*Dashboard!$R$23</f>
        <v>1</v>
      </c>
      <c r="D12" s="54" t="s">
        <v>814</v>
      </c>
    </row>
    <row r="13" spans="1:4" x14ac:dyDescent="0.25">
      <c r="A13" s="54" t="s">
        <v>816</v>
      </c>
      <c r="B13" s="60">
        <v>3</v>
      </c>
      <c r="C13" s="61">
        <f>1+(B13-3)*Dashboard!$R$23</f>
        <v>1</v>
      </c>
      <c r="D13" s="54" t="s">
        <v>814</v>
      </c>
    </row>
    <row r="14" spans="1:4" x14ac:dyDescent="0.25">
      <c r="A14" s="54" t="s">
        <v>533</v>
      </c>
      <c r="B14" s="60">
        <v>2</v>
      </c>
      <c r="C14" s="61">
        <f>1+(B14-3)*Dashboard!$R$23</f>
        <v>0.9</v>
      </c>
      <c r="D14" s="54" t="s">
        <v>814</v>
      </c>
    </row>
    <row r="15" spans="1:4" x14ac:dyDescent="0.25">
      <c r="A15" s="54" t="s">
        <v>387</v>
      </c>
      <c r="B15" s="60">
        <v>4</v>
      </c>
      <c r="C15" s="61">
        <f>1+(B15-3)*Dashboard!$R$23</f>
        <v>1.1000000000000001</v>
      </c>
      <c r="D15" s="54" t="s">
        <v>814</v>
      </c>
    </row>
    <row r="16" spans="1:4" x14ac:dyDescent="0.25">
      <c r="A16" s="54" t="s">
        <v>520</v>
      </c>
      <c r="B16" s="60">
        <v>2</v>
      </c>
      <c r="C16" s="61">
        <f>1+(B16-3)*Dashboard!$R$23</f>
        <v>0.9</v>
      </c>
      <c r="D16" s="54" t="s">
        <v>814</v>
      </c>
    </row>
    <row r="17" spans="1:4" x14ac:dyDescent="0.25">
      <c r="A17" s="54" t="s">
        <v>511</v>
      </c>
      <c r="B17" s="60">
        <v>4</v>
      </c>
      <c r="C17" s="61">
        <f>1+(B17-3)*Dashboard!$R$23</f>
        <v>1.1000000000000001</v>
      </c>
      <c r="D17" s="54" t="s">
        <v>814</v>
      </c>
    </row>
    <row r="18" spans="1:4" x14ac:dyDescent="0.25">
      <c r="A18" s="54" t="s">
        <v>817</v>
      </c>
      <c r="B18" s="60">
        <v>3</v>
      </c>
      <c r="C18" s="61">
        <f>1+(B18-3)*Dashboard!$R$23</f>
        <v>1</v>
      </c>
      <c r="D18" s="54" t="s">
        <v>814</v>
      </c>
    </row>
    <row r="19" spans="1:4" x14ac:dyDescent="0.25">
      <c r="A19" s="54" t="s">
        <v>337</v>
      </c>
      <c r="B19" s="60">
        <v>5</v>
      </c>
      <c r="C19" s="61">
        <f>1+(B19-3)*Dashboard!$R$23</f>
        <v>1.2</v>
      </c>
      <c r="D19" s="54" t="s">
        <v>814</v>
      </c>
    </row>
    <row r="20" spans="1:4" x14ac:dyDescent="0.25">
      <c r="A20" s="54" t="s">
        <v>818</v>
      </c>
      <c r="B20" s="60">
        <v>3</v>
      </c>
      <c r="C20" s="61">
        <f>1+(B20-3)*Dashboard!$R$23</f>
        <v>1</v>
      </c>
      <c r="D20" s="54" t="s">
        <v>814</v>
      </c>
    </row>
    <row r="21" spans="1:4" x14ac:dyDescent="0.25">
      <c r="A21" s="54" t="s">
        <v>391</v>
      </c>
      <c r="B21" s="60">
        <v>5</v>
      </c>
      <c r="C21" s="61">
        <f>1+(B21-3)*Dashboard!$R$23</f>
        <v>1.2</v>
      </c>
      <c r="D21" s="54" t="s">
        <v>814</v>
      </c>
    </row>
    <row r="22" spans="1:4" x14ac:dyDescent="0.25">
      <c r="A22" s="54" t="s">
        <v>549</v>
      </c>
      <c r="B22" s="60">
        <v>3</v>
      </c>
      <c r="C22" s="61">
        <f>1+(B22-3)*Dashboard!$R$23</f>
        <v>1</v>
      </c>
      <c r="D22" s="54" t="s">
        <v>814</v>
      </c>
    </row>
    <row r="23" spans="1:4" x14ac:dyDescent="0.25">
      <c r="A23" s="54" t="s">
        <v>714</v>
      </c>
      <c r="B23" s="60">
        <v>3</v>
      </c>
      <c r="C23" s="61">
        <f>1+(B23-3)*Dashboard!$R$23</f>
        <v>1</v>
      </c>
      <c r="D23" s="54" t="s">
        <v>814</v>
      </c>
    </row>
    <row r="24" spans="1:4" x14ac:dyDescent="0.25">
      <c r="A24" s="54" t="s">
        <v>718</v>
      </c>
      <c r="B24" s="60">
        <v>3</v>
      </c>
      <c r="C24" s="61">
        <f>1+(B24-3)*Dashboard!$R$23</f>
        <v>1</v>
      </c>
      <c r="D24" s="54" t="s">
        <v>814</v>
      </c>
    </row>
    <row r="25" spans="1:4" x14ac:dyDescent="0.25">
      <c r="A25" s="54" t="s">
        <v>535</v>
      </c>
      <c r="B25" s="60">
        <v>2</v>
      </c>
      <c r="C25" s="61">
        <f>1+(B25-3)*Dashboard!$R$23</f>
        <v>0.9</v>
      </c>
      <c r="D25" s="54" t="s">
        <v>814</v>
      </c>
    </row>
    <row r="26" spans="1:4" x14ac:dyDescent="0.25">
      <c r="A26" s="54" t="s">
        <v>347</v>
      </c>
      <c r="B26" s="60">
        <v>4</v>
      </c>
      <c r="C26" s="61">
        <f>1+(B26-3)*Dashboard!$R$23</f>
        <v>1.1000000000000001</v>
      </c>
      <c r="D26" s="54" t="s">
        <v>814</v>
      </c>
    </row>
    <row r="27" spans="1:4" x14ac:dyDescent="0.25">
      <c r="A27" s="54" t="s">
        <v>441</v>
      </c>
      <c r="B27" s="60">
        <v>2</v>
      </c>
      <c r="C27" s="61">
        <f>1+(B27-3)*Dashboard!$R$23</f>
        <v>0.9</v>
      </c>
      <c r="D27" s="54" t="s">
        <v>814</v>
      </c>
    </row>
    <row r="28" spans="1:4" x14ac:dyDescent="0.25">
      <c r="A28" s="54" t="s">
        <v>444</v>
      </c>
      <c r="B28" s="60">
        <v>3</v>
      </c>
      <c r="C28" s="61">
        <f>1+(B28-3)*Dashboard!$R$23</f>
        <v>1</v>
      </c>
      <c r="D28" s="54" t="s">
        <v>814</v>
      </c>
    </row>
    <row r="29" spans="1:4" x14ac:dyDescent="0.25">
      <c r="A29" s="54" t="s">
        <v>352</v>
      </c>
      <c r="B29" s="60">
        <v>2</v>
      </c>
      <c r="C29" s="61">
        <f>1+(B29-3)*Dashboard!$R$23</f>
        <v>0.9</v>
      </c>
      <c r="D29" s="54" t="s">
        <v>814</v>
      </c>
    </row>
    <row r="30" spans="1:4" x14ac:dyDescent="0.25">
      <c r="A30" s="54" t="s">
        <v>819</v>
      </c>
      <c r="B30" s="60">
        <v>3</v>
      </c>
      <c r="C30" s="61">
        <f>1+(B30-3)*Dashboard!$R$23</f>
        <v>1</v>
      </c>
      <c r="D30" s="54" t="s">
        <v>814</v>
      </c>
    </row>
    <row r="31" spans="1:4" x14ac:dyDescent="0.25">
      <c r="A31" s="54" t="s">
        <v>389</v>
      </c>
      <c r="B31" s="60">
        <v>4</v>
      </c>
      <c r="C31" s="61">
        <f>1+(B31-3)*Dashboard!$R$23</f>
        <v>1.1000000000000001</v>
      </c>
      <c r="D31" s="54" t="s">
        <v>814</v>
      </c>
    </row>
    <row r="32" spans="1:4" x14ac:dyDescent="0.25">
      <c r="A32" s="54" t="s">
        <v>820</v>
      </c>
      <c r="B32" s="60">
        <v>2</v>
      </c>
      <c r="C32" s="61">
        <f>1+(B32-3)*Dashboard!$R$23</f>
        <v>0.9</v>
      </c>
      <c r="D32" s="54" t="s">
        <v>814</v>
      </c>
    </row>
    <row r="33" spans="1:4" x14ac:dyDescent="0.25">
      <c r="A33" s="54" t="s">
        <v>458</v>
      </c>
      <c r="B33" s="60">
        <v>2</v>
      </c>
      <c r="C33" s="61">
        <f>1+(B33-3)*Dashboard!$R$23</f>
        <v>0.9</v>
      </c>
      <c r="D33" s="54" t="s">
        <v>814</v>
      </c>
    </row>
    <row r="34" spans="1:4" x14ac:dyDescent="0.25">
      <c r="A34" s="54" t="s">
        <v>345</v>
      </c>
      <c r="B34" s="60">
        <v>4</v>
      </c>
      <c r="C34" s="61">
        <f>1+(B34-3)*Dashboard!$R$23</f>
        <v>1.1000000000000001</v>
      </c>
      <c r="D34" s="54" t="s">
        <v>814</v>
      </c>
    </row>
    <row r="35" spans="1:4" x14ac:dyDescent="0.25">
      <c r="A35" s="54" t="s">
        <v>821</v>
      </c>
      <c r="B35" s="60">
        <v>3</v>
      </c>
      <c r="C35" s="61">
        <f>1+(B35-3)*Dashboard!$R$23</f>
        <v>1</v>
      </c>
      <c r="D35" s="54" t="s">
        <v>814</v>
      </c>
    </row>
    <row r="36" spans="1:4" x14ac:dyDescent="0.25">
      <c r="A36" s="54" t="s">
        <v>531</v>
      </c>
      <c r="B36" s="60">
        <v>4</v>
      </c>
      <c r="C36" s="61">
        <f>1+(B36-3)*Dashboard!$R$23</f>
        <v>1.1000000000000001</v>
      </c>
      <c r="D36" s="54" t="s">
        <v>814</v>
      </c>
    </row>
    <row r="37" spans="1:4" x14ac:dyDescent="0.25">
      <c r="A37" s="54" t="s">
        <v>716</v>
      </c>
      <c r="B37" s="60">
        <v>2</v>
      </c>
      <c r="C37" s="61">
        <f>1+(B37-3)*Dashboard!$R$23</f>
        <v>0.9</v>
      </c>
      <c r="D37" s="54" t="s">
        <v>814</v>
      </c>
    </row>
    <row r="38" spans="1:4" x14ac:dyDescent="0.25">
      <c r="A38" s="54" t="s">
        <v>516</v>
      </c>
      <c r="B38" s="60">
        <v>4</v>
      </c>
      <c r="C38" s="61">
        <f>1+(B38-3)*Dashboard!$R$23</f>
        <v>1.1000000000000001</v>
      </c>
      <c r="D38" s="54" t="s">
        <v>814</v>
      </c>
    </row>
    <row r="39" spans="1:4" x14ac:dyDescent="0.25">
      <c r="A39" s="54" t="s">
        <v>341</v>
      </c>
      <c r="B39" s="60">
        <v>5</v>
      </c>
      <c r="C39" s="61">
        <f>1+(B39-3)*Dashboard!$R$23</f>
        <v>1.2</v>
      </c>
      <c r="D39" s="54" t="s">
        <v>814</v>
      </c>
    </row>
    <row r="40" spans="1:4" x14ac:dyDescent="0.25">
      <c r="A40" s="54" t="s">
        <v>723</v>
      </c>
      <c r="B40" s="60">
        <v>3</v>
      </c>
      <c r="C40" s="61">
        <f>1+(B40-3)*Dashboard!$R$23</f>
        <v>1</v>
      </c>
      <c r="D40" s="54" t="s">
        <v>814</v>
      </c>
    </row>
    <row r="41" spans="1:4" x14ac:dyDescent="0.25">
      <c r="A41" s="54" t="s">
        <v>454</v>
      </c>
      <c r="B41" s="60">
        <v>4</v>
      </c>
      <c r="C41" s="61">
        <f>1+(B41-3)*Dashboard!$R$23</f>
        <v>1.1000000000000001</v>
      </c>
      <c r="D41" s="54" t="s">
        <v>814</v>
      </c>
    </row>
    <row r="42" spans="1:4" x14ac:dyDescent="0.25">
      <c r="A42" s="54" t="s">
        <v>446</v>
      </c>
      <c r="B42" s="60">
        <v>2</v>
      </c>
      <c r="C42" s="61">
        <f>1+(B42-3)*Dashboard!$R$23</f>
        <v>0.9</v>
      </c>
      <c r="D42" s="54" t="s">
        <v>814</v>
      </c>
    </row>
    <row r="43" spans="1:4" x14ac:dyDescent="0.25">
      <c r="A43" s="54" t="s">
        <v>822</v>
      </c>
      <c r="B43" s="60">
        <v>4</v>
      </c>
      <c r="C43" s="61">
        <f>1+(B43-3)*Dashboard!$R$23</f>
        <v>1.1000000000000001</v>
      </c>
      <c r="D43" s="54" t="s">
        <v>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1"/>
  <sheetViews>
    <sheetView showGridLines="0" zoomScale="85" zoomScaleNormal="85" workbookViewId="0">
      <pane ySplit="1" topLeftCell="A26" activePane="bottomLeft" state="frozen"/>
      <selection activeCell="C1" sqref="C1"/>
      <selection pane="bottomLeft" activeCell="A27" sqref="A27:H27"/>
    </sheetView>
  </sheetViews>
  <sheetFormatPr defaultRowHeight="15" x14ac:dyDescent="0.25"/>
  <cols>
    <col min="1" max="1" width="25" customWidth="1"/>
    <col min="2" max="2" width="39.5703125" bestFit="1" customWidth="1"/>
    <col min="3" max="5" width="8.7109375" customWidth="1"/>
    <col min="6" max="6" width="8.140625" customWidth="1"/>
    <col min="7" max="10" width="44.5703125" customWidth="1"/>
  </cols>
  <sheetData>
    <row r="1" spans="1:10" ht="21.95" customHeight="1" x14ac:dyDescent="0.25">
      <c r="A1" s="1" t="s">
        <v>161</v>
      </c>
      <c r="B1" s="1" t="s">
        <v>162</v>
      </c>
      <c r="C1" s="1" t="s">
        <v>60</v>
      </c>
      <c r="D1" s="1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829</v>
      </c>
    </row>
    <row r="2" spans="1:10" x14ac:dyDescent="0.25">
      <c r="A2" s="2">
        <v>1</v>
      </c>
      <c r="B2" s="7" t="s">
        <v>830</v>
      </c>
      <c r="C2" s="2" t="s">
        <v>831</v>
      </c>
      <c r="D2" s="2" t="s">
        <v>831</v>
      </c>
      <c r="E2" s="55" t="s">
        <v>832</v>
      </c>
      <c r="F2" s="55" t="s">
        <v>832</v>
      </c>
      <c r="G2" s="55" t="s">
        <v>833</v>
      </c>
      <c r="H2" s="55"/>
      <c r="I2" s="55"/>
      <c r="J2" s="55"/>
    </row>
    <row r="3" spans="1:10" x14ac:dyDescent="0.25">
      <c r="A3" s="2">
        <v>2</v>
      </c>
      <c r="B3" s="7" t="s">
        <v>834</v>
      </c>
      <c r="C3" s="2" t="s">
        <v>831</v>
      </c>
      <c r="D3" s="2" t="s">
        <v>831</v>
      </c>
      <c r="E3" s="55" t="s">
        <v>832</v>
      </c>
      <c r="F3" s="55" t="s">
        <v>835</v>
      </c>
      <c r="G3" s="55" t="s">
        <v>836</v>
      </c>
      <c r="H3" s="55"/>
      <c r="I3" s="55"/>
      <c r="J3" s="55"/>
    </row>
    <row r="4" spans="1:10" x14ac:dyDescent="0.25">
      <c r="A4" s="2">
        <v>3</v>
      </c>
      <c r="B4" s="7" t="s">
        <v>837</v>
      </c>
      <c r="C4" s="2" t="s">
        <v>831</v>
      </c>
      <c r="D4" s="2" t="s">
        <v>831</v>
      </c>
      <c r="E4" s="55" t="s">
        <v>832</v>
      </c>
      <c r="F4" s="55" t="s">
        <v>832</v>
      </c>
      <c r="G4" s="55" t="s">
        <v>838</v>
      </c>
      <c r="H4" s="55"/>
      <c r="I4" s="55"/>
      <c r="J4" s="55"/>
    </row>
    <row r="5" spans="1:10" x14ac:dyDescent="0.25">
      <c r="A5" s="2">
        <v>4</v>
      </c>
      <c r="B5" s="7" t="s">
        <v>839</v>
      </c>
      <c r="C5" s="2" t="s">
        <v>831</v>
      </c>
      <c r="D5" s="2" t="s">
        <v>831</v>
      </c>
      <c r="E5" s="55" t="s">
        <v>832</v>
      </c>
      <c r="F5" s="55" t="s">
        <v>835</v>
      </c>
      <c r="G5" s="55" t="s">
        <v>840</v>
      </c>
      <c r="H5" s="55"/>
      <c r="I5" s="55"/>
      <c r="J5" s="55"/>
    </row>
    <row r="6" spans="1:10" x14ac:dyDescent="0.25">
      <c r="A6" s="2">
        <v>5</v>
      </c>
      <c r="B6" s="7" t="s">
        <v>841</v>
      </c>
      <c r="C6" s="2" t="s">
        <v>831</v>
      </c>
      <c r="D6" s="2" t="s">
        <v>831</v>
      </c>
      <c r="E6" s="55" t="s">
        <v>832</v>
      </c>
      <c r="F6" s="55" t="s">
        <v>835</v>
      </c>
      <c r="G6" s="55" t="s">
        <v>842</v>
      </c>
      <c r="H6" s="55"/>
      <c r="I6" s="55"/>
      <c r="J6" s="55"/>
    </row>
    <row r="7" spans="1:10" x14ac:dyDescent="0.25">
      <c r="A7" s="2">
        <v>6</v>
      </c>
      <c r="B7" s="7" t="s">
        <v>843</v>
      </c>
      <c r="C7" s="2" t="s">
        <v>831</v>
      </c>
      <c r="D7" s="2" t="s">
        <v>831</v>
      </c>
      <c r="E7" s="55" t="s">
        <v>832</v>
      </c>
      <c r="F7" s="55" t="s">
        <v>835</v>
      </c>
      <c r="G7" s="55" t="s">
        <v>844</v>
      </c>
      <c r="H7" s="55"/>
      <c r="I7" s="55"/>
      <c r="J7" s="55"/>
    </row>
    <row r="8" spans="1:10" x14ac:dyDescent="0.25">
      <c r="A8" s="2">
        <v>7</v>
      </c>
      <c r="B8" s="7" t="s">
        <v>845</v>
      </c>
      <c r="C8" s="2" t="s">
        <v>831</v>
      </c>
      <c r="D8" s="2" t="s">
        <v>831</v>
      </c>
      <c r="E8" s="55" t="s">
        <v>832</v>
      </c>
      <c r="F8" s="55" t="s">
        <v>835</v>
      </c>
      <c r="G8" s="55" t="s">
        <v>846</v>
      </c>
      <c r="H8" s="55"/>
      <c r="I8" s="73" t="s">
        <v>847</v>
      </c>
      <c r="J8" s="55"/>
    </row>
    <row r="9" spans="1:10" x14ac:dyDescent="0.25">
      <c r="A9" s="2">
        <v>8</v>
      </c>
      <c r="B9" s="7" t="s">
        <v>848</v>
      </c>
      <c r="C9" s="2" t="s">
        <v>831</v>
      </c>
      <c r="D9" s="2" t="s">
        <v>831</v>
      </c>
      <c r="E9" s="55" t="s">
        <v>832</v>
      </c>
      <c r="F9" s="55" t="s">
        <v>832</v>
      </c>
      <c r="G9" s="55" t="s">
        <v>849</v>
      </c>
      <c r="H9" s="55"/>
      <c r="I9" s="55"/>
      <c r="J9" s="55"/>
    </row>
    <row r="10" spans="1:10" x14ac:dyDescent="0.25">
      <c r="A10" s="2">
        <v>9</v>
      </c>
      <c r="B10" s="7" t="s">
        <v>850</v>
      </c>
      <c r="C10" s="2" t="s">
        <v>831</v>
      </c>
      <c r="D10" s="2" t="s">
        <v>831</v>
      </c>
      <c r="E10" s="55" t="s">
        <v>832</v>
      </c>
      <c r="F10" s="55" t="s">
        <v>832</v>
      </c>
      <c r="G10" s="55" t="s">
        <v>851</v>
      </c>
      <c r="H10" s="55" t="s">
        <v>852</v>
      </c>
      <c r="I10" s="55"/>
      <c r="J10" s="55"/>
    </row>
    <row r="11" spans="1:10" x14ac:dyDescent="0.25">
      <c r="A11" s="2">
        <v>10</v>
      </c>
      <c r="B11" s="7" t="s">
        <v>853</v>
      </c>
      <c r="C11" s="2" t="s">
        <v>831</v>
      </c>
      <c r="D11" s="2" t="s">
        <v>831</v>
      </c>
      <c r="E11" s="55" t="s">
        <v>832</v>
      </c>
      <c r="F11" s="55" t="s">
        <v>832</v>
      </c>
      <c r="G11" s="55" t="s">
        <v>854</v>
      </c>
      <c r="H11" s="55" t="s">
        <v>855</v>
      </c>
      <c r="I11" s="55"/>
      <c r="J11" s="55"/>
    </row>
    <row r="12" spans="1:10" x14ac:dyDescent="0.25">
      <c r="A12" s="2">
        <v>11</v>
      </c>
      <c r="B12" s="7" t="s">
        <v>856</v>
      </c>
      <c r="C12" s="2" t="s">
        <v>831</v>
      </c>
      <c r="D12" s="2" t="s">
        <v>831</v>
      </c>
      <c r="E12" s="55" t="s">
        <v>832</v>
      </c>
      <c r="F12" s="55" t="s">
        <v>835</v>
      </c>
      <c r="G12" s="73" t="s">
        <v>857</v>
      </c>
      <c r="H12" s="55"/>
      <c r="I12" s="55"/>
      <c r="J12" s="55"/>
    </row>
    <row r="13" spans="1:10" x14ac:dyDescent="0.25">
      <c r="A13" s="2">
        <v>12</v>
      </c>
      <c r="B13" s="7" t="s">
        <v>858</v>
      </c>
      <c r="C13" s="2" t="s">
        <v>831</v>
      </c>
      <c r="D13" s="2" t="s">
        <v>831</v>
      </c>
      <c r="E13" s="55" t="s">
        <v>832</v>
      </c>
      <c r="F13" s="55" t="s">
        <v>835</v>
      </c>
      <c r="G13" s="55" t="s">
        <v>859</v>
      </c>
      <c r="H13" s="55"/>
      <c r="I13" s="73" t="s">
        <v>860</v>
      </c>
      <c r="J13" s="55"/>
    </row>
    <row r="14" spans="1:10" x14ac:dyDescent="0.25">
      <c r="A14" s="2">
        <v>13</v>
      </c>
      <c r="B14" s="7" t="s">
        <v>861</v>
      </c>
      <c r="C14" s="2" t="s">
        <v>831</v>
      </c>
      <c r="D14" s="2" t="s">
        <v>831</v>
      </c>
      <c r="E14" s="55" t="s">
        <v>832</v>
      </c>
      <c r="F14" s="55" t="s">
        <v>835</v>
      </c>
      <c r="G14" s="55" t="s">
        <v>862</v>
      </c>
      <c r="H14" s="55"/>
      <c r="I14" s="55"/>
      <c r="J14" s="55"/>
    </row>
    <row r="15" spans="1:10" x14ac:dyDescent="0.25">
      <c r="A15" s="2">
        <v>14</v>
      </c>
      <c r="B15" s="7" t="s">
        <v>863</v>
      </c>
      <c r="C15" s="2" t="s">
        <v>831</v>
      </c>
      <c r="D15" s="2" t="s">
        <v>831</v>
      </c>
      <c r="E15" s="55" t="s">
        <v>832</v>
      </c>
      <c r="F15" s="55" t="s">
        <v>835</v>
      </c>
      <c r="G15" s="55" t="s">
        <v>864</v>
      </c>
      <c r="H15" s="55"/>
      <c r="I15" s="55"/>
      <c r="J15" s="55" t="s">
        <v>865</v>
      </c>
    </row>
    <row r="16" spans="1:10" x14ac:dyDescent="0.25">
      <c r="A16" s="2">
        <v>15</v>
      </c>
      <c r="B16" s="7" t="s">
        <v>866</v>
      </c>
      <c r="C16" s="2" t="s">
        <v>831</v>
      </c>
      <c r="D16" s="2" t="s">
        <v>831</v>
      </c>
      <c r="E16" s="55" t="s">
        <v>832</v>
      </c>
      <c r="F16" s="55" t="s">
        <v>835</v>
      </c>
      <c r="G16" s="55" t="s">
        <v>867</v>
      </c>
      <c r="H16" s="55" t="s">
        <v>868</v>
      </c>
      <c r="I16" s="55"/>
      <c r="J16" s="55"/>
    </row>
    <row r="17" spans="1:10" x14ac:dyDescent="0.25">
      <c r="A17" s="2">
        <v>16</v>
      </c>
      <c r="B17" s="7" t="s">
        <v>869</v>
      </c>
      <c r="C17" s="2" t="s">
        <v>831</v>
      </c>
      <c r="D17" s="2" t="s">
        <v>831</v>
      </c>
      <c r="E17" s="55" t="s">
        <v>832</v>
      </c>
      <c r="F17" s="55" t="s">
        <v>835</v>
      </c>
      <c r="G17" s="55" t="s">
        <v>870</v>
      </c>
      <c r="H17" s="55" t="s">
        <v>871</v>
      </c>
      <c r="I17" s="73" t="s">
        <v>872</v>
      </c>
      <c r="J17" s="55" t="s">
        <v>873</v>
      </c>
    </row>
    <row r="18" spans="1:10" x14ac:dyDescent="0.25">
      <c r="A18" s="2">
        <v>17</v>
      </c>
      <c r="B18" s="7" t="s">
        <v>874</v>
      </c>
      <c r="C18" s="2" t="s">
        <v>831</v>
      </c>
      <c r="D18" s="2" t="s">
        <v>831</v>
      </c>
      <c r="E18" s="55" t="s">
        <v>832</v>
      </c>
      <c r="F18" s="55" t="s">
        <v>835</v>
      </c>
      <c r="G18" s="55" t="s">
        <v>875</v>
      </c>
      <c r="H18" s="55" t="s">
        <v>876</v>
      </c>
      <c r="I18" s="55"/>
      <c r="J18" s="55"/>
    </row>
    <row r="19" spans="1:10" x14ac:dyDescent="0.25">
      <c r="A19" s="2">
        <v>18</v>
      </c>
      <c r="B19" s="7" t="s">
        <v>877</v>
      </c>
      <c r="C19" s="2" t="s">
        <v>831</v>
      </c>
      <c r="D19" s="2" t="s">
        <v>831</v>
      </c>
      <c r="E19" s="55" t="s">
        <v>832</v>
      </c>
      <c r="F19" s="55" t="s">
        <v>835</v>
      </c>
      <c r="G19" s="73" t="s">
        <v>878</v>
      </c>
      <c r="H19" s="55"/>
      <c r="I19" s="55"/>
      <c r="J19" s="55"/>
    </row>
    <row r="20" spans="1:10" x14ac:dyDescent="0.25">
      <c r="A20" s="2">
        <v>19</v>
      </c>
      <c r="B20" s="7" t="s">
        <v>879</v>
      </c>
      <c r="C20" s="2" t="s">
        <v>831</v>
      </c>
      <c r="D20" s="2" t="s">
        <v>831</v>
      </c>
      <c r="E20" s="55" t="s">
        <v>832</v>
      </c>
      <c r="F20" s="55" t="s">
        <v>835</v>
      </c>
      <c r="G20" s="55" t="s">
        <v>880</v>
      </c>
      <c r="H20" s="55"/>
      <c r="I20" s="55"/>
      <c r="J20" s="55"/>
    </row>
    <row r="21" spans="1:10" x14ac:dyDescent="0.25">
      <c r="A21" s="2">
        <v>20</v>
      </c>
      <c r="B21" s="7" t="s">
        <v>881</v>
      </c>
      <c r="C21" s="2" t="s">
        <v>831</v>
      </c>
      <c r="D21" s="2" t="s">
        <v>831</v>
      </c>
      <c r="E21" s="55" t="s">
        <v>832</v>
      </c>
      <c r="F21" s="55" t="s">
        <v>835</v>
      </c>
      <c r="G21" s="55" t="s">
        <v>882</v>
      </c>
      <c r="H21" s="55" t="s">
        <v>871</v>
      </c>
      <c r="I21" s="55"/>
      <c r="J21" s="55"/>
    </row>
    <row r="22" spans="1:10" x14ac:dyDescent="0.25">
      <c r="A22" s="2">
        <v>21</v>
      </c>
      <c r="B22" s="7" t="s">
        <v>883</v>
      </c>
      <c r="C22" s="2" t="s">
        <v>831</v>
      </c>
      <c r="D22" s="2" t="s">
        <v>831</v>
      </c>
      <c r="E22" s="55" t="s">
        <v>832</v>
      </c>
      <c r="F22" s="55" t="s">
        <v>832</v>
      </c>
      <c r="G22" s="55" t="s">
        <v>884</v>
      </c>
      <c r="H22" s="55"/>
      <c r="I22" s="55"/>
      <c r="J22" s="55"/>
    </row>
    <row r="23" spans="1:10" x14ac:dyDescent="0.25">
      <c r="A23" s="2">
        <v>22</v>
      </c>
      <c r="B23" s="7" t="s">
        <v>885</v>
      </c>
      <c r="C23" s="2" t="s">
        <v>831</v>
      </c>
      <c r="D23" s="2" t="s">
        <v>831</v>
      </c>
      <c r="E23" s="55" t="s">
        <v>832</v>
      </c>
      <c r="F23" s="55" t="s">
        <v>835</v>
      </c>
      <c r="G23" s="73" t="s">
        <v>886</v>
      </c>
      <c r="H23" s="55"/>
      <c r="I23" s="55" t="s">
        <v>887</v>
      </c>
      <c r="J23" s="55"/>
    </row>
    <row r="24" spans="1:10" x14ac:dyDescent="0.25">
      <c r="A24" s="2">
        <v>23</v>
      </c>
      <c r="B24" s="7" t="s">
        <v>888</v>
      </c>
      <c r="C24" s="2" t="s">
        <v>831</v>
      </c>
      <c r="D24" s="2" t="s">
        <v>831</v>
      </c>
      <c r="E24" s="55" t="s">
        <v>832</v>
      </c>
      <c r="F24" s="55" t="s">
        <v>832</v>
      </c>
      <c r="G24" s="55" t="s">
        <v>889</v>
      </c>
      <c r="H24" s="55"/>
      <c r="I24" s="55"/>
      <c r="J24" s="55"/>
    </row>
    <row r="25" spans="1:10" x14ac:dyDescent="0.25">
      <c r="A25" s="2">
        <v>24</v>
      </c>
      <c r="B25" s="7" t="s">
        <v>890</v>
      </c>
      <c r="C25" s="2" t="s">
        <v>831</v>
      </c>
      <c r="D25" s="2" t="s">
        <v>831</v>
      </c>
      <c r="E25" s="55" t="s">
        <v>832</v>
      </c>
      <c r="F25" s="55" t="s">
        <v>832</v>
      </c>
      <c r="G25" s="55" t="s">
        <v>891</v>
      </c>
      <c r="H25" s="55"/>
      <c r="I25" s="55"/>
      <c r="J25" s="55"/>
    </row>
    <row r="26" spans="1:10" x14ac:dyDescent="0.25">
      <c r="A26" s="2">
        <v>25</v>
      </c>
      <c r="B26" s="7" t="s">
        <v>892</v>
      </c>
      <c r="C26" s="2" t="s">
        <v>831</v>
      </c>
      <c r="D26" s="2" t="s">
        <v>831</v>
      </c>
      <c r="E26" s="55" t="s">
        <v>832</v>
      </c>
      <c r="F26" s="55" t="s">
        <v>835</v>
      </c>
      <c r="G26" s="55" t="s">
        <v>893</v>
      </c>
      <c r="H26" s="55"/>
      <c r="I26" s="55"/>
      <c r="J26" s="55" t="s">
        <v>894</v>
      </c>
    </row>
    <row r="27" spans="1:10" x14ac:dyDescent="0.25">
      <c r="A27" s="2">
        <v>26</v>
      </c>
      <c r="B27" s="7" t="s">
        <v>895</v>
      </c>
      <c r="C27" s="2" t="s">
        <v>831</v>
      </c>
      <c r="D27" s="2" t="s">
        <v>831</v>
      </c>
      <c r="E27" s="55" t="s">
        <v>832</v>
      </c>
      <c r="F27" s="55" t="s">
        <v>835</v>
      </c>
      <c r="G27" s="55" t="s">
        <v>896</v>
      </c>
      <c r="H27" s="55"/>
      <c r="I27" s="55"/>
      <c r="J27" s="55"/>
    </row>
    <row r="28" spans="1:10" x14ac:dyDescent="0.25">
      <c r="A28" s="2">
        <v>27</v>
      </c>
      <c r="B28" s="7" t="s">
        <v>897</v>
      </c>
      <c r="C28" s="2" t="s">
        <v>831</v>
      </c>
      <c r="D28" s="2" t="s">
        <v>831</v>
      </c>
      <c r="E28" s="55" t="s">
        <v>832</v>
      </c>
      <c r="F28" s="55" t="s">
        <v>835</v>
      </c>
      <c r="G28" s="55" t="s">
        <v>898</v>
      </c>
      <c r="H28" s="55" t="s">
        <v>899</v>
      </c>
      <c r="I28" s="55"/>
      <c r="J28" s="55"/>
    </row>
    <row r="29" spans="1:10" x14ac:dyDescent="0.25">
      <c r="A29" s="2">
        <v>28</v>
      </c>
      <c r="B29" s="7" t="s">
        <v>900</v>
      </c>
      <c r="C29" s="2" t="s">
        <v>831</v>
      </c>
      <c r="D29" s="2" t="s">
        <v>831</v>
      </c>
      <c r="E29" s="55" t="s">
        <v>832</v>
      </c>
      <c r="F29" s="55" t="s">
        <v>835</v>
      </c>
      <c r="G29" s="55" t="s">
        <v>836</v>
      </c>
      <c r="H29" s="55"/>
      <c r="I29" s="55" t="s">
        <v>901</v>
      </c>
      <c r="J29" s="55"/>
    </row>
    <row r="30" spans="1:10" x14ac:dyDescent="0.25">
      <c r="A30" s="2">
        <v>29</v>
      </c>
      <c r="B30" s="7" t="s">
        <v>902</v>
      </c>
      <c r="C30" s="2" t="s">
        <v>831</v>
      </c>
      <c r="D30" s="2" t="s">
        <v>831</v>
      </c>
      <c r="E30" s="55" t="s">
        <v>832</v>
      </c>
      <c r="F30" s="55" t="s">
        <v>835</v>
      </c>
      <c r="G30" s="55" t="s">
        <v>903</v>
      </c>
      <c r="H30" s="55"/>
      <c r="I30" s="55"/>
      <c r="J30" s="55"/>
    </row>
    <row r="31" spans="1:10" x14ac:dyDescent="0.25">
      <c r="A31" s="2">
        <v>30</v>
      </c>
      <c r="B31" s="7" t="s">
        <v>904</v>
      </c>
      <c r="C31" s="2" t="s">
        <v>831</v>
      </c>
      <c r="D31" s="2" t="s">
        <v>831</v>
      </c>
      <c r="E31" s="55" t="s">
        <v>832</v>
      </c>
      <c r="F31" s="55" t="s">
        <v>835</v>
      </c>
      <c r="G31" s="55" t="s">
        <v>884</v>
      </c>
      <c r="H31" s="55" t="s">
        <v>905</v>
      </c>
      <c r="I31" s="55"/>
      <c r="J31" s="55"/>
    </row>
    <row r="32" spans="1:10" x14ac:dyDescent="0.25">
      <c r="A32" s="2">
        <v>31</v>
      </c>
      <c r="B32" s="7" t="s">
        <v>906</v>
      </c>
      <c r="C32" s="2" t="s">
        <v>831</v>
      </c>
      <c r="D32" s="2" t="s">
        <v>831</v>
      </c>
      <c r="E32" s="55" t="s">
        <v>832</v>
      </c>
      <c r="F32" s="55" t="s">
        <v>835</v>
      </c>
      <c r="G32" s="73" t="s">
        <v>907</v>
      </c>
      <c r="H32" s="55"/>
      <c r="I32" s="55"/>
      <c r="J32" s="55"/>
    </row>
    <row r="33" spans="1:10" x14ac:dyDescent="0.25">
      <c r="A33" s="2">
        <v>32</v>
      </c>
      <c r="B33" s="7" t="s">
        <v>908</v>
      </c>
      <c r="C33" s="2" t="s">
        <v>831</v>
      </c>
      <c r="D33" s="2" t="s">
        <v>831</v>
      </c>
      <c r="E33" s="55" t="s">
        <v>832</v>
      </c>
      <c r="F33" s="55" t="s">
        <v>835</v>
      </c>
      <c r="G33" s="55" t="s">
        <v>909</v>
      </c>
      <c r="H33" s="55"/>
      <c r="I33" s="55"/>
      <c r="J33" s="55"/>
    </row>
    <row r="34" spans="1:10" x14ac:dyDescent="0.25">
      <c r="A34" s="2">
        <v>33</v>
      </c>
      <c r="B34" s="7" t="s">
        <v>910</v>
      </c>
      <c r="C34" s="2" t="s">
        <v>831</v>
      </c>
      <c r="D34" s="2" t="s">
        <v>831</v>
      </c>
      <c r="E34" s="55" t="s">
        <v>832</v>
      </c>
      <c r="F34" s="55" t="s">
        <v>835</v>
      </c>
      <c r="G34" s="55" t="s">
        <v>911</v>
      </c>
      <c r="H34" s="55"/>
      <c r="I34" s="55"/>
      <c r="J34" s="55"/>
    </row>
    <row r="35" spans="1:10" x14ac:dyDescent="0.25">
      <c r="A35" s="2">
        <v>34</v>
      </c>
      <c r="B35" s="7" t="s">
        <v>912</v>
      </c>
      <c r="C35" s="2" t="s">
        <v>831</v>
      </c>
      <c r="D35" s="2" t="s">
        <v>831</v>
      </c>
      <c r="E35" s="55" t="s">
        <v>832</v>
      </c>
      <c r="F35" s="55" t="s">
        <v>835</v>
      </c>
      <c r="G35" s="55" t="s">
        <v>913</v>
      </c>
      <c r="H35" s="55"/>
      <c r="I35" s="55"/>
      <c r="J35" s="55"/>
    </row>
    <row r="36" spans="1:10" x14ac:dyDescent="0.25">
      <c r="A36" s="2">
        <v>35</v>
      </c>
      <c r="B36" s="7" t="s">
        <v>914</v>
      </c>
      <c r="C36" s="2" t="s">
        <v>831</v>
      </c>
      <c r="D36" s="2" t="s">
        <v>831</v>
      </c>
      <c r="E36" s="55" t="s">
        <v>832</v>
      </c>
      <c r="F36" s="55" t="s">
        <v>835</v>
      </c>
      <c r="G36" s="55" t="s">
        <v>884</v>
      </c>
      <c r="H36" s="55"/>
      <c r="I36" s="55"/>
      <c r="J36" s="55"/>
    </row>
    <row r="37" spans="1:10" x14ac:dyDescent="0.25">
      <c r="A37" s="2">
        <v>36</v>
      </c>
      <c r="B37" s="7" t="s">
        <v>915</v>
      </c>
      <c r="C37" s="2" t="s">
        <v>831</v>
      </c>
      <c r="D37" s="2" t="s">
        <v>831</v>
      </c>
      <c r="E37" s="55" t="s">
        <v>832</v>
      </c>
      <c r="F37" s="55" t="s">
        <v>835</v>
      </c>
      <c r="G37" s="55" t="s">
        <v>916</v>
      </c>
      <c r="H37" s="55"/>
      <c r="I37" s="55"/>
      <c r="J37" s="55"/>
    </row>
    <row r="38" spans="1:10" x14ac:dyDescent="0.25">
      <c r="A38" s="2">
        <v>37</v>
      </c>
      <c r="B38" s="7" t="s">
        <v>917</v>
      </c>
      <c r="C38" s="2" t="s">
        <v>831</v>
      </c>
      <c r="D38" s="2" t="s">
        <v>831</v>
      </c>
      <c r="E38" s="55" t="s">
        <v>832</v>
      </c>
      <c r="F38" s="55" t="s">
        <v>832</v>
      </c>
      <c r="G38" s="55" t="s">
        <v>918</v>
      </c>
      <c r="H38" s="55"/>
      <c r="I38" s="55"/>
      <c r="J38" s="55"/>
    </row>
    <row r="39" spans="1:10" x14ac:dyDescent="0.25">
      <c r="A39" s="2">
        <v>38</v>
      </c>
      <c r="B39" s="7" t="s">
        <v>919</v>
      </c>
      <c r="C39" s="2" t="s">
        <v>831</v>
      </c>
      <c r="D39" s="2" t="s">
        <v>831</v>
      </c>
      <c r="E39" s="55" t="s">
        <v>832</v>
      </c>
      <c r="F39" s="55" t="s">
        <v>835</v>
      </c>
      <c r="G39" s="55" t="s">
        <v>851</v>
      </c>
      <c r="H39" s="55"/>
      <c r="I39" s="55" t="s">
        <v>901</v>
      </c>
      <c r="J39" s="55"/>
    </row>
    <row r="40" spans="1:10" x14ac:dyDescent="0.25">
      <c r="A40" s="2">
        <v>39</v>
      </c>
      <c r="B40" s="7" t="s">
        <v>920</v>
      </c>
      <c r="C40" s="2" t="s">
        <v>831</v>
      </c>
      <c r="D40" s="2" t="s">
        <v>831</v>
      </c>
      <c r="E40" s="55" t="s">
        <v>832</v>
      </c>
      <c r="F40" s="55" t="s">
        <v>832</v>
      </c>
      <c r="G40" s="55" t="s">
        <v>921</v>
      </c>
      <c r="H40" s="55"/>
      <c r="I40" s="73" t="s">
        <v>887</v>
      </c>
      <c r="J40" s="55"/>
    </row>
    <row r="41" spans="1:10" x14ac:dyDescent="0.25">
      <c r="A41" s="2">
        <v>40</v>
      </c>
      <c r="B41" s="7" t="s">
        <v>922</v>
      </c>
      <c r="C41" s="2" t="s">
        <v>831</v>
      </c>
      <c r="D41" s="2" t="s">
        <v>831</v>
      </c>
      <c r="E41" s="55" t="s">
        <v>832</v>
      </c>
      <c r="F41" s="55" t="s">
        <v>832</v>
      </c>
      <c r="G41" s="55" t="s">
        <v>859</v>
      </c>
      <c r="H41" s="55" t="s">
        <v>923</v>
      </c>
      <c r="I41" s="55"/>
      <c r="J41" s="55" t="s">
        <v>924</v>
      </c>
    </row>
    <row r="42" spans="1:10" x14ac:dyDescent="0.25">
      <c r="A42" s="2">
        <v>41</v>
      </c>
      <c r="B42" s="7" t="s">
        <v>925</v>
      </c>
      <c r="C42" s="2" t="s">
        <v>831</v>
      </c>
      <c r="D42" s="2" t="s">
        <v>831</v>
      </c>
      <c r="E42" s="55" t="s">
        <v>832</v>
      </c>
      <c r="F42" s="55" t="s">
        <v>832</v>
      </c>
      <c r="G42" s="55" t="s">
        <v>851</v>
      </c>
      <c r="H42" s="55"/>
      <c r="I42" s="55"/>
      <c r="J42" s="55"/>
    </row>
    <row r="43" spans="1:10" x14ac:dyDescent="0.25">
      <c r="A43" s="2">
        <v>42</v>
      </c>
      <c r="B43" s="7" t="s">
        <v>926</v>
      </c>
      <c r="C43" s="2" t="s">
        <v>831</v>
      </c>
      <c r="D43" s="2" t="s">
        <v>831</v>
      </c>
      <c r="E43" s="55" t="s">
        <v>832</v>
      </c>
      <c r="F43" s="55" t="s">
        <v>832</v>
      </c>
      <c r="G43" s="55" t="s">
        <v>927</v>
      </c>
      <c r="H43" s="55"/>
      <c r="I43" s="55"/>
      <c r="J43" s="55"/>
    </row>
    <row r="44" spans="1:10" x14ac:dyDescent="0.25">
      <c r="A44" s="2">
        <v>43</v>
      </c>
      <c r="B44" s="7" t="s">
        <v>928</v>
      </c>
      <c r="C44" s="2" t="s">
        <v>831</v>
      </c>
      <c r="D44" s="2" t="s">
        <v>831</v>
      </c>
      <c r="E44" s="55" t="s">
        <v>832</v>
      </c>
      <c r="F44" s="55" t="s">
        <v>835</v>
      </c>
      <c r="G44" s="55" t="s">
        <v>929</v>
      </c>
      <c r="H44" s="55"/>
      <c r="I44" s="55"/>
      <c r="J44" s="55"/>
    </row>
    <row r="45" spans="1:10" x14ac:dyDescent="0.25">
      <c r="A45" s="2">
        <v>44</v>
      </c>
      <c r="B45" s="7" t="s">
        <v>930</v>
      </c>
      <c r="C45" s="2" t="s">
        <v>831</v>
      </c>
      <c r="D45" s="2" t="s">
        <v>831</v>
      </c>
      <c r="E45" s="55" t="s">
        <v>832</v>
      </c>
      <c r="F45" s="55" t="s">
        <v>835</v>
      </c>
      <c r="G45" s="73" t="s">
        <v>931</v>
      </c>
      <c r="H45" s="55"/>
      <c r="I45" s="55"/>
      <c r="J45" s="55"/>
    </row>
    <row r="46" spans="1:10" x14ac:dyDescent="0.25">
      <c r="A46" s="2">
        <v>45</v>
      </c>
      <c r="B46" s="7" t="s">
        <v>932</v>
      </c>
      <c r="C46" s="2" t="s">
        <v>831</v>
      </c>
      <c r="D46" s="2" t="s">
        <v>831</v>
      </c>
      <c r="E46" s="55" t="s">
        <v>832</v>
      </c>
      <c r="F46" s="55" t="s">
        <v>835</v>
      </c>
      <c r="G46" s="55" t="s">
        <v>898</v>
      </c>
      <c r="H46" s="74" t="s">
        <v>933</v>
      </c>
      <c r="I46" s="55"/>
      <c r="J46" s="55"/>
    </row>
    <row r="47" spans="1:10" x14ac:dyDescent="0.25">
      <c r="A47" s="2">
        <v>46</v>
      </c>
      <c r="B47" s="7" t="s">
        <v>934</v>
      </c>
      <c r="C47" s="2" t="s">
        <v>831</v>
      </c>
      <c r="D47" s="2" t="s">
        <v>831</v>
      </c>
      <c r="E47" s="55" t="s">
        <v>832</v>
      </c>
      <c r="F47" s="55" t="s">
        <v>835</v>
      </c>
      <c r="G47" s="55" t="s">
        <v>935</v>
      </c>
      <c r="H47" s="55"/>
      <c r="I47" s="55"/>
      <c r="J47" s="55"/>
    </row>
    <row r="48" spans="1:10" x14ac:dyDescent="0.25">
      <c r="A48" s="2">
        <v>47</v>
      </c>
      <c r="B48" s="7" t="s">
        <v>562</v>
      </c>
      <c r="C48" s="2" t="s">
        <v>831</v>
      </c>
      <c r="D48" s="2" t="s">
        <v>831</v>
      </c>
      <c r="E48" s="55" t="s">
        <v>832</v>
      </c>
      <c r="F48" s="55" t="s">
        <v>835</v>
      </c>
      <c r="G48" s="73" t="s">
        <v>857</v>
      </c>
      <c r="H48" s="73" t="s">
        <v>936</v>
      </c>
      <c r="I48" s="55"/>
      <c r="J48" s="55"/>
    </row>
    <row r="49" spans="1:10" x14ac:dyDescent="0.25">
      <c r="A49" s="2">
        <v>48</v>
      </c>
      <c r="B49" s="7" t="s">
        <v>539</v>
      </c>
      <c r="C49" s="2" t="s">
        <v>831</v>
      </c>
      <c r="D49" s="2" t="s">
        <v>831</v>
      </c>
      <c r="E49" s="55" t="s">
        <v>832</v>
      </c>
      <c r="F49" s="55" t="s">
        <v>835</v>
      </c>
      <c r="G49" s="55" t="s">
        <v>937</v>
      </c>
      <c r="H49" s="55"/>
      <c r="I49" s="55"/>
      <c r="J49" s="55"/>
    </row>
    <row r="50" spans="1:10" x14ac:dyDescent="0.25">
      <c r="A50" s="2">
        <v>49</v>
      </c>
      <c r="B50" s="7" t="s">
        <v>938</v>
      </c>
      <c r="C50" s="2" t="s">
        <v>831</v>
      </c>
      <c r="D50" s="2" t="s">
        <v>831</v>
      </c>
      <c r="E50" s="55" t="s">
        <v>832</v>
      </c>
      <c r="F50" s="55" t="s">
        <v>835</v>
      </c>
      <c r="G50" s="55" t="s">
        <v>862</v>
      </c>
      <c r="H50" s="55"/>
      <c r="I50" s="55"/>
      <c r="J50" s="55"/>
    </row>
    <row r="51" spans="1:10" x14ac:dyDescent="0.25">
      <c r="A51" s="2">
        <v>50</v>
      </c>
      <c r="B51" s="7" t="s">
        <v>939</v>
      </c>
      <c r="C51" s="2" t="s">
        <v>831</v>
      </c>
      <c r="D51" s="2" t="s">
        <v>831</v>
      </c>
      <c r="E51" s="55" t="s">
        <v>832</v>
      </c>
      <c r="F51" s="55" t="s">
        <v>835</v>
      </c>
      <c r="G51" s="73" t="s">
        <v>940</v>
      </c>
      <c r="H51" s="55"/>
      <c r="I51" s="55"/>
      <c r="J51" s="55"/>
    </row>
    <row r="52" spans="1:10" x14ac:dyDescent="0.25">
      <c r="A52" s="2">
        <v>51</v>
      </c>
      <c r="B52" s="7" t="s">
        <v>941</v>
      </c>
      <c r="C52" s="2" t="s">
        <v>831</v>
      </c>
      <c r="D52" s="2" t="s">
        <v>831</v>
      </c>
      <c r="E52" s="55" t="s">
        <v>832</v>
      </c>
      <c r="F52" s="55" t="s">
        <v>835</v>
      </c>
      <c r="G52" s="73" t="s">
        <v>942</v>
      </c>
      <c r="H52" s="55" t="s">
        <v>943</v>
      </c>
      <c r="I52" s="55"/>
      <c r="J52" s="55"/>
    </row>
    <row r="53" spans="1:10" x14ac:dyDescent="0.25">
      <c r="A53" s="2">
        <v>52</v>
      </c>
      <c r="B53" s="7" t="s">
        <v>944</v>
      </c>
      <c r="C53" s="2" t="s">
        <v>831</v>
      </c>
      <c r="D53" s="2" t="s">
        <v>831</v>
      </c>
      <c r="E53" s="55" t="s">
        <v>832</v>
      </c>
      <c r="F53" s="55" t="s">
        <v>832</v>
      </c>
      <c r="G53" s="55" t="s">
        <v>945</v>
      </c>
      <c r="H53" s="55" t="s">
        <v>876</v>
      </c>
      <c r="I53" s="73" t="s">
        <v>860</v>
      </c>
      <c r="J53" s="55"/>
    </row>
    <row r="54" spans="1:10" x14ac:dyDescent="0.25">
      <c r="A54" s="2">
        <v>53</v>
      </c>
      <c r="B54" s="7" t="s">
        <v>946</v>
      </c>
      <c r="C54" s="2" t="s">
        <v>831</v>
      </c>
      <c r="D54" s="2" t="s">
        <v>831</v>
      </c>
      <c r="E54" s="55" t="s">
        <v>832</v>
      </c>
      <c r="F54" s="55" t="s">
        <v>835</v>
      </c>
      <c r="G54" s="73" t="s">
        <v>838</v>
      </c>
      <c r="H54" s="55" t="s">
        <v>947</v>
      </c>
      <c r="I54" s="55"/>
      <c r="J54" s="55"/>
    </row>
    <row r="55" spans="1:10" x14ac:dyDescent="0.25">
      <c r="A55" s="2">
        <v>54</v>
      </c>
      <c r="B55" s="7" t="s">
        <v>948</v>
      </c>
      <c r="C55" s="2" t="s">
        <v>831</v>
      </c>
      <c r="D55" s="2" t="s">
        <v>831</v>
      </c>
      <c r="E55" s="55" t="s">
        <v>832</v>
      </c>
      <c r="F55" s="55" t="s">
        <v>832</v>
      </c>
      <c r="G55" s="55" t="s">
        <v>949</v>
      </c>
      <c r="H55" s="55"/>
      <c r="I55" s="55"/>
      <c r="J55" s="55"/>
    </row>
    <row r="56" spans="1:10" x14ac:dyDescent="0.25">
      <c r="A56" s="2">
        <v>55</v>
      </c>
      <c r="B56" s="7" t="s">
        <v>950</v>
      </c>
      <c r="C56" s="2" t="s">
        <v>831</v>
      </c>
      <c r="D56" s="2" t="s">
        <v>831</v>
      </c>
      <c r="E56" s="55" t="s">
        <v>832</v>
      </c>
      <c r="F56" s="55" t="s">
        <v>835</v>
      </c>
      <c r="G56" s="73" t="s">
        <v>951</v>
      </c>
      <c r="H56" s="55"/>
      <c r="I56" s="55" t="s">
        <v>872</v>
      </c>
      <c r="J56" s="55"/>
    </row>
    <row r="57" spans="1:10" x14ac:dyDescent="0.25">
      <c r="A57" s="2">
        <v>56</v>
      </c>
      <c r="B57" s="7" t="s">
        <v>952</v>
      </c>
      <c r="C57" s="2" t="s">
        <v>831</v>
      </c>
      <c r="D57" s="2" t="s">
        <v>831</v>
      </c>
      <c r="E57" s="55" t="s">
        <v>832</v>
      </c>
      <c r="F57" s="55" t="s">
        <v>835</v>
      </c>
      <c r="G57" s="55" t="s">
        <v>953</v>
      </c>
      <c r="H57" s="73" t="s">
        <v>954</v>
      </c>
      <c r="I57" s="55"/>
      <c r="J57" s="55" t="s">
        <v>955</v>
      </c>
    </row>
    <row r="58" spans="1:10" x14ac:dyDescent="0.25">
      <c r="A58" s="2">
        <v>57</v>
      </c>
      <c r="B58" s="7" t="s">
        <v>956</v>
      </c>
      <c r="C58" s="2" t="s">
        <v>831</v>
      </c>
      <c r="D58" s="2" t="s">
        <v>831</v>
      </c>
      <c r="E58" s="55" t="s">
        <v>832</v>
      </c>
      <c r="F58" s="55" t="s">
        <v>832</v>
      </c>
      <c r="G58" s="55" t="s">
        <v>842</v>
      </c>
      <c r="H58" s="55" t="s">
        <v>876</v>
      </c>
      <c r="I58" s="55"/>
      <c r="J58" s="55"/>
    </row>
    <row r="59" spans="1:10" x14ac:dyDescent="0.25">
      <c r="A59" s="2">
        <v>58</v>
      </c>
      <c r="B59" s="7" t="s">
        <v>957</v>
      </c>
      <c r="C59" s="2" t="s">
        <v>831</v>
      </c>
      <c r="D59" s="2" t="s">
        <v>831</v>
      </c>
      <c r="E59" s="55" t="s">
        <v>832</v>
      </c>
      <c r="F59" s="55" t="s">
        <v>835</v>
      </c>
      <c r="G59" s="55" t="s">
        <v>958</v>
      </c>
      <c r="H59" s="55" t="s">
        <v>959</v>
      </c>
      <c r="I59" s="55"/>
      <c r="J59" s="55"/>
    </row>
    <row r="60" spans="1:10" x14ac:dyDescent="0.25">
      <c r="A60" s="2">
        <v>59</v>
      </c>
      <c r="B60" s="7" t="s">
        <v>960</v>
      </c>
      <c r="C60" s="2" t="s">
        <v>831</v>
      </c>
      <c r="D60" s="2" t="s">
        <v>831</v>
      </c>
      <c r="E60" s="55" t="s">
        <v>832</v>
      </c>
      <c r="F60" s="55" t="s">
        <v>835</v>
      </c>
      <c r="G60" s="55" t="s">
        <v>949</v>
      </c>
      <c r="H60" s="74" t="s">
        <v>936</v>
      </c>
      <c r="I60" s="55"/>
      <c r="J60" s="55"/>
    </row>
    <row r="61" spans="1:10" x14ac:dyDescent="0.25">
      <c r="A61" s="2">
        <v>60</v>
      </c>
      <c r="B61" s="7" t="s">
        <v>961</v>
      </c>
      <c r="C61" s="2" t="s">
        <v>831</v>
      </c>
      <c r="D61" s="2" t="s">
        <v>831</v>
      </c>
      <c r="E61" s="55" t="s">
        <v>832</v>
      </c>
      <c r="F61" s="55" t="s">
        <v>835</v>
      </c>
      <c r="G61" s="55" t="s">
        <v>870</v>
      </c>
      <c r="H61" s="55"/>
      <c r="I61" s="55"/>
      <c r="J61" s="55"/>
    </row>
    <row r="62" spans="1:10" x14ac:dyDescent="0.25">
      <c r="A62" s="2">
        <v>61</v>
      </c>
      <c r="B62" s="7" t="s">
        <v>962</v>
      </c>
      <c r="C62" s="2" t="s">
        <v>831</v>
      </c>
      <c r="D62" s="2" t="s">
        <v>831</v>
      </c>
      <c r="E62" s="55" t="s">
        <v>832</v>
      </c>
      <c r="F62" s="55" t="s">
        <v>832</v>
      </c>
      <c r="G62" s="55" t="s">
        <v>840</v>
      </c>
      <c r="H62" s="55"/>
      <c r="I62" s="55"/>
      <c r="J62" s="55"/>
    </row>
    <row r="63" spans="1:10" x14ac:dyDescent="0.25">
      <c r="A63" s="2">
        <v>62</v>
      </c>
      <c r="B63" s="7" t="s">
        <v>963</v>
      </c>
      <c r="C63" s="2" t="s">
        <v>831</v>
      </c>
      <c r="D63" s="2" t="s">
        <v>831</v>
      </c>
      <c r="E63" s="55" t="s">
        <v>832</v>
      </c>
      <c r="F63" s="55" t="s">
        <v>832</v>
      </c>
      <c r="G63" s="55" t="s">
        <v>964</v>
      </c>
      <c r="H63" s="55" t="s">
        <v>965</v>
      </c>
      <c r="I63" s="55"/>
      <c r="J63" s="55"/>
    </row>
    <row r="64" spans="1:10" x14ac:dyDescent="0.25">
      <c r="A64" s="2">
        <v>63</v>
      </c>
      <c r="B64" s="7" t="s">
        <v>966</v>
      </c>
      <c r="C64" s="2" t="s">
        <v>831</v>
      </c>
      <c r="D64" s="2" t="s">
        <v>831</v>
      </c>
      <c r="E64" s="55" t="s">
        <v>832</v>
      </c>
      <c r="F64" s="55" t="s">
        <v>832</v>
      </c>
      <c r="G64" s="55" t="s">
        <v>967</v>
      </c>
      <c r="H64" s="55"/>
      <c r="I64" s="55"/>
      <c r="J64" s="55"/>
    </row>
    <row r="65" spans="1:10" x14ac:dyDescent="0.25">
      <c r="A65" s="2">
        <v>64</v>
      </c>
      <c r="B65" s="7" t="s">
        <v>968</v>
      </c>
      <c r="C65" s="2" t="s">
        <v>831</v>
      </c>
      <c r="D65" s="2" t="s">
        <v>831</v>
      </c>
      <c r="E65" s="55" t="s">
        <v>832</v>
      </c>
      <c r="F65" s="55" t="s">
        <v>835</v>
      </c>
      <c r="G65" s="55" t="s">
        <v>969</v>
      </c>
      <c r="H65" s="73" t="s">
        <v>970</v>
      </c>
      <c r="I65" s="55"/>
      <c r="J65" s="55"/>
    </row>
    <row r="66" spans="1:10" x14ac:dyDescent="0.25">
      <c r="A66" s="2">
        <v>65</v>
      </c>
      <c r="B66" s="7" t="s">
        <v>971</v>
      </c>
      <c r="C66" s="2" t="s">
        <v>831</v>
      </c>
      <c r="D66" s="2" t="s">
        <v>831</v>
      </c>
      <c r="E66" s="55" t="s">
        <v>832</v>
      </c>
      <c r="F66" s="55" t="s">
        <v>835</v>
      </c>
      <c r="G66" s="55" t="s">
        <v>840</v>
      </c>
      <c r="H66" s="73" t="s">
        <v>972</v>
      </c>
      <c r="I66" s="55"/>
      <c r="J66" s="55"/>
    </row>
    <row r="67" spans="1:10" x14ac:dyDescent="0.25">
      <c r="A67" s="2">
        <v>66</v>
      </c>
      <c r="B67" s="7" t="s">
        <v>973</v>
      </c>
      <c r="C67" s="2" t="s">
        <v>831</v>
      </c>
      <c r="D67" s="2" t="s">
        <v>831</v>
      </c>
      <c r="E67" s="55" t="s">
        <v>832</v>
      </c>
      <c r="F67" s="55" t="s">
        <v>835</v>
      </c>
      <c r="G67" s="55" t="s">
        <v>958</v>
      </c>
      <c r="H67" s="55" t="s">
        <v>943</v>
      </c>
      <c r="I67" s="55"/>
      <c r="J67" s="55"/>
    </row>
    <row r="68" spans="1:10" x14ac:dyDescent="0.25">
      <c r="A68" s="2">
        <v>67</v>
      </c>
      <c r="B68" s="7" t="s">
        <v>974</v>
      </c>
      <c r="C68" s="2" t="s">
        <v>831</v>
      </c>
      <c r="D68" s="2" t="s">
        <v>831</v>
      </c>
      <c r="E68" s="55" t="s">
        <v>832</v>
      </c>
      <c r="F68" s="55" t="s">
        <v>835</v>
      </c>
      <c r="G68" s="55" t="s">
        <v>975</v>
      </c>
      <c r="H68" s="55" t="s">
        <v>976</v>
      </c>
      <c r="I68" s="55"/>
      <c r="J68" s="55"/>
    </row>
    <row r="69" spans="1:10" x14ac:dyDescent="0.25">
      <c r="A69" s="2">
        <v>68</v>
      </c>
      <c r="B69" s="7" t="s">
        <v>977</v>
      </c>
      <c r="C69" s="2" t="s">
        <v>831</v>
      </c>
      <c r="D69" s="2" t="s">
        <v>831</v>
      </c>
      <c r="E69" s="55" t="s">
        <v>832</v>
      </c>
      <c r="F69" s="55" t="s">
        <v>832</v>
      </c>
      <c r="G69" s="55" t="s">
        <v>978</v>
      </c>
      <c r="H69" s="55"/>
      <c r="I69" s="55"/>
      <c r="J69" s="55"/>
    </row>
    <row r="70" spans="1:10" x14ac:dyDescent="0.25">
      <c r="A70" s="2">
        <v>69</v>
      </c>
      <c r="B70" s="7" t="s">
        <v>979</v>
      </c>
      <c r="C70" s="2" t="s">
        <v>831</v>
      </c>
      <c r="D70" s="2" t="s">
        <v>831</v>
      </c>
      <c r="E70" s="55" t="s">
        <v>832</v>
      </c>
      <c r="F70" s="55" t="s">
        <v>832</v>
      </c>
      <c r="G70" s="55" t="s">
        <v>859</v>
      </c>
      <c r="H70" s="55"/>
      <c r="I70" s="55"/>
      <c r="J70" s="55"/>
    </row>
    <row r="71" spans="1:10" x14ac:dyDescent="0.25">
      <c r="A71" s="2">
        <v>70</v>
      </c>
      <c r="B71" s="7" t="s">
        <v>980</v>
      </c>
      <c r="C71" s="2" t="s">
        <v>831</v>
      </c>
      <c r="D71" s="2" t="s">
        <v>831</v>
      </c>
      <c r="E71" s="55" t="s">
        <v>832</v>
      </c>
      <c r="F71" s="55" t="s">
        <v>832</v>
      </c>
      <c r="G71" s="55" t="s">
        <v>884</v>
      </c>
      <c r="H71" s="55"/>
      <c r="I71" s="55"/>
      <c r="J71" s="55"/>
    </row>
    <row r="72" spans="1:10" x14ac:dyDescent="0.25">
      <c r="A72" s="2">
        <v>71</v>
      </c>
      <c r="B72" s="7" t="s">
        <v>981</v>
      </c>
      <c r="C72" s="2" t="s">
        <v>831</v>
      </c>
      <c r="D72" s="2" t="s">
        <v>831</v>
      </c>
      <c r="E72" s="55" t="s">
        <v>832</v>
      </c>
      <c r="F72" s="55" t="s">
        <v>835</v>
      </c>
      <c r="G72" s="55" t="s">
        <v>870</v>
      </c>
      <c r="H72" s="55" t="s">
        <v>982</v>
      </c>
      <c r="I72" s="55"/>
      <c r="J72" s="55"/>
    </row>
    <row r="73" spans="1:10" x14ac:dyDescent="0.25">
      <c r="A73" s="2">
        <v>72</v>
      </c>
      <c r="B73" s="7" t="s">
        <v>983</v>
      </c>
      <c r="C73" s="2" t="s">
        <v>831</v>
      </c>
      <c r="D73" s="2" t="s">
        <v>831</v>
      </c>
      <c r="E73" s="55" t="s">
        <v>832</v>
      </c>
      <c r="F73" s="55" t="s">
        <v>832</v>
      </c>
      <c r="G73" s="55" t="s">
        <v>984</v>
      </c>
      <c r="H73" s="55"/>
      <c r="I73" s="55"/>
      <c r="J73" s="55"/>
    </row>
    <row r="74" spans="1:10" x14ac:dyDescent="0.25">
      <c r="A74" s="2">
        <v>73</v>
      </c>
      <c r="B74" s="7" t="s">
        <v>985</v>
      </c>
      <c r="C74" s="2" t="s">
        <v>831</v>
      </c>
      <c r="D74" s="2" t="s">
        <v>831</v>
      </c>
      <c r="E74" s="55" t="s">
        <v>832</v>
      </c>
      <c r="F74" s="55" t="s">
        <v>835</v>
      </c>
      <c r="G74" s="55" t="s">
        <v>986</v>
      </c>
      <c r="H74" s="55"/>
      <c r="I74" s="55"/>
      <c r="J74" s="55"/>
    </row>
    <row r="75" spans="1:10" x14ac:dyDescent="0.25">
      <c r="A75" s="2">
        <v>74</v>
      </c>
      <c r="B75" s="7" t="s">
        <v>987</v>
      </c>
      <c r="C75" s="2" t="s">
        <v>831</v>
      </c>
      <c r="D75" s="2" t="s">
        <v>831</v>
      </c>
      <c r="E75" s="55" t="s">
        <v>832</v>
      </c>
      <c r="F75" s="55" t="s">
        <v>832</v>
      </c>
      <c r="G75" s="55" t="s">
        <v>978</v>
      </c>
      <c r="H75" s="55" t="s">
        <v>988</v>
      </c>
      <c r="I75" s="55"/>
      <c r="J75" s="55"/>
    </row>
    <row r="76" spans="1:10" x14ac:dyDescent="0.25">
      <c r="A76" s="2">
        <v>75</v>
      </c>
      <c r="B76" s="7" t="s">
        <v>989</v>
      </c>
      <c r="C76" s="2" t="s">
        <v>831</v>
      </c>
      <c r="D76" s="2" t="s">
        <v>831</v>
      </c>
      <c r="E76" s="55" t="s">
        <v>832</v>
      </c>
      <c r="F76" s="55" t="s">
        <v>835</v>
      </c>
      <c r="G76" s="75" t="s">
        <v>990</v>
      </c>
      <c r="H76" s="55"/>
      <c r="I76" s="55"/>
      <c r="J76" s="55"/>
    </row>
    <row r="77" spans="1:10" x14ac:dyDescent="0.25">
      <c r="A77" s="2">
        <v>76</v>
      </c>
      <c r="B77" s="7" t="s">
        <v>991</v>
      </c>
      <c r="C77" s="2" t="s">
        <v>831</v>
      </c>
      <c r="D77" s="2" t="s">
        <v>831</v>
      </c>
      <c r="E77" s="55" t="s">
        <v>832</v>
      </c>
      <c r="F77" s="55" t="s">
        <v>832</v>
      </c>
      <c r="G77" s="55" t="s">
        <v>992</v>
      </c>
      <c r="H77" s="55"/>
      <c r="I77" s="55"/>
      <c r="J77" s="55"/>
    </row>
    <row r="78" spans="1:10" x14ac:dyDescent="0.25">
      <c r="A78" s="2">
        <v>77</v>
      </c>
      <c r="B78" s="7" t="s">
        <v>993</v>
      </c>
      <c r="C78" s="2" t="s">
        <v>831</v>
      </c>
      <c r="D78" s="2" t="s">
        <v>831</v>
      </c>
      <c r="E78" s="55" t="s">
        <v>832</v>
      </c>
      <c r="F78" s="76" t="s">
        <v>835</v>
      </c>
      <c r="G78" s="75" t="s">
        <v>994</v>
      </c>
      <c r="H78" s="55"/>
      <c r="I78" s="55"/>
      <c r="J78" s="55"/>
    </row>
    <row r="79" spans="1:10" x14ac:dyDescent="0.25">
      <c r="A79" s="2">
        <v>78</v>
      </c>
      <c r="B79" s="7" t="s">
        <v>995</v>
      </c>
      <c r="C79" s="2" t="s">
        <v>831</v>
      </c>
      <c r="D79" s="2" t="s">
        <v>831</v>
      </c>
      <c r="E79" s="55" t="s">
        <v>832</v>
      </c>
      <c r="F79" s="55" t="s">
        <v>835</v>
      </c>
      <c r="G79" s="73" t="s">
        <v>996</v>
      </c>
      <c r="H79" s="55" t="s">
        <v>997</v>
      </c>
      <c r="I79" s="55"/>
      <c r="J79" s="55"/>
    </row>
    <row r="80" spans="1:10" x14ac:dyDescent="0.25">
      <c r="A80" s="2">
        <v>79</v>
      </c>
      <c r="B80" s="7" t="s">
        <v>998</v>
      </c>
      <c r="C80" s="2" t="s">
        <v>831</v>
      </c>
      <c r="D80" s="2" t="s">
        <v>831</v>
      </c>
      <c r="E80" s="55" t="s">
        <v>832</v>
      </c>
      <c r="F80" s="55" t="s">
        <v>835</v>
      </c>
      <c r="G80" s="55" t="s">
        <v>999</v>
      </c>
      <c r="H80" s="55"/>
      <c r="I80" s="55"/>
      <c r="J80" s="55"/>
    </row>
    <row r="81" spans="1:10" x14ac:dyDescent="0.25">
      <c r="A81" s="2">
        <v>80</v>
      </c>
      <c r="B81" s="7" t="s">
        <v>1000</v>
      </c>
      <c r="C81" s="2" t="s">
        <v>831</v>
      </c>
      <c r="D81" s="2" t="s">
        <v>831</v>
      </c>
      <c r="E81" s="55" t="s">
        <v>832</v>
      </c>
      <c r="F81" s="55" t="s">
        <v>832</v>
      </c>
      <c r="G81" s="55" t="s">
        <v>1001</v>
      </c>
      <c r="H81" s="73" t="s">
        <v>1002</v>
      </c>
      <c r="I81" s="55"/>
      <c r="J81" s="55"/>
    </row>
    <row r="82" spans="1:10" x14ac:dyDescent="0.25">
      <c r="A82" s="2">
        <v>81</v>
      </c>
      <c r="B82" s="7" t="s">
        <v>1003</v>
      </c>
      <c r="C82" s="2" t="s">
        <v>831</v>
      </c>
      <c r="D82" s="2" t="s">
        <v>831</v>
      </c>
      <c r="E82" s="55" t="s">
        <v>832</v>
      </c>
      <c r="F82" s="55" t="s">
        <v>835</v>
      </c>
      <c r="G82" s="55" t="s">
        <v>1004</v>
      </c>
      <c r="H82" s="55"/>
      <c r="I82" s="55"/>
      <c r="J82" s="55"/>
    </row>
    <row r="83" spans="1:10" x14ac:dyDescent="0.25">
      <c r="A83" s="2">
        <v>82</v>
      </c>
      <c r="B83" s="7" t="s">
        <v>1005</v>
      </c>
      <c r="C83" s="2" t="s">
        <v>831</v>
      </c>
      <c r="D83" s="2" t="s">
        <v>831</v>
      </c>
      <c r="E83" s="55" t="s">
        <v>832</v>
      </c>
      <c r="F83" s="55" t="s">
        <v>835</v>
      </c>
      <c r="G83" s="55" t="s">
        <v>870</v>
      </c>
      <c r="H83" s="73" t="s">
        <v>1006</v>
      </c>
      <c r="I83" s="55"/>
      <c r="J83" s="55" t="s">
        <v>1007</v>
      </c>
    </row>
    <row r="84" spans="1:10" x14ac:dyDescent="0.25">
      <c r="A84" s="2">
        <v>83</v>
      </c>
      <c r="B84" s="7" t="s">
        <v>1008</v>
      </c>
      <c r="C84" s="2" t="s">
        <v>831</v>
      </c>
      <c r="D84" s="2" t="s">
        <v>831</v>
      </c>
      <c r="E84" s="55" t="s">
        <v>832</v>
      </c>
      <c r="F84" s="55" t="s">
        <v>832</v>
      </c>
      <c r="G84" s="55" t="s">
        <v>1009</v>
      </c>
      <c r="H84" s="55" t="s">
        <v>1006</v>
      </c>
      <c r="I84" s="55"/>
      <c r="J84" s="55"/>
    </row>
    <row r="85" spans="1:10" x14ac:dyDescent="0.25">
      <c r="A85" s="2">
        <v>84</v>
      </c>
      <c r="B85" s="7" t="s">
        <v>1010</v>
      </c>
      <c r="C85" s="2" t="s">
        <v>831</v>
      </c>
      <c r="D85" s="2" t="s">
        <v>831</v>
      </c>
      <c r="E85" s="55" t="s">
        <v>832</v>
      </c>
      <c r="F85" s="55" t="s">
        <v>832</v>
      </c>
      <c r="G85" s="55" t="s">
        <v>967</v>
      </c>
      <c r="H85" s="55" t="s">
        <v>1011</v>
      </c>
      <c r="I85" s="55" t="s">
        <v>847</v>
      </c>
      <c r="J85" s="55"/>
    </row>
    <row r="86" spans="1:10" x14ac:dyDescent="0.25">
      <c r="A86" s="2">
        <v>85</v>
      </c>
      <c r="B86" s="7" t="s">
        <v>1012</v>
      </c>
      <c r="C86" s="2" t="s">
        <v>831</v>
      </c>
      <c r="D86" s="2" t="s">
        <v>831</v>
      </c>
      <c r="E86" s="55" t="s">
        <v>832</v>
      </c>
      <c r="F86" s="55" t="s">
        <v>832</v>
      </c>
      <c r="G86" s="55" t="s">
        <v>937</v>
      </c>
      <c r="H86" s="55"/>
      <c r="I86" s="55"/>
      <c r="J86" s="55"/>
    </row>
    <row r="87" spans="1:10" x14ac:dyDescent="0.25">
      <c r="A87" s="2">
        <v>86</v>
      </c>
      <c r="B87" s="7" t="s">
        <v>1013</v>
      </c>
      <c r="C87" s="2" t="s">
        <v>831</v>
      </c>
      <c r="D87" s="2" t="s">
        <v>831</v>
      </c>
      <c r="E87" s="55" t="s">
        <v>832</v>
      </c>
      <c r="F87" s="55" t="s">
        <v>835</v>
      </c>
      <c r="G87" s="73" t="s">
        <v>1009</v>
      </c>
      <c r="H87" s="73" t="s">
        <v>868</v>
      </c>
      <c r="I87" s="74" t="s">
        <v>887</v>
      </c>
      <c r="J87" s="55" t="s">
        <v>1014</v>
      </c>
    </row>
    <row r="88" spans="1:10" x14ac:dyDescent="0.25">
      <c r="A88" s="2">
        <v>87</v>
      </c>
      <c r="B88" s="7" t="s">
        <v>1015</v>
      </c>
      <c r="C88" s="2" t="s">
        <v>831</v>
      </c>
      <c r="D88" s="2" t="s">
        <v>831</v>
      </c>
      <c r="E88" s="55" t="s">
        <v>832</v>
      </c>
      <c r="F88" s="55" t="s">
        <v>835</v>
      </c>
      <c r="G88" s="55" t="s">
        <v>1016</v>
      </c>
      <c r="H88" s="55" t="s">
        <v>1017</v>
      </c>
      <c r="I88" s="55"/>
      <c r="J88" s="55"/>
    </row>
    <row r="89" spans="1:10" x14ac:dyDescent="0.25">
      <c r="A89" s="2">
        <v>88</v>
      </c>
      <c r="B89" s="7" t="s">
        <v>1018</v>
      </c>
      <c r="C89" s="2" t="s">
        <v>831</v>
      </c>
      <c r="D89" s="2" t="s">
        <v>831</v>
      </c>
      <c r="E89" s="55" t="s">
        <v>832</v>
      </c>
      <c r="F89" s="55" t="s">
        <v>832</v>
      </c>
      <c r="G89" s="55" t="s">
        <v>1019</v>
      </c>
      <c r="H89" s="55" t="s">
        <v>1020</v>
      </c>
      <c r="I89" s="55" t="s">
        <v>847</v>
      </c>
      <c r="J89" s="55"/>
    </row>
    <row r="90" spans="1:10" x14ac:dyDescent="0.25">
      <c r="A90" s="2">
        <v>89</v>
      </c>
      <c r="B90" s="7" t="s">
        <v>1021</v>
      </c>
      <c r="C90" s="2" t="s">
        <v>831</v>
      </c>
      <c r="D90" s="2" t="s">
        <v>831</v>
      </c>
      <c r="E90" s="55" t="s">
        <v>832</v>
      </c>
      <c r="F90" s="55" t="s">
        <v>835</v>
      </c>
      <c r="G90" s="55" t="s">
        <v>1022</v>
      </c>
      <c r="H90" s="73" t="s">
        <v>1011</v>
      </c>
      <c r="I90" s="73" t="s">
        <v>887</v>
      </c>
      <c r="J90" s="55"/>
    </row>
    <row r="91" spans="1:10" x14ac:dyDescent="0.25">
      <c r="A91" s="2">
        <v>90</v>
      </c>
      <c r="B91" s="7" t="s">
        <v>1023</v>
      </c>
      <c r="C91" s="2" t="s">
        <v>831</v>
      </c>
      <c r="D91" s="2" t="s">
        <v>831</v>
      </c>
      <c r="E91" s="55" t="s">
        <v>832</v>
      </c>
      <c r="F91" s="55" t="s">
        <v>835</v>
      </c>
      <c r="G91" s="55" t="s">
        <v>916</v>
      </c>
      <c r="H91" s="55" t="s">
        <v>1024</v>
      </c>
      <c r="I91" s="55"/>
      <c r="J91" s="55"/>
    </row>
    <row r="92" spans="1:10" x14ac:dyDescent="0.25">
      <c r="A92" s="2">
        <v>91</v>
      </c>
      <c r="B92" s="7" t="s">
        <v>1025</v>
      </c>
      <c r="C92" s="2" t="s">
        <v>831</v>
      </c>
      <c r="D92" s="2" t="s">
        <v>831</v>
      </c>
      <c r="E92" s="55" t="s">
        <v>832</v>
      </c>
      <c r="F92" s="55" t="s">
        <v>832</v>
      </c>
      <c r="G92" s="73" t="s">
        <v>1026</v>
      </c>
      <c r="H92" s="55"/>
      <c r="I92" s="55"/>
      <c r="J92" s="55"/>
    </row>
    <row r="93" spans="1:10" x14ac:dyDescent="0.25">
      <c r="A93" s="2">
        <v>92</v>
      </c>
      <c r="B93" s="7" t="s">
        <v>1027</v>
      </c>
      <c r="C93" s="2" t="s">
        <v>831</v>
      </c>
      <c r="D93" s="2" t="s">
        <v>831</v>
      </c>
      <c r="E93" s="55" t="s">
        <v>832</v>
      </c>
      <c r="F93" s="55" t="s">
        <v>832</v>
      </c>
      <c r="G93" s="55" t="s">
        <v>1028</v>
      </c>
      <c r="H93" s="55" t="s">
        <v>871</v>
      </c>
      <c r="I93" s="55"/>
      <c r="J93" s="55"/>
    </row>
    <row r="94" spans="1:10" x14ac:dyDescent="0.25">
      <c r="A94" s="2">
        <v>93</v>
      </c>
      <c r="B94" s="7" t="s">
        <v>1029</v>
      </c>
      <c r="C94" s="2" t="s">
        <v>831</v>
      </c>
      <c r="D94" s="2" t="s">
        <v>831</v>
      </c>
      <c r="E94" s="55" t="s">
        <v>832</v>
      </c>
      <c r="F94" s="55" t="s">
        <v>835</v>
      </c>
      <c r="G94" s="55" t="s">
        <v>1030</v>
      </c>
      <c r="H94" s="55"/>
      <c r="I94" s="55"/>
      <c r="J94" s="55"/>
    </row>
    <row r="95" spans="1:10" x14ac:dyDescent="0.25">
      <c r="A95" s="2">
        <v>94</v>
      </c>
      <c r="B95" s="7" t="s">
        <v>1031</v>
      </c>
      <c r="C95" s="2" t="s">
        <v>831</v>
      </c>
      <c r="D95" s="2" t="s">
        <v>831</v>
      </c>
      <c r="E95" s="55" t="s">
        <v>832</v>
      </c>
      <c r="F95" s="55" t="s">
        <v>835</v>
      </c>
      <c r="G95" s="73" t="s">
        <v>878</v>
      </c>
      <c r="H95" s="55"/>
      <c r="I95" s="55"/>
      <c r="J95" s="55"/>
    </row>
    <row r="96" spans="1:10" x14ac:dyDescent="0.25">
      <c r="A96" s="2">
        <v>95</v>
      </c>
      <c r="B96" s="7" t="s">
        <v>1032</v>
      </c>
      <c r="C96" s="2" t="s">
        <v>831</v>
      </c>
      <c r="D96" s="2" t="s">
        <v>831</v>
      </c>
      <c r="E96" s="55" t="s">
        <v>832</v>
      </c>
      <c r="F96" s="76" t="s">
        <v>835</v>
      </c>
      <c r="G96" s="55" t="s">
        <v>1033</v>
      </c>
      <c r="H96" s="55"/>
      <c r="I96" s="55"/>
      <c r="J96" s="55" t="s">
        <v>924</v>
      </c>
    </row>
    <row r="97" spans="1:10" x14ac:dyDescent="0.25">
      <c r="A97" s="2">
        <v>96</v>
      </c>
      <c r="B97" s="7" t="s">
        <v>1034</v>
      </c>
      <c r="C97" s="2" t="s">
        <v>831</v>
      </c>
      <c r="D97" s="2" t="s">
        <v>831</v>
      </c>
      <c r="E97" s="55" t="s">
        <v>832</v>
      </c>
      <c r="F97" s="55" t="s">
        <v>832</v>
      </c>
      <c r="G97" s="55" t="s">
        <v>1035</v>
      </c>
      <c r="H97" s="55" t="s">
        <v>852</v>
      </c>
      <c r="I97" s="55"/>
      <c r="J97" s="55"/>
    </row>
    <row r="98" spans="1:10" x14ac:dyDescent="0.25">
      <c r="A98" s="2">
        <v>97</v>
      </c>
      <c r="B98" s="7" t="s">
        <v>1036</v>
      </c>
      <c r="C98" s="2" t="s">
        <v>831</v>
      </c>
      <c r="D98" s="2" t="s">
        <v>831</v>
      </c>
      <c r="E98" s="55" t="s">
        <v>832</v>
      </c>
      <c r="F98" s="55" t="s">
        <v>835</v>
      </c>
      <c r="G98" s="55" t="s">
        <v>832</v>
      </c>
      <c r="H98" s="55" t="s">
        <v>832</v>
      </c>
      <c r="I98" s="55"/>
      <c r="J98" s="55"/>
    </row>
    <row r="99" spans="1:10" x14ac:dyDescent="0.25">
      <c r="A99" s="2">
        <v>98</v>
      </c>
      <c r="B99" s="7" t="s">
        <v>1037</v>
      </c>
      <c r="C99" s="2" t="s">
        <v>831</v>
      </c>
      <c r="D99" s="2" t="s">
        <v>831</v>
      </c>
      <c r="E99" s="55" t="s">
        <v>832</v>
      </c>
      <c r="F99" s="55" t="s">
        <v>832</v>
      </c>
      <c r="G99" s="55" t="s">
        <v>1038</v>
      </c>
      <c r="H99" s="55" t="s">
        <v>959</v>
      </c>
      <c r="I99" s="55"/>
      <c r="J99" s="55"/>
    </row>
    <row r="100" spans="1:10" x14ac:dyDescent="0.25">
      <c r="A100" s="2">
        <v>99</v>
      </c>
      <c r="B100" s="7" t="s">
        <v>1039</v>
      </c>
      <c r="C100" s="2" t="s">
        <v>831</v>
      </c>
      <c r="D100" s="2" t="s">
        <v>831</v>
      </c>
      <c r="E100" s="55" t="s">
        <v>832</v>
      </c>
      <c r="F100" s="55" t="s">
        <v>832</v>
      </c>
      <c r="G100" s="55" t="s">
        <v>1040</v>
      </c>
      <c r="H100" s="74" t="s">
        <v>1011</v>
      </c>
      <c r="I100" s="55"/>
      <c r="J100" s="55"/>
    </row>
    <row r="101" spans="1:10" x14ac:dyDescent="0.25">
      <c r="A101" s="2">
        <v>100</v>
      </c>
      <c r="B101" s="7" t="s">
        <v>1041</v>
      </c>
      <c r="C101" s="2" t="s">
        <v>831</v>
      </c>
      <c r="D101" s="2" t="s">
        <v>831</v>
      </c>
      <c r="E101" s="55" t="s">
        <v>832</v>
      </c>
      <c r="F101" s="55" t="s">
        <v>832</v>
      </c>
      <c r="G101" s="55" t="s">
        <v>1042</v>
      </c>
      <c r="H101" s="55" t="s">
        <v>1011</v>
      </c>
      <c r="I101" s="55"/>
      <c r="J101" s="55"/>
    </row>
  </sheetData>
  <autoFilter ref="A1:J101" xr:uid="{00000000-0009-0000-0000-000005000000}">
    <sortState xmlns:xlrd2="http://schemas.microsoft.com/office/spreadsheetml/2017/richdata2" ref="A2:J101">
      <sortCondition ref="A1:A101"/>
    </sortState>
  </autoFilter>
  <conditionalFormatting sqref="C2:J101">
    <cfRule type="expression" dxfId="59" priority="5">
      <formula>UPPER(LEFT(C2&amp;"",1))="Y"</formula>
    </cfRule>
    <cfRule type="expression" dxfId="58" priority="6">
      <formula>AND(C2&lt;&gt;"",UPPER(LEFT(C2&amp;"",1))&lt;&gt;"Y")</formula>
    </cfRule>
    <cfRule type="expression" dxfId="57" priority="7">
      <formula>UPPER(TRIM(C2&amp;""))="Y"</formula>
    </cfRule>
    <cfRule type="expression" dxfId="56" priority="8">
      <formula>UPPER(TRIM(C2&amp;""))="H"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showGridLines="0" zoomScale="85" zoomScaleNormal="85" workbookViewId="0">
      <pane ySplit="1" topLeftCell="A26" activePane="bottomLeft" state="frozen"/>
      <selection activeCell="B1" sqref="B1"/>
      <selection pane="bottomLeft" activeCell="I46" sqref="I46"/>
    </sheetView>
  </sheetViews>
  <sheetFormatPr defaultRowHeight="15" x14ac:dyDescent="0.25"/>
  <cols>
    <col min="1" max="1" width="25" customWidth="1"/>
    <col min="2" max="2" width="36" bestFit="1" customWidth="1"/>
    <col min="3" max="5" width="9.140625" customWidth="1"/>
    <col min="6" max="10" width="44.140625" customWidth="1"/>
  </cols>
  <sheetData>
    <row r="1" spans="1:10" ht="21.95" customHeight="1" x14ac:dyDescent="0.25">
      <c r="A1" s="1" t="s">
        <v>161</v>
      </c>
      <c r="B1" s="1" t="s">
        <v>162</v>
      </c>
      <c r="C1" s="1" t="s">
        <v>60</v>
      </c>
      <c r="D1" s="1" t="s">
        <v>823</v>
      </c>
      <c r="E1" s="1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829</v>
      </c>
    </row>
    <row r="2" spans="1:10" x14ac:dyDescent="0.25">
      <c r="A2" s="2">
        <v>101</v>
      </c>
      <c r="B2" s="7" t="s">
        <v>1043</v>
      </c>
      <c r="C2" s="2" t="s">
        <v>831</v>
      </c>
      <c r="D2" s="2" t="s">
        <v>831</v>
      </c>
      <c r="E2" s="55" t="s">
        <v>832</v>
      </c>
      <c r="F2" s="55" t="s">
        <v>835</v>
      </c>
      <c r="G2" s="55" t="s">
        <v>967</v>
      </c>
      <c r="H2" s="73" t="s">
        <v>1044</v>
      </c>
      <c r="I2" s="55"/>
      <c r="J2" s="55"/>
    </row>
    <row r="3" spans="1:10" x14ac:dyDescent="0.25">
      <c r="A3" s="2">
        <v>102</v>
      </c>
      <c r="B3" s="7" t="s">
        <v>1045</v>
      </c>
      <c r="C3" s="2" t="s">
        <v>831</v>
      </c>
      <c r="D3" s="2" t="s">
        <v>831</v>
      </c>
      <c r="E3" s="55" t="s">
        <v>832</v>
      </c>
      <c r="F3" s="55" t="s">
        <v>832</v>
      </c>
      <c r="G3" s="55" t="s">
        <v>1046</v>
      </c>
      <c r="H3" s="55"/>
      <c r="I3" s="55"/>
      <c r="J3" s="55"/>
    </row>
    <row r="4" spans="1:10" x14ac:dyDescent="0.25">
      <c r="A4" s="2">
        <v>103</v>
      </c>
      <c r="B4" s="7" t="s">
        <v>1047</v>
      </c>
      <c r="C4" s="2" t="s">
        <v>831</v>
      </c>
      <c r="D4" s="2" t="s">
        <v>831</v>
      </c>
      <c r="E4" s="55" t="s">
        <v>832</v>
      </c>
      <c r="F4" s="55" t="s">
        <v>832</v>
      </c>
      <c r="G4" s="55" t="s">
        <v>832</v>
      </c>
      <c r="H4" s="55"/>
      <c r="I4" s="55"/>
      <c r="J4" s="55"/>
    </row>
    <row r="5" spans="1:10" x14ac:dyDescent="0.25">
      <c r="A5" s="2">
        <v>104</v>
      </c>
      <c r="B5" s="7" t="s">
        <v>1048</v>
      </c>
      <c r="C5" s="2" t="s">
        <v>831</v>
      </c>
      <c r="D5" s="2" t="s">
        <v>831</v>
      </c>
      <c r="E5" s="55" t="s">
        <v>832</v>
      </c>
      <c r="F5" s="55" t="s">
        <v>832</v>
      </c>
      <c r="G5" s="55" t="s">
        <v>951</v>
      </c>
      <c r="H5" s="55" t="s">
        <v>852</v>
      </c>
      <c r="I5" s="55"/>
      <c r="J5" s="55"/>
    </row>
    <row r="6" spans="1:10" x14ac:dyDescent="0.25">
      <c r="A6" s="2">
        <v>105</v>
      </c>
      <c r="B6" s="7" t="s">
        <v>1049</v>
      </c>
      <c r="C6" s="2" t="s">
        <v>831</v>
      </c>
      <c r="D6" s="2" t="s">
        <v>831</v>
      </c>
      <c r="E6" s="55" t="s">
        <v>832</v>
      </c>
      <c r="F6" s="55" t="s">
        <v>832</v>
      </c>
      <c r="G6" s="73" t="s">
        <v>878</v>
      </c>
      <c r="H6" s="55"/>
      <c r="I6" s="55"/>
      <c r="J6" s="55"/>
    </row>
    <row r="7" spans="1:10" x14ac:dyDescent="0.25">
      <c r="A7" s="2">
        <v>106</v>
      </c>
      <c r="B7" s="7" t="s">
        <v>1050</v>
      </c>
      <c r="C7" s="2" t="s">
        <v>831</v>
      </c>
      <c r="D7" s="2" t="s">
        <v>831</v>
      </c>
      <c r="E7" s="55" t="s">
        <v>832</v>
      </c>
      <c r="F7" s="55" t="s">
        <v>832</v>
      </c>
      <c r="G7" s="55" t="s">
        <v>1033</v>
      </c>
      <c r="H7" s="55"/>
      <c r="I7" s="55"/>
      <c r="J7" s="55"/>
    </row>
    <row r="8" spans="1:10" x14ac:dyDescent="0.25">
      <c r="A8" s="2">
        <v>107</v>
      </c>
      <c r="B8" s="7" t="s">
        <v>1051</v>
      </c>
      <c r="C8" s="2" t="s">
        <v>831</v>
      </c>
      <c r="D8" s="2" t="s">
        <v>831</v>
      </c>
      <c r="E8" s="55" t="s">
        <v>832</v>
      </c>
      <c r="F8" s="55" t="s">
        <v>832</v>
      </c>
      <c r="G8" s="55" t="s">
        <v>1052</v>
      </c>
      <c r="H8" s="55"/>
      <c r="I8" s="55"/>
      <c r="J8" s="55"/>
    </row>
    <row r="9" spans="1:10" x14ac:dyDescent="0.25">
      <c r="A9" s="2">
        <v>108</v>
      </c>
      <c r="B9" s="7" t="s">
        <v>1053</v>
      </c>
      <c r="C9" s="2" t="s">
        <v>831</v>
      </c>
      <c r="D9" s="2" t="s">
        <v>831</v>
      </c>
      <c r="E9" s="55" t="s">
        <v>832</v>
      </c>
      <c r="F9" s="55" t="s">
        <v>835</v>
      </c>
      <c r="G9" s="55" t="s">
        <v>1054</v>
      </c>
      <c r="H9" s="55" t="s">
        <v>1055</v>
      </c>
      <c r="I9" s="73" t="s">
        <v>887</v>
      </c>
      <c r="J9" s="55"/>
    </row>
    <row r="10" spans="1:10" x14ac:dyDescent="0.25">
      <c r="A10" s="2">
        <v>109</v>
      </c>
      <c r="B10" s="7" t="s">
        <v>1056</v>
      </c>
      <c r="C10" s="2" t="s">
        <v>831</v>
      </c>
      <c r="D10" s="2" t="s">
        <v>831</v>
      </c>
      <c r="E10" s="55" t="s">
        <v>832</v>
      </c>
      <c r="F10" s="55" t="s">
        <v>832</v>
      </c>
      <c r="G10" s="55" t="s">
        <v>1057</v>
      </c>
      <c r="H10" s="55" t="s">
        <v>1058</v>
      </c>
      <c r="I10" s="55"/>
      <c r="J10" s="55"/>
    </row>
    <row r="11" spans="1:10" x14ac:dyDescent="0.25">
      <c r="A11" s="2">
        <v>110</v>
      </c>
      <c r="B11" s="7" t="s">
        <v>1059</v>
      </c>
      <c r="C11" s="2" t="s">
        <v>831</v>
      </c>
      <c r="D11" s="2" t="s">
        <v>831</v>
      </c>
      <c r="E11" s="55" t="s">
        <v>832</v>
      </c>
      <c r="F11" s="55" t="s">
        <v>832</v>
      </c>
      <c r="G11" s="55" t="s">
        <v>1060</v>
      </c>
      <c r="H11" s="55" t="s">
        <v>876</v>
      </c>
      <c r="I11" s="55"/>
      <c r="J11" s="55"/>
    </row>
    <row r="12" spans="1:10" x14ac:dyDescent="0.25">
      <c r="A12" s="2">
        <v>111</v>
      </c>
      <c r="B12" s="7" t="s">
        <v>1061</v>
      </c>
      <c r="C12" s="2" t="s">
        <v>831</v>
      </c>
      <c r="D12" s="2" t="s">
        <v>831</v>
      </c>
      <c r="E12" s="55" t="s">
        <v>832</v>
      </c>
      <c r="F12" s="55" t="s">
        <v>832</v>
      </c>
      <c r="G12" s="55" t="s">
        <v>1062</v>
      </c>
      <c r="H12" s="55" t="s">
        <v>943</v>
      </c>
      <c r="I12" s="55"/>
      <c r="J12" s="55"/>
    </row>
    <row r="13" spans="1:10" x14ac:dyDescent="0.25">
      <c r="A13" s="2">
        <v>112</v>
      </c>
      <c r="B13" s="7" t="s">
        <v>1063</v>
      </c>
      <c r="C13" s="2" t="s">
        <v>831</v>
      </c>
      <c r="D13" s="2" t="s">
        <v>831</v>
      </c>
      <c r="E13" s="55" t="s">
        <v>832</v>
      </c>
      <c r="F13" s="55" t="s">
        <v>835</v>
      </c>
      <c r="G13" s="75" t="s">
        <v>1064</v>
      </c>
      <c r="H13" s="55"/>
      <c r="I13" s="55"/>
      <c r="J13" s="55"/>
    </row>
    <row r="14" spans="1:10" x14ac:dyDescent="0.25">
      <c r="A14" s="2">
        <v>113</v>
      </c>
      <c r="B14" s="7" t="s">
        <v>1065</v>
      </c>
      <c r="C14" s="2" t="s">
        <v>831</v>
      </c>
      <c r="D14" s="2" t="s">
        <v>831</v>
      </c>
      <c r="E14" s="55" t="s">
        <v>832</v>
      </c>
      <c r="F14" s="55" t="s">
        <v>835</v>
      </c>
      <c r="G14" s="55" t="s">
        <v>1066</v>
      </c>
      <c r="H14" s="55" t="s">
        <v>905</v>
      </c>
      <c r="I14" s="55"/>
      <c r="J14" s="55"/>
    </row>
    <row r="15" spans="1:10" x14ac:dyDescent="0.25">
      <c r="A15" s="2">
        <v>114</v>
      </c>
      <c r="B15" s="7" t="s">
        <v>1067</v>
      </c>
      <c r="C15" s="2" t="s">
        <v>831</v>
      </c>
      <c r="D15" s="2" t="s">
        <v>831</v>
      </c>
      <c r="E15" s="55" t="s">
        <v>832</v>
      </c>
      <c r="F15" s="55" t="s">
        <v>835</v>
      </c>
      <c r="G15" s="55" t="s">
        <v>870</v>
      </c>
      <c r="H15" s="55" t="s">
        <v>1068</v>
      </c>
      <c r="I15" s="55"/>
      <c r="J15" s="55"/>
    </row>
    <row r="16" spans="1:10" x14ac:dyDescent="0.25">
      <c r="A16" s="2">
        <v>115</v>
      </c>
      <c r="B16" s="7" t="s">
        <v>1069</v>
      </c>
      <c r="C16" s="2" t="s">
        <v>831</v>
      </c>
      <c r="D16" s="2" t="s">
        <v>831</v>
      </c>
      <c r="E16" s="55" t="s">
        <v>832</v>
      </c>
      <c r="F16" s="55" t="s">
        <v>832</v>
      </c>
      <c r="G16" s="55" t="s">
        <v>927</v>
      </c>
      <c r="H16" s="55"/>
      <c r="I16" s="55"/>
      <c r="J16" s="55"/>
    </row>
    <row r="17" spans="1:10" x14ac:dyDescent="0.25">
      <c r="A17" s="2">
        <v>116</v>
      </c>
      <c r="B17" s="7" t="s">
        <v>1070</v>
      </c>
      <c r="C17" s="2" t="s">
        <v>831</v>
      </c>
      <c r="D17" s="2" t="s">
        <v>831</v>
      </c>
      <c r="E17" s="55" t="s">
        <v>832</v>
      </c>
      <c r="F17" s="55" t="s">
        <v>832</v>
      </c>
      <c r="G17" s="55" t="s">
        <v>1071</v>
      </c>
      <c r="H17" s="55"/>
      <c r="I17" s="55" t="s">
        <v>847</v>
      </c>
      <c r="J17" s="55"/>
    </row>
    <row r="18" spans="1:10" x14ac:dyDescent="0.25">
      <c r="A18" s="2">
        <v>117</v>
      </c>
      <c r="B18" s="7" t="s">
        <v>695</v>
      </c>
      <c r="C18" s="2" t="s">
        <v>831</v>
      </c>
      <c r="D18" s="2" t="s">
        <v>831</v>
      </c>
      <c r="E18" s="55" t="s">
        <v>832</v>
      </c>
      <c r="F18" s="55" t="s">
        <v>832</v>
      </c>
      <c r="G18" s="55" t="s">
        <v>854</v>
      </c>
      <c r="H18" s="55" t="s">
        <v>852</v>
      </c>
      <c r="I18" s="55" t="s">
        <v>847</v>
      </c>
      <c r="J18" s="55"/>
    </row>
    <row r="19" spans="1:10" x14ac:dyDescent="0.25">
      <c r="A19" s="2">
        <v>118</v>
      </c>
      <c r="B19" s="7" t="s">
        <v>1072</v>
      </c>
      <c r="C19" s="2" t="s">
        <v>831</v>
      </c>
      <c r="D19" s="2" t="s">
        <v>831</v>
      </c>
      <c r="E19" s="55" t="s">
        <v>832</v>
      </c>
      <c r="F19" s="55" t="s">
        <v>832</v>
      </c>
      <c r="G19" s="55" t="s">
        <v>1030</v>
      </c>
      <c r="H19" s="55" t="s">
        <v>997</v>
      </c>
      <c r="I19" s="55"/>
      <c r="J19" s="55"/>
    </row>
    <row r="20" spans="1:10" x14ac:dyDescent="0.25">
      <c r="A20" s="2">
        <v>119</v>
      </c>
      <c r="B20" s="7" t="s">
        <v>1073</v>
      </c>
      <c r="C20" s="2" t="s">
        <v>831</v>
      </c>
      <c r="D20" s="2" t="s">
        <v>831</v>
      </c>
      <c r="E20" s="55" t="s">
        <v>832</v>
      </c>
      <c r="F20" s="55" t="s">
        <v>835</v>
      </c>
      <c r="G20" s="55" t="s">
        <v>1074</v>
      </c>
      <c r="H20" s="55"/>
      <c r="I20" s="55"/>
      <c r="J20" s="55"/>
    </row>
    <row r="21" spans="1:10" x14ac:dyDescent="0.25">
      <c r="A21" s="2">
        <v>120</v>
      </c>
      <c r="B21" s="7" t="s">
        <v>1075</v>
      </c>
      <c r="C21" s="2" t="s">
        <v>831</v>
      </c>
      <c r="D21" s="2" t="s">
        <v>831</v>
      </c>
      <c r="E21" s="55" t="s">
        <v>832</v>
      </c>
      <c r="F21" s="55" t="s">
        <v>835</v>
      </c>
      <c r="G21" s="55" t="s">
        <v>1076</v>
      </c>
      <c r="H21" s="55" t="s">
        <v>997</v>
      </c>
      <c r="I21" s="55"/>
      <c r="J21" s="55"/>
    </row>
    <row r="22" spans="1:10" x14ac:dyDescent="0.25">
      <c r="A22" s="2">
        <v>121</v>
      </c>
      <c r="B22" s="7" t="s">
        <v>1077</v>
      </c>
      <c r="C22" s="2" t="s">
        <v>831</v>
      </c>
      <c r="D22" s="2" t="s">
        <v>831</v>
      </c>
      <c r="E22" s="55" t="s">
        <v>832</v>
      </c>
      <c r="F22" s="55" t="s">
        <v>832</v>
      </c>
      <c r="G22" s="55" t="s">
        <v>1078</v>
      </c>
      <c r="H22" s="55"/>
      <c r="I22" s="55"/>
      <c r="J22" s="55"/>
    </row>
    <row r="23" spans="1:10" x14ac:dyDescent="0.25">
      <c r="A23" s="2">
        <v>122</v>
      </c>
      <c r="B23" s="7" t="s">
        <v>1079</v>
      </c>
      <c r="C23" s="2" t="s">
        <v>831</v>
      </c>
      <c r="D23" s="2" t="s">
        <v>831</v>
      </c>
      <c r="E23" s="55" t="s">
        <v>832</v>
      </c>
      <c r="F23" s="55" t="s">
        <v>832</v>
      </c>
      <c r="G23" s="73" t="s">
        <v>931</v>
      </c>
      <c r="H23" s="55"/>
      <c r="I23" s="55"/>
      <c r="J23" s="55"/>
    </row>
    <row r="24" spans="1:10" x14ac:dyDescent="0.25">
      <c r="A24" s="2">
        <v>123</v>
      </c>
      <c r="B24" s="7" t="s">
        <v>1080</v>
      </c>
      <c r="C24" s="2" t="s">
        <v>831</v>
      </c>
      <c r="D24" s="2" t="s">
        <v>831</v>
      </c>
      <c r="E24" s="55" t="s">
        <v>832</v>
      </c>
      <c r="F24" s="55" t="s">
        <v>832</v>
      </c>
      <c r="G24" s="55" t="s">
        <v>953</v>
      </c>
      <c r="H24" s="55" t="s">
        <v>852</v>
      </c>
      <c r="I24" s="55"/>
      <c r="J24" s="55"/>
    </row>
    <row r="25" spans="1:10" x14ac:dyDescent="0.25">
      <c r="A25" s="2">
        <v>124</v>
      </c>
      <c r="B25" s="7" t="s">
        <v>1081</v>
      </c>
      <c r="C25" s="2" t="s">
        <v>831</v>
      </c>
      <c r="D25" s="2" t="s">
        <v>831</v>
      </c>
      <c r="E25" s="55" t="s">
        <v>832</v>
      </c>
      <c r="F25" s="55" t="s">
        <v>835</v>
      </c>
      <c r="G25" s="55" t="s">
        <v>836</v>
      </c>
      <c r="H25" s="55"/>
      <c r="I25" s="55"/>
      <c r="J25" s="55"/>
    </row>
    <row r="26" spans="1:10" x14ac:dyDescent="0.25">
      <c r="A26" s="2">
        <v>125</v>
      </c>
      <c r="B26" s="7" t="s">
        <v>1082</v>
      </c>
      <c r="C26" s="2" t="s">
        <v>831</v>
      </c>
      <c r="D26" s="2" t="s">
        <v>831</v>
      </c>
      <c r="E26" s="55" t="s">
        <v>832</v>
      </c>
      <c r="F26" s="55" t="s">
        <v>832</v>
      </c>
      <c r="G26" s="55" t="s">
        <v>1076</v>
      </c>
      <c r="H26" s="55"/>
      <c r="I26" s="55"/>
      <c r="J26" s="55"/>
    </row>
    <row r="27" spans="1:10" x14ac:dyDescent="0.25">
      <c r="A27" s="2">
        <v>126</v>
      </c>
      <c r="B27" s="7" t="s">
        <v>1083</v>
      </c>
      <c r="C27" s="2" t="s">
        <v>831</v>
      </c>
      <c r="D27" s="2" t="s">
        <v>831</v>
      </c>
      <c r="E27" s="55" t="s">
        <v>832</v>
      </c>
      <c r="F27" s="55" t="s">
        <v>832</v>
      </c>
      <c r="G27" s="55" t="s">
        <v>846</v>
      </c>
      <c r="H27" s="55" t="s">
        <v>1084</v>
      </c>
      <c r="I27" s="55"/>
      <c r="J27" s="55"/>
    </row>
    <row r="28" spans="1:10" x14ac:dyDescent="0.25">
      <c r="A28" s="2">
        <v>127</v>
      </c>
      <c r="B28" s="7" t="s">
        <v>1085</v>
      </c>
      <c r="C28" s="2" t="s">
        <v>831</v>
      </c>
      <c r="D28" s="2" t="s">
        <v>831</v>
      </c>
      <c r="E28" s="55" t="s">
        <v>832</v>
      </c>
      <c r="F28" s="55" t="s">
        <v>832</v>
      </c>
      <c r="G28" s="55" t="s">
        <v>949</v>
      </c>
      <c r="H28" s="55"/>
      <c r="I28" s="55"/>
      <c r="J28" s="55"/>
    </row>
    <row r="29" spans="1:10" x14ac:dyDescent="0.25">
      <c r="A29" s="2">
        <v>128</v>
      </c>
      <c r="B29" s="7" t="s">
        <v>1086</v>
      </c>
      <c r="C29" s="2" t="s">
        <v>831</v>
      </c>
      <c r="D29" s="2" t="s">
        <v>831</v>
      </c>
      <c r="E29" s="55" t="s">
        <v>832</v>
      </c>
      <c r="F29" s="55" t="s">
        <v>832</v>
      </c>
      <c r="G29" s="55" t="s">
        <v>1009</v>
      </c>
      <c r="H29" s="55"/>
      <c r="I29" s="55" t="s">
        <v>1087</v>
      </c>
      <c r="J29" s="55"/>
    </row>
    <row r="30" spans="1:10" x14ac:dyDescent="0.25">
      <c r="A30" s="2">
        <v>129</v>
      </c>
      <c r="B30" s="7" t="s">
        <v>1088</v>
      </c>
      <c r="C30" s="2" t="s">
        <v>831</v>
      </c>
      <c r="D30" s="2" t="s">
        <v>831</v>
      </c>
      <c r="E30" s="55" t="s">
        <v>832</v>
      </c>
      <c r="F30" s="55" t="s">
        <v>832</v>
      </c>
      <c r="G30" s="55" t="s">
        <v>1089</v>
      </c>
      <c r="H30" s="55" t="s">
        <v>876</v>
      </c>
      <c r="I30" s="55" t="s">
        <v>1090</v>
      </c>
      <c r="J30" s="55"/>
    </row>
    <row r="31" spans="1:10" x14ac:dyDescent="0.25">
      <c r="A31" s="2">
        <v>130</v>
      </c>
      <c r="B31" s="7" t="s">
        <v>1091</v>
      </c>
      <c r="C31" s="2" t="s">
        <v>831</v>
      </c>
      <c r="D31" s="2" t="s">
        <v>831</v>
      </c>
      <c r="E31" s="55" t="s">
        <v>832</v>
      </c>
      <c r="F31" s="55" t="s">
        <v>835</v>
      </c>
      <c r="G31" s="55" t="s">
        <v>986</v>
      </c>
      <c r="H31" s="73" t="s">
        <v>1044</v>
      </c>
      <c r="I31" s="55" t="s">
        <v>1092</v>
      </c>
      <c r="J31" s="55"/>
    </row>
    <row r="32" spans="1:10" x14ac:dyDescent="0.25">
      <c r="A32" s="2">
        <v>131</v>
      </c>
      <c r="B32" s="7" t="s">
        <v>1093</v>
      </c>
      <c r="C32" s="2" t="s">
        <v>831</v>
      </c>
      <c r="D32" s="2" t="s">
        <v>831</v>
      </c>
      <c r="E32" s="55" t="s">
        <v>832</v>
      </c>
      <c r="F32" s="55" t="s">
        <v>832</v>
      </c>
      <c r="G32" s="55" t="s">
        <v>1094</v>
      </c>
      <c r="H32" s="55" t="s">
        <v>1095</v>
      </c>
      <c r="I32" s="55"/>
      <c r="J32" s="55"/>
    </row>
    <row r="33" spans="1:10" x14ac:dyDescent="0.25">
      <c r="A33" s="2">
        <v>132</v>
      </c>
      <c r="B33" s="7" t="s">
        <v>1096</v>
      </c>
      <c r="C33" s="2" t="s">
        <v>831</v>
      </c>
      <c r="D33" s="2" t="s">
        <v>831</v>
      </c>
      <c r="E33" s="55" t="s">
        <v>832</v>
      </c>
      <c r="F33" s="55" t="s">
        <v>832</v>
      </c>
      <c r="G33" s="55" t="s">
        <v>964</v>
      </c>
      <c r="H33" s="55" t="s">
        <v>876</v>
      </c>
      <c r="I33" s="55"/>
      <c r="J33" s="55"/>
    </row>
    <row r="34" spans="1:10" x14ac:dyDescent="0.25">
      <c r="A34" s="2">
        <v>133</v>
      </c>
      <c r="B34" s="7" t="s">
        <v>1097</v>
      </c>
      <c r="C34" s="2" t="s">
        <v>831</v>
      </c>
      <c r="D34" s="2" t="s">
        <v>831</v>
      </c>
      <c r="E34" s="55" t="s">
        <v>832</v>
      </c>
      <c r="F34" s="55" t="s">
        <v>832</v>
      </c>
      <c r="G34" s="55" t="s">
        <v>1098</v>
      </c>
      <c r="H34" s="55"/>
      <c r="I34" s="55"/>
      <c r="J34" s="55"/>
    </row>
    <row r="35" spans="1:10" x14ac:dyDescent="0.25">
      <c r="A35" s="2">
        <v>134</v>
      </c>
      <c r="B35" s="7" t="s">
        <v>1099</v>
      </c>
      <c r="C35" s="2" t="s">
        <v>831</v>
      </c>
      <c r="D35" s="2" t="s">
        <v>831</v>
      </c>
      <c r="E35" s="55" t="s">
        <v>832</v>
      </c>
      <c r="F35" s="55" t="s">
        <v>832</v>
      </c>
      <c r="G35" s="55" t="s">
        <v>916</v>
      </c>
      <c r="H35" s="55"/>
      <c r="I35" s="55"/>
      <c r="J35" s="55"/>
    </row>
    <row r="36" spans="1:10" x14ac:dyDescent="0.25">
      <c r="A36" s="2">
        <v>135</v>
      </c>
      <c r="B36" s="7" t="s">
        <v>1100</v>
      </c>
      <c r="C36" s="2" t="s">
        <v>831</v>
      </c>
      <c r="D36" s="2" t="s">
        <v>831</v>
      </c>
      <c r="E36" s="55" t="s">
        <v>832</v>
      </c>
      <c r="F36" s="55" t="s">
        <v>832</v>
      </c>
      <c r="G36" s="55" t="s">
        <v>849</v>
      </c>
      <c r="H36" s="55"/>
      <c r="I36" s="55"/>
      <c r="J36" s="55"/>
    </row>
    <row r="37" spans="1:10" x14ac:dyDescent="0.25">
      <c r="A37" s="2">
        <v>136</v>
      </c>
      <c r="B37" s="7" t="s">
        <v>1101</v>
      </c>
      <c r="C37" s="2" t="s">
        <v>831</v>
      </c>
      <c r="D37" s="2" t="s">
        <v>831</v>
      </c>
      <c r="E37" s="55" t="s">
        <v>832</v>
      </c>
      <c r="F37" s="55" t="s">
        <v>832</v>
      </c>
      <c r="G37" s="55" t="s">
        <v>1102</v>
      </c>
      <c r="H37" s="55"/>
      <c r="I37" s="55"/>
      <c r="J37" s="55"/>
    </row>
    <row r="38" spans="1:10" x14ac:dyDescent="0.25">
      <c r="A38" s="2">
        <v>137</v>
      </c>
      <c r="B38" s="7" t="s">
        <v>1103</v>
      </c>
      <c r="C38" s="2" t="s">
        <v>831</v>
      </c>
      <c r="D38" s="2" t="s">
        <v>831</v>
      </c>
      <c r="E38" s="55" t="s">
        <v>832</v>
      </c>
      <c r="F38" s="55" t="s">
        <v>832</v>
      </c>
      <c r="G38" s="55" t="s">
        <v>992</v>
      </c>
      <c r="H38" s="55" t="s">
        <v>876</v>
      </c>
      <c r="I38" s="55"/>
      <c r="J38" s="55"/>
    </row>
    <row r="39" spans="1:10" x14ac:dyDescent="0.25">
      <c r="A39" s="2">
        <v>138</v>
      </c>
      <c r="B39" s="7" t="s">
        <v>1104</v>
      </c>
      <c r="C39" s="2" t="s">
        <v>831</v>
      </c>
      <c r="D39" s="2" t="s">
        <v>831</v>
      </c>
      <c r="E39" s="55" t="s">
        <v>832</v>
      </c>
      <c r="F39" s="55" t="s">
        <v>832</v>
      </c>
      <c r="G39" s="55" t="s">
        <v>1105</v>
      </c>
      <c r="H39" s="55"/>
      <c r="I39" s="55"/>
      <c r="J39" s="55"/>
    </row>
    <row r="40" spans="1:10" x14ac:dyDescent="0.25">
      <c r="A40" s="2">
        <v>139</v>
      </c>
      <c r="B40" s="7" t="s">
        <v>1106</v>
      </c>
      <c r="C40" s="2" t="s">
        <v>831</v>
      </c>
      <c r="D40" s="2" t="s">
        <v>831</v>
      </c>
      <c r="E40" s="55" t="s">
        <v>832</v>
      </c>
      <c r="F40" s="55" t="s">
        <v>832</v>
      </c>
      <c r="G40" s="55" t="s">
        <v>832</v>
      </c>
      <c r="H40" s="55" t="s">
        <v>1107</v>
      </c>
      <c r="I40" s="55"/>
      <c r="J40" s="55" t="s">
        <v>1014</v>
      </c>
    </row>
    <row r="41" spans="1:10" x14ac:dyDescent="0.25">
      <c r="A41" s="2">
        <v>140</v>
      </c>
      <c r="B41" s="7" t="s">
        <v>1108</v>
      </c>
      <c r="C41" s="2" t="s">
        <v>831</v>
      </c>
      <c r="D41" s="2" t="s">
        <v>831</v>
      </c>
      <c r="E41" s="55" t="s">
        <v>832</v>
      </c>
      <c r="F41" s="55" t="s">
        <v>832</v>
      </c>
      <c r="G41" s="55" t="s">
        <v>1060</v>
      </c>
      <c r="H41" s="55"/>
      <c r="I41" s="55"/>
      <c r="J41" s="55"/>
    </row>
    <row r="42" spans="1:10" x14ac:dyDescent="0.25">
      <c r="A42" s="2">
        <v>141</v>
      </c>
      <c r="B42" s="7" t="s">
        <v>1109</v>
      </c>
      <c r="C42" s="2" t="s">
        <v>831</v>
      </c>
      <c r="D42" s="2" t="s">
        <v>831</v>
      </c>
      <c r="E42" s="55" t="s">
        <v>832</v>
      </c>
      <c r="F42" s="55" t="s">
        <v>832</v>
      </c>
      <c r="G42" s="55" t="s">
        <v>1057</v>
      </c>
      <c r="H42" s="55"/>
      <c r="I42" s="55"/>
      <c r="J42" s="55"/>
    </row>
    <row r="43" spans="1:10" x14ac:dyDescent="0.25">
      <c r="A43" s="2">
        <v>142</v>
      </c>
      <c r="B43" s="7" t="s">
        <v>1110</v>
      </c>
      <c r="C43" s="2" t="s">
        <v>831</v>
      </c>
      <c r="D43" s="2" t="s">
        <v>831</v>
      </c>
      <c r="E43" s="55" t="s">
        <v>832</v>
      </c>
      <c r="F43" s="55" t="s">
        <v>832</v>
      </c>
      <c r="G43" s="55" t="s">
        <v>1042</v>
      </c>
      <c r="H43" s="55"/>
      <c r="I43" s="55"/>
      <c r="J43" s="55"/>
    </row>
    <row r="44" spans="1:10" x14ac:dyDescent="0.25">
      <c r="A44" s="2">
        <v>143</v>
      </c>
      <c r="B44" s="7" t="s">
        <v>1111</v>
      </c>
      <c r="C44" s="2" t="s">
        <v>831</v>
      </c>
      <c r="D44" s="2" t="s">
        <v>831</v>
      </c>
      <c r="E44" s="55" t="s">
        <v>832</v>
      </c>
      <c r="F44" s="55" t="s">
        <v>832</v>
      </c>
      <c r="G44" s="55" t="s">
        <v>1112</v>
      </c>
      <c r="H44" s="73" t="s">
        <v>1002</v>
      </c>
      <c r="I44" s="55"/>
      <c r="J44" s="55"/>
    </row>
    <row r="45" spans="1:10" x14ac:dyDescent="0.25">
      <c r="A45" s="2">
        <v>144</v>
      </c>
      <c r="B45" s="7" t="s">
        <v>1113</v>
      </c>
      <c r="C45" s="2" t="s">
        <v>831</v>
      </c>
      <c r="D45" s="2" t="s">
        <v>831</v>
      </c>
      <c r="E45" s="55" t="s">
        <v>832</v>
      </c>
      <c r="F45" s="55" t="s">
        <v>832</v>
      </c>
      <c r="G45" s="55" t="s">
        <v>1038</v>
      </c>
      <c r="H45" s="55"/>
      <c r="I45" s="55"/>
      <c r="J45" s="55"/>
    </row>
    <row r="46" spans="1:10" x14ac:dyDescent="0.25">
      <c r="A46" s="2">
        <v>145</v>
      </c>
      <c r="B46" s="7" t="s">
        <v>1114</v>
      </c>
      <c r="C46" s="2" t="s">
        <v>831</v>
      </c>
      <c r="D46" s="2" t="s">
        <v>831</v>
      </c>
      <c r="E46" s="55" t="s">
        <v>832</v>
      </c>
      <c r="F46" s="55" t="s">
        <v>832</v>
      </c>
      <c r="G46" s="55" t="s">
        <v>1115</v>
      </c>
      <c r="H46" s="55"/>
      <c r="I46" s="55"/>
      <c r="J46" s="55"/>
    </row>
    <row r="47" spans="1:10" x14ac:dyDescent="0.25">
      <c r="A47" s="2">
        <v>146</v>
      </c>
      <c r="B47" s="7" t="s">
        <v>1116</v>
      </c>
      <c r="C47" s="2" t="s">
        <v>831</v>
      </c>
      <c r="D47" s="2" t="s">
        <v>831</v>
      </c>
      <c r="E47" s="55" t="s">
        <v>832</v>
      </c>
      <c r="F47" s="55" t="s">
        <v>835</v>
      </c>
      <c r="G47" s="55" t="s">
        <v>851</v>
      </c>
      <c r="H47" s="55" t="s">
        <v>1117</v>
      </c>
      <c r="I47" s="55"/>
      <c r="J47" s="55"/>
    </row>
    <row r="48" spans="1:10" x14ac:dyDescent="0.25">
      <c r="A48" s="2">
        <v>147</v>
      </c>
      <c r="B48" s="7" t="s">
        <v>1118</v>
      </c>
      <c r="C48" s="2" t="s">
        <v>831</v>
      </c>
      <c r="D48" s="2" t="s">
        <v>831</v>
      </c>
      <c r="E48" s="55" t="s">
        <v>832</v>
      </c>
      <c r="F48" s="55" t="s">
        <v>832</v>
      </c>
      <c r="G48" s="75" t="s">
        <v>1119</v>
      </c>
      <c r="H48" s="55" t="s">
        <v>1017</v>
      </c>
      <c r="I48" s="55"/>
      <c r="J48" s="55"/>
    </row>
    <row r="49" spans="1:10" x14ac:dyDescent="0.25">
      <c r="A49" s="2">
        <v>148</v>
      </c>
      <c r="B49" s="7" t="s">
        <v>1120</v>
      </c>
      <c r="C49" s="2" t="s">
        <v>831</v>
      </c>
      <c r="D49" s="2" t="s">
        <v>831</v>
      </c>
      <c r="E49" s="55" t="s">
        <v>832</v>
      </c>
      <c r="F49" s="55" t="s">
        <v>832</v>
      </c>
      <c r="G49" s="55" t="s">
        <v>1121</v>
      </c>
      <c r="H49" s="55" t="s">
        <v>1055</v>
      </c>
      <c r="I49" s="55"/>
      <c r="J49" s="55"/>
    </row>
    <row r="50" spans="1:10" x14ac:dyDescent="0.25">
      <c r="A50" s="2">
        <v>149</v>
      </c>
      <c r="B50" s="7" t="s">
        <v>1122</v>
      </c>
      <c r="C50" s="2" t="s">
        <v>831</v>
      </c>
      <c r="D50" s="2" t="s">
        <v>831</v>
      </c>
      <c r="E50" s="55" t="s">
        <v>832</v>
      </c>
      <c r="F50" s="55" t="s">
        <v>832</v>
      </c>
      <c r="G50" s="55" t="s">
        <v>832</v>
      </c>
      <c r="H50" s="55" t="s">
        <v>1006</v>
      </c>
      <c r="I50" s="55"/>
      <c r="J50" s="55"/>
    </row>
    <row r="51" spans="1:10" x14ac:dyDescent="0.25">
      <c r="A51" s="2">
        <v>150</v>
      </c>
      <c r="B51" s="7" t="s">
        <v>1123</v>
      </c>
      <c r="C51" s="2" t="s">
        <v>831</v>
      </c>
      <c r="D51" s="2" t="s">
        <v>831</v>
      </c>
      <c r="E51" s="55" t="s">
        <v>832</v>
      </c>
      <c r="F51" s="55" t="s">
        <v>832</v>
      </c>
      <c r="G51" s="55" t="s">
        <v>1124</v>
      </c>
      <c r="H51" s="55"/>
      <c r="I51" s="55"/>
      <c r="J51" s="55"/>
    </row>
    <row r="52" spans="1:10" x14ac:dyDescent="0.25">
      <c r="A52" s="2">
        <v>151</v>
      </c>
      <c r="B52" s="7" t="s">
        <v>1125</v>
      </c>
      <c r="C52" s="2" t="s">
        <v>831</v>
      </c>
      <c r="D52" s="2" t="s">
        <v>831</v>
      </c>
      <c r="E52" s="55" t="s">
        <v>832</v>
      </c>
      <c r="F52" s="55" t="s">
        <v>835</v>
      </c>
      <c r="G52" s="55" t="s">
        <v>832</v>
      </c>
      <c r="H52" s="55" t="s">
        <v>1024</v>
      </c>
      <c r="I52" s="55"/>
      <c r="J52" s="55"/>
    </row>
    <row r="53" spans="1:10" x14ac:dyDescent="0.25">
      <c r="A53" s="2">
        <v>152</v>
      </c>
      <c r="B53" s="7" t="s">
        <v>1126</v>
      </c>
      <c r="C53" s="2" t="s">
        <v>831</v>
      </c>
      <c r="D53" s="2" t="s">
        <v>831</v>
      </c>
      <c r="E53" s="55" t="s">
        <v>832</v>
      </c>
      <c r="F53" s="55" t="s">
        <v>832</v>
      </c>
      <c r="G53" s="55" t="s">
        <v>945</v>
      </c>
      <c r="H53" s="55"/>
      <c r="I53" s="55"/>
      <c r="J53" s="55"/>
    </row>
    <row r="54" spans="1:10" x14ac:dyDescent="0.25">
      <c r="A54" s="2">
        <v>153</v>
      </c>
      <c r="B54" s="7" t="s">
        <v>335</v>
      </c>
      <c r="C54" s="2" t="s">
        <v>831</v>
      </c>
      <c r="D54" s="2" t="s">
        <v>831</v>
      </c>
      <c r="E54" s="55" t="s">
        <v>832</v>
      </c>
      <c r="F54" s="55" t="s">
        <v>835</v>
      </c>
      <c r="G54" s="55" t="s">
        <v>1127</v>
      </c>
      <c r="H54" s="55" t="s">
        <v>852</v>
      </c>
      <c r="I54" s="73" t="s">
        <v>1092</v>
      </c>
      <c r="J54" s="55"/>
    </row>
    <row r="55" spans="1:10" x14ac:dyDescent="0.25">
      <c r="A55" s="2">
        <v>154</v>
      </c>
      <c r="B55" s="7" t="s">
        <v>1128</v>
      </c>
      <c r="C55" s="2" t="s">
        <v>831</v>
      </c>
      <c r="D55" s="2" t="s">
        <v>831</v>
      </c>
      <c r="E55" s="55" t="s">
        <v>832</v>
      </c>
      <c r="F55" s="55" t="s">
        <v>832</v>
      </c>
      <c r="G55" s="55" t="s">
        <v>1028</v>
      </c>
      <c r="H55" s="73" t="s">
        <v>936</v>
      </c>
      <c r="I55" s="55"/>
      <c r="J55" s="55" t="s">
        <v>1129</v>
      </c>
    </row>
    <row r="56" spans="1:10" x14ac:dyDescent="0.25">
      <c r="A56" s="2">
        <v>155</v>
      </c>
      <c r="B56" s="7" t="s">
        <v>1130</v>
      </c>
      <c r="C56" s="2" t="s">
        <v>831</v>
      </c>
      <c r="D56" s="2" t="s">
        <v>831</v>
      </c>
      <c r="E56" s="55" t="s">
        <v>832</v>
      </c>
      <c r="F56" s="55" t="s">
        <v>835</v>
      </c>
      <c r="G56" s="55" t="s">
        <v>1131</v>
      </c>
      <c r="H56" s="55"/>
      <c r="I56" s="55"/>
      <c r="J56" s="55"/>
    </row>
    <row r="57" spans="1:10" x14ac:dyDescent="0.25">
      <c r="A57" s="2">
        <v>156</v>
      </c>
      <c r="B57" s="7" t="s">
        <v>1132</v>
      </c>
      <c r="C57" s="2" t="s">
        <v>831</v>
      </c>
      <c r="D57" s="2" t="s">
        <v>831</v>
      </c>
      <c r="E57" s="55" t="s">
        <v>832</v>
      </c>
      <c r="F57" s="55" t="s">
        <v>832</v>
      </c>
      <c r="G57" s="55" t="s">
        <v>1133</v>
      </c>
      <c r="H57" s="55"/>
      <c r="I57" s="55"/>
      <c r="J57" s="55"/>
    </row>
    <row r="58" spans="1:10" x14ac:dyDescent="0.25">
      <c r="A58" s="2">
        <v>157</v>
      </c>
      <c r="B58" s="7" t="s">
        <v>1134</v>
      </c>
      <c r="C58" s="2" t="s">
        <v>831</v>
      </c>
      <c r="D58" s="2" t="s">
        <v>831</v>
      </c>
      <c r="E58" s="55" t="s">
        <v>832</v>
      </c>
      <c r="F58" s="55" t="s">
        <v>835</v>
      </c>
      <c r="G58" s="55" t="s">
        <v>1135</v>
      </c>
      <c r="H58" s="55"/>
      <c r="I58" s="55"/>
      <c r="J58" s="55"/>
    </row>
    <row r="59" spans="1:10" x14ac:dyDescent="0.25">
      <c r="A59" s="2">
        <v>158</v>
      </c>
      <c r="B59" s="7" t="s">
        <v>1136</v>
      </c>
      <c r="C59" s="2" t="s">
        <v>831</v>
      </c>
      <c r="D59" s="2" t="s">
        <v>831</v>
      </c>
      <c r="E59" s="55" t="s">
        <v>832</v>
      </c>
      <c r="F59" s="55" t="s">
        <v>832</v>
      </c>
      <c r="G59" s="55" t="s">
        <v>967</v>
      </c>
      <c r="H59" s="55"/>
      <c r="I59" s="55"/>
      <c r="J59" s="55"/>
    </row>
    <row r="60" spans="1:10" x14ac:dyDescent="0.25">
      <c r="A60" s="2">
        <v>159</v>
      </c>
      <c r="B60" s="7" t="s">
        <v>1137</v>
      </c>
      <c r="C60" s="2" t="s">
        <v>831</v>
      </c>
      <c r="D60" s="2" t="s">
        <v>831</v>
      </c>
      <c r="E60" s="55" t="s">
        <v>832</v>
      </c>
      <c r="F60" s="55" t="s">
        <v>835</v>
      </c>
      <c r="G60" s="55" t="s">
        <v>1009</v>
      </c>
      <c r="H60" s="55"/>
      <c r="I60" s="55"/>
      <c r="J60" s="55" t="s">
        <v>1138</v>
      </c>
    </row>
    <row r="61" spans="1:10" x14ac:dyDescent="0.25">
      <c r="A61" s="2">
        <v>160</v>
      </c>
      <c r="B61" s="7" t="s">
        <v>1139</v>
      </c>
      <c r="C61" s="2" t="s">
        <v>831</v>
      </c>
      <c r="D61" s="2" t="s">
        <v>831</v>
      </c>
      <c r="E61" s="55" t="s">
        <v>832</v>
      </c>
      <c r="F61" s="55" t="s">
        <v>832</v>
      </c>
      <c r="G61" s="55" t="s">
        <v>945</v>
      </c>
      <c r="H61" s="55" t="s">
        <v>997</v>
      </c>
      <c r="I61" s="55"/>
      <c r="J61" s="55"/>
    </row>
    <row r="62" spans="1:10" x14ac:dyDescent="0.25">
      <c r="A62" s="2">
        <v>161</v>
      </c>
      <c r="B62" s="7" t="s">
        <v>1140</v>
      </c>
      <c r="C62" s="2" t="s">
        <v>831</v>
      </c>
      <c r="D62" s="2" t="s">
        <v>831</v>
      </c>
      <c r="E62" s="55" t="s">
        <v>832</v>
      </c>
      <c r="F62" s="55" t="s">
        <v>832</v>
      </c>
      <c r="G62" s="55" t="s">
        <v>1141</v>
      </c>
      <c r="H62" s="55"/>
      <c r="I62" s="55"/>
      <c r="J62" s="55"/>
    </row>
    <row r="63" spans="1:10" x14ac:dyDescent="0.25">
      <c r="A63" s="2">
        <v>162</v>
      </c>
      <c r="B63" s="7" t="s">
        <v>1142</v>
      </c>
      <c r="C63" s="2" t="s">
        <v>831</v>
      </c>
      <c r="D63" s="2" t="s">
        <v>831</v>
      </c>
      <c r="E63" s="55" t="s">
        <v>832</v>
      </c>
      <c r="F63" s="55" t="s">
        <v>832</v>
      </c>
      <c r="G63" s="55" t="s">
        <v>1001</v>
      </c>
      <c r="H63" s="55" t="s">
        <v>871</v>
      </c>
      <c r="I63" s="55"/>
      <c r="J63" s="55"/>
    </row>
    <row r="64" spans="1:10" x14ac:dyDescent="0.25">
      <c r="A64" s="2">
        <v>163</v>
      </c>
      <c r="B64" s="7" t="s">
        <v>1143</v>
      </c>
      <c r="C64" s="2" t="s">
        <v>831</v>
      </c>
      <c r="D64" s="2" t="s">
        <v>831</v>
      </c>
      <c r="E64" s="55" t="s">
        <v>832</v>
      </c>
      <c r="F64" s="55" t="s">
        <v>832</v>
      </c>
      <c r="G64" s="55" t="s">
        <v>864</v>
      </c>
      <c r="H64" s="55"/>
      <c r="I64" s="74" t="s">
        <v>1144</v>
      </c>
      <c r="J64" s="55"/>
    </row>
    <row r="65" spans="1:10" x14ac:dyDescent="0.25">
      <c r="A65" s="2">
        <v>164</v>
      </c>
      <c r="B65" s="7" t="s">
        <v>1145</v>
      </c>
      <c r="C65" s="2" t="s">
        <v>831</v>
      </c>
      <c r="D65" s="2" t="s">
        <v>831</v>
      </c>
      <c r="E65" s="55" t="s">
        <v>832</v>
      </c>
      <c r="F65" s="55" t="s">
        <v>835</v>
      </c>
      <c r="G65" s="55" t="s">
        <v>1146</v>
      </c>
      <c r="H65" s="55"/>
      <c r="I65" s="55"/>
      <c r="J65" s="55"/>
    </row>
    <row r="66" spans="1:10" x14ac:dyDescent="0.25">
      <c r="A66" s="2">
        <v>165</v>
      </c>
      <c r="B66" s="7" t="s">
        <v>1147</v>
      </c>
      <c r="C66" s="2" t="s">
        <v>831</v>
      </c>
      <c r="D66" s="2" t="s">
        <v>831</v>
      </c>
      <c r="E66" s="55" t="s">
        <v>832</v>
      </c>
      <c r="F66" s="55" t="s">
        <v>832</v>
      </c>
      <c r="G66" s="55" t="s">
        <v>1076</v>
      </c>
      <c r="H66" s="55"/>
      <c r="I66" s="55"/>
      <c r="J66" s="55"/>
    </row>
    <row r="67" spans="1:10" x14ac:dyDescent="0.25">
      <c r="A67" s="2">
        <v>166</v>
      </c>
      <c r="B67" s="7" t="s">
        <v>1148</v>
      </c>
      <c r="C67" s="2" t="s">
        <v>831</v>
      </c>
      <c r="D67" s="2" t="s">
        <v>831</v>
      </c>
      <c r="E67" s="55" t="s">
        <v>832</v>
      </c>
      <c r="F67" s="55" t="s">
        <v>835</v>
      </c>
      <c r="G67" s="55" t="s">
        <v>1149</v>
      </c>
      <c r="H67" s="55"/>
      <c r="I67" s="74" t="s">
        <v>1090</v>
      </c>
      <c r="J67" s="55"/>
    </row>
    <row r="68" spans="1:10" x14ac:dyDescent="0.25">
      <c r="A68" s="2">
        <v>167</v>
      </c>
      <c r="B68" s="7" t="s">
        <v>1150</v>
      </c>
      <c r="C68" s="2" t="s">
        <v>831</v>
      </c>
      <c r="D68" s="2" t="s">
        <v>831</v>
      </c>
      <c r="E68" s="55" t="s">
        <v>832</v>
      </c>
      <c r="F68" s="55" t="s">
        <v>832</v>
      </c>
      <c r="G68" s="55" t="s">
        <v>893</v>
      </c>
      <c r="H68" s="55"/>
      <c r="I68" s="55"/>
      <c r="J68" s="55"/>
    </row>
    <row r="69" spans="1:10" x14ac:dyDescent="0.25">
      <c r="A69" s="2">
        <v>168</v>
      </c>
      <c r="B69" s="7" t="s">
        <v>1151</v>
      </c>
      <c r="C69" s="2" t="s">
        <v>831</v>
      </c>
      <c r="D69" s="2" t="s">
        <v>831</v>
      </c>
      <c r="E69" s="55" t="s">
        <v>832</v>
      </c>
      <c r="F69" s="55" t="s">
        <v>832</v>
      </c>
      <c r="G69" s="55" t="s">
        <v>1152</v>
      </c>
      <c r="H69" s="55"/>
      <c r="I69" s="55"/>
      <c r="J69" s="55"/>
    </row>
    <row r="70" spans="1:10" x14ac:dyDescent="0.25">
      <c r="A70" s="2">
        <v>169</v>
      </c>
      <c r="B70" s="7" t="s">
        <v>1153</v>
      </c>
      <c r="C70" s="2" t="s">
        <v>831</v>
      </c>
      <c r="D70" s="2" t="s">
        <v>831</v>
      </c>
      <c r="E70" s="55" t="s">
        <v>832</v>
      </c>
      <c r="F70" s="55" t="s">
        <v>835</v>
      </c>
      <c r="G70" s="55" t="s">
        <v>949</v>
      </c>
      <c r="H70" s="55" t="s">
        <v>1166</v>
      </c>
      <c r="I70" s="55"/>
      <c r="J70" s="55"/>
    </row>
    <row r="71" spans="1:10" x14ac:dyDescent="0.25">
      <c r="A71" s="2">
        <v>170</v>
      </c>
      <c r="B71" s="7" t="s">
        <v>1154</v>
      </c>
      <c r="C71" s="2" t="s">
        <v>831</v>
      </c>
      <c r="D71" s="2" t="s">
        <v>831</v>
      </c>
      <c r="E71" s="55" t="s">
        <v>832</v>
      </c>
      <c r="F71" s="55" t="s">
        <v>832</v>
      </c>
      <c r="G71" s="55" t="s">
        <v>1155</v>
      </c>
      <c r="H71" s="55" t="s">
        <v>1020</v>
      </c>
      <c r="I71" s="74" t="s">
        <v>1156</v>
      </c>
      <c r="J71" s="55" t="s">
        <v>1157</v>
      </c>
    </row>
    <row r="72" spans="1:10" x14ac:dyDescent="0.25">
      <c r="A72" s="2">
        <v>171</v>
      </c>
      <c r="B72" s="7" t="s">
        <v>1158</v>
      </c>
      <c r="C72" s="2" t="s">
        <v>831</v>
      </c>
      <c r="D72" s="2" t="s">
        <v>831</v>
      </c>
      <c r="E72" s="55" t="s">
        <v>832</v>
      </c>
      <c r="F72" s="55" t="s">
        <v>832</v>
      </c>
      <c r="G72" s="55" t="s">
        <v>1159</v>
      </c>
      <c r="H72" s="55"/>
      <c r="I72" s="55"/>
      <c r="J72" s="55"/>
    </row>
    <row r="73" spans="1:10" x14ac:dyDescent="0.25">
      <c r="A73" s="2">
        <v>172</v>
      </c>
      <c r="B73" s="7" t="s">
        <v>1160</v>
      </c>
      <c r="C73" s="2" t="s">
        <v>831</v>
      </c>
      <c r="D73" s="2" t="s">
        <v>831</v>
      </c>
      <c r="E73" s="55" t="s">
        <v>832</v>
      </c>
      <c r="F73" s="55" t="s">
        <v>832</v>
      </c>
      <c r="G73" s="55" t="s">
        <v>929</v>
      </c>
      <c r="H73" s="73" t="s">
        <v>976</v>
      </c>
      <c r="I73" s="55"/>
      <c r="J73" s="55"/>
    </row>
    <row r="74" spans="1:10" x14ac:dyDescent="0.25">
      <c r="A74" s="2">
        <v>173</v>
      </c>
      <c r="B74" s="7" t="s">
        <v>1161</v>
      </c>
      <c r="C74" s="2" t="s">
        <v>831</v>
      </c>
      <c r="D74" s="2" t="s">
        <v>831</v>
      </c>
      <c r="E74" s="55" t="s">
        <v>832</v>
      </c>
      <c r="F74" s="55" t="s">
        <v>832</v>
      </c>
      <c r="G74" s="55" t="s">
        <v>1162</v>
      </c>
      <c r="H74" s="55" t="s">
        <v>1163</v>
      </c>
      <c r="I74" s="55"/>
      <c r="J74" s="55"/>
    </row>
    <row r="75" spans="1:10" x14ac:dyDescent="0.25">
      <c r="A75" s="2">
        <v>174</v>
      </c>
      <c r="B75" s="7" t="s">
        <v>1164</v>
      </c>
      <c r="C75" s="2" t="s">
        <v>831</v>
      </c>
      <c r="D75" s="2" t="s">
        <v>831</v>
      </c>
      <c r="E75" s="55" t="s">
        <v>832</v>
      </c>
      <c r="F75" s="55" t="s">
        <v>835</v>
      </c>
      <c r="G75" s="55" t="s">
        <v>846</v>
      </c>
      <c r="H75" s="55" t="s">
        <v>943</v>
      </c>
      <c r="I75" s="55"/>
      <c r="J75" s="55"/>
    </row>
    <row r="76" spans="1:10" x14ac:dyDescent="0.25">
      <c r="A76" s="2">
        <v>175</v>
      </c>
      <c r="B76" s="7" t="s">
        <v>1165</v>
      </c>
      <c r="C76" s="2" t="s">
        <v>831</v>
      </c>
      <c r="D76" s="2" t="s">
        <v>831</v>
      </c>
      <c r="E76" s="55" t="s">
        <v>832</v>
      </c>
      <c r="F76" s="55" t="s">
        <v>832</v>
      </c>
      <c r="G76" s="55" t="s">
        <v>1112</v>
      </c>
      <c r="H76" s="55" t="s">
        <v>1166</v>
      </c>
      <c r="I76" s="55"/>
      <c r="J76" s="55"/>
    </row>
    <row r="77" spans="1:10" x14ac:dyDescent="0.25">
      <c r="A77" s="2">
        <v>176</v>
      </c>
      <c r="B77" s="7" t="s">
        <v>1167</v>
      </c>
      <c r="C77" s="2" t="s">
        <v>831</v>
      </c>
      <c r="D77" s="2" t="s">
        <v>831</v>
      </c>
      <c r="E77" s="55" t="s">
        <v>832</v>
      </c>
      <c r="F77" s="55" t="s">
        <v>832</v>
      </c>
      <c r="G77" s="55" t="s">
        <v>846</v>
      </c>
      <c r="H77" s="55"/>
      <c r="I77" s="55"/>
      <c r="J77" s="55"/>
    </row>
    <row r="78" spans="1:10" x14ac:dyDescent="0.25">
      <c r="A78" s="2">
        <v>177</v>
      </c>
      <c r="B78" s="7" t="s">
        <v>1168</v>
      </c>
      <c r="C78" s="2" t="s">
        <v>831</v>
      </c>
      <c r="D78" s="2" t="s">
        <v>831</v>
      </c>
      <c r="E78" s="55" t="s">
        <v>832</v>
      </c>
      <c r="F78" s="55" t="s">
        <v>835</v>
      </c>
      <c r="G78" s="55" t="s">
        <v>891</v>
      </c>
      <c r="H78" s="55" t="s">
        <v>1011</v>
      </c>
      <c r="I78" s="73" t="s">
        <v>887</v>
      </c>
      <c r="J78" s="55"/>
    </row>
    <row r="79" spans="1:10" x14ac:dyDescent="0.25">
      <c r="A79" s="2">
        <v>178</v>
      </c>
      <c r="B79" s="7" t="s">
        <v>1169</v>
      </c>
      <c r="C79" s="2" t="s">
        <v>831</v>
      </c>
      <c r="D79" s="2" t="s">
        <v>831</v>
      </c>
      <c r="E79" s="55" t="s">
        <v>832</v>
      </c>
      <c r="F79" s="55" t="s">
        <v>832</v>
      </c>
      <c r="G79" s="55" t="s">
        <v>937</v>
      </c>
      <c r="H79" s="55"/>
      <c r="I79" s="55"/>
      <c r="J79" s="55"/>
    </row>
    <row r="80" spans="1:10" x14ac:dyDescent="0.25">
      <c r="A80" s="2">
        <v>179</v>
      </c>
      <c r="B80" s="7" t="s">
        <v>1170</v>
      </c>
      <c r="C80" s="2" t="s">
        <v>831</v>
      </c>
      <c r="D80" s="2" t="s">
        <v>831</v>
      </c>
      <c r="E80" s="55" t="s">
        <v>832</v>
      </c>
      <c r="F80" s="55" t="s">
        <v>832</v>
      </c>
      <c r="G80" s="55" t="s">
        <v>1171</v>
      </c>
      <c r="H80" s="55"/>
      <c r="I80" s="55"/>
      <c r="J80" s="55"/>
    </row>
    <row r="81" spans="1:10" x14ac:dyDescent="0.25">
      <c r="A81" s="2">
        <v>180</v>
      </c>
      <c r="B81" s="7" t="s">
        <v>1172</v>
      </c>
      <c r="C81" s="2" t="s">
        <v>831</v>
      </c>
      <c r="D81" s="2" t="s">
        <v>831</v>
      </c>
      <c r="E81" s="55" t="s">
        <v>832</v>
      </c>
      <c r="F81" s="55" t="s">
        <v>832</v>
      </c>
      <c r="G81" s="75" t="s">
        <v>903</v>
      </c>
      <c r="H81" s="55"/>
      <c r="I81" s="55"/>
      <c r="J81" s="55"/>
    </row>
    <row r="82" spans="1:10" x14ac:dyDescent="0.25">
      <c r="A82" s="2">
        <v>181</v>
      </c>
      <c r="B82" s="7" t="s">
        <v>1173</v>
      </c>
      <c r="C82" s="2" t="s">
        <v>831</v>
      </c>
      <c r="D82" s="2" t="s">
        <v>831</v>
      </c>
      <c r="E82" s="55" t="s">
        <v>832</v>
      </c>
      <c r="F82" s="55" t="s">
        <v>832</v>
      </c>
      <c r="G82" s="55" t="s">
        <v>844</v>
      </c>
      <c r="H82" s="55" t="s">
        <v>1044</v>
      </c>
      <c r="I82" s="55"/>
      <c r="J82" s="55"/>
    </row>
    <row r="83" spans="1:10" x14ac:dyDescent="0.25">
      <c r="A83" s="2">
        <v>182</v>
      </c>
      <c r="B83" s="7" t="s">
        <v>1174</v>
      </c>
      <c r="C83" s="2" t="s">
        <v>831</v>
      </c>
      <c r="D83" s="2" t="s">
        <v>831</v>
      </c>
      <c r="E83" s="55" t="s">
        <v>832</v>
      </c>
      <c r="F83" s="55" t="s">
        <v>832</v>
      </c>
      <c r="G83" s="55" t="s">
        <v>1175</v>
      </c>
      <c r="H83" s="55" t="s">
        <v>1176</v>
      </c>
      <c r="I83" s="55"/>
      <c r="J83" s="55"/>
    </row>
    <row r="84" spans="1:10" x14ac:dyDescent="0.25">
      <c r="A84" s="2">
        <v>183</v>
      </c>
      <c r="B84" s="7" t="s">
        <v>1177</v>
      </c>
      <c r="C84" s="2" t="s">
        <v>831</v>
      </c>
      <c r="D84" s="2" t="s">
        <v>831</v>
      </c>
      <c r="E84" s="55" t="s">
        <v>832</v>
      </c>
      <c r="F84" s="55" t="s">
        <v>835</v>
      </c>
      <c r="G84" s="55" t="s">
        <v>1178</v>
      </c>
      <c r="H84" s="55"/>
      <c r="I84" s="55"/>
      <c r="J84" s="55"/>
    </row>
    <row r="85" spans="1:10" x14ac:dyDescent="0.25">
      <c r="A85" s="2">
        <v>184</v>
      </c>
      <c r="B85" s="7" t="s">
        <v>1179</v>
      </c>
      <c r="C85" s="2" t="s">
        <v>831</v>
      </c>
      <c r="D85" s="2" t="s">
        <v>831</v>
      </c>
      <c r="E85" s="55" t="s">
        <v>832</v>
      </c>
      <c r="F85" s="55" t="s">
        <v>832</v>
      </c>
      <c r="G85" s="55" t="s">
        <v>929</v>
      </c>
      <c r="H85" s="55"/>
      <c r="I85" s="55"/>
      <c r="J85" s="55"/>
    </row>
    <row r="86" spans="1:10" x14ac:dyDescent="0.25">
      <c r="A86" s="2">
        <v>185</v>
      </c>
      <c r="B86" s="7" t="s">
        <v>1180</v>
      </c>
      <c r="C86" s="2" t="s">
        <v>831</v>
      </c>
      <c r="D86" s="2" t="s">
        <v>831</v>
      </c>
      <c r="E86" s="55" t="s">
        <v>832</v>
      </c>
      <c r="F86" s="55" t="s">
        <v>832</v>
      </c>
      <c r="G86" s="55" t="s">
        <v>1035</v>
      </c>
      <c r="H86" s="55"/>
      <c r="I86" s="55"/>
      <c r="J86" s="55"/>
    </row>
    <row r="87" spans="1:10" x14ac:dyDescent="0.25">
      <c r="A87" s="2">
        <v>186</v>
      </c>
      <c r="B87" s="7" t="s">
        <v>1181</v>
      </c>
      <c r="C87" s="2" t="s">
        <v>831</v>
      </c>
      <c r="D87" s="2" t="s">
        <v>831</v>
      </c>
      <c r="E87" s="55" t="s">
        <v>832</v>
      </c>
      <c r="F87" s="55" t="s">
        <v>835</v>
      </c>
      <c r="G87" s="55" t="s">
        <v>1040</v>
      </c>
      <c r="H87" s="55"/>
      <c r="I87" s="73" t="s">
        <v>1092</v>
      </c>
      <c r="J87" s="55"/>
    </row>
    <row r="88" spans="1:10" x14ac:dyDescent="0.25">
      <c r="A88" s="2">
        <v>187</v>
      </c>
      <c r="B88" s="7" t="s">
        <v>1182</v>
      </c>
      <c r="C88" s="2" t="s">
        <v>831</v>
      </c>
      <c r="D88" s="2" t="s">
        <v>831</v>
      </c>
      <c r="E88" s="55" t="s">
        <v>832</v>
      </c>
      <c r="F88" s="55" t="s">
        <v>832</v>
      </c>
      <c r="G88" s="55" t="s">
        <v>1046</v>
      </c>
      <c r="H88" s="55" t="s">
        <v>1044</v>
      </c>
      <c r="I88" s="55"/>
      <c r="J88" s="55"/>
    </row>
    <row r="89" spans="1:10" x14ac:dyDescent="0.25">
      <c r="A89" s="2">
        <v>188</v>
      </c>
      <c r="B89" s="7" t="s">
        <v>1183</v>
      </c>
      <c r="C89" s="2" t="s">
        <v>831</v>
      </c>
      <c r="D89" s="2" t="s">
        <v>831</v>
      </c>
      <c r="E89" s="55" t="s">
        <v>832</v>
      </c>
      <c r="F89" s="55" t="s">
        <v>832</v>
      </c>
      <c r="G89" s="55" t="s">
        <v>1184</v>
      </c>
      <c r="H89" s="55"/>
      <c r="I89" s="55"/>
      <c r="J89" s="55"/>
    </row>
    <row r="90" spans="1:10" x14ac:dyDescent="0.25">
      <c r="A90" s="2">
        <v>189</v>
      </c>
      <c r="B90" s="7" t="s">
        <v>1185</v>
      </c>
      <c r="C90" s="2" t="s">
        <v>831</v>
      </c>
      <c r="D90" s="2" t="s">
        <v>831</v>
      </c>
      <c r="E90" s="55" t="s">
        <v>832</v>
      </c>
      <c r="F90" s="55" t="s">
        <v>832</v>
      </c>
      <c r="G90" s="55" t="s">
        <v>870</v>
      </c>
      <c r="H90" s="55" t="s">
        <v>1163</v>
      </c>
      <c r="I90" s="55"/>
      <c r="J90" s="55"/>
    </row>
    <row r="91" spans="1:10" x14ac:dyDescent="0.25">
      <c r="A91" s="2">
        <v>190</v>
      </c>
      <c r="B91" s="7" t="s">
        <v>1186</v>
      </c>
      <c r="C91" s="2" t="s">
        <v>831</v>
      </c>
      <c r="D91" s="2" t="s">
        <v>831</v>
      </c>
      <c r="E91" s="55" t="s">
        <v>832</v>
      </c>
      <c r="F91" s="55" t="s">
        <v>832</v>
      </c>
      <c r="G91" s="55" t="s">
        <v>831</v>
      </c>
      <c r="H91" s="73" t="s">
        <v>943</v>
      </c>
      <c r="I91" s="55"/>
      <c r="J91" s="55"/>
    </row>
    <row r="92" spans="1:10" x14ac:dyDescent="0.25">
      <c r="A92" s="2">
        <v>191</v>
      </c>
      <c r="B92" s="7" t="s">
        <v>1187</v>
      </c>
      <c r="C92" s="2" t="s">
        <v>831</v>
      </c>
      <c r="D92" s="2" t="s">
        <v>831</v>
      </c>
      <c r="E92" s="55" t="s">
        <v>832</v>
      </c>
      <c r="F92" s="55" t="s">
        <v>835</v>
      </c>
      <c r="G92" s="55" t="s">
        <v>1112</v>
      </c>
      <c r="H92" s="55"/>
      <c r="I92" s="73" t="s">
        <v>1090</v>
      </c>
      <c r="J92" s="55"/>
    </row>
    <row r="93" spans="1:10" x14ac:dyDescent="0.25">
      <c r="A93" s="2">
        <v>192</v>
      </c>
      <c r="B93" s="7" t="s">
        <v>1188</v>
      </c>
      <c r="C93" s="2" t="s">
        <v>831</v>
      </c>
      <c r="D93" s="2" t="s">
        <v>831</v>
      </c>
      <c r="E93" s="55" t="s">
        <v>832</v>
      </c>
      <c r="F93" s="55" t="s">
        <v>835</v>
      </c>
      <c r="G93" s="55" t="s">
        <v>1189</v>
      </c>
      <c r="H93" s="55"/>
      <c r="I93" s="55"/>
      <c r="J93" s="55"/>
    </row>
    <row r="94" spans="1:10" x14ac:dyDescent="0.25">
      <c r="A94" s="2">
        <v>193</v>
      </c>
      <c r="B94" s="7" t="s">
        <v>1190</v>
      </c>
      <c r="C94" s="2" t="s">
        <v>831</v>
      </c>
      <c r="D94" s="2" t="s">
        <v>831</v>
      </c>
      <c r="E94" s="55" t="s">
        <v>832</v>
      </c>
      <c r="F94" s="55" t="s">
        <v>832</v>
      </c>
      <c r="G94" s="55" t="s">
        <v>832</v>
      </c>
      <c r="H94" s="55"/>
      <c r="I94" s="55"/>
      <c r="J94" s="55"/>
    </row>
    <row r="95" spans="1:10" x14ac:dyDescent="0.25">
      <c r="A95" s="2">
        <v>194</v>
      </c>
      <c r="B95" s="7" t="s">
        <v>1191</v>
      </c>
      <c r="C95" s="2" t="s">
        <v>831</v>
      </c>
      <c r="D95" s="2" t="s">
        <v>831</v>
      </c>
      <c r="E95" s="55" t="s">
        <v>832</v>
      </c>
      <c r="F95" s="55" t="s">
        <v>832</v>
      </c>
      <c r="G95" s="55" t="s">
        <v>864</v>
      </c>
      <c r="H95" s="55"/>
      <c r="I95" s="55"/>
      <c r="J95" s="55"/>
    </row>
    <row r="96" spans="1:10" x14ac:dyDescent="0.25">
      <c r="A96" s="2">
        <v>195</v>
      </c>
      <c r="B96" s="7" t="s">
        <v>1192</v>
      </c>
      <c r="C96" s="2" t="s">
        <v>831</v>
      </c>
      <c r="D96" s="2" t="s">
        <v>831</v>
      </c>
      <c r="E96" s="55" t="s">
        <v>832</v>
      </c>
      <c r="F96" s="55" t="s">
        <v>832</v>
      </c>
      <c r="G96" s="55" t="s">
        <v>945</v>
      </c>
      <c r="H96" s="55" t="s">
        <v>868</v>
      </c>
      <c r="I96" s="55"/>
      <c r="J96" s="55"/>
    </row>
    <row r="97" spans="1:10" x14ac:dyDescent="0.25">
      <c r="A97" s="2">
        <v>196</v>
      </c>
      <c r="B97" s="7" t="s">
        <v>1193</v>
      </c>
      <c r="C97" s="2" t="s">
        <v>831</v>
      </c>
      <c r="D97" s="2" t="s">
        <v>831</v>
      </c>
      <c r="E97" s="55" t="s">
        <v>832</v>
      </c>
      <c r="F97" s="55" t="s">
        <v>835</v>
      </c>
      <c r="G97" s="75" t="s">
        <v>1194</v>
      </c>
      <c r="H97" s="55"/>
      <c r="I97" s="55"/>
      <c r="J97" s="55"/>
    </row>
    <row r="98" spans="1:10" x14ac:dyDescent="0.25">
      <c r="A98" s="2">
        <v>197</v>
      </c>
      <c r="B98" s="7" t="s">
        <v>1195</v>
      </c>
      <c r="C98" s="2" t="s">
        <v>831</v>
      </c>
      <c r="D98" s="2" t="s">
        <v>831</v>
      </c>
      <c r="E98" s="55" t="s">
        <v>832</v>
      </c>
      <c r="F98" s="55" t="s">
        <v>835</v>
      </c>
      <c r="G98" s="55" t="s">
        <v>1196</v>
      </c>
      <c r="H98" s="55" t="s">
        <v>905</v>
      </c>
      <c r="I98" s="55"/>
      <c r="J98" s="55"/>
    </row>
    <row r="99" spans="1:10" x14ac:dyDescent="0.25">
      <c r="A99" s="2">
        <v>198</v>
      </c>
      <c r="B99" s="7" t="s">
        <v>1197</v>
      </c>
      <c r="C99" s="2" t="s">
        <v>831</v>
      </c>
      <c r="D99" s="2" t="s">
        <v>831</v>
      </c>
      <c r="E99" s="55" t="s">
        <v>832</v>
      </c>
      <c r="F99" s="55" t="s">
        <v>832</v>
      </c>
      <c r="G99" s="73" t="s">
        <v>1198</v>
      </c>
      <c r="H99" s="55" t="s">
        <v>959</v>
      </c>
      <c r="I99" s="55"/>
      <c r="J99" s="55"/>
    </row>
    <row r="100" spans="1:10" x14ac:dyDescent="0.25">
      <c r="A100" s="2">
        <v>199</v>
      </c>
      <c r="B100" s="7" t="s">
        <v>1199</v>
      </c>
      <c r="C100" s="2" t="s">
        <v>831</v>
      </c>
      <c r="D100" s="2" t="s">
        <v>831</v>
      </c>
      <c r="E100" s="55" t="s">
        <v>832</v>
      </c>
      <c r="F100" s="55" t="s">
        <v>835</v>
      </c>
      <c r="G100" s="55" t="s">
        <v>1102</v>
      </c>
      <c r="H100" s="74" t="s">
        <v>1200</v>
      </c>
      <c r="I100" s="55" t="s">
        <v>1144</v>
      </c>
      <c r="J100" s="55"/>
    </row>
    <row r="101" spans="1:10" x14ac:dyDescent="0.25">
      <c r="A101" s="2">
        <v>200</v>
      </c>
      <c r="B101" s="7" t="s">
        <v>1201</v>
      </c>
      <c r="C101" s="2" t="s">
        <v>831</v>
      </c>
      <c r="D101" s="2" t="s">
        <v>831</v>
      </c>
      <c r="E101" s="55" t="s">
        <v>832</v>
      </c>
      <c r="F101" s="55" t="s">
        <v>832</v>
      </c>
      <c r="G101" s="55" t="s">
        <v>1202</v>
      </c>
      <c r="H101" s="55"/>
      <c r="I101" s="55"/>
      <c r="J101" s="55"/>
    </row>
  </sheetData>
  <autoFilter ref="A1:J101" xr:uid="{00000000-0009-0000-0000-000006000000}">
    <sortState xmlns:xlrd2="http://schemas.microsoft.com/office/spreadsheetml/2017/richdata2" ref="A2:J101">
      <sortCondition ref="A1:A101"/>
    </sortState>
  </autoFilter>
  <conditionalFormatting sqref="C2:J101">
    <cfRule type="expression" dxfId="55" priority="5">
      <formula>UPPER(LEFT(C2&amp;"",1))="Y"</formula>
    </cfRule>
    <cfRule type="expression" dxfId="54" priority="6">
      <formula>AND(C2&lt;&gt;"",UPPER(LEFT(C2&amp;"",1))&lt;&gt;"Y")</formula>
    </cfRule>
    <cfRule type="expression" dxfId="53" priority="7">
      <formula>UPPER(TRIM(C2&amp;""))="Y"</formula>
    </cfRule>
    <cfRule type="expression" dxfId="52" priority="8">
      <formula>UPPER(TRIM(C2&amp;""))="H"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showGridLines="0" zoomScaleNormal="100" workbookViewId="0">
      <pane ySplit="1" topLeftCell="A2" activePane="bottomLeft" state="frozen"/>
      <selection activeCell="D1" sqref="D1"/>
      <selection pane="bottomLeft" activeCell="K6" sqref="K6"/>
    </sheetView>
  </sheetViews>
  <sheetFormatPr defaultRowHeight="15" x14ac:dyDescent="0.25"/>
  <cols>
    <col min="1" max="1" width="11" bestFit="1" customWidth="1"/>
    <col min="2" max="2" width="36" bestFit="1" customWidth="1"/>
    <col min="3" max="7" width="9" customWidth="1"/>
    <col min="8" max="12" width="31.85546875" customWidth="1"/>
  </cols>
  <sheetData>
    <row r="1" spans="1:12" ht="30" customHeight="1" x14ac:dyDescent="0.25">
      <c r="A1" s="1" t="s">
        <v>161</v>
      </c>
      <c r="B1" s="1" t="s">
        <v>1203</v>
      </c>
      <c r="C1" s="1" t="s">
        <v>60</v>
      </c>
      <c r="D1" s="1" t="s">
        <v>823</v>
      </c>
      <c r="E1" s="99" t="s">
        <v>824</v>
      </c>
      <c r="F1" s="1" t="s">
        <v>825</v>
      </c>
      <c r="G1" s="1" t="s">
        <v>826</v>
      </c>
      <c r="H1" s="1" t="s">
        <v>827</v>
      </c>
      <c r="I1" s="1" t="s">
        <v>828</v>
      </c>
      <c r="J1" s="1" t="s">
        <v>829</v>
      </c>
      <c r="K1" s="99" t="s">
        <v>1204</v>
      </c>
      <c r="L1" s="99" t="s">
        <v>1205</v>
      </c>
    </row>
    <row r="2" spans="1:12" x14ac:dyDescent="0.25">
      <c r="A2" s="2" t="s">
        <v>409</v>
      </c>
      <c r="B2" s="7" t="s">
        <v>263</v>
      </c>
      <c r="C2" s="2" t="s">
        <v>831</v>
      </c>
      <c r="D2" s="2" t="s">
        <v>831</v>
      </c>
      <c r="E2" s="77" t="s">
        <v>832</v>
      </c>
      <c r="F2" s="55" t="s">
        <v>835</v>
      </c>
      <c r="G2" s="55" t="s">
        <v>898</v>
      </c>
      <c r="H2" s="55"/>
      <c r="I2" s="55"/>
      <c r="J2" s="78"/>
      <c r="K2" s="77" t="s">
        <v>835</v>
      </c>
      <c r="L2" s="77"/>
    </row>
    <row r="3" spans="1:12" x14ac:dyDescent="0.25">
      <c r="A3" s="2" t="s">
        <v>419</v>
      </c>
      <c r="B3" s="7" t="s">
        <v>222</v>
      </c>
      <c r="C3" s="2" t="s">
        <v>831</v>
      </c>
      <c r="D3" s="2" t="s">
        <v>831</v>
      </c>
      <c r="E3" s="77" t="s">
        <v>832</v>
      </c>
      <c r="F3" s="55" t="s">
        <v>835</v>
      </c>
      <c r="G3" s="75" t="s">
        <v>903</v>
      </c>
      <c r="H3" s="55" t="s">
        <v>1166</v>
      </c>
      <c r="I3" s="55"/>
      <c r="J3" s="78"/>
      <c r="K3" s="77"/>
      <c r="L3" s="77"/>
    </row>
    <row r="4" spans="1:12" x14ac:dyDescent="0.25">
      <c r="A4" s="2" t="s">
        <v>425</v>
      </c>
      <c r="B4" s="7" t="s">
        <v>274</v>
      </c>
      <c r="C4" s="2" t="s">
        <v>831</v>
      </c>
      <c r="D4" s="2" t="s">
        <v>831</v>
      </c>
      <c r="E4" s="77" t="s">
        <v>832</v>
      </c>
      <c r="F4" s="55" t="s">
        <v>835</v>
      </c>
      <c r="G4" s="73" t="s">
        <v>1206</v>
      </c>
      <c r="H4" s="55" t="s">
        <v>871</v>
      </c>
      <c r="I4" s="55"/>
      <c r="J4" s="78"/>
      <c r="K4" s="77" t="s">
        <v>835</v>
      </c>
      <c r="L4" s="36"/>
    </row>
    <row r="5" spans="1:12" x14ac:dyDescent="0.25">
      <c r="A5" s="2" t="s">
        <v>428</v>
      </c>
      <c r="B5" s="7" t="s">
        <v>248</v>
      </c>
      <c r="C5" s="2" t="s">
        <v>831</v>
      </c>
      <c r="D5" s="2" t="s">
        <v>831</v>
      </c>
      <c r="E5" s="77" t="s">
        <v>832</v>
      </c>
      <c r="F5" s="55" t="s">
        <v>832</v>
      </c>
      <c r="G5" s="55" t="s">
        <v>1207</v>
      </c>
      <c r="H5" s="55"/>
      <c r="I5" s="55"/>
      <c r="J5" s="78"/>
      <c r="K5" s="77"/>
      <c r="L5" s="77"/>
    </row>
    <row r="6" spans="1:12" x14ac:dyDescent="0.25">
      <c r="A6" s="2" t="s">
        <v>434</v>
      </c>
      <c r="B6" s="7" t="s">
        <v>267</v>
      </c>
      <c r="C6" s="2" t="s">
        <v>831</v>
      </c>
      <c r="D6" s="2" t="s">
        <v>831</v>
      </c>
      <c r="E6" s="77" t="s">
        <v>832</v>
      </c>
      <c r="F6" s="55" t="s">
        <v>835</v>
      </c>
      <c r="G6" s="55" t="s">
        <v>838</v>
      </c>
      <c r="H6" s="55"/>
      <c r="I6" s="55"/>
      <c r="J6" s="78"/>
      <c r="K6" s="77"/>
      <c r="L6" s="77"/>
    </row>
    <row r="7" spans="1:12" x14ac:dyDescent="0.25">
      <c r="A7" s="2" t="s">
        <v>435</v>
      </c>
      <c r="B7" s="7" t="s">
        <v>250</v>
      </c>
      <c r="C7" s="2" t="s">
        <v>831</v>
      </c>
      <c r="D7" s="2" t="s">
        <v>831</v>
      </c>
      <c r="E7" s="77" t="s">
        <v>832</v>
      </c>
      <c r="F7" s="55" t="s">
        <v>835</v>
      </c>
      <c r="G7" s="55" t="s">
        <v>1074</v>
      </c>
      <c r="H7" s="55"/>
      <c r="I7" s="55"/>
      <c r="J7" s="78"/>
      <c r="K7" s="77"/>
      <c r="L7" s="77" t="s">
        <v>1208</v>
      </c>
    </row>
    <row r="8" spans="1:12" x14ac:dyDescent="0.25">
      <c r="A8" s="2" t="s">
        <v>436</v>
      </c>
      <c r="B8" s="7" t="s">
        <v>230</v>
      </c>
      <c r="C8" s="2" t="s">
        <v>831</v>
      </c>
      <c r="D8" s="2" t="s">
        <v>831</v>
      </c>
      <c r="E8" s="77" t="s">
        <v>832</v>
      </c>
      <c r="F8" s="55" t="s">
        <v>832</v>
      </c>
      <c r="G8" s="55" t="s">
        <v>1042</v>
      </c>
      <c r="H8" s="74" t="s">
        <v>1020</v>
      </c>
      <c r="I8" s="55"/>
      <c r="J8" s="78"/>
      <c r="K8" s="77"/>
      <c r="L8" s="77"/>
    </row>
    <row r="9" spans="1:12" x14ac:dyDescent="0.25">
      <c r="A9" s="2" t="s">
        <v>437</v>
      </c>
      <c r="B9" s="7" t="s">
        <v>276</v>
      </c>
      <c r="C9" s="2" t="s">
        <v>831</v>
      </c>
      <c r="D9" s="2" t="s">
        <v>831</v>
      </c>
      <c r="E9" s="77" t="s">
        <v>832</v>
      </c>
      <c r="F9" s="55" t="s">
        <v>835</v>
      </c>
      <c r="G9" s="55" t="s">
        <v>859</v>
      </c>
      <c r="H9" s="55" t="s">
        <v>1055</v>
      </c>
      <c r="I9" s="55"/>
      <c r="J9" s="78"/>
      <c r="K9" s="77" t="s">
        <v>835</v>
      </c>
      <c r="L9" s="77" t="s">
        <v>1209</v>
      </c>
    </row>
    <row r="10" spans="1:12" ht="15" customHeight="1" x14ac:dyDescent="0.25">
      <c r="A10" s="2" t="s">
        <v>438</v>
      </c>
      <c r="B10" s="7" t="s">
        <v>244</v>
      </c>
      <c r="C10" s="2" t="s">
        <v>831</v>
      </c>
      <c r="D10" s="2" t="s">
        <v>831</v>
      </c>
      <c r="E10" s="77" t="s">
        <v>832</v>
      </c>
      <c r="F10" s="55" t="s">
        <v>835</v>
      </c>
      <c r="G10" s="55" t="s">
        <v>1102</v>
      </c>
      <c r="H10" s="55" t="s">
        <v>1068</v>
      </c>
      <c r="I10" s="55"/>
      <c r="J10" s="78"/>
      <c r="K10" s="77" t="s">
        <v>835</v>
      </c>
      <c r="L10" s="77"/>
    </row>
    <row r="11" spans="1:12" x14ac:dyDescent="0.25">
      <c r="A11" s="2" t="s">
        <v>410</v>
      </c>
      <c r="B11" s="7" t="s">
        <v>270</v>
      </c>
      <c r="C11" s="2" t="s">
        <v>831</v>
      </c>
      <c r="D11" s="2" t="s">
        <v>831</v>
      </c>
      <c r="E11" s="77" t="s">
        <v>832</v>
      </c>
      <c r="F11" s="55" t="s">
        <v>835</v>
      </c>
      <c r="G11" s="55" t="s">
        <v>840</v>
      </c>
      <c r="H11" s="55"/>
      <c r="I11" s="55"/>
      <c r="J11" s="78"/>
      <c r="K11" s="77" t="s">
        <v>835</v>
      </c>
      <c r="L11" s="77"/>
    </row>
    <row r="12" spans="1:12" x14ac:dyDescent="0.25">
      <c r="A12" s="2" t="s">
        <v>411</v>
      </c>
      <c r="B12" s="7" t="s">
        <v>238</v>
      </c>
      <c r="C12" s="2" t="s">
        <v>831</v>
      </c>
      <c r="D12" s="2" t="s">
        <v>831</v>
      </c>
      <c r="E12" s="77" t="s">
        <v>832</v>
      </c>
      <c r="F12" s="55" t="s">
        <v>835</v>
      </c>
      <c r="G12" s="55" t="s">
        <v>1210</v>
      </c>
      <c r="H12" s="55" t="s">
        <v>1211</v>
      </c>
      <c r="I12" s="55"/>
      <c r="J12" s="78"/>
      <c r="K12" s="77"/>
      <c r="L12" s="77"/>
    </row>
    <row r="13" spans="1:12" x14ac:dyDescent="0.25">
      <c r="A13" s="2" t="s">
        <v>412</v>
      </c>
      <c r="B13" s="7" t="s">
        <v>283</v>
      </c>
      <c r="C13" s="2" t="s">
        <v>831</v>
      </c>
      <c r="D13" s="2" t="s">
        <v>831</v>
      </c>
      <c r="E13" s="77" t="s">
        <v>832</v>
      </c>
      <c r="F13" s="76" t="s">
        <v>835</v>
      </c>
      <c r="G13" s="55" t="s">
        <v>984</v>
      </c>
      <c r="H13" s="55" t="s">
        <v>959</v>
      </c>
      <c r="I13" s="55"/>
      <c r="J13" s="78"/>
      <c r="K13" s="77"/>
      <c r="L13" s="77"/>
    </row>
    <row r="14" spans="1:12" x14ac:dyDescent="0.25">
      <c r="A14" s="2" t="s">
        <v>413</v>
      </c>
      <c r="B14" s="7" t="s">
        <v>216</v>
      </c>
      <c r="C14" s="2" t="s">
        <v>831</v>
      </c>
      <c r="D14" s="2" t="s">
        <v>831</v>
      </c>
      <c r="E14" s="77" t="s">
        <v>832</v>
      </c>
      <c r="F14" s="55" t="s">
        <v>835</v>
      </c>
      <c r="G14" s="55" t="s">
        <v>918</v>
      </c>
      <c r="H14" s="55" t="s">
        <v>1212</v>
      </c>
      <c r="I14" s="55"/>
      <c r="J14" s="78" t="s">
        <v>1213</v>
      </c>
      <c r="K14" s="77" t="s">
        <v>832</v>
      </c>
      <c r="L14" s="77" t="s">
        <v>1214</v>
      </c>
    </row>
    <row r="15" spans="1:12" x14ac:dyDescent="0.25">
      <c r="A15" s="2" t="s">
        <v>414</v>
      </c>
      <c r="B15" s="7" t="s">
        <v>254</v>
      </c>
      <c r="C15" s="2" t="s">
        <v>831</v>
      </c>
      <c r="D15" s="2" t="s">
        <v>831</v>
      </c>
      <c r="E15" s="77" t="s">
        <v>832</v>
      </c>
      <c r="F15" s="55" t="s">
        <v>835</v>
      </c>
      <c r="G15" s="55" t="s">
        <v>1094</v>
      </c>
      <c r="H15" s="55" t="s">
        <v>1215</v>
      </c>
      <c r="I15" s="55"/>
      <c r="J15" s="78"/>
      <c r="K15" s="77"/>
      <c r="L15" s="77"/>
    </row>
    <row r="16" spans="1:12" x14ac:dyDescent="0.25">
      <c r="A16" s="2" t="s">
        <v>415</v>
      </c>
      <c r="B16" s="7" t="s">
        <v>224</v>
      </c>
      <c r="C16" s="2" t="s">
        <v>831</v>
      </c>
      <c r="D16" s="2" t="s">
        <v>831</v>
      </c>
      <c r="E16" s="77" t="s">
        <v>832</v>
      </c>
      <c r="F16" s="55" t="s">
        <v>835</v>
      </c>
      <c r="G16" s="55" t="s">
        <v>1216</v>
      </c>
      <c r="H16" s="55"/>
      <c r="I16" s="73" t="s">
        <v>847</v>
      </c>
      <c r="J16" s="78"/>
      <c r="K16" s="77" t="s">
        <v>835</v>
      </c>
      <c r="L16" s="77"/>
    </row>
    <row r="17" spans="1:12" x14ac:dyDescent="0.25">
      <c r="A17" s="2" t="s">
        <v>1217</v>
      </c>
      <c r="B17" s="7" t="s">
        <v>1218</v>
      </c>
      <c r="C17" s="2" t="s">
        <v>831</v>
      </c>
      <c r="D17" s="2" t="s">
        <v>831</v>
      </c>
      <c r="E17" s="77" t="s">
        <v>832</v>
      </c>
      <c r="F17" s="55" t="s">
        <v>835</v>
      </c>
      <c r="G17" s="55" t="s">
        <v>978</v>
      </c>
      <c r="H17" s="55" t="s">
        <v>899</v>
      </c>
      <c r="I17" s="74" t="s">
        <v>1219</v>
      </c>
      <c r="J17" s="78"/>
      <c r="K17" s="36"/>
      <c r="L17" s="36"/>
    </row>
    <row r="18" spans="1:12" x14ac:dyDescent="0.25">
      <c r="A18" s="2" t="s">
        <v>416</v>
      </c>
      <c r="B18" s="7" t="s">
        <v>234</v>
      </c>
      <c r="C18" s="2" t="s">
        <v>831</v>
      </c>
      <c r="D18" s="2" t="s">
        <v>831</v>
      </c>
      <c r="E18" s="77" t="s">
        <v>832</v>
      </c>
      <c r="F18" s="55" t="s">
        <v>835</v>
      </c>
      <c r="G18" s="55" t="s">
        <v>867</v>
      </c>
      <c r="H18" s="55" t="s">
        <v>943</v>
      </c>
      <c r="I18" s="55"/>
      <c r="J18" s="78"/>
      <c r="K18" s="77" t="s">
        <v>835</v>
      </c>
      <c r="L18" s="77"/>
    </row>
    <row r="19" spans="1:12" x14ac:dyDescent="0.25">
      <c r="A19" s="2" t="s">
        <v>417</v>
      </c>
      <c r="B19" s="7" t="s">
        <v>308</v>
      </c>
      <c r="C19" s="2" t="s">
        <v>831</v>
      </c>
      <c r="D19" s="2" t="s">
        <v>831</v>
      </c>
      <c r="E19" s="77" t="s">
        <v>832</v>
      </c>
      <c r="F19" s="55" t="s">
        <v>835</v>
      </c>
      <c r="G19" s="55" t="s">
        <v>1178</v>
      </c>
      <c r="H19" s="55" t="s">
        <v>868</v>
      </c>
      <c r="I19" s="55"/>
      <c r="J19" s="78"/>
      <c r="K19" s="77" t="s">
        <v>832</v>
      </c>
      <c r="L19" s="79" t="s">
        <v>1220</v>
      </c>
    </row>
    <row r="20" spans="1:12" x14ac:dyDescent="0.25">
      <c r="A20" s="2" t="s">
        <v>418</v>
      </c>
      <c r="B20" s="7" t="s">
        <v>301</v>
      </c>
      <c r="C20" s="2" t="s">
        <v>831</v>
      </c>
      <c r="D20" s="2" t="s">
        <v>831</v>
      </c>
      <c r="E20" s="77" t="s">
        <v>832</v>
      </c>
      <c r="F20" s="55" t="s">
        <v>832</v>
      </c>
      <c r="G20" s="55" t="s">
        <v>1221</v>
      </c>
      <c r="H20" s="55" t="s">
        <v>997</v>
      </c>
      <c r="I20" s="55"/>
      <c r="J20" s="78" t="s">
        <v>1129</v>
      </c>
      <c r="K20" s="77" t="s">
        <v>835</v>
      </c>
      <c r="L20" s="77"/>
    </row>
    <row r="21" spans="1:12" x14ac:dyDescent="0.25">
      <c r="A21" s="2" t="s">
        <v>420</v>
      </c>
      <c r="B21" s="7" t="s">
        <v>260</v>
      </c>
      <c r="C21" s="2" t="s">
        <v>831</v>
      </c>
      <c r="D21" s="2" t="s">
        <v>831</v>
      </c>
      <c r="E21" s="77" t="s">
        <v>832</v>
      </c>
      <c r="F21" s="55" t="s">
        <v>835</v>
      </c>
      <c r="G21" s="55" t="s">
        <v>1222</v>
      </c>
      <c r="H21" s="55" t="s">
        <v>1095</v>
      </c>
      <c r="I21" s="55"/>
      <c r="J21" s="78"/>
      <c r="K21" s="77" t="s">
        <v>832</v>
      </c>
      <c r="L21" s="77"/>
    </row>
    <row r="22" spans="1:12" x14ac:dyDescent="0.25">
      <c r="A22" s="2" t="s">
        <v>421</v>
      </c>
      <c r="B22" s="7" t="s">
        <v>288</v>
      </c>
      <c r="C22" s="2" t="s">
        <v>831</v>
      </c>
      <c r="D22" s="2" t="s">
        <v>831</v>
      </c>
      <c r="E22" s="77" t="s">
        <v>832</v>
      </c>
      <c r="F22" s="55" t="s">
        <v>835</v>
      </c>
      <c r="G22" s="55" t="s">
        <v>842</v>
      </c>
      <c r="H22" s="55" t="s">
        <v>1223</v>
      </c>
      <c r="I22" s="55"/>
      <c r="J22" s="78"/>
      <c r="K22" s="77" t="s">
        <v>1224</v>
      </c>
      <c r="L22" s="77"/>
    </row>
    <row r="23" spans="1:12" x14ac:dyDescent="0.25">
      <c r="A23" s="2" t="s">
        <v>422</v>
      </c>
      <c r="B23" s="7" t="s">
        <v>228</v>
      </c>
      <c r="C23" s="2" t="s">
        <v>831</v>
      </c>
      <c r="D23" s="2" t="s">
        <v>831</v>
      </c>
      <c r="E23" s="77" t="s">
        <v>832</v>
      </c>
      <c r="F23" s="55" t="s">
        <v>835</v>
      </c>
      <c r="G23" s="55" t="s">
        <v>882</v>
      </c>
      <c r="H23" s="74" t="s">
        <v>1166</v>
      </c>
      <c r="I23" s="55"/>
      <c r="J23" s="78"/>
      <c r="K23" s="77"/>
      <c r="L23" s="77"/>
    </row>
    <row r="24" spans="1:12" x14ac:dyDescent="0.25">
      <c r="A24" s="2" t="s">
        <v>423</v>
      </c>
      <c r="B24" s="7" t="s">
        <v>301</v>
      </c>
      <c r="C24" s="2" t="s">
        <v>831</v>
      </c>
      <c r="D24" s="2" t="s">
        <v>831</v>
      </c>
      <c r="E24" s="77" t="s">
        <v>832</v>
      </c>
      <c r="F24" s="55" t="s">
        <v>832</v>
      </c>
      <c r="G24" s="55" t="s">
        <v>967</v>
      </c>
      <c r="H24" s="55"/>
      <c r="I24" s="55" t="s">
        <v>860</v>
      </c>
      <c r="J24" s="78"/>
      <c r="K24" s="77" t="s">
        <v>832</v>
      </c>
      <c r="L24" s="77" t="s">
        <v>1225</v>
      </c>
    </row>
    <row r="25" spans="1:12" x14ac:dyDescent="0.25">
      <c r="A25" s="2" t="s">
        <v>1226</v>
      </c>
      <c r="B25" s="7" t="s">
        <v>1227</v>
      </c>
      <c r="C25" s="2" t="s">
        <v>831</v>
      </c>
      <c r="D25" s="2" t="s">
        <v>831</v>
      </c>
      <c r="E25" s="77" t="s">
        <v>832</v>
      </c>
      <c r="F25" s="55" t="s">
        <v>835</v>
      </c>
      <c r="G25" s="55" t="s">
        <v>1228</v>
      </c>
      <c r="H25" s="55"/>
      <c r="I25" s="55"/>
      <c r="J25" s="78"/>
      <c r="K25" s="36"/>
      <c r="L25" s="36"/>
    </row>
    <row r="26" spans="1:12" x14ac:dyDescent="0.25">
      <c r="A26" s="2" t="s">
        <v>1229</v>
      </c>
      <c r="B26" s="7" t="s">
        <v>1230</v>
      </c>
      <c r="C26" s="2" t="s">
        <v>831</v>
      </c>
      <c r="D26" s="2" t="s">
        <v>831</v>
      </c>
      <c r="E26" s="77" t="s">
        <v>832</v>
      </c>
      <c r="F26" s="55" t="s">
        <v>835</v>
      </c>
      <c r="G26" s="55" t="s">
        <v>1231</v>
      </c>
      <c r="H26" s="55" t="s">
        <v>871</v>
      </c>
      <c r="I26" s="55"/>
      <c r="J26" s="78"/>
      <c r="K26" s="36"/>
      <c r="L26" s="36"/>
    </row>
    <row r="27" spans="1:12" x14ac:dyDescent="0.25">
      <c r="A27" s="2" t="s">
        <v>1232</v>
      </c>
      <c r="B27" s="7" t="s">
        <v>1233</v>
      </c>
      <c r="C27" s="2" t="s">
        <v>831</v>
      </c>
      <c r="D27" s="2" t="s">
        <v>831</v>
      </c>
      <c r="E27" s="77" t="s">
        <v>832</v>
      </c>
      <c r="F27" s="55" t="s">
        <v>835</v>
      </c>
      <c r="G27" s="55" t="s">
        <v>1124</v>
      </c>
      <c r="H27" s="55" t="s">
        <v>1002</v>
      </c>
      <c r="I27" s="73" t="s">
        <v>887</v>
      </c>
      <c r="J27" s="78"/>
      <c r="K27" s="36"/>
      <c r="L27" s="36"/>
    </row>
    <row r="28" spans="1:12" x14ac:dyDescent="0.25">
      <c r="A28" s="2" t="s">
        <v>1234</v>
      </c>
      <c r="B28" s="7" t="s">
        <v>1235</v>
      </c>
      <c r="C28" s="2" t="s">
        <v>831</v>
      </c>
      <c r="D28" s="2" t="s">
        <v>831</v>
      </c>
      <c r="E28" s="77" t="s">
        <v>832</v>
      </c>
      <c r="F28" s="55" t="s">
        <v>832</v>
      </c>
      <c r="G28" s="73" t="s">
        <v>1098</v>
      </c>
      <c r="H28" s="73" t="s">
        <v>871</v>
      </c>
      <c r="I28" s="55"/>
      <c r="J28" s="78"/>
      <c r="K28" s="36"/>
      <c r="L28" s="36"/>
    </row>
    <row r="29" spans="1:12" x14ac:dyDescent="0.25">
      <c r="A29" s="2" t="s">
        <v>1236</v>
      </c>
      <c r="B29" s="7" t="s">
        <v>1237</v>
      </c>
      <c r="C29" s="2" t="s">
        <v>831</v>
      </c>
      <c r="D29" s="2" t="s">
        <v>831</v>
      </c>
      <c r="E29" s="77" t="s">
        <v>832</v>
      </c>
      <c r="F29" s="55" t="s">
        <v>835</v>
      </c>
      <c r="G29" s="55" t="s">
        <v>911</v>
      </c>
      <c r="H29" s="55"/>
      <c r="I29" s="55"/>
      <c r="J29" s="78"/>
      <c r="K29" s="36"/>
      <c r="L29" s="36"/>
    </row>
    <row r="30" spans="1:12" x14ac:dyDescent="0.25">
      <c r="A30" s="2" t="s">
        <v>424</v>
      </c>
      <c r="B30" s="7" t="s">
        <v>280</v>
      </c>
      <c r="C30" s="2" t="s">
        <v>831</v>
      </c>
      <c r="D30" s="2" t="s">
        <v>831</v>
      </c>
      <c r="E30" s="77" t="s">
        <v>832</v>
      </c>
      <c r="F30" s="55" t="s">
        <v>835</v>
      </c>
      <c r="G30" s="73" t="s">
        <v>836</v>
      </c>
      <c r="H30" s="55"/>
      <c r="I30" s="55"/>
      <c r="J30" s="78"/>
      <c r="K30" s="77"/>
      <c r="L30" s="79" t="s">
        <v>1238</v>
      </c>
    </row>
    <row r="31" spans="1:12" x14ac:dyDescent="0.25">
      <c r="A31" s="2" t="s">
        <v>1239</v>
      </c>
      <c r="B31" s="7" t="s">
        <v>1233</v>
      </c>
      <c r="C31" s="2" t="s">
        <v>831</v>
      </c>
      <c r="D31" s="2" t="s">
        <v>831</v>
      </c>
      <c r="E31" s="77" t="s">
        <v>832</v>
      </c>
      <c r="F31" s="55" t="s">
        <v>835</v>
      </c>
      <c r="G31" s="75" t="s">
        <v>1240</v>
      </c>
      <c r="H31" s="55"/>
      <c r="I31" s="55"/>
      <c r="J31" s="78"/>
      <c r="K31" s="36"/>
      <c r="L31" s="36"/>
    </row>
    <row r="32" spans="1:12" x14ac:dyDescent="0.25">
      <c r="A32" s="2" t="s">
        <v>426</v>
      </c>
      <c r="B32" s="7" t="s">
        <v>250</v>
      </c>
      <c r="C32" s="2" t="s">
        <v>831</v>
      </c>
      <c r="D32" s="2" t="s">
        <v>831</v>
      </c>
      <c r="E32" s="77" t="s">
        <v>832</v>
      </c>
      <c r="F32" s="55" t="s">
        <v>835</v>
      </c>
      <c r="G32" s="55" t="s">
        <v>1241</v>
      </c>
      <c r="H32" s="73" t="s">
        <v>954</v>
      </c>
      <c r="I32" s="55"/>
      <c r="J32" s="78"/>
      <c r="K32" s="77"/>
      <c r="L32" s="77"/>
    </row>
    <row r="33" spans="1:12" x14ac:dyDescent="0.25">
      <c r="A33" s="2" t="s">
        <v>1242</v>
      </c>
      <c r="B33" s="7" t="s">
        <v>1243</v>
      </c>
      <c r="C33" s="2" t="s">
        <v>831</v>
      </c>
      <c r="D33" s="2" t="s">
        <v>831</v>
      </c>
      <c r="E33" s="77" t="s">
        <v>832</v>
      </c>
      <c r="F33" s="55" t="s">
        <v>835</v>
      </c>
      <c r="G33" s="73" t="s">
        <v>913</v>
      </c>
      <c r="H33" s="55" t="s">
        <v>1068</v>
      </c>
      <c r="I33" s="55"/>
      <c r="J33" s="78" t="s">
        <v>1138</v>
      </c>
      <c r="K33" s="36"/>
      <c r="L33" s="36"/>
    </row>
    <row r="34" spans="1:12" x14ac:dyDescent="0.25">
      <c r="A34" s="2" t="s">
        <v>1244</v>
      </c>
      <c r="B34" s="7" t="s">
        <v>1245</v>
      </c>
      <c r="C34" s="2" t="s">
        <v>831</v>
      </c>
      <c r="D34" s="2" t="s">
        <v>831</v>
      </c>
      <c r="E34" s="77" t="s">
        <v>832</v>
      </c>
      <c r="F34" s="55" t="s">
        <v>835</v>
      </c>
      <c r="G34" s="73" t="s">
        <v>1246</v>
      </c>
      <c r="H34" s="73" t="s">
        <v>1011</v>
      </c>
      <c r="I34" s="55"/>
      <c r="J34" s="78"/>
      <c r="K34" s="36"/>
      <c r="L34" s="36"/>
    </row>
    <row r="35" spans="1:12" x14ac:dyDescent="0.25">
      <c r="A35" s="2" t="s">
        <v>1247</v>
      </c>
      <c r="B35" s="7" t="s">
        <v>1248</v>
      </c>
      <c r="C35" s="2" t="s">
        <v>831</v>
      </c>
      <c r="D35" s="2" t="s">
        <v>831</v>
      </c>
      <c r="E35" s="77" t="s">
        <v>832</v>
      </c>
      <c r="F35" s="55" t="s">
        <v>832</v>
      </c>
      <c r="G35" s="55" t="s">
        <v>1207</v>
      </c>
      <c r="H35" s="55" t="s">
        <v>1249</v>
      </c>
      <c r="I35" s="55"/>
      <c r="J35" s="78"/>
      <c r="K35" s="36"/>
      <c r="L35" s="36"/>
    </row>
    <row r="36" spans="1:12" x14ac:dyDescent="0.25">
      <c r="A36" s="2" t="s">
        <v>1250</v>
      </c>
      <c r="B36" s="7" t="s">
        <v>1251</v>
      </c>
      <c r="C36" s="2" t="s">
        <v>831</v>
      </c>
      <c r="D36" s="2" t="s">
        <v>831</v>
      </c>
      <c r="E36" s="77" t="s">
        <v>832</v>
      </c>
      <c r="F36" s="55" t="s">
        <v>835</v>
      </c>
      <c r="G36" s="55" t="s">
        <v>1252</v>
      </c>
      <c r="H36" s="55"/>
      <c r="I36" s="55"/>
      <c r="J36" s="78"/>
      <c r="K36" s="36"/>
      <c r="L36" s="36"/>
    </row>
    <row r="37" spans="1:12" x14ac:dyDescent="0.25">
      <c r="A37" s="2" t="s">
        <v>1253</v>
      </c>
      <c r="B37" s="7" t="s">
        <v>1254</v>
      </c>
      <c r="C37" s="2" t="s">
        <v>831</v>
      </c>
      <c r="D37" s="2" t="s">
        <v>831</v>
      </c>
      <c r="E37" s="77" t="s">
        <v>832</v>
      </c>
      <c r="F37" s="55" t="s">
        <v>835</v>
      </c>
      <c r="G37" s="55" t="s">
        <v>846</v>
      </c>
      <c r="H37" s="55"/>
      <c r="I37" s="73" t="s">
        <v>1156</v>
      </c>
      <c r="J37" s="78"/>
      <c r="K37" s="36"/>
      <c r="L37" s="36"/>
    </row>
    <row r="38" spans="1:12" x14ac:dyDescent="0.25">
      <c r="A38" s="2" t="s">
        <v>1255</v>
      </c>
      <c r="B38" s="7" t="s">
        <v>1256</v>
      </c>
      <c r="C38" s="2" t="s">
        <v>831</v>
      </c>
      <c r="D38" s="2" t="s">
        <v>831</v>
      </c>
      <c r="E38" s="77" t="s">
        <v>832</v>
      </c>
      <c r="F38" s="55" t="s">
        <v>835</v>
      </c>
      <c r="G38" s="55" t="s">
        <v>945</v>
      </c>
      <c r="H38" s="55" t="s">
        <v>1006</v>
      </c>
      <c r="I38" s="55" t="s">
        <v>901</v>
      </c>
      <c r="J38" s="78"/>
      <c r="K38" s="36"/>
      <c r="L38" s="36"/>
    </row>
    <row r="39" spans="1:12" x14ac:dyDescent="0.25">
      <c r="A39" s="2" t="s">
        <v>1257</v>
      </c>
      <c r="B39" s="7" t="s">
        <v>1235</v>
      </c>
      <c r="C39" s="2" t="s">
        <v>831</v>
      </c>
      <c r="D39" s="2" t="s">
        <v>831</v>
      </c>
      <c r="E39" s="77" t="s">
        <v>832</v>
      </c>
      <c r="F39" s="55" t="s">
        <v>835</v>
      </c>
      <c r="G39" s="55" t="s">
        <v>1076</v>
      </c>
      <c r="H39" s="55" t="s">
        <v>871</v>
      </c>
      <c r="I39" s="55"/>
      <c r="J39" s="78"/>
      <c r="K39" s="36"/>
      <c r="L39" s="36"/>
    </row>
    <row r="40" spans="1:12" x14ac:dyDescent="0.25">
      <c r="A40" s="2" t="s">
        <v>427</v>
      </c>
      <c r="B40" s="7" t="s">
        <v>283</v>
      </c>
      <c r="C40" s="2" t="s">
        <v>831</v>
      </c>
      <c r="D40" s="2" t="s">
        <v>831</v>
      </c>
      <c r="E40" s="77" t="s">
        <v>832</v>
      </c>
      <c r="F40" s="55" t="s">
        <v>835</v>
      </c>
      <c r="G40" s="55" t="s">
        <v>1258</v>
      </c>
      <c r="H40" s="55" t="s">
        <v>1044</v>
      </c>
      <c r="I40" s="55"/>
      <c r="J40" s="78" t="s">
        <v>780</v>
      </c>
      <c r="K40" s="77" t="s">
        <v>1259</v>
      </c>
      <c r="L40" s="77"/>
    </row>
    <row r="41" spans="1:12" x14ac:dyDescent="0.25">
      <c r="A41" s="2" t="s">
        <v>429</v>
      </c>
      <c r="B41" s="7" t="s">
        <v>238</v>
      </c>
      <c r="C41" s="2" t="s">
        <v>831</v>
      </c>
      <c r="D41" s="2" t="s">
        <v>831</v>
      </c>
      <c r="E41" s="77" t="s">
        <v>832</v>
      </c>
      <c r="F41" s="55" t="s">
        <v>832</v>
      </c>
      <c r="G41" s="55" t="s">
        <v>1127</v>
      </c>
      <c r="H41" s="55" t="s">
        <v>905</v>
      </c>
      <c r="I41" s="55"/>
      <c r="J41" s="78"/>
      <c r="K41" s="77"/>
      <c r="L41" s="77"/>
    </row>
    <row r="42" spans="1:12" x14ac:dyDescent="0.25">
      <c r="A42" s="2" t="s">
        <v>1260</v>
      </c>
      <c r="B42" s="7" t="s">
        <v>539</v>
      </c>
      <c r="C42" s="2" t="s">
        <v>831</v>
      </c>
      <c r="D42" s="2" t="s">
        <v>831</v>
      </c>
      <c r="E42" s="77" t="s">
        <v>832</v>
      </c>
      <c r="F42" s="55" t="s">
        <v>832</v>
      </c>
      <c r="G42" s="75" t="s">
        <v>1261</v>
      </c>
      <c r="H42" s="55"/>
      <c r="I42" s="55"/>
      <c r="J42" s="78"/>
      <c r="K42" s="36"/>
      <c r="L42" s="36"/>
    </row>
    <row r="43" spans="1:12" x14ac:dyDescent="0.25">
      <c r="A43" s="2" t="s">
        <v>430</v>
      </c>
      <c r="B43" s="7" t="s">
        <v>288</v>
      </c>
      <c r="C43" s="2" t="s">
        <v>831</v>
      </c>
      <c r="D43" s="2" t="s">
        <v>831</v>
      </c>
      <c r="E43" s="77" t="s">
        <v>832</v>
      </c>
      <c r="F43" s="55" t="s">
        <v>832</v>
      </c>
      <c r="G43" s="55" t="s">
        <v>1131</v>
      </c>
      <c r="H43" s="55"/>
      <c r="I43" s="55"/>
      <c r="J43" s="78"/>
      <c r="K43" s="77"/>
      <c r="L43" s="77" t="s">
        <v>1262</v>
      </c>
    </row>
    <row r="44" spans="1:12" x14ac:dyDescent="0.25">
      <c r="A44" s="2" t="s">
        <v>1263</v>
      </c>
      <c r="B44" s="7" t="s">
        <v>542</v>
      </c>
      <c r="C44" s="2" t="s">
        <v>831</v>
      </c>
      <c r="D44" s="2" t="s">
        <v>831</v>
      </c>
      <c r="E44" s="77" t="s">
        <v>832</v>
      </c>
      <c r="F44" s="55" t="s">
        <v>835</v>
      </c>
      <c r="G44" s="55" t="s">
        <v>1264</v>
      </c>
      <c r="H44" s="73" t="s">
        <v>1020</v>
      </c>
      <c r="I44" s="74" t="s">
        <v>901</v>
      </c>
      <c r="J44" s="78"/>
      <c r="K44" s="36"/>
      <c r="L44" s="36"/>
    </row>
    <row r="45" spans="1:12" x14ac:dyDescent="0.25">
      <c r="A45" s="2" t="s">
        <v>1265</v>
      </c>
      <c r="B45" s="7" t="s">
        <v>1266</v>
      </c>
      <c r="C45" s="2" t="s">
        <v>831</v>
      </c>
      <c r="D45" s="2" t="s">
        <v>831</v>
      </c>
      <c r="E45" s="77" t="s">
        <v>832</v>
      </c>
      <c r="F45" s="55" t="s">
        <v>832</v>
      </c>
      <c r="G45" s="55" t="s">
        <v>913</v>
      </c>
      <c r="H45" s="55"/>
      <c r="I45" s="55"/>
      <c r="J45" s="78"/>
      <c r="K45" s="36"/>
      <c r="L45" s="36"/>
    </row>
    <row r="46" spans="1:12" x14ac:dyDescent="0.25">
      <c r="A46" s="2" t="s">
        <v>431</v>
      </c>
      <c r="B46" s="7" t="s">
        <v>234</v>
      </c>
      <c r="C46" s="2" t="s">
        <v>831</v>
      </c>
      <c r="D46" s="2" t="s">
        <v>831</v>
      </c>
      <c r="E46" s="77" t="s">
        <v>832</v>
      </c>
      <c r="F46" s="55" t="s">
        <v>835</v>
      </c>
      <c r="G46" s="55" t="s">
        <v>1231</v>
      </c>
      <c r="H46" s="55" t="s">
        <v>1011</v>
      </c>
      <c r="I46" s="55"/>
      <c r="J46" s="78"/>
      <c r="K46" s="77" t="s">
        <v>832</v>
      </c>
      <c r="L46" s="77" t="s">
        <v>1267</v>
      </c>
    </row>
    <row r="47" spans="1:12" x14ac:dyDescent="0.25">
      <c r="A47" s="2" t="s">
        <v>432</v>
      </c>
      <c r="B47" s="7" t="s">
        <v>248</v>
      </c>
      <c r="C47" s="2" t="s">
        <v>831</v>
      </c>
      <c r="D47" s="2" t="s">
        <v>831</v>
      </c>
      <c r="E47" s="77" t="s">
        <v>832</v>
      </c>
      <c r="F47" s="55" t="s">
        <v>835</v>
      </c>
      <c r="G47" s="55" t="s">
        <v>1268</v>
      </c>
      <c r="H47" s="55" t="s">
        <v>988</v>
      </c>
      <c r="I47" s="55"/>
      <c r="J47" s="78"/>
      <c r="K47" s="77"/>
      <c r="L47" s="77"/>
    </row>
    <row r="48" spans="1:12" x14ac:dyDescent="0.25">
      <c r="A48" s="2" t="s">
        <v>433</v>
      </c>
      <c r="B48" s="7" t="s">
        <v>222</v>
      </c>
      <c r="C48" s="2" t="s">
        <v>831</v>
      </c>
      <c r="D48" s="2" t="s">
        <v>831</v>
      </c>
      <c r="E48" s="77" t="s">
        <v>832</v>
      </c>
      <c r="F48" s="55" t="s">
        <v>835</v>
      </c>
      <c r="G48" s="55" t="s">
        <v>918</v>
      </c>
      <c r="H48" s="55"/>
      <c r="I48" s="55"/>
      <c r="J48" s="78"/>
      <c r="K48" s="77"/>
      <c r="L48" s="77"/>
    </row>
    <row r="49" spans="1:12" x14ac:dyDescent="0.25">
      <c r="A49" s="2" t="s">
        <v>1269</v>
      </c>
      <c r="B49" s="7" t="s">
        <v>1270</v>
      </c>
      <c r="C49" s="2" t="s">
        <v>831</v>
      </c>
      <c r="D49" s="2" t="s">
        <v>831</v>
      </c>
      <c r="E49" s="77" t="s">
        <v>832</v>
      </c>
      <c r="F49" s="55" t="s">
        <v>832</v>
      </c>
      <c r="G49" s="55" t="s">
        <v>864</v>
      </c>
      <c r="H49" s="55"/>
      <c r="I49" s="74" t="s">
        <v>887</v>
      </c>
      <c r="J49" s="78"/>
      <c r="K49" s="36"/>
      <c r="L49" s="36"/>
    </row>
    <row r="50" spans="1:12" x14ac:dyDescent="0.25">
      <c r="A50" s="2" t="s">
        <v>1271</v>
      </c>
      <c r="B50" s="7" t="s">
        <v>1272</v>
      </c>
      <c r="C50" s="2" t="s">
        <v>831</v>
      </c>
      <c r="D50" s="2" t="s">
        <v>831</v>
      </c>
      <c r="E50" s="77" t="s">
        <v>832</v>
      </c>
      <c r="F50" s="55" t="s">
        <v>832</v>
      </c>
      <c r="G50" s="55" t="s">
        <v>1175</v>
      </c>
      <c r="H50" s="55" t="s">
        <v>905</v>
      </c>
      <c r="I50" s="55"/>
      <c r="J50" s="78"/>
      <c r="K50" s="36"/>
      <c r="L50" s="36"/>
    </row>
    <row r="51" spans="1:12" x14ac:dyDescent="0.25">
      <c r="A51" s="2" t="s">
        <v>1273</v>
      </c>
      <c r="B51" s="7" t="s">
        <v>1274</v>
      </c>
      <c r="C51" s="2" t="s">
        <v>831</v>
      </c>
      <c r="D51" s="2" t="s">
        <v>831</v>
      </c>
      <c r="E51" s="77" t="s">
        <v>832</v>
      </c>
      <c r="F51" s="55" t="s">
        <v>835</v>
      </c>
      <c r="G51" s="73" t="s">
        <v>1040</v>
      </c>
      <c r="H51" s="74" t="s">
        <v>1275</v>
      </c>
      <c r="I51" s="55"/>
      <c r="J51" s="78"/>
      <c r="K51" s="36"/>
      <c r="L51" s="36"/>
    </row>
  </sheetData>
  <autoFilter ref="A1:L51" xr:uid="{00000000-0009-0000-0000-000007000000}"/>
  <conditionalFormatting sqref="C2:L51">
    <cfRule type="expression" dxfId="51" priority="5">
      <formula>UPPER(LEFT(C2&amp;"",1))="Y"</formula>
    </cfRule>
    <cfRule type="expression" dxfId="50" priority="6">
      <formula>AND(C2&lt;&gt;"",UPPER(LEFT(C2&amp;"",1))&lt;&gt;"Y")</formula>
    </cfRule>
    <cfRule type="expression" dxfId="49" priority="7">
      <formula>UPPER(TRIM(C2&amp;""))="Y"</formula>
    </cfRule>
    <cfRule type="expression" dxfId="48" priority="8">
      <formula>UPPER(TRIM(C2&amp;""))="H"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zoomScale="85" zoomScaleNormal="85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32.140625" bestFit="1" customWidth="1"/>
    <col min="2" max="2" width="11" customWidth="1"/>
    <col min="3" max="3" width="163.42578125" customWidth="1"/>
    <col min="4" max="4" width="24.85546875" customWidth="1"/>
    <col min="5" max="5" width="25" customWidth="1"/>
    <col min="6" max="6" width="18" customWidth="1"/>
  </cols>
  <sheetData>
    <row r="1" spans="1:4" x14ac:dyDescent="0.25">
      <c r="A1" s="1" t="s">
        <v>782</v>
      </c>
      <c r="B1" s="1" t="s">
        <v>161</v>
      </c>
      <c r="C1" s="1" t="s">
        <v>162</v>
      </c>
      <c r="D1" s="1" t="s">
        <v>1276</v>
      </c>
    </row>
    <row r="2" spans="1:4" x14ac:dyDescent="0.25">
      <c r="A2" s="17" t="s">
        <v>157</v>
      </c>
      <c r="B2" s="9" t="s">
        <v>745</v>
      </c>
      <c r="C2" s="7" t="s">
        <v>283</v>
      </c>
      <c r="D2" s="9" t="s">
        <v>832</v>
      </c>
    </row>
    <row r="3" spans="1:4" x14ac:dyDescent="0.25">
      <c r="A3" s="17" t="s">
        <v>157</v>
      </c>
      <c r="B3" s="9" t="s">
        <v>749</v>
      </c>
      <c r="C3" s="7" t="s">
        <v>216</v>
      </c>
      <c r="D3" s="9" t="s">
        <v>1224</v>
      </c>
    </row>
    <row r="4" spans="1:4" x14ac:dyDescent="0.25">
      <c r="A4" s="17" t="s">
        <v>157</v>
      </c>
      <c r="B4" s="9" t="s">
        <v>750</v>
      </c>
      <c r="C4" s="7" t="s">
        <v>230</v>
      </c>
      <c r="D4" s="9" t="s">
        <v>1224</v>
      </c>
    </row>
    <row r="5" spans="1:4" x14ac:dyDescent="0.25">
      <c r="A5" s="17" t="s">
        <v>157</v>
      </c>
      <c r="B5" s="9" t="s">
        <v>751</v>
      </c>
      <c r="C5" s="7" t="s">
        <v>267</v>
      </c>
      <c r="D5" s="9" t="s">
        <v>1224</v>
      </c>
    </row>
    <row r="6" spans="1:4" x14ac:dyDescent="0.25">
      <c r="A6" s="17" t="s">
        <v>157</v>
      </c>
      <c r="B6" s="9" t="s">
        <v>752</v>
      </c>
      <c r="C6" s="7" t="s">
        <v>244</v>
      </c>
      <c r="D6" s="9" t="s">
        <v>1224</v>
      </c>
    </row>
    <row r="7" spans="1:4" x14ac:dyDescent="0.25">
      <c r="A7" s="17" t="s">
        <v>157</v>
      </c>
      <c r="B7" s="9" t="s">
        <v>753</v>
      </c>
      <c r="C7" s="7" t="s">
        <v>248</v>
      </c>
      <c r="D7" s="9" t="s">
        <v>1224</v>
      </c>
    </row>
    <row r="8" spans="1:4" x14ac:dyDescent="0.25">
      <c r="A8" s="17" t="s">
        <v>157</v>
      </c>
      <c r="B8" s="9" t="s">
        <v>754</v>
      </c>
      <c r="C8" s="7" t="s">
        <v>222</v>
      </c>
      <c r="D8" s="9"/>
    </row>
    <row r="9" spans="1:4" ht="30" customHeight="1" x14ac:dyDescent="0.25">
      <c r="A9" s="17" t="s">
        <v>158</v>
      </c>
      <c r="B9" s="9" t="s">
        <v>1277</v>
      </c>
      <c r="C9" s="7" t="s">
        <v>1278</v>
      </c>
      <c r="D9" s="9"/>
    </row>
    <row r="10" spans="1:4" x14ac:dyDescent="0.25">
      <c r="A10" s="17" t="s">
        <v>154</v>
      </c>
      <c r="B10" s="9" t="s">
        <v>439</v>
      </c>
      <c r="C10" s="7" t="s">
        <v>391</v>
      </c>
      <c r="D10" s="9"/>
    </row>
    <row r="11" spans="1:4" x14ac:dyDescent="0.25">
      <c r="A11" s="17" t="s">
        <v>154</v>
      </c>
      <c r="B11" s="9" t="s">
        <v>449</v>
      </c>
      <c r="C11" s="7" t="s">
        <v>341</v>
      </c>
      <c r="D11" s="9"/>
    </row>
    <row r="12" spans="1:4" x14ac:dyDescent="0.25">
      <c r="A12" s="17" t="s">
        <v>154</v>
      </c>
      <c r="B12" s="9" t="s">
        <v>450</v>
      </c>
      <c r="C12" s="7" t="s">
        <v>384</v>
      </c>
      <c r="D12" s="9"/>
    </row>
    <row r="13" spans="1:4" x14ac:dyDescent="0.25">
      <c r="A13" s="17" t="s">
        <v>154</v>
      </c>
      <c r="B13" s="9" t="s">
        <v>451</v>
      </c>
      <c r="C13" s="7" t="s">
        <v>343</v>
      </c>
      <c r="D13" s="9"/>
    </row>
    <row r="14" spans="1:4" x14ac:dyDescent="0.25">
      <c r="A14" s="17" t="s">
        <v>154</v>
      </c>
      <c r="B14" s="9" t="s">
        <v>452</v>
      </c>
      <c r="C14" s="7" t="s">
        <v>337</v>
      </c>
      <c r="D14" s="9"/>
    </row>
    <row r="15" spans="1:4" x14ac:dyDescent="0.25">
      <c r="A15" s="17" t="s">
        <v>154</v>
      </c>
      <c r="B15" s="9" t="s">
        <v>453</v>
      </c>
      <c r="C15" s="7" t="s">
        <v>454</v>
      </c>
      <c r="D15" s="9"/>
    </row>
    <row r="16" spans="1:4" x14ac:dyDescent="0.25">
      <c r="A16" s="17" t="s">
        <v>154</v>
      </c>
      <c r="B16" s="9" t="s">
        <v>455</v>
      </c>
      <c r="C16" s="7" t="s">
        <v>387</v>
      </c>
      <c r="D16" s="9"/>
    </row>
    <row r="17" spans="1:4" x14ac:dyDescent="0.25">
      <c r="A17" s="17" t="s">
        <v>154</v>
      </c>
      <c r="B17" s="9" t="s">
        <v>456</v>
      </c>
      <c r="C17" s="7" t="s">
        <v>347</v>
      </c>
      <c r="D17" s="9"/>
    </row>
    <row r="18" spans="1:4" x14ac:dyDescent="0.25">
      <c r="A18" s="17" t="s">
        <v>154</v>
      </c>
      <c r="B18" s="9" t="s">
        <v>457</v>
      </c>
      <c r="C18" s="7" t="s">
        <v>458</v>
      </c>
      <c r="D18" s="9"/>
    </row>
    <row r="19" spans="1:4" x14ac:dyDescent="0.25">
      <c r="A19" s="17" t="s">
        <v>154</v>
      </c>
      <c r="B19" s="9" t="s">
        <v>440</v>
      </c>
      <c r="C19" s="7" t="s">
        <v>441</v>
      </c>
      <c r="D19" s="9"/>
    </row>
    <row r="20" spans="1:4" x14ac:dyDescent="0.25">
      <c r="A20" s="17" t="s">
        <v>154</v>
      </c>
      <c r="B20" s="9" t="s">
        <v>442</v>
      </c>
      <c r="C20" s="7" t="s">
        <v>389</v>
      </c>
      <c r="D20" s="9"/>
    </row>
    <row r="21" spans="1:4" x14ac:dyDescent="0.25">
      <c r="A21" s="17" t="s">
        <v>154</v>
      </c>
      <c r="B21" s="9" t="s">
        <v>443</v>
      </c>
      <c r="C21" s="7" t="s">
        <v>444</v>
      </c>
      <c r="D21" s="9"/>
    </row>
    <row r="22" spans="1:4" x14ac:dyDescent="0.25">
      <c r="A22" s="17" t="s">
        <v>154</v>
      </c>
      <c r="B22" s="9" t="s">
        <v>445</v>
      </c>
      <c r="C22" s="7" t="s">
        <v>446</v>
      </c>
      <c r="D22" s="9"/>
    </row>
    <row r="23" spans="1:4" x14ac:dyDescent="0.25">
      <c r="A23" s="17" t="s">
        <v>154</v>
      </c>
      <c r="B23" s="9" t="s">
        <v>447</v>
      </c>
      <c r="C23" s="7" t="s">
        <v>345</v>
      </c>
      <c r="D23" s="9"/>
    </row>
    <row r="24" spans="1:4" x14ac:dyDescent="0.25">
      <c r="A24" s="17" t="s">
        <v>154</v>
      </c>
      <c r="B24" s="9" t="s">
        <v>448</v>
      </c>
      <c r="C24" s="7" t="s">
        <v>339</v>
      </c>
      <c r="D24" s="9"/>
    </row>
  </sheetData>
  <autoFilter ref="A1:D24" xr:uid="{00000000-0009-0000-0000-000008000000}"/>
  <conditionalFormatting sqref="D2:D24">
    <cfRule type="expression" dxfId="47" priority="5">
      <formula>UPPER(LEFT(D2&amp;"",1))="Y"</formula>
    </cfRule>
    <cfRule type="expression" dxfId="46" priority="6">
      <formula>AND(D2&lt;&gt;"",UPPER(LEFT(D2&amp;"",1))&lt;&gt;"Y")</formula>
    </cfRule>
    <cfRule type="expression" dxfId="45" priority="7">
      <formula>UPPER(TRIM(D2&amp;""))="Y"</formula>
    </cfRule>
    <cfRule type="expression" dxfId="44" priority="8">
      <formula>UPPER(TRIM(D2&amp;""))="H"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6"/>
  <sheetViews>
    <sheetView showGridLines="0" workbookViewId="0">
      <pane ySplit="1" topLeftCell="A28" activePane="bottomLeft" state="frozen"/>
      <selection activeCell="D1" sqref="D1"/>
      <selection pane="bottomLeft" activeCell="E42" sqref="E42"/>
    </sheetView>
  </sheetViews>
  <sheetFormatPr defaultRowHeight="15" x14ac:dyDescent="0.25"/>
  <cols>
    <col min="1" max="1" width="15.7109375" bestFit="1" customWidth="1"/>
    <col min="2" max="2" width="11" bestFit="1" customWidth="1"/>
    <col min="3" max="3" width="21.5703125" bestFit="1" customWidth="1"/>
    <col min="4" max="6" width="25" customWidth="1"/>
  </cols>
  <sheetData>
    <row r="1" spans="1:6" ht="21.95" customHeight="1" x14ac:dyDescent="0.25">
      <c r="A1" s="1" t="s">
        <v>782</v>
      </c>
      <c r="B1" s="1" t="s">
        <v>161</v>
      </c>
      <c r="C1" s="1" t="s">
        <v>162</v>
      </c>
      <c r="D1" s="1" t="s">
        <v>60</v>
      </c>
      <c r="E1" s="1" t="s">
        <v>1279</v>
      </c>
      <c r="F1" s="1" t="s">
        <v>829</v>
      </c>
    </row>
    <row r="2" spans="1:6" x14ac:dyDescent="0.25">
      <c r="A2" s="4" t="s">
        <v>103</v>
      </c>
      <c r="B2" s="2" t="s">
        <v>681</v>
      </c>
      <c r="C2" s="7" t="s">
        <v>542</v>
      </c>
      <c r="D2" s="2" t="s">
        <v>831</v>
      </c>
      <c r="E2" s="2"/>
      <c r="F2" s="2"/>
    </row>
    <row r="3" spans="1:6" x14ac:dyDescent="0.25">
      <c r="A3" s="4" t="s">
        <v>103</v>
      </c>
      <c r="B3" s="2" t="s">
        <v>694</v>
      </c>
      <c r="C3" s="7" t="s">
        <v>695</v>
      </c>
      <c r="D3" s="2" t="s">
        <v>831</v>
      </c>
      <c r="E3" s="2"/>
      <c r="F3" s="2"/>
    </row>
    <row r="4" spans="1:6" x14ac:dyDescent="0.25">
      <c r="A4" s="4" t="s">
        <v>103</v>
      </c>
      <c r="B4" s="2" t="s">
        <v>696</v>
      </c>
      <c r="C4" s="7" t="s">
        <v>697</v>
      </c>
      <c r="D4" s="2" t="s">
        <v>831</v>
      </c>
      <c r="E4" s="18" t="s">
        <v>1280</v>
      </c>
      <c r="F4" s="2"/>
    </row>
    <row r="5" spans="1:6" x14ac:dyDescent="0.25">
      <c r="A5" s="4" t="s">
        <v>103</v>
      </c>
      <c r="B5" s="2" t="s">
        <v>698</v>
      </c>
      <c r="C5" s="7" t="s">
        <v>689</v>
      </c>
      <c r="D5" s="2" t="s">
        <v>831</v>
      </c>
      <c r="E5" s="2"/>
      <c r="F5" s="2"/>
    </row>
    <row r="6" spans="1:6" x14ac:dyDescent="0.25">
      <c r="A6" s="4" t="s">
        <v>103</v>
      </c>
      <c r="B6" s="2" t="s">
        <v>699</v>
      </c>
      <c r="C6" s="7" t="s">
        <v>687</v>
      </c>
      <c r="D6" s="2" t="s">
        <v>831</v>
      </c>
      <c r="E6" s="2"/>
      <c r="F6" s="2"/>
    </row>
    <row r="7" spans="1:6" x14ac:dyDescent="0.25">
      <c r="A7" s="4" t="s">
        <v>103</v>
      </c>
      <c r="B7" s="2" t="s">
        <v>700</v>
      </c>
      <c r="C7" s="7" t="s">
        <v>701</v>
      </c>
      <c r="D7" s="2" t="s">
        <v>831</v>
      </c>
      <c r="E7" s="2"/>
      <c r="F7" s="2"/>
    </row>
    <row r="8" spans="1:6" x14ac:dyDescent="0.25">
      <c r="A8" s="4" t="s">
        <v>103</v>
      </c>
      <c r="B8" s="2" t="s">
        <v>702</v>
      </c>
      <c r="C8" s="7" t="s">
        <v>703</v>
      </c>
      <c r="D8" s="2" t="s">
        <v>831</v>
      </c>
      <c r="E8" s="2"/>
      <c r="F8" s="2"/>
    </row>
    <row r="9" spans="1:6" x14ac:dyDescent="0.25">
      <c r="A9" s="4" t="s">
        <v>103</v>
      </c>
      <c r="B9" s="2" t="s">
        <v>704</v>
      </c>
      <c r="C9" s="7" t="s">
        <v>705</v>
      </c>
      <c r="D9" s="2" t="s">
        <v>831</v>
      </c>
      <c r="E9" s="2"/>
      <c r="F9" s="2"/>
    </row>
    <row r="10" spans="1:6" x14ac:dyDescent="0.25">
      <c r="A10" s="4" t="s">
        <v>103</v>
      </c>
      <c r="B10" s="2" t="s">
        <v>706</v>
      </c>
      <c r="C10" s="7" t="s">
        <v>707</v>
      </c>
      <c r="D10" s="2" t="s">
        <v>831</v>
      </c>
      <c r="E10" s="2"/>
      <c r="F10" s="2"/>
    </row>
    <row r="11" spans="1:6" x14ac:dyDescent="0.25">
      <c r="A11" s="4" t="s">
        <v>103</v>
      </c>
      <c r="B11" s="2" t="s">
        <v>682</v>
      </c>
      <c r="C11" s="7" t="s">
        <v>683</v>
      </c>
      <c r="D11" s="2" t="s">
        <v>831</v>
      </c>
      <c r="E11" s="2"/>
      <c r="F11" s="2"/>
    </row>
    <row r="12" spans="1:6" x14ac:dyDescent="0.25">
      <c r="A12" s="4" t="s">
        <v>103</v>
      </c>
      <c r="B12" s="2" t="s">
        <v>684</v>
      </c>
      <c r="C12" s="7" t="s">
        <v>685</v>
      </c>
      <c r="D12" s="2" t="s">
        <v>831</v>
      </c>
      <c r="E12" s="2"/>
      <c r="F12" s="2"/>
    </row>
    <row r="13" spans="1:6" x14ac:dyDescent="0.25">
      <c r="A13" s="4" t="s">
        <v>103</v>
      </c>
      <c r="B13" s="2" t="s">
        <v>686</v>
      </c>
      <c r="C13" s="7" t="s">
        <v>687</v>
      </c>
      <c r="D13" s="2" t="s">
        <v>831</v>
      </c>
      <c r="E13" s="2"/>
      <c r="F13" s="2"/>
    </row>
    <row r="14" spans="1:6" x14ac:dyDescent="0.25">
      <c r="A14" s="4" t="s">
        <v>103</v>
      </c>
      <c r="B14" s="2" t="s">
        <v>688</v>
      </c>
      <c r="C14" s="7" t="s">
        <v>689</v>
      </c>
      <c r="D14" s="2" t="s">
        <v>831</v>
      </c>
      <c r="E14" s="2"/>
      <c r="F14" s="2"/>
    </row>
    <row r="15" spans="1:6" x14ac:dyDescent="0.25">
      <c r="A15" s="4" t="s">
        <v>103</v>
      </c>
      <c r="B15" s="2" t="s">
        <v>690</v>
      </c>
      <c r="C15" s="7" t="s">
        <v>691</v>
      </c>
      <c r="D15" s="2" t="s">
        <v>831</v>
      </c>
      <c r="E15" s="2"/>
      <c r="F15" s="2"/>
    </row>
    <row r="16" spans="1:6" x14ac:dyDescent="0.25">
      <c r="A16" s="4" t="s">
        <v>103</v>
      </c>
      <c r="B16" s="2" t="s">
        <v>692</v>
      </c>
      <c r="C16" s="7" t="s">
        <v>693</v>
      </c>
      <c r="D16" s="2" t="s">
        <v>831</v>
      </c>
      <c r="E16" s="18" t="s">
        <v>1090</v>
      </c>
      <c r="F16" s="2"/>
    </row>
    <row r="17" spans="1:6" x14ac:dyDescent="0.25">
      <c r="A17" s="4" t="s">
        <v>107</v>
      </c>
      <c r="B17" s="2" t="s">
        <v>729</v>
      </c>
      <c r="C17" s="7" t="s">
        <v>337</v>
      </c>
      <c r="D17" s="2" t="s">
        <v>831</v>
      </c>
      <c r="E17" s="2"/>
      <c r="F17" s="2"/>
    </row>
    <row r="18" spans="1:6" x14ac:dyDescent="0.25">
      <c r="A18" s="4" t="s">
        <v>107</v>
      </c>
      <c r="B18" s="2" t="s">
        <v>736</v>
      </c>
      <c r="C18" s="7" t="s">
        <v>341</v>
      </c>
      <c r="D18" s="2" t="s">
        <v>831</v>
      </c>
      <c r="E18" s="2"/>
      <c r="F18" s="2"/>
    </row>
    <row r="19" spans="1:6" x14ac:dyDescent="0.25">
      <c r="A19" s="4" t="s">
        <v>107</v>
      </c>
      <c r="B19" s="2" t="s">
        <v>737</v>
      </c>
      <c r="C19" s="7" t="s">
        <v>384</v>
      </c>
      <c r="D19" s="2" t="s">
        <v>831</v>
      </c>
      <c r="E19" s="2"/>
      <c r="F19" s="2"/>
    </row>
    <row r="20" spans="1:6" x14ac:dyDescent="0.25">
      <c r="A20" s="4" t="s">
        <v>107</v>
      </c>
      <c r="B20" s="2" t="s">
        <v>738</v>
      </c>
      <c r="C20" s="7" t="s">
        <v>391</v>
      </c>
      <c r="D20" s="2" t="s">
        <v>831</v>
      </c>
      <c r="E20" s="2"/>
      <c r="F20" s="2"/>
    </row>
    <row r="21" spans="1:6" x14ac:dyDescent="0.25">
      <c r="A21" s="4" t="s">
        <v>107</v>
      </c>
      <c r="B21" s="2" t="s">
        <v>739</v>
      </c>
      <c r="C21" s="7" t="s">
        <v>345</v>
      </c>
      <c r="D21" s="2" t="s">
        <v>831</v>
      </c>
      <c r="E21" s="18" t="s">
        <v>1281</v>
      </c>
      <c r="F21" s="2"/>
    </row>
    <row r="22" spans="1:6" x14ac:dyDescent="0.25">
      <c r="A22" s="4" t="s">
        <v>107</v>
      </c>
      <c r="B22" s="2" t="s">
        <v>740</v>
      </c>
      <c r="C22" s="7" t="s">
        <v>516</v>
      </c>
      <c r="D22" s="2" t="s">
        <v>831</v>
      </c>
      <c r="E22" s="2"/>
      <c r="F22" s="2"/>
    </row>
    <row r="23" spans="1:6" x14ac:dyDescent="0.25">
      <c r="A23" s="4" t="s">
        <v>107</v>
      </c>
      <c r="B23" s="2" t="s">
        <v>741</v>
      </c>
      <c r="C23" s="7" t="s">
        <v>454</v>
      </c>
      <c r="D23" s="2" t="s">
        <v>831</v>
      </c>
      <c r="E23" s="2"/>
      <c r="F23" s="2"/>
    </row>
    <row r="24" spans="1:6" x14ac:dyDescent="0.25">
      <c r="A24" s="4" t="s">
        <v>107</v>
      </c>
      <c r="B24" s="2" t="s">
        <v>742</v>
      </c>
      <c r="C24" s="7" t="s">
        <v>444</v>
      </c>
      <c r="D24" s="2" t="s">
        <v>831</v>
      </c>
      <c r="E24" s="2"/>
      <c r="F24" s="2"/>
    </row>
    <row r="25" spans="1:6" x14ac:dyDescent="0.25">
      <c r="A25" s="4" t="s">
        <v>107</v>
      </c>
      <c r="B25" s="2" t="s">
        <v>743</v>
      </c>
      <c r="C25" s="7" t="s">
        <v>744</v>
      </c>
      <c r="D25" s="2" t="s">
        <v>831</v>
      </c>
      <c r="E25" s="2"/>
      <c r="F25" s="2"/>
    </row>
    <row r="26" spans="1:6" x14ac:dyDescent="0.25">
      <c r="A26" s="4" t="s">
        <v>107</v>
      </c>
      <c r="B26" s="2" t="s">
        <v>730</v>
      </c>
      <c r="C26" s="7" t="s">
        <v>446</v>
      </c>
      <c r="D26" s="2" t="s">
        <v>831</v>
      </c>
      <c r="E26" s="2"/>
      <c r="F26" s="2"/>
    </row>
    <row r="27" spans="1:6" x14ac:dyDescent="0.25">
      <c r="A27" s="4" t="s">
        <v>107</v>
      </c>
      <c r="B27" s="2" t="s">
        <v>731</v>
      </c>
      <c r="C27" s="7" t="s">
        <v>537</v>
      </c>
      <c r="D27" s="2" t="s">
        <v>831</v>
      </c>
      <c r="E27" s="2"/>
      <c r="F27" s="2"/>
    </row>
    <row r="28" spans="1:6" x14ac:dyDescent="0.25">
      <c r="A28" s="4" t="s">
        <v>107</v>
      </c>
      <c r="B28" s="2" t="s">
        <v>732</v>
      </c>
      <c r="C28" s="7" t="s">
        <v>343</v>
      </c>
      <c r="D28" s="2" t="s">
        <v>831</v>
      </c>
      <c r="E28" s="2"/>
      <c r="F28" s="2"/>
    </row>
    <row r="29" spans="1:6" x14ac:dyDescent="0.25">
      <c r="A29" s="4" t="s">
        <v>107</v>
      </c>
      <c r="B29" s="2" t="s">
        <v>733</v>
      </c>
      <c r="C29" s="7" t="s">
        <v>441</v>
      </c>
      <c r="D29" s="2" t="s">
        <v>831</v>
      </c>
      <c r="E29" s="2"/>
      <c r="F29" s="2"/>
    </row>
    <row r="30" spans="1:6" x14ac:dyDescent="0.25">
      <c r="A30" s="4" t="s">
        <v>107</v>
      </c>
      <c r="B30" s="2" t="s">
        <v>734</v>
      </c>
      <c r="C30" s="7" t="s">
        <v>387</v>
      </c>
      <c r="D30" s="2" t="s">
        <v>831</v>
      </c>
      <c r="E30" s="2"/>
      <c r="F30" s="2"/>
    </row>
    <row r="31" spans="1:6" x14ac:dyDescent="0.25">
      <c r="A31" s="4" t="s">
        <v>107</v>
      </c>
      <c r="B31" s="2" t="s">
        <v>735</v>
      </c>
      <c r="C31" s="7" t="s">
        <v>339</v>
      </c>
      <c r="D31" s="2" t="s">
        <v>831</v>
      </c>
      <c r="E31" s="2"/>
      <c r="F31" s="2"/>
    </row>
    <row r="32" spans="1:6" x14ac:dyDescent="0.25">
      <c r="A32" s="4" t="s">
        <v>105</v>
      </c>
      <c r="B32" s="2" t="s">
        <v>708</v>
      </c>
      <c r="C32" s="7" t="s">
        <v>709</v>
      </c>
      <c r="D32" s="2" t="s">
        <v>831</v>
      </c>
      <c r="E32" s="2"/>
      <c r="F32" s="2"/>
    </row>
    <row r="33" spans="1:6" x14ac:dyDescent="0.25">
      <c r="A33" s="4" t="s">
        <v>105</v>
      </c>
      <c r="B33" s="2" t="s">
        <v>720</v>
      </c>
      <c r="C33" s="7" t="s">
        <v>446</v>
      </c>
      <c r="D33" s="2" t="s">
        <v>831</v>
      </c>
      <c r="E33" s="2"/>
      <c r="F33" s="2"/>
    </row>
    <row r="34" spans="1:6" x14ac:dyDescent="0.25">
      <c r="A34" s="4" t="s">
        <v>105</v>
      </c>
      <c r="B34" s="2" t="s">
        <v>721</v>
      </c>
      <c r="C34" s="7" t="s">
        <v>444</v>
      </c>
      <c r="D34" s="2" t="s">
        <v>831</v>
      </c>
      <c r="E34" s="2"/>
      <c r="F34" s="2"/>
    </row>
    <row r="35" spans="1:6" x14ac:dyDescent="0.25">
      <c r="A35" s="4" t="s">
        <v>105</v>
      </c>
      <c r="B35" s="2" t="s">
        <v>722</v>
      </c>
      <c r="C35" s="7" t="s">
        <v>723</v>
      </c>
      <c r="D35" s="2" t="s">
        <v>831</v>
      </c>
      <c r="E35" s="2"/>
      <c r="F35" s="2"/>
    </row>
    <row r="36" spans="1:6" x14ac:dyDescent="0.25">
      <c r="A36" s="4" t="s">
        <v>105</v>
      </c>
      <c r="B36" s="2" t="s">
        <v>724</v>
      </c>
      <c r="C36" s="7" t="s">
        <v>352</v>
      </c>
      <c r="D36" s="2" t="s">
        <v>831</v>
      </c>
      <c r="E36" s="18"/>
      <c r="F36" s="2"/>
    </row>
    <row r="37" spans="1:6" x14ac:dyDescent="0.25">
      <c r="A37" s="4" t="s">
        <v>105</v>
      </c>
      <c r="B37" s="2" t="s">
        <v>725</v>
      </c>
      <c r="C37" s="7" t="s">
        <v>542</v>
      </c>
      <c r="D37" s="2" t="s">
        <v>831</v>
      </c>
      <c r="E37" s="2"/>
      <c r="F37" s="2"/>
    </row>
    <row r="38" spans="1:6" x14ac:dyDescent="0.25">
      <c r="A38" s="4" t="s">
        <v>105</v>
      </c>
      <c r="B38" s="2" t="s">
        <v>726</v>
      </c>
      <c r="C38" s="7" t="s">
        <v>352</v>
      </c>
      <c r="D38" s="2" t="s">
        <v>831</v>
      </c>
      <c r="E38" s="18" t="s">
        <v>1282</v>
      </c>
      <c r="F38" s="2"/>
    </row>
    <row r="39" spans="1:6" x14ac:dyDescent="0.25">
      <c r="A39" s="4" t="s">
        <v>105</v>
      </c>
      <c r="B39" s="2" t="s">
        <v>727</v>
      </c>
      <c r="C39" s="7" t="s">
        <v>537</v>
      </c>
      <c r="D39" s="2" t="s">
        <v>831</v>
      </c>
      <c r="E39" s="2"/>
      <c r="F39" s="2"/>
    </row>
    <row r="40" spans="1:6" x14ac:dyDescent="0.25">
      <c r="A40" s="4" t="s">
        <v>105</v>
      </c>
      <c r="B40" s="2" t="s">
        <v>728</v>
      </c>
      <c r="C40" s="7" t="s">
        <v>441</v>
      </c>
      <c r="D40" s="2" t="s">
        <v>831</v>
      </c>
      <c r="E40" s="2" t="s">
        <v>901</v>
      </c>
      <c r="F40" s="2"/>
    </row>
    <row r="41" spans="1:6" x14ac:dyDescent="0.25">
      <c r="A41" s="4" t="s">
        <v>105</v>
      </c>
      <c r="B41" s="2" t="s">
        <v>710</v>
      </c>
      <c r="C41" s="7" t="s">
        <v>458</v>
      </c>
      <c r="D41" s="2" t="s">
        <v>831</v>
      </c>
      <c r="E41" s="2"/>
      <c r="F41" s="2"/>
    </row>
    <row r="42" spans="1:6" x14ac:dyDescent="0.25">
      <c r="A42" s="4" t="s">
        <v>105</v>
      </c>
      <c r="B42" s="2" t="s">
        <v>711</v>
      </c>
      <c r="C42" s="7" t="s">
        <v>712</v>
      </c>
      <c r="D42" s="2" t="s">
        <v>831</v>
      </c>
      <c r="E42" s="18" t="s">
        <v>1282</v>
      </c>
      <c r="F42" s="2"/>
    </row>
    <row r="43" spans="1:6" x14ac:dyDescent="0.25">
      <c r="A43" s="4" t="s">
        <v>105</v>
      </c>
      <c r="B43" s="2" t="s">
        <v>713</v>
      </c>
      <c r="C43" s="7" t="s">
        <v>714</v>
      </c>
      <c r="D43" s="2" t="s">
        <v>831</v>
      </c>
      <c r="E43" s="18" t="s">
        <v>1087</v>
      </c>
      <c r="F43" s="2"/>
    </row>
    <row r="44" spans="1:6" x14ac:dyDescent="0.25">
      <c r="A44" s="4" t="s">
        <v>105</v>
      </c>
      <c r="B44" s="2" t="s">
        <v>715</v>
      </c>
      <c r="C44" s="7" t="s">
        <v>716</v>
      </c>
      <c r="D44" s="2" t="s">
        <v>831</v>
      </c>
      <c r="E44" s="2"/>
      <c r="F44" s="2"/>
    </row>
    <row r="45" spans="1:6" x14ac:dyDescent="0.25">
      <c r="A45" s="4" t="s">
        <v>105</v>
      </c>
      <c r="B45" s="2" t="s">
        <v>717</v>
      </c>
      <c r="C45" s="7" t="s">
        <v>718</v>
      </c>
      <c r="D45" s="2" t="s">
        <v>831</v>
      </c>
      <c r="E45" s="2" t="s">
        <v>887</v>
      </c>
      <c r="F45" s="2"/>
    </row>
    <row r="46" spans="1:6" x14ac:dyDescent="0.25">
      <c r="A46" s="4" t="s">
        <v>105</v>
      </c>
      <c r="B46" s="2" t="s">
        <v>719</v>
      </c>
      <c r="C46" s="7" t="s">
        <v>714</v>
      </c>
      <c r="D46" s="2" t="s">
        <v>831</v>
      </c>
      <c r="E46" s="2"/>
      <c r="F46" s="2"/>
    </row>
  </sheetData>
  <autoFilter ref="A1:F46" xr:uid="{00000000-0009-0000-0000-000009000000}"/>
  <conditionalFormatting sqref="D2:F46">
    <cfRule type="expression" dxfId="43" priority="5">
      <formula>UPPER(LEFT(D2&amp;"",1))="Y"</formula>
    </cfRule>
    <cfRule type="expression" dxfId="42" priority="6">
      <formula>AND(D2&lt;&gt;"",UPPER(LEFT(D2&amp;"",1))&lt;&gt;"Y")</formula>
    </cfRule>
    <cfRule type="expression" dxfId="41" priority="7">
      <formula>UPPER(TRIM(D2&amp;""))="Y"</formula>
    </cfRule>
    <cfRule type="expression" dxfId="40" priority="8">
      <formula>UPPER(TRIM(D2&amp;""))="H"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6"/>
  <sheetViews>
    <sheetView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9.5703125" bestFit="1" customWidth="1"/>
    <col min="2" max="2" width="11" bestFit="1" customWidth="1"/>
    <col min="3" max="3" width="34" bestFit="1" customWidth="1"/>
    <col min="4" max="4" width="13.7109375" bestFit="1" customWidth="1"/>
    <col min="5" max="5" width="25" customWidth="1"/>
  </cols>
  <sheetData>
    <row r="1" spans="1:5" ht="21.95" customHeight="1" x14ac:dyDescent="0.25">
      <c r="A1" s="1" t="s">
        <v>782</v>
      </c>
      <c r="B1" s="1" t="s">
        <v>161</v>
      </c>
      <c r="C1" s="1" t="s">
        <v>162</v>
      </c>
      <c r="D1" s="1" t="s">
        <v>771</v>
      </c>
      <c r="E1" s="1" t="s">
        <v>1276</v>
      </c>
    </row>
    <row r="2" spans="1:5" x14ac:dyDescent="0.25">
      <c r="A2" s="4" t="s">
        <v>25</v>
      </c>
      <c r="B2" s="2" t="s">
        <v>459</v>
      </c>
      <c r="C2" s="7" t="s">
        <v>460</v>
      </c>
      <c r="D2" s="2">
        <v>300</v>
      </c>
      <c r="E2" s="2" t="s">
        <v>832</v>
      </c>
    </row>
    <row r="3" spans="1:5" x14ac:dyDescent="0.25">
      <c r="A3" s="4" t="s">
        <v>25</v>
      </c>
      <c r="B3" s="2" t="s">
        <v>481</v>
      </c>
      <c r="C3" s="7" t="s">
        <v>482</v>
      </c>
      <c r="D3" s="2">
        <v>300</v>
      </c>
      <c r="E3" s="2" t="s">
        <v>832</v>
      </c>
    </row>
    <row r="4" spans="1:5" x14ac:dyDescent="0.25">
      <c r="A4" s="4" t="s">
        <v>25</v>
      </c>
      <c r="B4" s="2" t="s">
        <v>495</v>
      </c>
      <c r="C4" s="7" t="s">
        <v>496</v>
      </c>
      <c r="D4" s="2">
        <v>300</v>
      </c>
      <c r="E4" s="2" t="s">
        <v>832</v>
      </c>
    </row>
    <row r="5" spans="1:5" x14ac:dyDescent="0.25">
      <c r="A5" s="4" t="s">
        <v>25</v>
      </c>
      <c r="B5" s="2" t="s">
        <v>497</v>
      </c>
      <c r="C5" s="7" t="s">
        <v>498</v>
      </c>
      <c r="D5" s="2">
        <v>300</v>
      </c>
      <c r="E5" s="2" t="s">
        <v>832</v>
      </c>
    </row>
    <row r="6" spans="1:5" x14ac:dyDescent="0.25">
      <c r="A6" s="4" t="s">
        <v>25</v>
      </c>
      <c r="B6" s="2" t="s">
        <v>499</v>
      </c>
      <c r="C6" s="7" t="s">
        <v>500</v>
      </c>
      <c r="D6" s="2">
        <v>300</v>
      </c>
      <c r="E6" s="2" t="s">
        <v>832</v>
      </c>
    </row>
    <row r="7" spans="1:5" x14ac:dyDescent="0.25">
      <c r="A7" s="4" t="s">
        <v>25</v>
      </c>
      <c r="B7" s="2" t="s">
        <v>501</v>
      </c>
      <c r="C7" s="7" t="s">
        <v>502</v>
      </c>
      <c r="D7" s="2">
        <v>300</v>
      </c>
      <c r="E7" s="21" t="s">
        <v>835</v>
      </c>
    </row>
    <row r="8" spans="1:5" x14ac:dyDescent="0.25">
      <c r="A8" s="4" t="s">
        <v>25</v>
      </c>
      <c r="B8" s="2" t="s">
        <v>503</v>
      </c>
      <c r="C8" s="7" t="s">
        <v>504</v>
      </c>
      <c r="D8" s="2">
        <v>300</v>
      </c>
      <c r="E8" s="2" t="s">
        <v>832</v>
      </c>
    </row>
    <row r="9" spans="1:5" x14ac:dyDescent="0.25">
      <c r="A9" s="4" t="s">
        <v>25</v>
      </c>
      <c r="B9" s="2" t="s">
        <v>505</v>
      </c>
      <c r="C9" s="7" t="s">
        <v>506</v>
      </c>
      <c r="D9" s="2">
        <v>300</v>
      </c>
      <c r="E9" s="2" t="s">
        <v>832</v>
      </c>
    </row>
    <row r="10" spans="1:5" x14ac:dyDescent="0.25">
      <c r="A10" s="4" t="s">
        <v>25</v>
      </c>
      <c r="B10" s="2" t="s">
        <v>507</v>
      </c>
      <c r="C10" s="7" t="s">
        <v>508</v>
      </c>
      <c r="D10" s="2">
        <v>300</v>
      </c>
      <c r="E10" s="2" t="s">
        <v>832</v>
      </c>
    </row>
    <row r="11" spans="1:5" x14ac:dyDescent="0.25">
      <c r="A11" s="4" t="s">
        <v>25</v>
      </c>
      <c r="B11" s="2" t="s">
        <v>461</v>
      </c>
      <c r="C11" s="7" t="s">
        <v>462</v>
      </c>
      <c r="D11" s="2">
        <v>300</v>
      </c>
      <c r="E11" s="2" t="s">
        <v>835</v>
      </c>
    </row>
    <row r="12" spans="1:5" x14ac:dyDescent="0.25">
      <c r="A12" s="4" t="s">
        <v>25</v>
      </c>
      <c r="B12" s="2" t="s">
        <v>463</v>
      </c>
      <c r="C12" s="7" t="s">
        <v>464</v>
      </c>
      <c r="D12" s="2">
        <v>300</v>
      </c>
      <c r="E12" s="2" t="s">
        <v>832</v>
      </c>
    </row>
    <row r="13" spans="1:5" x14ac:dyDescent="0.25">
      <c r="A13" s="4" t="s">
        <v>25</v>
      </c>
      <c r="B13" s="2" t="s">
        <v>465</v>
      </c>
      <c r="C13" s="7" t="s">
        <v>466</v>
      </c>
      <c r="D13" s="2">
        <v>300</v>
      </c>
      <c r="E13" s="2" t="s">
        <v>835</v>
      </c>
    </row>
    <row r="14" spans="1:5" x14ac:dyDescent="0.25">
      <c r="A14" s="4" t="s">
        <v>25</v>
      </c>
      <c r="B14" s="2" t="s">
        <v>467</v>
      </c>
      <c r="C14" s="7" t="s">
        <v>468</v>
      </c>
      <c r="D14" s="2">
        <v>300</v>
      </c>
      <c r="E14" s="2" t="s">
        <v>832</v>
      </c>
    </row>
    <row r="15" spans="1:5" x14ac:dyDescent="0.25">
      <c r="A15" s="4" t="s">
        <v>25</v>
      </c>
      <c r="B15" s="2" t="s">
        <v>469</v>
      </c>
      <c r="C15" s="7" t="s">
        <v>470</v>
      </c>
      <c r="D15" s="2">
        <v>300</v>
      </c>
      <c r="E15" s="2" t="s">
        <v>832</v>
      </c>
    </row>
    <row r="16" spans="1:5" x14ac:dyDescent="0.25">
      <c r="A16" s="4" t="s">
        <v>25</v>
      </c>
      <c r="B16" s="2" t="s">
        <v>471</v>
      </c>
      <c r="C16" s="7" t="s">
        <v>472</v>
      </c>
      <c r="D16" s="2">
        <v>300</v>
      </c>
      <c r="E16" s="2" t="s">
        <v>835</v>
      </c>
    </row>
    <row r="17" spans="1:5" x14ac:dyDescent="0.25">
      <c r="A17" s="4" t="s">
        <v>25</v>
      </c>
      <c r="B17" s="2" t="s">
        <v>473</v>
      </c>
      <c r="C17" s="7" t="s">
        <v>474</v>
      </c>
      <c r="D17" s="2">
        <v>300</v>
      </c>
      <c r="E17" s="2" t="s">
        <v>835</v>
      </c>
    </row>
    <row r="18" spans="1:5" x14ac:dyDescent="0.25">
      <c r="A18" s="4" t="s">
        <v>25</v>
      </c>
      <c r="B18" s="2" t="s">
        <v>475</v>
      </c>
      <c r="C18" s="7" t="s">
        <v>476</v>
      </c>
      <c r="D18" s="2">
        <v>300</v>
      </c>
      <c r="E18" s="2" t="s">
        <v>832</v>
      </c>
    </row>
    <row r="19" spans="1:5" x14ac:dyDescent="0.25">
      <c r="A19" s="4" t="s">
        <v>25</v>
      </c>
      <c r="B19" s="2" t="s">
        <v>477</v>
      </c>
      <c r="C19" s="7" t="s">
        <v>478</v>
      </c>
      <c r="D19" s="2">
        <v>300</v>
      </c>
      <c r="E19" s="2" t="s">
        <v>832</v>
      </c>
    </row>
    <row r="20" spans="1:5" x14ac:dyDescent="0.25">
      <c r="A20" s="4" t="s">
        <v>25</v>
      </c>
      <c r="B20" s="2" t="s">
        <v>479</v>
      </c>
      <c r="C20" s="7" t="s">
        <v>480</v>
      </c>
      <c r="D20" s="2">
        <v>300</v>
      </c>
      <c r="E20" s="2" t="s">
        <v>832</v>
      </c>
    </row>
    <row r="21" spans="1:5" x14ac:dyDescent="0.25">
      <c r="A21" s="4" t="s">
        <v>25</v>
      </c>
      <c r="B21" s="2" t="s">
        <v>483</v>
      </c>
      <c r="C21" s="7" t="s">
        <v>484</v>
      </c>
      <c r="D21" s="2">
        <v>300</v>
      </c>
      <c r="E21" s="2" t="s">
        <v>832</v>
      </c>
    </row>
    <row r="22" spans="1:5" x14ac:dyDescent="0.25">
      <c r="A22" s="4" t="s">
        <v>25</v>
      </c>
      <c r="B22" s="2" t="s">
        <v>485</v>
      </c>
      <c r="C22" s="7" t="s">
        <v>486</v>
      </c>
      <c r="D22" s="2">
        <v>300</v>
      </c>
      <c r="E22" s="2" t="s">
        <v>832</v>
      </c>
    </row>
    <row r="23" spans="1:5" x14ac:dyDescent="0.25">
      <c r="A23" s="4" t="s">
        <v>25</v>
      </c>
      <c r="B23" s="2" t="s">
        <v>487</v>
      </c>
      <c r="C23" s="7" t="s">
        <v>488</v>
      </c>
      <c r="D23" s="2">
        <v>300</v>
      </c>
      <c r="E23" s="2" t="s">
        <v>832</v>
      </c>
    </row>
    <row r="24" spans="1:5" x14ac:dyDescent="0.25">
      <c r="A24" s="4" t="s">
        <v>25</v>
      </c>
      <c r="B24" s="2" t="s">
        <v>489</v>
      </c>
      <c r="C24" s="7" t="s">
        <v>490</v>
      </c>
      <c r="D24" s="2">
        <v>300</v>
      </c>
      <c r="E24" s="2" t="s">
        <v>832</v>
      </c>
    </row>
    <row r="25" spans="1:5" x14ac:dyDescent="0.25">
      <c r="A25" s="4" t="s">
        <v>25</v>
      </c>
      <c r="B25" s="2" t="s">
        <v>491</v>
      </c>
      <c r="C25" s="7" t="s">
        <v>492</v>
      </c>
      <c r="D25" s="2">
        <v>300</v>
      </c>
      <c r="E25" s="2" t="s">
        <v>832</v>
      </c>
    </row>
    <row r="26" spans="1:5" x14ac:dyDescent="0.25">
      <c r="A26" s="4" t="s">
        <v>25</v>
      </c>
      <c r="B26" s="2" t="s">
        <v>493</v>
      </c>
      <c r="C26" s="7" t="s">
        <v>494</v>
      </c>
      <c r="D26" s="2">
        <v>300</v>
      </c>
      <c r="E26" s="2" t="s">
        <v>835</v>
      </c>
    </row>
    <row r="27" spans="1:5" x14ac:dyDescent="0.25">
      <c r="A27" s="4"/>
      <c r="B27" s="2"/>
      <c r="C27" s="7"/>
      <c r="D27" s="2"/>
      <c r="E27" s="2"/>
    </row>
    <row r="28" spans="1:5" x14ac:dyDescent="0.25">
      <c r="A28" s="4"/>
      <c r="B28" s="2"/>
      <c r="C28" s="7"/>
      <c r="D28" s="2"/>
      <c r="E28" s="2"/>
    </row>
    <row r="29" spans="1:5" x14ac:dyDescent="0.25">
      <c r="A29" s="4"/>
      <c r="B29" s="2"/>
      <c r="C29" s="7"/>
      <c r="D29" s="2"/>
      <c r="E29" s="2"/>
    </row>
    <row r="30" spans="1:5" x14ac:dyDescent="0.25">
      <c r="A30" s="4"/>
      <c r="B30" s="2"/>
      <c r="C30" s="7"/>
      <c r="D30" s="2"/>
      <c r="E30" s="2"/>
    </row>
    <row r="31" spans="1:5" x14ac:dyDescent="0.25">
      <c r="A31" s="4"/>
      <c r="B31" s="2"/>
      <c r="C31" s="7"/>
      <c r="D31" s="2"/>
      <c r="E31" s="2"/>
    </row>
    <row r="32" spans="1:5" x14ac:dyDescent="0.25">
      <c r="A32" s="4"/>
      <c r="B32" s="2"/>
      <c r="C32" s="7"/>
      <c r="D32" s="2"/>
      <c r="E32" s="2"/>
    </row>
    <row r="33" spans="1:5" x14ac:dyDescent="0.25">
      <c r="A33" s="4"/>
      <c r="B33" s="2"/>
      <c r="C33" s="7"/>
      <c r="D33" s="2"/>
      <c r="E33" s="2"/>
    </row>
    <row r="34" spans="1:5" x14ac:dyDescent="0.25">
      <c r="A34" s="4"/>
      <c r="B34" s="2"/>
      <c r="C34" s="7"/>
      <c r="D34" s="2"/>
      <c r="E34" s="2"/>
    </row>
    <row r="35" spans="1:5" x14ac:dyDescent="0.25">
      <c r="A35" s="4"/>
      <c r="B35" s="2"/>
      <c r="C35" s="7"/>
      <c r="D35" s="2"/>
      <c r="E35" s="2"/>
    </row>
    <row r="36" spans="1:5" x14ac:dyDescent="0.25">
      <c r="A36" s="4"/>
      <c r="B36" s="2"/>
      <c r="C36" s="7"/>
      <c r="D36" s="2"/>
      <c r="E36" s="2"/>
    </row>
    <row r="37" spans="1:5" x14ac:dyDescent="0.25">
      <c r="A37" s="4"/>
      <c r="B37" s="2"/>
      <c r="C37" s="7"/>
      <c r="D37" s="2"/>
      <c r="E37" s="2"/>
    </row>
    <row r="38" spans="1:5" x14ac:dyDescent="0.25">
      <c r="A38" s="4"/>
      <c r="B38" s="2"/>
      <c r="C38" s="7"/>
      <c r="D38" s="2"/>
      <c r="E38" s="2"/>
    </row>
    <row r="39" spans="1:5" x14ac:dyDescent="0.25">
      <c r="A39" s="4"/>
      <c r="B39" s="2"/>
      <c r="C39" s="7"/>
      <c r="D39" s="2"/>
      <c r="E39" s="2"/>
    </row>
    <row r="40" spans="1:5" x14ac:dyDescent="0.25">
      <c r="A40" s="4"/>
      <c r="B40" s="2"/>
      <c r="C40" s="7"/>
      <c r="D40" s="2"/>
      <c r="E40" s="2"/>
    </row>
    <row r="41" spans="1:5" x14ac:dyDescent="0.25">
      <c r="A41" s="4"/>
      <c r="B41" s="2"/>
      <c r="C41" s="7"/>
      <c r="D41" s="2"/>
      <c r="E41" s="2"/>
    </row>
    <row r="42" spans="1:5" x14ac:dyDescent="0.25">
      <c r="A42" s="4"/>
      <c r="B42" s="2"/>
      <c r="C42" s="7"/>
      <c r="D42" s="2"/>
      <c r="E42" s="2"/>
    </row>
    <row r="43" spans="1:5" x14ac:dyDescent="0.25">
      <c r="A43" s="4"/>
      <c r="B43" s="2"/>
      <c r="C43" s="7"/>
      <c r="D43" s="2"/>
      <c r="E43" s="2"/>
    </row>
    <row r="44" spans="1:5" x14ac:dyDescent="0.25">
      <c r="A44" s="4"/>
      <c r="B44" s="2"/>
      <c r="C44" s="7"/>
      <c r="D44" s="2"/>
      <c r="E44" s="2"/>
    </row>
    <row r="45" spans="1:5" x14ac:dyDescent="0.25">
      <c r="A45" s="4"/>
      <c r="B45" s="2"/>
      <c r="C45" s="7"/>
      <c r="D45" s="2"/>
      <c r="E45" s="2"/>
    </row>
    <row r="46" spans="1:5" x14ac:dyDescent="0.25">
      <c r="A46" s="4"/>
      <c r="B46" s="2"/>
      <c r="C46" s="7"/>
      <c r="D46" s="2"/>
      <c r="E46" s="2"/>
    </row>
    <row r="47" spans="1:5" x14ac:dyDescent="0.25">
      <c r="A47" s="4"/>
      <c r="B47" s="2"/>
      <c r="C47" s="7"/>
      <c r="D47" s="2"/>
      <c r="E47" s="2"/>
    </row>
    <row r="48" spans="1:5" x14ac:dyDescent="0.25">
      <c r="A48" s="4"/>
      <c r="B48" s="2"/>
      <c r="C48" s="7"/>
      <c r="D48" s="2"/>
      <c r="E48" s="2"/>
    </row>
    <row r="49" spans="1:5" x14ac:dyDescent="0.25">
      <c r="A49" s="4"/>
      <c r="B49" s="2"/>
      <c r="C49" s="7"/>
      <c r="D49" s="2"/>
      <c r="E49" s="2"/>
    </row>
    <row r="50" spans="1:5" x14ac:dyDescent="0.25">
      <c r="A50" s="4"/>
      <c r="B50" s="2"/>
      <c r="C50" s="7"/>
      <c r="D50" s="2"/>
      <c r="E50" s="2"/>
    </row>
    <row r="51" spans="1:5" x14ac:dyDescent="0.25">
      <c r="A51" s="4"/>
      <c r="B51" s="2"/>
      <c r="C51" s="7"/>
      <c r="D51" s="2"/>
      <c r="E51" s="2"/>
    </row>
    <row r="52" spans="1:5" x14ac:dyDescent="0.25">
      <c r="A52" s="4"/>
      <c r="B52" s="2"/>
      <c r="C52" s="7"/>
      <c r="D52" s="2"/>
      <c r="E52" s="2"/>
    </row>
    <row r="53" spans="1:5" x14ac:dyDescent="0.25">
      <c r="A53" s="4"/>
      <c r="B53" s="2"/>
      <c r="C53" s="7"/>
      <c r="D53" s="2"/>
      <c r="E53" s="2"/>
    </row>
    <row r="54" spans="1:5" x14ac:dyDescent="0.25">
      <c r="A54" s="4"/>
      <c r="B54" s="2"/>
      <c r="C54" s="7"/>
      <c r="D54" s="2"/>
      <c r="E54" s="2"/>
    </row>
    <row r="55" spans="1:5" x14ac:dyDescent="0.25">
      <c r="A55" s="4"/>
      <c r="B55" s="2"/>
      <c r="C55" s="7"/>
      <c r="D55" s="2"/>
      <c r="E55" s="2"/>
    </row>
    <row r="56" spans="1:5" x14ac:dyDescent="0.25">
      <c r="A56" s="4"/>
      <c r="B56" s="2"/>
      <c r="C56" s="7"/>
      <c r="D56" s="2"/>
      <c r="E56" s="2"/>
    </row>
    <row r="57" spans="1:5" x14ac:dyDescent="0.25">
      <c r="A57" s="4"/>
      <c r="B57" s="2"/>
      <c r="C57" s="7"/>
      <c r="D57" s="2"/>
      <c r="E57" s="2"/>
    </row>
    <row r="58" spans="1:5" x14ac:dyDescent="0.25">
      <c r="A58" s="4"/>
      <c r="B58" s="2"/>
      <c r="C58" s="7"/>
      <c r="D58" s="2"/>
      <c r="E58" s="2"/>
    </row>
    <row r="59" spans="1:5" x14ac:dyDescent="0.25">
      <c r="A59" s="4"/>
      <c r="B59" s="2"/>
      <c r="C59" s="7"/>
      <c r="D59" s="2"/>
      <c r="E59" s="2"/>
    </row>
    <row r="60" spans="1:5" x14ac:dyDescent="0.25">
      <c r="A60" s="4"/>
      <c r="B60" s="2"/>
      <c r="C60" s="7"/>
      <c r="D60" s="2"/>
      <c r="E60" s="2"/>
    </row>
    <row r="61" spans="1:5" x14ac:dyDescent="0.25">
      <c r="A61" s="4"/>
      <c r="B61" s="2"/>
      <c r="C61" s="7"/>
      <c r="D61" s="2"/>
      <c r="E61" s="2"/>
    </row>
    <row r="62" spans="1:5" x14ac:dyDescent="0.25">
      <c r="A62" s="4"/>
      <c r="B62" s="2"/>
      <c r="C62" s="7"/>
      <c r="D62" s="2"/>
      <c r="E62" s="2"/>
    </row>
    <row r="63" spans="1:5" x14ac:dyDescent="0.25">
      <c r="A63" s="4"/>
      <c r="B63" s="2"/>
      <c r="C63" s="7"/>
      <c r="D63" s="2"/>
      <c r="E63" s="2"/>
    </row>
    <row r="64" spans="1:5" x14ac:dyDescent="0.25">
      <c r="A64" s="4"/>
      <c r="B64" s="2"/>
      <c r="C64" s="7"/>
      <c r="D64" s="2"/>
      <c r="E64" s="2"/>
    </row>
    <row r="65" spans="1:5" x14ac:dyDescent="0.25">
      <c r="A65" s="4"/>
      <c r="B65" s="2"/>
      <c r="C65" s="7"/>
      <c r="D65" s="2"/>
      <c r="E65" s="2"/>
    </row>
    <row r="66" spans="1:5" x14ac:dyDescent="0.25">
      <c r="A66" s="4"/>
      <c r="B66" s="2"/>
      <c r="C66" s="7"/>
      <c r="D66" s="2"/>
      <c r="E66" s="2"/>
    </row>
    <row r="67" spans="1:5" x14ac:dyDescent="0.25">
      <c r="A67" s="4"/>
      <c r="B67" s="2"/>
      <c r="C67" s="7"/>
      <c r="D67" s="2"/>
      <c r="E67" s="2"/>
    </row>
    <row r="68" spans="1:5" x14ac:dyDescent="0.25">
      <c r="A68" s="4"/>
      <c r="B68" s="2"/>
      <c r="C68" s="7"/>
      <c r="D68" s="2"/>
      <c r="E68" s="2"/>
    </row>
    <row r="69" spans="1:5" x14ac:dyDescent="0.25">
      <c r="A69" s="4"/>
      <c r="B69" s="2"/>
      <c r="C69" s="7"/>
      <c r="D69" s="2"/>
      <c r="E69" s="2"/>
    </row>
    <row r="70" spans="1:5" x14ac:dyDescent="0.25">
      <c r="A70" s="4"/>
      <c r="B70" s="2"/>
      <c r="C70" s="7"/>
      <c r="D70" s="2"/>
      <c r="E70" s="2"/>
    </row>
    <row r="71" spans="1:5" x14ac:dyDescent="0.25">
      <c r="A71" s="4"/>
      <c r="B71" s="2"/>
      <c r="C71" s="7"/>
      <c r="D71" s="2"/>
      <c r="E71" s="2"/>
    </row>
    <row r="72" spans="1:5" x14ac:dyDescent="0.25">
      <c r="A72" s="4"/>
      <c r="B72" s="2"/>
      <c r="C72" s="7"/>
      <c r="D72" s="2"/>
      <c r="E72" s="2"/>
    </row>
    <row r="73" spans="1:5" x14ac:dyDescent="0.25">
      <c r="A73" s="4"/>
      <c r="B73" s="2"/>
      <c r="C73" s="7"/>
      <c r="D73" s="2"/>
      <c r="E73" s="2"/>
    </row>
    <row r="74" spans="1:5" x14ac:dyDescent="0.25">
      <c r="A74" s="4"/>
      <c r="B74" s="2"/>
      <c r="C74" s="7"/>
      <c r="D74" s="2"/>
      <c r="E74" s="2"/>
    </row>
    <row r="75" spans="1:5" x14ac:dyDescent="0.25">
      <c r="A75" s="4"/>
      <c r="B75" s="2"/>
      <c r="C75" s="7"/>
      <c r="D75" s="2"/>
      <c r="E75" s="2"/>
    </row>
    <row r="76" spans="1:5" x14ac:dyDescent="0.25">
      <c r="A76" s="4"/>
      <c r="B76" s="2"/>
      <c r="C76" s="7"/>
      <c r="D76" s="2"/>
      <c r="E76" s="2"/>
    </row>
    <row r="77" spans="1:5" x14ac:dyDescent="0.25">
      <c r="A77" s="4"/>
      <c r="B77" s="2"/>
      <c r="C77" s="7"/>
      <c r="D77" s="2"/>
      <c r="E77" s="2"/>
    </row>
    <row r="78" spans="1:5" x14ac:dyDescent="0.25">
      <c r="A78" s="4"/>
      <c r="B78" s="2"/>
      <c r="C78" s="7"/>
      <c r="D78" s="2"/>
      <c r="E78" s="2"/>
    </row>
    <row r="79" spans="1:5" x14ac:dyDescent="0.25">
      <c r="A79" s="4"/>
      <c r="B79" s="2"/>
      <c r="C79" s="7"/>
      <c r="D79" s="2"/>
      <c r="E79" s="2"/>
    </row>
    <row r="80" spans="1:5" x14ac:dyDescent="0.25">
      <c r="A80" s="4"/>
      <c r="B80" s="2"/>
      <c r="C80" s="7"/>
      <c r="D80" s="2"/>
      <c r="E80" s="2"/>
    </row>
    <row r="81" spans="1:5" x14ac:dyDescent="0.25">
      <c r="A81" s="4"/>
      <c r="B81" s="2"/>
      <c r="C81" s="7"/>
      <c r="D81" s="2"/>
      <c r="E81" s="2"/>
    </row>
    <row r="82" spans="1:5" x14ac:dyDescent="0.25">
      <c r="A82" s="4"/>
      <c r="B82" s="2"/>
      <c r="C82" s="7"/>
      <c r="D82" s="2"/>
      <c r="E82" s="2"/>
    </row>
    <row r="83" spans="1:5" x14ac:dyDescent="0.25">
      <c r="A83" s="4"/>
      <c r="B83" s="2"/>
      <c r="C83" s="7"/>
      <c r="D83" s="2"/>
      <c r="E83" s="2"/>
    </row>
    <row r="84" spans="1:5" x14ac:dyDescent="0.25">
      <c r="A84" s="4"/>
      <c r="B84" s="2"/>
      <c r="C84" s="7"/>
      <c r="D84" s="2"/>
      <c r="E84" s="2"/>
    </row>
    <row r="85" spans="1:5" x14ac:dyDescent="0.25">
      <c r="A85" s="4"/>
      <c r="B85" s="2"/>
      <c r="C85" s="7"/>
      <c r="D85" s="2"/>
      <c r="E85" s="2"/>
    </row>
    <row r="86" spans="1:5" x14ac:dyDescent="0.25">
      <c r="A86" s="4"/>
      <c r="B86" s="2"/>
      <c r="C86" s="7"/>
      <c r="D86" s="2"/>
      <c r="E86" s="2"/>
    </row>
    <row r="87" spans="1:5" x14ac:dyDescent="0.25">
      <c r="A87" s="4"/>
      <c r="B87" s="2"/>
      <c r="C87" s="7"/>
      <c r="D87" s="2"/>
      <c r="E87" s="2"/>
    </row>
    <row r="88" spans="1:5" x14ac:dyDescent="0.25">
      <c r="A88" s="4"/>
      <c r="B88" s="2"/>
      <c r="C88" s="7"/>
      <c r="D88" s="2"/>
      <c r="E88" s="2"/>
    </row>
    <row r="89" spans="1:5" x14ac:dyDescent="0.25">
      <c r="A89" s="4"/>
      <c r="B89" s="2"/>
      <c r="C89" s="7"/>
      <c r="D89" s="2"/>
      <c r="E89" s="2"/>
    </row>
    <row r="90" spans="1:5" x14ac:dyDescent="0.25">
      <c r="A90" s="4"/>
      <c r="B90" s="2"/>
      <c r="C90" s="7"/>
      <c r="D90" s="2"/>
      <c r="E90" s="2"/>
    </row>
    <row r="91" spans="1:5" x14ac:dyDescent="0.25">
      <c r="A91" s="4"/>
      <c r="B91" s="2"/>
      <c r="C91" s="7"/>
      <c r="D91" s="2"/>
      <c r="E91" s="2"/>
    </row>
    <row r="92" spans="1:5" x14ac:dyDescent="0.25">
      <c r="A92" s="4"/>
      <c r="B92" s="2"/>
      <c r="C92" s="7"/>
      <c r="D92" s="2"/>
      <c r="E92" s="2"/>
    </row>
    <row r="93" spans="1:5" x14ac:dyDescent="0.25">
      <c r="A93" s="4"/>
      <c r="B93" s="2"/>
      <c r="C93" s="7"/>
      <c r="D93" s="2"/>
      <c r="E93" s="2"/>
    </row>
    <row r="94" spans="1:5" x14ac:dyDescent="0.25">
      <c r="A94" s="4"/>
      <c r="B94" s="2"/>
      <c r="C94" s="7"/>
      <c r="D94" s="2"/>
      <c r="E94" s="2"/>
    </row>
    <row r="95" spans="1:5" x14ac:dyDescent="0.25">
      <c r="A95" s="4"/>
      <c r="B95" s="2"/>
      <c r="C95" s="7"/>
      <c r="D95" s="2"/>
      <c r="E95" s="2"/>
    </row>
    <row r="96" spans="1:5" x14ac:dyDescent="0.25">
      <c r="A96" s="4"/>
      <c r="B96" s="2"/>
      <c r="C96" s="7"/>
      <c r="D96" s="2"/>
      <c r="E96" s="2"/>
    </row>
    <row r="97" spans="1:5" x14ac:dyDescent="0.25">
      <c r="A97" s="4"/>
      <c r="B97" s="2"/>
      <c r="C97" s="7"/>
      <c r="D97" s="2"/>
      <c r="E97" s="2"/>
    </row>
    <row r="98" spans="1:5" x14ac:dyDescent="0.25">
      <c r="A98" s="4"/>
      <c r="B98" s="2"/>
      <c r="C98" s="7"/>
      <c r="D98" s="2"/>
      <c r="E98" s="2"/>
    </row>
    <row r="99" spans="1:5" x14ac:dyDescent="0.25">
      <c r="A99" s="4"/>
      <c r="B99" s="2"/>
      <c r="C99" s="7"/>
      <c r="D99" s="2"/>
      <c r="E99" s="2"/>
    </row>
    <row r="100" spans="1:5" x14ac:dyDescent="0.25">
      <c r="A100" s="4"/>
      <c r="B100" s="2"/>
      <c r="C100" s="7"/>
      <c r="D100" s="2"/>
      <c r="E100" s="2"/>
    </row>
    <row r="101" spans="1:5" x14ac:dyDescent="0.25">
      <c r="A101" s="4"/>
      <c r="B101" s="2"/>
      <c r="C101" s="7"/>
      <c r="D101" s="2"/>
      <c r="E101" s="2"/>
    </row>
    <row r="102" spans="1:5" x14ac:dyDescent="0.25">
      <c r="A102" s="4"/>
      <c r="B102" s="2"/>
      <c r="C102" s="7"/>
      <c r="D102" s="2"/>
      <c r="E102" s="2"/>
    </row>
    <row r="103" spans="1:5" x14ac:dyDescent="0.25">
      <c r="A103" s="4"/>
      <c r="B103" s="2"/>
      <c r="C103" s="7"/>
      <c r="D103" s="2"/>
      <c r="E103" s="2"/>
    </row>
    <row r="104" spans="1:5" x14ac:dyDescent="0.25">
      <c r="A104" s="4"/>
      <c r="B104" s="2"/>
      <c r="C104" s="7"/>
      <c r="D104" s="2"/>
      <c r="E104" s="2"/>
    </row>
    <row r="105" spans="1:5" x14ac:dyDescent="0.25">
      <c r="A105" s="4"/>
      <c r="B105" s="2"/>
      <c r="C105" s="7"/>
      <c r="D105" s="2"/>
      <c r="E105" s="2"/>
    </row>
    <row r="106" spans="1:5" x14ac:dyDescent="0.25">
      <c r="A106" s="4"/>
      <c r="B106" s="2"/>
      <c r="C106" s="7"/>
      <c r="D106" s="2"/>
      <c r="E106" s="2"/>
    </row>
  </sheetData>
  <autoFilter ref="A1:E26" xr:uid="{00000000-0009-0000-0000-00000A000000}"/>
  <conditionalFormatting sqref="E2:E500">
    <cfRule type="expression" dxfId="39" priority="1">
      <formula>UPPER(LEFT(E2&amp;"",1))="Y"</formula>
    </cfRule>
    <cfRule type="expression" dxfId="38" priority="2">
      <formula>AND(E2&lt;&gt;"",UPPER(LEFT(E2&amp;"",1))&lt;&gt;"Y")</formula>
    </cfRule>
    <cfRule type="expression" dxfId="37" priority="3">
      <formula>UPPER(TRIM(E2&amp;""))="Y"</formula>
    </cfRule>
    <cfRule type="expression" dxfId="36" priority="4">
      <formula>UPPER(TRIM(E2&amp;""))="H"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6"/>
  <sheetViews>
    <sheetView workbookViewId="0">
      <pane ySplit="1" topLeftCell="A14" activePane="bottomLeft" state="frozen"/>
      <selection pane="bottomLeft" activeCell="E32" sqref="E32"/>
    </sheetView>
  </sheetViews>
  <sheetFormatPr defaultRowHeight="15" x14ac:dyDescent="0.25"/>
  <cols>
    <col min="1" max="1" width="27.5703125" customWidth="1"/>
    <col min="2" max="2" width="11" bestFit="1" customWidth="1"/>
    <col min="3" max="3" width="40.28515625" bestFit="1" customWidth="1"/>
    <col min="4" max="4" width="13.7109375" bestFit="1" customWidth="1"/>
    <col min="5" max="5" width="25" customWidth="1"/>
  </cols>
  <sheetData>
    <row r="1" spans="1:5" x14ac:dyDescent="0.25">
      <c r="A1" s="1" t="s">
        <v>782</v>
      </c>
      <c r="B1" s="1" t="s">
        <v>161</v>
      </c>
      <c r="C1" s="1" t="s">
        <v>162</v>
      </c>
      <c r="D1" s="1" t="s">
        <v>771</v>
      </c>
      <c r="E1" s="1" t="s">
        <v>1276</v>
      </c>
    </row>
    <row r="2" spans="1:5" x14ac:dyDescent="0.25">
      <c r="A2" s="4" t="s">
        <v>27</v>
      </c>
      <c r="B2" s="2" t="s">
        <v>1283</v>
      </c>
      <c r="C2" s="7" t="s">
        <v>554</v>
      </c>
      <c r="D2" s="2">
        <v>520</v>
      </c>
      <c r="E2" s="2" t="s">
        <v>835</v>
      </c>
    </row>
    <row r="3" spans="1:5" x14ac:dyDescent="0.25">
      <c r="A3" s="4" t="s">
        <v>27</v>
      </c>
      <c r="B3" s="2" t="s">
        <v>1284</v>
      </c>
      <c r="C3" s="7" t="s">
        <v>576</v>
      </c>
      <c r="D3" s="2">
        <v>520</v>
      </c>
      <c r="E3" s="2" t="s">
        <v>835</v>
      </c>
    </row>
    <row r="4" spans="1:5" x14ac:dyDescent="0.25">
      <c r="A4" s="4" t="s">
        <v>27</v>
      </c>
      <c r="B4" s="2" t="s">
        <v>1285</v>
      </c>
      <c r="C4" s="7" t="s">
        <v>598</v>
      </c>
      <c r="D4" s="2">
        <v>520</v>
      </c>
      <c r="E4" s="2" t="s">
        <v>1224</v>
      </c>
    </row>
    <row r="5" spans="1:5" x14ac:dyDescent="0.25">
      <c r="A5" s="4" t="s">
        <v>27</v>
      </c>
      <c r="B5" s="2" t="s">
        <v>1286</v>
      </c>
      <c r="C5" s="7" t="s">
        <v>602</v>
      </c>
      <c r="D5" s="2">
        <v>520</v>
      </c>
      <c r="E5" s="2" t="s">
        <v>835</v>
      </c>
    </row>
    <row r="6" spans="1:5" x14ac:dyDescent="0.25">
      <c r="A6" s="4" t="s">
        <v>27</v>
      </c>
      <c r="B6" s="2" t="s">
        <v>1287</v>
      </c>
      <c r="C6" s="7" t="s">
        <v>604</v>
      </c>
      <c r="D6" s="2">
        <v>520</v>
      </c>
      <c r="E6" s="2" t="s">
        <v>835</v>
      </c>
    </row>
    <row r="7" spans="1:5" x14ac:dyDescent="0.25">
      <c r="A7" s="4" t="s">
        <v>27</v>
      </c>
      <c r="B7" s="2" t="s">
        <v>1288</v>
      </c>
      <c r="C7" s="7" t="s">
        <v>606</v>
      </c>
      <c r="D7" s="2">
        <v>520</v>
      </c>
      <c r="E7" s="2" t="s">
        <v>835</v>
      </c>
    </row>
    <row r="8" spans="1:5" x14ac:dyDescent="0.25">
      <c r="A8" s="4" t="s">
        <v>27</v>
      </c>
      <c r="B8" s="2" t="s">
        <v>1289</v>
      </c>
      <c r="C8" s="7" t="s">
        <v>608</v>
      </c>
      <c r="D8" s="2">
        <v>520</v>
      </c>
      <c r="E8" s="2" t="s">
        <v>835</v>
      </c>
    </row>
    <row r="9" spans="1:5" x14ac:dyDescent="0.25">
      <c r="A9" s="4" t="s">
        <v>27</v>
      </c>
      <c r="B9" s="2" t="s">
        <v>1290</v>
      </c>
      <c r="C9" s="7" t="s">
        <v>610</v>
      </c>
      <c r="D9" s="2">
        <v>520</v>
      </c>
      <c r="E9" s="2" t="s">
        <v>835</v>
      </c>
    </row>
    <row r="10" spans="1:5" x14ac:dyDescent="0.25">
      <c r="A10" s="4" t="s">
        <v>27</v>
      </c>
      <c r="B10" s="2" t="s">
        <v>1291</v>
      </c>
      <c r="C10" s="7" t="s">
        <v>612</v>
      </c>
      <c r="D10" s="2">
        <v>520</v>
      </c>
      <c r="E10" s="2" t="s">
        <v>835</v>
      </c>
    </row>
    <row r="11" spans="1:5" ht="30" customHeight="1" x14ac:dyDescent="0.25">
      <c r="A11" s="4" t="s">
        <v>27</v>
      </c>
      <c r="B11" s="2" t="s">
        <v>555</v>
      </c>
      <c r="C11" s="7" t="s">
        <v>556</v>
      </c>
      <c r="D11" s="2">
        <v>520</v>
      </c>
      <c r="E11" s="2" t="s">
        <v>835</v>
      </c>
    </row>
    <row r="12" spans="1:5" x14ac:dyDescent="0.25">
      <c r="A12" s="4" t="s">
        <v>27</v>
      </c>
      <c r="B12" s="2" t="s">
        <v>557</v>
      </c>
      <c r="C12" s="7" t="s">
        <v>558</v>
      </c>
      <c r="D12" s="2">
        <v>520</v>
      </c>
      <c r="E12" s="2" t="s">
        <v>835</v>
      </c>
    </row>
    <row r="13" spans="1:5" x14ac:dyDescent="0.25">
      <c r="A13" s="4" t="s">
        <v>27</v>
      </c>
      <c r="B13" s="2" t="s">
        <v>559</v>
      </c>
      <c r="C13" s="7" t="s">
        <v>560</v>
      </c>
      <c r="D13" s="2">
        <v>520</v>
      </c>
      <c r="E13" s="2" t="s">
        <v>835</v>
      </c>
    </row>
    <row r="14" spans="1:5" x14ac:dyDescent="0.25">
      <c r="A14" s="4" t="s">
        <v>27</v>
      </c>
      <c r="B14" s="2" t="s">
        <v>561</v>
      </c>
      <c r="C14" s="7" t="s">
        <v>562</v>
      </c>
      <c r="D14" s="2">
        <v>520</v>
      </c>
      <c r="E14" s="2" t="s">
        <v>1224</v>
      </c>
    </row>
    <row r="15" spans="1:5" x14ac:dyDescent="0.25">
      <c r="A15" s="4" t="s">
        <v>27</v>
      </c>
      <c r="B15" s="2" t="s">
        <v>563</v>
      </c>
      <c r="C15" s="7" t="s">
        <v>564</v>
      </c>
      <c r="D15" s="2">
        <v>520</v>
      </c>
      <c r="E15" s="2" t="s">
        <v>835</v>
      </c>
    </row>
    <row r="16" spans="1:5" x14ac:dyDescent="0.25">
      <c r="A16" s="4" t="s">
        <v>27</v>
      </c>
      <c r="B16" s="2" t="s">
        <v>565</v>
      </c>
      <c r="C16" s="7" t="s">
        <v>566</v>
      </c>
      <c r="D16" s="2">
        <v>520</v>
      </c>
      <c r="E16" s="2" t="s">
        <v>835</v>
      </c>
    </row>
    <row r="17" spans="1:5" x14ac:dyDescent="0.25">
      <c r="A17" s="4" t="s">
        <v>27</v>
      </c>
      <c r="B17" s="2" t="s">
        <v>567</v>
      </c>
      <c r="C17" s="7" t="s">
        <v>568</v>
      </c>
      <c r="D17" s="2">
        <v>520</v>
      </c>
      <c r="E17" s="2" t="s">
        <v>1224</v>
      </c>
    </row>
    <row r="18" spans="1:5" x14ac:dyDescent="0.25">
      <c r="A18" s="4" t="s">
        <v>27</v>
      </c>
      <c r="B18" s="2" t="s">
        <v>569</v>
      </c>
      <c r="C18" s="7" t="s">
        <v>570</v>
      </c>
      <c r="D18" s="2">
        <v>520</v>
      </c>
      <c r="E18" s="2" t="s">
        <v>835</v>
      </c>
    </row>
    <row r="19" spans="1:5" x14ac:dyDescent="0.25">
      <c r="A19" s="4" t="s">
        <v>27</v>
      </c>
      <c r="B19" s="2" t="s">
        <v>571</v>
      </c>
      <c r="C19" s="7" t="s">
        <v>572</v>
      </c>
      <c r="D19" s="2">
        <v>520</v>
      </c>
      <c r="E19" s="2" t="s">
        <v>835</v>
      </c>
    </row>
    <row r="20" spans="1:5" x14ac:dyDescent="0.25">
      <c r="A20" s="4" t="s">
        <v>27</v>
      </c>
      <c r="B20" s="2" t="s">
        <v>573</v>
      </c>
      <c r="C20" s="7" t="s">
        <v>574</v>
      </c>
      <c r="D20" s="2">
        <v>520</v>
      </c>
      <c r="E20" s="2" t="s">
        <v>832</v>
      </c>
    </row>
    <row r="21" spans="1:5" x14ac:dyDescent="0.25">
      <c r="A21" s="4" t="s">
        <v>27</v>
      </c>
      <c r="B21" s="2" t="s">
        <v>577</v>
      </c>
      <c r="C21" s="7" t="s">
        <v>578</v>
      </c>
      <c r="D21" s="2">
        <v>520</v>
      </c>
      <c r="E21" s="2" t="s">
        <v>835</v>
      </c>
    </row>
    <row r="22" spans="1:5" x14ac:dyDescent="0.25">
      <c r="A22" s="4" t="s">
        <v>27</v>
      </c>
      <c r="B22" s="2" t="s">
        <v>579</v>
      </c>
      <c r="C22" s="7" t="s">
        <v>580</v>
      </c>
      <c r="D22" s="2">
        <v>520</v>
      </c>
      <c r="E22" s="2" t="s">
        <v>835</v>
      </c>
    </row>
    <row r="23" spans="1:5" x14ac:dyDescent="0.25">
      <c r="A23" s="4" t="s">
        <v>27</v>
      </c>
      <c r="B23" s="2" t="s">
        <v>581</v>
      </c>
      <c r="C23" s="7" t="s">
        <v>582</v>
      </c>
      <c r="D23" s="2">
        <v>520</v>
      </c>
      <c r="E23" s="2" t="s">
        <v>835</v>
      </c>
    </row>
    <row r="24" spans="1:5" x14ac:dyDescent="0.25">
      <c r="A24" s="4" t="s">
        <v>27</v>
      </c>
      <c r="B24" s="2" t="s">
        <v>583</v>
      </c>
      <c r="C24" s="7" t="s">
        <v>584</v>
      </c>
      <c r="D24" s="2">
        <v>520</v>
      </c>
      <c r="E24" s="2" t="s">
        <v>1224</v>
      </c>
    </row>
    <row r="25" spans="1:5" x14ac:dyDescent="0.25">
      <c r="A25" s="4" t="s">
        <v>27</v>
      </c>
      <c r="B25" s="2" t="s">
        <v>585</v>
      </c>
      <c r="C25" s="7" t="s">
        <v>586</v>
      </c>
      <c r="D25" s="2">
        <v>520</v>
      </c>
      <c r="E25" s="2" t="s">
        <v>835</v>
      </c>
    </row>
    <row r="26" spans="1:5" x14ac:dyDescent="0.25">
      <c r="A26" s="4" t="s">
        <v>27</v>
      </c>
      <c r="B26" s="2" t="s">
        <v>587</v>
      </c>
      <c r="C26" s="7" t="s">
        <v>588</v>
      </c>
      <c r="D26" s="2">
        <v>520</v>
      </c>
      <c r="E26" s="2" t="s">
        <v>835</v>
      </c>
    </row>
    <row r="27" spans="1:5" x14ac:dyDescent="0.25">
      <c r="A27" s="4" t="s">
        <v>27</v>
      </c>
      <c r="B27" s="2" t="s">
        <v>589</v>
      </c>
      <c r="C27" s="7" t="s">
        <v>590</v>
      </c>
      <c r="D27" s="2">
        <v>520</v>
      </c>
      <c r="E27" s="2" t="s">
        <v>835</v>
      </c>
    </row>
    <row r="28" spans="1:5" x14ac:dyDescent="0.25">
      <c r="A28" s="4" t="s">
        <v>27</v>
      </c>
      <c r="B28" s="2" t="s">
        <v>591</v>
      </c>
      <c r="C28" s="7" t="s">
        <v>592</v>
      </c>
      <c r="D28" s="2">
        <v>520</v>
      </c>
      <c r="E28" s="2" t="s">
        <v>1224</v>
      </c>
    </row>
    <row r="29" spans="1:5" x14ac:dyDescent="0.25">
      <c r="A29" s="4" t="s">
        <v>27</v>
      </c>
      <c r="B29" s="2" t="s">
        <v>593</v>
      </c>
      <c r="C29" s="7" t="s">
        <v>594</v>
      </c>
      <c r="D29" s="2">
        <v>520</v>
      </c>
      <c r="E29" s="2" t="s">
        <v>835</v>
      </c>
    </row>
    <row r="30" spans="1:5" x14ac:dyDescent="0.25">
      <c r="A30" s="4" t="s">
        <v>27</v>
      </c>
      <c r="B30" s="2" t="s">
        <v>595</v>
      </c>
      <c r="C30" s="7" t="s">
        <v>596</v>
      </c>
      <c r="D30" s="2">
        <v>520</v>
      </c>
      <c r="E30" s="2" t="s">
        <v>835</v>
      </c>
    </row>
    <row r="31" spans="1:5" x14ac:dyDescent="0.25">
      <c r="A31" s="4" t="s">
        <v>27</v>
      </c>
      <c r="B31" s="2" t="s">
        <v>599</v>
      </c>
      <c r="C31" s="7" t="s">
        <v>600</v>
      </c>
      <c r="D31" s="2">
        <v>520</v>
      </c>
      <c r="E31" s="2" t="s">
        <v>835</v>
      </c>
    </row>
    <row r="32" spans="1:5" x14ac:dyDescent="0.25">
      <c r="A32" s="4" t="s">
        <v>88</v>
      </c>
      <c r="B32" s="2" t="s">
        <v>1292</v>
      </c>
      <c r="C32" s="7" t="s">
        <v>317</v>
      </c>
      <c r="D32" s="2">
        <v>104</v>
      </c>
      <c r="E32" s="2" t="s">
        <v>835</v>
      </c>
    </row>
    <row r="33" spans="1:5" x14ac:dyDescent="0.25">
      <c r="A33" s="4" t="s">
        <v>88</v>
      </c>
      <c r="B33" s="2" t="s">
        <v>1293</v>
      </c>
      <c r="C33" s="7" t="s">
        <v>321</v>
      </c>
      <c r="D33" s="2">
        <v>104</v>
      </c>
      <c r="E33" s="2" t="s">
        <v>832</v>
      </c>
    </row>
    <row r="34" spans="1:5" x14ac:dyDescent="0.25">
      <c r="A34" s="4" t="s">
        <v>88</v>
      </c>
      <c r="B34" s="2" t="s">
        <v>1294</v>
      </c>
      <c r="C34" s="7" t="s">
        <v>323</v>
      </c>
      <c r="D34" s="2">
        <v>104</v>
      </c>
      <c r="E34" s="2" t="s">
        <v>835</v>
      </c>
    </row>
    <row r="35" spans="1:5" x14ac:dyDescent="0.25">
      <c r="A35" s="4" t="s">
        <v>88</v>
      </c>
      <c r="B35" s="2" t="s">
        <v>1295</v>
      </c>
      <c r="C35" s="7" t="s">
        <v>325</v>
      </c>
      <c r="D35" s="2">
        <v>104</v>
      </c>
      <c r="E35" s="2"/>
    </row>
    <row r="36" spans="1:5" x14ac:dyDescent="0.25">
      <c r="A36" s="4" t="s">
        <v>88</v>
      </c>
      <c r="B36" s="2" t="s">
        <v>1296</v>
      </c>
      <c r="C36" s="7" t="s">
        <v>327</v>
      </c>
      <c r="D36" s="2">
        <v>104</v>
      </c>
      <c r="E36" s="2"/>
    </row>
    <row r="37" spans="1:5" x14ac:dyDescent="0.25">
      <c r="A37" s="4" t="s">
        <v>88</v>
      </c>
      <c r="B37" s="2" t="s">
        <v>1297</v>
      </c>
      <c r="C37" s="7" t="s">
        <v>329</v>
      </c>
      <c r="D37" s="2">
        <v>104</v>
      </c>
      <c r="E37" s="2" t="s">
        <v>1224</v>
      </c>
    </row>
    <row r="38" spans="1:5" x14ac:dyDescent="0.25">
      <c r="A38" s="4" t="s">
        <v>88</v>
      </c>
      <c r="B38" s="2" t="s">
        <v>1298</v>
      </c>
      <c r="C38" s="7" t="s">
        <v>331</v>
      </c>
      <c r="D38" s="2">
        <v>104</v>
      </c>
      <c r="E38" s="2"/>
    </row>
    <row r="39" spans="1:5" x14ac:dyDescent="0.25">
      <c r="A39" s="4" t="s">
        <v>88</v>
      </c>
      <c r="B39" s="2" t="s">
        <v>1299</v>
      </c>
      <c r="C39" s="7" t="s">
        <v>333</v>
      </c>
      <c r="D39" s="2">
        <v>104</v>
      </c>
      <c r="E39" s="2" t="s">
        <v>835</v>
      </c>
    </row>
    <row r="40" spans="1:5" x14ac:dyDescent="0.25">
      <c r="A40" s="4" t="s">
        <v>88</v>
      </c>
      <c r="B40" s="2" t="s">
        <v>1300</v>
      </c>
      <c r="C40" s="7" t="s">
        <v>335</v>
      </c>
      <c r="D40" s="2">
        <v>104</v>
      </c>
      <c r="E40" s="2" t="s">
        <v>1224</v>
      </c>
    </row>
    <row r="41" spans="1:5" x14ac:dyDescent="0.25">
      <c r="A41" s="4" t="s">
        <v>88</v>
      </c>
      <c r="B41" s="2" t="s">
        <v>318</v>
      </c>
      <c r="C41" s="7" t="s">
        <v>319</v>
      </c>
      <c r="D41" s="2">
        <v>104</v>
      </c>
      <c r="E41" s="2" t="s">
        <v>835</v>
      </c>
    </row>
    <row r="42" spans="1:5" x14ac:dyDescent="0.25">
      <c r="A42" s="4"/>
      <c r="B42" s="2"/>
      <c r="C42" s="7"/>
      <c r="D42" s="2"/>
      <c r="E42" s="2"/>
    </row>
    <row r="43" spans="1:5" x14ac:dyDescent="0.25">
      <c r="A43" s="4"/>
      <c r="B43" s="2"/>
      <c r="C43" s="7"/>
      <c r="D43" s="2"/>
      <c r="E43" s="2"/>
    </row>
    <row r="44" spans="1:5" x14ac:dyDescent="0.25">
      <c r="A44" s="4"/>
      <c r="B44" s="2"/>
      <c r="C44" s="7"/>
      <c r="D44" s="2"/>
      <c r="E44" s="2"/>
    </row>
    <row r="45" spans="1:5" x14ac:dyDescent="0.25">
      <c r="A45" s="4"/>
      <c r="B45" s="2"/>
      <c r="C45" s="7"/>
      <c r="D45" s="2"/>
      <c r="E45" s="2"/>
    </row>
    <row r="46" spans="1:5" x14ac:dyDescent="0.25">
      <c r="A46" s="4"/>
      <c r="B46" s="2"/>
      <c r="C46" s="7"/>
      <c r="D46" s="2"/>
      <c r="E46" s="2"/>
    </row>
    <row r="47" spans="1:5" x14ac:dyDescent="0.25">
      <c r="A47" s="4"/>
      <c r="B47" s="2"/>
      <c r="C47" s="7"/>
      <c r="D47" s="2"/>
      <c r="E47" s="2"/>
    </row>
    <row r="48" spans="1:5" x14ac:dyDescent="0.25">
      <c r="A48" s="4"/>
      <c r="B48" s="2"/>
      <c r="C48" s="7"/>
      <c r="D48" s="2"/>
      <c r="E48" s="2"/>
    </row>
    <row r="49" spans="1:5" x14ac:dyDescent="0.25">
      <c r="A49" s="4"/>
      <c r="B49" s="2"/>
      <c r="C49" s="7"/>
      <c r="D49" s="2"/>
      <c r="E49" s="2"/>
    </row>
    <row r="50" spans="1:5" x14ac:dyDescent="0.25">
      <c r="A50" s="4"/>
      <c r="B50" s="2"/>
      <c r="C50" s="7"/>
      <c r="D50" s="2"/>
      <c r="E50" s="2"/>
    </row>
    <row r="51" spans="1:5" x14ac:dyDescent="0.25">
      <c r="A51" s="4"/>
      <c r="B51" s="2"/>
      <c r="C51" s="7"/>
      <c r="D51" s="2"/>
      <c r="E51" s="2"/>
    </row>
    <row r="52" spans="1:5" x14ac:dyDescent="0.25">
      <c r="A52" s="4"/>
      <c r="B52" s="2"/>
      <c r="C52" s="7"/>
      <c r="D52" s="2"/>
      <c r="E52" s="2"/>
    </row>
    <row r="53" spans="1:5" x14ac:dyDescent="0.25">
      <c r="A53" s="4"/>
      <c r="B53" s="2"/>
      <c r="C53" s="7"/>
      <c r="D53" s="2"/>
      <c r="E53" s="2"/>
    </row>
    <row r="54" spans="1:5" x14ac:dyDescent="0.25">
      <c r="A54" s="4"/>
      <c r="B54" s="2"/>
      <c r="C54" s="7"/>
      <c r="D54" s="2"/>
      <c r="E54" s="2"/>
    </row>
    <row r="55" spans="1:5" x14ac:dyDescent="0.25">
      <c r="A55" s="4"/>
      <c r="B55" s="2"/>
      <c r="C55" s="7"/>
      <c r="D55" s="2"/>
      <c r="E55" s="2"/>
    </row>
    <row r="56" spans="1:5" x14ac:dyDescent="0.25">
      <c r="A56" s="4"/>
      <c r="B56" s="2"/>
      <c r="C56" s="7"/>
      <c r="D56" s="2"/>
      <c r="E56" s="2"/>
    </row>
    <row r="57" spans="1:5" x14ac:dyDescent="0.25">
      <c r="A57" s="4"/>
      <c r="B57" s="2"/>
      <c r="C57" s="7"/>
      <c r="D57" s="2"/>
      <c r="E57" s="2"/>
    </row>
    <row r="58" spans="1:5" x14ac:dyDescent="0.25">
      <c r="A58" s="4"/>
      <c r="B58" s="2"/>
      <c r="C58" s="7"/>
      <c r="D58" s="2"/>
      <c r="E58" s="2"/>
    </row>
    <row r="59" spans="1:5" x14ac:dyDescent="0.25">
      <c r="A59" s="4"/>
      <c r="B59" s="2"/>
      <c r="C59" s="7"/>
      <c r="D59" s="2"/>
      <c r="E59" s="2"/>
    </row>
    <row r="60" spans="1:5" x14ac:dyDescent="0.25">
      <c r="A60" s="4"/>
      <c r="B60" s="2"/>
      <c r="C60" s="7"/>
      <c r="D60" s="2"/>
      <c r="E60" s="2"/>
    </row>
    <row r="61" spans="1:5" x14ac:dyDescent="0.25">
      <c r="A61" s="4"/>
      <c r="B61" s="2"/>
      <c r="C61" s="7"/>
      <c r="D61" s="2"/>
      <c r="E61" s="2"/>
    </row>
    <row r="62" spans="1:5" x14ac:dyDescent="0.25">
      <c r="A62" s="4"/>
      <c r="B62" s="2"/>
      <c r="C62" s="7"/>
      <c r="D62" s="2"/>
      <c r="E62" s="2"/>
    </row>
    <row r="63" spans="1:5" x14ac:dyDescent="0.25">
      <c r="A63" s="4"/>
      <c r="B63" s="2"/>
      <c r="C63" s="7"/>
      <c r="D63" s="2"/>
      <c r="E63" s="2"/>
    </row>
    <row r="64" spans="1:5" x14ac:dyDescent="0.25">
      <c r="A64" s="4"/>
      <c r="B64" s="2"/>
      <c r="C64" s="7"/>
      <c r="D64" s="2"/>
      <c r="E64" s="2"/>
    </row>
    <row r="65" spans="1:5" x14ac:dyDescent="0.25">
      <c r="A65" s="4"/>
      <c r="B65" s="2"/>
      <c r="C65" s="7"/>
      <c r="D65" s="2"/>
      <c r="E65" s="2"/>
    </row>
    <row r="66" spans="1:5" x14ac:dyDescent="0.25">
      <c r="A66" s="4"/>
      <c r="B66" s="2"/>
      <c r="C66" s="7"/>
      <c r="D66" s="2"/>
      <c r="E66" s="2"/>
    </row>
    <row r="67" spans="1:5" x14ac:dyDescent="0.25">
      <c r="A67" s="4"/>
      <c r="B67" s="2"/>
      <c r="C67" s="7"/>
      <c r="D67" s="2"/>
      <c r="E67" s="2"/>
    </row>
    <row r="68" spans="1:5" x14ac:dyDescent="0.25">
      <c r="A68" s="4"/>
      <c r="B68" s="2"/>
      <c r="C68" s="7"/>
      <c r="D68" s="2"/>
      <c r="E68" s="2"/>
    </row>
    <row r="69" spans="1:5" x14ac:dyDescent="0.25">
      <c r="A69" s="4"/>
      <c r="B69" s="2"/>
      <c r="C69" s="7"/>
      <c r="D69" s="2"/>
      <c r="E69" s="2"/>
    </row>
    <row r="70" spans="1:5" x14ac:dyDescent="0.25">
      <c r="A70" s="4"/>
      <c r="B70" s="2"/>
      <c r="C70" s="7"/>
      <c r="D70" s="2"/>
      <c r="E70" s="2"/>
    </row>
    <row r="71" spans="1:5" x14ac:dyDescent="0.25">
      <c r="A71" s="4"/>
      <c r="B71" s="2"/>
      <c r="C71" s="7"/>
      <c r="D71" s="2"/>
      <c r="E71" s="2"/>
    </row>
    <row r="72" spans="1:5" x14ac:dyDescent="0.25">
      <c r="A72" s="4"/>
      <c r="B72" s="2"/>
      <c r="C72" s="7"/>
      <c r="D72" s="2"/>
      <c r="E72" s="2"/>
    </row>
    <row r="73" spans="1:5" x14ac:dyDescent="0.25">
      <c r="A73" s="4"/>
      <c r="B73" s="2"/>
      <c r="C73" s="7"/>
      <c r="D73" s="2"/>
      <c r="E73" s="2"/>
    </row>
    <row r="74" spans="1:5" x14ac:dyDescent="0.25">
      <c r="A74" s="4"/>
      <c r="B74" s="2"/>
      <c r="C74" s="7"/>
      <c r="D74" s="2"/>
      <c r="E74" s="2"/>
    </row>
    <row r="75" spans="1:5" x14ac:dyDescent="0.25">
      <c r="A75" s="4"/>
      <c r="B75" s="2"/>
      <c r="C75" s="7"/>
      <c r="D75" s="2"/>
      <c r="E75" s="2"/>
    </row>
    <row r="76" spans="1:5" x14ac:dyDescent="0.25">
      <c r="A76" s="4"/>
      <c r="B76" s="2"/>
      <c r="C76" s="7"/>
      <c r="D76" s="2"/>
      <c r="E76" s="2"/>
    </row>
    <row r="77" spans="1:5" x14ac:dyDescent="0.25">
      <c r="A77" s="4"/>
      <c r="B77" s="2"/>
      <c r="C77" s="7"/>
      <c r="D77" s="2"/>
      <c r="E77" s="2"/>
    </row>
    <row r="78" spans="1:5" x14ac:dyDescent="0.25">
      <c r="A78" s="4"/>
      <c r="B78" s="2"/>
      <c r="C78" s="7"/>
      <c r="D78" s="2"/>
      <c r="E78" s="2"/>
    </row>
    <row r="79" spans="1:5" x14ac:dyDescent="0.25">
      <c r="A79" s="4"/>
      <c r="B79" s="2"/>
      <c r="C79" s="7"/>
      <c r="D79" s="2"/>
      <c r="E79" s="2"/>
    </row>
    <row r="80" spans="1:5" x14ac:dyDescent="0.25">
      <c r="A80" s="4"/>
      <c r="B80" s="2"/>
      <c r="C80" s="7"/>
      <c r="D80" s="2"/>
      <c r="E80" s="2"/>
    </row>
    <row r="81" spans="1:5" x14ac:dyDescent="0.25">
      <c r="A81" s="4"/>
      <c r="B81" s="2"/>
      <c r="C81" s="7"/>
      <c r="D81" s="2"/>
      <c r="E81" s="2"/>
    </row>
    <row r="82" spans="1:5" x14ac:dyDescent="0.25">
      <c r="A82" s="4"/>
      <c r="B82" s="2"/>
      <c r="C82" s="7"/>
      <c r="D82" s="2"/>
      <c r="E82" s="2"/>
    </row>
    <row r="83" spans="1:5" x14ac:dyDescent="0.25">
      <c r="A83" s="4"/>
      <c r="B83" s="2"/>
      <c r="C83" s="7"/>
      <c r="D83" s="2"/>
      <c r="E83" s="2"/>
    </row>
    <row r="84" spans="1:5" x14ac:dyDescent="0.25">
      <c r="A84" s="4"/>
      <c r="B84" s="2"/>
      <c r="C84" s="7"/>
      <c r="D84" s="2"/>
      <c r="E84" s="2"/>
    </row>
    <row r="85" spans="1:5" x14ac:dyDescent="0.25">
      <c r="A85" s="4"/>
      <c r="B85" s="2"/>
      <c r="C85" s="7"/>
      <c r="D85" s="2"/>
      <c r="E85" s="2"/>
    </row>
    <row r="86" spans="1:5" x14ac:dyDescent="0.25">
      <c r="A86" s="4"/>
      <c r="B86" s="2"/>
      <c r="C86" s="7"/>
      <c r="D86" s="2"/>
      <c r="E86" s="2"/>
    </row>
    <row r="87" spans="1:5" x14ac:dyDescent="0.25">
      <c r="A87" s="4"/>
      <c r="B87" s="2"/>
      <c r="C87" s="7"/>
      <c r="D87" s="2"/>
      <c r="E87" s="2"/>
    </row>
    <row r="88" spans="1:5" x14ac:dyDescent="0.25">
      <c r="A88" s="4"/>
      <c r="B88" s="2"/>
      <c r="C88" s="7"/>
      <c r="D88" s="2"/>
      <c r="E88" s="2"/>
    </row>
    <row r="89" spans="1:5" x14ac:dyDescent="0.25">
      <c r="A89" s="4"/>
      <c r="B89" s="2"/>
      <c r="C89" s="7"/>
      <c r="D89" s="2"/>
      <c r="E89" s="2"/>
    </row>
    <row r="90" spans="1:5" x14ac:dyDescent="0.25">
      <c r="A90" s="4"/>
      <c r="B90" s="2"/>
      <c r="C90" s="7"/>
      <c r="D90" s="2"/>
      <c r="E90" s="2"/>
    </row>
    <row r="91" spans="1:5" x14ac:dyDescent="0.25">
      <c r="A91" s="4"/>
      <c r="B91" s="2"/>
      <c r="C91" s="7"/>
      <c r="D91" s="2"/>
      <c r="E91" s="2"/>
    </row>
    <row r="92" spans="1:5" x14ac:dyDescent="0.25">
      <c r="A92" s="4"/>
      <c r="B92" s="2"/>
      <c r="C92" s="7"/>
      <c r="D92" s="2"/>
      <c r="E92" s="2"/>
    </row>
    <row r="93" spans="1:5" x14ac:dyDescent="0.25">
      <c r="A93" s="4"/>
      <c r="B93" s="2"/>
      <c r="C93" s="7"/>
      <c r="D93" s="2"/>
      <c r="E93" s="2"/>
    </row>
    <row r="94" spans="1:5" x14ac:dyDescent="0.25">
      <c r="A94" s="4"/>
      <c r="B94" s="2"/>
      <c r="C94" s="7"/>
      <c r="D94" s="2"/>
      <c r="E94" s="2"/>
    </row>
    <row r="95" spans="1:5" x14ac:dyDescent="0.25">
      <c r="A95" s="4"/>
      <c r="B95" s="2"/>
      <c r="C95" s="7"/>
      <c r="D95" s="2"/>
      <c r="E95" s="2"/>
    </row>
    <row r="96" spans="1:5" x14ac:dyDescent="0.25">
      <c r="A96" s="4"/>
      <c r="B96" s="2"/>
      <c r="C96" s="7"/>
      <c r="D96" s="2"/>
      <c r="E96" s="2"/>
    </row>
    <row r="97" spans="1:5" x14ac:dyDescent="0.25">
      <c r="A97" s="4"/>
      <c r="B97" s="2"/>
      <c r="C97" s="7"/>
      <c r="D97" s="2"/>
      <c r="E97" s="2"/>
    </row>
    <row r="98" spans="1:5" x14ac:dyDescent="0.25">
      <c r="A98" s="4"/>
      <c r="B98" s="2"/>
      <c r="C98" s="7"/>
      <c r="D98" s="2"/>
      <c r="E98" s="2"/>
    </row>
    <row r="99" spans="1:5" x14ac:dyDescent="0.25">
      <c r="A99" s="4"/>
      <c r="B99" s="2"/>
      <c r="C99" s="7"/>
      <c r="D99" s="2"/>
      <c r="E99" s="2"/>
    </row>
    <row r="100" spans="1:5" x14ac:dyDescent="0.25">
      <c r="A100" s="4"/>
      <c r="B100" s="2"/>
      <c r="C100" s="7"/>
      <c r="D100" s="2"/>
      <c r="E100" s="2"/>
    </row>
    <row r="101" spans="1:5" x14ac:dyDescent="0.25">
      <c r="A101" s="4"/>
      <c r="B101" s="2"/>
      <c r="C101" s="7"/>
      <c r="D101" s="2"/>
      <c r="E101" s="2"/>
    </row>
    <row r="102" spans="1:5" x14ac:dyDescent="0.25">
      <c r="A102" s="4"/>
      <c r="B102" s="2"/>
      <c r="C102" s="7"/>
      <c r="D102" s="2"/>
      <c r="E102" s="2"/>
    </row>
    <row r="103" spans="1:5" x14ac:dyDescent="0.25">
      <c r="A103" s="4"/>
      <c r="B103" s="2"/>
      <c r="C103" s="7"/>
      <c r="D103" s="2"/>
      <c r="E103" s="2"/>
    </row>
    <row r="104" spans="1:5" x14ac:dyDescent="0.25">
      <c r="A104" s="4"/>
      <c r="B104" s="2"/>
      <c r="C104" s="7"/>
      <c r="D104" s="2"/>
      <c r="E104" s="2"/>
    </row>
    <row r="105" spans="1:5" x14ac:dyDescent="0.25">
      <c r="A105" s="4"/>
      <c r="B105" s="2"/>
      <c r="C105" s="7"/>
      <c r="D105" s="2"/>
      <c r="E105" s="2"/>
    </row>
    <row r="106" spans="1:5" x14ac:dyDescent="0.25">
      <c r="A106" s="4"/>
      <c r="B106" s="2"/>
      <c r="C106" s="7"/>
      <c r="D106" s="2"/>
      <c r="E106" s="2"/>
    </row>
  </sheetData>
  <autoFilter ref="A1:E41" xr:uid="{00000000-0009-0000-0000-00000B000000}">
    <sortState xmlns:xlrd2="http://schemas.microsoft.com/office/spreadsheetml/2017/richdata2" ref="A2:E41">
      <sortCondition ref="B1:B41"/>
    </sortState>
  </autoFilter>
  <conditionalFormatting sqref="E2:E500">
    <cfRule type="expression" dxfId="35" priority="1">
      <formula>UPPER(LEFT(E2&amp;"",1))="Y"</formula>
    </cfRule>
    <cfRule type="expression" dxfId="34" priority="2">
      <formula>AND(E2&lt;&gt;"",UPPER(LEFT(E2&amp;"",1))&lt;&gt;"Y")</formula>
    </cfRule>
    <cfRule type="expression" dxfId="33" priority="3">
      <formula>UPPER(TRIM(E2&amp;""))="Y"</formula>
    </cfRule>
    <cfRule type="expression" dxfId="32" priority="4">
      <formula>UPPER(TRIM(E2&amp;""))="H"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1" bestFit="1" customWidth="1"/>
    <col min="2" max="2" width="25.7109375" customWidth="1"/>
    <col min="3" max="3" width="33.7109375" bestFit="1" customWidth="1"/>
    <col min="4" max="4" width="36" bestFit="1" customWidth="1"/>
    <col min="5" max="6" width="25" customWidth="1"/>
  </cols>
  <sheetData>
    <row r="1" spans="1:6" ht="30" customHeight="1" x14ac:dyDescent="0.25">
      <c r="A1" s="1" t="s">
        <v>161</v>
      </c>
      <c r="B1" s="1" t="s">
        <v>1301</v>
      </c>
      <c r="C1" s="1" t="s">
        <v>1302</v>
      </c>
      <c r="D1" s="1" t="s">
        <v>1303</v>
      </c>
      <c r="E1" s="1" t="s">
        <v>1304</v>
      </c>
      <c r="F1" s="1" t="s">
        <v>1305</v>
      </c>
    </row>
    <row r="2" spans="1:6" x14ac:dyDescent="0.25">
      <c r="A2" s="9" t="s">
        <v>439</v>
      </c>
      <c r="B2" s="7" t="s">
        <v>391</v>
      </c>
      <c r="C2" s="9" t="s">
        <v>835</v>
      </c>
      <c r="D2" s="7" t="s">
        <v>263</v>
      </c>
      <c r="E2" s="9"/>
      <c r="F2" s="9"/>
    </row>
    <row r="3" spans="1:6" x14ac:dyDescent="0.25">
      <c r="A3" s="9" t="s">
        <v>449</v>
      </c>
      <c r="B3" s="7" t="s">
        <v>341</v>
      </c>
      <c r="C3" s="9" t="s">
        <v>832</v>
      </c>
      <c r="D3" s="7" t="s">
        <v>248</v>
      </c>
      <c r="E3" s="9"/>
      <c r="F3" s="9"/>
    </row>
    <row r="4" spans="1:6" x14ac:dyDescent="0.25">
      <c r="A4" s="9" t="s">
        <v>450</v>
      </c>
      <c r="B4" s="7" t="s">
        <v>384</v>
      </c>
      <c r="C4" s="9" t="s">
        <v>832</v>
      </c>
      <c r="D4" s="7" t="s">
        <v>274</v>
      </c>
      <c r="E4" s="34"/>
      <c r="F4" s="34"/>
    </row>
    <row r="5" spans="1:6" x14ac:dyDescent="0.25">
      <c r="A5" s="9" t="s">
        <v>451</v>
      </c>
      <c r="B5" s="7" t="s">
        <v>343</v>
      </c>
      <c r="C5" s="9" t="s">
        <v>835</v>
      </c>
      <c r="D5" s="7" t="s">
        <v>267</v>
      </c>
      <c r="E5" s="9"/>
      <c r="F5" s="9"/>
    </row>
    <row r="6" spans="1:6" x14ac:dyDescent="0.25">
      <c r="A6" s="9" t="s">
        <v>452</v>
      </c>
      <c r="B6" s="7" t="s">
        <v>337</v>
      </c>
      <c r="C6" s="9"/>
      <c r="D6" s="7" t="s">
        <v>222</v>
      </c>
      <c r="E6" s="9"/>
      <c r="F6" s="9"/>
    </row>
    <row r="7" spans="1:6" x14ac:dyDescent="0.25">
      <c r="A7" s="9" t="s">
        <v>453</v>
      </c>
      <c r="B7" s="7" t="s">
        <v>454</v>
      </c>
      <c r="C7" s="22" t="s">
        <v>835</v>
      </c>
      <c r="D7" s="7" t="s">
        <v>230</v>
      </c>
      <c r="E7" s="9"/>
      <c r="F7" s="9"/>
    </row>
    <row r="8" spans="1:6" x14ac:dyDescent="0.25">
      <c r="A8" s="9" t="s">
        <v>455</v>
      </c>
      <c r="B8" s="7" t="s">
        <v>387</v>
      </c>
      <c r="C8" s="9" t="s">
        <v>835</v>
      </c>
      <c r="D8" s="7" t="s">
        <v>238</v>
      </c>
      <c r="E8" s="9" t="s">
        <v>1306</v>
      </c>
      <c r="F8" s="9"/>
    </row>
    <row r="9" spans="1:6" x14ac:dyDescent="0.25">
      <c r="A9" s="9" t="s">
        <v>456</v>
      </c>
      <c r="B9" s="7" t="s">
        <v>347</v>
      </c>
      <c r="C9" s="9" t="s">
        <v>835</v>
      </c>
      <c r="D9" s="7" t="s">
        <v>270</v>
      </c>
      <c r="E9" s="9"/>
      <c r="F9" s="9"/>
    </row>
    <row r="10" spans="1:6" x14ac:dyDescent="0.25">
      <c r="A10" s="9" t="s">
        <v>457</v>
      </c>
      <c r="B10" s="7" t="s">
        <v>458</v>
      </c>
      <c r="C10" s="9" t="s">
        <v>832</v>
      </c>
      <c r="D10" s="7" t="s">
        <v>224</v>
      </c>
      <c r="E10" s="9" t="s">
        <v>1307</v>
      </c>
      <c r="F10" s="9"/>
    </row>
    <row r="11" spans="1:6" x14ac:dyDescent="0.25">
      <c r="A11" s="9" t="s">
        <v>440</v>
      </c>
      <c r="B11" s="7" t="s">
        <v>441</v>
      </c>
      <c r="C11" s="9" t="s">
        <v>835</v>
      </c>
      <c r="D11" s="7" t="s">
        <v>301</v>
      </c>
      <c r="E11" s="9" t="s">
        <v>1308</v>
      </c>
      <c r="F11" s="9"/>
    </row>
    <row r="12" spans="1:6" x14ac:dyDescent="0.25">
      <c r="A12" s="9" t="s">
        <v>442</v>
      </c>
      <c r="B12" s="7" t="s">
        <v>389</v>
      </c>
      <c r="C12" s="9" t="s">
        <v>832</v>
      </c>
      <c r="D12" s="7" t="s">
        <v>276</v>
      </c>
      <c r="E12" s="63" t="s">
        <v>1309</v>
      </c>
      <c r="F12" s="9"/>
    </row>
    <row r="13" spans="1:6" x14ac:dyDescent="0.25">
      <c r="A13" s="9" t="s">
        <v>443</v>
      </c>
      <c r="B13" s="7" t="s">
        <v>444</v>
      </c>
      <c r="C13" s="22" t="s">
        <v>835</v>
      </c>
      <c r="D13" s="7" t="s">
        <v>250</v>
      </c>
      <c r="E13" s="9"/>
      <c r="F13" s="9"/>
    </row>
    <row r="14" spans="1:6" x14ac:dyDescent="0.25">
      <c r="A14" s="9" t="s">
        <v>445</v>
      </c>
      <c r="B14" s="7" t="s">
        <v>446</v>
      </c>
      <c r="C14" s="9" t="s">
        <v>835</v>
      </c>
      <c r="D14" s="7" t="s">
        <v>216</v>
      </c>
      <c r="E14" s="9"/>
      <c r="F14" s="9"/>
    </row>
    <row r="15" spans="1:6" ht="30" customHeight="1" x14ac:dyDescent="0.25">
      <c r="A15" s="9" t="s">
        <v>447</v>
      </c>
      <c r="B15" s="7" t="s">
        <v>345</v>
      </c>
      <c r="C15" s="9" t="s">
        <v>832</v>
      </c>
      <c r="D15" s="7" t="s">
        <v>244</v>
      </c>
      <c r="E15" s="9"/>
      <c r="F15" s="9"/>
    </row>
    <row r="16" spans="1:6" x14ac:dyDescent="0.25">
      <c r="A16" s="9" t="s">
        <v>448</v>
      </c>
      <c r="B16" s="7" t="s">
        <v>339</v>
      </c>
      <c r="C16" s="9" t="s">
        <v>835</v>
      </c>
      <c r="D16" s="7" t="s">
        <v>283</v>
      </c>
      <c r="E16" s="9"/>
      <c r="F16" s="9"/>
    </row>
  </sheetData>
  <autoFilter ref="A1:F16" xr:uid="{00000000-0009-0000-0000-00000C000000}"/>
  <conditionalFormatting sqref="C2:C16">
    <cfRule type="expression" dxfId="31" priority="1">
      <formula>UPPER(LEFT(C2&amp;"",1))="Y"</formula>
    </cfRule>
    <cfRule type="expression" dxfId="30" priority="2">
      <formula>AND(C2&lt;&gt;"",UPPER(LEFT(C2&amp;"",1))&lt;&gt;"Y")</formula>
    </cfRule>
    <cfRule type="expression" dxfId="29" priority="3">
      <formula>UPPER(TRIM(C2&amp;""))="Y"</formula>
    </cfRule>
    <cfRule type="expression" dxfId="28" priority="4">
      <formula>UPPER(TRIM(C2&amp;""))="H"</formula>
    </cfRule>
  </conditionalFormatting>
  <conditionalFormatting sqref="E2:F16">
    <cfRule type="expression" dxfId="27" priority="5">
      <formula>UPPER(LEFT(E2&amp;"",1))="Y"</formula>
    </cfRule>
    <cfRule type="expression" dxfId="26" priority="6">
      <formula>AND(E2&lt;&gt;"",UPPER(LEFT(E2&amp;"",1))&lt;&gt;"Y")</formula>
    </cfRule>
    <cfRule type="expression" dxfId="25" priority="7">
      <formula>UPPER(TRIM(E2&amp;""))="Y"</formula>
    </cfRule>
    <cfRule type="expression" dxfId="24" priority="8">
      <formula>UPPER(TRIM(E2&amp;""))="H"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6"/>
  <sheetViews>
    <sheetView workbookViewId="0">
      <pane ySplit="1" topLeftCell="A2" activePane="bottomLeft" state="frozen"/>
      <selection activeCell="B7" sqref="B7"/>
      <selection pane="bottomLeft" activeCell="E14" sqref="E14"/>
    </sheetView>
  </sheetViews>
  <sheetFormatPr defaultRowHeight="15" x14ac:dyDescent="0.25"/>
  <cols>
    <col min="1" max="1" width="13" bestFit="1" customWidth="1"/>
    <col min="2" max="2" width="11" bestFit="1" customWidth="1"/>
    <col min="3" max="3" width="19.140625" bestFit="1" customWidth="1"/>
    <col min="4" max="4" width="13.7109375" bestFit="1" customWidth="1"/>
    <col min="5" max="5" width="25" customWidth="1"/>
  </cols>
  <sheetData>
    <row r="1" spans="1:5" ht="21.95" customHeight="1" x14ac:dyDescent="0.25">
      <c r="A1" s="1" t="s">
        <v>782</v>
      </c>
      <c r="B1" s="1" t="s">
        <v>161</v>
      </c>
      <c r="C1" s="1" t="s">
        <v>162</v>
      </c>
      <c r="D1" s="1" t="s">
        <v>771</v>
      </c>
      <c r="E1" s="1" t="s">
        <v>1276</v>
      </c>
    </row>
    <row r="2" spans="1:5" x14ac:dyDescent="0.25">
      <c r="A2" s="17" t="s">
        <v>124</v>
      </c>
      <c r="B2" s="9" t="s">
        <v>509</v>
      </c>
      <c r="C2" s="7" t="s">
        <v>446</v>
      </c>
      <c r="D2" s="9">
        <v>416</v>
      </c>
      <c r="E2" s="9" t="s">
        <v>832</v>
      </c>
    </row>
    <row r="3" spans="1:5" x14ac:dyDescent="0.25">
      <c r="A3" s="17" t="s">
        <v>124</v>
      </c>
      <c r="B3" s="9" t="s">
        <v>526</v>
      </c>
      <c r="C3" s="7" t="s">
        <v>337</v>
      </c>
      <c r="D3" s="9">
        <v>416</v>
      </c>
      <c r="E3" s="9" t="s">
        <v>832</v>
      </c>
    </row>
    <row r="4" spans="1:5" x14ac:dyDescent="0.25">
      <c r="A4" s="17" t="s">
        <v>124</v>
      </c>
      <c r="B4" s="9" t="s">
        <v>544</v>
      </c>
      <c r="C4" s="7" t="s">
        <v>339</v>
      </c>
      <c r="D4" s="9">
        <v>416</v>
      </c>
      <c r="E4" s="9" t="s">
        <v>835</v>
      </c>
    </row>
    <row r="5" spans="1:5" x14ac:dyDescent="0.25">
      <c r="A5" s="17" t="s">
        <v>124</v>
      </c>
      <c r="B5" s="9" t="s">
        <v>546</v>
      </c>
      <c r="C5" s="7" t="s">
        <v>341</v>
      </c>
      <c r="D5" s="9">
        <v>416</v>
      </c>
      <c r="E5" s="9" t="s">
        <v>835</v>
      </c>
    </row>
    <row r="6" spans="1:5" x14ac:dyDescent="0.25">
      <c r="A6" s="17" t="s">
        <v>124</v>
      </c>
      <c r="B6" s="9" t="s">
        <v>547</v>
      </c>
      <c r="C6" s="7" t="s">
        <v>391</v>
      </c>
      <c r="D6" s="9">
        <v>416</v>
      </c>
      <c r="E6" s="9" t="s">
        <v>832</v>
      </c>
    </row>
    <row r="7" spans="1:5" x14ac:dyDescent="0.25">
      <c r="A7" s="17" t="s">
        <v>124</v>
      </c>
      <c r="B7" s="9" t="s">
        <v>548</v>
      </c>
      <c r="C7" s="7" t="s">
        <v>549</v>
      </c>
      <c r="D7" s="9">
        <v>416</v>
      </c>
      <c r="E7" s="9" t="s">
        <v>832</v>
      </c>
    </row>
    <row r="8" spans="1:5" x14ac:dyDescent="0.25">
      <c r="A8" s="17" t="s">
        <v>124</v>
      </c>
      <c r="B8" s="9" t="s">
        <v>550</v>
      </c>
      <c r="C8" s="7" t="s">
        <v>454</v>
      </c>
      <c r="D8" s="9">
        <v>416</v>
      </c>
      <c r="E8" s="9" t="s">
        <v>832</v>
      </c>
    </row>
    <row r="9" spans="1:5" x14ac:dyDescent="0.25">
      <c r="A9" s="17" t="s">
        <v>124</v>
      </c>
      <c r="B9" s="9" t="s">
        <v>551</v>
      </c>
      <c r="C9" s="7" t="s">
        <v>389</v>
      </c>
      <c r="D9" s="9">
        <v>416</v>
      </c>
      <c r="E9" s="9" t="s">
        <v>835</v>
      </c>
    </row>
    <row r="10" spans="1:5" x14ac:dyDescent="0.25">
      <c r="A10" s="17" t="s">
        <v>124</v>
      </c>
      <c r="B10" s="9" t="s">
        <v>552</v>
      </c>
      <c r="C10" s="7" t="s">
        <v>458</v>
      </c>
      <c r="D10" s="9">
        <v>416</v>
      </c>
      <c r="E10" s="9" t="s">
        <v>832</v>
      </c>
    </row>
    <row r="11" spans="1:5" x14ac:dyDescent="0.25">
      <c r="A11" s="17" t="s">
        <v>124</v>
      </c>
      <c r="B11" s="9" t="s">
        <v>510</v>
      </c>
      <c r="C11" s="7" t="s">
        <v>511</v>
      </c>
      <c r="D11" s="9">
        <v>416</v>
      </c>
      <c r="E11" s="9" t="s">
        <v>835</v>
      </c>
    </row>
    <row r="12" spans="1:5" x14ac:dyDescent="0.25">
      <c r="A12" s="17" t="s">
        <v>124</v>
      </c>
      <c r="B12" s="9" t="s">
        <v>512</v>
      </c>
      <c r="C12" s="7" t="s">
        <v>444</v>
      </c>
      <c r="D12" s="9">
        <v>416</v>
      </c>
      <c r="E12" s="9" t="s">
        <v>835</v>
      </c>
    </row>
    <row r="13" spans="1:5" x14ac:dyDescent="0.25">
      <c r="A13" s="17" t="s">
        <v>124</v>
      </c>
      <c r="B13" s="9" t="s">
        <v>513</v>
      </c>
      <c r="C13" s="7" t="s">
        <v>384</v>
      </c>
      <c r="D13" s="9">
        <v>416</v>
      </c>
      <c r="E13" s="9" t="s">
        <v>835</v>
      </c>
    </row>
    <row r="14" spans="1:5" x14ac:dyDescent="0.25">
      <c r="A14" s="17" t="s">
        <v>124</v>
      </c>
      <c r="B14" s="9" t="s">
        <v>514</v>
      </c>
      <c r="C14" s="7" t="s">
        <v>387</v>
      </c>
      <c r="D14" s="9">
        <v>416</v>
      </c>
      <c r="E14" s="9" t="s">
        <v>832</v>
      </c>
    </row>
    <row r="15" spans="1:5" x14ac:dyDescent="0.25">
      <c r="A15" s="17" t="s">
        <v>124</v>
      </c>
      <c r="B15" s="9" t="s">
        <v>515</v>
      </c>
      <c r="C15" s="7" t="s">
        <v>516</v>
      </c>
      <c r="D15" s="9">
        <v>416</v>
      </c>
      <c r="E15" s="22" t="s">
        <v>832</v>
      </c>
    </row>
    <row r="16" spans="1:5" x14ac:dyDescent="0.25">
      <c r="A16" s="17" t="s">
        <v>124</v>
      </c>
      <c r="B16" s="9" t="s">
        <v>517</v>
      </c>
      <c r="C16" s="7" t="s">
        <v>518</v>
      </c>
      <c r="D16" s="9">
        <v>416</v>
      </c>
      <c r="E16" s="9" t="s">
        <v>832</v>
      </c>
    </row>
    <row r="17" spans="1:5" x14ac:dyDescent="0.25">
      <c r="A17" s="17" t="s">
        <v>124</v>
      </c>
      <c r="B17" s="9" t="s">
        <v>519</v>
      </c>
      <c r="C17" s="7" t="s">
        <v>520</v>
      </c>
      <c r="D17" s="9">
        <v>416</v>
      </c>
      <c r="E17" s="9" t="s">
        <v>832</v>
      </c>
    </row>
    <row r="18" spans="1:5" x14ac:dyDescent="0.25">
      <c r="A18" s="17" t="s">
        <v>124</v>
      </c>
      <c r="B18" s="9" t="s">
        <v>521</v>
      </c>
      <c r="C18" s="7" t="s">
        <v>352</v>
      </c>
      <c r="D18" s="9">
        <v>416</v>
      </c>
      <c r="E18" s="9" t="s">
        <v>835</v>
      </c>
    </row>
    <row r="19" spans="1:5" x14ac:dyDescent="0.25">
      <c r="A19" s="17" t="s">
        <v>124</v>
      </c>
      <c r="B19" s="9" t="s">
        <v>522</v>
      </c>
      <c r="C19" s="7" t="s">
        <v>523</v>
      </c>
      <c r="D19" s="9">
        <v>416</v>
      </c>
      <c r="E19" s="9" t="s">
        <v>835</v>
      </c>
    </row>
    <row r="20" spans="1:5" x14ac:dyDescent="0.25">
      <c r="A20" s="17" t="s">
        <v>124</v>
      </c>
      <c r="B20" s="9" t="s">
        <v>524</v>
      </c>
      <c r="C20" s="7" t="s">
        <v>525</v>
      </c>
      <c r="D20" s="9">
        <v>416</v>
      </c>
      <c r="E20" s="9" t="s">
        <v>832</v>
      </c>
    </row>
    <row r="21" spans="1:5" x14ac:dyDescent="0.25">
      <c r="A21" s="17" t="s">
        <v>124</v>
      </c>
      <c r="B21" s="9" t="s">
        <v>527</v>
      </c>
      <c r="C21" s="7" t="s">
        <v>528</v>
      </c>
      <c r="D21" s="9">
        <v>416</v>
      </c>
      <c r="E21" s="9" t="s">
        <v>835</v>
      </c>
    </row>
    <row r="22" spans="1:5" x14ac:dyDescent="0.25">
      <c r="A22" s="17" t="s">
        <v>124</v>
      </c>
      <c r="B22" s="9" t="s">
        <v>529</v>
      </c>
      <c r="C22" s="7" t="s">
        <v>345</v>
      </c>
      <c r="D22" s="9">
        <v>416</v>
      </c>
      <c r="E22" s="9" t="s">
        <v>832</v>
      </c>
    </row>
    <row r="23" spans="1:5" x14ac:dyDescent="0.25">
      <c r="A23" s="17" t="s">
        <v>124</v>
      </c>
      <c r="B23" s="9" t="s">
        <v>530</v>
      </c>
      <c r="C23" s="7" t="s">
        <v>531</v>
      </c>
      <c r="D23" s="9">
        <v>416</v>
      </c>
      <c r="E23" s="9" t="s">
        <v>835</v>
      </c>
    </row>
    <row r="24" spans="1:5" x14ac:dyDescent="0.25">
      <c r="A24" s="17" t="s">
        <v>124</v>
      </c>
      <c r="B24" s="9" t="s">
        <v>532</v>
      </c>
      <c r="C24" s="7" t="s">
        <v>533</v>
      </c>
      <c r="D24" s="9">
        <v>416</v>
      </c>
      <c r="E24" s="9" t="s">
        <v>832</v>
      </c>
    </row>
    <row r="25" spans="1:5" x14ac:dyDescent="0.25">
      <c r="A25" s="17" t="s">
        <v>124</v>
      </c>
      <c r="B25" s="9" t="s">
        <v>534</v>
      </c>
      <c r="C25" s="7" t="s">
        <v>535</v>
      </c>
      <c r="D25" s="9">
        <v>416</v>
      </c>
      <c r="E25" s="9" t="s">
        <v>832</v>
      </c>
    </row>
    <row r="26" spans="1:5" x14ac:dyDescent="0.25">
      <c r="A26" s="17" t="s">
        <v>124</v>
      </c>
      <c r="B26" s="9" t="s">
        <v>536</v>
      </c>
      <c r="C26" s="7" t="s">
        <v>537</v>
      </c>
      <c r="D26" s="9">
        <v>416</v>
      </c>
      <c r="E26" s="9" t="s">
        <v>835</v>
      </c>
    </row>
    <row r="27" spans="1:5" x14ac:dyDescent="0.25">
      <c r="A27" s="17" t="s">
        <v>124</v>
      </c>
      <c r="B27" s="9" t="s">
        <v>538</v>
      </c>
      <c r="C27" s="7" t="s">
        <v>539</v>
      </c>
      <c r="D27" s="9">
        <v>416</v>
      </c>
      <c r="E27" s="9" t="s">
        <v>835</v>
      </c>
    </row>
    <row r="28" spans="1:5" x14ac:dyDescent="0.25">
      <c r="A28" s="17" t="s">
        <v>124</v>
      </c>
      <c r="B28" s="9" t="s">
        <v>540</v>
      </c>
      <c r="C28" s="7" t="s">
        <v>347</v>
      </c>
      <c r="D28" s="9">
        <v>416</v>
      </c>
      <c r="E28" s="9" t="s">
        <v>835</v>
      </c>
    </row>
    <row r="29" spans="1:5" x14ac:dyDescent="0.25">
      <c r="A29" s="17" t="s">
        <v>124</v>
      </c>
      <c r="B29" s="9" t="s">
        <v>541</v>
      </c>
      <c r="C29" s="7" t="s">
        <v>542</v>
      </c>
      <c r="D29" s="9">
        <v>416</v>
      </c>
      <c r="E29" s="9" t="s">
        <v>835</v>
      </c>
    </row>
    <row r="30" spans="1:5" x14ac:dyDescent="0.25">
      <c r="A30" s="17" t="s">
        <v>124</v>
      </c>
      <c r="B30" s="9" t="s">
        <v>543</v>
      </c>
      <c r="C30" s="7" t="s">
        <v>441</v>
      </c>
      <c r="D30" s="9">
        <v>416</v>
      </c>
      <c r="E30" s="9" t="s">
        <v>832</v>
      </c>
    </row>
    <row r="31" spans="1:5" x14ac:dyDescent="0.25">
      <c r="A31" s="17" t="s">
        <v>124</v>
      </c>
      <c r="B31" s="9" t="s">
        <v>545</v>
      </c>
      <c r="C31" s="7" t="s">
        <v>350</v>
      </c>
      <c r="D31" s="9">
        <v>416</v>
      </c>
      <c r="E31" s="9" t="s">
        <v>835</v>
      </c>
    </row>
    <row r="32" spans="1:5" x14ac:dyDescent="0.25">
      <c r="A32" s="17" t="s">
        <v>86</v>
      </c>
      <c r="B32" s="9" t="s">
        <v>383</v>
      </c>
      <c r="C32" s="7" t="s">
        <v>384</v>
      </c>
      <c r="D32" s="9">
        <v>166</v>
      </c>
      <c r="E32" s="9" t="s">
        <v>832</v>
      </c>
    </row>
    <row r="33" spans="1:5" x14ac:dyDescent="0.25">
      <c r="A33" s="17" t="s">
        <v>86</v>
      </c>
      <c r="B33" s="9" t="s">
        <v>385</v>
      </c>
      <c r="C33" s="7" t="s">
        <v>347</v>
      </c>
      <c r="D33" s="9">
        <v>166</v>
      </c>
      <c r="E33" s="9" t="s">
        <v>835</v>
      </c>
    </row>
    <row r="34" spans="1:5" x14ac:dyDescent="0.25">
      <c r="A34" s="17" t="s">
        <v>86</v>
      </c>
      <c r="B34" s="9" t="s">
        <v>386</v>
      </c>
      <c r="C34" s="7" t="s">
        <v>387</v>
      </c>
      <c r="D34" s="9">
        <v>166</v>
      </c>
      <c r="E34" s="9" t="s">
        <v>832</v>
      </c>
    </row>
    <row r="35" spans="1:5" x14ac:dyDescent="0.25">
      <c r="A35" s="17" t="s">
        <v>86</v>
      </c>
      <c r="B35" s="9" t="s">
        <v>388</v>
      </c>
      <c r="C35" s="7" t="s">
        <v>389</v>
      </c>
      <c r="D35" s="9">
        <v>166</v>
      </c>
      <c r="E35" s="9" t="s">
        <v>832</v>
      </c>
    </row>
    <row r="36" spans="1:5" x14ac:dyDescent="0.25">
      <c r="A36" s="17" t="s">
        <v>86</v>
      </c>
      <c r="B36" s="9" t="s">
        <v>390</v>
      </c>
      <c r="C36" s="7" t="s">
        <v>391</v>
      </c>
      <c r="D36" s="9">
        <v>166</v>
      </c>
      <c r="E36" s="9" t="s">
        <v>835</v>
      </c>
    </row>
  </sheetData>
  <autoFilter ref="A1:E36" xr:uid="{00000000-0009-0000-0000-00000D000000}"/>
  <conditionalFormatting sqref="E2:E36">
    <cfRule type="expression" dxfId="23" priority="1">
      <formula>UPPER(LEFT(E2&amp;"",1))="Y"</formula>
    </cfRule>
    <cfRule type="expression" dxfId="22" priority="2">
      <formula>AND(E2&lt;&gt;"",UPPER(LEFT(E2&amp;"",1))&lt;&gt;"Y")</formula>
    </cfRule>
    <cfRule type="expression" dxfId="21" priority="3">
      <formula>UPPER(TRIM(E2&amp;""))="Y"</formula>
    </cfRule>
    <cfRule type="expression" dxfId="20" priority="4">
      <formula>UPPER(TRIM(E2&amp;""))="H"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showGridLines="0" workbookViewId="0">
      <pane ySplit="1" topLeftCell="A2" activePane="bottomLeft" state="frozen"/>
      <selection pane="bottomLeft" activeCell="E37" sqref="E37"/>
    </sheetView>
  </sheetViews>
  <sheetFormatPr defaultRowHeight="15" x14ac:dyDescent="0.25"/>
  <cols>
    <col min="1" max="1" width="9.7109375" bestFit="1" customWidth="1"/>
    <col min="2" max="2" width="11" bestFit="1" customWidth="1"/>
    <col min="3" max="4" width="15.28515625" bestFit="1" customWidth="1"/>
    <col min="5" max="5" width="13.7109375" bestFit="1" customWidth="1"/>
    <col min="6" max="6" width="25" customWidth="1"/>
  </cols>
  <sheetData>
    <row r="1" spans="1:6" ht="21.95" customHeight="1" x14ac:dyDescent="0.25">
      <c r="A1" s="1" t="s">
        <v>782</v>
      </c>
      <c r="B1" s="1" t="s">
        <v>161</v>
      </c>
      <c r="C1" s="1" t="s">
        <v>162</v>
      </c>
      <c r="D1" s="1" t="s">
        <v>1310</v>
      </c>
      <c r="E1" s="1" t="s">
        <v>771</v>
      </c>
      <c r="F1" s="1" t="s">
        <v>1276</v>
      </c>
    </row>
    <row r="2" spans="1:6" x14ac:dyDescent="0.25">
      <c r="A2" s="4" t="s">
        <v>90</v>
      </c>
      <c r="B2" s="2" t="s">
        <v>1311</v>
      </c>
      <c r="C2" s="7" t="s">
        <v>539</v>
      </c>
      <c r="D2" s="2" t="s">
        <v>1312</v>
      </c>
      <c r="E2" s="2">
        <v>831</v>
      </c>
      <c r="F2" s="2" t="s">
        <v>835</v>
      </c>
    </row>
    <row r="3" spans="1:6" x14ac:dyDescent="0.25">
      <c r="A3" s="4" t="s">
        <v>90</v>
      </c>
      <c r="B3" s="2" t="s">
        <v>1313</v>
      </c>
      <c r="C3" s="7" t="s">
        <v>337</v>
      </c>
      <c r="D3" s="2" t="s">
        <v>1312</v>
      </c>
      <c r="E3" s="2">
        <v>831</v>
      </c>
      <c r="F3" s="2" t="s">
        <v>832</v>
      </c>
    </row>
    <row r="4" spans="1:6" x14ac:dyDescent="0.25">
      <c r="A4" s="4" t="s">
        <v>90</v>
      </c>
      <c r="B4" s="2" t="s">
        <v>1314</v>
      </c>
      <c r="C4" s="7" t="s">
        <v>341</v>
      </c>
      <c r="D4" s="2" t="s">
        <v>1312</v>
      </c>
      <c r="E4" s="2">
        <v>831</v>
      </c>
      <c r="F4" s="2" t="s">
        <v>832</v>
      </c>
    </row>
    <row r="5" spans="1:6" x14ac:dyDescent="0.25">
      <c r="A5" s="4" t="s">
        <v>90</v>
      </c>
      <c r="B5" s="2" t="s">
        <v>1315</v>
      </c>
      <c r="C5" s="7" t="s">
        <v>341</v>
      </c>
      <c r="D5" s="2" t="s">
        <v>1312</v>
      </c>
      <c r="E5" s="2">
        <v>831</v>
      </c>
      <c r="F5" s="2" t="s">
        <v>832</v>
      </c>
    </row>
    <row r="6" spans="1:6" x14ac:dyDescent="0.25">
      <c r="A6" s="4" t="s">
        <v>90</v>
      </c>
      <c r="B6" s="2" t="s">
        <v>1316</v>
      </c>
      <c r="C6" s="7" t="s">
        <v>458</v>
      </c>
      <c r="D6" s="2" t="s">
        <v>1312</v>
      </c>
      <c r="E6" s="2">
        <v>831</v>
      </c>
      <c r="F6" s="2" t="s">
        <v>835</v>
      </c>
    </row>
    <row r="7" spans="1:6" x14ac:dyDescent="0.25">
      <c r="A7" s="4" t="s">
        <v>90</v>
      </c>
      <c r="B7" s="2" t="s">
        <v>1317</v>
      </c>
      <c r="C7" s="7" t="s">
        <v>347</v>
      </c>
      <c r="D7" s="2" t="s">
        <v>1312</v>
      </c>
      <c r="E7" s="2">
        <v>831</v>
      </c>
      <c r="F7" s="2" t="s">
        <v>835</v>
      </c>
    </row>
    <row r="8" spans="1:6" x14ac:dyDescent="0.25">
      <c r="A8" s="4" t="s">
        <v>90</v>
      </c>
      <c r="B8" s="2" t="s">
        <v>1318</v>
      </c>
      <c r="C8" s="7" t="s">
        <v>339</v>
      </c>
      <c r="D8" s="2" t="s">
        <v>1312</v>
      </c>
      <c r="E8" s="2">
        <v>831</v>
      </c>
      <c r="F8" s="2" t="s">
        <v>835</v>
      </c>
    </row>
    <row r="9" spans="1:6" x14ac:dyDescent="0.25">
      <c r="A9" s="4" t="s">
        <v>90</v>
      </c>
      <c r="B9" s="2" t="s">
        <v>1319</v>
      </c>
      <c r="C9" s="7" t="s">
        <v>352</v>
      </c>
      <c r="D9" s="2" t="s">
        <v>1312</v>
      </c>
      <c r="E9" s="2">
        <v>831</v>
      </c>
      <c r="F9" s="2" t="s">
        <v>835</v>
      </c>
    </row>
    <row r="10" spans="1:6" x14ac:dyDescent="0.25">
      <c r="A10" s="4" t="s">
        <v>90</v>
      </c>
      <c r="B10" s="2" t="s">
        <v>1320</v>
      </c>
      <c r="C10" s="7" t="s">
        <v>343</v>
      </c>
      <c r="D10" s="2" t="s">
        <v>1312</v>
      </c>
      <c r="E10" s="2">
        <v>831</v>
      </c>
      <c r="F10" s="2" t="s">
        <v>835</v>
      </c>
    </row>
    <row r="11" spans="1:6" x14ac:dyDescent="0.25">
      <c r="A11" s="4" t="s">
        <v>90</v>
      </c>
      <c r="B11" s="2" t="s">
        <v>637</v>
      </c>
      <c r="C11" s="7" t="s">
        <v>454</v>
      </c>
      <c r="D11" s="2" t="s">
        <v>1312</v>
      </c>
      <c r="E11" s="2">
        <v>831</v>
      </c>
      <c r="F11" s="2" t="s">
        <v>835</v>
      </c>
    </row>
    <row r="12" spans="1:6" x14ac:dyDescent="0.25">
      <c r="A12" s="4" t="s">
        <v>90</v>
      </c>
      <c r="B12" s="2" t="s">
        <v>638</v>
      </c>
      <c r="C12" s="7" t="s">
        <v>337</v>
      </c>
      <c r="D12" s="2" t="s">
        <v>1312</v>
      </c>
      <c r="E12" s="2">
        <v>831</v>
      </c>
      <c r="F12" s="2" t="s">
        <v>832</v>
      </c>
    </row>
    <row r="13" spans="1:6" x14ac:dyDescent="0.25">
      <c r="A13" s="4" t="s">
        <v>90</v>
      </c>
      <c r="B13" s="2" t="s">
        <v>639</v>
      </c>
      <c r="C13" s="7" t="s">
        <v>341</v>
      </c>
      <c r="D13" s="2" t="s">
        <v>1312</v>
      </c>
      <c r="E13" s="2">
        <v>831</v>
      </c>
      <c r="F13" s="2" t="s">
        <v>832</v>
      </c>
    </row>
    <row r="14" spans="1:6" x14ac:dyDescent="0.25">
      <c r="A14" s="4" t="s">
        <v>90</v>
      </c>
      <c r="B14" s="2" t="s">
        <v>640</v>
      </c>
      <c r="C14" s="7" t="s">
        <v>337</v>
      </c>
      <c r="D14" s="2" t="s">
        <v>1312</v>
      </c>
      <c r="E14" s="2">
        <v>831</v>
      </c>
      <c r="F14" s="2" t="s">
        <v>832</v>
      </c>
    </row>
    <row r="15" spans="1:6" x14ac:dyDescent="0.25">
      <c r="A15" s="4" t="s">
        <v>90</v>
      </c>
      <c r="B15" s="2" t="s">
        <v>641</v>
      </c>
      <c r="C15" s="7" t="s">
        <v>345</v>
      </c>
      <c r="D15" s="2" t="s">
        <v>1312</v>
      </c>
      <c r="E15" s="2">
        <v>831</v>
      </c>
      <c r="F15" s="2" t="s">
        <v>835</v>
      </c>
    </row>
    <row r="16" spans="1:6" x14ac:dyDescent="0.25">
      <c r="A16" s="4" t="s">
        <v>90</v>
      </c>
      <c r="B16" s="2" t="s">
        <v>642</v>
      </c>
      <c r="C16" s="7" t="s">
        <v>454</v>
      </c>
      <c r="D16" s="2" t="s">
        <v>1312</v>
      </c>
      <c r="E16" s="2">
        <v>831</v>
      </c>
      <c r="F16" s="2" t="s">
        <v>835</v>
      </c>
    </row>
    <row r="17" spans="1:7" x14ac:dyDescent="0.25">
      <c r="A17" s="4" t="s">
        <v>90</v>
      </c>
      <c r="B17" s="2" t="s">
        <v>643</v>
      </c>
      <c r="C17" s="7" t="s">
        <v>337</v>
      </c>
      <c r="D17" s="2" t="s">
        <v>1312</v>
      </c>
      <c r="E17" s="2">
        <v>831</v>
      </c>
      <c r="F17" s="2" t="s">
        <v>832</v>
      </c>
      <c r="G17" s="65"/>
    </row>
    <row r="18" spans="1:7" x14ac:dyDescent="0.25">
      <c r="A18" s="4" t="s">
        <v>90</v>
      </c>
      <c r="B18" s="2" t="s">
        <v>644</v>
      </c>
      <c r="C18" s="7" t="s">
        <v>343</v>
      </c>
      <c r="D18" s="2" t="s">
        <v>1312</v>
      </c>
      <c r="E18" s="2">
        <v>831</v>
      </c>
      <c r="F18" s="2" t="s">
        <v>835</v>
      </c>
      <c r="G18" s="65"/>
    </row>
    <row r="19" spans="1:7" x14ac:dyDescent="0.25">
      <c r="A19" s="4" t="s">
        <v>90</v>
      </c>
      <c r="B19" s="2" t="s">
        <v>645</v>
      </c>
      <c r="C19" s="7" t="s">
        <v>446</v>
      </c>
      <c r="D19" s="2" t="s">
        <v>1312</v>
      </c>
      <c r="E19" s="2">
        <v>831</v>
      </c>
      <c r="F19" s="2" t="s">
        <v>835</v>
      </c>
      <c r="G19" s="65"/>
    </row>
    <row r="20" spans="1:7" x14ac:dyDescent="0.25">
      <c r="A20" s="4" t="s">
        <v>90</v>
      </c>
      <c r="B20" s="2" t="s">
        <v>646</v>
      </c>
      <c r="C20" s="7" t="s">
        <v>520</v>
      </c>
      <c r="D20" s="2" t="s">
        <v>1312</v>
      </c>
      <c r="E20" s="2">
        <v>831</v>
      </c>
      <c r="F20" s="2" t="s">
        <v>835</v>
      </c>
      <c r="G20" s="65"/>
    </row>
    <row r="21" spans="1:7" x14ac:dyDescent="0.25">
      <c r="A21" s="4" t="s">
        <v>90</v>
      </c>
      <c r="B21" s="2" t="s">
        <v>648</v>
      </c>
      <c r="C21" s="7" t="s">
        <v>341</v>
      </c>
      <c r="D21" s="2" t="s">
        <v>1312</v>
      </c>
      <c r="E21" s="2">
        <v>831</v>
      </c>
      <c r="F21" s="2" t="s">
        <v>832</v>
      </c>
      <c r="G21" s="65"/>
    </row>
    <row r="22" spans="1:7" x14ac:dyDescent="0.25">
      <c r="A22" s="4" t="s">
        <v>90</v>
      </c>
      <c r="B22" s="2" t="s">
        <v>649</v>
      </c>
      <c r="C22" s="7" t="s">
        <v>350</v>
      </c>
      <c r="D22" s="2" t="s">
        <v>1312</v>
      </c>
      <c r="E22" s="2">
        <v>831</v>
      </c>
      <c r="F22" s="2" t="s">
        <v>835</v>
      </c>
      <c r="G22" s="42"/>
    </row>
    <row r="23" spans="1:7" x14ac:dyDescent="0.25">
      <c r="A23" s="4" t="s">
        <v>90</v>
      </c>
      <c r="B23" s="2" t="s">
        <v>650</v>
      </c>
      <c r="C23" s="7" t="s">
        <v>339</v>
      </c>
      <c r="D23" s="2" t="s">
        <v>1312</v>
      </c>
      <c r="E23" s="2">
        <v>831</v>
      </c>
      <c r="F23" s="2" t="s">
        <v>835</v>
      </c>
      <c r="G23" s="42"/>
    </row>
    <row r="24" spans="1:7" x14ac:dyDescent="0.25">
      <c r="A24" s="4" t="s">
        <v>90</v>
      </c>
      <c r="B24" s="2" t="s">
        <v>651</v>
      </c>
      <c r="C24" s="7" t="s">
        <v>528</v>
      </c>
      <c r="D24" s="2" t="s">
        <v>1312</v>
      </c>
      <c r="E24" s="2">
        <v>831</v>
      </c>
      <c r="F24" s="2" t="s">
        <v>835</v>
      </c>
      <c r="G24" s="43"/>
    </row>
    <row r="25" spans="1:7" x14ac:dyDescent="0.25">
      <c r="A25" s="4" t="s">
        <v>90</v>
      </c>
      <c r="B25" s="2" t="s">
        <v>652</v>
      </c>
      <c r="C25" s="7" t="s">
        <v>441</v>
      </c>
      <c r="D25" s="2" t="s">
        <v>1312</v>
      </c>
      <c r="E25" s="2">
        <v>831</v>
      </c>
      <c r="F25" s="2" t="s">
        <v>835</v>
      </c>
      <c r="G25" s="42"/>
    </row>
    <row r="26" spans="1:7" x14ac:dyDescent="0.25">
      <c r="A26" s="4" t="s">
        <v>90</v>
      </c>
      <c r="B26" s="2" t="s">
        <v>653</v>
      </c>
      <c r="C26" s="7" t="s">
        <v>337</v>
      </c>
      <c r="D26" s="2" t="s">
        <v>1312</v>
      </c>
      <c r="E26" s="2">
        <v>831</v>
      </c>
      <c r="F26" s="2" t="s">
        <v>835</v>
      </c>
      <c r="G26" s="42"/>
    </row>
    <row r="27" spans="1:7" x14ac:dyDescent="0.25">
      <c r="A27" s="4" t="s">
        <v>90</v>
      </c>
      <c r="B27" s="2" t="s">
        <v>654</v>
      </c>
      <c r="C27" s="7" t="s">
        <v>531</v>
      </c>
      <c r="D27" s="2" t="s">
        <v>1312</v>
      </c>
      <c r="E27" s="2">
        <v>831</v>
      </c>
      <c r="F27" s="2" t="s">
        <v>835</v>
      </c>
      <c r="G27" s="43"/>
    </row>
    <row r="28" spans="1:7" x14ac:dyDescent="0.25">
      <c r="A28" s="4" t="s">
        <v>90</v>
      </c>
      <c r="B28" s="2" t="s">
        <v>655</v>
      </c>
      <c r="C28" s="7" t="s">
        <v>341</v>
      </c>
      <c r="D28" s="2" t="s">
        <v>1312</v>
      </c>
      <c r="E28" s="2">
        <v>831</v>
      </c>
      <c r="F28" s="2" t="s">
        <v>835</v>
      </c>
      <c r="G28" s="65"/>
    </row>
    <row r="29" spans="1:7" x14ac:dyDescent="0.25">
      <c r="A29" s="4" t="s">
        <v>90</v>
      </c>
      <c r="B29" s="2" t="s">
        <v>656</v>
      </c>
      <c r="C29" s="7" t="s">
        <v>343</v>
      </c>
      <c r="D29" s="2" t="s">
        <v>1312</v>
      </c>
      <c r="E29" s="2">
        <v>831</v>
      </c>
      <c r="F29" s="2" t="s">
        <v>835</v>
      </c>
      <c r="G29" s="65"/>
    </row>
    <row r="30" spans="1:7" x14ac:dyDescent="0.25">
      <c r="A30" s="4" t="s">
        <v>90</v>
      </c>
      <c r="B30" s="2" t="s">
        <v>657</v>
      </c>
      <c r="C30" s="7" t="s">
        <v>345</v>
      </c>
      <c r="D30" s="2" t="s">
        <v>1312</v>
      </c>
      <c r="E30" s="2">
        <v>831</v>
      </c>
      <c r="F30" s="21" t="s">
        <v>835</v>
      </c>
      <c r="G30" s="65"/>
    </row>
    <row r="31" spans="1:7" x14ac:dyDescent="0.25">
      <c r="A31" s="4" t="s">
        <v>90</v>
      </c>
      <c r="B31" s="2" t="s">
        <v>659</v>
      </c>
      <c r="C31" s="7" t="s">
        <v>347</v>
      </c>
      <c r="D31" s="2" t="s">
        <v>1312</v>
      </c>
      <c r="E31" s="2">
        <v>831</v>
      </c>
      <c r="F31" s="2" t="s">
        <v>835</v>
      </c>
      <c r="G31" s="65"/>
    </row>
    <row r="32" spans="1:7" x14ac:dyDescent="0.25">
      <c r="A32" s="4" t="s">
        <v>92</v>
      </c>
      <c r="B32" s="2" t="s">
        <v>1321</v>
      </c>
      <c r="C32" s="7" t="s">
        <v>337</v>
      </c>
      <c r="D32" s="2" t="s">
        <v>1312</v>
      </c>
      <c r="E32" s="2">
        <v>104</v>
      </c>
      <c r="F32" s="2" t="s">
        <v>832</v>
      </c>
      <c r="G32" s="65"/>
    </row>
    <row r="33" spans="1:6" x14ac:dyDescent="0.25">
      <c r="A33" s="4" t="s">
        <v>92</v>
      </c>
      <c r="B33" s="2" t="s">
        <v>1322</v>
      </c>
      <c r="C33" s="7" t="s">
        <v>341</v>
      </c>
      <c r="D33" s="2" t="s">
        <v>1312</v>
      </c>
      <c r="E33" s="2">
        <v>104</v>
      </c>
      <c r="F33" s="2" t="s">
        <v>832</v>
      </c>
    </row>
    <row r="34" spans="1:6" x14ac:dyDescent="0.25">
      <c r="A34" s="4" t="s">
        <v>92</v>
      </c>
      <c r="B34" s="2" t="s">
        <v>1323</v>
      </c>
      <c r="C34" s="7" t="s">
        <v>343</v>
      </c>
      <c r="D34" s="2" t="s">
        <v>1312</v>
      </c>
      <c r="E34" s="2">
        <v>104</v>
      </c>
      <c r="F34" s="2" t="s">
        <v>832</v>
      </c>
    </row>
    <row r="35" spans="1:6" x14ac:dyDescent="0.25">
      <c r="A35" s="4" t="s">
        <v>92</v>
      </c>
      <c r="B35" s="2" t="s">
        <v>1324</v>
      </c>
      <c r="C35" s="7" t="s">
        <v>345</v>
      </c>
      <c r="D35" s="2" t="s">
        <v>1312</v>
      </c>
      <c r="E35" s="2">
        <v>104</v>
      </c>
      <c r="F35" s="2" t="s">
        <v>832</v>
      </c>
    </row>
    <row r="36" spans="1:6" x14ac:dyDescent="0.25">
      <c r="A36" s="4" t="s">
        <v>92</v>
      </c>
      <c r="B36" s="2" t="s">
        <v>1325</v>
      </c>
      <c r="C36" s="7" t="s">
        <v>347</v>
      </c>
      <c r="D36" s="2" t="s">
        <v>1312</v>
      </c>
      <c r="E36" s="2">
        <v>104</v>
      </c>
      <c r="F36" s="2" t="s">
        <v>832</v>
      </c>
    </row>
    <row r="37" spans="1:6" x14ac:dyDescent="0.25">
      <c r="A37" s="4" t="s">
        <v>92</v>
      </c>
      <c r="B37" s="2" t="s">
        <v>1326</v>
      </c>
      <c r="C37" s="7" t="s">
        <v>339</v>
      </c>
      <c r="D37" s="2" t="s">
        <v>1312</v>
      </c>
      <c r="E37" s="2">
        <v>104</v>
      </c>
      <c r="F37" s="2"/>
    </row>
    <row r="38" spans="1:6" x14ac:dyDescent="0.25">
      <c r="A38" s="4" t="s">
        <v>92</v>
      </c>
      <c r="B38" s="2" t="s">
        <v>1327</v>
      </c>
      <c r="C38" s="7" t="s">
        <v>350</v>
      </c>
      <c r="D38" s="2" t="s">
        <v>1312</v>
      </c>
      <c r="E38" s="2">
        <v>104</v>
      </c>
      <c r="F38" s="2" t="s">
        <v>832</v>
      </c>
    </row>
    <row r="39" spans="1:6" x14ac:dyDescent="0.25">
      <c r="A39" s="4" t="s">
        <v>92</v>
      </c>
      <c r="B39" s="2" t="s">
        <v>1328</v>
      </c>
      <c r="C39" s="7" t="s">
        <v>352</v>
      </c>
      <c r="D39" s="2" t="s">
        <v>1312</v>
      </c>
      <c r="E39" s="2">
        <v>104</v>
      </c>
      <c r="F39" s="2" t="s">
        <v>832</v>
      </c>
    </row>
    <row r="40" spans="1:6" x14ac:dyDescent="0.25">
      <c r="A40" s="4" t="s">
        <v>92</v>
      </c>
      <c r="B40" s="2" t="s">
        <v>1329</v>
      </c>
      <c r="C40" s="7" t="s">
        <v>337</v>
      </c>
      <c r="D40" s="2" t="s">
        <v>1312</v>
      </c>
      <c r="E40" s="2">
        <v>104</v>
      </c>
      <c r="F40" s="2" t="s">
        <v>832</v>
      </c>
    </row>
    <row r="41" spans="1:6" x14ac:dyDescent="0.25">
      <c r="A41" s="4" t="s">
        <v>92</v>
      </c>
      <c r="B41" s="2" t="s">
        <v>338</v>
      </c>
      <c r="C41" s="7" t="s">
        <v>339</v>
      </c>
      <c r="D41" s="2" t="s">
        <v>1312</v>
      </c>
      <c r="E41" s="2">
        <v>104</v>
      </c>
      <c r="F41" s="2" t="s">
        <v>832</v>
      </c>
    </row>
  </sheetData>
  <autoFilter ref="A1:F41" xr:uid="{00000000-0009-0000-0000-00000E000000}">
    <sortState xmlns:xlrd2="http://schemas.microsoft.com/office/spreadsheetml/2017/richdata2" ref="A2:F41">
      <sortCondition ref="B1:B41"/>
    </sortState>
  </autoFilter>
  <conditionalFormatting sqref="F2:F51 G22:G23 G25:G26">
    <cfRule type="expression" dxfId="19" priority="5">
      <formula>UPPER(LEFT(F2&amp;"",1))="Y"</formula>
    </cfRule>
    <cfRule type="expression" dxfId="18" priority="6">
      <formula>AND(F2&lt;&gt;"",UPPER(LEFT(F2&amp;"",1))&lt;&gt;"Y")</formula>
    </cfRule>
    <cfRule type="expression" dxfId="17" priority="7">
      <formula>UPPER(TRIM(F2&amp;""))="Y"</formula>
    </cfRule>
    <cfRule type="expression" dxfId="16" priority="8">
      <formula>UPPER(TRIM(F2&amp;""))="H"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showGridLines="0" workbookViewId="0">
      <pane ySplit="1" topLeftCell="A2" activePane="bottomLeft" state="frozen"/>
      <selection activeCell="B1" sqref="B1"/>
      <selection pane="bottomLeft" activeCell="F22" sqref="F22:F27"/>
    </sheetView>
  </sheetViews>
  <sheetFormatPr defaultRowHeight="15" x14ac:dyDescent="0.25"/>
  <cols>
    <col min="1" max="1" width="21.5703125" bestFit="1" customWidth="1"/>
    <col min="2" max="2" width="11" bestFit="1" customWidth="1"/>
    <col min="3" max="3" width="98.5703125" bestFit="1" customWidth="1"/>
    <col min="4" max="4" width="17.28515625" bestFit="1" customWidth="1"/>
    <col min="5" max="5" width="13.7109375" bestFit="1" customWidth="1"/>
    <col min="6" max="6" width="25" customWidth="1"/>
    <col min="7" max="7" width="57.42578125" customWidth="1"/>
  </cols>
  <sheetData>
    <row r="1" spans="1:6" ht="21.95" customHeight="1" x14ac:dyDescent="0.25">
      <c r="A1" s="1" t="s">
        <v>782</v>
      </c>
      <c r="B1" s="1" t="s">
        <v>161</v>
      </c>
      <c r="C1" s="1" t="s">
        <v>162</v>
      </c>
      <c r="D1" s="1" t="s">
        <v>1310</v>
      </c>
      <c r="E1" s="1" t="s">
        <v>771</v>
      </c>
      <c r="F1" s="1" t="s">
        <v>1276</v>
      </c>
    </row>
    <row r="2" spans="1:6" x14ac:dyDescent="0.25">
      <c r="A2" s="4" t="s">
        <v>35</v>
      </c>
      <c r="B2" s="2" t="s">
        <v>628</v>
      </c>
      <c r="C2" s="7" t="s">
        <v>222</v>
      </c>
      <c r="D2" s="2" t="s">
        <v>1330</v>
      </c>
      <c r="E2" s="2">
        <v>567</v>
      </c>
      <c r="F2" s="2" t="s">
        <v>835</v>
      </c>
    </row>
    <row r="3" spans="1:6" x14ac:dyDescent="0.25">
      <c r="A3" s="4" t="s">
        <v>35</v>
      </c>
      <c r="B3" s="2" t="s">
        <v>629</v>
      </c>
      <c r="C3" s="7" t="s">
        <v>216</v>
      </c>
      <c r="D3" s="2" t="s">
        <v>1331</v>
      </c>
      <c r="E3" s="2">
        <v>567</v>
      </c>
      <c r="F3" s="2" t="s">
        <v>835</v>
      </c>
    </row>
    <row r="4" spans="1:6" x14ac:dyDescent="0.25">
      <c r="A4" s="4" t="s">
        <v>35</v>
      </c>
      <c r="B4" s="2" t="s">
        <v>630</v>
      </c>
      <c r="C4" s="7" t="s">
        <v>267</v>
      </c>
      <c r="D4" s="2" t="s">
        <v>1330</v>
      </c>
      <c r="E4" s="2">
        <v>567</v>
      </c>
      <c r="F4" s="2" t="s">
        <v>835</v>
      </c>
    </row>
    <row r="5" spans="1:6" x14ac:dyDescent="0.25">
      <c r="A5" s="4" t="s">
        <v>35</v>
      </c>
      <c r="B5" s="2" t="s">
        <v>631</v>
      </c>
      <c r="C5" s="7" t="s">
        <v>248</v>
      </c>
      <c r="D5" s="2" t="s">
        <v>1332</v>
      </c>
      <c r="E5" s="2">
        <v>567</v>
      </c>
      <c r="F5" s="2" t="s">
        <v>832</v>
      </c>
    </row>
    <row r="6" spans="1:6" x14ac:dyDescent="0.25">
      <c r="A6" s="4" t="s">
        <v>35</v>
      </c>
      <c r="B6" s="2" t="s">
        <v>632</v>
      </c>
      <c r="C6" s="7" t="s">
        <v>222</v>
      </c>
      <c r="D6" s="2" t="s">
        <v>1330</v>
      </c>
      <c r="E6" s="2">
        <v>567</v>
      </c>
      <c r="F6" s="21" t="s">
        <v>835</v>
      </c>
    </row>
    <row r="7" spans="1:6" x14ac:dyDescent="0.25">
      <c r="A7" s="4" t="s">
        <v>35</v>
      </c>
      <c r="B7" s="2" t="s">
        <v>633</v>
      </c>
      <c r="C7" s="7" t="s">
        <v>216</v>
      </c>
      <c r="D7" s="2" t="s">
        <v>1331</v>
      </c>
      <c r="E7" s="2">
        <v>567</v>
      </c>
      <c r="F7" s="2" t="s">
        <v>832</v>
      </c>
    </row>
    <row r="8" spans="1:6" x14ac:dyDescent="0.25">
      <c r="A8" s="4" t="s">
        <v>35</v>
      </c>
      <c r="B8" s="2" t="s">
        <v>634</v>
      </c>
      <c r="C8" s="7" t="s">
        <v>248</v>
      </c>
      <c r="D8" s="2" t="s">
        <v>1332</v>
      </c>
      <c r="E8" s="2">
        <v>567</v>
      </c>
      <c r="F8" s="2" t="s">
        <v>835</v>
      </c>
    </row>
    <row r="9" spans="1:6" x14ac:dyDescent="0.25">
      <c r="A9" s="4" t="s">
        <v>35</v>
      </c>
      <c r="B9" s="2" t="s">
        <v>635</v>
      </c>
      <c r="C9" s="7" t="s">
        <v>267</v>
      </c>
      <c r="D9" s="2" t="s">
        <v>1330</v>
      </c>
      <c r="E9" s="2">
        <v>567</v>
      </c>
      <c r="F9" s="2" t="s">
        <v>832</v>
      </c>
    </row>
    <row r="10" spans="1:6" x14ac:dyDescent="0.25">
      <c r="A10" s="4" t="s">
        <v>131</v>
      </c>
      <c r="B10" s="2" t="s">
        <v>358</v>
      </c>
      <c r="C10" s="7" t="s">
        <v>222</v>
      </c>
      <c r="D10" s="2" t="s">
        <v>1330</v>
      </c>
      <c r="E10" s="2">
        <v>130</v>
      </c>
      <c r="F10" s="2"/>
    </row>
    <row r="11" spans="1:6" x14ac:dyDescent="0.25">
      <c r="A11" s="4" t="s">
        <v>131</v>
      </c>
      <c r="B11" s="2" t="s">
        <v>360</v>
      </c>
      <c r="C11" s="7" t="s">
        <v>267</v>
      </c>
      <c r="D11" s="2" t="s">
        <v>1330</v>
      </c>
      <c r="E11" s="2">
        <v>130</v>
      </c>
      <c r="F11" s="2" t="s">
        <v>832</v>
      </c>
    </row>
    <row r="12" spans="1:6" x14ac:dyDescent="0.25">
      <c r="A12" s="4" t="s">
        <v>131</v>
      </c>
      <c r="B12" s="2" t="s">
        <v>361</v>
      </c>
      <c r="C12" s="7" t="s">
        <v>248</v>
      </c>
      <c r="D12" s="2" t="s">
        <v>1332</v>
      </c>
      <c r="E12" s="2">
        <v>130</v>
      </c>
      <c r="F12" s="2"/>
    </row>
    <row r="13" spans="1:6" x14ac:dyDescent="0.25">
      <c r="A13" s="4" t="s">
        <v>131</v>
      </c>
      <c r="B13" s="2" t="s">
        <v>362</v>
      </c>
      <c r="C13" s="7" t="s">
        <v>216</v>
      </c>
      <c r="D13" s="2" t="s">
        <v>1331</v>
      </c>
      <c r="E13" s="2">
        <v>130</v>
      </c>
      <c r="F13" s="2" t="s">
        <v>832</v>
      </c>
    </row>
    <row r="14" spans="1:6" x14ac:dyDescent="0.25">
      <c r="A14" s="4" t="s">
        <v>131</v>
      </c>
      <c r="B14" s="2" t="s">
        <v>363</v>
      </c>
      <c r="C14" s="7" t="s">
        <v>222</v>
      </c>
      <c r="D14" s="2" t="s">
        <v>1330</v>
      </c>
      <c r="E14" s="2">
        <v>130</v>
      </c>
      <c r="F14" s="2" t="s">
        <v>832</v>
      </c>
    </row>
    <row r="15" spans="1:6" x14ac:dyDescent="0.25">
      <c r="A15" s="4" t="s">
        <v>131</v>
      </c>
      <c r="B15" s="2" t="s">
        <v>364</v>
      </c>
      <c r="C15" s="7" t="s">
        <v>216</v>
      </c>
      <c r="D15" s="2" t="s">
        <v>1331</v>
      </c>
      <c r="E15" s="2">
        <v>130</v>
      </c>
      <c r="F15" s="2" t="s">
        <v>832</v>
      </c>
    </row>
    <row r="16" spans="1:6" x14ac:dyDescent="0.25">
      <c r="A16" s="4" t="s">
        <v>131</v>
      </c>
      <c r="B16" s="2" t="s">
        <v>365</v>
      </c>
      <c r="C16" s="7" t="s">
        <v>248</v>
      </c>
      <c r="D16" s="2" t="s">
        <v>1332</v>
      </c>
      <c r="E16" s="2">
        <v>130</v>
      </c>
      <c r="F16" s="2" t="s">
        <v>832</v>
      </c>
    </row>
    <row r="17" spans="1:7" x14ac:dyDescent="0.25">
      <c r="A17" s="4" t="s">
        <v>131</v>
      </c>
      <c r="B17" s="2" t="s">
        <v>366</v>
      </c>
      <c r="C17" s="7" t="s">
        <v>267</v>
      </c>
      <c r="D17" s="2" t="s">
        <v>1330</v>
      </c>
      <c r="E17" s="2">
        <v>130</v>
      </c>
      <c r="F17" s="2"/>
    </row>
    <row r="18" spans="1:7" x14ac:dyDescent="0.25">
      <c r="A18" s="4" t="s">
        <v>133</v>
      </c>
      <c r="B18" s="2" t="s">
        <v>1333</v>
      </c>
      <c r="C18" s="7" t="s">
        <v>222</v>
      </c>
      <c r="D18" s="2" t="s">
        <v>1330</v>
      </c>
      <c r="E18" s="2" t="s">
        <v>1334</v>
      </c>
      <c r="F18" s="2"/>
    </row>
    <row r="19" spans="1:7" x14ac:dyDescent="0.25">
      <c r="A19" s="4" t="s">
        <v>133</v>
      </c>
      <c r="B19" s="2" t="s">
        <v>1335</v>
      </c>
      <c r="C19" s="7" t="s">
        <v>216</v>
      </c>
      <c r="D19" s="2" t="s">
        <v>1331</v>
      </c>
      <c r="E19" s="2" t="s">
        <v>1334</v>
      </c>
      <c r="F19" s="19" t="s">
        <v>1336</v>
      </c>
    </row>
    <row r="20" spans="1:7" x14ac:dyDescent="0.25">
      <c r="A20" s="4" t="s">
        <v>133</v>
      </c>
      <c r="B20" s="2" t="s">
        <v>1337</v>
      </c>
      <c r="C20" s="7" t="s">
        <v>267</v>
      </c>
      <c r="D20" s="2" t="s">
        <v>1330</v>
      </c>
      <c r="E20" s="2" t="s">
        <v>1334</v>
      </c>
      <c r="F20" s="2"/>
    </row>
    <row r="21" spans="1:7" x14ac:dyDescent="0.25">
      <c r="A21" s="4" t="s">
        <v>133</v>
      </c>
      <c r="B21" s="2" t="s">
        <v>1338</v>
      </c>
      <c r="C21" s="7" t="s">
        <v>248</v>
      </c>
      <c r="D21" s="2" t="s">
        <v>1332</v>
      </c>
      <c r="E21" s="2" t="s">
        <v>1334</v>
      </c>
      <c r="F21" s="2" t="s">
        <v>1339</v>
      </c>
    </row>
    <row r="22" spans="1:7" x14ac:dyDescent="0.25">
      <c r="A22" s="4" t="s">
        <v>132</v>
      </c>
      <c r="B22" s="2" t="s">
        <v>397</v>
      </c>
      <c r="C22" s="7" t="s">
        <v>398</v>
      </c>
      <c r="D22" s="2" t="s">
        <v>1340</v>
      </c>
      <c r="E22" s="2">
        <v>200</v>
      </c>
      <c r="F22" s="2" t="s">
        <v>832</v>
      </c>
    </row>
    <row r="23" spans="1:7" x14ac:dyDescent="0.25">
      <c r="A23" s="4" t="s">
        <v>132</v>
      </c>
      <c r="B23" s="2" t="s">
        <v>399</v>
      </c>
      <c r="C23" s="7" t="s">
        <v>400</v>
      </c>
      <c r="D23" s="2" t="s">
        <v>1341</v>
      </c>
      <c r="E23" s="2">
        <v>200</v>
      </c>
      <c r="F23" s="2" t="s">
        <v>832</v>
      </c>
      <c r="G23" s="113" t="s">
        <v>1674</v>
      </c>
    </row>
    <row r="24" spans="1:7" x14ac:dyDescent="0.25">
      <c r="A24" s="4" t="s">
        <v>132</v>
      </c>
      <c r="B24" s="2" t="s">
        <v>401</v>
      </c>
      <c r="C24" s="7" t="s">
        <v>402</v>
      </c>
      <c r="D24" s="2" t="s">
        <v>1342</v>
      </c>
      <c r="E24" s="2">
        <v>200</v>
      </c>
      <c r="F24" s="2" t="s">
        <v>835</v>
      </c>
    </row>
    <row r="25" spans="1:7" x14ac:dyDescent="0.25">
      <c r="A25" s="4" t="s">
        <v>132</v>
      </c>
      <c r="B25" s="2" t="s">
        <v>403</v>
      </c>
      <c r="C25" s="7" t="s">
        <v>404</v>
      </c>
      <c r="D25" s="2" t="s">
        <v>1343</v>
      </c>
      <c r="E25" s="2">
        <v>200</v>
      </c>
      <c r="F25" s="2" t="s">
        <v>832</v>
      </c>
    </row>
    <row r="26" spans="1:7" x14ac:dyDescent="0.25">
      <c r="A26" s="4" t="s">
        <v>132</v>
      </c>
      <c r="B26" s="2" t="s">
        <v>405</v>
      </c>
      <c r="C26" s="7" t="s">
        <v>406</v>
      </c>
      <c r="D26" s="2" t="s">
        <v>1344</v>
      </c>
      <c r="E26" s="2">
        <v>200</v>
      </c>
      <c r="F26" s="2" t="s">
        <v>832</v>
      </c>
    </row>
    <row r="27" spans="1:7" x14ac:dyDescent="0.25">
      <c r="A27" s="4" t="s">
        <v>132</v>
      </c>
      <c r="B27" s="2" t="s">
        <v>407</v>
      </c>
      <c r="C27" s="7" t="s">
        <v>408</v>
      </c>
      <c r="D27" s="2" t="s">
        <v>1342</v>
      </c>
      <c r="E27" s="2">
        <v>200</v>
      </c>
      <c r="F27" s="2" t="s">
        <v>832</v>
      </c>
    </row>
    <row r="28" spans="1:7" x14ac:dyDescent="0.25">
      <c r="A28" s="4" t="s">
        <v>100</v>
      </c>
      <c r="B28" s="2" t="s">
        <v>1345</v>
      </c>
      <c r="C28" s="7" t="s">
        <v>1346</v>
      </c>
      <c r="D28" s="2" t="s">
        <v>1347</v>
      </c>
      <c r="E28" s="2" t="s">
        <v>1334</v>
      </c>
      <c r="F28" s="2" t="s">
        <v>1339</v>
      </c>
    </row>
    <row r="29" spans="1:7" x14ac:dyDescent="0.25">
      <c r="A29" s="4" t="s">
        <v>100</v>
      </c>
      <c r="B29" s="2" t="s">
        <v>1348</v>
      </c>
      <c r="C29" s="7" t="s">
        <v>408</v>
      </c>
      <c r="D29" s="2" t="s">
        <v>1342</v>
      </c>
      <c r="E29" s="2" t="s">
        <v>1334</v>
      </c>
      <c r="F29" s="2"/>
    </row>
    <row r="30" spans="1:7" x14ac:dyDescent="0.25">
      <c r="A30" s="4" t="s">
        <v>100</v>
      </c>
      <c r="B30" s="2" t="s">
        <v>1349</v>
      </c>
      <c r="C30" s="7" t="s">
        <v>1350</v>
      </c>
      <c r="D30" s="2" t="s">
        <v>1341</v>
      </c>
      <c r="E30" s="2" t="s">
        <v>1334</v>
      </c>
      <c r="F30" s="2"/>
    </row>
    <row r="31" spans="1:7" x14ac:dyDescent="0.25">
      <c r="A31" s="4" t="s">
        <v>96</v>
      </c>
      <c r="B31" s="2" t="s">
        <v>354</v>
      </c>
      <c r="C31" s="7" t="s">
        <v>355</v>
      </c>
      <c r="D31" s="2" t="s">
        <v>1351</v>
      </c>
      <c r="E31" s="2">
        <v>100</v>
      </c>
      <c r="F31" s="2"/>
    </row>
    <row r="32" spans="1:7" x14ac:dyDescent="0.25">
      <c r="A32" s="4" t="s">
        <v>96</v>
      </c>
      <c r="B32" s="2" t="s">
        <v>356</v>
      </c>
      <c r="C32" s="7" t="s">
        <v>357</v>
      </c>
      <c r="D32" s="2" t="s">
        <v>1352</v>
      </c>
      <c r="E32" s="2">
        <v>100</v>
      </c>
      <c r="F32" s="2" t="s">
        <v>832</v>
      </c>
    </row>
    <row r="33" spans="1:6" x14ac:dyDescent="0.25">
      <c r="A33" s="4" t="s">
        <v>101</v>
      </c>
      <c r="B33" s="2" t="s">
        <v>1353</v>
      </c>
      <c r="C33" s="7" t="s">
        <v>355</v>
      </c>
      <c r="D33" s="2" t="s">
        <v>1351</v>
      </c>
      <c r="E33" s="2" t="s">
        <v>1334</v>
      </c>
      <c r="F33" s="2"/>
    </row>
    <row r="34" spans="1:6" ht="30" customHeight="1" x14ac:dyDescent="0.25">
      <c r="A34" s="4" t="s">
        <v>98</v>
      </c>
      <c r="B34" s="2" t="s">
        <v>210</v>
      </c>
      <c r="C34" s="7" t="s">
        <v>211</v>
      </c>
      <c r="D34" s="2" t="s">
        <v>1354</v>
      </c>
      <c r="E34" s="2">
        <v>50</v>
      </c>
      <c r="F34" s="2"/>
    </row>
    <row r="35" spans="1:6" ht="30" customHeight="1" x14ac:dyDescent="0.25">
      <c r="A35" s="4" t="s">
        <v>98</v>
      </c>
      <c r="B35" s="2" t="s">
        <v>212</v>
      </c>
      <c r="C35" s="7" t="s">
        <v>213</v>
      </c>
      <c r="D35" s="2" t="s">
        <v>1355</v>
      </c>
      <c r="E35" s="2">
        <v>50</v>
      </c>
      <c r="F35" s="2"/>
    </row>
    <row r="36" spans="1:6" ht="30" customHeight="1" x14ac:dyDescent="0.25">
      <c r="A36" s="4" t="s">
        <v>102</v>
      </c>
      <c r="B36" s="2" t="s">
        <v>1356</v>
      </c>
      <c r="C36" s="7" t="s">
        <v>211</v>
      </c>
      <c r="D36" s="2" t="s">
        <v>1354</v>
      </c>
      <c r="E36" s="2" t="s">
        <v>1334</v>
      </c>
      <c r="F36" s="2"/>
    </row>
  </sheetData>
  <autoFilter ref="A1:F36" xr:uid="{00000000-0009-0000-0000-00000F000000}"/>
  <conditionalFormatting sqref="F2:F36 G23">
    <cfRule type="expression" dxfId="15" priority="5">
      <formula>UPPER(LEFT(F2&amp;"",1))="Y"</formula>
    </cfRule>
    <cfRule type="expression" dxfId="14" priority="6">
      <formula>AND(F2&lt;&gt;"",UPPER(LEFT(F2&amp;"",1))&lt;&gt;"Y")</formula>
    </cfRule>
    <cfRule type="expression" dxfId="13" priority="7">
      <formula>UPPER(TRIM(F2&amp;""))="Y"</formula>
    </cfRule>
    <cfRule type="expression" dxfId="12" priority="8">
      <formula>UPPER(TRIM(F2&amp;""))="H"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68"/>
  <sheetViews>
    <sheetView topLeftCell="B1" zoomScaleNormal="100" workbookViewId="0">
      <pane ySplit="1" topLeftCell="A2" activePane="bottomLeft" state="frozen"/>
      <selection activeCell="C1" sqref="C1"/>
      <selection pane="bottomLeft" activeCell="E48" sqref="E48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41.28515625" customWidth="1"/>
    <col min="4" max="11" width="29.85546875" customWidth="1"/>
  </cols>
  <sheetData>
    <row r="1" spans="1:12" ht="21.95" customHeight="1" x14ac:dyDescent="0.25">
      <c r="A1" s="1" t="s">
        <v>1357</v>
      </c>
      <c r="B1" s="1" t="s">
        <v>161</v>
      </c>
      <c r="C1" s="1" t="s">
        <v>162</v>
      </c>
      <c r="D1" s="1" t="s">
        <v>60</v>
      </c>
      <c r="E1" s="1" t="s">
        <v>1358</v>
      </c>
      <c r="F1" s="1" t="s">
        <v>176</v>
      </c>
      <c r="G1" s="1" t="s">
        <v>1359</v>
      </c>
      <c r="H1" s="1" t="s">
        <v>1360</v>
      </c>
      <c r="I1" s="1" t="s">
        <v>829</v>
      </c>
      <c r="J1" s="1" t="s">
        <v>1361</v>
      </c>
      <c r="K1" s="1" t="s">
        <v>1362</v>
      </c>
      <c r="L1" s="65"/>
    </row>
    <row r="2" spans="1:12" x14ac:dyDescent="0.25">
      <c r="A2" s="17" t="s">
        <v>214</v>
      </c>
      <c r="B2" s="9" t="s">
        <v>215</v>
      </c>
      <c r="C2" s="7" t="s">
        <v>216</v>
      </c>
      <c r="D2" s="22" t="s">
        <v>835</v>
      </c>
      <c r="E2" s="9" t="s">
        <v>1363</v>
      </c>
      <c r="F2" s="37"/>
      <c r="G2" s="9"/>
      <c r="H2" s="9"/>
      <c r="I2" s="9"/>
      <c r="J2" s="37"/>
      <c r="K2" s="51"/>
      <c r="L2" s="65"/>
    </row>
    <row r="3" spans="1:12" x14ac:dyDescent="0.25">
      <c r="A3" s="17" t="s">
        <v>214</v>
      </c>
      <c r="B3" s="9" t="s">
        <v>219</v>
      </c>
      <c r="C3" s="7" t="s">
        <v>224</v>
      </c>
      <c r="D3" s="9" t="s">
        <v>835</v>
      </c>
      <c r="E3" s="9"/>
      <c r="F3" s="37"/>
      <c r="G3" s="9"/>
      <c r="H3" s="9"/>
      <c r="I3" s="9"/>
      <c r="J3" s="37"/>
      <c r="K3" s="51"/>
      <c r="L3" s="65"/>
    </row>
    <row r="4" spans="1:12" x14ac:dyDescent="0.25">
      <c r="A4" s="17" t="s">
        <v>214</v>
      </c>
      <c r="B4" s="9" t="s">
        <v>221</v>
      </c>
      <c r="C4" s="7" t="s">
        <v>222</v>
      </c>
      <c r="D4" s="9" t="s">
        <v>835</v>
      </c>
      <c r="E4" s="9"/>
      <c r="F4" s="37"/>
      <c r="G4" s="9"/>
      <c r="H4" s="9"/>
      <c r="I4" s="9"/>
      <c r="J4" s="37"/>
      <c r="K4" s="51"/>
      <c r="L4" s="65"/>
    </row>
    <row r="5" spans="1:12" x14ac:dyDescent="0.25">
      <c r="A5" s="17" t="s">
        <v>214</v>
      </c>
      <c r="B5" s="9" t="s">
        <v>223</v>
      </c>
      <c r="C5" s="7" t="s">
        <v>224</v>
      </c>
      <c r="D5" s="9" t="s">
        <v>832</v>
      </c>
      <c r="E5" s="9"/>
      <c r="F5" s="37"/>
      <c r="G5" s="9"/>
      <c r="H5" s="9"/>
      <c r="I5" s="9"/>
      <c r="J5" s="37"/>
      <c r="K5" s="51"/>
      <c r="L5" s="65"/>
    </row>
    <row r="6" spans="1:12" x14ac:dyDescent="0.25">
      <c r="A6" s="17" t="s">
        <v>214</v>
      </c>
      <c r="B6" s="9" t="s">
        <v>225</v>
      </c>
      <c r="C6" s="7" t="s">
        <v>224</v>
      </c>
      <c r="D6" s="9" t="s">
        <v>832</v>
      </c>
      <c r="E6" s="9"/>
      <c r="F6" s="37"/>
      <c r="G6" s="9"/>
      <c r="H6" s="9"/>
      <c r="I6" s="9"/>
      <c r="J6" s="37"/>
      <c r="K6" s="51"/>
      <c r="L6" s="65"/>
    </row>
    <row r="7" spans="1:12" x14ac:dyDescent="0.25">
      <c r="A7" s="17" t="s">
        <v>214</v>
      </c>
      <c r="B7" s="9" t="s">
        <v>226</v>
      </c>
      <c r="C7" s="7" t="s">
        <v>224</v>
      </c>
      <c r="D7" s="9" t="s">
        <v>832</v>
      </c>
      <c r="E7" s="9" t="s">
        <v>832</v>
      </c>
      <c r="F7" s="37"/>
      <c r="G7" s="9"/>
      <c r="H7" s="9"/>
      <c r="I7" s="9"/>
      <c r="J7" s="37"/>
      <c r="K7" s="51"/>
      <c r="L7" s="65"/>
    </row>
    <row r="8" spans="1:12" x14ac:dyDescent="0.25">
      <c r="A8" s="17" t="s">
        <v>214</v>
      </c>
      <c r="B8" s="9" t="s">
        <v>227</v>
      </c>
      <c r="C8" s="7" t="s">
        <v>228</v>
      </c>
      <c r="D8" s="9" t="s">
        <v>835</v>
      </c>
      <c r="E8" s="9" t="s">
        <v>1200</v>
      </c>
      <c r="F8" s="37"/>
      <c r="G8" s="9"/>
      <c r="H8" s="9"/>
      <c r="I8" s="37"/>
      <c r="J8" s="9"/>
      <c r="K8" s="51"/>
      <c r="L8" s="65"/>
    </row>
    <row r="9" spans="1:12" x14ac:dyDescent="0.25">
      <c r="A9" s="17" t="s">
        <v>214</v>
      </c>
      <c r="B9" s="9" t="s">
        <v>229</v>
      </c>
      <c r="C9" s="7" t="s">
        <v>230</v>
      </c>
      <c r="D9" s="9"/>
      <c r="E9" s="9"/>
      <c r="F9" s="37"/>
      <c r="G9" s="9"/>
      <c r="H9" s="9"/>
      <c r="I9" s="9"/>
      <c r="J9" s="37"/>
      <c r="K9" s="51"/>
      <c r="L9" s="65"/>
    </row>
    <row r="10" spans="1:12" x14ac:dyDescent="0.25">
      <c r="A10" s="17" t="s">
        <v>214</v>
      </c>
      <c r="B10" s="9" t="s">
        <v>231</v>
      </c>
      <c r="C10" s="7" t="s">
        <v>230</v>
      </c>
      <c r="D10" s="37"/>
      <c r="E10" s="9"/>
      <c r="F10" s="9"/>
      <c r="G10" s="9"/>
      <c r="H10" s="9"/>
      <c r="I10" s="9"/>
      <c r="J10" s="37"/>
      <c r="K10" s="51"/>
      <c r="L10" s="65" t="s">
        <v>1364</v>
      </c>
    </row>
    <row r="11" spans="1:12" x14ac:dyDescent="0.25">
      <c r="A11" s="17" t="s">
        <v>214</v>
      </c>
      <c r="B11" s="9" t="s">
        <v>233</v>
      </c>
      <c r="C11" s="7" t="s">
        <v>234</v>
      </c>
      <c r="D11" s="9" t="s">
        <v>835</v>
      </c>
      <c r="E11" s="9"/>
      <c r="F11" s="37"/>
      <c r="G11" s="9"/>
      <c r="H11" s="9"/>
      <c r="I11" s="9"/>
      <c r="J11" s="37"/>
      <c r="K11" s="51"/>
      <c r="L11" s="65"/>
    </row>
    <row r="12" spans="1:12" x14ac:dyDescent="0.25">
      <c r="A12" s="17" t="s">
        <v>214</v>
      </c>
      <c r="B12" s="9" t="s">
        <v>235</v>
      </c>
      <c r="C12" s="7" t="s">
        <v>234</v>
      </c>
      <c r="D12" s="9" t="s">
        <v>832</v>
      </c>
      <c r="E12" s="9" t="s">
        <v>1365</v>
      </c>
      <c r="F12" s="37"/>
      <c r="G12" s="9"/>
      <c r="H12" s="9"/>
      <c r="I12" s="9"/>
      <c r="J12" s="37"/>
      <c r="K12" s="51"/>
      <c r="L12" s="65"/>
    </row>
    <row r="13" spans="1:12" x14ac:dyDescent="0.25">
      <c r="A13" s="17" t="s">
        <v>214</v>
      </c>
      <c r="B13" s="9" t="s">
        <v>236</v>
      </c>
      <c r="C13" s="7" t="s">
        <v>234</v>
      </c>
      <c r="D13" s="9" t="s">
        <v>832</v>
      </c>
      <c r="E13" s="9"/>
      <c r="F13" s="37"/>
      <c r="G13" s="9"/>
      <c r="H13" s="9"/>
      <c r="I13" s="9"/>
      <c r="J13" s="37"/>
      <c r="K13" s="51"/>
      <c r="L13" s="65"/>
    </row>
    <row r="14" spans="1:12" x14ac:dyDescent="0.25">
      <c r="A14" s="17" t="s">
        <v>214</v>
      </c>
      <c r="B14" s="9" t="s">
        <v>237</v>
      </c>
      <c r="C14" s="7" t="s">
        <v>1366</v>
      </c>
      <c r="D14" s="9"/>
      <c r="E14" s="9" t="s">
        <v>1215</v>
      </c>
      <c r="F14" s="37"/>
      <c r="G14" s="9"/>
      <c r="H14" s="9"/>
      <c r="I14" s="37"/>
      <c r="J14" s="9"/>
      <c r="K14" s="51"/>
      <c r="L14" s="65"/>
    </row>
    <row r="15" spans="1:12" x14ac:dyDescent="0.25">
      <c r="A15" s="17" t="s">
        <v>214</v>
      </c>
      <c r="B15" s="9" t="s">
        <v>239</v>
      </c>
      <c r="C15" s="7" t="s">
        <v>228</v>
      </c>
      <c r="D15" s="9" t="s">
        <v>835</v>
      </c>
      <c r="E15" s="9" t="s">
        <v>1367</v>
      </c>
      <c r="F15" s="37"/>
      <c r="G15" s="65"/>
      <c r="H15" s="9"/>
      <c r="I15" s="37"/>
      <c r="J15" s="9"/>
      <c r="K15" s="52"/>
      <c r="L15" s="65"/>
    </row>
    <row r="16" spans="1:12" x14ac:dyDescent="0.25">
      <c r="A16" s="17" t="s">
        <v>214</v>
      </c>
      <c r="B16" s="9" t="s">
        <v>240</v>
      </c>
      <c r="C16" s="7" t="s">
        <v>228</v>
      </c>
      <c r="D16" s="9" t="s">
        <v>835</v>
      </c>
      <c r="E16" s="9"/>
      <c r="F16" s="37"/>
      <c r="G16" s="65"/>
      <c r="H16" s="9"/>
      <c r="I16" s="37"/>
      <c r="J16" s="9"/>
      <c r="K16" s="52"/>
      <c r="L16" s="65"/>
    </row>
    <row r="17" spans="1:11" x14ac:dyDescent="0.25">
      <c r="A17" s="17" t="s">
        <v>214</v>
      </c>
      <c r="B17" s="9" t="s">
        <v>241</v>
      </c>
      <c r="C17" s="7" t="s">
        <v>242</v>
      </c>
      <c r="D17" s="37"/>
      <c r="E17" s="9"/>
      <c r="F17" s="9" t="s">
        <v>832</v>
      </c>
      <c r="G17" s="9" t="s">
        <v>899</v>
      </c>
      <c r="H17" s="9"/>
      <c r="I17" s="37"/>
      <c r="J17" s="9"/>
      <c r="K17" s="51"/>
    </row>
    <row r="18" spans="1:11" x14ac:dyDescent="0.25">
      <c r="A18" s="17" t="s">
        <v>214</v>
      </c>
      <c r="B18" s="9" t="s">
        <v>243</v>
      </c>
      <c r="C18" s="7" t="s">
        <v>244</v>
      </c>
      <c r="D18" s="9"/>
      <c r="E18" s="44" t="s">
        <v>1368</v>
      </c>
      <c r="F18" s="37"/>
      <c r="G18" s="9"/>
      <c r="H18" s="9"/>
      <c r="I18" s="9"/>
      <c r="J18" s="37"/>
      <c r="K18" s="51"/>
    </row>
    <row r="19" spans="1:11" x14ac:dyDescent="0.25">
      <c r="A19" s="17" t="s">
        <v>214</v>
      </c>
      <c r="B19" s="9" t="s">
        <v>245</v>
      </c>
      <c r="C19" s="7" t="s">
        <v>244</v>
      </c>
      <c r="D19" s="9"/>
      <c r="E19" s="9"/>
      <c r="F19" s="37"/>
      <c r="G19" s="9"/>
      <c r="H19" s="9"/>
      <c r="I19" s="9"/>
      <c r="J19" s="37"/>
      <c r="K19" s="51"/>
    </row>
    <row r="20" spans="1:11" x14ac:dyDescent="0.25">
      <c r="A20" s="17" t="s">
        <v>214</v>
      </c>
      <c r="B20" s="9" t="s">
        <v>246</v>
      </c>
      <c r="C20" s="7" t="s">
        <v>1369</v>
      </c>
      <c r="D20" s="9"/>
      <c r="E20" s="9"/>
      <c r="F20" s="37"/>
      <c r="G20" s="9"/>
      <c r="H20" s="9"/>
      <c r="I20" s="9"/>
      <c r="J20" s="37"/>
      <c r="K20" s="51"/>
    </row>
    <row r="21" spans="1:11" x14ac:dyDescent="0.25">
      <c r="A21" s="17" t="s">
        <v>214</v>
      </c>
      <c r="B21" s="9" t="s">
        <v>247</v>
      </c>
      <c r="C21" s="7" t="s">
        <v>248</v>
      </c>
      <c r="D21" s="9"/>
      <c r="E21" s="9"/>
      <c r="F21" s="37"/>
      <c r="G21" s="9" t="s">
        <v>1200</v>
      </c>
      <c r="H21" s="9"/>
      <c r="I21" s="9"/>
      <c r="J21" s="37"/>
      <c r="K21" s="51"/>
    </row>
    <row r="22" spans="1:11" x14ac:dyDescent="0.25">
      <c r="A22" s="17" t="s">
        <v>214</v>
      </c>
      <c r="B22" s="9" t="s">
        <v>249</v>
      </c>
      <c r="C22" s="7" t="s">
        <v>250</v>
      </c>
      <c r="D22" s="9"/>
      <c r="E22" s="9"/>
      <c r="F22" s="37"/>
      <c r="G22" s="9"/>
      <c r="H22" s="9"/>
      <c r="I22" s="9"/>
      <c r="J22" s="37"/>
      <c r="K22" s="51"/>
    </row>
    <row r="23" spans="1:11" x14ac:dyDescent="0.25">
      <c r="A23" s="17" t="s">
        <v>214</v>
      </c>
      <c r="B23" s="9" t="s">
        <v>251</v>
      </c>
      <c r="C23" s="7" t="s">
        <v>270</v>
      </c>
      <c r="D23" s="37"/>
      <c r="E23" s="9"/>
      <c r="F23" s="9" t="s">
        <v>835</v>
      </c>
      <c r="G23" s="9"/>
      <c r="H23" s="9"/>
      <c r="I23" s="9"/>
      <c r="J23" s="37"/>
      <c r="K23" s="51"/>
    </row>
    <row r="24" spans="1:11" x14ac:dyDescent="0.25">
      <c r="A24" s="17" t="s">
        <v>214</v>
      </c>
      <c r="B24" s="9" t="s">
        <v>253</v>
      </c>
      <c r="C24" s="7" t="s">
        <v>254</v>
      </c>
      <c r="D24" s="9"/>
      <c r="E24" s="9"/>
      <c r="F24" s="37"/>
      <c r="G24" s="9"/>
      <c r="H24" s="9"/>
      <c r="I24" s="9"/>
      <c r="J24" s="37"/>
      <c r="K24" s="51"/>
    </row>
    <row r="25" spans="1:11" x14ac:dyDescent="0.25">
      <c r="A25" s="17" t="s">
        <v>214</v>
      </c>
      <c r="B25" s="9" t="s">
        <v>255</v>
      </c>
      <c r="C25" s="7" t="s">
        <v>254</v>
      </c>
      <c r="D25" s="9"/>
      <c r="E25" s="9"/>
      <c r="F25" s="37"/>
      <c r="G25" s="9"/>
      <c r="H25" s="9"/>
      <c r="I25" s="9"/>
      <c r="J25" s="37"/>
      <c r="K25" s="51"/>
    </row>
    <row r="26" spans="1:11" x14ac:dyDescent="0.25">
      <c r="A26" s="17" t="s">
        <v>214</v>
      </c>
      <c r="B26" s="9" t="s">
        <v>256</v>
      </c>
      <c r="C26" s="7" t="s">
        <v>216</v>
      </c>
      <c r="D26" s="9"/>
      <c r="E26" s="9" t="s">
        <v>1224</v>
      </c>
      <c r="F26" s="37"/>
      <c r="G26" s="9"/>
      <c r="H26" s="9"/>
      <c r="I26" s="9"/>
      <c r="J26" s="37"/>
      <c r="K26" s="51"/>
    </row>
    <row r="27" spans="1:11" x14ac:dyDescent="0.25">
      <c r="A27" s="17" t="s">
        <v>214</v>
      </c>
      <c r="B27" s="9" t="s">
        <v>257</v>
      </c>
      <c r="C27" s="7" t="s">
        <v>216</v>
      </c>
      <c r="D27" s="37"/>
      <c r="E27" s="9"/>
      <c r="F27" s="9"/>
      <c r="G27" s="9"/>
      <c r="H27" s="9"/>
      <c r="I27" s="37"/>
      <c r="J27" s="9"/>
      <c r="K27" s="51"/>
    </row>
    <row r="28" spans="1:11" x14ac:dyDescent="0.25">
      <c r="A28" s="17" t="s">
        <v>214</v>
      </c>
      <c r="B28" s="9" t="s">
        <v>259</v>
      </c>
      <c r="C28" s="7" t="s">
        <v>260</v>
      </c>
      <c r="D28" s="9" t="s">
        <v>832</v>
      </c>
      <c r="E28" s="9" t="s">
        <v>1224</v>
      </c>
      <c r="F28" s="37"/>
      <c r="G28" s="9"/>
      <c r="H28" s="9"/>
      <c r="I28" s="9"/>
      <c r="J28" s="37"/>
      <c r="K28" s="51"/>
    </row>
    <row r="29" spans="1:11" x14ac:dyDescent="0.25">
      <c r="A29" s="17" t="s">
        <v>214</v>
      </c>
      <c r="B29" s="9" t="s">
        <v>261</v>
      </c>
      <c r="C29" s="7" t="s">
        <v>260</v>
      </c>
      <c r="D29" s="9" t="s">
        <v>832</v>
      </c>
      <c r="E29" s="44" t="s">
        <v>1370</v>
      </c>
      <c r="F29" s="37"/>
      <c r="G29" s="9"/>
      <c r="H29" s="9"/>
      <c r="I29" s="9"/>
      <c r="J29" s="37"/>
      <c r="K29" s="51"/>
    </row>
    <row r="30" spans="1:11" x14ac:dyDescent="0.25">
      <c r="A30" s="17" t="s">
        <v>214</v>
      </c>
      <c r="B30" s="9" t="s">
        <v>262</v>
      </c>
      <c r="C30" s="7" t="s">
        <v>263</v>
      </c>
      <c r="D30" s="9"/>
      <c r="E30" s="9"/>
      <c r="F30" s="37"/>
      <c r="G30" s="9"/>
      <c r="H30" s="9"/>
      <c r="I30" s="9"/>
      <c r="J30" s="37"/>
      <c r="K30" s="51"/>
    </row>
    <row r="31" spans="1:11" x14ac:dyDescent="0.25">
      <c r="A31" s="17" t="s">
        <v>214</v>
      </c>
      <c r="B31" s="9" t="s">
        <v>264</v>
      </c>
      <c r="C31" s="7" t="s">
        <v>260</v>
      </c>
      <c r="D31" s="37"/>
      <c r="E31" s="9"/>
      <c r="F31" s="9"/>
      <c r="G31" s="9"/>
      <c r="H31" s="9"/>
      <c r="I31" s="9"/>
      <c r="J31" s="37"/>
      <c r="K31" s="51"/>
    </row>
    <row r="32" spans="1:11" x14ac:dyDescent="0.25">
      <c r="A32" s="17" t="s">
        <v>214</v>
      </c>
      <c r="B32" s="9" t="s">
        <v>266</v>
      </c>
      <c r="C32" s="7" t="s">
        <v>267</v>
      </c>
      <c r="D32" s="9"/>
      <c r="E32" s="9"/>
      <c r="F32" s="37"/>
      <c r="G32" s="9"/>
      <c r="H32" s="9"/>
      <c r="I32" s="9"/>
      <c r="J32" s="37"/>
      <c r="K32" s="51"/>
    </row>
    <row r="33" spans="1:11" x14ac:dyDescent="0.25">
      <c r="A33" s="17" t="s">
        <v>214</v>
      </c>
      <c r="B33" s="9" t="s">
        <v>268</v>
      </c>
      <c r="C33" s="7" t="s">
        <v>267</v>
      </c>
      <c r="D33" s="9" t="s">
        <v>1224</v>
      </c>
      <c r="E33" s="9"/>
      <c r="F33" s="37"/>
      <c r="G33" s="9" t="s">
        <v>1055</v>
      </c>
      <c r="H33" s="9"/>
      <c r="I33" s="9"/>
      <c r="J33" s="37"/>
      <c r="K33" s="51"/>
    </row>
    <row r="34" spans="1:11" x14ac:dyDescent="0.25">
      <c r="A34" s="17" t="s">
        <v>214</v>
      </c>
      <c r="B34" s="9" t="s">
        <v>269</v>
      </c>
      <c r="C34" s="7" t="s">
        <v>270</v>
      </c>
      <c r="D34" s="9"/>
      <c r="E34" s="50" t="s">
        <v>1224</v>
      </c>
      <c r="F34" s="37"/>
      <c r="G34" s="9"/>
      <c r="H34" s="9"/>
      <c r="I34" s="9"/>
      <c r="J34" s="37"/>
      <c r="K34" s="51"/>
    </row>
    <row r="35" spans="1:11" x14ac:dyDescent="0.25">
      <c r="A35" s="17" t="s">
        <v>214</v>
      </c>
      <c r="B35" s="9" t="s">
        <v>271</v>
      </c>
      <c r="C35" s="7" t="s">
        <v>270</v>
      </c>
      <c r="D35" s="9" t="s">
        <v>835</v>
      </c>
      <c r="E35" s="9"/>
      <c r="F35" s="37"/>
      <c r="G35" s="9"/>
      <c r="H35" s="9"/>
      <c r="I35" s="9"/>
      <c r="J35" s="37"/>
      <c r="K35" s="51"/>
    </row>
    <row r="36" spans="1:11" x14ac:dyDescent="0.25">
      <c r="A36" s="17" t="s">
        <v>214</v>
      </c>
      <c r="B36" s="9" t="s">
        <v>272</v>
      </c>
      <c r="C36" s="7" t="s">
        <v>1371</v>
      </c>
      <c r="D36" s="9"/>
      <c r="E36" s="9"/>
      <c r="F36" s="37"/>
      <c r="G36" s="9"/>
      <c r="H36" s="9"/>
      <c r="I36" s="9"/>
      <c r="J36" s="37"/>
      <c r="K36" s="51"/>
    </row>
    <row r="37" spans="1:11" x14ac:dyDescent="0.25">
      <c r="A37" s="17" t="s">
        <v>214</v>
      </c>
      <c r="B37" s="9" t="s">
        <v>273</v>
      </c>
      <c r="C37" s="7" t="s">
        <v>274</v>
      </c>
      <c r="D37" s="9"/>
      <c r="E37" s="37"/>
      <c r="F37" s="37"/>
      <c r="G37" s="37"/>
      <c r="H37" s="37"/>
      <c r="I37" s="37"/>
      <c r="J37" s="37"/>
      <c r="K37" s="37"/>
    </row>
    <row r="38" spans="1:11" x14ac:dyDescent="0.25">
      <c r="A38" s="17" t="s">
        <v>214</v>
      </c>
      <c r="B38" s="9" t="s">
        <v>275</v>
      </c>
      <c r="C38" s="7" t="s">
        <v>276</v>
      </c>
      <c r="D38" s="9" t="s">
        <v>835</v>
      </c>
      <c r="E38" s="9"/>
      <c r="F38" s="37"/>
      <c r="G38" s="9" t="s">
        <v>1084</v>
      </c>
      <c r="H38" s="9"/>
      <c r="I38" s="9"/>
      <c r="J38" s="37"/>
      <c r="K38" s="51"/>
    </row>
    <row r="39" spans="1:11" x14ac:dyDescent="0.25">
      <c r="A39" s="17" t="s">
        <v>214</v>
      </c>
      <c r="B39" s="9" t="s">
        <v>277</v>
      </c>
      <c r="C39" s="7" t="s">
        <v>260</v>
      </c>
      <c r="D39" s="9" t="s">
        <v>832</v>
      </c>
      <c r="E39" s="46" t="s">
        <v>933</v>
      </c>
      <c r="F39" s="37"/>
      <c r="G39" s="9"/>
      <c r="H39" s="9"/>
      <c r="I39" s="9"/>
      <c r="J39" s="37"/>
      <c r="K39" s="51"/>
    </row>
    <row r="40" spans="1:11" x14ac:dyDescent="0.25">
      <c r="A40" s="17" t="s">
        <v>214</v>
      </c>
      <c r="B40" s="9" t="s">
        <v>278</v>
      </c>
      <c r="C40" s="7" t="s">
        <v>1372</v>
      </c>
      <c r="D40" s="9"/>
      <c r="E40" s="9"/>
      <c r="F40" s="37"/>
      <c r="G40" s="9"/>
      <c r="H40" s="9"/>
      <c r="I40" s="37"/>
      <c r="J40" s="9"/>
      <c r="K40" s="51"/>
    </row>
    <row r="41" spans="1:11" x14ac:dyDescent="0.25">
      <c r="A41" s="17" t="s">
        <v>214</v>
      </c>
      <c r="B41" s="9" t="s">
        <v>279</v>
      </c>
      <c r="C41" s="7" t="s">
        <v>280</v>
      </c>
      <c r="D41" s="9" t="s">
        <v>835</v>
      </c>
      <c r="E41" s="9"/>
      <c r="F41" s="37"/>
      <c r="G41" s="9"/>
      <c r="H41" s="9"/>
      <c r="I41" s="9"/>
      <c r="J41" s="37"/>
      <c r="K41" s="51"/>
    </row>
    <row r="42" spans="1:11" x14ac:dyDescent="0.25">
      <c r="A42" s="17" t="s">
        <v>214</v>
      </c>
      <c r="B42" s="9" t="s">
        <v>281</v>
      </c>
      <c r="C42" s="7" t="s">
        <v>276</v>
      </c>
      <c r="D42" s="9" t="s">
        <v>832</v>
      </c>
      <c r="E42" s="9" t="s">
        <v>1373</v>
      </c>
      <c r="F42" s="37"/>
      <c r="G42" s="9"/>
      <c r="H42" s="9"/>
      <c r="I42" s="9" t="s">
        <v>1374</v>
      </c>
      <c r="J42" s="37"/>
      <c r="K42" s="51"/>
    </row>
    <row r="43" spans="1:11" x14ac:dyDescent="0.25">
      <c r="A43" s="17" t="s">
        <v>214</v>
      </c>
      <c r="B43" s="9" t="s">
        <v>282</v>
      </c>
      <c r="C43" s="7" t="s">
        <v>283</v>
      </c>
      <c r="D43" s="9" t="s">
        <v>832</v>
      </c>
      <c r="E43" s="9"/>
      <c r="F43" s="37"/>
      <c r="G43" s="9"/>
      <c r="H43" s="9"/>
      <c r="I43" s="9"/>
      <c r="J43" s="37"/>
      <c r="K43" s="51"/>
    </row>
    <row r="44" spans="1:11" x14ac:dyDescent="0.25">
      <c r="A44" s="17" t="s">
        <v>214</v>
      </c>
      <c r="B44" s="9" t="s">
        <v>284</v>
      </c>
      <c r="C44" s="7" t="s">
        <v>244</v>
      </c>
      <c r="D44" s="37"/>
      <c r="E44" s="9"/>
      <c r="F44" s="9" t="s">
        <v>832</v>
      </c>
      <c r="G44" s="9"/>
      <c r="H44" s="9"/>
      <c r="I44" s="9"/>
      <c r="J44" s="37"/>
      <c r="K44" s="51"/>
    </row>
    <row r="45" spans="1:11" x14ac:dyDescent="0.25">
      <c r="A45" s="17" t="s">
        <v>214</v>
      </c>
      <c r="B45" s="9" t="s">
        <v>286</v>
      </c>
      <c r="C45" s="7" t="s">
        <v>234</v>
      </c>
      <c r="D45" s="9" t="s">
        <v>835</v>
      </c>
      <c r="E45" s="9"/>
      <c r="F45" s="37"/>
      <c r="G45" s="9"/>
      <c r="H45" s="9"/>
      <c r="I45" s="9"/>
      <c r="J45" s="37"/>
      <c r="K45" s="51"/>
    </row>
    <row r="46" spans="1:11" x14ac:dyDescent="0.25">
      <c r="A46" s="17" t="s">
        <v>214</v>
      </c>
      <c r="B46" s="9" t="s">
        <v>287</v>
      </c>
      <c r="C46" s="7" t="s">
        <v>288</v>
      </c>
      <c r="D46" s="9" t="s">
        <v>835</v>
      </c>
      <c r="E46" s="9" t="s">
        <v>1375</v>
      </c>
      <c r="F46" s="37"/>
      <c r="G46" s="9"/>
      <c r="H46" s="9"/>
      <c r="I46" s="9"/>
      <c r="J46" s="37"/>
      <c r="K46" s="51"/>
    </row>
    <row r="47" spans="1:11" x14ac:dyDescent="0.25">
      <c r="A47" s="17" t="s">
        <v>214</v>
      </c>
      <c r="B47" s="9" t="s">
        <v>289</v>
      </c>
      <c r="C47" s="7" t="s">
        <v>248</v>
      </c>
      <c r="D47" s="9"/>
      <c r="E47" s="9" t="s">
        <v>1675</v>
      </c>
      <c r="F47" s="37"/>
      <c r="G47" s="9"/>
      <c r="H47" s="9"/>
      <c r="I47" s="9"/>
      <c r="J47" s="37"/>
      <c r="K47" s="51"/>
    </row>
    <row r="48" spans="1:11" x14ac:dyDescent="0.25">
      <c r="A48" s="17" t="s">
        <v>214</v>
      </c>
      <c r="B48" s="9" t="s">
        <v>290</v>
      </c>
      <c r="C48" s="7" t="s">
        <v>288</v>
      </c>
      <c r="D48" s="9" t="s">
        <v>835</v>
      </c>
      <c r="E48" s="46" t="s">
        <v>1275</v>
      </c>
      <c r="F48" s="37"/>
      <c r="G48" s="9"/>
      <c r="H48" s="9"/>
      <c r="I48" s="9" t="s">
        <v>1129</v>
      </c>
      <c r="J48" s="37"/>
      <c r="K48" s="51"/>
    </row>
    <row r="49" spans="1:11" x14ac:dyDescent="0.25">
      <c r="A49" s="17" t="s">
        <v>214</v>
      </c>
      <c r="B49" s="9" t="s">
        <v>291</v>
      </c>
      <c r="C49" s="7" t="s">
        <v>288</v>
      </c>
      <c r="D49" s="9" t="s">
        <v>835</v>
      </c>
      <c r="E49" s="9"/>
      <c r="F49" s="37"/>
      <c r="G49" s="9"/>
      <c r="H49" s="9"/>
      <c r="I49" s="9"/>
      <c r="J49" s="37"/>
      <c r="K49" s="51"/>
    </row>
    <row r="50" spans="1:11" x14ac:dyDescent="0.25">
      <c r="A50" s="17" t="s">
        <v>214</v>
      </c>
      <c r="B50" s="9" t="s">
        <v>292</v>
      </c>
      <c r="C50" s="7" t="s">
        <v>283</v>
      </c>
      <c r="D50" s="9" t="s">
        <v>832</v>
      </c>
      <c r="E50" s="9"/>
      <c r="F50" s="37"/>
      <c r="G50" s="9"/>
      <c r="H50" s="9"/>
      <c r="I50" s="9"/>
      <c r="J50" s="37"/>
      <c r="K50" s="51"/>
    </row>
    <row r="51" spans="1:11" x14ac:dyDescent="0.25">
      <c r="A51" s="17" t="s">
        <v>214</v>
      </c>
      <c r="B51" s="9" t="s">
        <v>293</v>
      </c>
      <c r="C51" s="7" t="s">
        <v>1376</v>
      </c>
      <c r="D51" s="9"/>
      <c r="E51" s="9"/>
      <c r="F51" s="37"/>
      <c r="G51" s="9"/>
      <c r="H51" s="9"/>
      <c r="I51" s="9"/>
      <c r="J51" s="37"/>
      <c r="K51" s="51"/>
    </row>
    <row r="52" spans="1:11" x14ac:dyDescent="0.25">
      <c r="A52" s="17" t="s">
        <v>214</v>
      </c>
      <c r="B52" s="9" t="s">
        <v>294</v>
      </c>
      <c r="C52" s="7" t="s">
        <v>283</v>
      </c>
      <c r="D52" s="9"/>
      <c r="E52" s="9"/>
      <c r="F52" s="37"/>
      <c r="G52" s="9"/>
      <c r="H52" s="9"/>
      <c r="I52" s="9"/>
      <c r="J52" s="37"/>
      <c r="K52" s="51"/>
    </row>
    <row r="53" spans="1:11" x14ac:dyDescent="0.25">
      <c r="A53" s="17" t="s">
        <v>214</v>
      </c>
      <c r="B53" s="9" t="s">
        <v>295</v>
      </c>
      <c r="C53" s="7" t="s">
        <v>283</v>
      </c>
      <c r="D53" s="9" t="s">
        <v>835</v>
      </c>
      <c r="E53" s="9"/>
      <c r="F53" s="37"/>
      <c r="G53" s="9"/>
      <c r="H53" s="9"/>
      <c r="I53" s="9"/>
      <c r="J53" s="37"/>
      <c r="K53" s="51"/>
    </row>
    <row r="54" spans="1:11" x14ac:dyDescent="0.25">
      <c r="A54" s="17" t="s">
        <v>214</v>
      </c>
      <c r="B54" s="9" t="s">
        <v>296</v>
      </c>
      <c r="C54" s="7" t="s">
        <v>263</v>
      </c>
      <c r="D54" s="37"/>
      <c r="E54" s="9"/>
      <c r="F54" s="9" t="s">
        <v>835</v>
      </c>
      <c r="G54" s="9"/>
      <c r="H54" s="9"/>
      <c r="I54" s="9"/>
      <c r="J54" s="37"/>
      <c r="K54" s="51"/>
    </row>
    <row r="55" spans="1:11" x14ac:dyDescent="0.25">
      <c r="A55" s="17" t="s">
        <v>214</v>
      </c>
      <c r="B55" s="9" t="s">
        <v>298</v>
      </c>
      <c r="C55" s="7" t="s">
        <v>280</v>
      </c>
      <c r="D55" s="37"/>
      <c r="E55" s="9"/>
      <c r="F55" s="9" t="s">
        <v>835</v>
      </c>
      <c r="G55" s="9" t="s">
        <v>1200</v>
      </c>
      <c r="H55" s="9"/>
      <c r="I55" s="9"/>
      <c r="J55" s="37"/>
      <c r="K55" s="51"/>
    </row>
    <row r="56" spans="1:11" x14ac:dyDescent="0.25">
      <c r="A56" s="17" t="s">
        <v>214</v>
      </c>
      <c r="B56" s="9" t="s">
        <v>300</v>
      </c>
      <c r="C56" s="7" t="s">
        <v>301</v>
      </c>
      <c r="D56" s="9" t="s">
        <v>1224</v>
      </c>
      <c r="E56" s="9"/>
      <c r="F56" s="37"/>
      <c r="G56" s="9"/>
      <c r="H56" s="9"/>
      <c r="I56" s="9"/>
      <c r="J56" s="37"/>
      <c r="K56" s="51"/>
    </row>
    <row r="57" spans="1:11" x14ac:dyDescent="0.25">
      <c r="A57" s="17" t="s">
        <v>214</v>
      </c>
      <c r="B57" s="9" t="s">
        <v>302</v>
      </c>
      <c r="C57" s="7" t="s">
        <v>250</v>
      </c>
      <c r="D57" s="37"/>
      <c r="E57" s="9"/>
      <c r="F57" s="9" t="s">
        <v>832</v>
      </c>
      <c r="G57" s="9"/>
      <c r="H57" s="9"/>
      <c r="I57" s="9"/>
      <c r="J57" s="37"/>
      <c r="K57" s="51"/>
    </row>
    <row r="58" spans="1:11" x14ac:dyDescent="0.25">
      <c r="A58" s="17" t="s">
        <v>214</v>
      </c>
      <c r="B58" s="9" t="s">
        <v>304</v>
      </c>
      <c r="C58" s="7" t="s">
        <v>301</v>
      </c>
      <c r="D58" s="37"/>
      <c r="E58" s="9"/>
      <c r="F58" s="9"/>
      <c r="G58" s="9"/>
      <c r="H58" s="9"/>
      <c r="I58" s="9"/>
      <c r="J58" s="37"/>
      <c r="K58" s="51"/>
    </row>
    <row r="59" spans="1:11" x14ac:dyDescent="0.25">
      <c r="A59" s="17" t="s">
        <v>214</v>
      </c>
      <c r="B59" s="9" t="s">
        <v>306</v>
      </c>
      <c r="C59" s="7" t="s">
        <v>222</v>
      </c>
      <c r="D59" s="9"/>
      <c r="E59" s="9"/>
      <c r="F59" s="37"/>
      <c r="G59" s="9"/>
      <c r="H59" s="9"/>
      <c r="I59" s="9"/>
      <c r="J59" s="37"/>
      <c r="K59" s="51"/>
    </row>
    <row r="60" spans="1:11" x14ac:dyDescent="0.25">
      <c r="A60" s="17" t="s">
        <v>214</v>
      </c>
      <c r="B60" s="9" t="s">
        <v>307</v>
      </c>
      <c r="C60" s="7" t="s">
        <v>308</v>
      </c>
      <c r="D60" s="9" t="s">
        <v>1224</v>
      </c>
      <c r="E60" s="9"/>
      <c r="F60" s="37"/>
      <c r="G60" s="9"/>
      <c r="H60" s="9"/>
      <c r="I60" s="9"/>
      <c r="J60" s="37"/>
      <c r="K60" s="51"/>
    </row>
    <row r="61" spans="1:11" x14ac:dyDescent="0.25">
      <c r="A61" s="17" t="s">
        <v>214</v>
      </c>
      <c r="B61" s="9" t="s">
        <v>309</v>
      </c>
      <c r="C61" s="7" t="s">
        <v>222</v>
      </c>
      <c r="D61" s="9"/>
      <c r="E61" s="9"/>
      <c r="F61" s="37"/>
      <c r="G61" s="9"/>
      <c r="H61" s="9"/>
      <c r="I61" s="9"/>
      <c r="J61" s="37"/>
      <c r="K61" s="51"/>
    </row>
    <row r="62" spans="1:11" x14ac:dyDescent="0.25">
      <c r="A62" s="17" t="s">
        <v>214</v>
      </c>
      <c r="B62" s="9" t="s">
        <v>310</v>
      </c>
      <c r="C62" s="7" t="s">
        <v>308</v>
      </c>
      <c r="D62" s="9" t="s">
        <v>832</v>
      </c>
      <c r="E62" s="9" t="s">
        <v>1367</v>
      </c>
      <c r="F62" s="37"/>
      <c r="G62" s="9"/>
      <c r="H62" s="9"/>
      <c r="I62" s="9"/>
      <c r="J62" s="37"/>
      <c r="K62" s="51"/>
    </row>
    <row r="63" spans="1:11" x14ac:dyDescent="0.25">
      <c r="A63" s="17" t="s">
        <v>214</v>
      </c>
      <c r="B63" s="9" t="s">
        <v>311</v>
      </c>
      <c r="C63" s="7" t="s">
        <v>288</v>
      </c>
      <c r="D63" s="9" t="s">
        <v>832</v>
      </c>
      <c r="E63" s="9"/>
      <c r="F63" s="37"/>
      <c r="G63" s="9"/>
      <c r="H63" s="9"/>
      <c r="I63" s="9"/>
      <c r="J63" s="37"/>
      <c r="K63" s="51"/>
    </row>
    <row r="64" spans="1:11" x14ac:dyDescent="0.25">
      <c r="A64" s="17" t="s">
        <v>214</v>
      </c>
      <c r="B64" s="9" t="s">
        <v>312</v>
      </c>
      <c r="C64" s="7" t="s">
        <v>1366</v>
      </c>
      <c r="D64" s="9" t="s">
        <v>832</v>
      </c>
      <c r="E64" s="9" t="s">
        <v>1377</v>
      </c>
      <c r="F64" s="37"/>
      <c r="G64" s="9"/>
      <c r="H64" s="9"/>
      <c r="I64" s="9"/>
      <c r="J64" s="37"/>
      <c r="K64" s="51"/>
    </row>
    <row r="65" spans="1:11" x14ac:dyDescent="0.25">
      <c r="A65" s="17" t="s">
        <v>214</v>
      </c>
      <c r="B65" s="9" t="s">
        <v>313</v>
      </c>
      <c r="C65" s="7" t="s">
        <v>274</v>
      </c>
      <c r="D65" s="9" t="s">
        <v>835</v>
      </c>
      <c r="E65" s="37"/>
      <c r="F65" s="37"/>
      <c r="G65" s="37"/>
      <c r="H65" s="37"/>
      <c r="I65" s="37"/>
      <c r="J65" s="37"/>
      <c r="K65" s="37"/>
    </row>
    <row r="66" spans="1:11" x14ac:dyDescent="0.25">
      <c r="A66" s="17" t="s">
        <v>214</v>
      </c>
      <c r="B66" s="9" t="s">
        <v>314</v>
      </c>
      <c r="C66" s="7" t="s">
        <v>1378</v>
      </c>
      <c r="D66" s="9"/>
      <c r="E66" s="9" t="s">
        <v>871</v>
      </c>
      <c r="F66" s="37"/>
      <c r="G66" s="9" t="s">
        <v>1379</v>
      </c>
      <c r="H66" s="9"/>
      <c r="I66" s="9"/>
      <c r="J66" s="37"/>
      <c r="K66" s="51"/>
    </row>
    <row r="67" spans="1:11" x14ac:dyDescent="0.25">
      <c r="A67" s="17" t="s">
        <v>214</v>
      </c>
      <c r="B67" s="9" t="s">
        <v>315</v>
      </c>
      <c r="C67" s="7" t="s">
        <v>1378</v>
      </c>
      <c r="D67" s="9"/>
      <c r="E67" s="9"/>
      <c r="F67" s="37"/>
      <c r="G67" s="9"/>
      <c r="H67" s="9"/>
      <c r="I67" s="9"/>
      <c r="J67" s="37"/>
      <c r="K67" s="51"/>
    </row>
    <row r="68" spans="1:11" x14ac:dyDescent="0.25">
      <c r="A68" s="17"/>
      <c r="B68" s="9"/>
      <c r="C68" s="7"/>
      <c r="D68" s="9" t="str">
        <f>IF(Characters!K48="","",Characters!K48)</f>
        <v/>
      </c>
      <c r="E68" s="9"/>
      <c r="F68" s="9"/>
      <c r="G68" s="9"/>
      <c r="H68" s="9"/>
      <c r="I68" s="9"/>
      <c r="J68" s="9"/>
      <c r="K68" s="51"/>
    </row>
  </sheetData>
  <autoFilter ref="A1:J68" xr:uid="{00000000-0009-0000-0000-000010000000}"/>
  <conditionalFormatting sqref="D2:J14 D15:G16 I15:J16 D17:J165">
    <cfRule type="expression" dxfId="11" priority="1">
      <formula>UPPER(LEFT(D2&amp;"",1))="Y"</formula>
    </cfRule>
    <cfRule type="expression" dxfId="10" priority="2">
      <formula>AND(D2&lt;&gt;"",UPPER(LEFT(D2&amp;"",1))&lt;&gt;"Y")</formula>
    </cfRule>
    <cfRule type="expression" dxfId="9" priority="3">
      <formula>UPPER(TRIM(D2&amp;""))="Y"</formula>
    </cfRule>
    <cfRule type="expression" dxfId="8" priority="4">
      <formula>UPPER(TRIM(D2&amp;""))="H"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7"/>
  <sheetViews>
    <sheetView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17.85546875" bestFit="1" customWidth="1"/>
    <col min="2" max="2" width="11" bestFit="1" customWidth="1"/>
    <col min="3" max="3" width="104.5703125" customWidth="1"/>
    <col min="4" max="9" width="14.28515625" customWidth="1"/>
  </cols>
  <sheetData>
    <row r="1" spans="1:9" ht="21.95" customHeight="1" x14ac:dyDescent="0.25">
      <c r="A1" s="1" t="s">
        <v>1357</v>
      </c>
      <c r="B1" s="1" t="s">
        <v>161</v>
      </c>
      <c r="C1" s="1" t="s">
        <v>162</v>
      </c>
      <c r="D1" s="1" t="s">
        <v>60</v>
      </c>
      <c r="E1" s="1" t="s">
        <v>1358</v>
      </c>
      <c r="F1" s="1" t="s">
        <v>176</v>
      </c>
      <c r="G1" s="1" t="s">
        <v>1380</v>
      </c>
      <c r="H1" s="1" t="s">
        <v>1360</v>
      </c>
      <c r="I1" s="1" t="s">
        <v>829</v>
      </c>
    </row>
    <row r="2" spans="1:9" x14ac:dyDescent="0.25">
      <c r="A2" s="17" t="s">
        <v>141</v>
      </c>
      <c r="B2" s="9" t="s">
        <v>186</v>
      </c>
      <c r="C2" s="7" t="s">
        <v>187</v>
      </c>
      <c r="D2" s="9"/>
      <c r="E2" s="9"/>
      <c r="F2" s="9"/>
      <c r="G2" s="9"/>
      <c r="H2" s="9"/>
      <c r="I2" s="9"/>
    </row>
    <row r="3" spans="1:9" x14ac:dyDescent="0.25">
      <c r="A3" s="17" t="s">
        <v>141</v>
      </c>
      <c r="B3" s="9" t="s">
        <v>188</v>
      </c>
      <c r="C3" s="7" t="s">
        <v>189</v>
      </c>
      <c r="D3" s="9"/>
      <c r="E3" s="9" t="s">
        <v>1381</v>
      </c>
      <c r="F3" s="9"/>
      <c r="G3" s="9"/>
      <c r="H3" s="9"/>
      <c r="I3" s="9"/>
    </row>
    <row r="4" spans="1:9" x14ac:dyDescent="0.25">
      <c r="A4" s="17" t="s">
        <v>141</v>
      </c>
      <c r="B4" s="9" t="s">
        <v>190</v>
      </c>
      <c r="C4" s="7" t="s">
        <v>191</v>
      </c>
      <c r="D4" s="9"/>
      <c r="E4" s="9"/>
      <c r="F4" s="9"/>
      <c r="G4" s="9"/>
      <c r="H4" s="9"/>
      <c r="I4" s="9"/>
    </row>
    <row r="5" spans="1:9" x14ac:dyDescent="0.25">
      <c r="A5" s="17" t="s">
        <v>141</v>
      </c>
      <c r="B5" s="9" t="s">
        <v>192</v>
      </c>
      <c r="C5" s="7" t="s">
        <v>193</v>
      </c>
      <c r="D5" s="9"/>
      <c r="E5" s="9"/>
      <c r="F5" s="9"/>
      <c r="G5" s="9"/>
      <c r="H5" s="9"/>
      <c r="I5" s="9"/>
    </row>
    <row r="6" spans="1:9" x14ac:dyDescent="0.25">
      <c r="A6" s="17" t="s">
        <v>141</v>
      </c>
      <c r="B6" s="9" t="s">
        <v>194</v>
      </c>
      <c r="C6" s="7" t="s">
        <v>195</v>
      </c>
      <c r="D6" s="9"/>
      <c r="E6" s="9"/>
      <c r="F6" s="9"/>
      <c r="G6" s="9"/>
      <c r="H6" s="9"/>
      <c r="I6" s="9"/>
    </row>
    <row r="7" spans="1:9" x14ac:dyDescent="0.25">
      <c r="A7" s="17" t="s">
        <v>141</v>
      </c>
      <c r="B7" s="9" t="s">
        <v>196</v>
      </c>
      <c r="C7" s="7" t="s">
        <v>197</v>
      </c>
      <c r="D7" s="9"/>
      <c r="E7" s="9"/>
      <c r="F7" s="9"/>
      <c r="G7" s="46" t="s">
        <v>1382</v>
      </c>
      <c r="H7" s="9"/>
      <c r="I7" s="9"/>
    </row>
    <row r="8" spans="1:9" x14ac:dyDescent="0.25">
      <c r="A8" s="17" t="s">
        <v>141</v>
      </c>
      <c r="B8" s="9" t="s">
        <v>198</v>
      </c>
      <c r="C8" s="7" t="s">
        <v>199</v>
      </c>
      <c r="D8" s="9"/>
      <c r="E8" s="9"/>
      <c r="F8" s="9"/>
      <c r="G8" s="9"/>
      <c r="H8" s="9"/>
      <c r="I8" s="9"/>
    </row>
    <row r="9" spans="1:9" x14ac:dyDescent="0.25">
      <c r="A9" s="17" t="s">
        <v>141</v>
      </c>
      <c r="B9" s="9" t="s">
        <v>200</v>
      </c>
      <c r="C9" s="7" t="s">
        <v>201</v>
      </c>
      <c r="D9" s="9"/>
      <c r="E9" s="9"/>
      <c r="F9" s="9"/>
      <c r="G9" s="9"/>
      <c r="H9" s="9"/>
      <c r="I9" s="9"/>
    </row>
    <row r="10" spans="1:9" x14ac:dyDescent="0.25">
      <c r="A10" s="17" t="s">
        <v>141</v>
      </c>
      <c r="B10" s="9" t="s">
        <v>202</v>
      </c>
      <c r="C10" s="7" t="s">
        <v>203</v>
      </c>
      <c r="D10" s="9" t="s">
        <v>835</v>
      </c>
      <c r="E10" s="9"/>
      <c r="F10" s="9"/>
      <c r="G10" s="9"/>
      <c r="H10" s="9"/>
      <c r="I10" s="9"/>
    </row>
    <row r="11" spans="1:9" x14ac:dyDescent="0.25">
      <c r="A11" s="17" t="s">
        <v>141</v>
      </c>
      <c r="B11" s="9" t="s">
        <v>204</v>
      </c>
      <c r="C11" s="7" t="s">
        <v>205</v>
      </c>
      <c r="D11" s="9" t="s">
        <v>1224</v>
      </c>
      <c r="E11" s="9"/>
      <c r="F11" s="9"/>
      <c r="G11" s="9"/>
      <c r="H11" s="34"/>
      <c r="I11" s="9"/>
    </row>
    <row r="12" spans="1:9" x14ac:dyDescent="0.25">
      <c r="A12" s="17" t="s">
        <v>141</v>
      </c>
      <c r="B12" s="9" t="s">
        <v>206</v>
      </c>
      <c r="C12" s="7" t="s">
        <v>207</v>
      </c>
      <c r="D12" s="9"/>
      <c r="E12" s="9"/>
      <c r="F12" s="9"/>
      <c r="G12" s="9"/>
      <c r="H12" s="9"/>
      <c r="I12" s="9"/>
    </row>
    <row r="13" spans="1:9" x14ac:dyDescent="0.25">
      <c r="A13" s="17" t="s">
        <v>141</v>
      </c>
      <c r="B13" s="9" t="s">
        <v>208</v>
      </c>
      <c r="C13" s="7" t="s">
        <v>209</v>
      </c>
      <c r="D13" s="9"/>
      <c r="E13" s="9"/>
      <c r="F13" s="9"/>
      <c r="G13" s="9"/>
      <c r="H13" s="34"/>
      <c r="I13" s="9"/>
    </row>
    <row r="14" spans="1:9" x14ac:dyDescent="0.25">
      <c r="A14" s="17" t="s">
        <v>145</v>
      </c>
      <c r="B14" s="9" t="s">
        <v>179</v>
      </c>
      <c r="C14" s="7" t="s">
        <v>180</v>
      </c>
      <c r="D14" s="9" t="s">
        <v>1224</v>
      </c>
      <c r="E14" s="9"/>
      <c r="F14" s="9"/>
      <c r="G14" s="9"/>
      <c r="H14" s="9"/>
      <c r="I14" s="9"/>
    </row>
    <row r="15" spans="1:9" ht="30" customHeight="1" x14ac:dyDescent="0.25">
      <c r="A15" s="17" t="s">
        <v>145</v>
      </c>
      <c r="B15" s="9" t="s">
        <v>174</v>
      </c>
      <c r="C15" s="7" t="s">
        <v>1383</v>
      </c>
      <c r="D15" s="9"/>
      <c r="E15" s="9"/>
      <c r="F15" s="9"/>
      <c r="G15" s="9"/>
      <c r="H15" s="9"/>
      <c r="I15" s="9"/>
    </row>
    <row r="16" spans="1:9" x14ac:dyDescent="0.25">
      <c r="A16" s="17" t="s">
        <v>143</v>
      </c>
      <c r="B16" s="9" t="s">
        <v>181</v>
      </c>
      <c r="C16" s="7" t="s">
        <v>182</v>
      </c>
      <c r="D16" s="9"/>
      <c r="E16" s="9"/>
      <c r="F16" s="9"/>
      <c r="G16" s="9"/>
      <c r="H16" s="9"/>
      <c r="I16" s="9"/>
    </row>
    <row r="17" spans="1:9" x14ac:dyDescent="0.25">
      <c r="A17" s="17" t="s">
        <v>143</v>
      </c>
      <c r="B17" s="9" t="s">
        <v>184</v>
      </c>
      <c r="C17" s="7" t="s">
        <v>185</v>
      </c>
      <c r="D17" s="9" t="s">
        <v>1224</v>
      </c>
      <c r="E17" s="9"/>
      <c r="F17" s="9"/>
      <c r="G17" s="9"/>
      <c r="H17" s="9"/>
      <c r="I17" s="9"/>
    </row>
    <row r="20" spans="1:9" ht="30" customHeight="1" x14ac:dyDescent="0.25">
      <c r="A20" s="65"/>
      <c r="B20" s="65"/>
      <c r="C20" s="65"/>
      <c r="D20" s="65"/>
      <c r="E20" s="65"/>
      <c r="F20" s="65"/>
      <c r="G20" s="65"/>
      <c r="H20" s="65"/>
      <c r="I20" s="65"/>
    </row>
    <row r="22" spans="1:9" ht="30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</row>
    <row r="24" spans="1:9" ht="30" customHeight="1" x14ac:dyDescent="0.25">
      <c r="A24" s="65"/>
      <c r="B24" s="65"/>
      <c r="C24" s="65"/>
      <c r="D24" s="65"/>
      <c r="E24" s="65"/>
      <c r="F24" s="65"/>
      <c r="G24" s="65"/>
      <c r="H24" s="65"/>
      <c r="I24" s="65"/>
    </row>
    <row r="25" spans="1:9" ht="30" customHeight="1" x14ac:dyDescent="0.25">
      <c r="A25" s="65"/>
      <c r="B25" s="65"/>
      <c r="C25" s="65"/>
      <c r="D25" s="65"/>
      <c r="E25" s="65"/>
      <c r="F25" s="65"/>
      <c r="G25" s="65"/>
      <c r="H25" s="65"/>
      <c r="I25" s="65"/>
    </row>
    <row r="27" spans="1:9" ht="30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</row>
    <row r="28" spans="1:9" ht="30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</row>
    <row r="29" spans="1:9" ht="45" customHeight="1" x14ac:dyDescent="0.25">
      <c r="A29" s="65"/>
      <c r="B29" s="65"/>
      <c r="C29" s="65"/>
      <c r="D29" s="65"/>
      <c r="E29" s="65"/>
      <c r="F29" s="65"/>
      <c r="G29" s="65"/>
      <c r="H29" s="65"/>
      <c r="I29" s="65"/>
    </row>
    <row r="31" spans="1:9" ht="4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</row>
    <row r="35" ht="45" customHeight="1" x14ac:dyDescent="0.25"/>
    <row r="37" ht="45" customHeight="1" x14ac:dyDescent="0.25"/>
  </sheetData>
  <autoFilter ref="A1:I17" xr:uid="{00000000-0009-0000-0000-000011000000}"/>
  <conditionalFormatting sqref="D2:I37">
    <cfRule type="expression" dxfId="7" priority="1">
      <formula>UPPER(LEFT(D2&amp;"",1))="Y"</formula>
    </cfRule>
    <cfRule type="expression" dxfId="6" priority="2">
      <formula>AND(D2&lt;&gt;"",UPPER(LEFT(D2&amp;"",1))&lt;&gt;"Y")</formula>
    </cfRule>
    <cfRule type="expression" dxfId="5" priority="3">
      <formula>UPPER(TRIM(D2&amp;""))="Y"</formula>
    </cfRule>
    <cfRule type="expression" dxfId="4" priority="4">
      <formula>UPPER(TRIM(D2&amp;""))="H"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9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11" bestFit="1" customWidth="1"/>
    <col min="2" max="2" width="38.85546875" customWidth="1"/>
    <col min="3" max="5" width="25" customWidth="1"/>
  </cols>
  <sheetData>
    <row r="1" spans="1:5" ht="21.95" customHeight="1" x14ac:dyDescent="0.25">
      <c r="A1" s="1" t="s">
        <v>161</v>
      </c>
      <c r="B1" s="1" t="s">
        <v>162</v>
      </c>
      <c r="C1" s="1" t="s">
        <v>60</v>
      </c>
      <c r="D1" s="1" t="s">
        <v>368</v>
      </c>
      <c r="E1" s="1" t="s">
        <v>393</v>
      </c>
    </row>
    <row r="2" spans="1:5" x14ac:dyDescent="0.25">
      <c r="A2" s="9" t="s">
        <v>666</v>
      </c>
      <c r="B2" s="7" t="s">
        <v>337</v>
      </c>
      <c r="C2" s="9" t="s">
        <v>835</v>
      </c>
      <c r="D2" s="37"/>
      <c r="E2" s="37"/>
    </row>
    <row r="3" spans="1:5" x14ac:dyDescent="0.25">
      <c r="A3" s="9" t="s">
        <v>673</v>
      </c>
      <c r="B3" s="7" t="s">
        <v>391</v>
      </c>
      <c r="C3" s="9" t="s">
        <v>835</v>
      </c>
      <c r="D3" s="37"/>
      <c r="E3" s="37"/>
    </row>
    <row r="4" spans="1:5" x14ac:dyDescent="0.25">
      <c r="A4" s="9" t="s">
        <v>674</v>
      </c>
      <c r="B4" s="7" t="s">
        <v>387</v>
      </c>
      <c r="C4" s="9" t="s">
        <v>835</v>
      </c>
      <c r="D4" s="37"/>
      <c r="E4" s="37"/>
    </row>
    <row r="5" spans="1:5" x14ac:dyDescent="0.25">
      <c r="A5" s="9" t="s">
        <v>675</v>
      </c>
      <c r="B5" s="7" t="s">
        <v>347</v>
      </c>
      <c r="C5" s="9" t="s">
        <v>835</v>
      </c>
      <c r="D5" s="37"/>
      <c r="E5" s="37"/>
    </row>
    <row r="6" spans="1:5" x14ac:dyDescent="0.25">
      <c r="A6" s="9" t="s">
        <v>676</v>
      </c>
      <c r="B6" s="7" t="s">
        <v>458</v>
      </c>
      <c r="C6" s="9" t="s">
        <v>835</v>
      </c>
      <c r="D6" s="37"/>
      <c r="E6" s="37"/>
    </row>
    <row r="7" spans="1:5" x14ac:dyDescent="0.25">
      <c r="A7" s="9" t="s">
        <v>677</v>
      </c>
      <c r="B7" s="7" t="s">
        <v>444</v>
      </c>
      <c r="C7" s="9" t="s">
        <v>835</v>
      </c>
      <c r="D7" s="37"/>
      <c r="E7" s="37"/>
    </row>
    <row r="8" spans="1:5" x14ac:dyDescent="0.25">
      <c r="A8" s="9" t="s">
        <v>678</v>
      </c>
      <c r="B8" s="7" t="s">
        <v>341</v>
      </c>
      <c r="C8" s="9" t="s">
        <v>835</v>
      </c>
      <c r="D8" s="37"/>
      <c r="E8" s="37"/>
    </row>
    <row r="9" spans="1:5" x14ac:dyDescent="0.25">
      <c r="A9" s="9" t="s">
        <v>679</v>
      </c>
      <c r="B9" s="7" t="s">
        <v>441</v>
      </c>
      <c r="C9" s="9" t="s">
        <v>835</v>
      </c>
      <c r="D9" s="37"/>
      <c r="E9" s="37"/>
    </row>
    <row r="10" spans="1:5" x14ac:dyDescent="0.25">
      <c r="A10" s="9" t="s">
        <v>680</v>
      </c>
      <c r="B10" s="7" t="s">
        <v>345</v>
      </c>
      <c r="C10" s="9" t="s">
        <v>835</v>
      </c>
      <c r="D10" s="37"/>
      <c r="E10" s="37"/>
    </row>
    <row r="11" spans="1:5" x14ac:dyDescent="0.25">
      <c r="A11" s="9" t="s">
        <v>667</v>
      </c>
      <c r="B11" s="7" t="s">
        <v>454</v>
      </c>
      <c r="C11" s="9" t="s">
        <v>835</v>
      </c>
      <c r="D11" s="37"/>
      <c r="E11" s="37"/>
    </row>
    <row r="12" spans="1:5" x14ac:dyDescent="0.25">
      <c r="A12" s="9" t="s">
        <v>668</v>
      </c>
      <c r="B12" s="7" t="s">
        <v>339</v>
      </c>
      <c r="C12" s="9" t="s">
        <v>835</v>
      </c>
      <c r="D12" s="37"/>
      <c r="E12" s="37"/>
    </row>
    <row r="13" spans="1:5" x14ac:dyDescent="0.25">
      <c r="A13" s="9" t="s">
        <v>669</v>
      </c>
      <c r="B13" s="7" t="s">
        <v>343</v>
      </c>
      <c r="C13" s="9" t="s">
        <v>835</v>
      </c>
      <c r="D13" s="37"/>
      <c r="E13" s="37"/>
    </row>
    <row r="14" spans="1:5" x14ac:dyDescent="0.25">
      <c r="A14" s="9" t="s">
        <v>670</v>
      </c>
      <c r="B14" s="7" t="s">
        <v>446</v>
      </c>
      <c r="C14" s="9" t="s">
        <v>835</v>
      </c>
      <c r="D14" s="37"/>
      <c r="E14" s="37"/>
    </row>
    <row r="15" spans="1:5" x14ac:dyDescent="0.25">
      <c r="A15" s="9" t="s">
        <v>671</v>
      </c>
      <c r="B15" s="7" t="s">
        <v>389</v>
      </c>
      <c r="C15" s="9" t="s">
        <v>835</v>
      </c>
      <c r="D15" s="37"/>
      <c r="E15" s="37"/>
    </row>
    <row r="16" spans="1:5" x14ac:dyDescent="0.25">
      <c r="A16" s="9" t="s">
        <v>672</v>
      </c>
      <c r="B16" s="7" t="s">
        <v>384</v>
      </c>
      <c r="C16" s="9" t="s">
        <v>835</v>
      </c>
      <c r="D16" s="37"/>
      <c r="E16" s="37"/>
    </row>
    <row r="17" spans="1:5" x14ac:dyDescent="0.25">
      <c r="A17" s="9" t="s">
        <v>613</v>
      </c>
      <c r="B17" s="7" t="s">
        <v>337</v>
      </c>
      <c r="C17" s="9" t="s">
        <v>832</v>
      </c>
      <c r="D17" s="37"/>
      <c r="E17" s="37"/>
    </row>
    <row r="18" spans="1:5" x14ac:dyDescent="0.25">
      <c r="A18" s="9" t="s">
        <v>620</v>
      </c>
      <c r="B18" s="7" t="s">
        <v>391</v>
      </c>
      <c r="C18" s="9" t="s">
        <v>835</v>
      </c>
      <c r="D18" s="37"/>
      <c r="E18" s="37"/>
    </row>
    <row r="19" spans="1:5" x14ac:dyDescent="0.25">
      <c r="A19" s="9" t="s">
        <v>621</v>
      </c>
      <c r="B19" s="7" t="s">
        <v>387</v>
      </c>
      <c r="C19" s="9" t="s">
        <v>835</v>
      </c>
      <c r="D19" s="37"/>
      <c r="E19" s="37"/>
    </row>
    <row r="20" spans="1:5" x14ac:dyDescent="0.25">
      <c r="A20" s="9" t="s">
        <v>622</v>
      </c>
      <c r="B20" s="7" t="s">
        <v>347</v>
      </c>
      <c r="C20" s="9" t="s">
        <v>835</v>
      </c>
      <c r="D20" s="37"/>
      <c r="E20" s="37"/>
    </row>
    <row r="21" spans="1:5" x14ac:dyDescent="0.25">
      <c r="A21" s="9" t="s">
        <v>623</v>
      </c>
      <c r="B21" s="7" t="s">
        <v>458</v>
      </c>
      <c r="C21" s="9" t="s">
        <v>835</v>
      </c>
      <c r="D21" s="37"/>
      <c r="E21" s="37"/>
    </row>
    <row r="22" spans="1:5" x14ac:dyDescent="0.25">
      <c r="A22" s="9" t="s">
        <v>624</v>
      </c>
      <c r="B22" s="7" t="s">
        <v>444</v>
      </c>
      <c r="C22" s="9" t="s">
        <v>835</v>
      </c>
      <c r="D22" s="37"/>
      <c r="E22" s="37"/>
    </row>
    <row r="23" spans="1:5" x14ac:dyDescent="0.25">
      <c r="A23" s="9" t="s">
        <v>625</v>
      </c>
      <c r="B23" s="7" t="s">
        <v>341</v>
      </c>
      <c r="C23" s="9" t="s">
        <v>832</v>
      </c>
      <c r="D23" s="37"/>
      <c r="E23" s="37"/>
    </row>
    <row r="24" spans="1:5" x14ac:dyDescent="0.25">
      <c r="A24" s="9" t="s">
        <v>626</v>
      </c>
      <c r="B24" s="7" t="s">
        <v>441</v>
      </c>
      <c r="C24" s="9" t="s">
        <v>835</v>
      </c>
      <c r="D24" s="37"/>
      <c r="E24" s="37"/>
    </row>
    <row r="25" spans="1:5" x14ac:dyDescent="0.25">
      <c r="A25" s="9" t="s">
        <v>627</v>
      </c>
      <c r="B25" s="7" t="s">
        <v>345</v>
      </c>
      <c r="C25" s="9" t="s">
        <v>832</v>
      </c>
      <c r="D25" s="37"/>
      <c r="E25" s="37"/>
    </row>
    <row r="26" spans="1:5" x14ac:dyDescent="0.25">
      <c r="A26" s="9" t="s">
        <v>614</v>
      </c>
      <c r="B26" s="7" t="s">
        <v>454</v>
      </c>
      <c r="C26" s="9" t="s">
        <v>835</v>
      </c>
      <c r="D26" s="37"/>
      <c r="E26" s="37"/>
    </row>
    <row r="27" spans="1:5" x14ac:dyDescent="0.25">
      <c r="A27" s="9" t="s">
        <v>615</v>
      </c>
      <c r="B27" s="7" t="s">
        <v>339</v>
      </c>
      <c r="C27" s="9" t="s">
        <v>832</v>
      </c>
      <c r="D27" s="37"/>
      <c r="E27" s="37"/>
    </row>
    <row r="28" spans="1:5" x14ac:dyDescent="0.25">
      <c r="A28" s="9" t="s">
        <v>616</v>
      </c>
      <c r="B28" s="7" t="s">
        <v>343</v>
      </c>
      <c r="C28" s="9" t="s">
        <v>832</v>
      </c>
      <c r="D28" s="37"/>
      <c r="E28" s="37"/>
    </row>
    <row r="29" spans="1:5" x14ac:dyDescent="0.25">
      <c r="A29" s="9" t="s">
        <v>617</v>
      </c>
      <c r="B29" s="7" t="s">
        <v>446</v>
      </c>
      <c r="C29" s="9" t="s">
        <v>835</v>
      </c>
      <c r="D29" s="37"/>
      <c r="E29" s="37"/>
    </row>
    <row r="30" spans="1:5" x14ac:dyDescent="0.25">
      <c r="A30" s="9" t="s">
        <v>618</v>
      </c>
      <c r="B30" s="7" t="s">
        <v>389</v>
      </c>
      <c r="C30" s="9" t="s">
        <v>835</v>
      </c>
      <c r="D30" s="37"/>
      <c r="E30" s="37"/>
    </row>
    <row r="31" spans="1:5" x14ac:dyDescent="0.25">
      <c r="A31" s="9" t="s">
        <v>619</v>
      </c>
      <c r="B31" s="7" t="s">
        <v>384</v>
      </c>
      <c r="C31" s="9" t="s">
        <v>832</v>
      </c>
      <c r="D31" s="37"/>
      <c r="E31" s="37"/>
    </row>
    <row r="32" spans="1:5" x14ac:dyDescent="0.25">
      <c r="A32" s="9" t="s">
        <v>367</v>
      </c>
      <c r="B32" s="7" t="s">
        <v>216</v>
      </c>
      <c r="C32" s="37"/>
      <c r="D32" s="9"/>
      <c r="E32" s="37"/>
    </row>
    <row r="33" spans="1:5" x14ac:dyDescent="0.25">
      <c r="A33" s="9" t="s">
        <v>369</v>
      </c>
      <c r="B33" s="7" t="s">
        <v>222</v>
      </c>
      <c r="C33" s="37"/>
      <c r="D33" s="9"/>
      <c r="E33" s="37"/>
    </row>
    <row r="34" spans="1:5" x14ac:dyDescent="0.25">
      <c r="A34" s="9" t="s">
        <v>370</v>
      </c>
      <c r="B34" s="7" t="s">
        <v>224</v>
      </c>
      <c r="C34" s="37"/>
      <c r="D34" s="9" t="s">
        <v>832</v>
      </c>
      <c r="E34" s="37"/>
    </row>
    <row r="35" spans="1:5" x14ac:dyDescent="0.25">
      <c r="A35" s="9" t="s">
        <v>371</v>
      </c>
      <c r="B35" s="7" t="s">
        <v>372</v>
      </c>
      <c r="C35" s="37"/>
      <c r="D35" s="9"/>
      <c r="E35" s="37"/>
    </row>
    <row r="36" spans="1:5" x14ac:dyDescent="0.25">
      <c r="A36" s="9" t="s">
        <v>373</v>
      </c>
      <c r="B36" s="7" t="s">
        <v>244</v>
      </c>
      <c r="C36" s="37"/>
      <c r="D36" s="9"/>
      <c r="E36" s="37"/>
    </row>
    <row r="37" spans="1:5" x14ac:dyDescent="0.25">
      <c r="A37" s="9" t="s">
        <v>374</v>
      </c>
      <c r="B37" s="7" t="s">
        <v>248</v>
      </c>
      <c r="C37" s="37"/>
      <c r="D37" s="9"/>
      <c r="E37" s="37"/>
    </row>
    <row r="38" spans="1:5" x14ac:dyDescent="0.25">
      <c r="A38" s="9" t="s">
        <v>375</v>
      </c>
      <c r="B38" s="7" t="s">
        <v>250</v>
      </c>
      <c r="C38" s="37"/>
      <c r="D38" s="9"/>
      <c r="E38" s="37"/>
    </row>
    <row r="39" spans="1:5" x14ac:dyDescent="0.25">
      <c r="A39" s="9" t="s">
        <v>376</v>
      </c>
      <c r="B39" s="7" t="s">
        <v>263</v>
      </c>
      <c r="C39" s="37"/>
      <c r="D39" s="9" t="s">
        <v>835</v>
      </c>
      <c r="E39" s="37"/>
    </row>
    <row r="40" spans="1:5" x14ac:dyDescent="0.25">
      <c r="A40" s="9" t="s">
        <v>377</v>
      </c>
      <c r="B40" s="7" t="s">
        <v>267</v>
      </c>
      <c r="C40" s="37"/>
      <c r="D40" s="9"/>
      <c r="E40" s="37"/>
    </row>
    <row r="41" spans="1:5" x14ac:dyDescent="0.25">
      <c r="A41" s="9" t="s">
        <v>378</v>
      </c>
      <c r="B41" s="7" t="s">
        <v>270</v>
      </c>
      <c r="C41" s="37"/>
      <c r="D41" s="9"/>
      <c r="E41" s="37"/>
    </row>
    <row r="42" spans="1:5" x14ac:dyDescent="0.25">
      <c r="A42" s="9" t="s">
        <v>379</v>
      </c>
      <c r="B42" s="7" t="s">
        <v>276</v>
      </c>
      <c r="C42" s="37"/>
      <c r="D42" s="9"/>
      <c r="E42" s="37"/>
    </row>
    <row r="43" spans="1:5" x14ac:dyDescent="0.25">
      <c r="A43" s="9" t="s">
        <v>380</v>
      </c>
      <c r="B43" s="7" t="s">
        <v>283</v>
      </c>
      <c r="C43" s="37"/>
      <c r="D43" s="9"/>
      <c r="E43" s="37"/>
    </row>
    <row r="44" spans="1:5" x14ac:dyDescent="0.25">
      <c r="A44" s="9" t="s">
        <v>381</v>
      </c>
      <c r="B44" s="7" t="s">
        <v>301</v>
      </c>
      <c r="C44" s="37"/>
      <c r="D44" s="9" t="s">
        <v>835</v>
      </c>
      <c r="E44" s="34"/>
    </row>
    <row r="45" spans="1:5" x14ac:dyDescent="0.25">
      <c r="A45" s="9" t="s">
        <v>382</v>
      </c>
      <c r="B45" s="7" t="s">
        <v>238</v>
      </c>
      <c r="C45" s="37"/>
      <c r="D45" s="9"/>
      <c r="E45" s="37"/>
    </row>
    <row r="46" spans="1:5" x14ac:dyDescent="0.25">
      <c r="A46" s="9" t="s">
        <v>392</v>
      </c>
      <c r="B46" s="7" t="s">
        <v>222</v>
      </c>
      <c r="C46" s="37"/>
      <c r="D46" s="37"/>
      <c r="E46" s="9"/>
    </row>
    <row r="47" spans="1:5" x14ac:dyDescent="0.25">
      <c r="A47" s="9" t="s">
        <v>394</v>
      </c>
      <c r="B47" s="7" t="s">
        <v>230</v>
      </c>
      <c r="C47" s="37"/>
      <c r="D47" s="37"/>
      <c r="E47" s="9"/>
    </row>
    <row r="48" spans="1:5" x14ac:dyDescent="0.25">
      <c r="A48" s="9" t="s">
        <v>395</v>
      </c>
      <c r="B48" s="7" t="s">
        <v>244</v>
      </c>
      <c r="C48" s="37"/>
      <c r="D48" s="37"/>
      <c r="E48" s="9"/>
    </row>
    <row r="49" spans="1:5" x14ac:dyDescent="0.25">
      <c r="A49" s="9" t="s">
        <v>396</v>
      </c>
      <c r="B49" s="7" t="s">
        <v>238</v>
      </c>
      <c r="C49" s="37"/>
      <c r="D49" s="37"/>
      <c r="E49" s="9"/>
    </row>
  </sheetData>
  <autoFilter ref="A1:E34" xr:uid="{00000000-0009-0000-0000-000012000000}"/>
  <conditionalFormatting sqref="C2:E49">
    <cfRule type="expression" dxfId="3" priority="1">
      <formula>UPPER(LEFT(C2&amp;"",1))="Y"</formula>
    </cfRule>
    <cfRule type="expression" dxfId="2" priority="2">
      <formula>AND(C2&lt;&gt;"",UPPER(LEFT(C2&amp;"",1))&lt;&gt;"Y")</formula>
    </cfRule>
    <cfRule type="expression" dxfId="1" priority="3">
      <formula>UPPER(TRIM(C2&amp;""))="Y"</formula>
    </cfRule>
    <cfRule type="expression" dxfId="0" priority="4">
      <formula>UPPER(TRIM(C2&amp;""))="H"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28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10" customWidth="1"/>
    <col min="4" max="4" width="45" customWidth="1"/>
    <col min="5" max="5" width="16" customWidth="1"/>
    <col min="6" max="6" width="10" customWidth="1"/>
    <col min="7" max="7" width="8" customWidth="1"/>
    <col min="8" max="9" width="14" customWidth="1"/>
    <col min="10" max="11" width="12" customWidth="1"/>
    <col min="12" max="13" width="8" customWidth="1"/>
    <col min="14" max="14" width="10" customWidth="1"/>
    <col min="15" max="15" width="8" customWidth="1"/>
    <col min="16" max="17" width="12" customWidth="1"/>
    <col min="19" max="19" width="22" customWidth="1"/>
    <col min="20" max="20" width="12" customWidth="1"/>
    <col min="21" max="21" width="10" customWidth="1"/>
    <col min="22" max="22" width="22" customWidth="1"/>
    <col min="23" max="24" width="18" customWidth="1"/>
    <col min="25" max="25" width="9" customWidth="1"/>
    <col min="26" max="26" width="12" customWidth="1"/>
    <col min="27" max="29" width="18" customWidth="1"/>
  </cols>
  <sheetData>
    <row r="1" spans="1:29" ht="21.95" customHeight="1" x14ac:dyDescent="0.25">
      <c r="A1" s="1" t="s">
        <v>160</v>
      </c>
      <c r="B1" s="1" t="s">
        <v>84</v>
      </c>
      <c r="C1" s="1" t="s">
        <v>161</v>
      </c>
      <c r="D1" s="1" t="s">
        <v>162</v>
      </c>
      <c r="E1" s="1" t="s">
        <v>163</v>
      </c>
      <c r="F1" s="1" t="s">
        <v>771</v>
      </c>
      <c r="G1" s="1" t="s">
        <v>1384</v>
      </c>
      <c r="H1" s="1" t="s">
        <v>1385</v>
      </c>
      <c r="I1" s="1" t="s">
        <v>58</v>
      </c>
      <c r="J1" s="1" t="s">
        <v>1386</v>
      </c>
      <c r="K1" s="1" t="s">
        <v>1276</v>
      </c>
      <c r="L1" s="1" t="s">
        <v>4</v>
      </c>
      <c r="M1" s="1" t="s">
        <v>5</v>
      </c>
      <c r="N1" s="1" t="s">
        <v>47</v>
      </c>
      <c r="O1" s="1" t="s">
        <v>48</v>
      </c>
      <c r="P1" s="1" t="s">
        <v>1387</v>
      </c>
      <c r="Q1" s="1" t="s">
        <v>1388</v>
      </c>
      <c r="R1" s="1" t="s">
        <v>1389</v>
      </c>
      <c r="S1" s="1" t="s">
        <v>172</v>
      </c>
      <c r="T1" s="1" t="s">
        <v>173</v>
      </c>
      <c r="U1" s="1" t="s">
        <v>1390</v>
      </c>
      <c r="V1" s="1" t="s">
        <v>1391</v>
      </c>
      <c r="W1" s="1" t="s">
        <v>1392</v>
      </c>
      <c r="X1" s="1" t="s">
        <v>1393</v>
      </c>
      <c r="Y1" s="1" t="s">
        <v>1394</v>
      </c>
      <c r="Z1" s="1" t="s">
        <v>813</v>
      </c>
      <c r="AA1" s="1" t="s">
        <v>1395</v>
      </c>
      <c r="AB1" s="1" t="s">
        <v>1396</v>
      </c>
      <c r="AC1" s="1" t="s">
        <v>1397</v>
      </c>
    </row>
    <row r="2" spans="1:29" ht="28.7" customHeight="1" x14ac:dyDescent="0.25">
      <c r="A2" s="4" t="s">
        <v>17</v>
      </c>
      <c r="B2" s="7" t="s">
        <v>61</v>
      </c>
      <c r="C2" s="2" t="s">
        <v>1398</v>
      </c>
      <c r="D2" s="7" t="s">
        <v>830</v>
      </c>
      <c r="E2" s="4" t="s">
        <v>60</v>
      </c>
      <c r="F2" s="2"/>
      <c r="G2" s="2" t="s">
        <v>1399</v>
      </c>
      <c r="H2" s="2" t="s">
        <v>1400</v>
      </c>
      <c r="I2" s="4" t="s">
        <v>60</v>
      </c>
      <c r="J2" s="112">
        <f>IF($H2&lt;&gt;"Y",0,ROUND(MIN(Dashboard!$R$24,IF(IFERROR(VLOOKUP($B2,Dashboard!$Q$28:$S$60,2,FALSE),0)&gt;0,IFERROR(VLOOKUP($B2,Dashboard!$Q$28:$S$60,2,FALSE),0),$Z2*IF($U2&lt;&gt;"",ROUND((Dashboard!$R$4/$U2)*VLOOKUP($I2,Dashboard!$Q$9:$R$13,2,FALSE)*IF(ISNUMBER(SEARCH("Duals",$B2)),2,IF(ISNUMBER(SEARCH("Triples",$B2)),3,IF(ISNUMBER(SEARCH("Quads",$B2)),4,1))),2),ROUND(VLOOKUP($I2,Dashboard!$Q$15:$R$20,2,FALSE)*IF($E2="Red",Dashboard!$R$6,IF($E2="Gold",Dashboard!$R$7,Dashboard!$R$5))*IF(ISNUMBER(SEARCH("Duals",$B2)),2,IF(ISNUMBER(SEARCH("Triples",$B2)),3,IF(ISNUMBER(SEARCH("Quads",$B2)),4,1))),2))*IF(IFERROR(VLOOKUP($B2,Dashboard!$Q$28:$S$60,3,FALSE),0)&gt;0,VLOOKUP($B2,Dashboard!$Q$28:$S$60,3,FALSE),1))),0))</f>
        <v>1</v>
      </c>
      <c r="K2" s="2" t="str">
        <f>IF('Base S1'!C2="","",'Base S1'!C2)</f>
        <v>h</v>
      </c>
      <c r="L2" s="2">
        <f t="shared" ref="L2:L65" si="0">IF(AND($K2&lt;&gt;"",LEFT($K2,1)&lt;&gt;"Y"),1,0)</f>
        <v>1</v>
      </c>
      <c r="M2" s="2">
        <f t="shared" ref="M2:M65" si="1">IF(LEFT($K2,1)="Y",1,0)</f>
        <v>0</v>
      </c>
      <c r="N2" s="2">
        <f t="shared" ref="N2:N65" si="2">$L2+$M2</f>
        <v>1</v>
      </c>
      <c r="O2" s="2">
        <f t="shared" ref="O2:O65" si="3">IF($H2="Y",1-$N2,0)</f>
        <v>0</v>
      </c>
      <c r="P2" s="112">
        <f t="shared" ref="P2:P65" si="4">IF($L2=1,$J2,0)</f>
        <v>1</v>
      </c>
      <c r="Q2" s="112">
        <f t="shared" ref="Q2:Q65" si="5">IF($M2=1,$J2,0)</f>
        <v>0</v>
      </c>
      <c r="R2" s="53"/>
      <c r="S2" s="53" t="str">
        <f t="shared" ref="S2:S65" si="6">IF($A2="","",$A2&amp;"|"&amp;$B2&amp;"|"&amp;$C2&amp;"|"&amp;$E2)</f>
        <v>Base S1|Base Set - Season 1|1|Base</v>
      </c>
      <c r="T2" s="57" t="str">
        <f>IF($S2="","",IFERROR(VLOOKUP($S2,'Pop Estimates (Non-#d)'!$N$2:$O$500,2,FALSE),""))</f>
        <v/>
      </c>
      <c r="U2" s="57" t="str">
        <f t="shared" ref="U2:U65" si="7">IF($A2="","",IF($F2&lt;&gt;"",$F2,$T2))</f>
        <v/>
      </c>
      <c r="V2" s="53" t="str">
        <f t="shared" ref="V2:V65" si="8">IF($A2="","",IF(ISNUMBER(SEARCH(" as ",$D2)),MID($D2,SEARCH(" as ",$D2)+4,255),IF(ISNUMBER(SEARCH("/",$D2)),LEFT($D2,FIND("/",$D2&amp;"/")-1),"")))</f>
        <v/>
      </c>
      <c r="W2" s="53" t="str">
        <f t="shared" ref="W2:W65" si="9">IF($V2="","",TRIM(IFERROR(MID($V2,SEARCH("(", $V2)+1,SEARCH(")",$V2)-SEARCH("(", $V2)-1),$V2)))</f>
        <v/>
      </c>
      <c r="X2" s="53" t="str">
        <f t="shared" ref="X2:X65" si="10">IF($W2="","",TRIM(LEFT($W2&amp;"""",FIND("""",$W2&amp;"""")-1)))</f>
        <v/>
      </c>
      <c r="Y2" s="57" t="str">
        <f>IF($X2="","",IFERROR(VLOOKUP($X2,'Char Popularity'!$A$2:$C$500,2,FALSE),""))</f>
        <v/>
      </c>
      <c r="Z2" s="56">
        <f>IF($X2="",1,IFERROR(VLOOKUP($X2,'Char Popularity'!$A$2:$C$500,3,FALSE),1))</f>
        <v>1</v>
      </c>
      <c r="AA2" s="62">
        <f>IF($H2&lt;&gt;"Y",0,(IF($F2&lt;&gt;"",ROUND(Dashboard!$R$4/$F2,1),IF(AND($I2="Base",$E2="Base"),Dashboard!$R$5,IF(AND($I2="Base",$E2="Red"),Dashboard!$R$6,IF(AND($I2="Base",$E2="Gold"),Dashboard!$R$7,VLOOKUP($I2,Dashboard!$Q$16:$R$21,2,FALSE)))))*VLOOKUP($I2,Dashboard!$Q$9:$R$13,2,FALSE)*IF(AND($I2="Auto",$F2="",OR($B2="Autographs Duals",$B2="Autographs Triples",$B2="Autographs Quads",$B2="Autographs Quads (Inscribed)")),IF($B2="Autographs Duals",2,IF($B2="Autographs Triples",3,4)),1)))</f>
        <v>1</v>
      </c>
      <c r="AB2" s="62">
        <f t="shared" ref="AB2:AB65" si="11">IF($L2=1,$AA2,0)</f>
        <v>1</v>
      </c>
      <c r="AC2" s="62">
        <f t="shared" ref="AC2:AC65" si="12">IF($M2=1,$AA2,0)</f>
        <v>0</v>
      </c>
    </row>
    <row r="3" spans="1:29" ht="28.7" customHeight="1" x14ac:dyDescent="0.25">
      <c r="A3" s="4" t="s">
        <v>17</v>
      </c>
      <c r="B3" s="7" t="s">
        <v>61</v>
      </c>
      <c r="C3" s="2" t="s">
        <v>1401</v>
      </c>
      <c r="D3" s="7" t="s">
        <v>834</v>
      </c>
      <c r="E3" s="4" t="s">
        <v>60</v>
      </c>
      <c r="F3" s="2"/>
      <c r="G3" s="2" t="s">
        <v>1399</v>
      </c>
      <c r="H3" s="2" t="s">
        <v>1400</v>
      </c>
      <c r="I3" s="4" t="s">
        <v>60</v>
      </c>
      <c r="J3" s="112">
        <f>IF($H3&lt;&gt;"Y",0,ROUND(MIN(Dashboard!$R$24,IF(IFERROR(VLOOKUP($B3,Dashboard!$Q$28:$S$60,2,FALSE),0)&gt;0,IFERROR(VLOOKUP($B3,Dashboard!$Q$28:$S$60,2,FALSE),0),$Z3*IF($U3&lt;&gt;"",ROUND((Dashboard!$R$4/$U3)*VLOOKUP($I3,Dashboard!$Q$9:$R$13,2,FALSE)*IF(ISNUMBER(SEARCH("Duals",$B3)),2,IF(ISNUMBER(SEARCH("Triples",$B3)),3,IF(ISNUMBER(SEARCH("Quads",$B3)),4,1))),2),ROUND(VLOOKUP($I3,Dashboard!$Q$15:$R$20,2,FALSE)*IF($E3="Red",Dashboard!$R$6,IF($E3="Gold",Dashboard!$R$7,Dashboard!$R$5))*IF(ISNUMBER(SEARCH("Duals",$B3)),2,IF(ISNUMBER(SEARCH("Triples",$B3)),3,IF(ISNUMBER(SEARCH("Quads",$B3)),4,1))),2))*IF(IFERROR(VLOOKUP($B3,Dashboard!$Q$28:$S$60,3,FALSE),0)&gt;0,VLOOKUP($B3,Dashboard!$Q$28:$S$60,3,FALSE),1))),0))</f>
        <v>1</v>
      </c>
      <c r="K3" s="2" t="str">
        <f>IF('Base S1'!C3="","",'Base S1'!C3)</f>
        <v>h</v>
      </c>
      <c r="L3" s="2">
        <f t="shared" si="0"/>
        <v>1</v>
      </c>
      <c r="M3" s="2">
        <f t="shared" si="1"/>
        <v>0</v>
      </c>
      <c r="N3" s="2">
        <f t="shared" si="2"/>
        <v>1</v>
      </c>
      <c r="O3" s="2">
        <f t="shared" si="3"/>
        <v>0</v>
      </c>
      <c r="P3" s="112">
        <f t="shared" si="4"/>
        <v>1</v>
      </c>
      <c r="Q3" s="112">
        <f t="shared" si="5"/>
        <v>0</v>
      </c>
      <c r="R3" s="53"/>
      <c r="S3" s="53" t="str">
        <f t="shared" si="6"/>
        <v>Base S1|Base Set - Season 1|2|Base</v>
      </c>
      <c r="T3" s="57" t="str">
        <f>IF($S3="","",IFERROR(VLOOKUP($S3,'Pop Estimates (Non-#d)'!$N$2:$O$500,2,FALSE),""))</f>
        <v/>
      </c>
      <c r="U3" s="57" t="str">
        <f t="shared" si="7"/>
        <v/>
      </c>
      <c r="V3" s="53" t="str">
        <f t="shared" si="8"/>
        <v/>
      </c>
      <c r="W3" s="53" t="str">
        <f t="shared" si="9"/>
        <v/>
      </c>
      <c r="X3" s="53" t="str">
        <f t="shared" si="10"/>
        <v/>
      </c>
      <c r="Y3" s="57" t="str">
        <f>IF($X3="","",IFERROR(VLOOKUP($X3,'Char Popularity'!$A$2:$C$500,2,FALSE),""))</f>
        <v/>
      </c>
      <c r="Z3" s="56">
        <f>IF($X3="",1,IFERROR(VLOOKUP($X3,'Char Popularity'!$A$2:$C$500,3,FALSE),1))</f>
        <v>1</v>
      </c>
      <c r="AA3" s="62">
        <f>IF($H3&lt;&gt;"Y",0,(IF($F3&lt;&gt;"",ROUND(Dashboard!$R$4/$F3,1),IF(AND($I3="Base",$E3="Base"),Dashboard!$R$5,IF(AND($I3="Base",$E3="Red"),Dashboard!$R$6,IF(AND($I3="Base",$E3="Gold"),Dashboard!$R$7,VLOOKUP($I3,Dashboard!$Q$16:$R$21,2,FALSE)))))*VLOOKUP($I3,Dashboard!$Q$9:$R$13,2,FALSE)*IF(AND($I3="Auto",$F3="",OR($B3="Autographs Duals",$B3="Autographs Triples",$B3="Autographs Quads",$B3="Autographs Quads (Inscribed)")),IF($B3="Autographs Duals",2,IF($B3="Autographs Triples",3,4)),1)))</f>
        <v>1</v>
      </c>
      <c r="AB3" s="62">
        <f t="shared" si="11"/>
        <v>1</v>
      </c>
      <c r="AC3" s="62">
        <f t="shared" si="12"/>
        <v>0</v>
      </c>
    </row>
    <row r="4" spans="1:29" ht="28.7" customHeight="1" x14ac:dyDescent="0.25">
      <c r="A4" s="4" t="s">
        <v>17</v>
      </c>
      <c r="B4" s="7" t="s">
        <v>61</v>
      </c>
      <c r="C4" s="2" t="s">
        <v>1402</v>
      </c>
      <c r="D4" s="7" t="s">
        <v>837</v>
      </c>
      <c r="E4" s="4" t="s">
        <v>60</v>
      </c>
      <c r="F4" s="2"/>
      <c r="G4" s="2" t="s">
        <v>1399</v>
      </c>
      <c r="H4" s="2" t="s">
        <v>1400</v>
      </c>
      <c r="I4" s="4" t="s">
        <v>60</v>
      </c>
      <c r="J4" s="112">
        <f>IF($H4&lt;&gt;"Y",0,ROUND(MIN(Dashboard!$R$24,IF(IFERROR(VLOOKUP($B4,Dashboard!$Q$28:$S$60,2,FALSE),0)&gt;0,IFERROR(VLOOKUP($B4,Dashboard!$Q$28:$S$60,2,FALSE),0),$Z4*IF($U4&lt;&gt;"",ROUND((Dashboard!$R$4/$U4)*VLOOKUP($I4,Dashboard!$Q$9:$R$13,2,FALSE)*IF(ISNUMBER(SEARCH("Duals",$B4)),2,IF(ISNUMBER(SEARCH("Triples",$B4)),3,IF(ISNUMBER(SEARCH("Quads",$B4)),4,1))),2),ROUND(VLOOKUP($I4,Dashboard!$Q$15:$R$20,2,FALSE)*IF($E4="Red",Dashboard!$R$6,IF($E4="Gold",Dashboard!$R$7,Dashboard!$R$5))*IF(ISNUMBER(SEARCH("Duals",$B4)),2,IF(ISNUMBER(SEARCH("Triples",$B4)),3,IF(ISNUMBER(SEARCH("Quads",$B4)),4,1))),2))*IF(IFERROR(VLOOKUP($B4,Dashboard!$Q$28:$S$60,3,FALSE),0)&gt;0,VLOOKUP($B4,Dashboard!$Q$28:$S$60,3,FALSE),1))),0))</f>
        <v>1</v>
      </c>
      <c r="K4" s="2" t="str">
        <f>IF('Base S1'!C4="","",'Base S1'!C4)</f>
        <v>h</v>
      </c>
      <c r="L4" s="2">
        <f t="shared" si="0"/>
        <v>1</v>
      </c>
      <c r="M4" s="2">
        <f t="shared" si="1"/>
        <v>0</v>
      </c>
      <c r="N4" s="2">
        <f t="shared" si="2"/>
        <v>1</v>
      </c>
      <c r="O4" s="2">
        <f t="shared" si="3"/>
        <v>0</v>
      </c>
      <c r="P4" s="112">
        <f t="shared" si="4"/>
        <v>1</v>
      </c>
      <c r="Q4" s="112">
        <f t="shared" si="5"/>
        <v>0</v>
      </c>
      <c r="R4" s="53"/>
      <c r="S4" s="53" t="str">
        <f t="shared" si="6"/>
        <v>Base S1|Base Set - Season 1|3|Base</v>
      </c>
      <c r="T4" s="57" t="str">
        <f>IF($S4="","",IFERROR(VLOOKUP($S4,'Pop Estimates (Non-#d)'!$N$2:$O$500,2,FALSE),""))</f>
        <v/>
      </c>
      <c r="U4" s="57" t="str">
        <f t="shared" si="7"/>
        <v/>
      </c>
      <c r="V4" s="53" t="str">
        <f t="shared" si="8"/>
        <v/>
      </c>
      <c r="W4" s="53" t="str">
        <f t="shared" si="9"/>
        <v/>
      </c>
      <c r="X4" s="53" t="str">
        <f t="shared" si="10"/>
        <v/>
      </c>
      <c r="Y4" s="57" t="str">
        <f>IF($X4="","",IFERROR(VLOOKUP($X4,'Char Popularity'!$A$2:$C$500,2,FALSE),""))</f>
        <v/>
      </c>
      <c r="Z4" s="56">
        <f>IF($X4="",1,IFERROR(VLOOKUP($X4,'Char Popularity'!$A$2:$C$500,3,FALSE),1))</f>
        <v>1</v>
      </c>
      <c r="AA4" s="62">
        <f>IF($H4&lt;&gt;"Y",0,(IF($F4&lt;&gt;"",ROUND(Dashboard!$R$4/$F4,1),IF(AND($I4="Base",$E4="Base"),Dashboard!$R$5,IF(AND($I4="Base",$E4="Red"),Dashboard!$R$6,IF(AND($I4="Base",$E4="Gold"),Dashboard!$R$7,VLOOKUP($I4,Dashboard!$Q$16:$R$21,2,FALSE)))))*VLOOKUP($I4,Dashboard!$Q$9:$R$13,2,FALSE)*IF(AND($I4="Auto",$F4="",OR($B4="Autographs Duals",$B4="Autographs Triples",$B4="Autographs Quads",$B4="Autographs Quads (Inscribed)")),IF($B4="Autographs Duals",2,IF($B4="Autographs Triples",3,4)),1)))</f>
        <v>1</v>
      </c>
      <c r="AB4" s="62">
        <f t="shared" si="11"/>
        <v>1</v>
      </c>
      <c r="AC4" s="62">
        <f t="shared" si="12"/>
        <v>0</v>
      </c>
    </row>
    <row r="5" spans="1:29" ht="28.7" customHeight="1" x14ac:dyDescent="0.25">
      <c r="A5" s="4" t="s">
        <v>17</v>
      </c>
      <c r="B5" s="7" t="s">
        <v>61</v>
      </c>
      <c r="C5" s="2" t="s">
        <v>1403</v>
      </c>
      <c r="D5" s="7" t="s">
        <v>839</v>
      </c>
      <c r="E5" s="4" t="s">
        <v>60</v>
      </c>
      <c r="F5" s="2"/>
      <c r="G5" s="2" t="s">
        <v>1399</v>
      </c>
      <c r="H5" s="2" t="s">
        <v>1400</v>
      </c>
      <c r="I5" s="4" t="s">
        <v>60</v>
      </c>
      <c r="J5" s="112">
        <f>IF($H5&lt;&gt;"Y",0,ROUND(MIN(Dashboard!$R$24,IF(IFERROR(VLOOKUP($B5,Dashboard!$Q$28:$S$60,2,FALSE),0)&gt;0,IFERROR(VLOOKUP($B5,Dashboard!$Q$28:$S$60,2,FALSE),0),$Z5*IF($U5&lt;&gt;"",ROUND((Dashboard!$R$4/$U5)*VLOOKUP($I5,Dashboard!$Q$9:$R$13,2,FALSE)*IF(ISNUMBER(SEARCH("Duals",$B5)),2,IF(ISNUMBER(SEARCH("Triples",$B5)),3,IF(ISNUMBER(SEARCH("Quads",$B5)),4,1))),2),ROUND(VLOOKUP($I5,Dashboard!$Q$15:$R$20,2,FALSE)*IF($E5="Red",Dashboard!$R$6,IF($E5="Gold",Dashboard!$R$7,Dashboard!$R$5))*IF(ISNUMBER(SEARCH("Duals",$B5)),2,IF(ISNUMBER(SEARCH("Triples",$B5)),3,IF(ISNUMBER(SEARCH("Quads",$B5)),4,1))),2))*IF(IFERROR(VLOOKUP($B5,Dashboard!$Q$28:$S$60,3,FALSE),0)&gt;0,VLOOKUP($B5,Dashboard!$Q$28:$S$60,3,FALSE),1))),0))</f>
        <v>1</v>
      </c>
      <c r="K5" s="2" t="str">
        <f>IF('Base S1'!C5="","",'Base S1'!C5)</f>
        <v>h</v>
      </c>
      <c r="L5" s="2">
        <f t="shared" si="0"/>
        <v>1</v>
      </c>
      <c r="M5" s="2">
        <f t="shared" si="1"/>
        <v>0</v>
      </c>
      <c r="N5" s="2">
        <f t="shared" si="2"/>
        <v>1</v>
      </c>
      <c r="O5" s="2">
        <f t="shared" si="3"/>
        <v>0</v>
      </c>
      <c r="P5" s="112">
        <f t="shared" si="4"/>
        <v>1</v>
      </c>
      <c r="Q5" s="112">
        <f t="shared" si="5"/>
        <v>0</v>
      </c>
      <c r="R5" s="53"/>
      <c r="S5" s="53" t="str">
        <f t="shared" si="6"/>
        <v>Base S1|Base Set - Season 1|4|Base</v>
      </c>
      <c r="T5" s="57" t="str">
        <f>IF($S5="","",IFERROR(VLOOKUP($S5,'Pop Estimates (Non-#d)'!$N$2:$O$500,2,FALSE),""))</f>
        <v/>
      </c>
      <c r="U5" s="57" t="str">
        <f t="shared" si="7"/>
        <v/>
      </c>
      <c r="V5" s="53" t="str">
        <f t="shared" si="8"/>
        <v/>
      </c>
      <c r="W5" s="53" t="str">
        <f t="shared" si="9"/>
        <v/>
      </c>
      <c r="X5" s="53" t="str">
        <f t="shared" si="10"/>
        <v/>
      </c>
      <c r="Y5" s="57" t="str">
        <f>IF($X5="","",IFERROR(VLOOKUP($X5,'Char Popularity'!$A$2:$C$500,2,FALSE),""))</f>
        <v/>
      </c>
      <c r="Z5" s="56">
        <f>IF($X5="",1,IFERROR(VLOOKUP($X5,'Char Popularity'!$A$2:$C$500,3,FALSE),1))</f>
        <v>1</v>
      </c>
      <c r="AA5" s="62">
        <f>IF($H5&lt;&gt;"Y",0,(IF($F5&lt;&gt;"",ROUND(Dashboard!$R$4/$F5,1),IF(AND($I5="Base",$E5="Base"),Dashboard!$R$5,IF(AND($I5="Base",$E5="Red"),Dashboard!$R$6,IF(AND($I5="Base",$E5="Gold"),Dashboard!$R$7,VLOOKUP($I5,Dashboard!$Q$16:$R$21,2,FALSE)))))*VLOOKUP($I5,Dashboard!$Q$9:$R$13,2,FALSE)*IF(AND($I5="Auto",$F5="",OR($B5="Autographs Duals",$B5="Autographs Triples",$B5="Autographs Quads",$B5="Autographs Quads (Inscribed)")),IF($B5="Autographs Duals",2,IF($B5="Autographs Triples",3,4)),1)))</f>
        <v>1</v>
      </c>
      <c r="AB5" s="62">
        <f t="shared" si="11"/>
        <v>1</v>
      </c>
      <c r="AC5" s="62">
        <f t="shared" si="12"/>
        <v>0</v>
      </c>
    </row>
    <row r="6" spans="1:29" ht="28.7" customHeight="1" x14ac:dyDescent="0.25">
      <c r="A6" s="4" t="s">
        <v>17</v>
      </c>
      <c r="B6" s="7" t="s">
        <v>61</v>
      </c>
      <c r="C6" s="2" t="s">
        <v>1404</v>
      </c>
      <c r="D6" s="7" t="s">
        <v>841</v>
      </c>
      <c r="E6" s="4" t="s">
        <v>60</v>
      </c>
      <c r="F6" s="2"/>
      <c r="G6" s="2" t="s">
        <v>1399</v>
      </c>
      <c r="H6" s="2" t="s">
        <v>1400</v>
      </c>
      <c r="I6" s="4" t="s">
        <v>60</v>
      </c>
      <c r="J6" s="112">
        <f>IF($H6&lt;&gt;"Y",0,ROUND(MIN(Dashboard!$R$24,IF(IFERROR(VLOOKUP($B6,Dashboard!$Q$28:$S$60,2,FALSE),0)&gt;0,IFERROR(VLOOKUP($B6,Dashboard!$Q$28:$S$60,2,FALSE),0),$Z6*IF($U6&lt;&gt;"",ROUND((Dashboard!$R$4/$U6)*VLOOKUP($I6,Dashboard!$Q$9:$R$13,2,FALSE)*IF(ISNUMBER(SEARCH("Duals",$B6)),2,IF(ISNUMBER(SEARCH("Triples",$B6)),3,IF(ISNUMBER(SEARCH("Quads",$B6)),4,1))),2),ROUND(VLOOKUP($I6,Dashboard!$Q$15:$R$20,2,FALSE)*IF($E6="Red",Dashboard!$R$6,IF($E6="Gold",Dashboard!$R$7,Dashboard!$R$5))*IF(ISNUMBER(SEARCH("Duals",$B6)),2,IF(ISNUMBER(SEARCH("Triples",$B6)),3,IF(ISNUMBER(SEARCH("Quads",$B6)),4,1))),2))*IF(IFERROR(VLOOKUP($B6,Dashboard!$Q$28:$S$60,3,FALSE),0)&gt;0,VLOOKUP($B6,Dashboard!$Q$28:$S$60,3,FALSE),1))),0))</f>
        <v>1</v>
      </c>
      <c r="K6" s="2" t="str">
        <f>IF('Base S1'!C6="","",'Base S1'!C6)</f>
        <v>h</v>
      </c>
      <c r="L6" s="2">
        <f t="shared" si="0"/>
        <v>1</v>
      </c>
      <c r="M6" s="2">
        <f t="shared" si="1"/>
        <v>0</v>
      </c>
      <c r="N6" s="2">
        <f t="shared" si="2"/>
        <v>1</v>
      </c>
      <c r="O6" s="2">
        <f t="shared" si="3"/>
        <v>0</v>
      </c>
      <c r="P6" s="112">
        <f t="shared" si="4"/>
        <v>1</v>
      </c>
      <c r="Q6" s="112">
        <f t="shared" si="5"/>
        <v>0</v>
      </c>
      <c r="R6" s="53"/>
      <c r="S6" s="53" t="str">
        <f t="shared" si="6"/>
        <v>Base S1|Base Set - Season 1|5|Base</v>
      </c>
      <c r="T6" s="57" t="str">
        <f>IF($S6="","",IFERROR(VLOOKUP($S6,'Pop Estimates (Non-#d)'!$N$2:$O$500,2,FALSE),""))</f>
        <v/>
      </c>
      <c r="U6" s="57" t="str">
        <f t="shared" si="7"/>
        <v/>
      </c>
      <c r="V6" s="53" t="str">
        <f t="shared" si="8"/>
        <v/>
      </c>
      <c r="W6" s="53" t="str">
        <f t="shared" si="9"/>
        <v/>
      </c>
      <c r="X6" s="53" t="str">
        <f t="shared" si="10"/>
        <v/>
      </c>
      <c r="Y6" s="57" t="str">
        <f>IF($X6="","",IFERROR(VLOOKUP($X6,'Char Popularity'!$A$2:$C$500,2,FALSE),""))</f>
        <v/>
      </c>
      <c r="Z6" s="56">
        <f>IF($X6="",1,IFERROR(VLOOKUP($X6,'Char Popularity'!$A$2:$C$500,3,FALSE),1))</f>
        <v>1</v>
      </c>
      <c r="AA6" s="62">
        <f>IF($H6&lt;&gt;"Y",0,(IF($F6&lt;&gt;"",ROUND(Dashboard!$R$4/$F6,1),IF(AND($I6="Base",$E6="Base"),Dashboard!$R$5,IF(AND($I6="Base",$E6="Red"),Dashboard!$R$6,IF(AND($I6="Base",$E6="Gold"),Dashboard!$R$7,VLOOKUP($I6,Dashboard!$Q$16:$R$21,2,FALSE)))))*VLOOKUP($I6,Dashboard!$Q$9:$R$13,2,FALSE)*IF(AND($I6="Auto",$F6="",OR($B6="Autographs Duals",$B6="Autographs Triples",$B6="Autographs Quads",$B6="Autographs Quads (Inscribed)")),IF($B6="Autographs Duals",2,IF($B6="Autographs Triples",3,4)),1)))</f>
        <v>1</v>
      </c>
      <c r="AB6" s="62">
        <f t="shared" si="11"/>
        <v>1</v>
      </c>
      <c r="AC6" s="62">
        <f t="shared" si="12"/>
        <v>0</v>
      </c>
    </row>
    <row r="7" spans="1:29" ht="28.7" customHeight="1" x14ac:dyDescent="0.25">
      <c r="A7" s="4" t="s">
        <v>17</v>
      </c>
      <c r="B7" s="7" t="s">
        <v>61</v>
      </c>
      <c r="C7" s="2" t="s">
        <v>1405</v>
      </c>
      <c r="D7" s="7" t="s">
        <v>843</v>
      </c>
      <c r="E7" s="4" t="s">
        <v>60</v>
      </c>
      <c r="F7" s="2"/>
      <c r="G7" s="2" t="s">
        <v>1399</v>
      </c>
      <c r="H7" s="2" t="s">
        <v>1400</v>
      </c>
      <c r="I7" s="4" t="s">
        <v>60</v>
      </c>
      <c r="J7" s="112">
        <f>IF($H7&lt;&gt;"Y",0,ROUND(MIN(Dashboard!$R$24,IF(IFERROR(VLOOKUP($B7,Dashboard!$Q$28:$S$60,2,FALSE),0)&gt;0,IFERROR(VLOOKUP($B7,Dashboard!$Q$28:$S$60,2,FALSE),0),$Z7*IF($U7&lt;&gt;"",ROUND((Dashboard!$R$4/$U7)*VLOOKUP($I7,Dashboard!$Q$9:$R$13,2,FALSE)*IF(ISNUMBER(SEARCH("Duals",$B7)),2,IF(ISNUMBER(SEARCH("Triples",$B7)),3,IF(ISNUMBER(SEARCH("Quads",$B7)),4,1))),2),ROUND(VLOOKUP($I7,Dashboard!$Q$15:$R$20,2,FALSE)*IF($E7="Red",Dashboard!$R$6,IF($E7="Gold",Dashboard!$R$7,Dashboard!$R$5))*IF(ISNUMBER(SEARCH("Duals",$B7)),2,IF(ISNUMBER(SEARCH("Triples",$B7)),3,IF(ISNUMBER(SEARCH("Quads",$B7)),4,1))),2))*IF(IFERROR(VLOOKUP($B7,Dashboard!$Q$28:$S$60,3,FALSE),0)&gt;0,VLOOKUP($B7,Dashboard!$Q$28:$S$60,3,FALSE),1))),0))</f>
        <v>1</v>
      </c>
      <c r="K7" s="2" t="str">
        <f>IF('Base S1'!C7="","",'Base S1'!C7)</f>
        <v>h</v>
      </c>
      <c r="L7" s="2">
        <f t="shared" si="0"/>
        <v>1</v>
      </c>
      <c r="M7" s="2">
        <f t="shared" si="1"/>
        <v>0</v>
      </c>
      <c r="N7" s="2">
        <f t="shared" si="2"/>
        <v>1</v>
      </c>
      <c r="O7" s="2">
        <f t="shared" si="3"/>
        <v>0</v>
      </c>
      <c r="P7" s="112">
        <f t="shared" si="4"/>
        <v>1</v>
      </c>
      <c r="Q7" s="112">
        <f t="shared" si="5"/>
        <v>0</v>
      </c>
      <c r="R7" s="53"/>
      <c r="S7" s="53" t="str">
        <f t="shared" si="6"/>
        <v>Base S1|Base Set - Season 1|6|Base</v>
      </c>
      <c r="T7" s="57" t="str">
        <f>IF($S7="","",IFERROR(VLOOKUP($S7,'Pop Estimates (Non-#d)'!$N$2:$O$500,2,FALSE),""))</f>
        <v/>
      </c>
      <c r="U7" s="57" t="str">
        <f t="shared" si="7"/>
        <v/>
      </c>
      <c r="V7" s="53" t="str">
        <f t="shared" si="8"/>
        <v/>
      </c>
      <c r="W7" s="53" t="str">
        <f t="shared" si="9"/>
        <v/>
      </c>
      <c r="X7" s="53" t="str">
        <f t="shared" si="10"/>
        <v/>
      </c>
      <c r="Y7" s="57" t="str">
        <f>IF($X7="","",IFERROR(VLOOKUP($X7,'Char Popularity'!$A$2:$C$500,2,FALSE),""))</f>
        <v/>
      </c>
      <c r="Z7" s="56">
        <f>IF($X7="",1,IFERROR(VLOOKUP($X7,'Char Popularity'!$A$2:$C$500,3,FALSE),1))</f>
        <v>1</v>
      </c>
      <c r="AA7" s="62">
        <f>IF($H7&lt;&gt;"Y",0,(IF($F7&lt;&gt;"",ROUND(Dashboard!$R$4/$F7,1),IF(AND($I7="Base",$E7="Base"),Dashboard!$R$5,IF(AND($I7="Base",$E7="Red"),Dashboard!$R$6,IF(AND($I7="Base",$E7="Gold"),Dashboard!$R$7,VLOOKUP($I7,Dashboard!$Q$16:$R$21,2,FALSE)))))*VLOOKUP($I7,Dashboard!$Q$9:$R$13,2,FALSE)*IF(AND($I7="Auto",$F7="",OR($B7="Autographs Duals",$B7="Autographs Triples",$B7="Autographs Quads",$B7="Autographs Quads (Inscribed)")),IF($B7="Autographs Duals",2,IF($B7="Autographs Triples",3,4)),1)))</f>
        <v>1</v>
      </c>
      <c r="AB7" s="62">
        <f t="shared" si="11"/>
        <v>1</v>
      </c>
      <c r="AC7" s="62">
        <f t="shared" si="12"/>
        <v>0</v>
      </c>
    </row>
    <row r="8" spans="1:29" ht="28.7" customHeight="1" x14ac:dyDescent="0.25">
      <c r="A8" s="4" t="s">
        <v>17</v>
      </c>
      <c r="B8" s="7" t="s">
        <v>61</v>
      </c>
      <c r="C8" s="2" t="s">
        <v>1406</v>
      </c>
      <c r="D8" s="7" t="s">
        <v>845</v>
      </c>
      <c r="E8" s="4" t="s">
        <v>60</v>
      </c>
      <c r="F8" s="2"/>
      <c r="G8" s="2" t="s">
        <v>1399</v>
      </c>
      <c r="H8" s="2" t="s">
        <v>1400</v>
      </c>
      <c r="I8" s="4" t="s">
        <v>60</v>
      </c>
      <c r="J8" s="112">
        <f>IF($H8&lt;&gt;"Y",0,ROUND(MIN(Dashboard!$R$24,IF(IFERROR(VLOOKUP($B8,Dashboard!$Q$28:$S$60,2,FALSE),0)&gt;0,IFERROR(VLOOKUP($B8,Dashboard!$Q$28:$S$60,2,FALSE),0),$Z8*IF($U8&lt;&gt;"",ROUND((Dashboard!$R$4/$U8)*VLOOKUP($I8,Dashboard!$Q$9:$R$13,2,FALSE)*IF(ISNUMBER(SEARCH("Duals",$B8)),2,IF(ISNUMBER(SEARCH("Triples",$B8)),3,IF(ISNUMBER(SEARCH("Quads",$B8)),4,1))),2),ROUND(VLOOKUP($I8,Dashboard!$Q$15:$R$20,2,FALSE)*IF($E8="Red",Dashboard!$R$6,IF($E8="Gold",Dashboard!$R$7,Dashboard!$R$5))*IF(ISNUMBER(SEARCH("Duals",$B8)),2,IF(ISNUMBER(SEARCH("Triples",$B8)),3,IF(ISNUMBER(SEARCH("Quads",$B8)),4,1))),2))*IF(IFERROR(VLOOKUP($B8,Dashboard!$Q$28:$S$60,3,FALSE),0)&gt;0,VLOOKUP($B8,Dashboard!$Q$28:$S$60,3,FALSE),1))),0))</f>
        <v>1</v>
      </c>
      <c r="K8" s="2" t="str">
        <f>IF('Base S1'!C8="","",'Base S1'!C8)</f>
        <v>h</v>
      </c>
      <c r="L8" s="2">
        <f t="shared" si="0"/>
        <v>1</v>
      </c>
      <c r="M8" s="2">
        <f t="shared" si="1"/>
        <v>0</v>
      </c>
      <c r="N8" s="2">
        <f t="shared" si="2"/>
        <v>1</v>
      </c>
      <c r="O8" s="2">
        <f t="shared" si="3"/>
        <v>0</v>
      </c>
      <c r="P8" s="112">
        <f t="shared" si="4"/>
        <v>1</v>
      </c>
      <c r="Q8" s="112">
        <f t="shared" si="5"/>
        <v>0</v>
      </c>
      <c r="R8" s="53"/>
      <c r="S8" s="53" t="str">
        <f t="shared" si="6"/>
        <v>Base S1|Base Set - Season 1|7|Base</v>
      </c>
      <c r="T8" s="57" t="str">
        <f>IF($S8="","",IFERROR(VLOOKUP($S8,'Pop Estimates (Non-#d)'!$N$2:$O$500,2,FALSE),""))</f>
        <v/>
      </c>
      <c r="U8" s="57" t="str">
        <f t="shared" si="7"/>
        <v/>
      </c>
      <c r="V8" s="53" t="str">
        <f t="shared" si="8"/>
        <v/>
      </c>
      <c r="W8" s="53" t="str">
        <f t="shared" si="9"/>
        <v/>
      </c>
      <c r="X8" s="53" t="str">
        <f t="shared" si="10"/>
        <v/>
      </c>
      <c r="Y8" s="57" t="str">
        <f>IF($X8="","",IFERROR(VLOOKUP($X8,'Char Popularity'!$A$2:$C$500,2,FALSE),""))</f>
        <v/>
      </c>
      <c r="Z8" s="56">
        <f>IF($X8="",1,IFERROR(VLOOKUP($X8,'Char Popularity'!$A$2:$C$500,3,FALSE),1))</f>
        <v>1</v>
      </c>
      <c r="AA8" s="62">
        <f>IF($H8&lt;&gt;"Y",0,(IF($F8&lt;&gt;"",ROUND(Dashboard!$R$4/$F8,1),IF(AND($I8="Base",$E8="Base"),Dashboard!$R$5,IF(AND($I8="Base",$E8="Red"),Dashboard!$R$6,IF(AND($I8="Base",$E8="Gold"),Dashboard!$R$7,VLOOKUP($I8,Dashboard!$Q$16:$R$21,2,FALSE)))))*VLOOKUP($I8,Dashboard!$Q$9:$R$13,2,FALSE)*IF(AND($I8="Auto",$F8="",OR($B8="Autographs Duals",$B8="Autographs Triples",$B8="Autographs Quads",$B8="Autographs Quads (Inscribed)")),IF($B8="Autographs Duals",2,IF($B8="Autographs Triples",3,4)),1)))</f>
        <v>1</v>
      </c>
      <c r="AB8" s="62">
        <f t="shared" si="11"/>
        <v>1</v>
      </c>
      <c r="AC8" s="62">
        <f t="shared" si="12"/>
        <v>0</v>
      </c>
    </row>
    <row r="9" spans="1:29" ht="28.7" customHeight="1" x14ac:dyDescent="0.25">
      <c r="A9" s="4" t="s">
        <v>17</v>
      </c>
      <c r="B9" s="7" t="s">
        <v>61</v>
      </c>
      <c r="C9" s="2" t="s">
        <v>1407</v>
      </c>
      <c r="D9" s="7" t="s">
        <v>848</v>
      </c>
      <c r="E9" s="4" t="s">
        <v>60</v>
      </c>
      <c r="F9" s="2"/>
      <c r="G9" s="2" t="s">
        <v>1399</v>
      </c>
      <c r="H9" s="2" t="s">
        <v>1400</v>
      </c>
      <c r="I9" s="4" t="s">
        <v>60</v>
      </c>
      <c r="J9" s="112">
        <f>IF($H9&lt;&gt;"Y",0,ROUND(MIN(Dashboard!$R$24,IF(IFERROR(VLOOKUP($B9,Dashboard!$Q$28:$S$60,2,FALSE),0)&gt;0,IFERROR(VLOOKUP($B9,Dashboard!$Q$28:$S$60,2,FALSE),0),$Z9*IF($U9&lt;&gt;"",ROUND((Dashboard!$R$4/$U9)*VLOOKUP($I9,Dashboard!$Q$9:$R$13,2,FALSE)*IF(ISNUMBER(SEARCH("Duals",$B9)),2,IF(ISNUMBER(SEARCH("Triples",$B9)),3,IF(ISNUMBER(SEARCH("Quads",$B9)),4,1))),2),ROUND(VLOOKUP($I9,Dashboard!$Q$15:$R$20,2,FALSE)*IF($E9="Red",Dashboard!$R$6,IF($E9="Gold",Dashboard!$R$7,Dashboard!$R$5))*IF(ISNUMBER(SEARCH("Duals",$B9)),2,IF(ISNUMBER(SEARCH("Triples",$B9)),3,IF(ISNUMBER(SEARCH("Quads",$B9)),4,1))),2))*IF(IFERROR(VLOOKUP($B9,Dashboard!$Q$28:$S$60,3,FALSE),0)&gt;0,VLOOKUP($B9,Dashboard!$Q$28:$S$60,3,FALSE),1))),0))</f>
        <v>1</v>
      </c>
      <c r="K9" s="2" t="str">
        <f>IF('Base S1'!C9="","",'Base S1'!C9)</f>
        <v>h</v>
      </c>
      <c r="L9" s="2">
        <f t="shared" si="0"/>
        <v>1</v>
      </c>
      <c r="M9" s="2">
        <f t="shared" si="1"/>
        <v>0</v>
      </c>
      <c r="N9" s="2">
        <f t="shared" si="2"/>
        <v>1</v>
      </c>
      <c r="O9" s="2">
        <f t="shared" si="3"/>
        <v>0</v>
      </c>
      <c r="P9" s="112">
        <f t="shared" si="4"/>
        <v>1</v>
      </c>
      <c r="Q9" s="112">
        <f t="shared" si="5"/>
        <v>0</v>
      </c>
      <c r="R9" s="53"/>
      <c r="S9" s="53" t="str">
        <f t="shared" si="6"/>
        <v>Base S1|Base Set - Season 1|8|Base</v>
      </c>
      <c r="T9" s="57" t="str">
        <f>IF($S9="","",IFERROR(VLOOKUP($S9,'Pop Estimates (Non-#d)'!$N$2:$O$500,2,FALSE),""))</f>
        <v/>
      </c>
      <c r="U9" s="57" t="str">
        <f t="shared" si="7"/>
        <v/>
      </c>
      <c r="V9" s="53" t="str">
        <f t="shared" si="8"/>
        <v/>
      </c>
      <c r="W9" s="53" t="str">
        <f t="shared" si="9"/>
        <v/>
      </c>
      <c r="X9" s="53" t="str">
        <f t="shared" si="10"/>
        <v/>
      </c>
      <c r="Y9" s="57" t="str">
        <f>IF($X9="","",IFERROR(VLOOKUP($X9,'Char Popularity'!$A$2:$C$500,2,FALSE),""))</f>
        <v/>
      </c>
      <c r="Z9" s="56">
        <f>IF($X9="",1,IFERROR(VLOOKUP($X9,'Char Popularity'!$A$2:$C$500,3,FALSE),1))</f>
        <v>1</v>
      </c>
      <c r="AA9" s="62">
        <f>IF($H9&lt;&gt;"Y",0,(IF($F9&lt;&gt;"",ROUND(Dashboard!$R$4/$F9,1),IF(AND($I9="Base",$E9="Base"),Dashboard!$R$5,IF(AND($I9="Base",$E9="Red"),Dashboard!$R$6,IF(AND($I9="Base",$E9="Gold"),Dashboard!$R$7,VLOOKUP($I9,Dashboard!$Q$16:$R$21,2,FALSE)))))*VLOOKUP($I9,Dashboard!$Q$9:$R$13,2,FALSE)*IF(AND($I9="Auto",$F9="",OR($B9="Autographs Duals",$B9="Autographs Triples",$B9="Autographs Quads",$B9="Autographs Quads (Inscribed)")),IF($B9="Autographs Duals",2,IF($B9="Autographs Triples",3,4)),1)))</f>
        <v>1</v>
      </c>
      <c r="AB9" s="62">
        <f t="shared" si="11"/>
        <v>1</v>
      </c>
      <c r="AC9" s="62">
        <f t="shared" si="12"/>
        <v>0</v>
      </c>
    </row>
    <row r="10" spans="1:29" ht="28.7" customHeight="1" x14ac:dyDescent="0.25">
      <c r="A10" s="4" t="s">
        <v>17</v>
      </c>
      <c r="B10" s="7" t="s">
        <v>61</v>
      </c>
      <c r="C10" s="2" t="s">
        <v>1408</v>
      </c>
      <c r="D10" s="7" t="s">
        <v>850</v>
      </c>
      <c r="E10" s="4" t="s">
        <v>60</v>
      </c>
      <c r="F10" s="2"/>
      <c r="G10" s="2" t="s">
        <v>1399</v>
      </c>
      <c r="H10" s="2" t="s">
        <v>1400</v>
      </c>
      <c r="I10" s="4" t="s">
        <v>60</v>
      </c>
      <c r="J10" s="112">
        <f>IF($H10&lt;&gt;"Y",0,ROUND(MIN(Dashboard!$R$24,IF(IFERROR(VLOOKUP($B10,Dashboard!$Q$28:$S$60,2,FALSE),0)&gt;0,IFERROR(VLOOKUP($B10,Dashboard!$Q$28:$S$60,2,FALSE),0),$Z10*IF($U10&lt;&gt;"",ROUND((Dashboard!$R$4/$U10)*VLOOKUP($I10,Dashboard!$Q$9:$R$13,2,FALSE)*IF(ISNUMBER(SEARCH("Duals",$B10)),2,IF(ISNUMBER(SEARCH("Triples",$B10)),3,IF(ISNUMBER(SEARCH("Quads",$B10)),4,1))),2),ROUND(VLOOKUP($I10,Dashboard!$Q$15:$R$20,2,FALSE)*IF($E10="Red",Dashboard!$R$6,IF($E10="Gold",Dashboard!$R$7,Dashboard!$R$5))*IF(ISNUMBER(SEARCH("Duals",$B10)),2,IF(ISNUMBER(SEARCH("Triples",$B10)),3,IF(ISNUMBER(SEARCH("Quads",$B10)),4,1))),2))*IF(IFERROR(VLOOKUP($B10,Dashboard!$Q$28:$S$60,3,FALSE),0)&gt;0,VLOOKUP($B10,Dashboard!$Q$28:$S$60,3,FALSE),1))),0))</f>
        <v>1</v>
      </c>
      <c r="K10" s="2" t="str">
        <f>IF('Base S1'!C10="","",'Base S1'!C10)</f>
        <v>h</v>
      </c>
      <c r="L10" s="2">
        <f t="shared" si="0"/>
        <v>1</v>
      </c>
      <c r="M10" s="2">
        <f t="shared" si="1"/>
        <v>0</v>
      </c>
      <c r="N10" s="2">
        <f t="shared" si="2"/>
        <v>1</v>
      </c>
      <c r="O10" s="2">
        <f t="shared" si="3"/>
        <v>0</v>
      </c>
      <c r="P10" s="112">
        <f t="shared" si="4"/>
        <v>1</v>
      </c>
      <c r="Q10" s="112">
        <f t="shared" si="5"/>
        <v>0</v>
      </c>
      <c r="R10" s="53"/>
      <c r="S10" s="53" t="str">
        <f t="shared" si="6"/>
        <v>Base S1|Base Set - Season 1|9|Base</v>
      </c>
      <c r="T10" s="57" t="str">
        <f>IF($S10="","",IFERROR(VLOOKUP($S10,'Pop Estimates (Non-#d)'!$N$2:$O$500,2,FALSE),""))</f>
        <v/>
      </c>
      <c r="U10" s="57" t="str">
        <f t="shared" si="7"/>
        <v/>
      </c>
      <c r="V10" s="53" t="str">
        <f t="shared" si="8"/>
        <v/>
      </c>
      <c r="W10" s="53" t="str">
        <f t="shared" si="9"/>
        <v/>
      </c>
      <c r="X10" s="53" t="str">
        <f t="shared" si="10"/>
        <v/>
      </c>
      <c r="Y10" s="57" t="str">
        <f>IF($X10="","",IFERROR(VLOOKUP($X10,'Char Popularity'!$A$2:$C$500,2,FALSE),""))</f>
        <v/>
      </c>
      <c r="Z10" s="56">
        <f>IF($X10="",1,IFERROR(VLOOKUP($X10,'Char Popularity'!$A$2:$C$500,3,FALSE),1))</f>
        <v>1</v>
      </c>
      <c r="AA10" s="62">
        <f>IF($H10&lt;&gt;"Y",0,(IF($F10&lt;&gt;"",ROUND(Dashboard!$R$4/$F10,1),IF(AND($I10="Base",$E10="Base"),Dashboard!$R$5,IF(AND($I10="Base",$E10="Red"),Dashboard!$R$6,IF(AND($I10="Base",$E10="Gold"),Dashboard!$R$7,VLOOKUP($I10,Dashboard!$Q$16:$R$21,2,FALSE)))))*VLOOKUP($I10,Dashboard!$Q$9:$R$13,2,FALSE)*IF(AND($I10="Auto",$F10="",OR($B10="Autographs Duals",$B10="Autographs Triples",$B10="Autographs Quads",$B10="Autographs Quads (Inscribed)")),IF($B10="Autographs Duals",2,IF($B10="Autographs Triples",3,4)),1)))</f>
        <v>1</v>
      </c>
      <c r="AB10" s="62">
        <f t="shared" si="11"/>
        <v>1</v>
      </c>
      <c r="AC10" s="62">
        <f t="shared" si="12"/>
        <v>0</v>
      </c>
    </row>
    <row r="11" spans="1:29" ht="28.7" customHeight="1" x14ac:dyDescent="0.25">
      <c r="A11" s="4" t="s">
        <v>17</v>
      </c>
      <c r="B11" s="7" t="s">
        <v>61</v>
      </c>
      <c r="C11" s="2" t="s">
        <v>1409</v>
      </c>
      <c r="D11" s="7" t="s">
        <v>853</v>
      </c>
      <c r="E11" s="4" t="s">
        <v>60</v>
      </c>
      <c r="F11" s="2"/>
      <c r="G11" s="2" t="s">
        <v>1399</v>
      </c>
      <c r="H11" s="2" t="s">
        <v>1400</v>
      </c>
      <c r="I11" s="4" t="s">
        <v>60</v>
      </c>
      <c r="J11" s="112">
        <f>IF($H11&lt;&gt;"Y",0,ROUND(MIN(Dashboard!$R$24,IF(IFERROR(VLOOKUP($B11,Dashboard!$Q$28:$S$60,2,FALSE),0)&gt;0,IFERROR(VLOOKUP($B11,Dashboard!$Q$28:$S$60,2,FALSE),0),$Z11*IF($U11&lt;&gt;"",ROUND((Dashboard!$R$4/$U11)*VLOOKUP($I11,Dashboard!$Q$9:$R$13,2,FALSE)*IF(ISNUMBER(SEARCH("Duals",$B11)),2,IF(ISNUMBER(SEARCH("Triples",$B11)),3,IF(ISNUMBER(SEARCH("Quads",$B11)),4,1))),2),ROUND(VLOOKUP($I11,Dashboard!$Q$15:$R$20,2,FALSE)*IF($E11="Red",Dashboard!$R$6,IF($E11="Gold",Dashboard!$R$7,Dashboard!$R$5))*IF(ISNUMBER(SEARCH("Duals",$B11)),2,IF(ISNUMBER(SEARCH("Triples",$B11)),3,IF(ISNUMBER(SEARCH("Quads",$B11)),4,1))),2))*IF(IFERROR(VLOOKUP($B11,Dashboard!$Q$28:$S$60,3,FALSE),0)&gt;0,VLOOKUP($B11,Dashboard!$Q$28:$S$60,3,FALSE),1))),0))</f>
        <v>1</v>
      </c>
      <c r="K11" s="2" t="str">
        <f>IF('Base S1'!C11="","",'Base S1'!C11)</f>
        <v>h</v>
      </c>
      <c r="L11" s="2">
        <f t="shared" si="0"/>
        <v>1</v>
      </c>
      <c r="M11" s="2">
        <f t="shared" si="1"/>
        <v>0</v>
      </c>
      <c r="N11" s="2">
        <f t="shared" si="2"/>
        <v>1</v>
      </c>
      <c r="O11" s="2">
        <f t="shared" si="3"/>
        <v>0</v>
      </c>
      <c r="P11" s="112">
        <f t="shared" si="4"/>
        <v>1</v>
      </c>
      <c r="Q11" s="112">
        <f t="shared" si="5"/>
        <v>0</v>
      </c>
      <c r="R11" s="53"/>
      <c r="S11" s="53" t="str">
        <f t="shared" si="6"/>
        <v>Base S1|Base Set - Season 1|10|Base</v>
      </c>
      <c r="T11" s="57" t="str">
        <f>IF($S11="","",IFERROR(VLOOKUP($S11,'Pop Estimates (Non-#d)'!$N$2:$O$500,2,FALSE),""))</f>
        <v/>
      </c>
      <c r="U11" s="57" t="str">
        <f t="shared" si="7"/>
        <v/>
      </c>
      <c r="V11" s="53" t="str">
        <f t="shared" si="8"/>
        <v/>
      </c>
      <c r="W11" s="53" t="str">
        <f t="shared" si="9"/>
        <v/>
      </c>
      <c r="X11" s="53" t="str">
        <f t="shared" si="10"/>
        <v/>
      </c>
      <c r="Y11" s="57" t="str">
        <f>IF($X11="","",IFERROR(VLOOKUP($X11,'Char Popularity'!$A$2:$C$500,2,FALSE),""))</f>
        <v/>
      </c>
      <c r="Z11" s="56">
        <f>IF($X11="",1,IFERROR(VLOOKUP($X11,'Char Popularity'!$A$2:$C$500,3,FALSE),1))</f>
        <v>1</v>
      </c>
      <c r="AA11" s="62">
        <f>IF($H11&lt;&gt;"Y",0,(IF($F11&lt;&gt;"",ROUND(Dashboard!$R$4/$F11,1),IF(AND($I11="Base",$E11="Base"),Dashboard!$R$5,IF(AND($I11="Base",$E11="Red"),Dashboard!$R$6,IF(AND($I11="Base",$E11="Gold"),Dashboard!$R$7,VLOOKUP($I11,Dashboard!$Q$16:$R$21,2,FALSE)))))*VLOOKUP($I11,Dashboard!$Q$9:$R$13,2,FALSE)*IF(AND($I11="Auto",$F11="",OR($B11="Autographs Duals",$B11="Autographs Triples",$B11="Autographs Quads",$B11="Autographs Quads (Inscribed)")),IF($B11="Autographs Duals",2,IF($B11="Autographs Triples",3,4)),1)))</f>
        <v>1</v>
      </c>
      <c r="AB11" s="62">
        <f t="shared" si="11"/>
        <v>1</v>
      </c>
      <c r="AC11" s="62">
        <f t="shared" si="12"/>
        <v>0</v>
      </c>
    </row>
    <row r="12" spans="1:29" ht="28.7" customHeight="1" x14ac:dyDescent="0.25">
      <c r="A12" s="4" t="s">
        <v>17</v>
      </c>
      <c r="B12" s="7" t="s">
        <v>61</v>
      </c>
      <c r="C12" s="2" t="s">
        <v>1410</v>
      </c>
      <c r="D12" s="7" t="s">
        <v>856</v>
      </c>
      <c r="E12" s="4" t="s">
        <v>60</v>
      </c>
      <c r="F12" s="2"/>
      <c r="G12" s="2" t="s">
        <v>1399</v>
      </c>
      <c r="H12" s="2" t="s">
        <v>1400</v>
      </c>
      <c r="I12" s="4" t="s">
        <v>60</v>
      </c>
      <c r="J12" s="112">
        <f>IF($H12&lt;&gt;"Y",0,ROUND(MIN(Dashboard!$R$24,IF(IFERROR(VLOOKUP($B12,Dashboard!$Q$28:$S$60,2,FALSE),0)&gt;0,IFERROR(VLOOKUP($B12,Dashboard!$Q$28:$S$60,2,FALSE),0),$Z12*IF($U12&lt;&gt;"",ROUND((Dashboard!$R$4/$U12)*VLOOKUP($I12,Dashboard!$Q$9:$R$13,2,FALSE)*IF(ISNUMBER(SEARCH("Duals",$B12)),2,IF(ISNUMBER(SEARCH("Triples",$B12)),3,IF(ISNUMBER(SEARCH("Quads",$B12)),4,1))),2),ROUND(VLOOKUP($I12,Dashboard!$Q$15:$R$20,2,FALSE)*IF($E12="Red",Dashboard!$R$6,IF($E12="Gold",Dashboard!$R$7,Dashboard!$R$5))*IF(ISNUMBER(SEARCH("Duals",$B12)),2,IF(ISNUMBER(SEARCH("Triples",$B12)),3,IF(ISNUMBER(SEARCH("Quads",$B12)),4,1))),2))*IF(IFERROR(VLOOKUP($B12,Dashboard!$Q$28:$S$60,3,FALSE),0)&gt;0,VLOOKUP($B12,Dashboard!$Q$28:$S$60,3,FALSE),1))),0))</f>
        <v>1</v>
      </c>
      <c r="K12" s="2" t="str">
        <f>IF('Base S1'!C12="","",'Base S1'!C12)</f>
        <v>h</v>
      </c>
      <c r="L12" s="2">
        <f t="shared" si="0"/>
        <v>1</v>
      </c>
      <c r="M12" s="2">
        <f t="shared" si="1"/>
        <v>0</v>
      </c>
      <c r="N12" s="2">
        <f t="shared" si="2"/>
        <v>1</v>
      </c>
      <c r="O12" s="2">
        <f t="shared" si="3"/>
        <v>0</v>
      </c>
      <c r="P12" s="112">
        <f t="shared" si="4"/>
        <v>1</v>
      </c>
      <c r="Q12" s="112">
        <f t="shared" si="5"/>
        <v>0</v>
      </c>
      <c r="R12" s="53"/>
      <c r="S12" s="53" t="str">
        <f t="shared" si="6"/>
        <v>Base S1|Base Set - Season 1|11|Base</v>
      </c>
      <c r="T12" s="57" t="str">
        <f>IF($S12="","",IFERROR(VLOOKUP($S12,'Pop Estimates (Non-#d)'!$N$2:$O$500,2,FALSE),""))</f>
        <v/>
      </c>
      <c r="U12" s="57" t="str">
        <f t="shared" si="7"/>
        <v/>
      </c>
      <c r="V12" s="53" t="str">
        <f t="shared" si="8"/>
        <v/>
      </c>
      <c r="W12" s="53" t="str">
        <f t="shared" si="9"/>
        <v/>
      </c>
      <c r="X12" s="53" t="str">
        <f t="shared" si="10"/>
        <v/>
      </c>
      <c r="Y12" s="57" t="str">
        <f>IF($X12="","",IFERROR(VLOOKUP($X12,'Char Popularity'!$A$2:$C$500,2,FALSE),""))</f>
        <v/>
      </c>
      <c r="Z12" s="56">
        <f>IF($X12="",1,IFERROR(VLOOKUP($X12,'Char Popularity'!$A$2:$C$500,3,FALSE),1))</f>
        <v>1</v>
      </c>
      <c r="AA12" s="62">
        <f>IF($H12&lt;&gt;"Y",0,(IF($F12&lt;&gt;"",ROUND(Dashboard!$R$4/$F12,1),IF(AND($I12="Base",$E12="Base"),Dashboard!$R$5,IF(AND($I12="Base",$E12="Red"),Dashboard!$R$6,IF(AND($I12="Base",$E12="Gold"),Dashboard!$R$7,VLOOKUP($I12,Dashboard!$Q$16:$R$21,2,FALSE)))))*VLOOKUP($I12,Dashboard!$Q$9:$R$13,2,FALSE)*IF(AND($I12="Auto",$F12="",OR($B12="Autographs Duals",$B12="Autographs Triples",$B12="Autographs Quads",$B12="Autographs Quads (Inscribed)")),IF($B12="Autographs Duals",2,IF($B12="Autographs Triples",3,4)),1)))</f>
        <v>1</v>
      </c>
      <c r="AB12" s="62">
        <f t="shared" si="11"/>
        <v>1</v>
      </c>
      <c r="AC12" s="62">
        <f t="shared" si="12"/>
        <v>0</v>
      </c>
    </row>
    <row r="13" spans="1:29" ht="28.7" customHeight="1" x14ac:dyDescent="0.25">
      <c r="A13" s="4" t="s">
        <v>17</v>
      </c>
      <c r="B13" s="7" t="s">
        <v>61</v>
      </c>
      <c r="C13" s="2" t="s">
        <v>1411</v>
      </c>
      <c r="D13" s="7" t="s">
        <v>858</v>
      </c>
      <c r="E13" s="4" t="s">
        <v>60</v>
      </c>
      <c r="F13" s="2"/>
      <c r="G13" s="2" t="s">
        <v>1399</v>
      </c>
      <c r="H13" s="2" t="s">
        <v>1400</v>
      </c>
      <c r="I13" s="4" t="s">
        <v>60</v>
      </c>
      <c r="J13" s="112">
        <f>IF($H13&lt;&gt;"Y",0,ROUND(MIN(Dashboard!$R$24,IF(IFERROR(VLOOKUP($B13,Dashboard!$Q$28:$S$60,2,FALSE),0)&gt;0,IFERROR(VLOOKUP($B13,Dashboard!$Q$28:$S$60,2,FALSE),0),$Z13*IF($U13&lt;&gt;"",ROUND((Dashboard!$R$4/$U13)*VLOOKUP($I13,Dashboard!$Q$9:$R$13,2,FALSE)*IF(ISNUMBER(SEARCH("Duals",$B13)),2,IF(ISNUMBER(SEARCH("Triples",$B13)),3,IF(ISNUMBER(SEARCH("Quads",$B13)),4,1))),2),ROUND(VLOOKUP($I13,Dashboard!$Q$15:$R$20,2,FALSE)*IF($E13="Red",Dashboard!$R$6,IF($E13="Gold",Dashboard!$R$7,Dashboard!$R$5))*IF(ISNUMBER(SEARCH("Duals",$B13)),2,IF(ISNUMBER(SEARCH("Triples",$B13)),3,IF(ISNUMBER(SEARCH("Quads",$B13)),4,1))),2))*IF(IFERROR(VLOOKUP($B13,Dashboard!$Q$28:$S$60,3,FALSE),0)&gt;0,VLOOKUP($B13,Dashboard!$Q$28:$S$60,3,FALSE),1))),0))</f>
        <v>1</v>
      </c>
      <c r="K13" s="2" t="str">
        <f>IF('Base S1'!C13="","",'Base S1'!C13)</f>
        <v>h</v>
      </c>
      <c r="L13" s="2">
        <f t="shared" si="0"/>
        <v>1</v>
      </c>
      <c r="M13" s="2">
        <f t="shared" si="1"/>
        <v>0</v>
      </c>
      <c r="N13" s="2">
        <f t="shared" si="2"/>
        <v>1</v>
      </c>
      <c r="O13" s="2">
        <f t="shared" si="3"/>
        <v>0</v>
      </c>
      <c r="P13" s="112">
        <f t="shared" si="4"/>
        <v>1</v>
      </c>
      <c r="Q13" s="112">
        <f t="shared" si="5"/>
        <v>0</v>
      </c>
      <c r="R13" s="53"/>
      <c r="S13" s="53" t="str">
        <f t="shared" si="6"/>
        <v>Base S1|Base Set - Season 1|12|Base</v>
      </c>
      <c r="T13" s="57" t="str">
        <f>IF($S13="","",IFERROR(VLOOKUP($S13,'Pop Estimates (Non-#d)'!$N$2:$O$500,2,FALSE),""))</f>
        <v/>
      </c>
      <c r="U13" s="57" t="str">
        <f t="shared" si="7"/>
        <v/>
      </c>
      <c r="V13" s="53" t="str">
        <f t="shared" si="8"/>
        <v/>
      </c>
      <c r="W13" s="53" t="str">
        <f t="shared" si="9"/>
        <v/>
      </c>
      <c r="X13" s="53" t="str">
        <f t="shared" si="10"/>
        <v/>
      </c>
      <c r="Y13" s="57" t="str">
        <f>IF($X13="","",IFERROR(VLOOKUP($X13,'Char Popularity'!$A$2:$C$500,2,FALSE),""))</f>
        <v/>
      </c>
      <c r="Z13" s="56">
        <f>IF($X13="",1,IFERROR(VLOOKUP($X13,'Char Popularity'!$A$2:$C$500,3,FALSE),1))</f>
        <v>1</v>
      </c>
      <c r="AA13" s="62">
        <f>IF($H13&lt;&gt;"Y",0,(IF($F13&lt;&gt;"",ROUND(Dashboard!$R$4/$F13,1),IF(AND($I13="Base",$E13="Base"),Dashboard!$R$5,IF(AND($I13="Base",$E13="Red"),Dashboard!$R$6,IF(AND($I13="Base",$E13="Gold"),Dashboard!$R$7,VLOOKUP($I13,Dashboard!$Q$16:$R$21,2,FALSE)))))*VLOOKUP($I13,Dashboard!$Q$9:$R$13,2,FALSE)*IF(AND($I13="Auto",$F13="",OR($B13="Autographs Duals",$B13="Autographs Triples",$B13="Autographs Quads",$B13="Autographs Quads (Inscribed)")),IF($B13="Autographs Duals",2,IF($B13="Autographs Triples",3,4)),1)))</f>
        <v>1</v>
      </c>
      <c r="AB13" s="62">
        <f t="shared" si="11"/>
        <v>1</v>
      </c>
      <c r="AC13" s="62">
        <f t="shared" si="12"/>
        <v>0</v>
      </c>
    </row>
    <row r="14" spans="1:29" ht="28.7" customHeight="1" x14ac:dyDescent="0.25">
      <c r="A14" s="4" t="s">
        <v>17</v>
      </c>
      <c r="B14" s="7" t="s">
        <v>61</v>
      </c>
      <c r="C14" s="2" t="s">
        <v>1412</v>
      </c>
      <c r="D14" s="7" t="s">
        <v>861</v>
      </c>
      <c r="E14" s="4" t="s">
        <v>60</v>
      </c>
      <c r="F14" s="2"/>
      <c r="G14" s="2" t="s">
        <v>1399</v>
      </c>
      <c r="H14" s="2" t="s">
        <v>1400</v>
      </c>
      <c r="I14" s="4" t="s">
        <v>60</v>
      </c>
      <c r="J14" s="112">
        <f>IF($H14&lt;&gt;"Y",0,ROUND(MIN(Dashboard!$R$24,IF(IFERROR(VLOOKUP($B14,Dashboard!$Q$28:$S$60,2,FALSE),0)&gt;0,IFERROR(VLOOKUP($B14,Dashboard!$Q$28:$S$60,2,FALSE),0),$Z14*IF($U14&lt;&gt;"",ROUND((Dashboard!$R$4/$U14)*VLOOKUP($I14,Dashboard!$Q$9:$R$13,2,FALSE)*IF(ISNUMBER(SEARCH("Duals",$B14)),2,IF(ISNUMBER(SEARCH("Triples",$B14)),3,IF(ISNUMBER(SEARCH("Quads",$B14)),4,1))),2),ROUND(VLOOKUP($I14,Dashboard!$Q$15:$R$20,2,FALSE)*IF($E14="Red",Dashboard!$R$6,IF($E14="Gold",Dashboard!$R$7,Dashboard!$R$5))*IF(ISNUMBER(SEARCH("Duals",$B14)),2,IF(ISNUMBER(SEARCH("Triples",$B14)),3,IF(ISNUMBER(SEARCH("Quads",$B14)),4,1))),2))*IF(IFERROR(VLOOKUP($B14,Dashboard!$Q$28:$S$60,3,FALSE),0)&gt;0,VLOOKUP($B14,Dashboard!$Q$28:$S$60,3,FALSE),1))),0))</f>
        <v>1</v>
      </c>
      <c r="K14" s="2" t="str">
        <f>IF('Base S1'!C14="","",'Base S1'!C14)</f>
        <v>h</v>
      </c>
      <c r="L14" s="2">
        <f t="shared" si="0"/>
        <v>1</v>
      </c>
      <c r="M14" s="2">
        <f t="shared" si="1"/>
        <v>0</v>
      </c>
      <c r="N14" s="2">
        <f t="shared" si="2"/>
        <v>1</v>
      </c>
      <c r="O14" s="2">
        <f t="shared" si="3"/>
        <v>0</v>
      </c>
      <c r="P14" s="112">
        <f t="shared" si="4"/>
        <v>1</v>
      </c>
      <c r="Q14" s="112">
        <f t="shared" si="5"/>
        <v>0</v>
      </c>
      <c r="R14" s="53"/>
      <c r="S14" s="53" t="str">
        <f t="shared" si="6"/>
        <v>Base S1|Base Set - Season 1|13|Base</v>
      </c>
      <c r="T14" s="57" t="str">
        <f>IF($S14="","",IFERROR(VLOOKUP($S14,'Pop Estimates (Non-#d)'!$N$2:$O$500,2,FALSE),""))</f>
        <v/>
      </c>
      <c r="U14" s="57" t="str">
        <f t="shared" si="7"/>
        <v/>
      </c>
      <c r="V14" s="53" t="str">
        <f t="shared" si="8"/>
        <v/>
      </c>
      <c r="W14" s="53" t="str">
        <f t="shared" si="9"/>
        <v/>
      </c>
      <c r="X14" s="53" t="str">
        <f t="shared" si="10"/>
        <v/>
      </c>
      <c r="Y14" s="57" t="str">
        <f>IF($X14="","",IFERROR(VLOOKUP($X14,'Char Popularity'!$A$2:$C$500,2,FALSE),""))</f>
        <v/>
      </c>
      <c r="Z14" s="56">
        <f>IF($X14="",1,IFERROR(VLOOKUP($X14,'Char Popularity'!$A$2:$C$500,3,FALSE),1))</f>
        <v>1</v>
      </c>
      <c r="AA14" s="62">
        <f>IF($H14&lt;&gt;"Y",0,(IF($F14&lt;&gt;"",ROUND(Dashboard!$R$4/$F14,1),IF(AND($I14="Base",$E14="Base"),Dashboard!$R$5,IF(AND($I14="Base",$E14="Red"),Dashboard!$R$6,IF(AND($I14="Base",$E14="Gold"),Dashboard!$R$7,VLOOKUP($I14,Dashboard!$Q$16:$R$21,2,FALSE)))))*VLOOKUP($I14,Dashboard!$Q$9:$R$13,2,FALSE)*IF(AND($I14="Auto",$F14="",OR($B14="Autographs Duals",$B14="Autographs Triples",$B14="Autographs Quads",$B14="Autographs Quads (Inscribed)")),IF($B14="Autographs Duals",2,IF($B14="Autographs Triples",3,4)),1)))</f>
        <v>1</v>
      </c>
      <c r="AB14" s="62">
        <f t="shared" si="11"/>
        <v>1</v>
      </c>
      <c r="AC14" s="62">
        <f t="shared" si="12"/>
        <v>0</v>
      </c>
    </row>
    <row r="15" spans="1:29" ht="28.7" customHeight="1" x14ac:dyDescent="0.25">
      <c r="A15" s="4" t="s">
        <v>17</v>
      </c>
      <c r="B15" s="7" t="s">
        <v>61</v>
      </c>
      <c r="C15" s="2" t="s">
        <v>1413</v>
      </c>
      <c r="D15" s="7" t="s">
        <v>863</v>
      </c>
      <c r="E15" s="4" t="s">
        <v>60</v>
      </c>
      <c r="F15" s="2"/>
      <c r="G15" s="2" t="s">
        <v>1399</v>
      </c>
      <c r="H15" s="2" t="s">
        <v>1400</v>
      </c>
      <c r="I15" s="4" t="s">
        <v>60</v>
      </c>
      <c r="J15" s="112">
        <f>IF($H15&lt;&gt;"Y",0,ROUND(MIN(Dashboard!$R$24,IF(IFERROR(VLOOKUP($B15,Dashboard!$Q$28:$S$60,2,FALSE),0)&gt;0,IFERROR(VLOOKUP($B15,Dashboard!$Q$28:$S$60,2,FALSE),0),$Z15*IF($U15&lt;&gt;"",ROUND((Dashboard!$R$4/$U15)*VLOOKUP($I15,Dashboard!$Q$9:$R$13,2,FALSE)*IF(ISNUMBER(SEARCH("Duals",$B15)),2,IF(ISNUMBER(SEARCH("Triples",$B15)),3,IF(ISNUMBER(SEARCH("Quads",$B15)),4,1))),2),ROUND(VLOOKUP($I15,Dashboard!$Q$15:$R$20,2,FALSE)*IF($E15="Red",Dashboard!$R$6,IF($E15="Gold",Dashboard!$R$7,Dashboard!$R$5))*IF(ISNUMBER(SEARCH("Duals",$B15)),2,IF(ISNUMBER(SEARCH("Triples",$B15)),3,IF(ISNUMBER(SEARCH("Quads",$B15)),4,1))),2))*IF(IFERROR(VLOOKUP($B15,Dashboard!$Q$28:$S$60,3,FALSE),0)&gt;0,VLOOKUP($B15,Dashboard!$Q$28:$S$60,3,FALSE),1))),0))</f>
        <v>1</v>
      </c>
      <c r="K15" s="2" t="str">
        <f>IF('Base S1'!C15="","",'Base S1'!C15)</f>
        <v>h</v>
      </c>
      <c r="L15" s="2">
        <f t="shared" si="0"/>
        <v>1</v>
      </c>
      <c r="M15" s="2">
        <f t="shared" si="1"/>
        <v>0</v>
      </c>
      <c r="N15" s="2">
        <f t="shared" si="2"/>
        <v>1</v>
      </c>
      <c r="O15" s="2">
        <f t="shared" si="3"/>
        <v>0</v>
      </c>
      <c r="P15" s="112">
        <f t="shared" si="4"/>
        <v>1</v>
      </c>
      <c r="Q15" s="112">
        <f t="shared" si="5"/>
        <v>0</v>
      </c>
      <c r="R15" s="53"/>
      <c r="S15" s="53" t="str">
        <f t="shared" si="6"/>
        <v>Base S1|Base Set - Season 1|14|Base</v>
      </c>
      <c r="T15" s="57" t="str">
        <f>IF($S15="","",IFERROR(VLOOKUP($S15,'Pop Estimates (Non-#d)'!$N$2:$O$500,2,FALSE),""))</f>
        <v/>
      </c>
      <c r="U15" s="57" t="str">
        <f t="shared" si="7"/>
        <v/>
      </c>
      <c r="V15" s="53" t="str">
        <f t="shared" si="8"/>
        <v/>
      </c>
      <c r="W15" s="53" t="str">
        <f t="shared" si="9"/>
        <v/>
      </c>
      <c r="X15" s="53" t="str">
        <f t="shared" si="10"/>
        <v/>
      </c>
      <c r="Y15" s="57" t="str">
        <f>IF($X15="","",IFERROR(VLOOKUP($X15,'Char Popularity'!$A$2:$C$500,2,FALSE),""))</f>
        <v/>
      </c>
      <c r="Z15" s="56">
        <f>IF($X15="",1,IFERROR(VLOOKUP($X15,'Char Popularity'!$A$2:$C$500,3,FALSE),1))</f>
        <v>1</v>
      </c>
      <c r="AA15" s="62">
        <f>IF($H15&lt;&gt;"Y",0,(IF($F15&lt;&gt;"",ROUND(Dashboard!$R$4/$F15,1),IF(AND($I15="Base",$E15="Base"),Dashboard!$R$5,IF(AND($I15="Base",$E15="Red"),Dashboard!$R$6,IF(AND($I15="Base",$E15="Gold"),Dashboard!$R$7,VLOOKUP($I15,Dashboard!$Q$16:$R$21,2,FALSE)))))*VLOOKUP($I15,Dashboard!$Q$9:$R$13,2,FALSE)*IF(AND($I15="Auto",$F15="",OR($B15="Autographs Duals",$B15="Autographs Triples",$B15="Autographs Quads",$B15="Autographs Quads (Inscribed)")),IF($B15="Autographs Duals",2,IF($B15="Autographs Triples",3,4)),1)))</f>
        <v>1</v>
      </c>
      <c r="AB15" s="62">
        <f t="shared" si="11"/>
        <v>1</v>
      </c>
      <c r="AC15" s="62">
        <f t="shared" si="12"/>
        <v>0</v>
      </c>
    </row>
    <row r="16" spans="1:29" ht="28.7" customHeight="1" x14ac:dyDescent="0.25">
      <c r="A16" s="4" t="s">
        <v>17</v>
      </c>
      <c r="B16" s="7" t="s">
        <v>61</v>
      </c>
      <c r="C16" s="2" t="s">
        <v>1414</v>
      </c>
      <c r="D16" s="7" t="s">
        <v>866</v>
      </c>
      <c r="E16" s="4" t="s">
        <v>60</v>
      </c>
      <c r="F16" s="2"/>
      <c r="G16" s="2" t="s">
        <v>1399</v>
      </c>
      <c r="H16" s="2" t="s">
        <v>1400</v>
      </c>
      <c r="I16" s="4" t="s">
        <v>60</v>
      </c>
      <c r="J16" s="112">
        <f>IF($H16&lt;&gt;"Y",0,ROUND(MIN(Dashboard!$R$24,IF(IFERROR(VLOOKUP($B16,Dashboard!$Q$28:$S$60,2,FALSE),0)&gt;0,IFERROR(VLOOKUP($B16,Dashboard!$Q$28:$S$60,2,FALSE),0),$Z16*IF($U16&lt;&gt;"",ROUND((Dashboard!$R$4/$U16)*VLOOKUP($I16,Dashboard!$Q$9:$R$13,2,FALSE)*IF(ISNUMBER(SEARCH("Duals",$B16)),2,IF(ISNUMBER(SEARCH("Triples",$B16)),3,IF(ISNUMBER(SEARCH("Quads",$B16)),4,1))),2),ROUND(VLOOKUP($I16,Dashboard!$Q$15:$R$20,2,FALSE)*IF($E16="Red",Dashboard!$R$6,IF($E16="Gold",Dashboard!$R$7,Dashboard!$R$5))*IF(ISNUMBER(SEARCH("Duals",$B16)),2,IF(ISNUMBER(SEARCH("Triples",$B16)),3,IF(ISNUMBER(SEARCH("Quads",$B16)),4,1))),2))*IF(IFERROR(VLOOKUP($B16,Dashboard!$Q$28:$S$60,3,FALSE),0)&gt;0,VLOOKUP($B16,Dashboard!$Q$28:$S$60,3,FALSE),1))),0))</f>
        <v>1</v>
      </c>
      <c r="K16" s="2" t="str">
        <f>IF('Base S1'!C16="","",'Base S1'!C16)</f>
        <v>h</v>
      </c>
      <c r="L16" s="2">
        <f t="shared" si="0"/>
        <v>1</v>
      </c>
      <c r="M16" s="2">
        <f t="shared" si="1"/>
        <v>0</v>
      </c>
      <c r="N16" s="2">
        <f t="shared" si="2"/>
        <v>1</v>
      </c>
      <c r="O16" s="2">
        <f t="shared" si="3"/>
        <v>0</v>
      </c>
      <c r="P16" s="112">
        <f t="shared" si="4"/>
        <v>1</v>
      </c>
      <c r="Q16" s="112">
        <f t="shared" si="5"/>
        <v>0</v>
      </c>
      <c r="R16" s="53"/>
      <c r="S16" s="53" t="str">
        <f t="shared" si="6"/>
        <v>Base S1|Base Set - Season 1|15|Base</v>
      </c>
      <c r="T16" s="57" t="str">
        <f>IF($S16="","",IFERROR(VLOOKUP($S16,'Pop Estimates (Non-#d)'!$N$2:$O$500,2,FALSE),""))</f>
        <v/>
      </c>
      <c r="U16" s="57" t="str">
        <f t="shared" si="7"/>
        <v/>
      </c>
      <c r="V16" s="53" t="str">
        <f t="shared" si="8"/>
        <v/>
      </c>
      <c r="W16" s="53" t="str">
        <f t="shared" si="9"/>
        <v/>
      </c>
      <c r="X16" s="53" t="str">
        <f t="shared" si="10"/>
        <v/>
      </c>
      <c r="Y16" s="57" t="str">
        <f>IF($X16="","",IFERROR(VLOOKUP($X16,'Char Popularity'!$A$2:$C$500,2,FALSE),""))</f>
        <v/>
      </c>
      <c r="Z16" s="56">
        <f>IF($X16="",1,IFERROR(VLOOKUP($X16,'Char Popularity'!$A$2:$C$500,3,FALSE),1))</f>
        <v>1</v>
      </c>
      <c r="AA16" s="62">
        <f>IF($H16&lt;&gt;"Y",0,(IF($F16&lt;&gt;"",ROUND(Dashboard!$R$4/$F16,1),IF(AND($I16="Base",$E16="Base"),Dashboard!$R$5,IF(AND($I16="Base",$E16="Red"),Dashboard!$R$6,IF(AND($I16="Base",$E16="Gold"),Dashboard!$R$7,VLOOKUP($I16,Dashboard!$Q$16:$R$21,2,FALSE)))))*VLOOKUP($I16,Dashboard!$Q$9:$R$13,2,FALSE)*IF(AND($I16="Auto",$F16="",OR($B16="Autographs Duals",$B16="Autographs Triples",$B16="Autographs Quads",$B16="Autographs Quads (Inscribed)")),IF($B16="Autographs Duals",2,IF($B16="Autographs Triples",3,4)),1)))</f>
        <v>1</v>
      </c>
      <c r="AB16" s="62">
        <f t="shared" si="11"/>
        <v>1</v>
      </c>
      <c r="AC16" s="62">
        <f t="shared" si="12"/>
        <v>0</v>
      </c>
    </row>
    <row r="17" spans="1:29" ht="28.7" customHeight="1" x14ac:dyDescent="0.25">
      <c r="A17" s="4" t="s">
        <v>17</v>
      </c>
      <c r="B17" s="7" t="s">
        <v>61</v>
      </c>
      <c r="C17" s="2" t="s">
        <v>1415</v>
      </c>
      <c r="D17" s="7" t="s">
        <v>869</v>
      </c>
      <c r="E17" s="4" t="s">
        <v>60</v>
      </c>
      <c r="F17" s="2"/>
      <c r="G17" s="2" t="s">
        <v>1399</v>
      </c>
      <c r="H17" s="2" t="s">
        <v>1400</v>
      </c>
      <c r="I17" s="4" t="s">
        <v>60</v>
      </c>
      <c r="J17" s="112">
        <f>IF($H17&lt;&gt;"Y",0,ROUND(MIN(Dashboard!$R$24,IF(IFERROR(VLOOKUP($B17,Dashboard!$Q$28:$S$60,2,FALSE),0)&gt;0,IFERROR(VLOOKUP($B17,Dashboard!$Q$28:$S$60,2,FALSE),0),$Z17*IF($U17&lt;&gt;"",ROUND((Dashboard!$R$4/$U17)*VLOOKUP($I17,Dashboard!$Q$9:$R$13,2,FALSE)*IF(ISNUMBER(SEARCH("Duals",$B17)),2,IF(ISNUMBER(SEARCH("Triples",$B17)),3,IF(ISNUMBER(SEARCH("Quads",$B17)),4,1))),2),ROUND(VLOOKUP($I17,Dashboard!$Q$15:$R$20,2,FALSE)*IF($E17="Red",Dashboard!$R$6,IF($E17="Gold",Dashboard!$R$7,Dashboard!$R$5))*IF(ISNUMBER(SEARCH("Duals",$B17)),2,IF(ISNUMBER(SEARCH("Triples",$B17)),3,IF(ISNUMBER(SEARCH("Quads",$B17)),4,1))),2))*IF(IFERROR(VLOOKUP($B17,Dashboard!$Q$28:$S$60,3,FALSE),0)&gt;0,VLOOKUP($B17,Dashboard!$Q$28:$S$60,3,FALSE),1))),0))</f>
        <v>1</v>
      </c>
      <c r="K17" s="2" t="str">
        <f>IF('Base S1'!C17="","",'Base S1'!C17)</f>
        <v>h</v>
      </c>
      <c r="L17" s="2">
        <f t="shared" si="0"/>
        <v>1</v>
      </c>
      <c r="M17" s="2">
        <f t="shared" si="1"/>
        <v>0</v>
      </c>
      <c r="N17" s="2">
        <f t="shared" si="2"/>
        <v>1</v>
      </c>
      <c r="O17" s="2">
        <f t="shared" si="3"/>
        <v>0</v>
      </c>
      <c r="P17" s="112">
        <f t="shared" si="4"/>
        <v>1</v>
      </c>
      <c r="Q17" s="112">
        <f t="shared" si="5"/>
        <v>0</v>
      </c>
      <c r="R17" s="53"/>
      <c r="S17" s="53" t="str">
        <f t="shared" si="6"/>
        <v>Base S1|Base Set - Season 1|16|Base</v>
      </c>
      <c r="T17" s="57" t="str">
        <f>IF($S17="","",IFERROR(VLOOKUP($S17,'Pop Estimates (Non-#d)'!$N$2:$O$500,2,FALSE),""))</f>
        <v/>
      </c>
      <c r="U17" s="57" t="str">
        <f t="shared" si="7"/>
        <v/>
      </c>
      <c r="V17" s="53" t="str">
        <f t="shared" si="8"/>
        <v/>
      </c>
      <c r="W17" s="53" t="str">
        <f t="shared" si="9"/>
        <v/>
      </c>
      <c r="X17" s="53" t="str">
        <f t="shared" si="10"/>
        <v/>
      </c>
      <c r="Y17" s="57" t="str">
        <f>IF($X17="","",IFERROR(VLOOKUP($X17,'Char Popularity'!$A$2:$C$500,2,FALSE),""))</f>
        <v/>
      </c>
      <c r="Z17" s="56">
        <f>IF($X17="",1,IFERROR(VLOOKUP($X17,'Char Popularity'!$A$2:$C$500,3,FALSE),1))</f>
        <v>1</v>
      </c>
      <c r="AA17" s="62">
        <f>IF($H17&lt;&gt;"Y",0,(IF($F17&lt;&gt;"",ROUND(Dashboard!$R$4/$F17,1),IF(AND($I17="Base",$E17="Base"),Dashboard!$R$5,IF(AND($I17="Base",$E17="Red"),Dashboard!$R$6,IF(AND($I17="Base",$E17="Gold"),Dashboard!$R$7,VLOOKUP($I17,Dashboard!$Q$16:$R$21,2,FALSE)))))*VLOOKUP($I17,Dashboard!$Q$9:$R$13,2,FALSE)*IF(AND($I17="Auto",$F17="",OR($B17="Autographs Duals",$B17="Autographs Triples",$B17="Autographs Quads",$B17="Autographs Quads (Inscribed)")),IF($B17="Autographs Duals",2,IF($B17="Autographs Triples",3,4)),1)))</f>
        <v>1</v>
      </c>
      <c r="AB17" s="62">
        <f t="shared" si="11"/>
        <v>1</v>
      </c>
      <c r="AC17" s="62">
        <f t="shared" si="12"/>
        <v>0</v>
      </c>
    </row>
    <row r="18" spans="1:29" ht="28.7" customHeight="1" x14ac:dyDescent="0.25">
      <c r="A18" s="4" t="s">
        <v>17</v>
      </c>
      <c r="B18" s="7" t="s">
        <v>61</v>
      </c>
      <c r="C18" s="2" t="s">
        <v>1416</v>
      </c>
      <c r="D18" s="7" t="s">
        <v>874</v>
      </c>
      <c r="E18" s="4" t="s">
        <v>60</v>
      </c>
      <c r="F18" s="2"/>
      <c r="G18" s="2" t="s">
        <v>1399</v>
      </c>
      <c r="H18" s="2" t="s">
        <v>1400</v>
      </c>
      <c r="I18" s="4" t="s">
        <v>60</v>
      </c>
      <c r="J18" s="112">
        <f>IF($H18&lt;&gt;"Y",0,ROUND(MIN(Dashboard!$R$24,IF(IFERROR(VLOOKUP($B18,Dashboard!$Q$28:$S$60,2,FALSE),0)&gt;0,IFERROR(VLOOKUP($B18,Dashboard!$Q$28:$S$60,2,FALSE),0),$Z18*IF($U18&lt;&gt;"",ROUND((Dashboard!$R$4/$U18)*VLOOKUP($I18,Dashboard!$Q$9:$R$13,2,FALSE)*IF(ISNUMBER(SEARCH("Duals",$B18)),2,IF(ISNUMBER(SEARCH("Triples",$B18)),3,IF(ISNUMBER(SEARCH("Quads",$B18)),4,1))),2),ROUND(VLOOKUP($I18,Dashboard!$Q$15:$R$20,2,FALSE)*IF($E18="Red",Dashboard!$R$6,IF($E18="Gold",Dashboard!$R$7,Dashboard!$R$5))*IF(ISNUMBER(SEARCH("Duals",$B18)),2,IF(ISNUMBER(SEARCH("Triples",$B18)),3,IF(ISNUMBER(SEARCH("Quads",$B18)),4,1))),2))*IF(IFERROR(VLOOKUP($B18,Dashboard!$Q$28:$S$60,3,FALSE),0)&gt;0,VLOOKUP($B18,Dashboard!$Q$28:$S$60,3,FALSE),1))),0))</f>
        <v>1</v>
      </c>
      <c r="K18" s="2" t="str">
        <f>IF('Base S1'!C18="","",'Base S1'!C18)</f>
        <v>h</v>
      </c>
      <c r="L18" s="2">
        <f t="shared" si="0"/>
        <v>1</v>
      </c>
      <c r="M18" s="2">
        <f t="shared" si="1"/>
        <v>0</v>
      </c>
      <c r="N18" s="2">
        <f t="shared" si="2"/>
        <v>1</v>
      </c>
      <c r="O18" s="2">
        <f t="shared" si="3"/>
        <v>0</v>
      </c>
      <c r="P18" s="112">
        <f t="shared" si="4"/>
        <v>1</v>
      </c>
      <c r="Q18" s="112">
        <f t="shared" si="5"/>
        <v>0</v>
      </c>
      <c r="R18" s="53"/>
      <c r="S18" s="53" t="str">
        <f t="shared" si="6"/>
        <v>Base S1|Base Set - Season 1|17|Base</v>
      </c>
      <c r="T18" s="57" t="str">
        <f>IF($S18="","",IFERROR(VLOOKUP($S18,'Pop Estimates (Non-#d)'!$N$2:$O$500,2,FALSE),""))</f>
        <v/>
      </c>
      <c r="U18" s="57" t="str">
        <f t="shared" si="7"/>
        <v/>
      </c>
      <c r="V18" s="53" t="str">
        <f t="shared" si="8"/>
        <v/>
      </c>
      <c r="W18" s="53" t="str">
        <f t="shared" si="9"/>
        <v/>
      </c>
      <c r="X18" s="53" t="str">
        <f t="shared" si="10"/>
        <v/>
      </c>
      <c r="Y18" s="57" t="str">
        <f>IF($X18="","",IFERROR(VLOOKUP($X18,'Char Popularity'!$A$2:$C$500,2,FALSE),""))</f>
        <v/>
      </c>
      <c r="Z18" s="56">
        <f>IF($X18="",1,IFERROR(VLOOKUP($X18,'Char Popularity'!$A$2:$C$500,3,FALSE),1))</f>
        <v>1</v>
      </c>
      <c r="AA18" s="62">
        <f>IF($H18&lt;&gt;"Y",0,(IF($F18&lt;&gt;"",ROUND(Dashboard!$R$4/$F18,1),IF(AND($I18="Base",$E18="Base"),Dashboard!$R$5,IF(AND($I18="Base",$E18="Red"),Dashboard!$R$6,IF(AND($I18="Base",$E18="Gold"),Dashboard!$R$7,VLOOKUP($I18,Dashboard!$Q$16:$R$21,2,FALSE)))))*VLOOKUP($I18,Dashboard!$Q$9:$R$13,2,FALSE)*IF(AND($I18="Auto",$F18="",OR($B18="Autographs Duals",$B18="Autographs Triples",$B18="Autographs Quads",$B18="Autographs Quads (Inscribed)")),IF($B18="Autographs Duals",2,IF($B18="Autographs Triples",3,4)),1)))</f>
        <v>1</v>
      </c>
      <c r="AB18" s="62">
        <f t="shared" si="11"/>
        <v>1</v>
      </c>
      <c r="AC18" s="62">
        <f t="shared" si="12"/>
        <v>0</v>
      </c>
    </row>
    <row r="19" spans="1:29" ht="28.7" customHeight="1" x14ac:dyDescent="0.25">
      <c r="A19" s="4" t="s">
        <v>17</v>
      </c>
      <c r="B19" s="7" t="s">
        <v>61</v>
      </c>
      <c r="C19" s="2" t="s">
        <v>1417</v>
      </c>
      <c r="D19" s="7" t="s">
        <v>877</v>
      </c>
      <c r="E19" s="4" t="s">
        <v>60</v>
      </c>
      <c r="F19" s="2"/>
      <c r="G19" s="2" t="s">
        <v>1399</v>
      </c>
      <c r="H19" s="2" t="s">
        <v>1400</v>
      </c>
      <c r="I19" s="4" t="s">
        <v>60</v>
      </c>
      <c r="J19" s="112">
        <f>IF($H19&lt;&gt;"Y",0,ROUND(MIN(Dashboard!$R$24,IF(IFERROR(VLOOKUP($B19,Dashboard!$Q$28:$S$60,2,FALSE),0)&gt;0,IFERROR(VLOOKUP($B19,Dashboard!$Q$28:$S$60,2,FALSE),0),$Z19*IF($U19&lt;&gt;"",ROUND((Dashboard!$R$4/$U19)*VLOOKUP($I19,Dashboard!$Q$9:$R$13,2,FALSE)*IF(ISNUMBER(SEARCH("Duals",$B19)),2,IF(ISNUMBER(SEARCH("Triples",$B19)),3,IF(ISNUMBER(SEARCH("Quads",$B19)),4,1))),2),ROUND(VLOOKUP($I19,Dashboard!$Q$15:$R$20,2,FALSE)*IF($E19="Red",Dashboard!$R$6,IF($E19="Gold",Dashboard!$R$7,Dashboard!$R$5))*IF(ISNUMBER(SEARCH("Duals",$B19)),2,IF(ISNUMBER(SEARCH("Triples",$B19)),3,IF(ISNUMBER(SEARCH("Quads",$B19)),4,1))),2))*IF(IFERROR(VLOOKUP($B19,Dashboard!$Q$28:$S$60,3,FALSE),0)&gt;0,VLOOKUP($B19,Dashboard!$Q$28:$S$60,3,FALSE),1))),0))</f>
        <v>1</v>
      </c>
      <c r="K19" s="2" t="str">
        <f>IF('Base S1'!C19="","",'Base S1'!C19)</f>
        <v>h</v>
      </c>
      <c r="L19" s="2">
        <f t="shared" si="0"/>
        <v>1</v>
      </c>
      <c r="M19" s="2">
        <f t="shared" si="1"/>
        <v>0</v>
      </c>
      <c r="N19" s="2">
        <f t="shared" si="2"/>
        <v>1</v>
      </c>
      <c r="O19" s="2">
        <f t="shared" si="3"/>
        <v>0</v>
      </c>
      <c r="P19" s="112">
        <f t="shared" si="4"/>
        <v>1</v>
      </c>
      <c r="Q19" s="112">
        <f t="shared" si="5"/>
        <v>0</v>
      </c>
      <c r="R19" s="53"/>
      <c r="S19" s="53" t="str">
        <f t="shared" si="6"/>
        <v>Base S1|Base Set - Season 1|18|Base</v>
      </c>
      <c r="T19" s="57" t="str">
        <f>IF($S19="","",IFERROR(VLOOKUP($S19,'Pop Estimates (Non-#d)'!$N$2:$O$500,2,FALSE),""))</f>
        <v/>
      </c>
      <c r="U19" s="57" t="str">
        <f t="shared" si="7"/>
        <v/>
      </c>
      <c r="V19" s="53" t="str">
        <f t="shared" si="8"/>
        <v/>
      </c>
      <c r="W19" s="53" t="str">
        <f t="shared" si="9"/>
        <v/>
      </c>
      <c r="X19" s="53" t="str">
        <f t="shared" si="10"/>
        <v/>
      </c>
      <c r="Y19" s="57" t="str">
        <f>IF($X19="","",IFERROR(VLOOKUP($X19,'Char Popularity'!$A$2:$C$500,2,FALSE),""))</f>
        <v/>
      </c>
      <c r="Z19" s="56">
        <f>IF($X19="",1,IFERROR(VLOOKUP($X19,'Char Popularity'!$A$2:$C$500,3,FALSE),1))</f>
        <v>1</v>
      </c>
      <c r="AA19" s="62">
        <f>IF($H19&lt;&gt;"Y",0,(IF($F19&lt;&gt;"",ROUND(Dashboard!$R$4/$F19,1),IF(AND($I19="Base",$E19="Base"),Dashboard!$R$5,IF(AND($I19="Base",$E19="Red"),Dashboard!$R$6,IF(AND($I19="Base",$E19="Gold"),Dashboard!$R$7,VLOOKUP($I19,Dashboard!$Q$16:$R$21,2,FALSE)))))*VLOOKUP($I19,Dashboard!$Q$9:$R$13,2,FALSE)*IF(AND($I19="Auto",$F19="",OR($B19="Autographs Duals",$B19="Autographs Triples",$B19="Autographs Quads",$B19="Autographs Quads (Inscribed)")),IF($B19="Autographs Duals",2,IF($B19="Autographs Triples",3,4)),1)))</f>
        <v>1</v>
      </c>
      <c r="AB19" s="62">
        <f t="shared" si="11"/>
        <v>1</v>
      </c>
      <c r="AC19" s="62">
        <f t="shared" si="12"/>
        <v>0</v>
      </c>
    </row>
    <row r="20" spans="1:29" ht="28.7" customHeight="1" x14ac:dyDescent="0.25">
      <c r="A20" s="4" t="s">
        <v>17</v>
      </c>
      <c r="B20" s="7" t="s">
        <v>61</v>
      </c>
      <c r="C20" s="2" t="s">
        <v>1418</v>
      </c>
      <c r="D20" s="7" t="s">
        <v>879</v>
      </c>
      <c r="E20" s="4" t="s">
        <v>60</v>
      </c>
      <c r="F20" s="2"/>
      <c r="G20" s="2" t="s">
        <v>1399</v>
      </c>
      <c r="H20" s="2" t="s">
        <v>1400</v>
      </c>
      <c r="I20" s="4" t="s">
        <v>60</v>
      </c>
      <c r="J20" s="112">
        <f>IF($H20&lt;&gt;"Y",0,ROUND(MIN(Dashboard!$R$24,IF(IFERROR(VLOOKUP($B20,Dashboard!$Q$28:$S$60,2,FALSE),0)&gt;0,IFERROR(VLOOKUP($B20,Dashboard!$Q$28:$S$60,2,FALSE),0),$Z20*IF($U20&lt;&gt;"",ROUND((Dashboard!$R$4/$U20)*VLOOKUP($I20,Dashboard!$Q$9:$R$13,2,FALSE)*IF(ISNUMBER(SEARCH("Duals",$B20)),2,IF(ISNUMBER(SEARCH("Triples",$B20)),3,IF(ISNUMBER(SEARCH("Quads",$B20)),4,1))),2),ROUND(VLOOKUP($I20,Dashboard!$Q$15:$R$20,2,FALSE)*IF($E20="Red",Dashboard!$R$6,IF($E20="Gold",Dashboard!$R$7,Dashboard!$R$5))*IF(ISNUMBER(SEARCH("Duals",$B20)),2,IF(ISNUMBER(SEARCH("Triples",$B20)),3,IF(ISNUMBER(SEARCH("Quads",$B20)),4,1))),2))*IF(IFERROR(VLOOKUP($B20,Dashboard!$Q$28:$S$60,3,FALSE),0)&gt;0,VLOOKUP($B20,Dashboard!$Q$28:$S$60,3,FALSE),1))),0))</f>
        <v>1</v>
      </c>
      <c r="K20" s="2" t="str">
        <f>IF('Base S1'!C20="","",'Base S1'!C20)</f>
        <v>h</v>
      </c>
      <c r="L20" s="2">
        <f t="shared" si="0"/>
        <v>1</v>
      </c>
      <c r="M20" s="2">
        <f t="shared" si="1"/>
        <v>0</v>
      </c>
      <c r="N20" s="2">
        <f t="shared" si="2"/>
        <v>1</v>
      </c>
      <c r="O20" s="2">
        <f t="shared" si="3"/>
        <v>0</v>
      </c>
      <c r="P20" s="112">
        <f t="shared" si="4"/>
        <v>1</v>
      </c>
      <c r="Q20" s="112">
        <f t="shared" si="5"/>
        <v>0</v>
      </c>
      <c r="R20" s="53"/>
      <c r="S20" s="53" t="str">
        <f t="shared" si="6"/>
        <v>Base S1|Base Set - Season 1|19|Base</v>
      </c>
      <c r="T20" s="57" t="str">
        <f>IF($S20="","",IFERROR(VLOOKUP($S20,'Pop Estimates (Non-#d)'!$N$2:$O$500,2,FALSE),""))</f>
        <v/>
      </c>
      <c r="U20" s="57" t="str">
        <f t="shared" si="7"/>
        <v/>
      </c>
      <c r="V20" s="53" t="str">
        <f t="shared" si="8"/>
        <v/>
      </c>
      <c r="W20" s="53" t="str">
        <f t="shared" si="9"/>
        <v/>
      </c>
      <c r="X20" s="53" t="str">
        <f t="shared" si="10"/>
        <v/>
      </c>
      <c r="Y20" s="57" t="str">
        <f>IF($X20="","",IFERROR(VLOOKUP($X20,'Char Popularity'!$A$2:$C$500,2,FALSE),""))</f>
        <v/>
      </c>
      <c r="Z20" s="56">
        <f>IF($X20="",1,IFERROR(VLOOKUP($X20,'Char Popularity'!$A$2:$C$500,3,FALSE),1))</f>
        <v>1</v>
      </c>
      <c r="AA20" s="62">
        <f>IF($H20&lt;&gt;"Y",0,(IF($F20&lt;&gt;"",ROUND(Dashboard!$R$4/$F20,1),IF(AND($I20="Base",$E20="Base"),Dashboard!$R$5,IF(AND($I20="Base",$E20="Red"),Dashboard!$R$6,IF(AND($I20="Base",$E20="Gold"),Dashboard!$R$7,VLOOKUP($I20,Dashboard!$Q$16:$R$21,2,FALSE)))))*VLOOKUP($I20,Dashboard!$Q$9:$R$13,2,FALSE)*IF(AND($I20="Auto",$F20="",OR($B20="Autographs Duals",$B20="Autographs Triples",$B20="Autographs Quads",$B20="Autographs Quads (Inscribed)")),IF($B20="Autographs Duals",2,IF($B20="Autographs Triples",3,4)),1)))</f>
        <v>1</v>
      </c>
      <c r="AB20" s="62">
        <f t="shared" si="11"/>
        <v>1</v>
      </c>
      <c r="AC20" s="62">
        <f t="shared" si="12"/>
        <v>0</v>
      </c>
    </row>
    <row r="21" spans="1:29" ht="28.7" customHeight="1" x14ac:dyDescent="0.25">
      <c r="A21" s="4" t="s">
        <v>17</v>
      </c>
      <c r="B21" s="7" t="s">
        <v>61</v>
      </c>
      <c r="C21" s="2" t="s">
        <v>1419</v>
      </c>
      <c r="D21" s="7" t="s">
        <v>881</v>
      </c>
      <c r="E21" s="4" t="s">
        <v>60</v>
      </c>
      <c r="F21" s="2"/>
      <c r="G21" s="2" t="s">
        <v>1399</v>
      </c>
      <c r="H21" s="2" t="s">
        <v>1400</v>
      </c>
      <c r="I21" s="4" t="s">
        <v>60</v>
      </c>
      <c r="J21" s="112">
        <f>IF($H21&lt;&gt;"Y",0,ROUND(MIN(Dashboard!$R$24,IF(IFERROR(VLOOKUP($B21,Dashboard!$Q$28:$S$60,2,FALSE),0)&gt;0,IFERROR(VLOOKUP($B21,Dashboard!$Q$28:$S$60,2,FALSE),0),$Z21*IF($U21&lt;&gt;"",ROUND((Dashboard!$R$4/$U21)*VLOOKUP($I21,Dashboard!$Q$9:$R$13,2,FALSE)*IF(ISNUMBER(SEARCH("Duals",$B21)),2,IF(ISNUMBER(SEARCH("Triples",$B21)),3,IF(ISNUMBER(SEARCH("Quads",$B21)),4,1))),2),ROUND(VLOOKUP($I21,Dashboard!$Q$15:$R$20,2,FALSE)*IF($E21="Red",Dashboard!$R$6,IF($E21="Gold",Dashboard!$R$7,Dashboard!$R$5))*IF(ISNUMBER(SEARCH("Duals",$B21)),2,IF(ISNUMBER(SEARCH("Triples",$B21)),3,IF(ISNUMBER(SEARCH("Quads",$B21)),4,1))),2))*IF(IFERROR(VLOOKUP($B21,Dashboard!$Q$28:$S$60,3,FALSE),0)&gt;0,VLOOKUP($B21,Dashboard!$Q$28:$S$60,3,FALSE),1))),0))</f>
        <v>1</v>
      </c>
      <c r="K21" s="2" t="str">
        <f>IF('Base S1'!C21="","",'Base S1'!C21)</f>
        <v>h</v>
      </c>
      <c r="L21" s="2">
        <f t="shared" si="0"/>
        <v>1</v>
      </c>
      <c r="M21" s="2">
        <f t="shared" si="1"/>
        <v>0</v>
      </c>
      <c r="N21" s="2">
        <f t="shared" si="2"/>
        <v>1</v>
      </c>
      <c r="O21" s="2">
        <f t="shared" si="3"/>
        <v>0</v>
      </c>
      <c r="P21" s="112">
        <f t="shared" si="4"/>
        <v>1</v>
      </c>
      <c r="Q21" s="112">
        <f t="shared" si="5"/>
        <v>0</v>
      </c>
      <c r="R21" s="53"/>
      <c r="S21" s="53" t="str">
        <f t="shared" si="6"/>
        <v>Base S1|Base Set - Season 1|20|Base</v>
      </c>
      <c r="T21" s="57" t="str">
        <f>IF($S21="","",IFERROR(VLOOKUP($S21,'Pop Estimates (Non-#d)'!$N$2:$O$500,2,FALSE),""))</f>
        <v/>
      </c>
      <c r="U21" s="57" t="str">
        <f t="shared" si="7"/>
        <v/>
      </c>
      <c r="V21" s="53" t="str">
        <f t="shared" si="8"/>
        <v/>
      </c>
      <c r="W21" s="53" t="str">
        <f t="shared" si="9"/>
        <v/>
      </c>
      <c r="X21" s="53" t="str">
        <f t="shared" si="10"/>
        <v/>
      </c>
      <c r="Y21" s="57" t="str">
        <f>IF($X21="","",IFERROR(VLOOKUP($X21,'Char Popularity'!$A$2:$C$500,2,FALSE),""))</f>
        <v/>
      </c>
      <c r="Z21" s="56">
        <f>IF($X21="",1,IFERROR(VLOOKUP($X21,'Char Popularity'!$A$2:$C$500,3,FALSE),1))</f>
        <v>1</v>
      </c>
      <c r="AA21" s="62">
        <f>IF($H21&lt;&gt;"Y",0,(IF($F21&lt;&gt;"",ROUND(Dashboard!$R$4/$F21,1),IF(AND($I21="Base",$E21="Base"),Dashboard!$R$5,IF(AND($I21="Base",$E21="Red"),Dashboard!$R$6,IF(AND($I21="Base",$E21="Gold"),Dashboard!$R$7,VLOOKUP($I21,Dashboard!$Q$16:$R$21,2,FALSE)))))*VLOOKUP($I21,Dashboard!$Q$9:$R$13,2,FALSE)*IF(AND($I21="Auto",$F21="",OR($B21="Autographs Duals",$B21="Autographs Triples",$B21="Autographs Quads",$B21="Autographs Quads (Inscribed)")),IF($B21="Autographs Duals",2,IF($B21="Autographs Triples",3,4)),1)))</f>
        <v>1</v>
      </c>
      <c r="AB21" s="62">
        <f t="shared" si="11"/>
        <v>1</v>
      </c>
      <c r="AC21" s="62">
        <f t="shared" si="12"/>
        <v>0</v>
      </c>
    </row>
    <row r="22" spans="1:29" ht="28.7" customHeight="1" x14ac:dyDescent="0.25">
      <c r="A22" s="4" t="s">
        <v>17</v>
      </c>
      <c r="B22" s="7" t="s">
        <v>61</v>
      </c>
      <c r="C22" s="2" t="s">
        <v>1420</v>
      </c>
      <c r="D22" s="7" t="s">
        <v>883</v>
      </c>
      <c r="E22" s="4" t="s">
        <v>60</v>
      </c>
      <c r="F22" s="2"/>
      <c r="G22" s="2" t="s">
        <v>1399</v>
      </c>
      <c r="H22" s="2" t="s">
        <v>1400</v>
      </c>
      <c r="I22" s="4" t="s">
        <v>60</v>
      </c>
      <c r="J22" s="112">
        <f>IF($H22&lt;&gt;"Y",0,ROUND(MIN(Dashboard!$R$24,IF(IFERROR(VLOOKUP($B22,Dashboard!$Q$28:$S$60,2,FALSE),0)&gt;0,IFERROR(VLOOKUP($B22,Dashboard!$Q$28:$S$60,2,FALSE),0),$Z22*IF($U22&lt;&gt;"",ROUND((Dashboard!$R$4/$U22)*VLOOKUP($I22,Dashboard!$Q$9:$R$13,2,FALSE)*IF(ISNUMBER(SEARCH("Duals",$B22)),2,IF(ISNUMBER(SEARCH("Triples",$B22)),3,IF(ISNUMBER(SEARCH("Quads",$B22)),4,1))),2),ROUND(VLOOKUP($I22,Dashboard!$Q$15:$R$20,2,FALSE)*IF($E22="Red",Dashboard!$R$6,IF($E22="Gold",Dashboard!$R$7,Dashboard!$R$5))*IF(ISNUMBER(SEARCH("Duals",$B22)),2,IF(ISNUMBER(SEARCH("Triples",$B22)),3,IF(ISNUMBER(SEARCH("Quads",$B22)),4,1))),2))*IF(IFERROR(VLOOKUP($B22,Dashboard!$Q$28:$S$60,3,FALSE),0)&gt;0,VLOOKUP($B22,Dashboard!$Q$28:$S$60,3,FALSE),1))),0))</f>
        <v>1</v>
      </c>
      <c r="K22" s="2" t="str">
        <f>IF('Base S1'!C22="","",'Base S1'!C22)</f>
        <v>h</v>
      </c>
      <c r="L22" s="2">
        <f t="shared" si="0"/>
        <v>1</v>
      </c>
      <c r="M22" s="2">
        <f t="shared" si="1"/>
        <v>0</v>
      </c>
      <c r="N22" s="2">
        <f t="shared" si="2"/>
        <v>1</v>
      </c>
      <c r="O22" s="2">
        <f t="shared" si="3"/>
        <v>0</v>
      </c>
      <c r="P22" s="112">
        <f t="shared" si="4"/>
        <v>1</v>
      </c>
      <c r="Q22" s="112">
        <f t="shared" si="5"/>
        <v>0</v>
      </c>
      <c r="R22" s="53"/>
      <c r="S22" s="53" t="str">
        <f t="shared" si="6"/>
        <v>Base S1|Base Set - Season 1|21|Base</v>
      </c>
      <c r="T22" s="57" t="str">
        <f>IF($S22="","",IFERROR(VLOOKUP($S22,'Pop Estimates (Non-#d)'!$N$2:$O$500,2,FALSE),""))</f>
        <v/>
      </c>
      <c r="U22" s="57" t="str">
        <f t="shared" si="7"/>
        <v/>
      </c>
      <c r="V22" s="53" t="str">
        <f t="shared" si="8"/>
        <v/>
      </c>
      <c r="W22" s="53" t="str">
        <f t="shared" si="9"/>
        <v/>
      </c>
      <c r="X22" s="53" t="str">
        <f t="shared" si="10"/>
        <v/>
      </c>
      <c r="Y22" s="57" t="str">
        <f>IF($X22="","",IFERROR(VLOOKUP($X22,'Char Popularity'!$A$2:$C$500,2,FALSE),""))</f>
        <v/>
      </c>
      <c r="Z22" s="56">
        <f>IF($X22="",1,IFERROR(VLOOKUP($X22,'Char Popularity'!$A$2:$C$500,3,FALSE),1))</f>
        <v>1</v>
      </c>
      <c r="AA22" s="62">
        <f>IF($H22&lt;&gt;"Y",0,(IF($F22&lt;&gt;"",ROUND(Dashboard!$R$4/$F22,1),IF(AND($I22="Base",$E22="Base"),Dashboard!$R$5,IF(AND($I22="Base",$E22="Red"),Dashboard!$R$6,IF(AND($I22="Base",$E22="Gold"),Dashboard!$R$7,VLOOKUP($I22,Dashboard!$Q$16:$R$21,2,FALSE)))))*VLOOKUP($I22,Dashboard!$Q$9:$R$13,2,FALSE)*IF(AND($I22="Auto",$F22="",OR($B22="Autographs Duals",$B22="Autographs Triples",$B22="Autographs Quads",$B22="Autographs Quads (Inscribed)")),IF($B22="Autographs Duals",2,IF($B22="Autographs Triples",3,4)),1)))</f>
        <v>1</v>
      </c>
      <c r="AB22" s="62">
        <f t="shared" si="11"/>
        <v>1</v>
      </c>
      <c r="AC22" s="62">
        <f t="shared" si="12"/>
        <v>0</v>
      </c>
    </row>
    <row r="23" spans="1:29" ht="28.7" customHeight="1" x14ac:dyDescent="0.25">
      <c r="A23" s="4" t="s">
        <v>17</v>
      </c>
      <c r="B23" s="7" t="s">
        <v>61</v>
      </c>
      <c r="C23" s="2" t="s">
        <v>1421</v>
      </c>
      <c r="D23" s="7" t="s">
        <v>885</v>
      </c>
      <c r="E23" s="4" t="s">
        <v>60</v>
      </c>
      <c r="F23" s="2"/>
      <c r="G23" s="2" t="s">
        <v>1399</v>
      </c>
      <c r="H23" s="2" t="s">
        <v>1400</v>
      </c>
      <c r="I23" s="4" t="s">
        <v>60</v>
      </c>
      <c r="J23" s="112">
        <f>IF($H23&lt;&gt;"Y",0,ROUND(MIN(Dashboard!$R$24,IF(IFERROR(VLOOKUP($B23,Dashboard!$Q$28:$S$60,2,FALSE),0)&gt;0,IFERROR(VLOOKUP($B23,Dashboard!$Q$28:$S$60,2,FALSE),0),$Z23*IF($U23&lt;&gt;"",ROUND((Dashboard!$R$4/$U23)*VLOOKUP($I23,Dashboard!$Q$9:$R$13,2,FALSE)*IF(ISNUMBER(SEARCH("Duals",$B23)),2,IF(ISNUMBER(SEARCH("Triples",$B23)),3,IF(ISNUMBER(SEARCH("Quads",$B23)),4,1))),2),ROUND(VLOOKUP($I23,Dashboard!$Q$15:$R$20,2,FALSE)*IF($E23="Red",Dashboard!$R$6,IF($E23="Gold",Dashboard!$R$7,Dashboard!$R$5))*IF(ISNUMBER(SEARCH("Duals",$B23)),2,IF(ISNUMBER(SEARCH("Triples",$B23)),3,IF(ISNUMBER(SEARCH("Quads",$B23)),4,1))),2))*IF(IFERROR(VLOOKUP($B23,Dashboard!$Q$28:$S$60,3,FALSE),0)&gt;0,VLOOKUP($B23,Dashboard!$Q$28:$S$60,3,FALSE),1))),0))</f>
        <v>1</v>
      </c>
      <c r="K23" s="2" t="str">
        <f>IF('Base S1'!C23="","",'Base S1'!C23)</f>
        <v>h</v>
      </c>
      <c r="L23" s="2">
        <f t="shared" si="0"/>
        <v>1</v>
      </c>
      <c r="M23" s="2">
        <f t="shared" si="1"/>
        <v>0</v>
      </c>
      <c r="N23" s="2">
        <f t="shared" si="2"/>
        <v>1</v>
      </c>
      <c r="O23" s="2">
        <f t="shared" si="3"/>
        <v>0</v>
      </c>
      <c r="P23" s="112">
        <f t="shared" si="4"/>
        <v>1</v>
      </c>
      <c r="Q23" s="112">
        <f t="shared" si="5"/>
        <v>0</v>
      </c>
      <c r="R23" s="53"/>
      <c r="S23" s="53" t="str">
        <f t="shared" si="6"/>
        <v>Base S1|Base Set - Season 1|22|Base</v>
      </c>
      <c r="T23" s="57" t="str">
        <f>IF($S23="","",IFERROR(VLOOKUP($S23,'Pop Estimates (Non-#d)'!$N$2:$O$500,2,FALSE),""))</f>
        <v/>
      </c>
      <c r="U23" s="57" t="str">
        <f t="shared" si="7"/>
        <v/>
      </c>
      <c r="V23" s="53" t="str">
        <f t="shared" si="8"/>
        <v/>
      </c>
      <c r="W23" s="53" t="str">
        <f t="shared" si="9"/>
        <v/>
      </c>
      <c r="X23" s="53" t="str">
        <f t="shared" si="10"/>
        <v/>
      </c>
      <c r="Y23" s="57" t="str">
        <f>IF($X23="","",IFERROR(VLOOKUP($X23,'Char Popularity'!$A$2:$C$500,2,FALSE),""))</f>
        <v/>
      </c>
      <c r="Z23" s="56">
        <f>IF($X23="",1,IFERROR(VLOOKUP($X23,'Char Popularity'!$A$2:$C$500,3,FALSE),1))</f>
        <v>1</v>
      </c>
      <c r="AA23" s="62">
        <f>IF($H23&lt;&gt;"Y",0,(IF($F23&lt;&gt;"",ROUND(Dashboard!$R$4/$F23,1),IF(AND($I23="Base",$E23="Base"),Dashboard!$R$5,IF(AND($I23="Base",$E23="Red"),Dashboard!$R$6,IF(AND($I23="Base",$E23="Gold"),Dashboard!$R$7,VLOOKUP($I23,Dashboard!$Q$16:$R$21,2,FALSE)))))*VLOOKUP($I23,Dashboard!$Q$9:$R$13,2,FALSE)*IF(AND($I23="Auto",$F23="",OR($B23="Autographs Duals",$B23="Autographs Triples",$B23="Autographs Quads",$B23="Autographs Quads (Inscribed)")),IF($B23="Autographs Duals",2,IF($B23="Autographs Triples",3,4)),1)))</f>
        <v>1</v>
      </c>
      <c r="AB23" s="62">
        <f t="shared" si="11"/>
        <v>1</v>
      </c>
      <c r="AC23" s="62">
        <f t="shared" si="12"/>
        <v>0</v>
      </c>
    </row>
    <row r="24" spans="1:29" ht="28.7" customHeight="1" x14ac:dyDescent="0.25">
      <c r="A24" s="4" t="s">
        <v>17</v>
      </c>
      <c r="B24" s="7" t="s">
        <v>61</v>
      </c>
      <c r="C24" s="2" t="s">
        <v>1422</v>
      </c>
      <c r="D24" s="7" t="s">
        <v>888</v>
      </c>
      <c r="E24" s="4" t="s">
        <v>60</v>
      </c>
      <c r="F24" s="2"/>
      <c r="G24" s="2" t="s">
        <v>1399</v>
      </c>
      <c r="H24" s="2" t="s">
        <v>1400</v>
      </c>
      <c r="I24" s="4" t="s">
        <v>60</v>
      </c>
      <c r="J24" s="112">
        <f>IF($H24&lt;&gt;"Y",0,ROUND(MIN(Dashboard!$R$24,IF(IFERROR(VLOOKUP($B24,Dashboard!$Q$28:$S$60,2,FALSE),0)&gt;0,IFERROR(VLOOKUP($B24,Dashboard!$Q$28:$S$60,2,FALSE),0),$Z24*IF($U24&lt;&gt;"",ROUND((Dashboard!$R$4/$U24)*VLOOKUP($I24,Dashboard!$Q$9:$R$13,2,FALSE)*IF(ISNUMBER(SEARCH("Duals",$B24)),2,IF(ISNUMBER(SEARCH("Triples",$B24)),3,IF(ISNUMBER(SEARCH("Quads",$B24)),4,1))),2),ROUND(VLOOKUP($I24,Dashboard!$Q$15:$R$20,2,FALSE)*IF($E24="Red",Dashboard!$R$6,IF($E24="Gold",Dashboard!$R$7,Dashboard!$R$5))*IF(ISNUMBER(SEARCH("Duals",$B24)),2,IF(ISNUMBER(SEARCH("Triples",$B24)),3,IF(ISNUMBER(SEARCH("Quads",$B24)),4,1))),2))*IF(IFERROR(VLOOKUP($B24,Dashboard!$Q$28:$S$60,3,FALSE),0)&gt;0,VLOOKUP($B24,Dashboard!$Q$28:$S$60,3,FALSE),1))),0))</f>
        <v>1</v>
      </c>
      <c r="K24" s="2" t="str">
        <f>IF('Base S1'!C24="","",'Base S1'!C24)</f>
        <v>h</v>
      </c>
      <c r="L24" s="2">
        <f t="shared" si="0"/>
        <v>1</v>
      </c>
      <c r="M24" s="2">
        <f t="shared" si="1"/>
        <v>0</v>
      </c>
      <c r="N24" s="2">
        <f t="shared" si="2"/>
        <v>1</v>
      </c>
      <c r="O24" s="2">
        <f t="shared" si="3"/>
        <v>0</v>
      </c>
      <c r="P24" s="112">
        <f t="shared" si="4"/>
        <v>1</v>
      </c>
      <c r="Q24" s="112">
        <f t="shared" si="5"/>
        <v>0</v>
      </c>
      <c r="R24" s="53"/>
      <c r="S24" s="53" t="str">
        <f t="shared" si="6"/>
        <v>Base S1|Base Set - Season 1|23|Base</v>
      </c>
      <c r="T24" s="57" t="str">
        <f>IF($S24="","",IFERROR(VLOOKUP($S24,'Pop Estimates (Non-#d)'!$N$2:$O$500,2,FALSE),""))</f>
        <v/>
      </c>
      <c r="U24" s="57" t="str">
        <f t="shared" si="7"/>
        <v/>
      </c>
      <c r="V24" s="53" t="str">
        <f t="shared" si="8"/>
        <v/>
      </c>
      <c r="W24" s="53" t="str">
        <f t="shared" si="9"/>
        <v/>
      </c>
      <c r="X24" s="53" t="str">
        <f t="shared" si="10"/>
        <v/>
      </c>
      <c r="Y24" s="57" t="str">
        <f>IF($X24="","",IFERROR(VLOOKUP($X24,'Char Popularity'!$A$2:$C$500,2,FALSE),""))</f>
        <v/>
      </c>
      <c r="Z24" s="56">
        <f>IF($X24="",1,IFERROR(VLOOKUP($X24,'Char Popularity'!$A$2:$C$500,3,FALSE),1))</f>
        <v>1</v>
      </c>
      <c r="AA24" s="62">
        <f>IF($H24&lt;&gt;"Y",0,(IF($F24&lt;&gt;"",ROUND(Dashboard!$R$4/$F24,1),IF(AND($I24="Base",$E24="Base"),Dashboard!$R$5,IF(AND($I24="Base",$E24="Red"),Dashboard!$R$6,IF(AND($I24="Base",$E24="Gold"),Dashboard!$R$7,VLOOKUP($I24,Dashboard!$Q$16:$R$21,2,FALSE)))))*VLOOKUP($I24,Dashboard!$Q$9:$R$13,2,FALSE)*IF(AND($I24="Auto",$F24="",OR($B24="Autographs Duals",$B24="Autographs Triples",$B24="Autographs Quads",$B24="Autographs Quads (Inscribed)")),IF($B24="Autographs Duals",2,IF($B24="Autographs Triples",3,4)),1)))</f>
        <v>1</v>
      </c>
      <c r="AB24" s="62">
        <f t="shared" si="11"/>
        <v>1</v>
      </c>
      <c r="AC24" s="62">
        <f t="shared" si="12"/>
        <v>0</v>
      </c>
    </row>
    <row r="25" spans="1:29" ht="28.7" customHeight="1" x14ac:dyDescent="0.25">
      <c r="A25" s="4" t="s">
        <v>17</v>
      </c>
      <c r="B25" s="7" t="s">
        <v>61</v>
      </c>
      <c r="C25" s="2" t="s">
        <v>1423</v>
      </c>
      <c r="D25" s="7" t="s">
        <v>890</v>
      </c>
      <c r="E25" s="4" t="s">
        <v>60</v>
      </c>
      <c r="F25" s="2"/>
      <c r="G25" s="2" t="s">
        <v>1399</v>
      </c>
      <c r="H25" s="2" t="s">
        <v>1400</v>
      </c>
      <c r="I25" s="4" t="s">
        <v>60</v>
      </c>
      <c r="J25" s="112">
        <f>IF($H25&lt;&gt;"Y",0,ROUND(MIN(Dashboard!$R$24,IF(IFERROR(VLOOKUP($B25,Dashboard!$Q$28:$S$60,2,FALSE),0)&gt;0,IFERROR(VLOOKUP($B25,Dashboard!$Q$28:$S$60,2,FALSE),0),$Z25*IF($U25&lt;&gt;"",ROUND((Dashboard!$R$4/$U25)*VLOOKUP($I25,Dashboard!$Q$9:$R$13,2,FALSE)*IF(ISNUMBER(SEARCH("Duals",$B25)),2,IF(ISNUMBER(SEARCH("Triples",$B25)),3,IF(ISNUMBER(SEARCH("Quads",$B25)),4,1))),2),ROUND(VLOOKUP($I25,Dashboard!$Q$15:$R$20,2,FALSE)*IF($E25="Red",Dashboard!$R$6,IF($E25="Gold",Dashboard!$R$7,Dashboard!$R$5))*IF(ISNUMBER(SEARCH("Duals",$B25)),2,IF(ISNUMBER(SEARCH("Triples",$B25)),3,IF(ISNUMBER(SEARCH("Quads",$B25)),4,1))),2))*IF(IFERROR(VLOOKUP($B25,Dashboard!$Q$28:$S$60,3,FALSE),0)&gt;0,VLOOKUP($B25,Dashboard!$Q$28:$S$60,3,FALSE),1))),0))</f>
        <v>1</v>
      </c>
      <c r="K25" s="2" t="str">
        <f>IF('Base S1'!C25="","",'Base S1'!C25)</f>
        <v>h</v>
      </c>
      <c r="L25" s="2">
        <f t="shared" si="0"/>
        <v>1</v>
      </c>
      <c r="M25" s="2">
        <f t="shared" si="1"/>
        <v>0</v>
      </c>
      <c r="N25" s="2">
        <f t="shared" si="2"/>
        <v>1</v>
      </c>
      <c r="O25" s="2">
        <f t="shared" si="3"/>
        <v>0</v>
      </c>
      <c r="P25" s="112">
        <f t="shared" si="4"/>
        <v>1</v>
      </c>
      <c r="Q25" s="112">
        <f t="shared" si="5"/>
        <v>0</v>
      </c>
      <c r="R25" s="53"/>
      <c r="S25" s="53" t="str">
        <f t="shared" si="6"/>
        <v>Base S1|Base Set - Season 1|24|Base</v>
      </c>
      <c r="T25" s="57" t="str">
        <f>IF($S25="","",IFERROR(VLOOKUP($S25,'Pop Estimates (Non-#d)'!$N$2:$O$500,2,FALSE),""))</f>
        <v/>
      </c>
      <c r="U25" s="57" t="str">
        <f t="shared" si="7"/>
        <v/>
      </c>
      <c r="V25" s="53" t="str">
        <f t="shared" si="8"/>
        <v/>
      </c>
      <c r="W25" s="53" t="str">
        <f t="shared" si="9"/>
        <v/>
      </c>
      <c r="X25" s="53" t="str">
        <f t="shared" si="10"/>
        <v/>
      </c>
      <c r="Y25" s="57" t="str">
        <f>IF($X25="","",IFERROR(VLOOKUP($X25,'Char Popularity'!$A$2:$C$500,2,FALSE),""))</f>
        <v/>
      </c>
      <c r="Z25" s="56">
        <f>IF($X25="",1,IFERROR(VLOOKUP($X25,'Char Popularity'!$A$2:$C$500,3,FALSE),1))</f>
        <v>1</v>
      </c>
      <c r="AA25" s="62">
        <f>IF($H25&lt;&gt;"Y",0,(IF($F25&lt;&gt;"",ROUND(Dashboard!$R$4/$F25,1),IF(AND($I25="Base",$E25="Base"),Dashboard!$R$5,IF(AND($I25="Base",$E25="Red"),Dashboard!$R$6,IF(AND($I25="Base",$E25="Gold"),Dashboard!$R$7,VLOOKUP($I25,Dashboard!$Q$16:$R$21,2,FALSE)))))*VLOOKUP($I25,Dashboard!$Q$9:$R$13,2,FALSE)*IF(AND($I25="Auto",$F25="",OR($B25="Autographs Duals",$B25="Autographs Triples",$B25="Autographs Quads",$B25="Autographs Quads (Inscribed)")),IF($B25="Autographs Duals",2,IF($B25="Autographs Triples",3,4)),1)))</f>
        <v>1</v>
      </c>
      <c r="AB25" s="62">
        <f t="shared" si="11"/>
        <v>1</v>
      </c>
      <c r="AC25" s="62">
        <f t="shared" si="12"/>
        <v>0</v>
      </c>
    </row>
    <row r="26" spans="1:29" ht="28.7" customHeight="1" x14ac:dyDescent="0.25">
      <c r="A26" s="4" t="s">
        <v>17</v>
      </c>
      <c r="B26" s="7" t="s">
        <v>61</v>
      </c>
      <c r="C26" s="2" t="s">
        <v>1424</v>
      </c>
      <c r="D26" s="7" t="s">
        <v>892</v>
      </c>
      <c r="E26" s="4" t="s">
        <v>60</v>
      </c>
      <c r="F26" s="2"/>
      <c r="G26" s="2" t="s">
        <v>1399</v>
      </c>
      <c r="H26" s="2" t="s">
        <v>1400</v>
      </c>
      <c r="I26" s="4" t="s">
        <v>60</v>
      </c>
      <c r="J26" s="112">
        <f>IF($H26&lt;&gt;"Y",0,ROUND(MIN(Dashboard!$R$24,IF(IFERROR(VLOOKUP($B26,Dashboard!$Q$28:$S$60,2,FALSE),0)&gt;0,IFERROR(VLOOKUP($B26,Dashboard!$Q$28:$S$60,2,FALSE),0),$Z26*IF($U26&lt;&gt;"",ROUND((Dashboard!$R$4/$U26)*VLOOKUP($I26,Dashboard!$Q$9:$R$13,2,FALSE)*IF(ISNUMBER(SEARCH("Duals",$B26)),2,IF(ISNUMBER(SEARCH("Triples",$B26)),3,IF(ISNUMBER(SEARCH("Quads",$B26)),4,1))),2),ROUND(VLOOKUP($I26,Dashboard!$Q$15:$R$20,2,FALSE)*IF($E26="Red",Dashboard!$R$6,IF($E26="Gold",Dashboard!$R$7,Dashboard!$R$5))*IF(ISNUMBER(SEARCH("Duals",$B26)),2,IF(ISNUMBER(SEARCH("Triples",$B26)),3,IF(ISNUMBER(SEARCH("Quads",$B26)),4,1))),2))*IF(IFERROR(VLOOKUP($B26,Dashboard!$Q$28:$S$60,3,FALSE),0)&gt;0,VLOOKUP($B26,Dashboard!$Q$28:$S$60,3,FALSE),1))),0))</f>
        <v>1</v>
      </c>
      <c r="K26" s="2" t="str">
        <f>IF('Base S1'!C26="","",'Base S1'!C26)</f>
        <v>h</v>
      </c>
      <c r="L26" s="2">
        <f t="shared" si="0"/>
        <v>1</v>
      </c>
      <c r="M26" s="2">
        <f t="shared" si="1"/>
        <v>0</v>
      </c>
      <c r="N26" s="2">
        <f t="shared" si="2"/>
        <v>1</v>
      </c>
      <c r="O26" s="2">
        <f t="shared" si="3"/>
        <v>0</v>
      </c>
      <c r="P26" s="112">
        <f t="shared" si="4"/>
        <v>1</v>
      </c>
      <c r="Q26" s="112">
        <f t="shared" si="5"/>
        <v>0</v>
      </c>
      <c r="R26" s="53"/>
      <c r="S26" s="53" t="str">
        <f t="shared" si="6"/>
        <v>Base S1|Base Set - Season 1|25|Base</v>
      </c>
      <c r="T26" s="57" t="str">
        <f>IF($S26="","",IFERROR(VLOOKUP($S26,'Pop Estimates (Non-#d)'!$N$2:$O$500,2,FALSE),""))</f>
        <v/>
      </c>
      <c r="U26" s="57" t="str">
        <f t="shared" si="7"/>
        <v/>
      </c>
      <c r="V26" s="53" t="str">
        <f t="shared" si="8"/>
        <v/>
      </c>
      <c r="W26" s="53" t="str">
        <f t="shared" si="9"/>
        <v/>
      </c>
      <c r="X26" s="53" t="str">
        <f t="shared" si="10"/>
        <v/>
      </c>
      <c r="Y26" s="57" t="str">
        <f>IF($X26="","",IFERROR(VLOOKUP($X26,'Char Popularity'!$A$2:$C$500,2,FALSE),""))</f>
        <v/>
      </c>
      <c r="Z26" s="56">
        <f>IF($X26="",1,IFERROR(VLOOKUP($X26,'Char Popularity'!$A$2:$C$500,3,FALSE),1))</f>
        <v>1</v>
      </c>
      <c r="AA26" s="62">
        <f>IF($H26&lt;&gt;"Y",0,(IF($F26&lt;&gt;"",ROUND(Dashboard!$R$4/$F26,1),IF(AND($I26="Base",$E26="Base"),Dashboard!$R$5,IF(AND($I26="Base",$E26="Red"),Dashboard!$R$6,IF(AND($I26="Base",$E26="Gold"),Dashboard!$R$7,VLOOKUP($I26,Dashboard!$Q$16:$R$21,2,FALSE)))))*VLOOKUP($I26,Dashboard!$Q$9:$R$13,2,FALSE)*IF(AND($I26="Auto",$F26="",OR($B26="Autographs Duals",$B26="Autographs Triples",$B26="Autographs Quads",$B26="Autographs Quads (Inscribed)")),IF($B26="Autographs Duals",2,IF($B26="Autographs Triples",3,4)),1)))</f>
        <v>1</v>
      </c>
      <c r="AB26" s="62">
        <f t="shared" si="11"/>
        <v>1</v>
      </c>
      <c r="AC26" s="62">
        <f t="shared" si="12"/>
        <v>0</v>
      </c>
    </row>
    <row r="27" spans="1:29" ht="28.7" customHeight="1" x14ac:dyDescent="0.25">
      <c r="A27" s="4" t="s">
        <v>17</v>
      </c>
      <c r="B27" s="7" t="s">
        <v>61</v>
      </c>
      <c r="C27" s="2" t="s">
        <v>1425</v>
      </c>
      <c r="D27" s="7" t="s">
        <v>895</v>
      </c>
      <c r="E27" s="4" t="s">
        <v>60</v>
      </c>
      <c r="F27" s="2"/>
      <c r="G27" s="2" t="s">
        <v>1399</v>
      </c>
      <c r="H27" s="2" t="s">
        <v>1400</v>
      </c>
      <c r="I27" s="4" t="s">
        <v>60</v>
      </c>
      <c r="J27" s="112">
        <f>IF($H27&lt;&gt;"Y",0,ROUND(MIN(Dashboard!$R$24,IF(IFERROR(VLOOKUP($B27,Dashboard!$Q$28:$S$60,2,FALSE),0)&gt;0,IFERROR(VLOOKUP($B27,Dashboard!$Q$28:$S$60,2,FALSE),0),$Z27*IF($U27&lt;&gt;"",ROUND((Dashboard!$R$4/$U27)*VLOOKUP($I27,Dashboard!$Q$9:$R$13,2,FALSE)*IF(ISNUMBER(SEARCH("Duals",$B27)),2,IF(ISNUMBER(SEARCH("Triples",$B27)),3,IF(ISNUMBER(SEARCH("Quads",$B27)),4,1))),2),ROUND(VLOOKUP($I27,Dashboard!$Q$15:$R$20,2,FALSE)*IF($E27="Red",Dashboard!$R$6,IF($E27="Gold",Dashboard!$R$7,Dashboard!$R$5))*IF(ISNUMBER(SEARCH("Duals",$B27)),2,IF(ISNUMBER(SEARCH("Triples",$B27)),3,IF(ISNUMBER(SEARCH("Quads",$B27)),4,1))),2))*IF(IFERROR(VLOOKUP($B27,Dashboard!$Q$28:$S$60,3,FALSE),0)&gt;0,VLOOKUP($B27,Dashboard!$Q$28:$S$60,3,FALSE),1))),0))</f>
        <v>1</v>
      </c>
      <c r="K27" s="2" t="str">
        <f>IF('Base S1'!C27="","",'Base S1'!C27)</f>
        <v>h</v>
      </c>
      <c r="L27" s="2">
        <f t="shared" si="0"/>
        <v>1</v>
      </c>
      <c r="M27" s="2">
        <f t="shared" si="1"/>
        <v>0</v>
      </c>
      <c r="N27" s="2">
        <f t="shared" si="2"/>
        <v>1</v>
      </c>
      <c r="O27" s="2">
        <f t="shared" si="3"/>
        <v>0</v>
      </c>
      <c r="P27" s="112">
        <f t="shared" si="4"/>
        <v>1</v>
      </c>
      <c r="Q27" s="112">
        <f t="shared" si="5"/>
        <v>0</v>
      </c>
      <c r="R27" s="53"/>
      <c r="S27" s="53" t="str">
        <f t="shared" si="6"/>
        <v>Base S1|Base Set - Season 1|26|Base</v>
      </c>
      <c r="T27" s="57" t="str">
        <f>IF($S27="","",IFERROR(VLOOKUP($S27,'Pop Estimates (Non-#d)'!$N$2:$O$500,2,FALSE),""))</f>
        <v/>
      </c>
      <c r="U27" s="57" t="str">
        <f t="shared" si="7"/>
        <v/>
      </c>
      <c r="V27" s="53" t="str">
        <f t="shared" si="8"/>
        <v/>
      </c>
      <c r="W27" s="53" t="str">
        <f t="shared" si="9"/>
        <v/>
      </c>
      <c r="X27" s="53" t="str">
        <f t="shared" si="10"/>
        <v/>
      </c>
      <c r="Y27" s="57" t="str">
        <f>IF($X27="","",IFERROR(VLOOKUP($X27,'Char Popularity'!$A$2:$C$500,2,FALSE),""))</f>
        <v/>
      </c>
      <c r="Z27" s="56">
        <f>IF($X27="",1,IFERROR(VLOOKUP($X27,'Char Popularity'!$A$2:$C$500,3,FALSE),1))</f>
        <v>1</v>
      </c>
      <c r="AA27" s="62">
        <f>IF($H27&lt;&gt;"Y",0,(IF($F27&lt;&gt;"",ROUND(Dashboard!$R$4/$F27,1),IF(AND($I27="Base",$E27="Base"),Dashboard!$R$5,IF(AND($I27="Base",$E27="Red"),Dashboard!$R$6,IF(AND($I27="Base",$E27="Gold"),Dashboard!$R$7,VLOOKUP($I27,Dashboard!$Q$16:$R$21,2,FALSE)))))*VLOOKUP($I27,Dashboard!$Q$9:$R$13,2,FALSE)*IF(AND($I27="Auto",$F27="",OR($B27="Autographs Duals",$B27="Autographs Triples",$B27="Autographs Quads",$B27="Autographs Quads (Inscribed)")),IF($B27="Autographs Duals",2,IF($B27="Autographs Triples",3,4)),1)))</f>
        <v>1</v>
      </c>
      <c r="AB27" s="62">
        <f t="shared" si="11"/>
        <v>1</v>
      </c>
      <c r="AC27" s="62">
        <f t="shared" si="12"/>
        <v>0</v>
      </c>
    </row>
    <row r="28" spans="1:29" ht="28.7" customHeight="1" x14ac:dyDescent="0.25">
      <c r="A28" s="4" t="s">
        <v>17</v>
      </c>
      <c r="B28" s="7" t="s">
        <v>61</v>
      </c>
      <c r="C28" s="2" t="s">
        <v>1426</v>
      </c>
      <c r="D28" s="7" t="s">
        <v>897</v>
      </c>
      <c r="E28" s="4" t="s">
        <v>60</v>
      </c>
      <c r="F28" s="2"/>
      <c r="G28" s="2" t="s">
        <v>1399</v>
      </c>
      <c r="H28" s="2" t="s">
        <v>1400</v>
      </c>
      <c r="I28" s="4" t="s">
        <v>60</v>
      </c>
      <c r="J28" s="112">
        <f>IF($H28&lt;&gt;"Y",0,ROUND(MIN(Dashboard!$R$24,IF(IFERROR(VLOOKUP($B28,Dashboard!$Q$28:$S$60,2,FALSE),0)&gt;0,IFERROR(VLOOKUP($B28,Dashboard!$Q$28:$S$60,2,FALSE),0),$Z28*IF($U28&lt;&gt;"",ROUND((Dashboard!$R$4/$U28)*VLOOKUP($I28,Dashboard!$Q$9:$R$13,2,FALSE)*IF(ISNUMBER(SEARCH("Duals",$B28)),2,IF(ISNUMBER(SEARCH("Triples",$B28)),3,IF(ISNUMBER(SEARCH("Quads",$B28)),4,1))),2),ROUND(VLOOKUP($I28,Dashboard!$Q$15:$R$20,2,FALSE)*IF($E28="Red",Dashboard!$R$6,IF($E28="Gold",Dashboard!$R$7,Dashboard!$R$5))*IF(ISNUMBER(SEARCH("Duals",$B28)),2,IF(ISNUMBER(SEARCH("Triples",$B28)),3,IF(ISNUMBER(SEARCH("Quads",$B28)),4,1))),2))*IF(IFERROR(VLOOKUP($B28,Dashboard!$Q$28:$S$60,3,FALSE),0)&gt;0,VLOOKUP($B28,Dashboard!$Q$28:$S$60,3,FALSE),1))),0))</f>
        <v>1</v>
      </c>
      <c r="K28" s="2" t="str">
        <f>IF('Base S1'!C28="","",'Base S1'!C28)</f>
        <v>h</v>
      </c>
      <c r="L28" s="2">
        <f t="shared" si="0"/>
        <v>1</v>
      </c>
      <c r="M28" s="2">
        <f t="shared" si="1"/>
        <v>0</v>
      </c>
      <c r="N28" s="2">
        <f t="shared" si="2"/>
        <v>1</v>
      </c>
      <c r="O28" s="2">
        <f t="shared" si="3"/>
        <v>0</v>
      </c>
      <c r="P28" s="112">
        <f t="shared" si="4"/>
        <v>1</v>
      </c>
      <c r="Q28" s="112">
        <f t="shared" si="5"/>
        <v>0</v>
      </c>
      <c r="R28" s="53"/>
      <c r="S28" s="53" t="str">
        <f t="shared" si="6"/>
        <v>Base S1|Base Set - Season 1|27|Base</v>
      </c>
      <c r="T28" s="57" t="str">
        <f>IF($S28="","",IFERROR(VLOOKUP($S28,'Pop Estimates (Non-#d)'!$N$2:$O$500,2,FALSE),""))</f>
        <v/>
      </c>
      <c r="U28" s="57" t="str">
        <f t="shared" si="7"/>
        <v/>
      </c>
      <c r="V28" s="53" t="str">
        <f t="shared" si="8"/>
        <v/>
      </c>
      <c r="W28" s="53" t="str">
        <f t="shared" si="9"/>
        <v/>
      </c>
      <c r="X28" s="53" t="str">
        <f t="shared" si="10"/>
        <v/>
      </c>
      <c r="Y28" s="57" t="str">
        <f>IF($X28="","",IFERROR(VLOOKUP($X28,'Char Popularity'!$A$2:$C$500,2,FALSE),""))</f>
        <v/>
      </c>
      <c r="Z28" s="56">
        <f>IF($X28="",1,IFERROR(VLOOKUP($X28,'Char Popularity'!$A$2:$C$500,3,FALSE),1))</f>
        <v>1</v>
      </c>
      <c r="AA28" s="62">
        <f>IF($H28&lt;&gt;"Y",0,(IF($F28&lt;&gt;"",ROUND(Dashboard!$R$4/$F28,1),IF(AND($I28="Base",$E28="Base"),Dashboard!$R$5,IF(AND($I28="Base",$E28="Red"),Dashboard!$R$6,IF(AND($I28="Base",$E28="Gold"),Dashboard!$R$7,VLOOKUP($I28,Dashboard!$Q$16:$R$21,2,FALSE)))))*VLOOKUP($I28,Dashboard!$Q$9:$R$13,2,FALSE)*IF(AND($I28="Auto",$F28="",OR($B28="Autographs Duals",$B28="Autographs Triples",$B28="Autographs Quads",$B28="Autographs Quads (Inscribed)")),IF($B28="Autographs Duals",2,IF($B28="Autographs Triples",3,4)),1)))</f>
        <v>1</v>
      </c>
      <c r="AB28" s="62">
        <f t="shared" si="11"/>
        <v>1</v>
      </c>
      <c r="AC28" s="62">
        <f t="shared" si="12"/>
        <v>0</v>
      </c>
    </row>
    <row r="29" spans="1:29" ht="28.7" customHeight="1" x14ac:dyDescent="0.25">
      <c r="A29" s="4" t="s">
        <v>17</v>
      </c>
      <c r="B29" s="7" t="s">
        <v>61</v>
      </c>
      <c r="C29" s="2" t="s">
        <v>1427</v>
      </c>
      <c r="D29" s="7" t="s">
        <v>900</v>
      </c>
      <c r="E29" s="4" t="s">
        <v>60</v>
      </c>
      <c r="F29" s="2"/>
      <c r="G29" s="2" t="s">
        <v>1399</v>
      </c>
      <c r="H29" s="2" t="s">
        <v>1400</v>
      </c>
      <c r="I29" s="4" t="s">
        <v>60</v>
      </c>
      <c r="J29" s="112">
        <f>IF($H29&lt;&gt;"Y",0,ROUND(MIN(Dashboard!$R$24,IF(IFERROR(VLOOKUP($B29,Dashboard!$Q$28:$S$60,2,FALSE),0)&gt;0,IFERROR(VLOOKUP($B29,Dashboard!$Q$28:$S$60,2,FALSE),0),$Z29*IF($U29&lt;&gt;"",ROUND((Dashboard!$R$4/$U29)*VLOOKUP($I29,Dashboard!$Q$9:$R$13,2,FALSE)*IF(ISNUMBER(SEARCH("Duals",$B29)),2,IF(ISNUMBER(SEARCH("Triples",$B29)),3,IF(ISNUMBER(SEARCH("Quads",$B29)),4,1))),2),ROUND(VLOOKUP($I29,Dashboard!$Q$15:$R$20,2,FALSE)*IF($E29="Red",Dashboard!$R$6,IF($E29="Gold",Dashboard!$R$7,Dashboard!$R$5))*IF(ISNUMBER(SEARCH("Duals",$B29)),2,IF(ISNUMBER(SEARCH("Triples",$B29)),3,IF(ISNUMBER(SEARCH("Quads",$B29)),4,1))),2))*IF(IFERROR(VLOOKUP($B29,Dashboard!$Q$28:$S$60,3,FALSE),0)&gt;0,VLOOKUP($B29,Dashboard!$Q$28:$S$60,3,FALSE),1))),0))</f>
        <v>1</v>
      </c>
      <c r="K29" s="2" t="str">
        <f>IF('Base S1'!C29="","",'Base S1'!C29)</f>
        <v>h</v>
      </c>
      <c r="L29" s="2">
        <f t="shared" si="0"/>
        <v>1</v>
      </c>
      <c r="M29" s="2">
        <f t="shared" si="1"/>
        <v>0</v>
      </c>
      <c r="N29" s="2">
        <f t="shared" si="2"/>
        <v>1</v>
      </c>
      <c r="O29" s="2">
        <f t="shared" si="3"/>
        <v>0</v>
      </c>
      <c r="P29" s="112">
        <f t="shared" si="4"/>
        <v>1</v>
      </c>
      <c r="Q29" s="112">
        <f t="shared" si="5"/>
        <v>0</v>
      </c>
      <c r="R29" s="53"/>
      <c r="S29" s="53" t="str">
        <f t="shared" si="6"/>
        <v>Base S1|Base Set - Season 1|28|Base</v>
      </c>
      <c r="T29" s="57" t="str">
        <f>IF($S29="","",IFERROR(VLOOKUP($S29,'Pop Estimates (Non-#d)'!$N$2:$O$500,2,FALSE),""))</f>
        <v/>
      </c>
      <c r="U29" s="57" t="str">
        <f t="shared" si="7"/>
        <v/>
      </c>
      <c r="V29" s="53" t="str">
        <f t="shared" si="8"/>
        <v/>
      </c>
      <c r="W29" s="53" t="str">
        <f t="shared" si="9"/>
        <v/>
      </c>
      <c r="X29" s="53" t="str">
        <f t="shared" si="10"/>
        <v/>
      </c>
      <c r="Y29" s="57" t="str">
        <f>IF($X29="","",IFERROR(VLOOKUP($X29,'Char Popularity'!$A$2:$C$500,2,FALSE),""))</f>
        <v/>
      </c>
      <c r="Z29" s="56">
        <f>IF($X29="",1,IFERROR(VLOOKUP($X29,'Char Popularity'!$A$2:$C$500,3,FALSE),1))</f>
        <v>1</v>
      </c>
      <c r="AA29" s="62">
        <f>IF($H29&lt;&gt;"Y",0,(IF($F29&lt;&gt;"",ROUND(Dashboard!$R$4/$F29,1),IF(AND($I29="Base",$E29="Base"),Dashboard!$R$5,IF(AND($I29="Base",$E29="Red"),Dashboard!$R$6,IF(AND($I29="Base",$E29="Gold"),Dashboard!$R$7,VLOOKUP($I29,Dashboard!$Q$16:$R$21,2,FALSE)))))*VLOOKUP($I29,Dashboard!$Q$9:$R$13,2,FALSE)*IF(AND($I29="Auto",$F29="",OR($B29="Autographs Duals",$B29="Autographs Triples",$B29="Autographs Quads",$B29="Autographs Quads (Inscribed)")),IF($B29="Autographs Duals",2,IF($B29="Autographs Triples",3,4)),1)))</f>
        <v>1</v>
      </c>
      <c r="AB29" s="62">
        <f t="shared" si="11"/>
        <v>1</v>
      </c>
      <c r="AC29" s="62">
        <f t="shared" si="12"/>
        <v>0</v>
      </c>
    </row>
    <row r="30" spans="1:29" ht="28.7" customHeight="1" x14ac:dyDescent="0.25">
      <c r="A30" s="4" t="s">
        <v>17</v>
      </c>
      <c r="B30" s="7" t="s">
        <v>61</v>
      </c>
      <c r="C30" s="2" t="s">
        <v>1428</v>
      </c>
      <c r="D30" s="7" t="s">
        <v>902</v>
      </c>
      <c r="E30" s="4" t="s">
        <v>60</v>
      </c>
      <c r="F30" s="2"/>
      <c r="G30" s="2" t="s">
        <v>1399</v>
      </c>
      <c r="H30" s="2" t="s">
        <v>1400</v>
      </c>
      <c r="I30" s="4" t="s">
        <v>60</v>
      </c>
      <c r="J30" s="112">
        <f>IF($H30&lt;&gt;"Y",0,ROUND(MIN(Dashboard!$R$24,IF(IFERROR(VLOOKUP($B30,Dashboard!$Q$28:$S$60,2,FALSE),0)&gt;0,IFERROR(VLOOKUP($B30,Dashboard!$Q$28:$S$60,2,FALSE),0),$Z30*IF($U30&lt;&gt;"",ROUND((Dashboard!$R$4/$U30)*VLOOKUP($I30,Dashboard!$Q$9:$R$13,2,FALSE)*IF(ISNUMBER(SEARCH("Duals",$B30)),2,IF(ISNUMBER(SEARCH("Triples",$B30)),3,IF(ISNUMBER(SEARCH("Quads",$B30)),4,1))),2),ROUND(VLOOKUP($I30,Dashboard!$Q$15:$R$20,2,FALSE)*IF($E30="Red",Dashboard!$R$6,IF($E30="Gold",Dashboard!$R$7,Dashboard!$R$5))*IF(ISNUMBER(SEARCH("Duals",$B30)),2,IF(ISNUMBER(SEARCH("Triples",$B30)),3,IF(ISNUMBER(SEARCH("Quads",$B30)),4,1))),2))*IF(IFERROR(VLOOKUP($B30,Dashboard!$Q$28:$S$60,3,FALSE),0)&gt;0,VLOOKUP($B30,Dashboard!$Q$28:$S$60,3,FALSE),1))),0))</f>
        <v>1</v>
      </c>
      <c r="K30" s="2" t="str">
        <f>IF('Base S1'!C30="","",'Base S1'!C30)</f>
        <v>h</v>
      </c>
      <c r="L30" s="2">
        <f t="shared" si="0"/>
        <v>1</v>
      </c>
      <c r="M30" s="2">
        <f t="shared" si="1"/>
        <v>0</v>
      </c>
      <c r="N30" s="2">
        <f t="shared" si="2"/>
        <v>1</v>
      </c>
      <c r="O30" s="2">
        <f t="shared" si="3"/>
        <v>0</v>
      </c>
      <c r="P30" s="112">
        <f t="shared" si="4"/>
        <v>1</v>
      </c>
      <c r="Q30" s="112">
        <f t="shared" si="5"/>
        <v>0</v>
      </c>
      <c r="R30" s="53"/>
      <c r="S30" s="53" t="str">
        <f t="shared" si="6"/>
        <v>Base S1|Base Set - Season 1|29|Base</v>
      </c>
      <c r="T30" s="57" t="str">
        <f>IF($S30="","",IFERROR(VLOOKUP($S30,'Pop Estimates (Non-#d)'!$N$2:$O$500,2,FALSE),""))</f>
        <v/>
      </c>
      <c r="U30" s="57" t="str">
        <f t="shared" si="7"/>
        <v/>
      </c>
      <c r="V30" s="53" t="str">
        <f t="shared" si="8"/>
        <v/>
      </c>
      <c r="W30" s="53" t="str">
        <f t="shared" si="9"/>
        <v/>
      </c>
      <c r="X30" s="53" t="str">
        <f t="shared" si="10"/>
        <v/>
      </c>
      <c r="Y30" s="57" t="str">
        <f>IF($X30="","",IFERROR(VLOOKUP($X30,'Char Popularity'!$A$2:$C$500,2,FALSE),""))</f>
        <v/>
      </c>
      <c r="Z30" s="56">
        <f>IF($X30="",1,IFERROR(VLOOKUP($X30,'Char Popularity'!$A$2:$C$500,3,FALSE),1))</f>
        <v>1</v>
      </c>
      <c r="AA30" s="62">
        <f>IF($H30&lt;&gt;"Y",0,(IF($F30&lt;&gt;"",ROUND(Dashboard!$R$4/$F30,1),IF(AND($I30="Base",$E30="Base"),Dashboard!$R$5,IF(AND($I30="Base",$E30="Red"),Dashboard!$R$6,IF(AND($I30="Base",$E30="Gold"),Dashboard!$R$7,VLOOKUP($I30,Dashboard!$Q$16:$R$21,2,FALSE)))))*VLOOKUP($I30,Dashboard!$Q$9:$R$13,2,FALSE)*IF(AND($I30="Auto",$F30="",OR($B30="Autographs Duals",$B30="Autographs Triples",$B30="Autographs Quads",$B30="Autographs Quads (Inscribed)")),IF($B30="Autographs Duals",2,IF($B30="Autographs Triples",3,4)),1)))</f>
        <v>1</v>
      </c>
      <c r="AB30" s="62">
        <f t="shared" si="11"/>
        <v>1</v>
      </c>
      <c r="AC30" s="62">
        <f t="shared" si="12"/>
        <v>0</v>
      </c>
    </row>
    <row r="31" spans="1:29" ht="28.7" customHeight="1" x14ac:dyDescent="0.25">
      <c r="A31" s="4" t="s">
        <v>17</v>
      </c>
      <c r="B31" s="7" t="s">
        <v>61</v>
      </c>
      <c r="C31" s="2" t="s">
        <v>1429</v>
      </c>
      <c r="D31" s="7" t="s">
        <v>904</v>
      </c>
      <c r="E31" s="4" t="s">
        <v>60</v>
      </c>
      <c r="F31" s="2"/>
      <c r="G31" s="2" t="s">
        <v>1399</v>
      </c>
      <c r="H31" s="2" t="s">
        <v>1400</v>
      </c>
      <c r="I31" s="4" t="s">
        <v>60</v>
      </c>
      <c r="J31" s="112">
        <f>IF($H31&lt;&gt;"Y",0,ROUND(MIN(Dashboard!$R$24,IF(IFERROR(VLOOKUP($B31,Dashboard!$Q$28:$S$60,2,FALSE),0)&gt;0,IFERROR(VLOOKUP($B31,Dashboard!$Q$28:$S$60,2,FALSE),0),$Z31*IF($U31&lt;&gt;"",ROUND((Dashboard!$R$4/$U31)*VLOOKUP($I31,Dashboard!$Q$9:$R$13,2,FALSE)*IF(ISNUMBER(SEARCH("Duals",$B31)),2,IF(ISNUMBER(SEARCH("Triples",$B31)),3,IF(ISNUMBER(SEARCH("Quads",$B31)),4,1))),2),ROUND(VLOOKUP($I31,Dashboard!$Q$15:$R$20,2,FALSE)*IF($E31="Red",Dashboard!$R$6,IF($E31="Gold",Dashboard!$R$7,Dashboard!$R$5))*IF(ISNUMBER(SEARCH("Duals",$B31)),2,IF(ISNUMBER(SEARCH("Triples",$B31)),3,IF(ISNUMBER(SEARCH("Quads",$B31)),4,1))),2))*IF(IFERROR(VLOOKUP($B31,Dashboard!$Q$28:$S$60,3,FALSE),0)&gt;0,VLOOKUP($B31,Dashboard!$Q$28:$S$60,3,FALSE),1))),0))</f>
        <v>1</v>
      </c>
      <c r="K31" s="2" t="str">
        <f>IF('Base S1'!C31="","",'Base S1'!C31)</f>
        <v>h</v>
      </c>
      <c r="L31" s="2">
        <f t="shared" si="0"/>
        <v>1</v>
      </c>
      <c r="M31" s="2">
        <f t="shared" si="1"/>
        <v>0</v>
      </c>
      <c r="N31" s="2">
        <f t="shared" si="2"/>
        <v>1</v>
      </c>
      <c r="O31" s="2">
        <f t="shared" si="3"/>
        <v>0</v>
      </c>
      <c r="P31" s="112">
        <f t="shared" si="4"/>
        <v>1</v>
      </c>
      <c r="Q31" s="112">
        <f t="shared" si="5"/>
        <v>0</v>
      </c>
      <c r="R31" s="53"/>
      <c r="S31" s="53" t="str">
        <f t="shared" si="6"/>
        <v>Base S1|Base Set - Season 1|30|Base</v>
      </c>
      <c r="T31" s="57" t="str">
        <f>IF($S31="","",IFERROR(VLOOKUP($S31,'Pop Estimates (Non-#d)'!$N$2:$O$500,2,FALSE),""))</f>
        <v/>
      </c>
      <c r="U31" s="57" t="str">
        <f t="shared" si="7"/>
        <v/>
      </c>
      <c r="V31" s="53" t="str">
        <f t="shared" si="8"/>
        <v/>
      </c>
      <c r="W31" s="53" t="str">
        <f t="shared" si="9"/>
        <v/>
      </c>
      <c r="X31" s="53" t="str">
        <f t="shared" si="10"/>
        <v/>
      </c>
      <c r="Y31" s="57" t="str">
        <f>IF($X31="","",IFERROR(VLOOKUP($X31,'Char Popularity'!$A$2:$C$500,2,FALSE),""))</f>
        <v/>
      </c>
      <c r="Z31" s="56">
        <f>IF($X31="",1,IFERROR(VLOOKUP($X31,'Char Popularity'!$A$2:$C$500,3,FALSE),1))</f>
        <v>1</v>
      </c>
      <c r="AA31" s="62">
        <f>IF($H31&lt;&gt;"Y",0,(IF($F31&lt;&gt;"",ROUND(Dashboard!$R$4/$F31,1),IF(AND($I31="Base",$E31="Base"),Dashboard!$R$5,IF(AND($I31="Base",$E31="Red"),Dashboard!$R$6,IF(AND($I31="Base",$E31="Gold"),Dashboard!$R$7,VLOOKUP($I31,Dashboard!$Q$16:$R$21,2,FALSE)))))*VLOOKUP($I31,Dashboard!$Q$9:$R$13,2,FALSE)*IF(AND($I31="Auto",$F31="",OR($B31="Autographs Duals",$B31="Autographs Triples",$B31="Autographs Quads",$B31="Autographs Quads (Inscribed)")),IF($B31="Autographs Duals",2,IF($B31="Autographs Triples",3,4)),1)))</f>
        <v>1</v>
      </c>
      <c r="AB31" s="62">
        <f t="shared" si="11"/>
        <v>1</v>
      </c>
      <c r="AC31" s="62">
        <f t="shared" si="12"/>
        <v>0</v>
      </c>
    </row>
    <row r="32" spans="1:29" ht="28.7" customHeight="1" x14ac:dyDescent="0.25">
      <c r="A32" s="4" t="s">
        <v>17</v>
      </c>
      <c r="B32" s="7" t="s">
        <v>61</v>
      </c>
      <c r="C32" s="2" t="s">
        <v>1430</v>
      </c>
      <c r="D32" s="7" t="s">
        <v>906</v>
      </c>
      <c r="E32" s="4" t="s">
        <v>60</v>
      </c>
      <c r="F32" s="2"/>
      <c r="G32" s="2" t="s">
        <v>1399</v>
      </c>
      <c r="H32" s="2" t="s">
        <v>1400</v>
      </c>
      <c r="I32" s="4" t="s">
        <v>60</v>
      </c>
      <c r="J32" s="112">
        <f>IF($H32&lt;&gt;"Y",0,ROUND(MIN(Dashboard!$R$24,IF(IFERROR(VLOOKUP($B32,Dashboard!$Q$28:$S$60,2,FALSE),0)&gt;0,IFERROR(VLOOKUP($B32,Dashboard!$Q$28:$S$60,2,FALSE),0),$Z32*IF($U32&lt;&gt;"",ROUND((Dashboard!$R$4/$U32)*VLOOKUP($I32,Dashboard!$Q$9:$R$13,2,FALSE)*IF(ISNUMBER(SEARCH("Duals",$B32)),2,IF(ISNUMBER(SEARCH("Triples",$B32)),3,IF(ISNUMBER(SEARCH("Quads",$B32)),4,1))),2),ROUND(VLOOKUP($I32,Dashboard!$Q$15:$R$20,2,FALSE)*IF($E32="Red",Dashboard!$R$6,IF($E32="Gold",Dashboard!$R$7,Dashboard!$R$5))*IF(ISNUMBER(SEARCH("Duals",$B32)),2,IF(ISNUMBER(SEARCH("Triples",$B32)),3,IF(ISNUMBER(SEARCH("Quads",$B32)),4,1))),2))*IF(IFERROR(VLOOKUP($B32,Dashboard!$Q$28:$S$60,3,FALSE),0)&gt;0,VLOOKUP($B32,Dashboard!$Q$28:$S$60,3,FALSE),1))),0))</f>
        <v>1</v>
      </c>
      <c r="K32" s="2" t="str">
        <f>IF('Base S1'!C32="","",'Base S1'!C32)</f>
        <v>h</v>
      </c>
      <c r="L32" s="2">
        <f t="shared" si="0"/>
        <v>1</v>
      </c>
      <c r="M32" s="2">
        <f t="shared" si="1"/>
        <v>0</v>
      </c>
      <c r="N32" s="2">
        <f t="shared" si="2"/>
        <v>1</v>
      </c>
      <c r="O32" s="2">
        <f t="shared" si="3"/>
        <v>0</v>
      </c>
      <c r="P32" s="112">
        <f t="shared" si="4"/>
        <v>1</v>
      </c>
      <c r="Q32" s="112">
        <f t="shared" si="5"/>
        <v>0</v>
      </c>
      <c r="R32" s="53"/>
      <c r="S32" s="53" t="str">
        <f t="shared" si="6"/>
        <v>Base S1|Base Set - Season 1|31|Base</v>
      </c>
      <c r="T32" s="57" t="str">
        <f>IF($S32="","",IFERROR(VLOOKUP($S32,'Pop Estimates (Non-#d)'!$N$2:$O$500,2,FALSE),""))</f>
        <v/>
      </c>
      <c r="U32" s="57" t="str">
        <f t="shared" si="7"/>
        <v/>
      </c>
      <c r="V32" s="53" t="str">
        <f t="shared" si="8"/>
        <v/>
      </c>
      <c r="W32" s="53" t="str">
        <f t="shared" si="9"/>
        <v/>
      </c>
      <c r="X32" s="53" t="str">
        <f t="shared" si="10"/>
        <v/>
      </c>
      <c r="Y32" s="57" t="str">
        <f>IF($X32="","",IFERROR(VLOOKUP($X32,'Char Popularity'!$A$2:$C$500,2,FALSE),""))</f>
        <v/>
      </c>
      <c r="Z32" s="56">
        <f>IF($X32="",1,IFERROR(VLOOKUP($X32,'Char Popularity'!$A$2:$C$500,3,FALSE),1))</f>
        <v>1</v>
      </c>
      <c r="AA32" s="62">
        <f>IF($H32&lt;&gt;"Y",0,(IF($F32&lt;&gt;"",ROUND(Dashboard!$R$4/$F32,1),IF(AND($I32="Base",$E32="Base"),Dashboard!$R$5,IF(AND($I32="Base",$E32="Red"),Dashboard!$R$6,IF(AND($I32="Base",$E32="Gold"),Dashboard!$R$7,VLOOKUP($I32,Dashboard!$Q$16:$R$21,2,FALSE)))))*VLOOKUP($I32,Dashboard!$Q$9:$R$13,2,FALSE)*IF(AND($I32="Auto",$F32="",OR($B32="Autographs Duals",$B32="Autographs Triples",$B32="Autographs Quads",$B32="Autographs Quads (Inscribed)")),IF($B32="Autographs Duals",2,IF($B32="Autographs Triples",3,4)),1)))</f>
        <v>1</v>
      </c>
      <c r="AB32" s="62">
        <f t="shared" si="11"/>
        <v>1</v>
      </c>
      <c r="AC32" s="62">
        <f t="shared" si="12"/>
        <v>0</v>
      </c>
    </row>
    <row r="33" spans="1:29" ht="28.7" customHeight="1" x14ac:dyDescent="0.25">
      <c r="A33" s="4" t="s">
        <v>17</v>
      </c>
      <c r="B33" s="7" t="s">
        <v>61</v>
      </c>
      <c r="C33" s="2" t="s">
        <v>1431</v>
      </c>
      <c r="D33" s="7" t="s">
        <v>908</v>
      </c>
      <c r="E33" s="4" t="s">
        <v>60</v>
      </c>
      <c r="F33" s="2"/>
      <c r="G33" s="2" t="s">
        <v>1399</v>
      </c>
      <c r="H33" s="2" t="s">
        <v>1400</v>
      </c>
      <c r="I33" s="4" t="s">
        <v>60</v>
      </c>
      <c r="J33" s="112">
        <f>IF($H33&lt;&gt;"Y",0,ROUND(MIN(Dashboard!$R$24,IF(IFERROR(VLOOKUP($B33,Dashboard!$Q$28:$S$60,2,FALSE),0)&gt;0,IFERROR(VLOOKUP($B33,Dashboard!$Q$28:$S$60,2,FALSE),0),$Z33*IF($U33&lt;&gt;"",ROUND((Dashboard!$R$4/$U33)*VLOOKUP($I33,Dashboard!$Q$9:$R$13,2,FALSE)*IF(ISNUMBER(SEARCH("Duals",$B33)),2,IF(ISNUMBER(SEARCH("Triples",$B33)),3,IF(ISNUMBER(SEARCH("Quads",$B33)),4,1))),2),ROUND(VLOOKUP($I33,Dashboard!$Q$15:$R$20,2,FALSE)*IF($E33="Red",Dashboard!$R$6,IF($E33="Gold",Dashboard!$R$7,Dashboard!$R$5))*IF(ISNUMBER(SEARCH("Duals",$B33)),2,IF(ISNUMBER(SEARCH("Triples",$B33)),3,IF(ISNUMBER(SEARCH("Quads",$B33)),4,1))),2))*IF(IFERROR(VLOOKUP($B33,Dashboard!$Q$28:$S$60,3,FALSE),0)&gt;0,VLOOKUP($B33,Dashboard!$Q$28:$S$60,3,FALSE),1))),0))</f>
        <v>1</v>
      </c>
      <c r="K33" s="2" t="str">
        <f>IF('Base S1'!C33="","",'Base S1'!C33)</f>
        <v>h</v>
      </c>
      <c r="L33" s="2">
        <f t="shared" si="0"/>
        <v>1</v>
      </c>
      <c r="M33" s="2">
        <f t="shared" si="1"/>
        <v>0</v>
      </c>
      <c r="N33" s="2">
        <f t="shared" si="2"/>
        <v>1</v>
      </c>
      <c r="O33" s="2">
        <f t="shared" si="3"/>
        <v>0</v>
      </c>
      <c r="P33" s="112">
        <f t="shared" si="4"/>
        <v>1</v>
      </c>
      <c r="Q33" s="112">
        <f t="shared" si="5"/>
        <v>0</v>
      </c>
      <c r="R33" s="53"/>
      <c r="S33" s="53" t="str">
        <f t="shared" si="6"/>
        <v>Base S1|Base Set - Season 1|32|Base</v>
      </c>
      <c r="T33" s="57" t="str">
        <f>IF($S33="","",IFERROR(VLOOKUP($S33,'Pop Estimates (Non-#d)'!$N$2:$O$500,2,FALSE),""))</f>
        <v/>
      </c>
      <c r="U33" s="57" t="str">
        <f t="shared" si="7"/>
        <v/>
      </c>
      <c r="V33" s="53" t="str">
        <f t="shared" si="8"/>
        <v/>
      </c>
      <c r="W33" s="53" t="str">
        <f t="shared" si="9"/>
        <v/>
      </c>
      <c r="X33" s="53" t="str">
        <f t="shared" si="10"/>
        <v/>
      </c>
      <c r="Y33" s="57" t="str">
        <f>IF($X33="","",IFERROR(VLOOKUP($X33,'Char Popularity'!$A$2:$C$500,2,FALSE),""))</f>
        <v/>
      </c>
      <c r="Z33" s="56">
        <f>IF($X33="",1,IFERROR(VLOOKUP($X33,'Char Popularity'!$A$2:$C$500,3,FALSE),1))</f>
        <v>1</v>
      </c>
      <c r="AA33" s="62">
        <f>IF($H33&lt;&gt;"Y",0,(IF($F33&lt;&gt;"",ROUND(Dashboard!$R$4/$F33,1),IF(AND($I33="Base",$E33="Base"),Dashboard!$R$5,IF(AND($I33="Base",$E33="Red"),Dashboard!$R$6,IF(AND($I33="Base",$E33="Gold"),Dashboard!$R$7,VLOOKUP($I33,Dashboard!$Q$16:$R$21,2,FALSE)))))*VLOOKUP($I33,Dashboard!$Q$9:$R$13,2,FALSE)*IF(AND($I33="Auto",$F33="",OR($B33="Autographs Duals",$B33="Autographs Triples",$B33="Autographs Quads",$B33="Autographs Quads (Inscribed)")),IF($B33="Autographs Duals",2,IF($B33="Autographs Triples",3,4)),1)))</f>
        <v>1</v>
      </c>
      <c r="AB33" s="62">
        <f t="shared" si="11"/>
        <v>1</v>
      </c>
      <c r="AC33" s="62">
        <f t="shared" si="12"/>
        <v>0</v>
      </c>
    </row>
    <row r="34" spans="1:29" ht="28.7" customHeight="1" x14ac:dyDescent="0.25">
      <c r="A34" s="4" t="s">
        <v>17</v>
      </c>
      <c r="B34" s="7" t="s">
        <v>61</v>
      </c>
      <c r="C34" s="2" t="s">
        <v>1432</v>
      </c>
      <c r="D34" s="7" t="s">
        <v>910</v>
      </c>
      <c r="E34" s="4" t="s">
        <v>60</v>
      </c>
      <c r="F34" s="2"/>
      <c r="G34" s="2" t="s">
        <v>1399</v>
      </c>
      <c r="H34" s="2" t="s">
        <v>1400</v>
      </c>
      <c r="I34" s="4" t="s">
        <v>60</v>
      </c>
      <c r="J34" s="112">
        <f>IF($H34&lt;&gt;"Y",0,ROUND(MIN(Dashboard!$R$24,IF(IFERROR(VLOOKUP($B34,Dashboard!$Q$28:$S$60,2,FALSE),0)&gt;0,IFERROR(VLOOKUP($B34,Dashboard!$Q$28:$S$60,2,FALSE),0),$Z34*IF($U34&lt;&gt;"",ROUND((Dashboard!$R$4/$U34)*VLOOKUP($I34,Dashboard!$Q$9:$R$13,2,FALSE)*IF(ISNUMBER(SEARCH("Duals",$B34)),2,IF(ISNUMBER(SEARCH("Triples",$B34)),3,IF(ISNUMBER(SEARCH("Quads",$B34)),4,1))),2),ROUND(VLOOKUP($I34,Dashboard!$Q$15:$R$20,2,FALSE)*IF($E34="Red",Dashboard!$R$6,IF($E34="Gold",Dashboard!$R$7,Dashboard!$R$5))*IF(ISNUMBER(SEARCH("Duals",$B34)),2,IF(ISNUMBER(SEARCH("Triples",$B34)),3,IF(ISNUMBER(SEARCH("Quads",$B34)),4,1))),2))*IF(IFERROR(VLOOKUP($B34,Dashboard!$Q$28:$S$60,3,FALSE),0)&gt;0,VLOOKUP($B34,Dashboard!$Q$28:$S$60,3,FALSE),1))),0))</f>
        <v>1</v>
      </c>
      <c r="K34" s="2" t="str">
        <f>IF('Base S1'!C34="","",'Base S1'!C34)</f>
        <v>h</v>
      </c>
      <c r="L34" s="2">
        <f t="shared" si="0"/>
        <v>1</v>
      </c>
      <c r="M34" s="2">
        <f t="shared" si="1"/>
        <v>0</v>
      </c>
      <c r="N34" s="2">
        <f t="shared" si="2"/>
        <v>1</v>
      </c>
      <c r="O34" s="2">
        <f t="shared" si="3"/>
        <v>0</v>
      </c>
      <c r="P34" s="112">
        <f t="shared" si="4"/>
        <v>1</v>
      </c>
      <c r="Q34" s="112">
        <f t="shared" si="5"/>
        <v>0</v>
      </c>
      <c r="R34" s="53"/>
      <c r="S34" s="53" t="str">
        <f t="shared" si="6"/>
        <v>Base S1|Base Set - Season 1|33|Base</v>
      </c>
      <c r="T34" s="57" t="str">
        <f>IF($S34="","",IFERROR(VLOOKUP($S34,'Pop Estimates (Non-#d)'!$N$2:$O$500,2,FALSE),""))</f>
        <v/>
      </c>
      <c r="U34" s="57" t="str">
        <f t="shared" si="7"/>
        <v/>
      </c>
      <c r="V34" s="53" t="str">
        <f t="shared" si="8"/>
        <v/>
      </c>
      <c r="W34" s="53" t="str">
        <f t="shared" si="9"/>
        <v/>
      </c>
      <c r="X34" s="53" t="str">
        <f t="shared" si="10"/>
        <v/>
      </c>
      <c r="Y34" s="57" t="str">
        <f>IF($X34="","",IFERROR(VLOOKUP($X34,'Char Popularity'!$A$2:$C$500,2,FALSE),""))</f>
        <v/>
      </c>
      <c r="Z34" s="56">
        <f>IF($X34="",1,IFERROR(VLOOKUP($X34,'Char Popularity'!$A$2:$C$500,3,FALSE),1))</f>
        <v>1</v>
      </c>
      <c r="AA34" s="62">
        <f>IF($H34&lt;&gt;"Y",0,(IF($F34&lt;&gt;"",ROUND(Dashboard!$R$4/$F34,1),IF(AND($I34="Base",$E34="Base"),Dashboard!$R$5,IF(AND($I34="Base",$E34="Red"),Dashboard!$R$6,IF(AND($I34="Base",$E34="Gold"),Dashboard!$R$7,VLOOKUP($I34,Dashboard!$Q$16:$R$21,2,FALSE)))))*VLOOKUP($I34,Dashboard!$Q$9:$R$13,2,FALSE)*IF(AND($I34="Auto",$F34="",OR($B34="Autographs Duals",$B34="Autographs Triples",$B34="Autographs Quads",$B34="Autographs Quads (Inscribed)")),IF($B34="Autographs Duals",2,IF($B34="Autographs Triples",3,4)),1)))</f>
        <v>1</v>
      </c>
      <c r="AB34" s="62">
        <f t="shared" si="11"/>
        <v>1</v>
      </c>
      <c r="AC34" s="62">
        <f t="shared" si="12"/>
        <v>0</v>
      </c>
    </row>
    <row r="35" spans="1:29" ht="28.7" customHeight="1" x14ac:dyDescent="0.25">
      <c r="A35" s="4" t="s">
        <v>17</v>
      </c>
      <c r="B35" s="7" t="s">
        <v>61</v>
      </c>
      <c r="C35" s="2" t="s">
        <v>1433</v>
      </c>
      <c r="D35" s="7" t="s">
        <v>912</v>
      </c>
      <c r="E35" s="4" t="s">
        <v>60</v>
      </c>
      <c r="F35" s="2"/>
      <c r="G35" s="2" t="s">
        <v>1399</v>
      </c>
      <c r="H35" s="2" t="s">
        <v>1400</v>
      </c>
      <c r="I35" s="4" t="s">
        <v>60</v>
      </c>
      <c r="J35" s="112">
        <f>IF($H35&lt;&gt;"Y",0,ROUND(MIN(Dashboard!$R$24,IF(IFERROR(VLOOKUP($B35,Dashboard!$Q$28:$S$60,2,FALSE),0)&gt;0,IFERROR(VLOOKUP($B35,Dashboard!$Q$28:$S$60,2,FALSE),0),$Z35*IF($U35&lt;&gt;"",ROUND((Dashboard!$R$4/$U35)*VLOOKUP($I35,Dashboard!$Q$9:$R$13,2,FALSE)*IF(ISNUMBER(SEARCH("Duals",$B35)),2,IF(ISNUMBER(SEARCH("Triples",$B35)),3,IF(ISNUMBER(SEARCH("Quads",$B35)),4,1))),2),ROUND(VLOOKUP($I35,Dashboard!$Q$15:$R$20,2,FALSE)*IF($E35="Red",Dashboard!$R$6,IF($E35="Gold",Dashboard!$R$7,Dashboard!$R$5))*IF(ISNUMBER(SEARCH("Duals",$B35)),2,IF(ISNUMBER(SEARCH("Triples",$B35)),3,IF(ISNUMBER(SEARCH("Quads",$B35)),4,1))),2))*IF(IFERROR(VLOOKUP($B35,Dashboard!$Q$28:$S$60,3,FALSE),0)&gt;0,VLOOKUP($B35,Dashboard!$Q$28:$S$60,3,FALSE),1))),0))</f>
        <v>1</v>
      </c>
      <c r="K35" s="2" t="str">
        <f>IF('Base S1'!C35="","",'Base S1'!C35)</f>
        <v>h</v>
      </c>
      <c r="L35" s="2">
        <f t="shared" si="0"/>
        <v>1</v>
      </c>
      <c r="M35" s="2">
        <f t="shared" si="1"/>
        <v>0</v>
      </c>
      <c r="N35" s="2">
        <f t="shared" si="2"/>
        <v>1</v>
      </c>
      <c r="O35" s="2">
        <f t="shared" si="3"/>
        <v>0</v>
      </c>
      <c r="P35" s="112">
        <f t="shared" si="4"/>
        <v>1</v>
      </c>
      <c r="Q35" s="112">
        <f t="shared" si="5"/>
        <v>0</v>
      </c>
      <c r="R35" s="53"/>
      <c r="S35" s="53" t="str">
        <f t="shared" si="6"/>
        <v>Base S1|Base Set - Season 1|34|Base</v>
      </c>
      <c r="T35" s="57" t="str">
        <f>IF($S35="","",IFERROR(VLOOKUP($S35,'Pop Estimates (Non-#d)'!$N$2:$O$500,2,FALSE),""))</f>
        <v/>
      </c>
      <c r="U35" s="57" t="str">
        <f t="shared" si="7"/>
        <v/>
      </c>
      <c r="V35" s="53" t="str">
        <f t="shared" si="8"/>
        <v/>
      </c>
      <c r="W35" s="53" t="str">
        <f t="shared" si="9"/>
        <v/>
      </c>
      <c r="X35" s="53" t="str">
        <f t="shared" si="10"/>
        <v/>
      </c>
      <c r="Y35" s="57" t="str">
        <f>IF($X35="","",IFERROR(VLOOKUP($X35,'Char Popularity'!$A$2:$C$500,2,FALSE),""))</f>
        <v/>
      </c>
      <c r="Z35" s="56">
        <f>IF($X35="",1,IFERROR(VLOOKUP($X35,'Char Popularity'!$A$2:$C$500,3,FALSE),1))</f>
        <v>1</v>
      </c>
      <c r="AA35" s="62">
        <f>IF($H35&lt;&gt;"Y",0,(IF($F35&lt;&gt;"",ROUND(Dashboard!$R$4/$F35,1),IF(AND($I35="Base",$E35="Base"),Dashboard!$R$5,IF(AND($I35="Base",$E35="Red"),Dashboard!$R$6,IF(AND($I35="Base",$E35="Gold"),Dashboard!$R$7,VLOOKUP($I35,Dashboard!$Q$16:$R$21,2,FALSE)))))*VLOOKUP($I35,Dashboard!$Q$9:$R$13,2,FALSE)*IF(AND($I35="Auto",$F35="",OR($B35="Autographs Duals",$B35="Autographs Triples",$B35="Autographs Quads",$B35="Autographs Quads (Inscribed)")),IF($B35="Autographs Duals",2,IF($B35="Autographs Triples",3,4)),1)))</f>
        <v>1</v>
      </c>
      <c r="AB35" s="62">
        <f t="shared" si="11"/>
        <v>1</v>
      </c>
      <c r="AC35" s="62">
        <f t="shared" si="12"/>
        <v>0</v>
      </c>
    </row>
    <row r="36" spans="1:29" ht="28.7" customHeight="1" x14ac:dyDescent="0.25">
      <c r="A36" s="4" t="s">
        <v>17</v>
      </c>
      <c r="B36" s="7" t="s">
        <v>61</v>
      </c>
      <c r="C36" s="2" t="s">
        <v>1434</v>
      </c>
      <c r="D36" s="7" t="s">
        <v>914</v>
      </c>
      <c r="E36" s="4" t="s">
        <v>60</v>
      </c>
      <c r="F36" s="2"/>
      <c r="G36" s="2" t="s">
        <v>1399</v>
      </c>
      <c r="H36" s="2" t="s">
        <v>1400</v>
      </c>
      <c r="I36" s="4" t="s">
        <v>60</v>
      </c>
      <c r="J36" s="112">
        <f>IF($H36&lt;&gt;"Y",0,ROUND(MIN(Dashboard!$R$24,IF(IFERROR(VLOOKUP($B36,Dashboard!$Q$28:$S$60,2,FALSE),0)&gt;0,IFERROR(VLOOKUP($B36,Dashboard!$Q$28:$S$60,2,FALSE),0),$Z36*IF($U36&lt;&gt;"",ROUND((Dashboard!$R$4/$U36)*VLOOKUP($I36,Dashboard!$Q$9:$R$13,2,FALSE)*IF(ISNUMBER(SEARCH("Duals",$B36)),2,IF(ISNUMBER(SEARCH("Triples",$B36)),3,IF(ISNUMBER(SEARCH("Quads",$B36)),4,1))),2),ROUND(VLOOKUP($I36,Dashboard!$Q$15:$R$20,2,FALSE)*IF($E36="Red",Dashboard!$R$6,IF($E36="Gold",Dashboard!$R$7,Dashboard!$R$5))*IF(ISNUMBER(SEARCH("Duals",$B36)),2,IF(ISNUMBER(SEARCH("Triples",$B36)),3,IF(ISNUMBER(SEARCH("Quads",$B36)),4,1))),2))*IF(IFERROR(VLOOKUP($B36,Dashboard!$Q$28:$S$60,3,FALSE),0)&gt;0,VLOOKUP($B36,Dashboard!$Q$28:$S$60,3,FALSE),1))),0))</f>
        <v>1</v>
      </c>
      <c r="K36" s="2" t="str">
        <f>IF('Base S1'!C36="","",'Base S1'!C36)</f>
        <v>h</v>
      </c>
      <c r="L36" s="2">
        <f t="shared" si="0"/>
        <v>1</v>
      </c>
      <c r="M36" s="2">
        <f t="shared" si="1"/>
        <v>0</v>
      </c>
      <c r="N36" s="2">
        <f t="shared" si="2"/>
        <v>1</v>
      </c>
      <c r="O36" s="2">
        <f t="shared" si="3"/>
        <v>0</v>
      </c>
      <c r="P36" s="112">
        <f t="shared" si="4"/>
        <v>1</v>
      </c>
      <c r="Q36" s="112">
        <f t="shared" si="5"/>
        <v>0</v>
      </c>
      <c r="R36" s="53"/>
      <c r="S36" s="53" t="str">
        <f t="shared" si="6"/>
        <v>Base S1|Base Set - Season 1|35|Base</v>
      </c>
      <c r="T36" s="57" t="str">
        <f>IF($S36="","",IFERROR(VLOOKUP($S36,'Pop Estimates (Non-#d)'!$N$2:$O$500,2,FALSE),""))</f>
        <v/>
      </c>
      <c r="U36" s="57" t="str">
        <f t="shared" si="7"/>
        <v/>
      </c>
      <c r="V36" s="53" t="str">
        <f t="shared" si="8"/>
        <v/>
      </c>
      <c r="W36" s="53" t="str">
        <f t="shared" si="9"/>
        <v/>
      </c>
      <c r="X36" s="53" t="str">
        <f t="shared" si="10"/>
        <v/>
      </c>
      <c r="Y36" s="57" t="str">
        <f>IF($X36="","",IFERROR(VLOOKUP($X36,'Char Popularity'!$A$2:$C$500,2,FALSE),""))</f>
        <v/>
      </c>
      <c r="Z36" s="56">
        <f>IF($X36="",1,IFERROR(VLOOKUP($X36,'Char Popularity'!$A$2:$C$500,3,FALSE),1))</f>
        <v>1</v>
      </c>
      <c r="AA36" s="62">
        <f>IF($H36&lt;&gt;"Y",0,(IF($F36&lt;&gt;"",ROUND(Dashboard!$R$4/$F36,1),IF(AND($I36="Base",$E36="Base"),Dashboard!$R$5,IF(AND($I36="Base",$E36="Red"),Dashboard!$R$6,IF(AND($I36="Base",$E36="Gold"),Dashboard!$R$7,VLOOKUP($I36,Dashboard!$Q$16:$R$21,2,FALSE)))))*VLOOKUP($I36,Dashboard!$Q$9:$R$13,2,FALSE)*IF(AND($I36="Auto",$F36="",OR($B36="Autographs Duals",$B36="Autographs Triples",$B36="Autographs Quads",$B36="Autographs Quads (Inscribed)")),IF($B36="Autographs Duals",2,IF($B36="Autographs Triples",3,4)),1)))</f>
        <v>1</v>
      </c>
      <c r="AB36" s="62">
        <f t="shared" si="11"/>
        <v>1</v>
      </c>
      <c r="AC36" s="62">
        <f t="shared" si="12"/>
        <v>0</v>
      </c>
    </row>
    <row r="37" spans="1:29" ht="28.7" customHeight="1" x14ac:dyDescent="0.25">
      <c r="A37" s="4" t="s">
        <v>17</v>
      </c>
      <c r="B37" s="7" t="s">
        <v>61</v>
      </c>
      <c r="C37" s="2" t="s">
        <v>1435</v>
      </c>
      <c r="D37" s="7" t="s">
        <v>915</v>
      </c>
      <c r="E37" s="4" t="s">
        <v>60</v>
      </c>
      <c r="F37" s="2"/>
      <c r="G37" s="2" t="s">
        <v>1399</v>
      </c>
      <c r="H37" s="2" t="s">
        <v>1400</v>
      </c>
      <c r="I37" s="4" t="s">
        <v>60</v>
      </c>
      <c r="J37" s="112">
        <f>IF($H37&lt;&gt;"Y",0,ROUND(MIN(Dashboard!$R$24,IF(IFERROR(VLOOKUP($B37,Dashboard!$Q$28:$S$60,2,FALSE),0)&gt;0,IFERROR(VLOOKUP($B37,Dashboard!$Q$28:$S$60,2,FALSE),0),$Z37*IF($U37&lt;&gt;"",ROUND((Dashboard!$R$4/$U37)*VLOOKUP($I37,Dashboard!$Q$9:$R$13,2,FALSE)*IF(ISNUMBER(SEARCH("Duals",$B37)),2,IF(ISNUMBER(SEARCH("Triples",$B37)),3,IF(ISNUMBER(SEARCH("Quads",$B37)),4,1))),2),ROUND(VLOOKUP($I37,Dashboard!$Q$15:$R$20,2,FALSE)*IF($E37="Red",Dashboard!$R$6,IF($E37="Gold",Dashboard!$R$7,Dashboard!$R$5))*IF(ISNUMBER(SEARCH("Duals",$B37)),2,IF(ISNUMBER(SEARCH("Triples",$B37)),3,IF(ISNUMBER(SEARCH("Quads",$B37)),4,1))),2))*IF(IFERROR(VLOOKUP($B37,Dashboard!$Q$28:$S$60,3,FALSE),0)&gt;0,VLOOKUP($B37,Dashboard!$Q$28:$S$60,3,FALSE),1))),0))</f>
        <v>1</v>
      </c>
      <c r="K37" s="2" t="str">
        <f>IF('Base S1'!C37="","",'Base S1'!C37)</f>
        <v>h</v>
      </c>
      <c r="L37" s="2">
        <f t="shared" si="0"/>
        <v>1</v>
      </c>
      <c r="M37" s="2">
        <f t="shared" si="1"/>
        <v>0</v>
      </c>
      <c r="N37" s="2">
        <f t="shared" si="2"/>
        <v>1</v>
      </c>
      <c r="O37" s="2">
        <f t="shared" si="3"/>
        <v>0</v>
      </c>
      <c r="P37" s="112">
        <f t="shared" si="4"/>
        <v>1</v>
      </c>
      <c r="Q37" s="112">
        <f t="shared" si="5"/>
        <v>0</v>
      </c>
      <c r="R37" s="53"/>
      <c r="S37" s="53" t="str">
        <f t="shared" si="6"/>
        <v>Base S1|Base Set - Season 1|36|Base</v>
      </c>
      <c r="T37" s="57" t="str">
        <f>IF($S37="","",IFERROR(VLOOKUP($S37,'Pop Estimates (Non-#d)'!$N$2:$O$500,2,FALSE),""))</f>
        <v/>
      </c>
      <c r="U37" s="57" t="str">
        <f t="shared" si="7"/>
        <v/>
      </c>
      <c r="V37" s="53" t="str">
        <f t="shared" si="8"/>
        <v/>
      </c>
      <c r="W37" s="53" t="str">
        <f t="shared" si="9"/>
        <v/>
      </c>
      <c r="X37" s="53" t="str">
        <f t="shared" si="10"/>
        <v/>
      </c>
      <c r="Y37" s="57" t="str">
        <f>IF($X37="","",IFERROR(VLOOKUP($X37,'Char Popularity'!$A$2:$C$500,2,FALSE),""))</f>
        <v/>
      </c>
      <c r="Z37" s="56">
        <f>IF($X37="",1,IFERROR(VLOOKUP($X37,'Char Popularity'!$A$2:$C$500,3,FALSE),1))</f>
        <v>1</v>
      </c>
      <c r="AA37" s="62">
        <f>IF($H37&lt;&gt;"Y",0,(IF($F37&lt;&gt;"",ROUND(Dashboard!$R$4/$F37,1),IF(AND($I37="Base",$E37="Base"),Dashboard!$R$5,IF(AND($I37="Base",$E37="Red"),Dashboard!$R$6,IF(AND($I37="Base",$E37="Gold"),Dashboard!$R$7,VLOOKUP($I37,Dashboard!$Q$16:$R$21,2,FALSE)))))*VLOOKUP($I37,Dashboard!$Q$9:$R$13,2,FALSE)*IF(AND($I37="Auto",$F37="",OR($B37="Autographs Duals",$B37="Autographs Triples",$B37="Autographs Quads",$B37="Autographs Quads (Inscribed)")),IF($B37="Autographs Duals",2,IF($B37="Autographs Triples",3,4)),1)))</f>
        <v>1</v>
      </c>
      <c r="AB37" s="62">
        <f t="shared" si="11"/>
        <v>1</v>
      </c>
      <c r="AC37" s="62">
        <f t="shared" si="12"/>
        <v>0</v>
      </c>
    </row>
    <row r="38" spans="1:29" ht="28.7" customHeight="1" x14ac:dyDescent="0.25">
      <c r="A38" s="4" t="s">
        <v>17</v>
      </c>
      <c r="B38" s="7" t="s">
        <v>61</v>
      </c>
      <c r="C38" s="2" t="s">
        <v>1436</v>
      </c>
      <c r="D38" s="7" t="s">
        <v>917</v>
      </c>
      <c r="E38" s="4" t="s">
        <v>60</v>
      </c>
      <c r="F38" s="2"/>
      <c r="G38" s="2" t="s">
        <v>1399</v>
      </c>
      <c r="H38" s="2" t="s">
        <v>1400</v>
      </c>
      <c r="I38" s="4" t="s">
        <v>60</v>
      </c>
      <c r="J38" s="112">
        <f>IF($H38&lt;&gt;"Y",0,ROUND(MIN(Dashboard!$R$24,IF(IFERROR(VLOOKUP($B38,Dashboard!$Q$28:$S$60,2,FALSE),0)&gt;0,IFERROR(VLOOKUP($B38,Dashboard!$Q$28:$S$60,2,FALSE),0),$Z38*IF($U38&lt;&gt;"",ROUND((Dashboard!$R$4/$U38)*VLOOKUP($I38,Dashboard!$Q$9:$R$13,2,FALSE)*IF(ISNUMBER(SEARCH("Duals",$B38)),2,IF(ISNUMBER(SEARCH("Triples",$B38)),3,IF(ISNUMBER(SEARCH("Quads",$B38)),4,1))),2),ROUND(VLOOKUP($I38,Dashboard!$Q$15:$R$20,2,FALSE)*IF($E38="Red",Dashboard!$R$6,IF($E38="Gold",Dashboard!$R$7,Dashboard!$R$5))*IF(ISNUMBER(SEARCH("Duals",$B38)),2,IF(ISNUMBER(SEARCH("Triples",$B38)),3,IF(ISNUMBER(SEARCH("Quads",$B38)),4,1))),2))*IF(IFERROR(VLOOKUP($B38,Dashboard!$Q$28:$S$60,3,FALSE),0)&gt;0,VLOOKUP($B38,Dashboard!$Q$28:$S$60,3,FALSE),1))),0))</f>
        <v>1</v>
      </c>
      <c r="K38" s="2" t="str">
        <f>IF('Base S1'!C38="","",'Base S1'!C38)</f>
        <v>h</v>
      </c>
      <c r="L38" s="2">
        <f t="shared" si="0"/>
        <v>1</v>
      </c>
      <c r="M38" s="2">
        <f t="shared" si="1"/>
        <v>0</v>
      </c>
      <c r="N38" s="2">
        <f t="shared" si="2"/>
        <v>1</v>
      </c>
      <c r="O38" s="2">
        <f t="shared" si="3"/>
        <v>0</v>
      </c>
      <c r="P38" s="112">
        <f t="shared" si="4"/>
        <v>1</v>
      </c>
      <c r="Q38" s="112">
        <f t="shared" si="5"/>
        <v>0</v>
      </c>
      <c r="R38" s="53"/>
      <c r="S38" s="53" t="str">
        <f t="shared" si="6"/>
        <v>Base S1|Base Set - Season 1|37|Base</v>
      </c>
      <c r="T38" s="57" t="str">
        <f>IF($S38="","",IFERROR(VLOOKUP($S38,'Pop Estimates (Non-#d)'!$N$2:$O$500,2,FALSE),""))</f>
        <v/>
      </c>
      <c r="U38" s="57" t="str">
        <f t="shared" si="7"/>
        <v/>
      </c>
      <c r="V38" s="53" t="str">
        <f t="shared" si="8"/>
        <v/>
      </c>
      <c r="W38" s="53" t="str">
        <f t="shared" si="9"/>
        <v/>
      </c>
      <c r="X38" s="53" t="str">
        <f t="shared" si="10"/>
        <v/>
      </c>
      <c r="Y38" s="57" t="str">
        <f>IF($X38="","",IFERROR(VLOOKUP($X38,'Char Popularity'!$A$2:$C$500,2,FALSE),""))</f>
        <v/>
      </c>
      <c r="Z38" s="56">
        <f>IF($X38="",1,IFERROR(VLOOKUP($X38,'Char Popularity'!$A$2:$C$500,3,FALSE),1))</f>
        <v>1</v>
      </c>
      <c r="AA38" s="62">
        <f>IF($H38&lt;&gt;"Y",0,(IF($F38&lt;&gt;"",ROUND(Dashboard!$R$4/$F38,1),IF(AND($I38="Base",$E38="Base"),Dashboard!$R$5,IF(AND($I38="Base",$E38="Red"),Dashboard!$R$6,IF(AND($I38="Base",$E38="Gold"),Dashboard!$R$7,VLOOKUP($I38,Dashboard!$Q$16:$R$21,2,FALSE)))))*VLOOKUP($I38,Dashboard!$Q$9:$R$13,2,FALSE)*IF(AND($I38="Auto",$F38="",OR($B38="Autographs Duals",$B38="Autographs Triples",$B38="Autographs Quads",$B38="Autographs Quads (Inscribed)")),IF($B38="Autographs Duals",2,IF($B38="Autographs Triples",3,4)),1)))</f>
        <v>1</v>
      </c>
      <c r="AB38" s="62">
        <f t="shared" si="11"/>
        <v>1</v>
      </c>
      <c r="AC38" s="62">
        <f t="shared" si="12"/>
        <v>0</v>
      </c>
    </row>
    <row r="39" spans="1:29" ht="28.7" customHeight="1" x14ac:dyDescent="0.25">
      <c r="A39" s="4" t="s">
        <v>17</v>
      </c>
      <c r="B39" s="7" t="s">
        <v>61</v>
      </c>
      <c r="C39" s="2" t="s">
        <v>1437</v>
      </c>
      <c r="D39" s="7" t="s">
        <v>919</v>
      </c>
      <c r="E39" s="4" t="s">
        <v>60</v>
      </c>
      <c r="F39" s="2"/>
      <c r="G39" s="2" t="s">
        <v>1399</v>
      </c>
      <c r="H39" s="2" t="s">
        <v>1400</v>
      </c>
      <c r="I39" s="4" t="s">
        <v>60</v>
      </c>
      <c r="J39" s="112">
        <f>IF($H39&lt;&gt;"Y",0,ROUND(MIN(Dashboard!$R$24,IF(IFERROR(VLOOKUP($B39,Dashboard!$Q$28:$S$60,2,FALSE),0)&gt;0,IFERROR(VLOOKUP($B39,Dashboard!$Q$28:$S$60,2,FALSE),0),$Z39*IF($U39&lt;&gt;"",ROUND((Dashboard!$R$4/$U39)*VLOOKUP($I39,Dashboard!$Q$9:$R$13,2,FALSE)*IF(ISNUMBER(SEARCH("Duals",$B39)),2,IF(ISNUMBER(SEARCH("Triples",$B39)),3,IF(ISNUMBER(SEARCH("Quads",$B39)),4,1))),2),ROUND(VLOOKUP($I39,Dashboard!$Q$15:$R$20,2,FALSE)*IF($E39="Red",Dashboard!$R$6,IF($E39="Gold",Dashboard!$R$7,Dashboard!$R$5))*IF(ISNUMBER(SEARCH("Duals",$B39)),2,IF(ISNUMBER(SEARCH("Triples",$B39)),3,IF(ISNUMBER(SEARCH("Quads",$B39)),4,1))),2))*IF(IFERROR(VLOOKUP($B39,Dashboard!$Q$28:$S$60,3,FALSE),0)&gt;0,VLOOKUP($B39,Dashboard!$Q$28:$S$60,3,FALSE),1))),0))</f>
        <v>1</v>
      </c>
      <c r="K39" s="2" t="str">
        <f>IF('Base S1'!C39="","",'Base S1'!C39)</f>
        <v>h</v>
      </c>
      <c r="L39" s="2">
        <f t="shared" si="0"/>
        <v>1</v>
      </c>
      <c r="M39" s="2">
        <f t="shared" si="1"/>
        <v>0</v>
      </c>
      <c r="N39" s="2">
        <f t="shared" si="2"/>
        <v>1</v>
      </c>
      <c r="O39" s="2">
        <f t="shared" si="3"/>
        <v>0</v>
      </c>
      <c r="P39" s="112">
        <f t="shared" si="4"/>
        <v>1</v>
      </c>
      <c r="Q39" s="112">
        <f t="shared" si="5"/>
        <v>0</v>
      </c>
      <c r="R39" s="53"/>
      <c r="S39" s="53" t="str">
        <f t="shared" si="6"/>
        <v>Base S1|Base Set - Season 1|38|Base</v>
      </c>
      <c r="T39" s="57" t="str">
        <f>IF($S39="","",IFERROR(VLOOKUP($S39,'Pop Estimates (Non-#d)'!$N$2:$O$500,2,FALSE),""))</f>
        <v/>
      </c>
      <c r="U39" s="57" t="str">
        <f t="shared" si="7"/>
        <v/>
      </c>
      <c r="V39" s="53" t="str">
        <f t="shared" si="8"/>
        <v/>
      </c>
      <c r="W39" s="53" t="str">
        <f t="shared" si="9"/>
        <v/>
      </c>
      <c r="X39" s="53" t="str">
        <f t="shared" si="10"/>
        <v/>
      </c>
      <c r="Y39" s="57" t="str">
        <f>IF($X39="","",IFERROR(VLOOKUP($X39,'Char Popularity'!$A$2:$C$500,2,FALSE),""))</f>
        <v/>
      </c>
      <c r="Z39" s="56">
        <f>IF($X39="",1,IFERROR(VLOOKUP($X39,'Char Popularity'!$A$2:$C$500,3,FALSE),1))</f>
        <v>1</v>
      </c>
      <c r="AA39" s="62">
        <f>IF($H39&lt;&gt;"Y",0,(IF($F39&lt;&gt;"",ROUND(Dashboard!$R$4/$F39,1),IF(AND($I39="Base",$E39="Base"),Dashboard!$R$5,IF(AND($I39="Base",$E39="Red"),Dashboard!$R$6,IF(AND($I39="Base",$E39="Gold"),Dashboard!$R$7,VLOOKUP($I39,Dashboard!$Q$16:$R$21,2,FALSE)))))*VLOOKUP($I39,Dashboard!$Q$9:$R$13,2,FALSE)*IF(AND($I39="Auto",$F39="",OR($B39="Autographs Duals",$B39="Autographs Triples",$B39="Autographs Quads",$B39="Autographs Quads (Inscribed)")),IF($B39="Autographs Duals",2,IF($B39="Autographs Triples",3,4)),1)))</f>
        <v>1</v>
      </c>
      <c r="AB39" s="62">
        <f t="shared" si="11"/>
        <v>1</v>
      </c>
      <c r="AC39" s="62">
        <f t="shared" si="12"/>
        <v>0</v>
      </c>
    </row>
    <row r="40" spans="1:29" ht="28.7" customHeight="1" x14ac:dyDescent="0.25">
      <c r="A40" s="4" t="s">
        <v>17</v>
      </c>
      <c r="B40" s="7" t="s">
        <v>61</v>
      </c>
      <c r="C40" s="2" t="s">
        <v>1438</v>
      </c>
      <c r="D40" s="7" t="s">
        <v>920</v>
      </c>
      <c r="E40" s="4" t="s">
        <v>60</v>
      </c>
      <c r="F40" s="2"/>
      <c r="G40" s="2" t="s">
        <v>1399</v>
      </c>
      <c r="H40" s="2" t="s">
        <v>1400</v>
      </c>
      <c r="I40" s="4" t="s">
        <v>60</v>
      </c>
      <c r="J40" s="112">
        <f>IF($H40&lt;&gt;"Y",0,ROUND(MIN(Dashboard!$R$24,IF(IFERROR(VLOOKUP($B40,Dashboard!$Q$28:$S$60,2,FALSE),0)&gt;0,IFERROR(VLOOKUP($B40,Dashboard!$Q$28:$S$60,2,FALSE),0),$Z40*IF($U40&lt;&gt;"",ROUND((Dashboard!$R$4/$U40)*VLOOKUP($I40,Dashboard!$Q$9:$R$13,2,FALSE)*IF(ISNUMBER(SEARCH("Duals",$B40)),2,IF(ISNUMBER(SEARCH("Triples",$B40)),3,IF(ISNUMBER(SEARCH("Quads",$B40)),4,1))),2),ROUND(VLOOKUP($I40,Dashboard!$Q$15:$R$20,2,FALSE)*IF($E40="Red",Dashboard!$R$6,IF($E40="Gold",Dashboard!$R$7,Dashboard!$R$5))*IF(ISNUMBER(SEARCH("Duals",$B40)),2,IF(ISNUMBER(SEARCH("Triples",$B40)),3,IF(ISNUMBER(SEARCH("Quads",$B40)),4,1))),2))*IF(IFERROR(VLOOKUP($B40,Dashboard!$Q$28:$S$60,3,FALSE),0)&gt;0,VLOOKUP($B40,Dashboard!$Q$28:$S$60,3,FALSE),1))),0))</f>
        <v>1</v>
      </c>
      <c r="K40" s="2" t="str">
        <f>IF('Base S1'!C40="","",'Base S1'!C40)</f>
        <v>h</v>
      </c>
      <c r="L40" s="2">
        <f t="shared" si="0"/>
        <v>1</v>
      </c>
      <c r="M40" s="2">
        <f t="shared" si="1"/>
        <v>0</v>
      </c>
      <c r="N40" s="2">
        <f t="shared" si="2"/>
        <v>1</v>
      </c>
      <c r="O40" s="2">
        <f t="shared" si="3"/>
        <v>0</v>
      </c>
      <c r="P40" s="112">
        <f t="shared" si="4"/>
        <v>1</v>
      </c>
      <c r="Q40" s="112">
        <f t="shared" si="5"/>
        <v>0</v>
      </c>
      <c r="R40" s="53"/>
      <c r="S40" s="53" t="str">
        <f t="shared" si="6"/>
        <v>Base S1|Base Set - Season 1|39|Base</v>
      </c>
      <c r="T40" s="57" t="str">
        <f>IF($S40="","",IFERROR(VLOOKUP($S40,'Pop Estimates (Non-#d)'!$N$2:$O$500,2,FALSE),""))</f>
        <v/>
      </c>
      <c r="U40" s="57" t="str">
        <f t="shared" si="7"/>
        <v/>
      </c>
      <c r="V40" s="53" t="str">
        <f t="shared" si="8"/>
        <v/>
      </c>
      <c r="W40" s="53" t="str">
        <f t="shared" si="9"/>
        <v/>
      </c>
      <c r="X40" s="53" t="str">
        <f t="shared" si="10"/>
        <v/>
      </c>
      <c r="Y40" s="57" t="str">
        <f>IF($X40="","",IFERROR(VLOOKUP($X40,'Char Popularity'!$A$2:$C$500,2,FALSE),""))</f>
        <v/>
      </c>
      <c r="Z40" s="56">
        <f>IF($X40="",1,IFERROR(VLOOKUP($X40,'Char Popularity'!$A$2:$C$500,3,FALSE),1))</f>
        <v>1</v>
      </c>
      <c r="AA40" s="62">
        <f>IF($H40&lt;&gt;"Y",0,(IF($F40&lt;&gt;"",ROUND(Dashboard!$R$4/$F40,1),IF(AND($I40="Base",$E40="Base"),Dashboard!$R$5,IF(AND($I40="Base",$E40="Red"),Dashboard!$R$6,IF(AND($I40="Base",$E40="Gold"),Dashboard!$R$7,VLOOKUP($I40,Dashboard!$Q$16:$R$21,2,FALSE)))))*VLOOKUP($I40,Dashboard!$Q$9:$R$13,2,FALSE)*IF(AND($I40="Auto",$F40="",OR($B40="Autographs Duals",$B40="Autographs Triples",$B40="Autographs Quads",$B40="Autographs Quads (Inscribed)")),IF($B40="Autographs Duals",2,IF($B40="Autographs Triples",3,4)),1)))</f>
        <v>1</v>
      </c>
      <c r="AB40" s="62">
        <f t="shared" si="11"/>
        <v>1</v>
      </c>
      <c r="AC40" s="62">
        <f t="shared" si="12"/>
        <v>0</v>
      </c>
    </row>
    <row r="41" spans="1:29" ht="28.7" customHeight="1" x14ac:dyDescent="0.25">
      <c r="A41" s="4" t="s">
        <v>17</v>
      </c>
      <c r="B41" s="7" t="s">
        <v>61</v>
      </c>
      <c r="C41" s="2" t="s">
        <v>1439</v>
      </c>
      <c r="D41" s="7" t="s">
        <v>922</v>
      </c>
      <c r="E41" s="4" t="s">
        <v>60</v>
      </c>
      <c r="F41" s="2"/>
      <c r="G41" s="2" t="s">
        <v>1399</v>
      </c>
      <c r="H41" s="2" t="s">
        <v>1400</v>
      </c>
      <c r="I41" s="4" t="s">
        <v>60</v>
      </c>
      <c r="J41" s="112">
        <f>IF($H41&lt;&gt;"Y",0,ROUND(MIN(Dashboard!$R$24,IF(IFERROR(VLOOKUP($B41,Dashboard!$Q$28:$S$60,2,FALSE),0)&gt;0,IFERROR(VLOOKUP($B41,Dashboard!$Q$28:$S$60,2,FALSE),0),$Z41*IF($U41&lt;&gt;"",ROUND((Dashboard!$R$4/$U41)*VLOOKUP($I41,Dashboard!$Q$9:$R$13,2,FALSE)*IF(ISNUMBER(SEARCH("Duals",$B41)),2,IF(ISNUMBER(SEARCH("Triples",$B41)),3,IF(ISNUMBER(SEARCH("Quads",$B41)),4,1))),2),ROUND(VLOOKUP($I41,Dashboard!$Q$15:$R$20,2,FALSE)*IF($E41="Red",Dashboard!$R$6,IF($E41="Gold",Dashboard!$R$7,Dashboard!$R$5))*IF(ISNUMBER(SEARCH("Duals",$B41)),2,IF(ISNUMBER(SEARCH("Triples",$B41)),3,IF(ISNUMBER(SEARCH("Quads",$B41)),4,1))),2))*IF(IFERROR(VLOOKUP($B41,Dashboard!$Q$28:$S$60,3,FALSE),0)&gt;0,VLOOKUP($B41,Dashboard!$Q$28:$S$60,3,FALSE),1))),0))</f>
        <v>1</v>
      </c>
      <c r="K41" s="2" t="str">
        <f>IF('Base S1'!C41="","",'Base S1'!C41)</f>
        <v>h</v>
      </c>
      <c r="L41" s="2">
        <f t="shared" si="0"/>
        <v>1</v>
      </c>
      <c r="M41" s="2">
        <f t="shared" si="1"/>
        <v>0</v>
      </c>
      <c r="N41" s="2">
        <f t="shared" si="2"/>
        <v>1</v>
      </c>
      <c r="O41" s="2">
        <f t="shared" si="3"/>
        <v>0</v>
      </c>
      <c r="P41" s="112">
        <f t="shared" si="4"/>
        <v>1</v>
      </c>
      <c r="Q41" s="112">
        <f t="shared" si="5"/>
        <v>0</v>
      </c>
      <c r="R41" s="53"/>
      <c r="S41" s="53" t="str">
        <f t="shared" si="6"/>
        <v>Base S1|Base Set - Season 1|40|Base</v>
      </c>
      <c r="T41" s="57" t="str">
        <f>IF($S41="","",IFERROR(VLOOKUP($S41,'Pop Estimates (Non-#d)'!$N$2:$O$500,2,FALSE),""))</f>
        <v/>
      </c>
      <c r="U41" s="57" t="str">
        <f t="shared" si="7"/>
        <v/>
      </c>
      <c r="V41" s="53" t="str">
        <f t="shared" si="8"/>
        <v/>
      </c>
      <c r="W41" s="53" t="str">
        <f t="shared" si="9"/>
        <v/>
      </c>
      <c r="X41" s="53" t="str">
        <f t="shared" si="10"/>
        <v/>
      </c>
      <c r="Y41" s="57" t="str">
        <f>IF($X41="","",IFERROR(VLOOKUP($X41,'Char Popularity'!$A$2:$C$500,2,FALSE),""))</f>
        <v/>
      </c>
      <c r="Z41" s="56">
        <f>IF($X41="",1,IFERROR(VLOOKUP($X41,'Char Popularity'!$A$2:$C$500,3,FALSE),1))</f>
        <v>1</v>
      </c>
      <c r="AA41" s="62">
        <f>IF($H41&lt;&gt;"Y",0,(IF($F41&lt;&gt;"",ROUND(Dashboard!$R$4/$F41,1),IF(AND($I41="Base",$E41="Base"),Dashboard!$R$5,IF(AND($I41="Base",$E41="Red"),Dashboard!$R$6,IF(AND($I41="Base",$E41="Gold"),Dashboard!$R$7,VLOOKUP($I41,Dashboard!$Q$16:$R$21,2,FALSE)))))*VLOOKUP($I41,Dashboard!$Q$9:$R$13,2,FALSE)*IF(AND($I41="Auto",$F41="",OR($B41="Autographs Duals",$B41="Autographs Triples",$B41="Autographs Quads",$B41="Autographs Quads (Inscribed)")),IF($B41="Autographs Duals",2,IF($B41="Autographs Triples",3,4)),1)))</f>
        <v>1</v>
      </c>
      <c r="AB41" s="62">
        <f t="shared" si="11"/>
        <v>1</v>
      </c>
      <c r="AC41" s="62">
        <f t="shared" si="12"/>
        <v>0</v>
      </c>
    </row>
    <row r="42" spans="1:29" ht="28.7" customHeight="1" x14ac:dyDescent="0.25">
      <c r="A42" s="4" t="s">
        <v>17</v>
      </c>
      <c r="B42" s="7" t="s">
        <v>61</v>
      </c>
      <c r="C42" s="2" t="s">
        <v>1440</v>
      </c>
      <c r="D42" s="7" t="s">
        <v>925</v>
      </c>
      <c r="E42" s="4" t="s">
        <v>60</v>
      </c>
      <c r="F42" s="2"/>
      <c r="G42" s="2" t="s">
        <v>1399</v>
      </c>
      <c r="H42" s="2" t="s">
        <v>1400</v>
      </c>
      <c r="I42" s="4" t="s">
        <v>60</v>
      </c>
      <c r="J42" s="112">
        <f>IF($H42&lt;&gt;"Y",0,ROUND(MIN(Dashboard!$R$24,IF(IFERROR(VLOOKUP($B42,Dashboard!$Q$28:$S$60,2,FALSE),0)&gt;0,IFERROR(VLOOKUP($B42,Dashboard!$Q$28:$S$60,2,FALSE),0),$Z42*IF($U42&lt;&gt;"",ROUND((Dashboard!$R$4/$U42)*VLOOKUP($I42,Dashboard!$Q$9:$R$13,2,FALSE)*IF(ISNUMBER(SEARCH("Duals",$B42)),2,IF(ISNUMBER(SEARCH("Triples",$B42)),3,IF(ISNUMBER(SEARCH("Quads",$B42)),4,1))),2),ROUND(VLOOKUP($I42,Dashboard!$Q$15:$R$20,2,FALSE)*IF($E42="Red",Dashboard!$R$6,IF($E42="Gold",Dashboard!$R$7,Dashboard!$R$5))*IF(ISNUMBER(SEARCH("Duals",$B42)),2,IF(ISNUMBER(SEARCH("Triples",$B42)),3,IF(ISNUMBER(SEARCH("Quads",$B42)),4,1))),2))*IF(IFERROR(VLOOKUP($B42,Dashboard!$Q$28:$S$60,3,FALSE),0)&gt;0,VLOOKUP($B42,Dashboard!$Q$28:$S$60,3,FALSE),1))),0))</f>
        <v>1</v>
      </c>
      <c r="K42" s="2" t="str">
        <f>IF('Base S1'!C42="","",'Base S1'!C42)</f>
        <v>h</v>
      </c>
      <c r="L42" s="2">
        <f t="shared" si="0"/>
        <v>1</v>
      </c>
      <c r="M42" s="2">
        <f t="shared" si="1"/>
        <v>0</v>
      </c>
      <c r="N42" s="2">
        <f t="shared" si="2"/>
        <v>1</v>
      </c>
      <c r="O42" s="2">
        <f t="shared" si="3"/>
        <v>0</v>
      </c>
      <c r="P42" s="112">
        <f t="shared" si="4"/>
        <v>1</v>
      </c>
      <c r="Q42" s="112">
        <f t="shared" si="5"/>
        <v>0</v>
      </c>
      <c r="R42" s="53"/>
      <c r="S42" s="53" t="str">
        <f t="shared" si="6"/>
        <v>Base S1|Base Set - Season 1|41|Base</v>
      </c>
      <c r="T42" s="57" t="str">
        <f>IF($S42="","",IFERROR(VLOOKUP($S42,'Pop Estimates (Non-#d)'!$N$2:$O$500,2,FALSE),""))</f>
        <v/>
      </c>
      <c r="U42" s="57" t="str">
        <f t="shared" si="7"/>
        <v/>
      </c>
      <c r="V42" s="53" t="str">
        <f t="shared" si="8"/>
        <v/>
      </c>
      <c r="W42" s="53" t="str">
        <f t="shared" si="9"/>
        <v/>
      </c>
      <c r="X42" s="53" t="str">
        <f t="shared" si="10"/>
        <v/>
      </c>
      <c r="Y42" s="57" t="str">
        <f>IF($X42="","",IFERROR(VLOOKUP($X42,'Char Popularity'!$A$2:$C$500,2,FALSE),""))</f>
        <v/>
      </c>
      <c r="Z42" s="56">
        <f>IF($X42="",1,IFERROR(VLOOKUP($X42,'Char Popularity'!$A$2:$C$500,3,FALSE),1))</f>
        <v>1</v>
      </c>
      <c r="AA42" s="62">
        <f>IF($H42&lt;&gt;"Y",0,(IF($F42&lt;&gt;"",ROUND(Dashboard!$R$4/$F42,1),IF(AND($I42="Base",$E42="Base"),Dashboard!$R$5,IF(AND($I42="Base",$E42="Red"),Dashboard!$R$6,IF(AND($I42="Base",$E42="Gold"),Dashboard!$R$7,VLOOKUP($I42,Dashboard!$Q$16:$R$21,2,FALSE)))))*VLOOKUP($I42,Dashboard!$Q$9:$R$13,2,FALSE)*IF(AND($I42="Auto",$F42="",OR($B42="Autographs Duals",$B42="Autographs Triples",$B42="Autographs Quads",$B42="Autographs Quads (Inscribed)")),IF($B42="Autographs Duals",2,IF($B42="Autographs Triples",3,4)),1)))</f>
        <v>1</v>
      </c>
      <c r="AB42" s="62">
        <f t="shared" si="11"/>
        <v>1</v>
      </c>
      <c r="AC42" s="62">
        <f t="shared" si="12"/>
        <v>0</v>
      </c>
    </row>
    <row r="43" spans="1:29" ht="28.7" customHeight="1" x14ac:dyDescent="0.25">
      <c r="A43" s="4" t="s">
        <v>17</v>
      </c>
      <c r="B43" s="7" t="s">
        <v>61</v>
      </c>
      <c r="C43" s="2" t="s">
        <v>1441</v>
      </c>
      <c r="D43" s="7" t="s">
        <v>926</v>
      </c>
      <c r="E43" s="4" t="s">
        <v>60</v>
      </c>
      <c r="F43" s="2"/>
      <c r="G43" s="2" t="s">
        <v>1399</v>
      </c>
      <c r="H43" s="2" t="s">
        <v>1400</v>
      </c>
      <c r="I43" s="4" t="s">
        <v>60</v>
      </c>
      <c r="J43" s="112">
        <f>IF($H43&lt;&gt;"Y",0,ROUND(MIN(Dashboard!$R$24,IF(IFERROR(VLOOKUP($B43,Dashboard!$Q$28:$S$60,2,FALSE),0)&gt;0,IFERROR(VLOOKUP($B43,Dashboard!$Q$28:$S$60,2,FALSE),0),$Z43*IF($U43&lt;&gt;"",ROUND((Dashboard!$R$4/$U43)*VLOOKUP($I43,Dashboard!$Q$9:$R$13,2,FALSE)*IF(ISNUMBER(SEARCH("Duals",$B43)),2,IF(ISNUMBER(SEARCH("Triples",$B43)),3,IF(ISNUMBER(SEARCH("Quads",$B43)),4,1))),2),ROUND(VLOOKUP($I43,Dashboard!$Q$15:$R$20,2,FALSE)*IF($E43="Red",Dashboard!$R$6,IF($E43="Gold",Dashboard!$R$7,Dashboard!$R$5))*IF(ISNUMBER(SEARCH("Duals",$B43)),2,IF(ISNUMBER(SEARCH("Triples",$B43)),3,IF(ISNUMBER(SEARCH("Quads",$B43)),4,1))),2))*IF(IFERROR(VLOOKUP($B43,Dashboard!$Q$28:$S$60,3,FALSE),0)&gt;0,VLOOKUP($B43,Dashboard!$Q$28:$S$60,3,FALSE),1))),0))</f>
        <v>1</v>
      </c>
      <c r="K43" s="2" t="str">
        <f>IF('Base S1'!C43="","",'Base S1'!C43)</f>
        <v>h</v>
      </c>
      <c r="L43" s="2">
        <f t="shared" si="0"/>
        <v>1</v>
      </c>
      <c r="M43" s="2">
        <f t="shared" si="1"/>
        <v>0</v>
      </c>
      <c r="N43" s="2">
        <f t="shared" si="2"/>
        <v>1</v>
      </c>
      <c r="O43" s="2">
        <f t="shared" si="3"/>
        <v>0</v>
      </c>
      <c r="P43" s="112">
        <f t="shared" si="4"/>
        <v>1</v>
      </c>
      <c r="Q43" s="112">
        <f t="shared" si="5"/>
        <v>0</v>
      </c>
      <c r="R43" s="53"/>
      <c r="S43" s="53" t="str">
        <f t="shared" si="6"/>
        <v>Base S1|Base Set - Season 1|42|Base</v>
      </c>
      <c r="T43" s="57" t="str">
        <f>IF($S43="","",IFERROR(VLOOKUP($S43,'Pop Estimates (Non-#d)'!$N$2:$O$500,2,FALSE),""))</f>
        <v/>
      </c>
      <c r="U43" s="57" t="str">
        <f t="shared" si="7"/>
        <v/>
      </c>
      <c r="V43" s="53" t="str">
        <f t="shared" si="8"/>
        <v/>
      </c>
      <c r="W43" s="53" t="str">
        <f t="shared" si="9"/>
        <v/>
      </c>
      <c r="X43" s="53" t="str">
        <f t="shared" si="10"/>
        <v/>
      </c>
      <c r="Y43" s="57" t="str">
        <f>IF($X43="","",IFERROR(VLOOKUP($X43,'Char Popularity'!$A$2:$C$500,2,FALSE),""))</f>
        <v/>
      </c>
      <c r="Z43" s="56">
        <f>IF($X43="",1,IFERROR(VLOOKUP($X43,'Char Popularity'!$A$2:$C$500,3,FALSE),1))</f>
        <v>1</v>
      </c>
      <c r="AA43" s="62">
        <f>IF($H43&lt;&gt;"Y",0,(IF($F43&lt;&gt;"",ROUND(Dashboard!$R$4/$F43,1),IF(AND($I43="Base",$E43="Base"),Dashboard!$R$5,IF(AND($I43="Base",$E43="Red"),Dashboard!$R$6,IF(AND($I43="Base",$E43="Gold"),Dashboard!$R$7,VLOOKUP($I43,Dashboard!$Q$16:$R$21,2,FALSE)))))*VLOOKUP($I43,Dashboard!$Q$9:$R$13,2,FALSE)*IF(AND($I43="Auto",$F43="",OR($B43="Autographs Duals",$B43="Autographs Triples",$B43="Autographs Quads",$B43="Autographs Quads (Inscribed)")),IF($B43="Autographs Duals",2,IF($B43="Autographs Triples",3,4)),1)))</f>
        <v>1</v>
      </c>
      <c r="AB43" s="62">
        <f t="shared" si="11"/>
        <v>1</v>
      </c>
      <c r="AC43" s="62">
        <f t="shared" si="12"/>
        <v>0</v>
      </c>
    </row>
    <row r="44" spans="1:29" ht="28.7" customHeight="1" x14ac:dyDescent="0.25">
      <c r="A44" s="4" t="s">
        <v>17</v>
      </c>
      <c r="B44" s="7" t="s">
        <v>61</v>
      </c>
      <c r="C44" s="2" t="s">
        <v>1442</v>
      </c>
      <c r="D44" s="7" t="s">
        <v>928</v>
      </c>
      <c r="E44" s="4" t="s">
        <v>60</v>
      </c>
      <c r="F44" s="2"/>
      <c r="G44" s="2" t="s">
        <v>1399</v>
      </c>
      <c r="H44" s="2" t="s">
        <v>1400</v>
      </c>
      <c r="I44" s="4" t="s">
        <v>60</v>
      </c>
      <c r="J44" s="112">
        <f>IF($H44&lt;&gt;"Y",0,ROUND(MIN(Dashboard!$R$24,IF(IFERROR(VLOOKUP($B44,Dashboard!$Q$28:$S$60,2,FALSE),0)&gt;0,IFERROR(VLOOKUP($B44,Dashboard!$Q$28:$S$60,2,FALSE),0),$Z44*IF($U44&lt;&gt;"",ROUND((Dashboard!$R$4/$U44)*VLOOKUP($I44,Dashboard!$Q$9:$R$13,2,FALSE)*IF(ISNUMBER(SEARCH("Duals",$B44)),2,IF(ISNUMBER(SEARCH("Triples",$B44)),3,IF(ISNUMBER(SEARCH("Quads",$B44)),4,1))),2),ROUND(VLOOKUP($I44,Dashboard!$Q$15:$R$20,2,FALSE)*IF($E44="Red",Dashboard!$R$6,IF($E44="Gold",Dashboard!$R$7,Dashboard!$R$5))*IF(ISNUMBER(SEARCH("Duals",$B44)),2,IF(ISNUMBER(SEARCH("Triples",$B44)),3,IF(ISNUMBER(SEARCH("Quads",$B44)),4,1))),2))*IF(IFERROR(VLOOKUP($B44,Dashboard!$Q$28:$S$60,3,FALSE),0)&gt;0,VLOOKUP($B44,Dashboard!$Q$28:$S$60,3,FALSE),1))),0))</f>
        <v>1</v>
      </c>
      <c r="K44" s="2" t="str">
        <f>IF('Base S1'!C44="","",'Base S1'!C44)</f>
        <v>h</v>
      </c>
      <c r="L44" s="2">
        <f t="shared" si="0"/>
        <v>1</v>
      </c>
      <c r="M44" s="2">
        <f t="shared" si="1"/>
        <v>0</v>
      </c>
      <c r="N44" s="2">
        <f t="shared" si="2"/>
        <v>1</v>
      </c>
      <c r="O44" s="2">
        <f t="shared" si="3"/>
        <v>0</v>
      </c>
      <c r="P44" s="112">
        <f t="shared" si="4"/>
        <v>1</v>
      </c>
      <c r="Q44" s="112">
        <f t="shared" si="5"/>
        <v>0</v>
      </c>
      <c r="R44" s="53"/>
      <c r="S44" s="53" t="str">
        <f t="shared" si="6"/>
        <v>Base S1|Base Set - Season 1|43|Base</v>
      </c>
      <c r="T44" s="57" t="str">
        <f>IF($S44="","",IFERROR(VLOOKUP($S44,'Pop Estimates (Non-#d)'!$N$2:$O$500,2,FALSE),""))</f>
        <v/>
      </c>
      <c r="U44" s="57" t="str">
        <f t="shared" si="7"/>
        <v/>
      </c>
      <c r="V44" s="53" t="str">
        <f t="shared" si="8"/>
        <v/>
      </c>
      <c r="W44" s="53" t="str">
        <f t="shared" si="9"/>
        <v/>
      </c>
      <c r="X44" s="53" t="str">
        <f t="shared" si="10"/>
        <v/>
      </c>
      <c r="Y44" s="57" t="str">
        <f>IF($X44="","",IFERROR(VLOOKUP($X44,'Char Popularity'!$A$2:$C$500,2,FALSE),""))</f>
        <v/>
      </c>
      <c r="Z44" s="56">
        <f>IF($X44="",1,IFERROR(VLOOKUP($X44,'Char Popularity'!$A$2:$C$500,3,FALSE),1))</f>
        <v>1</v>
      </c>
      <c r="AA44" s="62">
        <f>IF($H44&lt;&gt;"Y",0,(IF($F44&lt;&gt;"",ROUND(Dashboard!$R$4/$F44,1),IF(AND($I44="Base",$E44="Base"),Dashboard!$R$5,IF(AND($I44="Base",$E44="Red"),Dashboard!$R$6,IF(AND($I44="Base",$E44="Gold"),Dashboard!$R$7,VLOOKUP($I44,Dashboard!$Q$16:$R$21,2,FALSE)))))*VLOOKUP($I44,Dashboard!$Q$9:$R$13,2,FALSE)*IF(AND($I44="Auto",$F44="",OR($B44="Autographs Duals",$B44="Autographs Triples",$B44="Autographs Quads",$B44="Autographs Quads (Inscribed)")),IF($B44="Autographs Duals",2,IF($B44="Autographs Triples",3,4)),1)))</f>
        <v>1</v>
      </c>
      <c r="AB44" s="62">
        <f t="shared" si="11"/>
        <v>1</v>
      </c>
      <c r="AC44" s="62">
        <f t="shared" si="12"/>
        <v>0</v>
      </c>
    </row>
    <row r="45" spans="1:29" ht="28.7" customHeight="1" x14ac:dyDescent="0.25">
      <c r="A45" s="4" t="s">
        <v>17</v>
      </c>
      <c r="B45" s="7" t="s">
        <v>61</v>
      </c>
      <c r="C45" s="2" t="s">
        <v>1443</v>
      </c>
      <c r="D45" s="7" t="s">
        <v>930</v>
      </c>
      <c r="E45" s="4" t="s">
        <v>60</v>
      </c>
      <c r="F45" s="2"/>
      <c r="G45" s="2" t="s">
        <v>1399</v>
      </c>
      <c r="H45" s="2" t="s">
        <v>1400</v>
      </c>
      <c r="I45" s="4" t="s">
        <v>60</v>
      </c>
      <c r="J45" s="112">
        <f>IF($H45&lt;&gt;"Y",0,ROUND(MIN(Dashboard!$R$24,IF(IFERROR(VLOOKUP($B45,Dashboard!$Q$28:$S$60,2,FALSE),0)&gt;0,IFERROR(VLOOKUP($B45,Dashboard!$Q$28:$S$60,2,FALSE),0),$Z45*IF($U45&lt;&gt;"",ROUND((Dashboard!$R$4/$U45)*VLOOKUP($I45,Dashboard!$Q$9:$R$13,2,FALSE)*IF(ISNUMBER(SEARCH("Duals",$B45)),2,IF(ISNUMBER(SEARCH("Triples",$B45)),3,IF(ISNUMBER(SEARCH("Quads",$B45)),4,1))),2),ROUND(VLOOKUP($I45,Dashboard!$Q$15:$R$20,2,FALSE)*IF($E45="Red",Dashboard!$R$6,IF($E45="Gold",Dashboard!$R$7,Dashboard!$R$5))*IF(ISNUMBER(SEARCH("Duals",$B45)),2,IF(ISNUMBER(SEARCH("Triples",$B45)),3,IF(ISNUMBER(SEARCH("Quads",$B45)),4,1))),2))*IF(IFERROR(VLOOKUP($B45,Dashboard!$Q$28:$S$60,3,FALSE),0)&gt;0,VLOOKUP($B45,Dashboard!$Q$28:$S$60,3,FALSE),1))),0))</f>
        <v>1</v>
      </c>
      <c r="K45" s="2" t="str">
        <f>IF('Base S1'!C45="","",'Base S1'!C45)</f>
        <v>h</v>
      </c>
      <c r="L45" s="2">
        <f t="shared" si="0"/>
        <v>1</v>
      </c>
      <c r="M45" s="2">
        <f t="shared" si="1"/>
        <v>0</v>
      </c>
      <c r="N45" s="2">
        <f t="shared" si="2"/>
        <v>1</v>
      </c>
      <c r="O45" s="2">
        <f t="shared" si="3"/>
        <v>0</v>
      </c>
      <c r="P45" s="112">
        <f t="shared" si="4"/>
        <v>1</v>
      </c>
      <c r="Q45" s="112">
        <f t="shared" si="5"/>
        <v>0</v>
      </c>
      <c r="R45" s="53"/>
      <c r="S45" s="53" t="str">
        <f t="shared" si="6"/>
        <v>Base S1|Base Set - Season 1|44|Base</v>
      </c>
      <c r="T45" s="57" t="str">
        <f>IF($S45="","",IFERROR(VLOOKUP($S45,'Pop Estimates (Non-#d)'!$N$2:$O$500,2,FALSE),""))</f>
        <v/>
      </c>
      <c r="U45" s="57" t="str">
        <f t="shared" si="7"/>
        <v/>
      </c>
      <c r="V45" s="53" t="str">
        <f t="shared" si="8"/>
        <v/>
      </c>
      <c r="W45" s="53" t="str">
        <f t="shared" si="9"/>
        <v/>
      </c>
      <c r="X45" s="53" t="str">
        <f t="shared" si="10"/>
        <v/>
      </c>
      <c r="Y45" s="57" t="str">
        <f>IF($X45="","",IFERROR(VLOOKUP($X45,'Char Popularity'!$A$2:$C$500,2,FALSE),""))</f>
        <v/>
      </c>
      <c r="Z45" s="56">
        <f>IF($X45="",1,IFERROR(VLOOKUP($X45,'Char Popularity'!$A$2:$C$500,3,FALSE),1))</f>
        <v>1</v>
      </c>
      <c r="AA45" s="62">
        <f>IF($H45&lt;&gt;"Y",0,(IF($F45&lt;&gt;"",ROUND(Dashboard!$R$4/$F45,1),IF(AND($I45="Base",$E45="Base"),Dashboard!$R$5,IF(AND($I45="Base",$E45="Red"),Dashboard!$R$6,IF(AND($I45="Base",$E45="Gold"),Dashboard!$R$7,VLOOKUP($I45,Dashboard!$Q$16:$R$21,2,FALSE)))))*VLOOKUP($I45,Dashboard!$Q$9:$R$13,2,FALSE)*IF(AND($I45="Auto",$F45="",OR($B45="Autographs Duals",$B45="Autographs Triples",$B45="Autographs Quads",$B45="Autographs Quads (Inscribed)")),IF($B45="Autographs Duals",2,IF($B45="Autographs Triples",3,4)),1)))</f>
        <v>1</v>
      </c>
      <c r="AB45" s="62">
        <f t="shared" si="11"/>
        <v>1</v>
      </c>
      <c r="AC45" s="62">
        <f t="shared" si="12"/>
        <v>0</v>
      </c>
    </row>
    <row r="46" spans="1:29" ht="28.7" customHeight="1" x14ac:dyDescent="0.25">
      <c r="A46" s="4" t="s">
        <v>17</v>
      </c>
      <c r="B46" s="7" t="s">
        <v>61</v>
      </c>
      <c r="C46" s="2" t="s">
        <v>1444</v>
      </c>
      <c r="D46" s="7" t="s">
        <v>932</v>
      </c>
      <c r="E46" s="4" t="s">
        <v>60</v>
      </c>
      <c r="F46" s="2"/>
      <c r="G46" s="2" t="s">
        <v>1399</v>
      </c>
      <c r="H46" s="2" t="s">
        <v>1400</v>
      </c>
      <c r="I46" s="4" t="s">
        <v>60</v>
      </c>
      <c r="J46" s="112">
        <f>IF($H46&lt;&gt;"Y",0,ROUND(MIN(Dashboard!$R$24,IF(IFERROR(VLOOKUP($B46,Dashboard!$Q$28:$S$60,2,FALSE),0)&gt;0,IFERROR(VLOOKUP($B46,Dashboard!$Q$28:$S$60,2,FALSE),0),$Z46*IF($U46&lt;&gt;"",ROUND((Dashboard!$R$4/$U46)*VLOOKUP($I46,Dashboard!$Q$9:$R$13,2,FALSE)*IF(ISNUMBER(SEARCH("Duals",$B46)),2,IF(ISNUMBER(SEARCH("Triples",$B46)),3,IF(ISNUMBER(SEARCH("Quads",$B46)),4,1))),2),ROUND(VLOOKUP($I46,Dashboard!$Q$15:$R$20,2,FALSE)*IF($E46="Red",Dashboard!$R$6,IF($E46="Gold",Dashboard!$R$7,Dashboard!$R$5))*IF(ISNUMBER(SEARCH("Duals",$B46)),2,IF(ISNUMBER(SEARCH("Triples",$B46)),3,IF(ISNUMBER(SEARCH("Quads",$B46)),4,1))),2))*IF(IFERROR(VLOOKUP($B46,Dashboard!$Q$28:$S$60,3,FALSE),0)&gt;0,VLOOKUP($B46,Dashboard!$Q$28:$S$60,3,FALSE),1))),0))</f>
        <v>1</v>
      </c>
      <c r="K46" s="2" t="str">
        <f>IF('Base S1'!C46="","",'Base S1'!C46)</f>
        <v>h</v>
      </c>
      <c r="L46" s="2">
        <f t="shared" si="0"/>
        <v>1</v>
      </c>
      <c r="M46" s="2">
        <f t="shared" si="1"/>
        <v>0</v>
      </c>
      <c r="N46" s="2">
        <f t="shared" si="2"/>
        <v>1</v>
      </c>
      <c r="O46" s="2">
        <f t="shared" si="3"/>
        <v>0</v>
      </c>
      <c r="P46" s="112">
        <f t="shared" si="4"/>
        <v>1</v>
      </c>
      <c r="Q46" s="112">
        <f t="shared" si="5"/>
        <v>0</v>
      </c>
      <c r="R46" s="53"/>
      <c r="S46" s="53" t="str">
        <f t="shared" si="6"/>
        <v>Base S1|Base Set - Season 1|45|Base</v>
      </c>
      <c r="T46" s="57" t="str">
        <f>IF($S46="","",IFERROR(VLOOKUP($S46,'Pop Estimates (Non-#d)'!$N$2:$O$500,2,FALSE),""))</f>
        <v/>
      </c>
      <c r="U46" s="57" t="str">
        <f t="shared" si="7"/>
        <v/>
      </c>
      <c r="V46" s="53" t="str">
        <f t="shared" si="8"/>
        <v/>
      </c>
      <c r="W46" s="53" t="str">
        <f t="shared" si="9"/>
        <v/>
      </c>
      <c r="X46" s="53" t="str">
        <f t="shared" si="10"/>
        <v/>
      </c>
      <c r="Y46" s="57" t="str">
        <f>IF($X46="","",IFERROR(VLOOKUP($X46,'Char Popularity'!$A$2:$C$500,2,FALSE),""))</f>
        <v/>
      </c>
      <c r="Z46" s="56">
        <f>IF($X46="",1,IFERROR(VLOOKUP($X46,'Char Popularity'!$A$2:$C$500,3,FALSE),1))</f>
        <v>1</v>
      </c>
      <c r="AA46" s="62">
        <f>IF($H46&lt;&gt;"Y",0,(IF($F46&lt;&gt;"",ROUND(Dashboard!$R$4/$F46,1),IF(AND($I46="Base",$E46="Base"),Dashboard!$R$5,IF(AND($I46="Base",$E46="Red"),Dashboard!$R$6,IF(AND($I46="Base",$E46="Gold"),Dashboard!$R$7,VLOOKUP($I46,Dashboard!$Q$16:$R$21,2,FALSE)))))*VLOOKUP($I46,Dashboard!$Q$9:$R$13,2,FALSE)*IF(AND($I46="Auto",$F46="",OR($B46="Autographs Duals",$B46="Autographs Triples",$B46="Autographs Quads",$B46="Autographs Quads (Inscribed)")),IF($B46="Autographs Duals",2,IF($B46="Autographs Triples",3,4)),1)))</f>
        <v>1</v>
      </c>
      <c r="AB46" s="62">
        <f t="shared" si="11"/>
        <v>1</v>
      </c>
      <c r="AC46" s="62">
        <f t="shared" si="12"/>
        <v>0</v>
      </c>
    </row>
    <row r="47" spans="1:29" ht="28.7" customHeight="1" x14ac:dyDescent="0.25">
      <c r="A47" s="4" t="s">
        <v>17</v>
      </c>
      <c r="B47" s="7" t="s">
        <v>61</v>
      </c>
      <c r="C47" s="2" t="s">
        <v>1445</v>
      </c>
      <c r="D47" s="7" t="s">
        <v>934</v>
      </c>
      <c r="E47" s="4" t="s">
        <v>60</v>
      </c>
      <c r="F47" s="2"/>
      <c r="G47" s="2" t="s">
        <v>1399</v>
      </c>
      <c r="H47" s="2" t="s">
        <v>1400</v>
      </c>
      <c r="I47" s="4" t="s">
        <v>60</v>
      </c>
      <c r="J47" s="112">
        <f>IF($H47&lt;&gt;"Y",0,ROUND(MIN(Dashboard!$R$24,IF(IFERROR(VLOOKUP($B47,Dashboard!$Q$28:$S$60,2,FALSE),0)&gt;0,IFERROR(VLOOKUP($B47,Dashboard!$Q$28:$S$60,2,FALSE),0),$Z47*IF($U47&lt;&gt;"",ROUND((Dashboard!$R$4/$U47)*VLOOKUP($I47,Dashboard!$Q$9:$R$13,2,FALSE)*IF(ISNUMBER(SEARCH("Duals",$B47)),2,IF(ISNUMBER(SEARCH("Triples",$B47)),3,IF(ISNUMBER(SEARCH("Quads",$B47)),4,1))),2),ROUND(VLOOKUP($I47,Dashboard!$Q$15:$R$20,2,FALSE)*IF($E47="Red",Dashboard!$R$6,IF($E47="Gold",Dashboard!$R$7,Dashboard!$R$5))*IF(ISNUMBER(SEARCH("Duals",$B47)),2,IF(ISNUMBER(SEARCH("Triples",$B47)),3,IF(ISNUMBER(SEARCH("Quads",$B47)),4,1))),2))*IF(IFERROR(VLOOKUP($B47,Dashboard!$Q$28:$S$60,3,FALSE),0)&gt;0,VLOOKUP($B47,Dashboard!$Q$28:$S$60,3,FALSE),1))),0))</f>
        <v>1</v>
      </c>
      <c r="K47" s="2" t="str">
        <f>IF('Base S1'!C47="","",'Base S1'!C47)</f>
        <v>h</v>
      </c>
      <c r="L47" s="2">
        <f t="shared" si="0"/>
        <v>1</v>
      </c>
      <c r="M47" s="2">
        <f t="shared" si="1"/>
        <v>0</v>
      </c>
      <c r="N47" s="2">
        <f t="shared" si="2"/>
        <v>1</v>
      </c>
      <c r="O47" s="2">
        <f t="shared" si="3"/>
        <v>0</v>
      </c>
      <c r="P47" s="112">
        <f t="shared" si="4"/>
        <v>1</v>
      </c>
      <c r="Q47" s="112">
        <f t="shared" si="5"/>
        <v>0</v>
      </c>
      <c r="R47" s="53"/>
      <c r="S47" s="53" t="str">
        <f t="shared" si="6"/>
        <v>Base S1|Base Set - Season 1|46|Base</v>
      </c>
      <c r="T47" s="57" t="str">
        <f>IF($S47="","",IFERROR(VLOOKUP($S47,'Pop Estimates (Non-#d)'!$N$2:$O$500,2,FALSE),""))</f>
        <v/>
      </c>
      <c r="U47" s="57" t="str">
        <f t="shared" si="7"/>
        <v/>
      </c>
      <c r="V47" s="53" t="str">
        <f t="shared" si="8"/>
        <v/>
      </c>
      <c r="W47" s="53" t="str">
        <f t="shared" si="9"/>
        <v/>
      </c>
      <c r="X47" s="53" t="str">
        <f t="shared" si="10"/>
        <v/>
      </c>
      <c r="Y47" s="57" t="str">
        <f>IF($X47="","",IFERROR(VLOOKUP($X47,'Char Popularity'!$A$2:$C$500,2,FALSE),""))</f>
        <v/>
      </c>
      <c r="Z47" s="56">
        <f>IF($X47="",1,IFERROR(VLOOKUP($X47,'Char Popularity'!$A$2:$C$500,3,FALSE),1))</f>
        <v>1</v>
      </c>
      <c r="AA47" s="62">
        <f>IF($H47&lt;&gt;"Y",0,(IF($F47&lt;&gt;"",ROUND(Dashboard!$R$4/$F47,1),IF(AND($I47="Base",$E47="Base"),Dashboard!$R$5,IF(AND($I47="Base",$E47="Red"),Dashboard!$R$6,IF(AND($I47="Base",$E47="Gold"),Dashboard!$R$7,VLOOKUP($I47,Dashboard!$Q$16:$R$21,2,FALSE)))))*VLOOKUP($I47,Dashboard!$Q$9:$R$13,2,FALSE)*IF(AND($I47="Auto",$F47="",OR($B47="Autographs Duals",$B47="Autographs Triples",$B47="Autographs Quads",$B47="Autographs Quads (Inscribed)")),IF($B47="Autographs Duals",2,IF($B47="Autographs Triples",3,4)),1)))</f>
        <v>1</v>
      </c>
      <c r="AB47" s="62">
        <f t="shared" si="11"/>
        <v>1</v>
      </c>
      <c r="AC47" s="62">
        <f t="shared" si="12"/>
        <v>0</v>
      </c>
    </row>
    <row r="48" spans="1:29" ht="28.7" customHeight="1" x14ac:dyDescent="0.25">
      <c r="A48" s="4" t="s">
        <v>17</v>
      </c>
      <c r="B48" s="7" t="s">
        <v>61</v>
      </c>
      <c r="C48" s="2" t="s">
        <v>1446</v>
      </c>
      <c r="D48" s="7" t="s">
        <v>562</v>
      </c>
      <c r="E48" s="4" t="s">
        <v>60</v>
      </c>
      <c r="F48" s="2"/>
      <c r="G48" s="2" t="s">
        <v>1399</v>
      </c>
      <c r="H48" s="2" t="s">
        <v>1400</v>
      </c>
      <c r="I48" s="4" t="s">
        <v>60</v>
      </c>
      <c r="J48" s="112">
        <f>IF($H48&lt;&gt;"Y",0,ROUND(MIN(Dashboard!$R$24,IF(IFERROR(VLOOKUP($B48,Dashboard!$Q$28:$S$60,2,FALSE),0)&gt;0,IFERROR(VLOOKUP($B48,Dashboard!$Q$28:$S$60,2,FALSE),0),$Z48*IF($U48&lt;&gt;"",ROUND((Dashboard!$R$4/$U48)*VLOOKUP($I48,Dashboard!$Q$9:$R$13,2,FALSE)*IF(ISNUMBER(SEARCH("Duals",$B48)),2,IF(ISNUMBER(SEARCH("Triples",$B48)),3,IF(ISNUMBER(SEARCH("Quads",$B48)),4,1))),2),ROUND(VLOOKUP($I48,Dashboard!$Q$15:$R$20,2,FALSE)*IF($E48="Red",Dashboard!$R$6,IF($E48="Gold",Dashboard!$R$7,Dashboard!$R$5))*IF(ISNUMBER(SEARCH("Duals",$B48)),2,IF(ISNUMBER(SEARCH("Triples",$B48)),3,IF(ISNUMBER(SEARCH("Quads",$B48)),4,1))),2))*IF(IFERROR(VLOOKUP($B48,Dashboard!$Q$28:$S$60,3,FALSE),0)&gt;0,VLOOKUP($B48,Dashboard!$Q$28:$S$60,3,FALSE),1))),0))</f>
        <v>1</v>
      </c>
      <c r="K48" s="2" t="str">
        <f>IF('Base S1'!C48="","",'Base S1'!C48)</f>
        <v>h</v>
      </c>
      <c r="L48" s="2">
        <f t="shared" si="0"/>
        <v>1</v>
      </c>
      <c r="M48" s="2">
        <f t="shared" si="1"/>
        <v>0</v>
      </c>
      <c r="N48" s="2">
        <f t="shared" si="2"/>
        <v>1</v>
      </c>
      <c r="O48" s="2">
        <f t="shared" si="3"/>
        <v>0</v>
      </c>
      <c r="P48" s="112">
        <f t="shared" si="4"/>
        <v>1</v>
      </c>
      <c r="Q48" s="112">
        <f t="shared" si="5"/>
        <v>0</v>
      </c>
      <c r="R48" s="53"/>
      <c r="S48" s="53" t="str">
        <f t="shared" si="6"/>
        <v>Base S1|Base Set - Season 1|47|Base</v>
      </c>
      <c r="T48" s="57" t="str">
        <f>IF($S48="","",IFERROR(VLOOKUP($S48,'Pop Estimates (Non-#d)'!$N$2:$O$500,2,FALSE),""))</f>
        <v/>
      </c>
      <c r="U48" s="57" t="str">
        <f t="shared" si="7"/>
        <v/>
      </c>
      <c r="V48" s="53" t="str">
        <f t="shared" si="8"/>
        <v/>
      </c>
      <c r="W48" s="53" t="str">
        <f t="shared" si="9"/>
        <v/>
      </c>
      <c r="X48" s="53" t="str">
        <f t="shared" si="10"/>
        <v/>
      </c>
      <c r="Y48" s="57" t="str">
        <f>IF($X48="","",IFERROR(VLOOKUP($X48,'Char Popularity'!$A$2:$C$500,2,FALSE),""))</f>
        <v/>
      </c>
      <c r="Z48" s="56">
        <f>IF($X48="",1,IFERROR(VLOOKUP($X48,'Char Popularity'!$A$2:$C$500,3,FALSE),1))</f>
        <v>1</v>
      </c>
      <c r="AA48" s="62">
        <f>IF($H48&lt;&gt;"Y",0,(IF($F48&lt;&gt;"",ROUND(Dashboard!$R$4/$F48,1),IF(AND($I48="Base",$E48="Base"),Dashboard!$R$5,IF(AND($I48="Base",$E48="Red"),Dashboard!$R$6,IF(AND($I48="Base",$E48="Gold"),Dashboard!$R$7,VLOOKUP($I48,Dashboard!$Q$16:$R$21,2,FALSE)))))*VLOOKUP($I48,Dashboard!$Q$9:$R$13,2,FALSE)*IF(AND($I48="Auto",$F48="",OR($B48="Autographs Duals",$B48="Autographs Triples",$B48="Autographs Quads",$B48="Autographs Quads (Inscribed)")),IF($B48="Autographs Duals",2,IF($B48="Autographs Triples",3,4)),1)))</f>
        <v>1</v>
      </c>
      <c r="AB48" s="62">
        <f t="shared" si="11"/>
        <v>1</v>
      </c>
      <c r="AC48" s="62">
        <f t="shared" si="12"/>
        <v>0</v>
      </c>
    </row>
    <row r="49" spans="1:29" ht="28.7" customHeight="1" x14ac:dyDescent="0.25">
      <c r="A49" s="4" t="s">
        <v>17</v>
      </c>
      <c r="B49" s="7" t="s">
        <v>61</v>
      </c>
      <c r="C49" s="2" t="s">
        <v>1447</v>
      </c>
      <c r="D49" s="7" t="s">
        <v>539</v>
      </c>
      <c r="E49" s="4" t="s">
        <v>60</v>
      </c>
      <c r="F49" s="2"/>
      <c r="G49" s="2" t="s">
        <v>1399</v>
      </c>
      <c r="H49" s="2" t="s">
        <v>1400</v>
      </c>
      <c r="I49" s="4" t="s">
        <v>60</v>
      </c>
      <c r="J49" s="112">
        <f>IF($H49&lt;&gt;"Y",0,ROUND(MIN(Dashboard!$R$24,IF(IFERROR(VLOOKUP($B49,Dashboard!$Q$28:$S$60,2,FALSE),0)&gt;0,IFERROR(VLOOKUP($B49,Dashboard!$Q$28:$S$60,2,FALSE),0),$Z49*IF($U49&lt;&gt;"",ROUND((Dashboard!$R$4/$U49)*VLOOKUP($I49,Dashboard!$Q$9:$R$13,2,FALSE)*IF(ISNUMBER(SEARCH("Duals",$B49)),2,IF(ISNUMBER(SEARCH("Triples",$B49)),3,IF(ISNUMBER(SEARCH("Quads",$B49)),4,1))),2),ROUND(VLOOKUP($I49,Dashboard!$Q$15:$R$20,2,FALSE)*IF($E49="Red",Dashboard!$R$6,IF($E49="Gold",Dashboard!$R$7,Dashboard!$R$5))*IF(ISNUMBER(SEARCH("Duals",$B49)),2,IF(ISNUMBER(SEARCH("Triples",$B49)),3,IF(ISNUMBER(SEARCH("Quads",$B49)),4,1))),2))*IF(IFERROR(VLOOKUP($B49,Dashboard!$Q$28:$S$60,3,FALSE),0)&gt;0,VLOOKUP($B49,Dashboard!$Q$28:$S$60,3,FALSE),1))),0))</f>
        <v>1</v>
      </c>
      <c r="K49" s="2" t="str">
        <f>IF('Base S1'!C49="","",'Base S1'!C49)</f>
        <v>h</v>
      </c>
      <c r="L49" s="2">
        <f t="shared" si="0"/>
        <v>1</v>
      </c>
      <c r="M49" s="2">
        <f t="shared" si="1"/>
        <v>0</v>
      </c>
      <c r="N49" s="2">
        <f t="shared" si="2"/>
        <v>1</v>
      </c>
      <c r="O49" s="2">
        <f t="shared" si="3"/>
        <v>0</v>
      </c>
      <c r="P49" s="112">
        <f t="shared" si="4"/>
        <v>1</v>
      </c>
      <c r="Q49" s="112">
        <f t="shared" si="5"/>
        <v>0</v>
      </c>
      <c r="R49" s="53"/>
      <c r="S49" s="53" t="str">
        <f t="shared" si="6"/>
        <v>Base S1|Base Set - Season 1|48|Base</v>
      </c>
      <c r="T49" s="57" t="str">
        <f>IF($S49="","",IFERROR(VLOOKUP($S49,'Pop Estimates (Non-#d)'!$N$2:$O$500,2,FALSE),""))</f>
        <v/>
      </c>
      <c r="U49" s="57" t="str">
        <f t="shared" si="7"/>
        <v/>
      </c>
      <c r="V49" s="53" t="str">
        <f t="shared" si="8"/>
        <v/>
      </c>
      <c r="W49" s="53" t="str">
        <f t="shared" si="9"/>
        <v/>
      </c>
      <c r="X49" s="53" t="str">
        <f t="shared" si="10"/>
        <v/>
      </c>
      <c r="Y49" s="57" t="str">
        <f>IF($X49="","",IFERROR(VLOOKUP($X49,'Char Popularity'!$A$2:$C$500,2,FALSE),""))</f>
        <v/>
      </c>
      <c r="Z49" s="56">
        <f>IF($X49="",1,IFERROR(VLOOKUP($X49,'Char Popularity'!$A$2:$C$500,3,FALSE),1))</f>
        <v>1</v>
      </c>
      <c r="AA49" s="62">
        <f>IF($H49&lt;&gt;"Y",0,(IF($F49&lt;&gt;"",ROUND(Dashboard!$R$4/$F49,1),IF(AND($I49="Base",$E49="Base"),Dashboard!$R$5,IF(AND($I49="Base",$E49="Red"),Dashboard!$R$6,IF(AND($I49="Base",$E49="Gold"),Dashboard!$R$7,VLOOKUP($I49,Dashboard!$Q$16:$R$21,2,FALSE)))))*VLOOKUP($I49,Dashboard!$Q$9:$R$13,2,FALSE)*IF(AND($I49="Auto",$F49="",OR($B49="Autographs Duals",$B49="Autographs Triples",$B49="Autographs Quads",$B49="Autographs Quads (Inscribed)")),IF($B49="Autographs Duals",2,IF($B49="Autographs Triples",3,4)),1)))</f>
        <v>1</v>
      </c>
      <c r="AB49" s="62">
        <f t="shared" si="11"/>
        <v>1</v>
      </c>
      <c r="AC49" s="62">
        <f t="shared" si="12"/>
        <v>0</v>
      </c>
    </row>
    <row r="50" spans="1:29" ht="28.7" customHeight="1" x14ac:dyDescent="0.25">
      <c r="A50" s="4" t="s">
        <v>17</v>
      </c>
      <c r="B50" s="7" t="s">
        <v>61</v>
      </c>
      <c r="C50" s="2" t="s">
        <v>1448</v>
      </c>
      <c r="D50" s="7" t="s">
        <v>938</v>
      </c>
      <c r="E50" s="4" t="s">
        <v>60</v>
      </c>
      <c r="F50" s="2"/>
      <c r="G50" s="2" t="s">
        <v>1399</v>
      </c>
      <c r="H50" s="2" t="s">
        <v>1400</v>
      </c>
      <c r="I50" s="4" t="s">
        <v>60</v>
      </c>
      <c r="J50" s="112">
        <f>IF($H50&lt;&gt;"Y",0,ROUND(MIN(Dashboard!$R$24,IF(IFERROR(VLOOKUP($B50,Dashboard!$Q$28:$S$60,2,FALSE),0)&gt;0,IFERROR(VLOOKUP($B50,Dashboard!$Q$28:$S$60,2,FALSE),0),$Z50*IF($U50&lt;&gt;"",ROUND((Dashboard!$R$4/$U50)*VLOOKUP($I50,Dashboard!$Q$9:$R$13,2,FALSE)*IF(ISNUMBER(SEARCH("Duals",$B50)),2,IF(ISNUMBER(SEARCH("Triples",$B50)),3,IF(ISNUMBER(SEARCH("Quads",$B50)),4,1))),2),ROUND(VLOOKUP($I50,Dashboard!$Q$15:$R$20,2,FALSE)*IF($E50="Red",Dashboard!$R$6,IF($E50="Gold",Dashboard!$R$7,Dashboard!$R$5))*IF(ISNUMBER(SEARCH("Duals",$B50)),2,IF(ISNUMBER(SEARCH("Triples",$B50)),3,IF(ISNUMBER(SEARCH("Quads",$B50)),4,1))),2))*IF(IFERROR(VLOOKUP($B50,Dashboard!$Q$28:$S$60,3,FALSE),0)&gt;0,VLOOKUP($B50,Dashboard!$Q$28:$S$60,3,FALSE),1))),0))</f>
        <v>1</v>
      </c>
      <c r="K50" s="2" t="str">
        <f>IF('Base S1'!C50="","",'Base S1'!C50)</f>
        <v>h</v>
      </c>
      <c r="L50" s="2">
        <f t="shared" si="0"/>
        <v>1</v>
      </c>
      <c r="M50" s="2">
        <f t="shared" si="1"/>
        <v>0</v>
      </c>
      <c r="N50" s="2">
        <f t="shared" si="2"/>
        <v>1</v>
      </c>
      <c r="O50" s="2">
        <f t="shared" si="3"/>
        <v>0</v>
      </c>
      <c r="P50" s="112">
        <f t="shared" si="4"/>
        <v>1</v>
      </c>
      <c r="Q50" s="112">
        <f t="shared" si="5"/>
        <v>0</v>
      </c>
      <c r="R50" s="53"/>
      <c r="S50" s="53" t="str">
        <f t="shared" si="6"/>
        <v>Base S1|Base Set - Season 1|49|Base</v>
      </c>
      <c r="T50" s="57" t="str">
        <f>IF($S50="","",IFERROR(VLOOKUP($S50,'Pop Estimates (Non-#d)'!$N$2:$O$500,2,FALSE),""))</f>
        <v/>
      </c>
      <c r="U50" s="57" t="str">
        <f t="shared" si="7"/>
        <v/>
      </c>
      <c r="V50" s="53" t="str">
        <f t="shared" si="8"/>
        <v/>
      </c>
      <c r="W50" s="53" t="str">
        <f t="shared" si="9"/>
        <v/>
      </c>
      <c r="X50" s="53" t="str">
        <f t="shared" si="10"/>
        <v/>
      </c>
      <c r="Y50" s="57" t="str">
        <f>IF($X50="","",IFERROR(VLOOKUP($X50,'Char Popularity'!$A$2:$C$500,2,FALSE),""))</f>
        <v/>
      </c>
      <c r="Z50" s="56">
        <f>IF($X50="",1,IFERROR(VLOOKUP($X50,'Char Popularity'!$A$2:$C$500,3,FALSE),1))</f>
        <v>1</v>
      </c>
      <c r="AA50" s="62">
        <f>IF($H50&lt;&gt;"Y",0,(IF($F50&lt;&gt;"",ROUND(Dashboard!$R$4/$F50,1),IF(AND($I50="Base",$E50="Base"),Dashboard!$R$5,IF(AND($I50="Base",$E50="Red"),Dashboard!$R$6,IF(AND($I50="Base",$E50="Gold"),Dashboard!$R$7,VLOOKUP($I50,Dashboard!$Q$16:$R$21,2,FALSE)))))*VLOOKUP($I50,Dashboard!$Q$9:$R$13,2,FALSE)*IF(AND($I50="Auto",$F50="",OR($B50="Autographs Duals",$B50="Autographs Triples",$B50="Autographs Quads",$B50="Autographs Quads (Inscribed)")),IF($B50="Autographs Duals",2,IF($B50="Autographs Triples",3,4)),1)))</f>
        <v>1</v>
      </c>
      <c r="AB50" s="62">
        <f t="shared" si="11"/>
        <v>1</v>
      </c>
      <c r="AC50" s="62">
        <f t="shared" si="12"/>
        <v>0</v>
      </c>
    </row>
    <row r="51" spans="1:29" ht="28.7" customHeight="1" x14ac:dyDescent="0.25">
      <c r="A51" s="4" t="s">
        <v>17</v>
      </c>
      <c r="B51" s="7" t="s">
        <v>61</v>
      </c>
      <c r="C51" s="2" t="s">
        <v>1449</v>
      </c>
      <c r="D51" s="7" t="s">
        <v>939</v>
      </c>
      <c r="E51" s="4" t="s">
        <v>60</v>
      </c>
      <c r="F51" s="2"/>
      <c r="G51" s="2" t="s">
        <v>1399</v>
      </c>
      <c r="H51" s="2" t="s">
        <v>1400</v>
      </c>
      <c r="I51" s="4" t="s">
        <v>60</v>
      </c>
      <c r="J51" s="112">
        <f>IF($H51&lt;&gt;"Y",0,ROUND(MIN(Dashboard!$R$24,IF(IFERROR(VLOOKUP($B51,Dashboard!$Q$28:$S$60,2,FALSE),0)&gt;0,IFERROR(VLOOKUP($B51,Dashboard!$Q$28:$S$60,2,FALSE),0),$Z51*IF($U51&lt;&gt;"",ROUND((Dashboard!$R$4/$U51)*VLOOKUP($I51,Dashboard!$Q$9:$R$13,2,FALSE)*IF(ISNUMBER(SEARCH("Duals",$B51)),2,IF(ISNUMBER(SEARCH("Triples",$B51)),3,IF(ISNUMBER(SEARCH("Quads",$B51)),4,1))),2),ROUND(VLOOKUP($I51,Dashboard!$Q$15:$R$20,2,FALSE)*IF($E51="Red",Dashboard!$R$6,IF($E51="Gold",Dashboard!$R$7,Dashboard!$R$5))*IF(ISNUMBER(SEARCH("Duals",$B51)),2,IF(ISNUMBER(SEARCH("Triples",$B51)),3,IF(ISNUMBER(SEARCH("Quads",$B51)),4,1))),2))*IF(IFERROR(VLOOKUP($B51,Dashboard!$Q$28:$S$60,3,FALSE),0)&gt;0,VLOOKUP($B51,Dashboard!$Q$28:$S$60,3,FALSE),1))),0))</f>
        <v>1</v>
      </c>
      <c r="K51" s="2" t="str">
        <f>IF('Base S1'!C51="","",'Base S1'!C51)</f>
        <v>h</v>
      </c>
      <c r="L51" s="2">
        <f t="shared" si="0"/>
        <v>1</v>
      </c>
      <c r="M51" s="2">
        <f t="shared" si="1"/>
        <v>0</v>
      </c>
      <c r="N51" s="2">
        <f t="shared" si="2"/>
        <v>1</v>
      </c>
      <c r="O51" s="2">
        <f t="shared" si="3"/>
        <v>0</v>
      </c>
      <c r="P51" s="112">
        <f t="shared" si="4"/>
        <v>1</v>
      </c>
      <c r="Q51" s="112">
        <f t="shared" si="5"/>
        <v>0</v>
      </c>
      <c r="R51" s="53"/>
      <c r="S51" s="53" t="str">
        <f t="shared" si="6"/>
        <v>Base S1|Base Set - Season 1|50|Base</v>
      </c>
      <c r="T51" s="57" t="str">
        <f>IF($S51="","",IFERROR(VLOOKUP($S51,'Pop Estimates (Non-#d)'!$N$2:$O$500,2,FALSE),""))</f>
        <v/>
      </c>
      <c r="U51" s="57" t="str">
        <f t="shared" si="7"/>
        <v/>
      </c>
      <c r="V51" s="53" t="str">
        <f t="shared" si="8"/>
        <v/>
      </c>
      <c r="W51" s="53" t="str">
        <f t="shared" si="9"/>
        <v/>
      </c>
      <c r="X51" s="53" t="str">
        <f t="shared" si="10"/>
        <v/>
      </c>
      <c r="Y51" s="57" t="str">
        <f>IF($X51="","",IFERROR(VLOOKUP($X51,'Char Popularity'!$A$2:$C$500,2,FALSE),""))</f>
        <v/>
      </c>
      <c r="Z51" s="56">
        <f>IF($X51="",1,IFERROR(VLOOKUP($X51,'Char Popularity'!$A$2:$C$500,3,FALSE),1))</f>
        <v>1</v>
      </c>
      <c r="AA51" s="62">
        <f>IF($H51&lt;&gt;"Y",0,(IF($F51&lt;&gt;"",ROUND(Dashboard!$R$4/$F51,1),IF(AND($I51="Base",$E51="Base"),Dashboard!$R$5,IF(AND($I51="Base",$E51="Red"),Dashboard!$R$6,IF(AND($I51="Base",$E51="Gold"),Dashboard!$R$7,VLOOKUP($I51,Dashboard!$Q$16:$R$21,2,FALSE)))))*VLOOKUP($I51,Dashboard!$Q$9:$R$13,2,FALSE)*IF(AND($I51="Auto",$F51="",OR($B51="Autographs Duals",$B51="Autographs Triples",$B51="Autographs Quads",$B51="Autographs Quads (Inscribed)")),IF($B51="Autographs Duals",2,IF($B51="Autographs Triples",3,4)),1)))</f>
        <v>1</v>
      </c>
      <c r="AB51" s="62">
        <f t="shared" si="11"/>
        <v>1</v>
      </c>
      <c r="AC51" s="62">
        <f t="shared" si="12"/>
        <v>0</v>
      </c>
    </row>
    <row r="52" spans="1:29" ht="28.7" customHeight="1" x14ac:dyDescent="0.25">
      <c r="A52" s="4" t="s">
        <v>17</v>
      </c>
      <c r="B52" s="7" t="s">
        <v>61</v>
      </c>
      <c r="C52" s="2" t="s">
        <v>1450</v>
      </c>
      <c r="D52" s="7" t="s">
        <v>941</v>
      </c>
      <c r="E52" s="4" t="s">
        <v>60</v>
      </c>
      <c r="F52" s="2"/>
      <c r="G52" s="2" t="s">
        <v>1399</v>
      </c>
      <c r="H52" s="2" t="s">
        <v>1400</v>
      </c>
      <c r="I52" s="4" t="s">
        <v>60</v>
      </c>
      <c r="J52" s="112">
        <f>IF($H52&lt;&gt;"Y",0,ROUND(MIN(Dashboard!$R$24,IF(IFERROR(VLOOKUP($B52,Dashboard!$Q$28:$S$60,2,FALSE),0)&gt;0,IFERROR(VLOOKUP($B52,Dashboard!$Q$28:$S$60,2,FALSE),0),$Z52*IF($U52&lt;&gt;"",ROUND((Dashboard!$R$4/$U52)*VLOOKUP($I52,Dashboard!$Q$9:$R$13,2,FALSE)*IF(ISNUMBER(SEARCH("Duals",$B52)),2,IF(ISNUMBER(SEARCH("Triples",$B52)),3,IF(ISNUMBER(SEARCH("Quads",$B52)),4,1))),2),ROUND(VLOOKUP($I52,Dashboard!$Q$15:$R$20,2,FALSE)*IF($E52="Red",Dashboard!$R$6,IF($E52="Gold",Dashboard!$R$7,Dashboard!$R$5))*IF(ISNUMBER(SEARCH("Duals",$B52)),2,IF(ISNUMBER(SEARCH("Triples",$B52)),3,IF(ISNUMBER(SEARCH("Quads",$B52)),4,1))),2))*IF(IFERROR(VLOOKUP($B52,Dashboard!$Q$28:$S$60,3,FALSE),0)&gt;0,VLOOKUP($B52,Dashboard!$Q$28:$S$60,3,FALSE),1))),0))</f>
        <v>1</v>
      </c>
      <c r="K52" s="2" t="str">
        <f>IF('Base S1'!C52="","",'Base S1'!C52)</f>
        <v>h</v>
      </c>
      <c r="L52" s="2">
        <f t="shared" si="0"/>
        <v>1</v>
      </c>
      <c r="M52" s="2">
        <f t="shared" si="1"/>
        <v>0</v>
      </c>
      <c r="N52" s="2">
        <f t="shared" si="2"/>
        <v>1</v>
      </c>
      <c r="O52" s="2">
        <f t="shared" si="3"/>
        <v>0</v>
      </c>
      <c r="P52" s="112">
        <f t="shared" si="4"/>
        <v>1</v>
      </c>
      <c r="Q52" s="112">
        <f t="shared" si="5"/>
        <v>0</v>
      </c>
      <c r="R52" s="53"/>
      <c r="S52" s="53" t="str">
        <f t="shared" si="6"/>
        <v>Base S1|Base Set - Season 1|51|Base</v>
      </c>
      <c r="T52" s="57" t="str">
        <f>IF($S52="","",IFERROR(VLOOKUP($S52,'Pop Estimates (Non-#d)'!$N$2:$O$500,2,FALSE),""))</f>
        <v/>
      </c>
      <c r="U52" s="57" t="str">
        <f t="shared" si="7"/>
        <v/>
      </c>
      <c r="V52" s="53" t="str">
        <f t="shared" si="8"/>
        <v/>
      </c>
      <c r="W52" s="53" t="str">
        <f t="shared" si="9"/>
        <v/>
      </c>
      <c r="X52" s="53" t="str">
        <f t="shared" si="10"/>
        <v/>
      </c>
      <c r="Y52" s="57" t="str">
        <f>IF($X52="","",IFERROR(VLOOKUP($X52,'Char Popularity'!$A$2:$C$500,2,FALSE),""))</f>
        <v/>
      </c>
      <c r="Z52" s="56">
        <f>IF($X52="",1,IFERROR(VLOOKUP($X52,'Char Popularity'!$A$2:$C$500,3,FALSE),1))</f>
        <v>1</v>
      </c>
      <c r="AA52" s="62">
        <f>IF($H52&lt;&gt;"Y",0,(IF($F52&lt;&gt;"",ROUND(Dashboard!$R$4/$F52,1),IF(AND($I52="Base",$E52="Base"),Dashboard!$R$5,IF(AND($I52="Base",$E52="Red"),Dashboard!$R$6,IF(AND($I52="Base",$E52="Gold"),Dashboard!$R$7,VLOOKUP($I52,Dashboard!$Q$16:$R$21,2,FALSE)))))*VLOOKUP($I52,Dashboard!$Q$9:$R$13,2,FALSE)*IF(AND($I52="Auto",$F52="",OR($B52="Autographs Duals",$B52="Autographs Triples",$B52="Autographs Quads",$B52="Autographs Quads (Inscribed)")),IF($B52="Autographs Duals",2,IF($B52="Autographs Triples",3,4)),1)))</f>
        <v>1</v>
      </c>
      <c r="AB52" s="62">
        <f t="shared" si="11"/>
        <v>1</v>
      </c>
      <c r="AC52" s="62">
        <f t="shared" si="12"/>
        <v>0</v>
      </c>
    </row>
    <row r="53" spans="1:29" ht="28.7" customHeight="1" x14ac:dyDescent="0.25">
      <c r="A53" s="4" t="s">
        <v>17</v>
      </c>
      <c r="B53" s="7" t="s">
        <v>61</v>
      </c>
      <c r="C53" s="2" t="s">
        <v>1451</v>
      </c>
      <c r="D53" s="7" t="s">
        <v>944</v>
      </c>
      <c r="E53" s="4" t="s">
        <v>60</v>
      </c>
      <c r="F53" s="2"/>
      <c r="G53" s="2" t="s">
        <v>1399</v>
      </c>
      <c r="H53" s="2" t="s">
        <v>1400</v>
      </c>
      <c r="I53" s="4" t="s">
        <v>60</v>
      </c>
      <c r="J53" s="112">
        <f>IF($H53&lt;&gt;"Y",0,ROUND(MIN(Dashboard!$R$24,IF(IFERROR(VLOOKUP($B53,Dashboard!$Q$28:$S$60,2,FALSE),0)&gt;0,IFERROR(VLOOKUP($B53,Dashboard!$Q$28:$S$60,2,FALSE),0),$Z53*IF($U53&lt;&gt;"",ROUND((Dashboard!$R$4/$U53)*VLOOKUP($I53,Dashboard!$Q$9:$R$13,2,FALSE)*IF(ISNUMBER(SEARCH("Duals",$B53)),2,IF(ISNUMBER(SEARCH("Triples",$B53)),3,IF(ISNUMBER(SEARCH("Quads",$B53)),4,1))),2),ROUND(VLOOKUP($I53,Dashboard!$Q$15:$R$20,2,FALSE)*IF($E53="Red",Dashboard!$R$6,IF($E53="Gold",Dashboard!$R$7,Dashboard!$R$5))*IF(ISNUMBER(SEARCH("Duals",$B53)),2,IF(ISNUMBER(SEARCH("Triples",$B53)),3,IF(ISNUMBER(SEARCH("Quads",$B53)),4,1))),2))*IF(IFERROR(VLOOKUP($B53,Dashboard!$Q$28:$S$60,3,FALSE),0)&gt;0,VLOOKUP($B53,Dashboard!$Q$28:$S$60,3,FALSE),1))),0))</f>
        <v>1</v>
      </c>
      <c r="K53" s="2" t="str">
        <f>IF('Base S1'!C53="","",'Base S1'!C53)</f>
        <v>h</v>
      </c>
      <c r="L53" s="2">
        <f t="shared" si="0"/>
        <v>1</v>
      </c>
      <c r="M53" s="2">
        <f t="shared" si="1"/>
        <v>0</v>
      </c>
      <c r="N53" s="2">
        <f t="shared" si="2"/>
        <v>1</v>
      </c>
      <c r="O53" s="2">
        <f t="shared" si="3"/>
        <v>0</v>
      </c>
      <c r="P53" s="112">
        <f t="shared" si="4"/>
        <v>1</v>
      </c>
      <c r="Q53" s="112">
        <f t="shared" si="5"/>
        <v>0</v>
      </c>
      <c r="R53" s="53"/>
      <c r="S53" s="53" t="str">
        <f t="shared" si="6"/>
        <v>Base S1|Base Set - Season 1|52|Base</v>
      </c>
      <c r="T53" s="57" t="str">
        <f>IF($S53="","",IFERROR(VLOOKUP($S53,'Pop Estimates (Non-#d)'!$N$2:$O$500,2,FALSE),""))</f>
        <v/>
      </c>
      <c r="U53" s="57" t="str">
        <f t="shared" si="7"/>
        <v/>
      </c>
      <c r="V53" s="53" t="str">
        <f t="shared" si="8"/>
        <v/>
      </c>
      <c r="W53" s="53" t="str">
        <f t="shared" si="9"/>
        <v/>
      </c>
      <c r="X53" s="53" t="str">
        <f t="shared" si="10"/>
        <v/>
      </c>
      <c r="Y53" s="57" t="str">
        <f>IF($X53="","",IFERROR(VLOOKUP($X53,'Char Popularity'!$A$2:$C$500,2,FALSE),""))</f>
        <v/>
      </c>
      <c r="Z53" s="56">
        <f>IF($X53="",1,IFERROR(VLOOKUP($X53,'Char Popularity'!$A$2:$C$500,3,FALSE),1))</f>
        <v>1</v>
      </c>
      <c r="AA53" s="62">
        <f>IF($H53&lt;&gt;"Y",0,(IF($F53&lt;&gt;"",ROUND(Dashboard!$R$4/$F53,1),IF(AND($I53="Base",$E53="Base"),Dashboard!$R$5,IF(AND($I53="Base",$E53="Red"),Dashboard!$R$6,IF(AND($I53="Base",$E53="Gold"),Dashboard!$R$7,VLOOKUP($I53,Dashboard!$Q$16:$R$21,2,FALSE)))))*VLOOKUP($I53,Dashboard!$Q$9:$R$13,2,FALSE)*IF(AND($I53="Auto",$F53="",OR($B53="Autographs Duals",$B53="Autographs Triples",$B53="Autographs Quads",$B53="Autographs Quads (Inscribed)")),IF($B53="Autographs Duals",2,IF($B53="Autographs Triples",3,4)),1)))</f>
        <v>1</v>
      </c>
      <c r="AB53" s="62">
        <f t="shared" si="11"/>
        <v>1</v>
      </c>
      <c r="AC53" s="62">
        <f t="shared" si="12"/>
        <v>0</v>
      </c>
    </row>
    <row r="54" spans="1:29" ht="28.7" customHeight="1" x14ac:dyDescent="0.25">
      <c r="A54" s="4" t="s">
        <v>17</v>
      </c>
      <c r="B54" s="7" t="s">
        <v>61</v>
      </c>
      <c r="C54" s="2" t="s">
        <v>1452</v>
      </c>
      <c r="D54" s="7" t="s">
        <v>946</v>
      </c>
      <c r="E54" s="4" t="s">
        <v>60</v>
      </c>
      <c r="F54" s="2"/>
      <c r="G54" s="2" t="s">
        <v>1399</v>
      </c>
      <c r="H54" s="2" t="s">
        <v>1400</v>
      </c>
      <c r="I54" s="4" t="s">
        <v>60</v>
      </c>
      <c r="J54" s="112">
        <f>IF($H54&lt;&gt;"Y",0,ROUND(MIN(Dashboard!$R$24,IF(IFERROR(VLOOKUP($B54,Dashboard!$Q$28:$S$60,2,FALSE),0)&gt;0,IFERROR(VLOOKUP($B54,Dashboard!$Q$28:$S$60,2,FALSE),0),$Z54*IF($U54&lt;&gt;"",ROUND((Dashboard!$R$4/$U54)*VLOOKUP($I54,Dashboard!$Q$9:$R$13,2,FALSE)*IF(ISNUMBER(SEARCH("Duals",$B54)),2,IF(ISNUMBER(SEARCH("Triples",$B54)),3,IF(ISNUMBER(SEARCH("Quads",$B54)),4,1))),2),ROUND(VLOOKUP($I54,Dashboard!$Q$15:$R$20,2,FALSE)*IF($E54="Red",Dashboard!$R$6,IF($E54="Gold",Dashboard!$R$7,Dashboard!$R$5))*IF(ISNUMBER(SEARCH("Duals",$B54)),2,IF(ISNUMBER(SEARCH("Triples",$B54)),3,IF(ISNUMBER(SEARCH("Quads",$B54)),4,1))),2))*IF(IFERROR(VLOOKUP($B54,Dashboard!$Q$28:$S$60,3,FALSE),0)&gt;0,VLOOKUP($B54,Dashboard!$Q$28:$S$60,3,FALSE),1))),0))</f>
        <v>1</v>
      </c>
      <c r="K54" s="2" t="str">
        <f>IF('Base S1'!C54="","",'Base S1'!C54)</f>
        <v>h</v>
      </c>
      <c r="L54" s="2">
        <f t="shared" si="0"/>
        <v>1</v>
      </c>
      <c r="M54" s="2">
        <f t="shared" si="1"/>
        <v>0</v>
      </c>
      <c r="N54" s="2">
        <f t="shared" si="2"/>
        <v>1</v>
      </c>
      <c r="O54" s="2">
        <f t="shared" si="3"/>
        <v>0</v>
      </c>
      <c r="P54" s="112">
        <f t="shared" si="4"/>
        <v>1</v>
      </c>
      <c r="Q54" s="112">
        <f t="shared" si="5"/>
        <v>0</v>
      </c>
      <c r="R54" s="53"/>
      <c r="S54" s="53" t="str">
        <f t="shared" si="6"/>
        <v>Base S1|Base Set - Season 1|53|Base</v>
      </c>
      <c r="T54" s="57" t="str">
        <f>IF($S54="","",IFERROR(VLOOKUP($S54,'Pop Estimates (Non-#d)'!$N$2:$O$500,2,FALSE),""))</f>
        <v/>
      </c>
      <c r="U54" s="57" t="str">
        <f t="shared" si="7"/>
        <v/>
      </c>
      <c r="V54" s="53" t="str">
        <f t="shared" si="8"/>
        <v/>
      </c>
      <c r="W54" s="53" t="str">
        <f t="shared" si="9"/>
        <v/>
      </c>
      <c r="X54" s="53" t="str">
        <f t="shared" si="10"/>
        <v/>
      </c>
      <c r="Y54" s="57" t="str">
        <f>IF($X54="","",IFERROR(VLOOKUP($X54,'Char Popularity'!$A$2:$C$500,2,FALSE),""))</f>
        <v/>
      </c>
      <c r="Z54" s="56">
        <f>IF($X54="",1,IFERROR(VLOOKUP($X54,'Char Popularity'!$A$2:$C$500,3,FALSE),1))</f>
        <v>1</v>
      </c>
      <c r="AA54" s="62">
        <f>IF($H54&lt;&gt;"Y",0,(IF($F54&lt;&gt;"",ROUND(Dashboard!$R$4/$F54,1),IF(AND($I54="Base",$E54="Base"),Dashboard!$R$5,IF(AND($I54="Base",$E54="Red"),Dashboard!$R$6,IF(AND($I54="Base",$E54="Gold"),Dashboard!$R$7,VLOOKUP($I54,Dashboard!$Q$16:$R$21,2,FALSE)))))*VLOOKUP($I54,Dashboard!$Q$9:$R$13,2,FALSE)*IF(AND($I54="Auto",$F54="",OR($B54="Autographs Duals",$B54="Autographs Triples",$B54="Autographs Quads",$B54="Autographs Quads (Inscribed)")),IF($B54="Autographs Duals",2,IF($B54="Autographs Triples",3,4)),1)))</f>
        <v>1</v>
      </c>
      <c r="AB54" s="62">
        <f t="shared" si="11"/>
        <v>1</v>
      </c>
      <c r="AC54" s="62">
        <f t="shared" si="12"/>
        <v>0</v>
      </c>
    </row>
    <row r="55" spans="1:29" ht="28.7" customHeight="1" x14ac:dyDescent="0.25">
      <c r="A55" s="4" t="s">
        <v>17</v>
      </c>
      <c r="B55" s="7" t="s">
        <v>61</v>
      </c>
      <c r="C55" s="2" t="s">
        <v>1453</v>
      </c>
      <c r="D55" s="7" t="s">
        <v>948</v>
      </c>
      <c r="E55" s="4" t="s">
        <v>60</v>
      </c>
      <c r="F55" s="2"/>
      <c r="G55" s="2" t="s">
        <v>1399</v>
      </c>
      <c r="H55" s="2" t="s">
        <v>1400</v>
      </c>
      <c r="I55" s="4" t="s">
        <v>60</v>
      </c>
      <c r="J55" s="112">
        <f>IF($H55&lt;&gt;"Y",0,ROUND(MIN(Dashboard!$R$24,IF(IFERROR(VLOOKUP($B55,Dashboard!$Q$28:$S$60,2,FALSE),0)&gt;0,IFERROR(VLOOKUP($B55,Dashboard!$Q$28:$S$60,2,FALSE),0),$Z55*IF($U55&lt;&gt;"",ROUND((Dashboard!$R$4/$U55)*VLOOKUP($I55,Dashboard!$Q$9:$R$13,2,FALSE)*IF(ISNUMBER(SEARCH("Duals",$B55)),2,IF(ISNUMBER(SEARCH("Triples",$B55)),3,IF(ISNUMBER(SEARCH("Quads",$B55)),4,1))),2),ROUND(VLOOKUP($I55,Dashboard!$Q$15:$R$20,2,FALSE)*IF($E55="Red",Dashboard!$R$6,IF($E55="Gold",Dashboard!$R$7,Dashboard!$R$5))*IF(ISNUMBER(SEARCH("Duals",$B55)),2,IF(ISNUMBER(SEARCH("Triples",$B55)),3,IF(ISNUMBER(SEARCH("Quads",$B55)),4,1))),2))*IF(IFERROR(VLOOKUP($B55,Dashboard!$Q$28:$S$60,3,FALSE),0)&gt;0,VLOOKUP($B55,Dashboard!$Q$28:$S$60,3,FALSE),1))),0))</f>
        <v>1</v>
      </c>
      <c r="K55" s="2" t="str">
        <f>IF('Base S1'!C55="","",'Base S1'!C55)</f>
        <v>h</v>
      </c>
      <c r="L55" s="2">
        <f t="shared" si="0"/>
        <v>1</v>
      </c>
      <c r="M55" s="2">
        <f t="shared" si="1"/>
        <v>0</v>
      </c>
      <c r="N55" s="2">
        <f t="shared" si="2"/>
        <v>1</v>
      </c>
      <c r="O55" s="2">
        <f t="shared" si="3"/>
        <v>0</v>
      </c>
      <c r="P55" s="112">
        <f t="shared" si="4"/>
        <v>1</v>
      </c>
      <c r="Q55" s="112">
        <f t="shared" si="5"/>
        <v>0</v>
      </c>
      <c r="R55" s="53"/>
      <c r="S55" s="53" t="str">
        <f t="shared" si="6"/>
        <v>Base S1|Base Set - Season 1|54|Base</v>
      </c>
      <c r="T55" s="57" t="str">
        <f>IF($S55="","",IFERROR(VLOOKUP($S55,'Pop Estimates (Non-#d)'!$N$2:$O$500,2,FALSE),""))</f>
        <v/>
      </c>
      <c r="U55" s="57" t="str">
        <f t="shared" si="7"/>
        <v/>
      </c>
      <c r="V55" s="53" t="str">
        <f t="shared" si="8"/>
        <v/>
      </c>
      <c r="W55" s="53" t="str">
        <f t="shared" si="9"/>
        <v/>
      </c>
      <c r="X55" s="53" t="str">
        <f t="shared" si="10"/>
        <v/>
      </c>
      <c r="Y55" s="57" t="str">
        <f>IF($X55="","",IFERROR(VLOOKUP($X55,'Char Popularity'!$A$2:$C$500,2,FALSE),""))</f>
        <v/>
      </c>
      <c r="Z55" s="56">
        <f>IF($X55="",1,IFERROR(VLOOKUP($X55,'Char Popularity'!$A$2:$C$500,3,FALSE),1))</f>
        <v>1</v>
      </c>
      <c r="AA55" s="62">
        <f>IF($H55&lt;&gt;"Y",0,(IF($F55&lt;&gt;"",ROUND(Dashboard!$R$4/$F55,1),IF(AND($I55="Base",$E55="Base"),Dashboard!$R$5,IF(AND($I55="Base",$E55="Red"),Dashboard!$R$6,IF(AND($I55="Base",$E55="Gold"),Dashboard!$R$7,VLOOKUP($I55,Dashboard!$Q$16:$R$21,2,FALSE)))))*VLOOKUP($I55,Dashboard!$Q$9:$R$13,2,FALSE)*IF(AND($I55="Auto",$F55="",OR($B55="Autographs Duals",$B55="Autographs Triples",$B55="Autographs Quads",$B55="Autographs Quads (Inscribed)")),IF($B55="Autographs Duals",2,IF($B55="Autographs Triples",3,4)),1)))</f>
        <v>1</v>
      </c>
      <c r="AB55" s="62">
        <f t="shared" si="11"/>
        <v>1</v>
      </c>
      <c r="AC55" s="62">
        <f t="shared" si="12"/>
        <v>0</v>
      </c>
    </row>
    <row r="56" spans="1:29" ht="28.7" customHeight="1" x14ac:dyDescent="0.25">
      <c r="A56" s="4" t="s">
        <v>17</v>
      </c>
      <c r="B56" s="7" t="s">
        <v>61</v>
      </c>
      <c r="C56" s="2" t="s">
        <v>1454</v>
      </c>
      <c r="D56" s="7" t="s">
        <v>950</v>
      </c>
      <c r="E56" s="4" t="s">
        <v>60</v>
      </c>
      <c r="F56" s="2"/>
      <c r="G56" s="2" t="s">
        <v>1399</v>
      </c>
      <c r="H56" s="2" t="s">
        <v>1400</v>
      </c>
      <c r="I56" s="4" t="s">
        <v>60</v>
      </c>
      <c r="J56" s="112">
        <f>IF($H56&lt;&gt;"Y",0,ROUND(MIN(Dashboard!$R$24,IF(IFERROR(VLOOKUP($B56,Dashboard!$Q$28:$S$60,2,FALSE),0)&gt;0,IFERROR(VLOOKUP($B56,Dashboard!$Q$28:$S$60,2,FALSE),0),$Z56*IF($U56&lt;&gt;"",ROUND((Dashboard!$R$4/$U56)*VLOOKUP($I56,Dashboard!$Q$9:$R$13,2,FALSE)*IF(ISNUMBER(SEARCH("Duals",$B56)),2,IF(ISNUMBER(SEARCH("Triples",$B56)),3,IF(ISNUMBER(SEARCH("Quads",$B56)),4,1))),2),ROUND(VLOOKUP($I56,Dashboard!$Q$15:$R$20,2,FALSE)*IF($E56="Red",Dashboard!$R$6,IF($E56="Gold",Dashboard!$R$7,Dashboard!$R$5))*IF(ISNUMBER(SEARCH("Duals",$B56)),2,IF(ISNUMBER(SEARCH("Triples",$B56)),3,IF(ISNUMBER(SEARCH("Quads",$B56)),4,1))),2))*IF(IFERROR(VLOOKUP($B56,Dashboard!$Q$28:$S$60,3,FALSE),0)&gt;0,VLOOKUP($B56,Dashboard!$Q$28:$S$60,3,FALSE),1))),0))</f>
        <v>1</v>
      </c>
      <c r="K56" s="2" t="str">
        <f>IF('Base S1'!C56="","",'Base S1'!C56)</f>
        <v>h</v>
      </c>
      <c r="L56" s="2">
        <f t="shared" si="0"/>
        <v>1</v>
      </c>
      <c r="M56" s="2">
        <f t="shared" si="1"/>
        <v>0</v>
      </c>
      <c r="N56" s="2">
        <f t="shared" si="2"/>
        <v>1</v>
      </c>
      <c r="O56" s="2">
        <f t="shared" si="3"/>
        <v>0</v>
      </c>
      <c r="P56" s="112">
        <f t="shared" si="4"/>
        <v>1</v>
      </c>
      <c r="Q56" s="112">
        <f t="shared" si="5"/>
        <v>0</v>
      </c>
      <c r="R56" s="53"/>
      <c r="S56" s="53" t="str">
        <f t="shared" si="6"/>
        <v>Base S1|Base Set - Season 1|55|Base</v>
      </c>
      <c r="T56" s="57" t="str">
        <f>IF($S56="","",IFERROR(VLOOKUP($S56,'Pop Estimates (Non-#d)'!$N$2:$O$500,2,FALSE),""))</f>
        <v/>
      </c>
      <c r="U56" s="57" t="str">
        <f t="shared" si="7"/>
        <v/>
      </c>
      <c r="V56" s="53" t="str">
        <f t="shared" si="8"/>
        <v/>
      </c>
      <c r="W56" s="53" t="str">
        <f t="shared" si="9"/>
        <v/>
      </c>
      <c r="X56" s="53" t="str">
        <f t="shared" si="10"/>
        <v/>
      </c>
      <c r="Y56" s="57" t="str">
        <f>IF($X56="","",IFERROR(VLOOKUP($X56,'Char Popularity'!$A$2:$C$500,2,FALSE),""))</f>
        <v/>
      </c>
      <c r="Z56" s="56">
        <f>IF($X56="",1,IFERROR(VLOOKUP($X56,'Char Popularity'!$A$2:$C$500,3,FALSE),1))</f>
        <v>1</v>
      </c>
      <c r="AA56" s="62">
        <f>IF($H56&lt;&gt;"Y",0,(IF($F56&lt;&gt;"",ROUND(Dashboard!$R$4/$F56,1),IF(AND($I56="Base",$E56="Base"),Dashboard!$R$5,IF(AND($I56="Base",$E56="Red"),Dashboard!$R$6,IF(AND($I56="Base",$E56="Gold"),Dashboard!$R$7,VLOOKUP($I56,Dashboard!$Q$16:$R$21,2,FALSE)))))*VLOOKUP($I56,Dashboard!$Q$9:$R$13,2,FALSE)*IF(AND($I56="Auto",$F56="",OR($B56="Autographs Duals",$B56="Autographs Triples",$B56="Autographs Quads",$B56="Autographs Quads (Inscribed)")),IF($B56="Autographs Duals",2,IF($B56="Autographs Triples",3,4)),1)))</f>
        <v>1</v>
      </c>
      <c r="AB56" s="62">
        <f t="shared" si="11"/>
        <v>1</v>
      </c>
      <c r="AC56" s="62">
        <f t="shared" si="12"/>
        <v>0</v>
      </c>
    </row>
    <row r="57" spans="1:29" ht="28.7" customHeight="1" x14ac:dyDescent="0.25">
      <c r="A57" s="4" t="s">
        <v>17</v>
      </c>
      <c r="B57" s="7" t="s">
        <v>61</v>
      </c>
      <c r="C57" s="2" t="s">
        <v>1455</v>
      </c>
      <c r="D57" s="7" t="s">
        <v>952</v>
      </c>
      <c r="E57" s="4" t="s">
        <v>60</v>
      </c>
      <c r="F57" s="2"/>
      <c r="G57" s="2" t="s">
        <v>1399</v>
      </c>
      <c r="H57" s="2" t="s">
        <v>1400</v>
      </c>
      <c r="I57" s="4" t="s">
        <v>60</v>
      </c>
      <c r="J57" s="112">
        <f>IF($H57&lt;&gt;"Y",0,ROUND(MIN(Dashboard!$R$24,IF(IFERROR(VLOOKUP($B57,Dashboard!$Q$28:$S$60,2,FALSE),0)&gt;0,IFERROR(VLOOKUP($B57,Dashboard!$Q$28:$S$60,2,FALSE),0),$Z57*IF($U57&lt;&gt;"",ROUND((Dashboard!$R$4/$U57)*VLOOKUP($I57,Dashboard!$Q$9:$R$13,2,FALSE)*IF(ISNUMBER(SEARCH("Duals",$B57)),2,IF(ISNUMBER(SEARCH("Triples",$B57)),3,IF(ISNUMBER(SEARCH("Quads",$B57)),4,1))),2),ROUND(VLOOKUP($I57,Dashboard!$Q$15:$R$20,2,FALSE)*IF($E57="Red",Dashboard!$R$6,IF($E57="Gold",Dashboard!$R$7,Dashboard!$R$5))*IF(ISNUMBER(SEARCH("Duals",$B57)),2,IF(ISNUMBER(SEARCH("Triples",$B57)),3,IF(ISNUMBER(SEARCH("Quads",$B57)),4,1))),2))*IF(IFERROR(VLOOKUP($B57,Dashboard!$Q$28:$S$60,3,FALSE),0)&gt;0,VLOOKUP($B57,Dashboard!$Q$28:$S$60,3,FALSE),1))),0))</f>
        <v>1</v>
      </c>
      <c r="K57" s="2" t="str">
        <f>IF('Base S1'!C57="","",'Base S1'!C57)</f>
        <v>h</v>
      </c>
      <c r="L57" s="2">
        <f t="shared" si="0"/>
        <v>1</v>
      </c>
      <c r="M57" s="2">
        <f t="shared" si="1"/>
        <v>0</v>
      </c>
      <c r="N57" s="2">
        <f t="shared" si="2"/>
        <v>1</v>
      </c>
      <c r="O57" s="2">
        <f t="shared" si="3"/>
        <v>0</v>
      </c>
      <c r="P57" s="112">
        <f t="shared" si="4"/>
        <v>1</v>
      </c>
      <c r="Q57" s="112">
        <f t="shared" si="5"/>
        <v>0</v>
      </c>
      <c r="R57" s="53"/>
      <c r="S57" s="53" t="str">
        <f t="shared" si="6"/>
        <v>Base S1|Base Set - Season 1|56|Base</v>
      </c>
      <c r="T57" s="57" t="str">
        <f>IF($S57="","",IFERROR(VLOOKUP($S57,'Pop Estimates (Non-#d)'!$N$2:$O$500,2,FALSE),""))</f>
        <v/>
      </c>
      <c r="U57" s="57" t="str">
        <f t="shared" si="7"/>
        <v/>
      </c>
      <c r="V57" s="53" t="str">
        <f t="shared" si="8"/>
        <v/>
      </c>
      <c r="W57" s="53" t="str">
        <f t="shared" si="9"/>
        <v/>
      </c>
      <c r="X57" s="53" t="str">
        <f t="shared" si="10"/>
        <v/>
      </c>
      <c r="Y57" s="57" t="str">
        <f>IF($X57="","",IFERROR(VLOOKUP($X57,'Char Popularity'!$A$2:$C$500,2,FALSE),""))</f>
        <v/>
      </c>
      <c r="Z57" s="56">
        <f>IF($X57="",1,IFERROR(VLOOKUP($X57,'Char Popularity'!$A$2:$C$500,3,FALSE),1))</f>
        <v>1</v>
      </c>
      <c r="AA57" s="62">
        <f>IF($H57&lt;&gt;"Y",0,(IF($F57&lt;&gt;"",ROUND(Dashboard!$R$4/$F57,1),IF(AND($I57="Base",$E57="Base"),Dashboard!$R$5,IF(AND($I57="Base",$E57="Red"),Dashboard!$R$6,IF(AND($I57="Base",$E57="Gold"),Dashboard!$R$7,VLOOKUP($I57,Dashboard!$Q$16:$R$21,2,FALSE)))))*VLOOKUP($I57,Dashboard!$Q$9:$R$13,2,FALSE)*IF(AND($I57="Auto",$F57="",OR($B57="Autographs Duals",$B57="Autographs Triples",$B57="Autographs Quads",$B57="Autographs Quads (Inscribed)")),IF($B57="Autographs Duals",2,IF($B57="Autographs Triples",3,4)),1)))</f>
        <v>1</v>
      </c>
      <c r="AB57" s="62">
        <f t="shared" si="11"/>
        <v>1</v>
      </c>
      <c r="AC57" s="62">
        <f t="shared" si="12"/>
        <v>0</v>
      </c>
    </row>
    <row r="58" spans="1:29" ht="28.7" customHeight="1" x14ac:dyDescent="0.25">
      <c r="A58" s="4" t="s">
        <v>17</v>
      </c>
      <c r="B58" s="7" t="s">
        <v>61</v>
      </c>
      <c r="C58" s="2" t="s">
        <v>1456</v>
      </c>
      <c r="D58" s="7" t="s">
        <v>956</v>
      </c>
      <c r="E58" s="4" t="s">
        <v>60</v>
      </c>
      <c r="F58" s="2"/>
      <c r="G58" s="2" t="s">
        <v>1399</v>
      </c>
      <c r="H58" s="2" t="s">
        <v>1400</v>
      </c>
      <c r="I58" s="4" t="s">
        <v>60</v>
      </c>
      <c r="J58" s="112">
        <f>IF($H58&lt;&gt;"Y",0,ROUND(MIN(Dashboard!$R$24,IF(IFERROR(VLOOKUP($B58,Dashboard!$Q$28:$S$60,2,FALSE),0)&gt;0,IFERROR(VLOOKUP($B58,Dashboard!$Q$28:$S$60,2,FALSE),0),$Z58*IF($U58&lt;&gt;"",ROUND((Dashboard!$R$4/$U58)*VLOOKUP($I58,Dashboard!$Q$9:$R$13,2,FALSE)*IF(ISNUMBER(SEARCH("Duals",$B58)),2,IF(ISNUMBER(SEARCH("Triples",$B58)),3,IF(ISNUMBER(SEARCH("Quads",$B58)),4,1))),2),ROUND(VLOOKUP($I58,Dashboard!$Q$15:$R$20,2,FALSE)*IF($E58="Red",Dashboard!$R$6,IF($E58="Gold",Dashboard!$R$7,Dashboard!$R$5))*IF(ISNUMBER(SEARCH("Duals",$B58)),2,IF(ISNUMBER(SEARCH("Triples",$B58)),3,IF(ISNUMBER(SEARCH("Quads",$B58)),4,1))),2))*IF(IFERROR(VLOOKUP($B58,Dashboard!$Q$28:$S$60,3,FALSE),0)&gt;0,VLOOKUP($B58,Dashboard!$Q$28:$S$60,3,FALSE),1))),0))</f>
        <v>1</v>
      </c>
      <c r="K58" s="2" t="str">
        <f>IF('Base S1'!C58="","",'Base S1'!C58)</f>
        <v>h</v>
      </c>
      <c r="L58" s="2">
        <f t="shared" si="0"/>
        <v>1</v>
      </c>
      <c r="M58" s="2">
        <f t="shared" si="1"/>
        <v>0</v>
      </c>
      <c r="N58" s="2">
        <f t="shared" si="2"/>
        <v>1</v>
      </c>
      <c r="O58" s="2">
        <f t="shared" si="3"/>
        <v>0</v>
      </c>
      <c r="P58" s="112">
        <f t="shared" si="4"/>
        <v>1</v>
      </c>
      <c r="Q58" s="112">
        <f t="shared" si="5"/>
        <v>0</v>
      </c>
      <c r="R58" s="53"/>
      <c r="S58" s="53" t="str">
        <f t="shared" si="6"/>
        <v>Base S1|Base Set - Season 1|57|Base</v>
      </c>
      <c r="T58" s="57" t="str">
        <f>IF($S58="","",IFERROR(VLOOKUP($S58,'Pop Estimates (Non-#d)'!$N$2:$O$500,2,FALSE),""))</f>
        <v/>
      </c>
      <c r="U58" s="57" t="str">
        <f t="shared" si="7"/>
        <v/>
      </c>
      <c r="V58" s="53" t="str">
        <f t="shared" si="8"/>
        <v/>
      </c>
      <c r="W58" s="53" t="str">
        <f t="shared" si="9"/>
        <v/>
      </c>
      <c r="X58" s="53" t="str">
        <f t="shared" si="10"/>
        <v/>
      </c>
      <c r="Y58" s="57" t="str">
        <f>IF($X58="","",IFERROR(VLOOKUP($X58,'Char Popularity'!$A$2:$C$500,2,FALSE),""))</f>
        <v/>
      </c>
      <c r="Z58" s="56">
        <f>IF($X58="",1,IFERROR(VLOOKUP($X58,'Char Popularity'!$A$2:$C$500,3,FALSE),1))</f>
        <v>1</v>
      </c>
      <c r="AA58" s="62">
        <f>IF($H58&lt;&gt;"Y",0,(IF($F58&lt;&gt;"",ROUND(Dashboard!$R$4/$F58,1),IF(AND($I58="Base",$E58="Base"),Dashboard!$R$5,IF(AND($I58="Base",$E58="Red"),Dashboard!$R$6,IF(AND($I58="Base",$E58="Gold"),Dashboard!$R$7,VLOOKUP($I58,Dashboard!$Q$16:$R$21,2,FALSE)))))*VLOOKUP($I58,Dashboard!$Q$9:$R$13,2,FALSE)*IF(AND($I58="Auto",$F58="",OR($B58="Autographs Duals",$B58="Autographs Triples",$B58="Autographs Quads",$B58="Autographs Quads (Inscribed)")),IF($B58="Autographs Duals",2,IF($B58="Autographs Triples",3,4)),1)))</f>
        <v>1</v>
      </c>
      <c r="AB58" s="62">
        <f t="shared" si="11"/>
        <v>1</v>
      </c>
      <c r="AC58" s="62">
        <f t="shared" si="12"/>
        <v>0</v>
      </c>
    </row>
    <row r="59" spans="1:29" ht="28.7" customHeight="1" x14ac:dyDescent="0.25">
      <c r="A59" s="4" t="s">
        <v>17</v>
      </c>
      <c r="B59" s="7" t="s">
        <v>61</v>
      </c>
      <c r="C59" s="2" t="s">
        <v>1457</v>
      </c>
      <c r="D59" s="7" t="s">
        <v>957</v>
      </c>
      <c r="E59" s="4" t="s">
        <v>60</v>
      </c>
      <c r="F59" s="2"/>
      <c r="G59" s="2" t="s">
        <v>1399</v>
      </c>
      <c r="H59" s="2" t="s">
        <v>1400</v>
      </c>
      <c r="I59" s="4" t="s">
        <v>60</v>
      </c>
      <c r="J59" s="112">
        <f>IF($H59&lt;&gt;"Y",0,ROUND(MIN(Dashboard!$R$24,IF(IFERROR(VLOOKUP($B59,Dashboard!$Q$28:$S$60,2,FALSE),0)&gt;0,IFERROR(VLOOKUP($B59,Dashboard!$Q$28:$S$60,2,FALSE),0),$Z59*IF($U59&lt;&gt;"",ROUND((Dashboard!$R$4/$U59)*VLOOKUP($I59,Dashboard!$Q$9:$R$13,2,FALSE)*IF(ISNUMBER(SEARCH("Duals",$B59)),2,IF(ISNUMBER(SEARCH("Triples",$B59)),3,IF(ISNUMBER(SEARCH("Quads",$B59)),4,1))),2),ROUND(VLOOKUP($I59,Dashboard!$Q$15:$R$20,2,FALSE)*IF($E59="Red",Dashboard!$R$6,IF($E59="Gold",Dashboard!$R$7,Dashboard!$R$5))*IF(ISNUMBER(SEARCH("Duals",$B59)),2,IF(ISNUMBER(SEARCH("Triples",$B59)),3,IF(ISNUMBER(SEARCH("Quads",$B59)),4,1))),2))*IF(IFERROR(VLOOKUP($B59,Dashboard!$Q$28:$S$60,3,FALSE),0)&gt;0,VLOOKUP($B59,Dashboard!$Q$28:$S$60,3,FALSE),1))),0))</f>
        <v>1</v>
      </c>
      <c r="K59" s="2" t="str">
        <f>IF('Base S1'!C59="","",'Base S1'!C59)</f>
        <v>h</v>
      </c>
      <c r="L59" s="2">
        <f t="shared" si="0"/>
        <v>1</v>
      </c>
      <c r="M59" s="2">
        <f t="shared" si="1"/>
        <v>0</v>
      </c>
      <c r="N59" s="2">
        <f t="shared" si="2"/>
        <v>1</v>
      </c>
      <c r="O59" s="2">
        <f t="shared" si="3"/>
        <v>0</v>
      </c>
      <c r="P59" s="112">
        <f t="shared" si="4"/>
        <v>1</v>
      </c>
      <c r="Q59" s="112">
        <f t="shared" si="5"/>
        <v>0</v>
      </c>
      <c r="R59" s="53"/>
      <c r="S59" s="53" t="str">
        <f t="shared" si="6"/>
        <v>Base S1|Base Set - Season 1|58|Base</v>
      </c>
      <c r="T59" s="57" t="str">
        <f>IF($S59="","",IFERROR(VLOOKUP($S59,'Pop Estimates (Non-#d)'!$N$2:$O$500,2,FALSE),""))</f>
        <v/>
      </c>
      <c r="U59" s="57" t="str">
        <f t="shared" si="7"/>
        <v/>
      </c>
      <c r="V59" s="53" t="str">
        <f t="shared" si="8"/>
        <v/>
      </c>
      <c r="W59" s="53" t="str">
        <f t="shared" si="9"/>
        <v/>
      </c>
      <c r="X59" s="53" t="str">
        <f t="shared" si="10"/>
        <v/>
      </c>
      <c r="Y59" s="57" t="str">
        <f>IF($X59="","",IFERROR(VLOOKUP($X59,'Char Popularity'!$A$2:$C$500,2,FALSE),""))</f>
        <v/>
      </c>
      <c r="Z59" s="56">
        <f>IF($X59="",1,IFERROR(VLOOKUP($X59,'Char Popularity'!$A$2:$C$500,3,FALSE),1))</f>
        <v>1</v>
      </c>
      <c r="AA59" s="62">
        <f>IF($H59&lt;&gt;"Y",0,(IF($F59&lt;&gt;"",ROUND(Dashboard!$R$4/$F59,1),IF(AND($I59="Base",$E59="Base"),Dashboard!$R$5,IF(AND($I59="Base",$E59="Red"),Dashboard!$R$6,IF(AND($I59="Base",$E59="Gold"),Dashboard!$R$7,VLOOKUP($I59,Dashboard!$Q$16:$R$21,2,FALSE)))))*VLOOKUP($I59,Dashboard!$Q$9:$R$13,2,FALSE)*IF(AND($I59="Auto",$F59="",OR($B59="Autographs Duals",$B59="Autographs Triples",$B59="Autographs Quads",$B59="Autographs Quads (Inscribed)")),IF($B59="Autographs Duals",2,IF($B59="Autographs Triples",3,4)),1)))</f>
        <v>1</v>
      </c>
      <c r="AB59" s="62">
        <f t="shared" si="11"/>
        <v>1</v>
      </c>
      <c r="AC59" s="62">
        <f t="shared" si="12"/>
        <v>0</v>
      </c>
    </row>
    <row r="60" spans="1:29" ht="28.7" customHeight="1" x14ac:dyDescent="0.25">
      <c r="A60" s="4" t="s">
        <v>17</v>
      </c>
      <c r="B60" s="7" t="s">
        <v>61</v>
      </c>
      <c r="C60" s="2" t="s">
        <v>1458</v>
      </c>
      <c r="D60" s="7" t="s">
        <v>960</v>
      </c>
      <c r="E60" s="4" t="s">
        <v>60</v>
      </c>
      <c r="F60" s="2"/>
      <c r="G60" s="2" t="s">
        <v>1399</v>
      </c>
      <c r="H60" s="2" t="s">
        <v>1400</v>
      </c>
      <c r="I60" s="4" t="s">
        <v>60</v>
      </c>
      <c r="J60" s="112">
        <f>IF($H60&lt;&gt;"Y",0,ROUND(MIN(Dashboard!$R$24,IF(IFERROR(VLOOKUP($B60,Dashboard!$Q$28:$S$60,2,FALSE),0)&gt;0,IFERROR(VLOOKUP($B60,Dashboard!$Q$28:$S$60,2,FALSE),0),$Z60*IF($U60&lt;&gt;"",ROUND((Dashboard!$R$4/$U60)*VLOOKUP($I60,Dashboard!$Q$9:$R$13,2,FALSE)*IF(ISNUMBER(SEARCH("Duals",$B60)),2,IF(ISNUMBER(SEARCH("Triples",$B60)),3,IF(ISNUMBER(SEARCH("Quads",$B60)),4,1))),2),ROUND(VLOOKUP($I60,Dashboard!$Q$15:$R$20,2,FALSE)*IF($E60="Red",Dashboard!$R$6,IF($E60="Gold",Dashboard!$R$7,Dashboard!$R$5))*IF(ISNUMBER(SEARCH("Duals",$B60)),2,IF(ISNUMBER(SEARCH("Triples",$B60)),3,IF(ISNUMBER(SEARCH("Quads",$B60)),4,1))),2))*IF(IFERROR(VLOOKUP($B60,Dashboard!$Q$28:$S$60,3,FALSE),0)&gt;0,VLOOKUP($B60,Dashboard!$Q$28:$S$60,3,FALSE),1))),0))</f>
        <v>1</v>
      </c>
      <c r="K60" s="2" t="str">
        <f>IF('Base S1'!C60="","",'Base S1'!C60)</f>
        <v>h</v>
      </c>
      <c r="L60" s="2">
        <f t="shared" si="0"/>
        <v>1</v>
      </c>
      <c r="M60" s="2">
        <f t="shared" si="1"/>
        <v>0</v>
      </c>
      <c r="N60" s="2">
        <f t="shared" si="2"/>
        <v>1</v>
      </c>
      <c r="O60" s="2">
        <f t="shared" si="3"/>
        <v>0</v>
      </c>
      <c r="P60" s="112">
        <f t="shared" si="4"/>
        <v>1</v>
      </c>
      <c r="Q60" s="112">
        <f t="shared" si="5"/>
        <v>0</v>
      </c>
      <c r="R60" s="53"/>
      <c r="S60" s="53" t="str">
        <f t="shared" si="6"/>
        <v>Base S1|Base Set - Season 1|59|Base</v>
      </c>
      <c r="T60" s="57" t="str">
        <f>IF($S60="","",IFERROR(VLOOKUP($S60,'Pop Estimates (Non-#d)'!$N$2:$O$500,2,FALSE),""))</f>
        <v/>
      </c>
      <c r="U60" s="57" t="str">
        <f t="shared" si="7"/>
        <v/>
      </c>
      <c r="V60" s="53" t="str">
        <f t="shared" si="8"/>
        <v/>
      </c>
      <c r="W60" s="53" t="str">
        <f t="shared" si="9"/>
        <v/>
      </c>
      <c r="X60" s="53" t="str">
        <f t="shared" si="10"/>
        <v/>
      </c>
      <c r="Y60" s="57" t="str">
        <f>IF($X60="","",IFERROR(VLOOKUP($X60,'Char Popularity'!$A$2:$C$500,2,FALSE),""))</f>
        <v/>
      </c>
      <c r="Z60" s="56">
        <f>IF($X60="",1,IFERROR(VLOOKUP($X60,'Char Popularity'!$A$2:$C$500,3,FALSE),1))</f>
        <v>1</v>
      </c>
      <c r="AA60" s="62">
        <f>IF($H60&lt;&gt;"Y",0,(IF($F60&lt;&gt;"",ROUND(Dashboard!$R$4/$F60,1),IF(AND($I60="Base",$E60="Base"),Dashboard!$R$5,IF(AND($I60="Base",$E60="Red"),Dashboard!$R$6,IF(AND($I60="Base",$E60="Gold"),Dashboard!$R$7,VLOOKUP($I60,Dashboard!$Q$16:$R$21,2,FALSE)))))*VLOOKUP($I60,Dashboard!$Q$9:$R$13,2,FALSE)*IF(AND($I60="Auto",$F60="",OR($B60="Autographs Duals",$B60="Autographs Triples",$B60="Autographs Quads",$B60="Autographs Quads (Inscribed)")),IF($B60="Autographs Duals",2,IF($B60="Autographs Triples",3,4)),1)))</f>
        <v>1</v>
      </c>
      <c r="AB60" s="62">
        <f t="shared" si="11"/>
        <v>1</v>
      </c>
      <c r="AC60" s="62">
        <f t="shared" si="12"/>
        <v>0</v>
      </c>
    </row>
    <row r="61" spans="1:29" ht="28.7" customHeight="1" x14ac:dyDescent="0.25">
      <c r="A61" s="4" t="s">
        <v>17</v>
      </c>
      <c r="B61" s="7" t="s">
        <v>61</v>
      </c>
      <c r="C61" s="2" t="s">
        <v>1459</v>
      </c>
      <c r="D61" s="7" t="s">
        <v>961</v>
      </c>
      <c r="E61" s="4" t="s">
        <v>60</v>
      </c>
      <c r="F61" s="2"/>
      <c r="G61" s="2" t="s">
        <v>1399</v>
      </c>
      <c r="H61" s="2" t="s">
        <v>1400</v>
      </c>
      <c r="I61" s="4" t="s">
        <v>60</v>
      </c>
      <c r="J61" s="112">
        <f>IF($H61&lt;&gt;"Y",0,ROUND(MIN(Dashboard!$R$24,IF(IFERROR(VLOOKUP($B61,Dashboard!$Q$28:$S$60,2,FALSE),0)&gt;0,IFERROR(VLOOKUP($B61,Dashboard!$Q$28:$S$60,2,FALSE),0),$Z61*IF($U61&lt;&gt;"",ROUND((Dashboard!$R$4/$U61)*VLOOKUP($I61,Dashboard!$Q$9:$R$13,2,FALSE)*IF(ISNUMBER(SEARCH("Duals",$B61)),2,IF(ISNUMBER(SEARCH("Triples",$B61)),3,IF(ISNUMBER(SEARCH("Quads",$B61)),4,1))),2),ROUND(VLOOKUP($I61,Dashboard!$Q$15:$R$20,2,FALSE)*IF($E61="Red",Dashboard!$R$6,IF($E61="Gold",Dashboard!$R$7,Dashboard!$R$5))*IF(ISNUMBER(SEARCH("Duals",$B61)),2,IF(ISNUMBER(SEARCH("Triples",$B61)),3,IF(ISNUMBER(SEARCH("Quads",$B61)),4,1))),2))*IF(IFERROR(VLOOKUP($B61,Dashboard!$Q$28:$S$60,3,FALSE),0)&gt;0,VLOOKUP($B61,Dashboard!$Q$28:$S$60,3,FALSE),1))),0))</f>
        <v>1</v>
      </c>
      <c r="K61" s="2" t="str">
        <f>IF('Base S1'!C61="","",'Base S1'!C61)</f>
        <v>h</v>
      </c>
      <c r="L61" s="2">
        <f t="shared" si="0"/>
        <v>1</v>
      </c>
      <c r="M61" s="2">
        <f t="shared" si="1"/>
        <v>0</v>
      </c>
      <c r="N61" s="2">
        <f t="shared" si="2"/>
        <v>1</v>
      </c>
      <c r="O61" s="2">
        <f t="shared" si="3"/>
        <v>0</v>
      </c>
      <c r="P61" s="112">
        <f t="shared" si="4"/>
        <v>1</v>
      </c>
      <c r="Q61" s="112">
        <f t="shared" si="5"/>
        <v>0</v>
      </c>
      <c r="R61" s="53"/>
      <c r="S61" s="53" t="str">
        <f t="shared" si="6"/>
        <v>Base S1|Base Set - Season 1|60|Base</v>
      </c>
      <c r="T61" s="57" t="str">
        <f>IF($S61="","",IFERROR(VLOOKUP($S61,'Pop Estimates (Non-#d)'!$N$2:$O$500,2,FALSE),""))</f>
        <v/>
      </c>
      <c r="U61" s="57" t="str">
        <f t="shared" si="7"/>
        <v/>
      </c>
      <c r="V61" s="53" t="str">
        <f t="shared" si="8"/>
        <v/>
      </c>
      <c r="W61" s="53" t="str">
        <f t="shared" si="9"/>
        <v/>
      </c>
      <c r="X61" s="53" t="str">
        <f t="shared" si="10"/>
        <v/>
      </c>
      <c r="Y61" s="57" t="str">
        <f>IF($X61="","",IFERROR(VLOOKUP($X61,'Char Popularity'!$A$2:$C$500,2,FALSE),""))</f>
        <v/>
      </c>
      <c r="Z61" s="56">
        <f>IF($X61="",1,IFERROR(VLOOKUP($X61,'Char Popularity'!$A$2:$C$500,3,FALSE),1))</f>
        <v>1</v>
      </c>
      <c r="AA61" s="62">
        <f>IF($H61&lt;&gt;"Y",0,(IF($F61&lt;&gt;"",ROUND(Dashboard!$R$4/$F61,1),IF(AND($I61="Base",$E61="Base"),Dashboard!$R$5,IF(AND($I61="Base",$E61="Red"),Dashboard!$R$6,IF(AND($I61="Base",$E61="Gold"),Dashboard!$R$7,VLOOKUP($I61,Dashboard!$Q$16:$R$21,2,FALSE)))))*VLOOKUP($I61,Dashboard!$Q$9:$R$13,2,FALSE)*IF(AND($I61="Auto",$F61="",OR($B61="Autographs Duals",$B61="Autographs Triples",$B61="Autographs Quads",$B61="Autographs Quads (Inscribed)")),IF($B61="Autographs Duals",2,IF($B61="Autographs Triples",3,4)),1)))</f>
        <v>1</v>
      </c>
      <c r="AB61" s="62">
        <f t="shared" si="11"/>
        <v>1</v>
      </c>
      <c r="AC61" s="62">
        <f t="shared" si="12"/>
        <v>0</v>
      </c>
    </row>
    <row r="62" spans="1:29" ht="28.7" customHeight="1" x14ac:dyDescent="0.25">
      <c r="A62" s="4" t="s">
        <v>17</v>
      </c>
      <c r="B62" s="7" t="s">
        <v>61</v>
      </c>
      <c r="C62" s="2" t="s">
        <v>1460</v>
      </c>
      <c r="D62" s="7" t="s">
        <v>962</v>
      </c>
      <c r="E62" s="4" t="s">
        <v>60</v>
      </c>
      <c r="F62" s="2"/>
      <c r="G62" s="2" t="s">
        <v>1399</v>
      </c>
      <c r="H62" s="2" t="s">
        <v>1400</v>
      </c>
      <c r="I62" s="4" t="s">
        <v>60</v>
      </c>
      <c r="J62" s="112">
        <f>IF($H62&lt;&gt;"Y",0,ROUND(MIN(Dashboard!$R$24,IF(IFERROR(VLOOKUP($B62,Dashboard!$Q$28:$S$60,2,FALSE),0)&gt;0,IFERROR(VLOOKUP($B62,Dashboard!$Q$28:$S$60,2,FALSE),0),$Z62*IF($U62&lt;&gt;"",ROUND((Dashboard!$R$4/$U62)*VLOOKUP($I62,Dashboard!$Q$9:$R$13,2,FALSE)*IF(ISNUMBER(SEARCH("Duals",$B62)),2,IF(ISNUMBER(SEARCH("Triples",$B62)),3,IF(ISNUMBER(SEARCH("Quads",$B62)),4,1))),2),ROUND(VLOOKUP($I62,Dashboard!$Q$15:$R$20,2,FALSE)*IF($E62="Red",Dashboard!$R$6,IF($E62="Gold",Dashboard!$R$7,Dashboard!$R$5))*IF(ISNUMBER(SEARCH("Duals",$B62)),2,IF(ISNUMBER(SEARCH("Triples",$B62)),3,IF(ISNUMBER(SEARCH("Quads",$B62)),4,1))),2))*IF(IFERROR(VLOOKUP($B62,Dashboard!$Q$28:$S$60,3,FALSE),0)&gt;0,VLOOKUP($B62,Dashboard!$Q$28:$S$60,3,FALSE),1))),0))</f>
        <v>1</v>
      </c>
      <c r="K62" s="2" t="str">
        <f>IF('Base S1'!C62="","",'Base S1'!C62)</f>
        <v>h</v>
      </c>
      <c r="L62" s="2">
        <f t="shared" si="0"/>
        <v>1</v>
      </c>
      <c r="M62" s="2">
        <f t="shared" si="1"/>
        <v>0</v>
      </c>
      <c r="N62" s="2">
        <f t="shared" si="2"/>
        <v>1</v>
      </c>
      <c r="O62" s="2">
        <f t="shared" si="3"/>
        <v>0</v>
      </c>
      <c r="P62" s="112">
        <f t="shared" si="4"/>
        <v>1</v>
      </c>
      <c r="Q62" s="112">
        <f t="shared" si="5"/>
        <v>0</v>
      </c>
      <c r="R62" s="53"/>
      <c r="S62" s="53" t="str">
        <f t="shared" si="6"/>
        <v>Base S1|Base Set - Season 1|61|Base</v>
      </c>
      <c r="T62" s="57" t="str">
        <f>IF($S62="","",IFERROR(VLOOKUP($S62,'Pop Estimates (Non-#d)'!$N$2:$O$500,2,FALSE),""))</f>
        <v/>
      </c>
      <c r="U62" s="57" t="str">
        <f t="shared" si="7"/>
        <v/>
      </c>
      <c r="V62" s="53" t="str">
        <f t="shared" si="8"/>
        <v/>
      </c>
      <c r="W62" s="53" t="str">
        <f t="shared" si="9"/>
        <v/>
      </c>
      <c r="X62" s="53" t="str">
        <f t="shared" si="10"/>
        <v/>
      </c>
      <c r="Y62" s="57" t="str">
        <f>IF($X62="","",IFERROR(VLOOKUP($X62,'Char Popularity'!$A$2:$C$500,2,FALSE),""))</f>
        <v/>
      </c>
      <c r="Z62" s="56">
        <f>IF($X62="",1,IFERROR(VLOOKUP($X62,'Char Popularity'!$A$2:$C$500,3,FALSE),1))</f>
        <v>1</v>
      </c>
      <c r="AA62" s="62">
        <f>IF($H62&lt;&gt;"Y",0,(IF($F62&lt;&gt;"",ROUND(Dashboard!$R$4/$F62,1),IF(AND($I62="Base",$E62="Base"),Dashboard!$R$5,IF(AND($I62="Base",$E62="Red"),Dashboard!$R$6,IF(AND($I62="Base",$E62="Gold"),Dashboard!$R$7,VLOOKUP($I62,Dashboard!$Q$16:$R$21,2,FALSE)))))*VLOOKUP($I62,Dashboard!$Q$9:$R$13,2,FALSE)*IF(AND($I62="Auto",$F62="",OR($B62="Autographs Duals",$B62="Autographs Triples",$B62="Autographs Quads",$B62="Autographs Quads (Inscribed)")),IF($B62="Autographs Duals",2,IF($B62="Autographs Triples",3,4)),1)))</f>
        <v>1</v>
      </c>
      <c r="AB62" s="62">
        <f t="shared" si="11"/>
        <v>1</v>
      </c>
      <c r="AC62" s="62">
        <f t="shared" si="12"/>
        <v>0</v>
      </c>
    </row>
    <row r="63" spans="1:29" ht="28.7" customHeight="1" x14ac:dyDescent="0.25">
      <c r="A63" s="4" t="s">
        <v>17</v>
      </c>
      <c r="B63" s="7" t="s">
        <v>61</v>
      </c>
      <c r="C63" s="2" t="s">
        <v>1461</v>
      </c>
      <c r="D63" s="7" t="s">
        <v>963</v>
      </c>
      <c r="E63" s="4" t="s">
        <v>60</v>
      </c>
      <c r="F63" s="2"/>
      <c r="G63" s="2" t="s">
        <v>1399</v>
      </c>
      <c r="H63" s="2" t="s">
        <v>1400</v>
      </c>
      <c r="I63" s="4" t="s">
        <v>60</v>
      </c>
      <c r="J63" s="112">
        <f>IF($H63&lt;&gt;"Y",0,ROUND(MIN(Dashboard!$R$24,IF(IFERROR(VLOOKUP($B63,Dashboard!$Q$28:$S$60,2,FALSE),0)&gt;0,IFERROR(VLOOKUP($B63,Dashboard!$Q$28:$S$60,2,FALSE),0),$Z63*IF($U63&lt;&gt;"",ROUND((Dashboard!$R$4/$U63)*VLOOKUP($I63,Dashboard!$Q$9:$R$13,2,FALSE)*IF(ISNUMBER(SEARCH("Duals",$B63)),2,IF(ISNUMBER(SEARCH("Triples",$B63)),3,IF(ISNUMBER(SEARCH("Quads",$B63)),4,1))),2),ROUND(VLOOKUP($I63,Dashboard!$Q$15:$R$20,2,FALSE)*IF($E63="Red",Dashboard!$R$6,IF($E63="Gold",Dashboard!$R$7,Dashboard!$R$5))*IF(ISNUMBER(SEARCH("Duals",$B63)),2,IF(ISNUMBER(SEARCH("Triples",$B63)),3,IF(ISNUMBER(SEARCH("Quads",$B63)),4,1))),2))*IF(IFERROR(VLOOKUP($B63,Dashboard!$Q$28:$S$60,3,FALSE),0)&gt;0,VLOOKUP($B63,Dashboard!$Q$28:$S$60,3,FALSE),1))),0))</f>
        <v>1</v>
      </c>
      <c r="K63" s="2" t="str">
        <f>IF('Base S1'!C63="","",'Base S1'!C63)</f>
        <v>h</v>
      </c>
      <c r="L63" s="2">
        <f t="shared" si="0"/>
        <v>1</v>
      </c>
      <c r="M63" s="2">
        <f t="shared" si="1"/>
        <v>0</v>
      </c>
      <c r="N63" s="2">
        <f t="shared" si="2"/>
        <v>1</v>
      </c>
      <c r="O63" s="2">
        <f t="shared" si="3"/>
        <v>0</v>
      </c>
      <c r="P63" s="112">
        <f t="shared" si="4"/>
        <v>1</v>
      </c>
      <c r="Q63" s="112">
        <f t="shared" si="5"/>
        <v>0</v>
      </c>
      <c r="R63" s="53"/>
      <c r="S63" s="53" t="str">
        <f t="shared" si="6"/>
        <v>Base S1|Base Set - Season 1|62|Base</v>
      </c>
      <c r="T63" s="57" t="str">
        <f>IF($S63="","",IFERROR(VLOOKUP($S63,'Pop Estimates (Non-#d)'!$N$2:$O$500,2,FALSE),""))</f>
        <v/>
      </c>
      <c r="U63" s="57" t="str">
        <f t="shared" si="7"/>
        <v/>
      </c>
      <c r="V63" s="53" t="str">
        <f t="shared" si="8"/>
        <v/>
      </c>
      <c r="W63" s="53" t="str">
        <f t="shared" si="9"/>
        <v/>
      </c>
      <c r="X63" s="53" t="str">
        <f t="shared" si="10"/>
        <v/>
      </c>
      <c r="Y63" s="57" t="str">
        <f>IF($X63="","",IFERROR(VLOOKUP($X63,'Char Popularity'!$A$2:$C$500,2,FALSE),""))</f>
        <v/>
      </c>
      <c r="Z63" s="56">
        <f>IF($X63="",1,IFERROR(VLOOKUP($X63,'Char Popularity'!$A$2:$C$500,3,FALSE),1))</f>
        <v>1</v>
      </c>
      <c r="AA63" s="62">
        <f>IF($H63&lt;&gt;"Y",0,(IF($F63&lt;&gt;"",ROUND(Dashboard!$R$4/$F63,1),IF(AND($I63="Base",$E63="Base"),Dashboard!$R$5,IF(AND($I63="Base",$E63="Red"),Dashboard!$R$6,IF(AND($I63="Base",$E63="Gold"),Dashboard!$R$7,VLOOKUP($I63,Dashboard!$Q$16:$R$21,2,FALSE)))))*VLOOKUP($I63,Dashboard!$Q$9:$R$13,2,FALSE)*IF(AND($I63="Auto",$F63="",OR($B63="Autographs Duals",$B63="Autographs Triples",$B63="Autographs Quads",$B63="Autographs Quads (Inscribed)")),IF($B63="Autographs Duals",2,IF($B63="Autographs Triples",3,4)),1)))</f>
        <v>1</v>
      </c>
      <c r="AB63" s="62">
        <f t="shared" si="11"/>
        <v>1</v>
      </c>
      <c r="AC63" s="62">
        <f t="shared" si="12"/>
        <v>0</v>
      </c>
    </row>
    <row r="64" spans="1:29" ht="28.7" customHeight="1" x14ac:dyDescent="0.25">
      <c r="A64" s="4" t="s">
        <v>17</v>
      </c>
      <c r="B64" s="7" t="s">
        <v>61</v>
      </c>
      <c r="C64" s="2" t="s">
        <v>1462</v>
      </c>
      <c r="D64" s="7" t="s">
        <v>966</v>
      </c>
      <c r="E64" s="4" t="s">
        <v>60</v>
      </c>
      <c r="F64" s="2"/>
      <c r="G64" s="2" t="s">
        <v>1399</v>
      </c>
      <c r="H64" s="2" t="s">
        <v>1400</v>
      </c>
      <c r="I64" s="4" t="s">
        <v>60</v>
      </c>
      <c r="J64" s="112">
        <f>IF($H64&lt;&gt;"Y",0,ROUND(MIN(Dashboard!$R$24,IF(IFERROR(VLOOKUP($B64,Dashboard!$Q$28:$S$60,2,FALSE),0)&gt;0,IFERROR(VLOOKUP($B64,Dashboard!$Q$28:$S$60,2,FALSE),0),$Z64*IF($U64&lt;&gt;"",ROUND((Dashboard!$R$4/$U64)*VLOOKUP($I64,Dashboard!$Q$9:$R$13,2,FALSE)*IF(ISNUMBER(SEARCH("Duals",$B64)),2,IF(ISNUMBER(SEARCH("Triples",$B64)),3,IF(ISNUMBER(SEARCH("Quads",$B64)),4,1))),2),ROUND(VLOOKUP($I64,Dashboard!$Q$15:$R$20,2,FALSE)*IF($E64="Red",Dashboard!$R$6,IF($E64="Gold",Dashboard!$R$7,Dashboard!$R$5))*IF(ISNUMBER(SEARCH("Duals",$B64)),2,IF(ISNUMBER(SEARCH("Triples",$B64)),3,IF(ISNUMBER(SEARCH("Quads",$B64)),4,1))),2))*IF(IFERROR(VLOOKUP($B64,Dashboard!$Q$28:$S$60,3,FALSE),0)&gt;0,VLOOKUP($B64,Dashboard!$Q$28:$S$60,3,FALSE),1))),0))</f>
        <v>1</v>
      </c>
      <c r="K64" s="2" t="str">
        <f>IF('Base S1'!C64="","",'Base S1'!C64)</f>
        <v>h</v>
      </c>
      <c r="L64" s="2">
        <f t="shared" si="0"/>
        <v>1</v>
      </c>
      <c r="M64" s="2">
        <f t="shared" si="1"/>
        <v>0</v>
      </c>
      <c r="N64" s="2">
        <f t="shared" si="2"/>
        <v>1</v>
      </c>
      <c r="O64" s="2">
        <f t="shared" si="3"/>
        <v>0</v>
      </c>
      <c r="P64" s="112">
        <f t="shared" si="4"/>
        <v>1</v>
      </c>
      <c r="Q64" s="112">
        <f t="shared" si="5"/>
        <v>0</v>
      </c>
      <c r="R64" s="53"/>
      <c r="S64" s="53" t="str">
        <f t="shared" si="6"/>
        <v>Base S1|Base Set - Season 1|63|Base</v>
      </c>
      <c r="T64" s="57" t="str">
        <f>IF($S64="","",IFERROR(VLOOKUP($S64,'Pop Estimates (Non-#d)'!$N$2:$O$500,2,FALSE),""))</f>
        <v/>
      </c>
      <c r="U64" s="57" t="str">
        <f t="shared" si="7"/>
        <v/>
      </c>
      <c r="V64" s="53" t="str">
        <f t="shared" si="8"/>
        <v/>
      </c>
      <c r="W64" s="53" t="str">
        <f t="shared" si="9"/>
        <v/>
      </c>
      <c r="X64" s="53" t="str">
        <f t="shared" si="10"/>
        <v/>
      </c>
      <c r="Y64" s="57" t="str">
        <f>IF($X64="","",IFERROR(VLOOKUP($X64,'Char Popularity'!$A$2:$C$500,2,FALSE),""))</f>
        <v/>
      </c>
      <c r="Z64" s="56">
        <f>IF($X64="",1,IFERROR(VLOOKUP($X64,'Char Popularity'!$A$2:$C$500,3,FALSE),1))</f>
        <v>1</v>
      </c>
      <c r="AA64" s="62">
        <f>IF($H64&lt;&gt;"Y",0,(IF($F64&lt;&gt;"",ROUND(Dashboard!$R$4/$F64,1),IF(AND($I64="Base",$E64="Base"),Dashboard!$R$5,IF(AND($I64="Base",$E64="Red"),Dashboard!$R$6,IF(AND($I64="Base",$E64="Gold"),Dashboard!$R$7,VLOOKUP($I64,Dashboard!$Q$16:$R$21,2,FALSE)))))*VLOOKUP($I64,Dashboard!$Q$9:$R$13,2,FALSE)*IF(AND($I64="Auto",$F64="",OR($B64="Autographs Duals",$B64="Autographs Triples",$B64="Autographs Quads",$B64="Autographs Quads (Inscribed)")),IF($B64="Autographs Duals",2,IF($B64="Autographs Triples",3,4)),1)))</f>
        <v>1</v>
      </c>
      <c r="AB64" s="62">
        <f t="shared" si="11"/>
        <v>1</v>
      </c>
      <c r="AC64" s="62">
        <f t="shared" si="12"/>
        <v>0</v>
      </c>
    </row>
    <row r="65" spans="1:29" ht="28.7" customHeight="1" x14ac:dyDescent="0.25">
      <c r="A65" s="4" t="s">
        <v>17</v>
      </c>
      <c r="B65" s="7" t="s">
        <v>61</v>
      </c>
      <c r="C65" s="2" t="s">
        <v>1463</v>
      </c>
      <c r="D65" s="7" t="s">
        <v>968</v>
      </c>
      <c r="E65" s="4" t="s">
        <v>60</v>
      </c>
      <c r="F65" s="2"/>
      <c r="G65" s="2" t="s">
        <v>1399</v>
      </c>
      <c r="H65" s="2" t="s">
        <v>1400</v>
      </c>
      <c r="I65" s="4" t="s">
        <v>60</v>
      </c>
      <c r="J65" s="112">
        <f>IF($H65&lt;&gt;"Y",0,ROUND(MIN(Dashboard!$R$24,IF(IFERROR(VLOOKUP($B65,Dashboard!$Q$28:$S$60,2,FALSE),0)&gt;0,IFERROR(VLOOKUP($B65,Dashboard!$Q$28:$S$60,2,FALSE),0),$Z65*IF($U65&lt;&gt;"",ROUND((Dashboard!$R$4/$U65)*VLOOKUP($I65,Dashboard!$Q$9:$R$13,2,FALSE)*IF(ISNUMBER(SEARCH("Duals",$B65)),2,IF(ISNUMBER(SEARCH("Triples",$B65)),3,IF(ISNUMBER(SEARCH("Quads",$B65)),4,1))),2),ROUND(VLOOKUP($I65,Dashboard!$Q$15:$R$20,2,FALSE)*IF($E65="Red",Dashboard!$R$6,IF($E65="Gold",Dashboard!$R$7,Dashboard!$R$5))*IF(ISNUMBER(SEARCH("Duals",$B65)),2,IF(ISNUMBER(SEARCH("Triples",$B65)),3,IF(ISNUMBER(SEARCH("Quads",$B65)),4,1))),2))*IF(IFERROR(VLOOKUP($B65,Dashboard!$Q$28:$S$60,3,FALSE),0)&gt;0,VLOOKUP($B65,Dashboard!$Q$28:$S$60,3,FALSE),1))),0))</f>
        <v>1</v>
      </c>
      <c r="K65" s="2" t="str">
        <f>IF('Base S1'!C65="","",'Base S1'!C65)</f>
        <v>h</v>
      </c>
      <c r="L65" s="2">
        <f t="shared" si="0"/>
        <v>1</v>
      </c>
      <c r="M65" s="2">
        <f t="shared" si="1"/>
        <v>0</v>
      </c>
      <c r="N65" s="2">
        <f t="shared" si="2"/>
        <v>1</v>
      </c>
      <c r="O65" s="2">
        <f t="shared" si="3"/>
        <v>0</v>
      </c>
      <c r="P65" s="112">
        <f t="shared" si="4"/>
        <v>1</v>
      </c>
      <c r="Q65" s="112">
        <f t="shared" si="5"/>
        <v>0</v>
      </c>
      <c r="R65" s="53"/>
      <c r="S65" s="53" t="str">
        <f t="shared" si="6"/>
        <v>Base S1|Base Set - Season 1|64|Base</v>
      </c>
      <c r="T65" s="57" t="str">
        <f>IF($S65="","",IFERROR(VLOOKUP($S65,'Pop Estimates (Non-#d)'!$N$2:$O$500,2,FALSE),""))</f>
        <v/>
      </c>
      <c r="U65" s="57" t="str">
        <f t="shared" si="7"/>
        <v/>
      </c>
      <c r="V65" s="53" t="str">
        <f t="shared" si="8"/>
        <v/>
      </c>
      <c r="W65" s="53" t="str">
        <f t="shared" si="9"/>
        <v/>
      </c>
      <c r="X65" s="53" t="str">
        <f t="shared" si="10"/>
        <v/>
      </c>
      <c r="Y65" s="57" t="str">
        <f>IF($X65="","",IFERROR(VLOOKUP($X65,'Char Popularity'!$A$2:$C$500,2,FALSE),""))</f>
        <v/>
      </c>
      <c r="Z65" s="56">
        <f>IF($X65="",1,IFERROR(VLOOKUP($X65,'Char Popularity'!$A$2:$C$500,3,FALSE),1))</f>
        <v>1</v>
      </c>
      <c r="AA65" s="62">
        <f>IF($H65&lt;&gt;"Y",0,(IF($F65&lt;&gt;"",ROUND(Dashboard!$R$4/$F65,1),IF(AND($I65="Base",$E65="Base"),Dashboard!$R$5,IF(AND($I65="Base",$E65="Red"),Dashboard!$R$6,IF(AND($I65="Base",$E65="Gold"),Dashboard!$R$7,VLOOKUP($I65,Dashboard!$Q$16:$R$21,2,FALSE)))))*VLOOKUP($I65,Dashboard!$Q$9:$R$13,2,FALSE)*IF(AND($I65="Auto",$F65="",OR($B65="Autographs Duals",$B65="Autographs Triples",$B65="Autographs Quads",$B65="Autographs Quads (Inscribed)")),IF($B65="Autographs Duals",2,IF($B65="Autographs Triples",3,4)),1)))</f>
        <v>1</v>
      </c>
      <c r="AB65" s="62">
        <f t="shared" si="11"/>
        <v>1</v>
      </c>
      <c r="AC65" s="62">
        <f t="shared" si="12"/>
        <v>0</v>
      </c>
    </row>
    <row r="66" spans="1:29" ht="28.7" customHeight="1" x14ac:dyDescent="0.25">
      <c r="A66" s="4" t="s">
        <v>17</v>
      </c>
      <c r="B66" s="7" t="s">
        <v>61</v>
      </c>
      <c r="C66" s="2" t="s">
        <v>1464</v>
      </c>
      <c r="D66" s="7" t="s">
        <v>971</v>
      </c>
      <c r="E66" s="4" t="s">
        <v>60</v>
      </c>
      <c r="F66" s="2"/>
      <c r="G66" s="2" t="s">
        <v>1399</v>
      </c>
      <c r="H66" s="2" t="s">
        <v>1400</v>
      </c>
      <c r="I66" s="4" t="s">
        <v>60</v>
      </c>
      <c r="J66" s="112">
        <f>IF($H66&lt;&gt;"Y",0,ROUND(MIN(Dashboard!$R$24,IF(IFERROR(VLOOKUP($B66,Dashboard!$Q$28:$S$60,2,FALSE),0)&gt;0,IFERROR(VLOOKUP($B66,Dashboard!$Q$28:$S$60,2,FALSE),0),$Z66*IF($U66&lt;&gt;"",ROUND((Dashboard!$R$4/$U66)*VLOOKUP($I66,Dashboard!$Q$9:$R$13,2,FALSE)*IF(ISNUMBER(SEARCH("Duals",$B66)),2,IF(ISNUMBER(SEARCH("Triples",$B66)),3,IF(ISNUMBER(SEARCH("Quads",$B66)),4,1))),2),ROUND(VLOOKUP($I66,Dashboard!$Q$15:$R$20,2,FALSE)*IF($E66="Red",Dashboard!$R$6,IF($E66="Gold",Dashboard!$R$7,Dashboard!$R$5))*IF(ISNUMBER(SEARCH("Duals",$B66)),2,IF(ISNUMBER(SEARCH("Triples",$B66)),3,IF(ISNUMBER(SEARCH("Quads",$B66)),4,1))),2))*IF(IFERROR(VLOOKUP($B66,Dashboard!$Q$28:$S$60,3,FALSE),0)&gt;0,VLOOKUP($B66,Dashboard!$Q$28:$S$60,3,FALSE),1))),0))</f>
        <v>1</v>
      </c>
      <c r="K66" s="2" t="str">
        <f>IF('Base S1'!C66="","",'Base S1'!C66)</f>
        <v>h</v>
      </c>
      <c r="L66" s="2">
        <f t="shared" ref="L66:L129" si="13">IF(AND($K66&lt;&gt;"",LEFT($K66,1)&lt;&gt;"Y"),1,0)</f>
        <v>1</v>
      </c>
      <c r="M66" s="2">
        <f t="shared" ref="M66:M129" si="14">IF(LEFT($K66,1)="Y",1,0)</f>
        <v>0</v>
      </c>
      <c r="N66" s="2">
        <f t="shared" ref="N66:N129" si="15">$L66+$M66</f>
        <v>1</v>
      </c>
      <c r="O66" s="2">
        <f t="shared" ref="O66:O129" si="16">IF($H66="Y",1-$N66,0)</f>
        <v>0</v>
      </c>
      <c r="P66" s="112">
        <f t="shared" ref="P66:P129" si="17">IF($L66=1,$J66,0)</f>
        <v>1</v>
      </c>
      <c r="Q66" s="112">
        <f t="shared" ref="Q66:Q129" si="18">IF($M66=1,$J66,0)</f>
        <v>0</v>
      </c>
      <c r="R66" s="53"/>
      <c r="S66" s="53" t="str">
        <f t="shared" ref="S66:S129" si="19">IF($A66="","",$A66&amp;"|"&amp;$B66&amp;"|"&amp;$C66&amp;"|"&amp;$E66)</f>
        <v>Base S1|Base Set - Season 1|65|Base</v>
      </c>
      <c r="T66" s="57" t="str">
        <f>IF($S66="","",IFERROR(VLOOKUP($S66,'Pop Estimates (Non-#d)'!$N$2:$O$500,2,FALSE),""))</f>
        <v/>
      </c>
      <c r="U66" s="57" t="str">
        <f t="shared" ref="U66:U129" si="20">IF($A66="","",IF($F66&lt;&gt;"",$F66,$T66))</f>
        <v/>
      </c>
      <c r="V66" s="53" t="str">
        <f t="shared" ref="V66:V129" si="21">IF($A66="","",IF(ISNUMBER(SEARCH(" as ",$D66)),MID($D66,SEARCH(" as ",$D66)+4,255),IF(ISNUMBER(SEARCH("/",$D66)),LEFT($D66,FIND("/",$D66&amp;"/")-1),"")))</f>
        <v/>
      </c>
      <c r="W66" s="53" t="str">
        <f t="shared" ref="W66:W129" si="22">IF($V66="","",TRIM(IFERROR(MID($V66,SEARCH("(", $V66)+1,SEARCH(")",$V66)-SEARCH("(", $V66)-1),$V66)))</f>
        <v/>
      </c>
      <c r="X66" s="53" t="str">
        <f t="shared" ref="X66:X129" si="23">IF($W66="","",TRIM(LEFT($W66&amp;"""",FIND("""",$W66&amp;"""")-1)))</f>
        <v/>
      </c>
      <c r="Y66" s="57" t="str">
        <f>IF($X66="","",IFERROR(VLOOKUP($X66,'Char Popularity'!$A$2:$C$500,2,FALSE),""))</f>
        <v/>
      </c>
      <c r="Z66" s="56">
        <f>IF($X66="",1,IFERROR(VLOOKUP($X66,'Char Popularity'!$A$2:$C$500,3,FALSE),1))</f>
        <v>1</v>
      </c>
      <c r="AA66" s="62">
        <f>IF($H66&lt;&gt;"Y",0,(IF($F66&lt;&gt;"",ROUND(Dashboard!$R$4/$F66,1),IF(AND($I66="Base",$E66="Base"),Dashboard!$R$5,IF(AND($I66="Base",$E66="Red"),Dashboard!$R$6,IF(AND($I66="Base",$E66="Gold"),Dashboard!$R$7,VLOOKUP($I66,Dashboard!$Q$16:$R$21,2,FALSE)))))*VLOOKUP($I66,Dashboard!$Q$9:$R$13,2,FALSE)*IF(AND($I66="Auto",$F66="",OR($B66="Autographs Duals",$B66="Autographs Triples",$B66="Autographs Quads",$B66="Autographs Quads (Inscribed)")),IF($B66="Autographs Duals",2,IF($B66="Autographs Triples",3,4)),1)))</f>
        <v>1</v>
      </c>
      <c r="AB66" s="62">
        <f t="shared" ref="AB66:AB129" si="24">IF($L66=1,$AA66,0)</f>
        <v>1</v>
      </c>
      <c r="AC66" s="62">
        <f t="shared" ref="AC66:AC129" si="25">IF($M66=1,$AA66,0)</f>
        <v>0</v>
      </c>
    </row>
    <row r="67" spans="1:29" ht="28.7" customHeight="1" x14ac:dyDescent="0.25">
      <c r="A67" s="4" t="s">
        <v>17</v>
      </c>
      <c r="B67" s="7" t="s">
        <v>61</v>
      </c>
      <c r="C67" s="2" t="s">
        <v>1465</v>
      </c>
      <c r="D67" s="7" t="s">
        <v>973</v>
      </c>
      <c r="E67" s="4" t="s">
        <v>60</v>
      </c>
      <c r="F67" s="2"/>
      <c r="G67" s="2" t="s">
        <v>1399</v>
      </c>
      <c r="H67" s="2" t="s">
        <v>1400</v>
      </c>
      <c r="I67" s="4" t="s">
        <v>60</v>
      </c>
      <c r="J67" s="112">
        <f>IF($H67&lt;&gt;"Y",0,ROUND(MIN(Dashboard!$R$24,IF(IFERROR(VLOOKUP($B67,Dashboard!$Q$28:$S$60,2,FALSE),0)&gt;0,IFERROR(VLOOKUP($B67,Dashboard!$Q$28:$S$60,2,FALSE),0),$Z67*IF($U67&lt;&gt;"",ROUND((Dashboard!$R$4/$U67)*VLOOKUP($I67,Dashboard!$Q$9:$R$13,2,FALSE)*IF(ISNUMBER(SEARCH("Duals",$B67)),2,IF(ISNUMBER(SEARCH("Triples",$B67)),3,IF(ISNUMBER(SEARCH("Quads",$B67)),4,1))),2),ROUND(VLOOKUP($I67,Dashboard!$Q$15:$R$20,2,FALSE)*IF($E67="Red",Dashboard!$R$6,IF($E67="Gold",Dashboard!$R$7,Dashboard!$R$5))*IF(ISNUMBER(SEARCH("Duals",$B67)),2,IF(ISNUMBER(SEARCH("Triples",$B67)),3,IF(ISNUMBER(SEARCH("Quads",$B67)),4,1))),2))*IF(IFERROR(VLOOKUP($B67,Dashboard!$Q$28:$S$60,3,FALSE),0)&gt;0,VLOOKUP($B67,Dashboard!$Q$28:$S$60,3,FALSE),1))),0))</f>
        <v>1</v>
      </c>
      <c r="K67" s="2" t="str">
        <f>IF('Base S1'!C67="","",'Base S1'!C67)</f>
        <v>h</v>
      </c>
      <c r="L67" s="2">
        <f t="shared" si="13"/>
        <v>1</v>
      </c>
      <c r="M67" s="2">
        <f t="shared" si="14"/>
        <v>0</v>
      </c>
      <c r="N67" s="2">
        <f t="shared" si="15"/>
        <v>1</v>
      </c>
      <c r="O67" s="2">
        <f t="shared" si="16"/>
        <v>0</v>
      </c>
      <c r="P67" s="112">
        <f t="shared" si="17"/>
        <v>1</v>
      </c>
      <c r="Q67" s="112">
        <f t="shared" si="18"/>
        <v>0</v>
      </c>
      <c r="R67" s="53"/>
      <c r="S67" s="53" t="str">
        <f t="shared" si="19"/>
        <v>Base S1|Base Set - Season 1|66|Base</v>
      </c>
      <c r="T67" s="57" t="str">
        <f>IF($S67="","",IFERROR(VLOOKUP($S67,'Pop Estimates (Non-#d)'!$N$2:$O$500,2,FALSE),""))</f>
        <v/>
      </c>
      <c r="U67" s="57" t="str">
        <f t="shared" si="20"/>
        <v/>
      </c>
      <c r="V67" s="53" t="str">
        <f t="shared" si="21"/>
        <v/>
      </c>
      <c r="W67" s="53" t="str">
        <f t="shared" si="22"/>
        <v/>
      </c>
      <c r="X67" s="53" t="str">
        <f t="shared" si="23"/>
        <v/>
      </c>
      <c r="Y67" s="57" t="str">
        <f>IF($X67="","",IFERROR(VLOOKUP($X67,'Char Popularity'!$A$2:$C$500,2,FALSE),""))</f>
        <v/>
      </c>
      <c r="Z67" s="56">
        <f>IF($X67="",1,IFERROR(VLOOKUP($X67,'Char Popularity'!$A$2:$C$500,3,FALSE),1))</f>
        <v>1</v>
      </c>
      <c r="AA67" s="62">
        <f>IF($H67&lt;&gt;"Y",0,(IF($F67&lt;&gt;"",ROUND(Dashboard!$R$4/$F67,1),IF(AND($I67="Base",$E67="Base"),Dashboard!$R$5,IF(AND($I67="Base",$E67="Red"),Dashboard!$R$6,IF(AND($I67="Base",$E67="Gold"),Dashboard!$R$7,VLOOKUP($I67,Dashboard!$Q$16:$R$21,2,FALSE)))))*VLOOKUP($I67,Dashboard!$Q$9:$R$13,2,FALSE)*IF(AND($I67="Auto",$F67="",OR($B67="Autographs Duals",$B67="Autographs Triples",$B67="Autographs Quads",$B67="Autographs Quads (Inscribed)")),IF($B67="Autographs Duals",2,IF($B67="Autographs Triples",3,4)),1)))</f>
        <v>1</v>
      </c>
      <c r="AB67" s="62">
        <f t="shared" si="24"/>
        <v>1</v>
      </c>
      <c r="AC67" s="62">
        <f t="shared" si="25"/>
        <v>0</v>
      </c>
    </row>
    <row r="68" spans="1:29" ht="28.7" customHeight="1" x14ac:dyDescent="0.25">
      <c r="A68" s="4" t="s">
        <v>17</v>
      </c>
      <c r="B68" s="7" t="s">
        <v>61</v>
      </c>
      <c r="C68" s="2" t="s">
        <v>1466</v>
      </c>
      <c r="D68" s="7" t="s">
        <v>974</v>
      </c>
      <c r="E68" s="4" t="s">
        <v>60</v>
      </c>
      <c r="F68" s="2"/>
      <c r="G68" s="2" t="s">
        <v>1399</v>
      </c>
      <c r="H68" s="2" t="s">
        <v>1400</v>
      </c>
      <c r="I68" s="4" t="s">
        <v>60</v>
      </c>
      <c r="J68" s="112">
        <f>IF($H68&lt;&gt;"Y",0,ROUND(MIN(Dashboard!$R$24,IF(IFERROR(VLOOKUP($B68,Dashboard!$Q$28:$S$60,2,FALSE),0)&gt;0,IFERROR(VLOOKUP($B68,Dashboard!$Q$28:$S$60,2,FALSE),0),$Z68*IF($U68&lt;&gt;"",ROUND((Dashboard!$R$4/$U68)*VLOOKUP($I68,Dashboard!$Q$9:$R$13,2,FALSE)*IF(ISNUMBER(SEARCH("Duals",$B68)),2,IF(ISNUMBER(SEARCH("Triples",$B68)),3,IF(ISNUMBER(SEARCH("Quads",$B68)),4,1))),2),ROUND(VLOOKUP($I68,Dashboard!$Q$15:$R$20,2,FALSE)*IF($E68="Red",Dashboard!$R$6,IF($E68="Gold",Dashboard!$R$7,Dashboard!$R$5))*IF(ISNUMBER(SEARCH("Duals",$B68)),2,IF(ISNUMBER(SEARCH("Triples",$B68)),3,IF(ISNUMBER(SEARCH("Quads",$B68)),4,1))),2))*IF(IFERROR(VLOOKUP($B68,Dashboard!$Q$28:$S$60,3,FALSE),0)&gt;0,VLOOKUP($B68,Dashboard!$Q$28:$S$60,3,FALSE),1))),0))</f>
        <v>1</v>
      </c>
      <c r="K68" s="2" t="str">
        <f>IF('Base S1'!C68="","",'Base S1'!C68)</f>
        <v>h</v>
      </c>
      <c r="L68" s="2">
        <f t="shared" si="13"/>
        <v>1</v>
      </c>
      <c r="M68" s="2">
        <f t="shared" si="14"/>
        <v>0</v>
      </c>
      <c r="N68" s="2">
        <f t="shared" si="15"/>
        <v>1</v>
      </c>
      <c r="O68" s="2">
        <f t="shared" si="16"/>
        <v>0</v>
      </c>
      <c r="P68" s="112">
        <f t="shared" si="17"/>
        <v>1</v>
      </c>
      <c r="Q68" s="112">
        <f t="shared" si="18"/>
        <v>0</v>
      </c>
      <c r="R68" s="53"/>
      <c r="S68" s="53" t="str">
        <f t="shared" si="19"/>
        <v>Base S1|Base Set - Season 1|67|Base</v>
      </c>
      <c r="T68" s="57" t="str">
        <f>IF($S68="","",IFERROR(VLOOKUP($S68,'Pop Estimates (Non-#d)'!$N$2:$O$500,2,FALSE),""))</f>
        <v/>
      </c>
      <c r="U68" s="57" t="str">
        <f t="shared" si="20"/>
        <v/>
      </c>
      <c r="V68" s="53" t="str">
        <f t="shared" si="21"/>
        <v/>
      </c>
      <c r="W68" s="53" t="str">
        <f t="shared" si="22"/>
        <v/>
      </c>
      <c r="X68" s="53" t="str">
        <f t="shared" si="23"/>
        <v/>
      </c>
      <c r="Y68" s="57" t="str">
        <f>IF($X68="","",IFERROR(VLOOKUP($X68,'Char Popularity'!$A$2:$C$500,2,FALSE),""))</f>
        <v/>
      </c>
      <c r="Z68" s="56">
        <f>IF($X68="",1,IFERROR(VLOOKUP($X68,'Char Popularity'!$A$2:$C$500,3,FALSE),1))</f>
        <v>1</v>
      </c>
      <c r="AA68" s="62">
        <f>IF($H68&lt;&gt;"Y",0,(IF($F68&lt;&gt;"",ROUND(Dashboard!$R$4/$F68,1),IF(AND($I68="Base",$E68="Base"),Dashboard!$R$5,IF(AND($I68="Base",$E68="Red"),Dashboard!$R$6,IF(AND($I68="Base",$E68="Gold"),Dashboard!$R$7,VLOOKUP($I68,Dashboard!$Q$16:$R$21,2,FALSE)))))*VLOOKUP($I68,Dashboard!$Q$9:$R$13,2,FALSE)*IF(AND($I68="Auto",$F68="",OR($B68="Autographs Duals",$B68="Autographs Triples",$B68="Autographs Quads",$B68="Autographs Quads (Inscribed)")),IF($B68="Autographs Duals",2,IF($B68="Autographs Triples",3,4)),1)))</f>
        <v>1</v>
      </c>
      <c r="AB68" s="62">
        <f t="shared" si="24"/>
        <v>1</v>
      </c>
      <c r="AC68" s="62">
        <f t="shared" si="25"/>
        <v>0</v>
      </c>
    </row>
    <row r="69" spans="1:29" ht="28.7" customHeight="1" x14ac:dyDescent="0.25">
      <c r="A69" s="4" t="s">
        <v>17</v>
      </c>
      <c r="B69" s="7" t="s">
        <v>61</v>
      </c>
      <c r="C69" s="2" t="s">
        <v>1467</v>
      </c>
      <c r="D69" s="7" t="s">
        <v>977</v>
      </c>
      <c r="E69" s="4" t="s">
        <v>60</v>
      </c>
      <c r="F69" s="2"/>
      <c r="G69" s="2" t="s">
        <v>1399</v>
      </c>
      <c r="H69" s="2" t="s">
        <v>1400</v>
      </c>
      <c r="I69" s="4" t="s">
        <v>60</v>
      </c>
      <c r="J69" s="112">
        <f>IF($H69&lt;&gt;"Y",0,ROUND(MIN(Dashboard!$R$24,IF(IFERROR(VLOOKUP($B69,Dashboard!$Q$28:$S$60,2,FALSE),0)&gt;0,IFERROR(VLOOKUP($B69,Dashboard!$Q$28:$S$60,2,FALSE),0),$Z69*IF($U69&lt;&gt;"",ROUND((Dashboard!$R$4/$U69)*VLOOKUP($I69,Dashboard!$Q$9:$R$13,2,FALSE)*IF(ISNUMBER(SEARCH("Duals",$B69)),2,IF(ISNUMBER(SEARCH("Triples",$B69)),3,IF(ISNUMBER(SEARCH("Quads",$B69)),4,1))),2),ROUND(VLOOKUP($I69,Dashboard!$Q$15:$R$20,2,FALSE)*IF($E69="Red",Dashboard!$R$6,IF($E69="Gold",Dashboard!$R$7,Dashboard!$R$5))*IF(ISNUMBER(SEARCH("Duals",$B69)),2,IF(ISNUMBER(SEARCH("Triples",$B69)),3,IF(ISNUMBER(SEARCH("Quads",$B69)),4,1))),2))*IF(IFERROR(VLOOKUP($B69,Dashboard!$Q$28:$S$60,3,FALSE),0)&gt;0,VLOOKUP($B69,Dashboard!$Q$28:$S$60,3,FALSE),1))),0))</f>
        <v>1</v>
      </c>
      <c r="K69" s="2" t="str">
        <f>IF('Base S1'!C69="","",'Base S1'!C69)</f>
        <v>h</v>
      </c>
      <c r="L69" s="2">
        <f t="shared" si="13"/>
        <v>1</v>
      </c>
      <c r="M69" s="2">
        <f t="shared" si="14"/>
        <v>0</v>
      </c>
      <c r="N69" s="2">
        <f t="shared" si="15"/>
        <v>1</v>
      </c>
      <c r="O69" s="2">
        <f t="shared" si="16"/>
        <v>0</v>
      </c>
      <c r="P69" s="112">
        <f t="shared" si="17"/>
        <v>1</v>
      </c>
      <c r="Q69" s="112">
        <f t="shared" si="18"/>
        <v>0</v>
      </c>
      <c r="R69" s="53"/>
      <c r="S69" s="53" t="str">
        <f t="shared" si="19"/>
        <v>Base S1|Base Set - Season 1|68|Base</v>
      </c>
      <c r="T69" s="57" t="str">
        <f>IF($S69="","",IFERROR(VLOOKUP($S69,'Pop Estimates (Non-#d)'!$N$2:$O$500,2,FALSE),""))</f>
        <v/>
      </c>
      <c r="U69" s="57" t="str">
        <f t="shared" si="20"/>
        <v/>
      </c>
      <c r="V69" s="53" t="str">
        <f t="shared" si="21"/>
        <v/>
      </c>
      <c r="W69" s="53" t="str">
        <f t="shared" si="22"/>
        <v/>
      </c>
      <c r="X69" s="53" t="str">
        <f t="shared" si="23"/>
        <v/>
      </c>
      <c r="Y69" s="57" t="str">
        <f>IF($X69="","",IFERROR(VLOOKUP($X69,'Char Popularity'!$A$2:$C$500,2,FALSE),""))</f>
        <v/>
      </c>
      <c r="Z69" s="56">
        <f>IF($X69="",1,IFERROR(VLOOKUP($X69,'Char Popularity'!$A$2:$C$500,3,FALSE),1))</f>
        <v>1</v>
      </c>
      <c r="AA69" s="62">
        <f>IF($H69&lt;&gt;"Y",0,(IF($F69&lt;&gt;"",ROUND(Dashboard!$R$4/$F69,1),IF(AND($I69="Base",$E69="Base"),Dashboard!$R$5,IF(AND($I69="Base",$E69="Red"),Dashboard!$R$6,IF(AND($I69="Base",$E69="Gold"),Dashboard!$R$7,VLOOKUP($I69,Dashboard!$Q$16:$R$21,2,FALSE)))))*VLOOKUP($I69,Dashboard!$Q$9:$R$13,2,FALSE)*IF(AND($I69="Auto",$F69="",OR($B69="Autographs Duals",$B69="Autographs Triples",$B69="Autographs Quads",$B69="Autographs Quads (Inscribed)")),IF($B69="Autographs Duals",2,IF($B69="Autographs Triples",3,4)),1)))</f>
        <v>1</v>
      </c>
      <c r="AB69" s="62">
        <f t="shared" si="24"/>
        <v>1</v>
      </c>
      <c r="AC69" s="62">
        <f t="shared" si="25"/>
        <v>0</v>
      </c>
    </row>
    <row r="70" spans="1:29" ht="28.7" customHeight="1" x14ac:dyDescent="0.25">
      <c r="A70" s="4" t="s">
        <v>17</v>
      </c>
      <c r="B70" s="7" t="s">
        <v>61</v>
      </c>
      <c r="C70" s="2" t="s">
        <v>1468</v>
      </c>
      <c r="D70" s="7" t="s">
        <v>979</v>
      </c>
      <c r="E70" s="4" t="s">
        <v>60</v>
      </c>
      <c r="F70" s="2"/>
      <c r="G70" s="2" t="s">
        <v>1399</v>
      </c>
      <c r="H70" s="2" t="s">
        <v>1400</v>
      </c>
      <c r="I70" s="4" t="s">
        <v>60</v>
      </c>
      <c r="J70" s="112">
        <f>IF($H70&lt;&gt;"Y",0,ROUND(MIN(Dashboard!$R$24,IF(IFERROR(VLOOKUP($B70,Dashboard!$Q$28:$S$60,2,FALSE),0)&gt;0,IFERROR(VLOOKUP($B70,Dashboard!$Q$28:$S$60,2,FALSE),0),$Z70*IF($U70&lt;&gt;"",ROUND((Dashboard!$R$4/$U70)*VLOOKUP($I70,Dashboard!$Q$9:$R$13,2,FALSE)*IF(ISNUMBER(SEARCH("Duals",$B70)),2,IF(ISNUMBER(SEARCH("Triples",$B70)),3,IF(ISNUMBER(SEARCH("Quads",$B70)),4,1))),2),ROUND(VLOOKUP($I70,Dashboard!$Q$15:$R$20,2,FALSE)*IF($E70="Red",Dashboard!$R$6,IF($E70="Gold",Dashboard!$R$7,Dashboard!$R$5))*IF(ISNUMBER(SEARCH("Duals",$B70)),2,IF(ISNUMBER(SEARCH("Triples",$B70)),3,IF(ISNUMBER(SEARCH("Quads",$B70)),4,1))),2))*IF(IFERROR(VLOOKUP($B70,Dashboard!$Q$28:$S$60,3,FALSE),0)&gt;0,VLOOKUP($B70,Dashboard!$Q$28:$S$60,3,FALSE),1))),0))</f>
        <v>1</v>
      </c>
      <c r="K70" s="2" t="str">
        <f>IF('Base S1'!C70="","",'Base S1'!C70)</f>
        <v>h</v>
      </c>
      <c r="L70" s="2">
        <f t="shared" si="13"/>
        <v>1</v>
      </c>
      <c r="M70" s="2">
        <f t="shared" si="14"/>
        <v>0</v>
      </c>
      <c r="N70" s="2">
        <f t="shared" si="15"/>
        <v>1</v>
      </c>
      <c r="O70" s="2">
        <f t="shared" si="16"/>
        <v>0</v>
      </c>
      <c r="P70" s="112">
        <f t="shared" si="17"/>
        <v>1</v>
      </c>
      <c r="Q70" s="112">
        <f t="shared" si="18"/>
        <v>0</v>
      </c>
      <c r="R70" s="53"/>
      <c r="S70" s="53" t="str">
        <f t="shared" si="19"/>
        <v>Base S1|Base Set - Season 1|69|Base</v>
      </c>
      <c r="T70" s="57" t="str">
        <f>IF($S70="","",IFERROR(VLOOKUP($S70,'Pop Estimates (Non-#d)'!$N$2:$O$500,2,FALSE),""))</f>
        <v/>
      </c>
      <c r="U70" s="57" t="str">
        <f t="shared" si="20"/>
        <v/>
      </c>
      <c r="V70" s="53" t="str">
        <f t="shared" si="21"/>
        <v/>
      </c>
      <c r="W70" s="53" t="str">
        <f t="shared" si="22"/>
        <v/>
      </c>
      <c r="X70" s="53" t="str">
        <f t="shared" si="23"/>
        <v/>
      </c>
      <c r="Y70" s="57" t="str">
        <f>IF($X70="","",IFERROR(VLOOKUP($X70,'Char Popularity'!$A$2:$C$500,2,FALSE),""))</f>
        <v/>
      </c>
      <c r="Z70" s="56">
        <f>IF($X70="",1,IFERROR(VLOOKUP($X70,'Char Popularity'!$A$2:$C$500,3,FALSE),1))</f>
        <v>1</v>
      </c>
      <c r="AA70" s="62">
        <f>IF($H70&lt;&gt;"Y",0,(IF($F70&lt;&gt;"",ROUND(Dashboard!$R$4/$F70,1),IF(AND($I70="Base",$E70="Base"),Dashboard!$R$5,IF(AND($I70="Base",$E70="Red"),Dashboard!$R$6,IF(AND($I70="Base",$E70="Gold"),Dashboard!$R$7,VLOOKUP($I70,Dashboard!$Q$16:$R$21,2,FALSE)))))*VLOOKUP($I70,Dashboard!$Q$9:$R$13,2,FALSE)*IF(AND($I70="Auto",$F70="",OR($B70="Autographs Duals",$B70="Autographs Triples",$B70="Autographs Quads",$B70="Autographs Quads (Inscribed)")),IF($B70="Autographs Duals",2,IF($B70="Autographs Triples",3,4)),1)))</f>
        <v>1</v>
      </c>
      <c r="AB70" s="62">
        <f t="shared" si="24"/>
        <v>1</v>
      </c>
      <c r="AC70" s="62">
        <f t="shared" si="25"/>
        <v>0</v>
      </c>
    </row>
    <row r="71" spans="1:29" ht="28.7" customHeight="1" x14ac:dyDescent="0.25">
      <c r="A71" s="4" t="s">
        <v>17</v>
      </c>
      <c r="B71" s="7" t="s">
        <v>61</v>
      </c>
      <c r="C71" s="2" t="s">
        <v>1469</v>
      </c>
      <c r="D71" s="7" t="s">
        <v>980</v>
      </c>
      <c r="E71" s="4" t="s">
        <v>60</v>
      </c>
      <c r="F71" s="2"/>
      <c r="G71" s="2" t="s">
        <v>1399</v>
      </c>
      <c r="H71" s="2" t="s">
        <v>1400</v>
      </c>
      <c r="I71" s="4" t="s">
        <v>60</v>
      </c>
      <c r="J71" s="112">
        <f>IF($H71&lt;&gt;"Y",0,ROUND(MIN(Dashboard!$R$24,IF(IFERROR(VLOOKUP($B71,Dashboard!$Q$28:$S$60,2,FALSE),0)&gt;0,IFERROR(VLOOKUP($B71,Dashboard!$Q$28:$S$60,2,FALSE),0),$Z71*IF($U71&lt;&gt;"",ROUND((Dashboard!$R$4/$U71)*VLOOKUP($I71,Dashboard!$Q$9:$R$13,2,FALSE)*IF(ISNUMBER(SEARCH("Duals",$B71)),2,IF(ISNUMBER(SEARCH("Triples",$B71)),3,IF(ISNUMBER(SEARCH("Quads",$B71)),4,1))),2),ROUND(VLOOKUP($I71,Dashboard!$Q$15:$R$20,2,FALSE)*IF($E71="Red",Dashboard!$R$6,IF($E71="Gold",Dashboard!$R$7,Dashboard!$R$5))*IF(ISNUMBER(SEARCH("Duals",$B71)),2,IF(ISNUMBER(SEARCH("Triples",$B71)),3,IF(ISNUMBER(SEARCH("Quads",$B71)),4,1))),2))*IF(IFERROR(VLOOKUP($B71,Dashboard!$Q$28:$S$60,3,FALSE),0)&gt;0,VLOOKUP($B71,Dashboard!$Q$28:$S$60,3,FALSE),1))),0))</f>
        <v>1</v>
      </c>
      <c r="K71" s="2" t="str">
        <f>IF('Base S1'!C71="","",'Base S1'!C71)</f>
        <v>h</v>
      </c>
      <c r="L71" s="2">
        <f t="shared" si="13"/>
        <v>1</v>
      </c>
      <c r="M71" s="2">
        <f t="shared" si="14"/>
        <v>0</v>
      </c>
      <c r="N71" s="2">
        <f t="shared" si="15"/>
        <v>1</v>
      </c>
      <c r="O71" s="2">
        <f t="shared" si="16"/>
        <v>0</v>
      </c>
      <c r="P71" s="112">
        <f t="shared" si="17"/>
        <v>1</v>
      </c>
      <c r="Q71" s="112">
        <f t="shared" si="18"/>
        <v>0</v>
      </c>
      <c r="R71" s="53"/>
      <c r="S71" s="53" t="str">
        <f t="shared" si="19"/>
        <v>Base S1|Base Set - Season 1|70|Base</v>
      </c>
      <c r="T71" s="57" t="str">
        <f>IF($S71="","",IFERROR(VLOOKUP($S71,'Pop Estimates (Non-#d)'!$N$2:$O$500,2,FALSE),""))</f>
        <v/>
      </c>
      <c r="U71" s="57" t="str">
        <f t="shared" si="20"/>
        <v/>
      </c>
      <c r="V71" s="53" t="str">
        <f t="shared" si="21"/>
        <v/>
      </c>
      <c r="W71" s="53" t="str">
        <f t="shared" si="22"/>
        <v/>
      </c>
      <c r="X71" s="53" t="str">
        <f t="shared" si="23"/>
        <v/>
      </c>
      <c r="Y71" s="57" t="str">
        <f>IF($X71="","",IFERROR(VLOOKUP($X71,'Char Popularity'!$A$2:$C$500,2,FALSE),""))</f>
        <v/>
      </c>
      <c r="Z71" s="56">
        <f>IF($X71="",1,IFERROR(VLOOKUP($X71,'Char Popularity'!$A$2:$C$500,3,FALSE),1))</f>
        <v>1</v>
      </c>
      <c r="AA71" s="62">
        <f>IF($H71&lt;&gt;"Y",0,(IF($F71&lt;&gt;"",ROUND(Dashboard!$R$4/$F71,1),IF(AND($I71="Base",$E71="Base"),Dashboard!$R$5,IF(AND($I71="Base",$E71="Red"),Dashboard!$R$6,IF(AND($I71="Base",$E71="Gold"),Dashboard!$R$7,VLOOKUP($I71,Dashboard!$Q$16:$R$21,2,FALSE)))))*VLOOKUP($I71,Dashboard!$Q$9:$R$13,2,FALSE)*IF(AND($I71="Auto",$F71="",OR($B71="Autographs Duals",$B71="Autographs Triples",$B71="Autographs Quads",$B71="Autographs Quads (Inscribed)")),IF($B71="Autographs Duals",2,IF($B71="Autographs Triples",3,4)),1)))</f>
        <v>1</v>
      </c>
      <c r="AB71" s="62">
        <f t="shared" si="24"/>
        <v>1</v>
      </c>
      <c r="AC71" s="62">
        <f t="shared" si="25"/>
        <v>0</v>
      </c>
    </row>
    <row r="72" spans="1:29" ht="28.7" customHeight="1" x14ac:dyDescent="0.25">
      <c r="A72" s="4" t="s">
        <v>17</v>
      </c>
      <c r="B72" s="7" t="s">
        <v>61</v>
      </c>
      <c r="C72" s="2" t="s">
        <v>1470</v>
      </c>
      <c r="D72" s="7" t="s">
        <v>981</v>
      </c>
      <c r="E72" s="4" t="s">
        <v>60</v>
      </c>
      <c r="F72" s="2"/>
      <c r="G72" s="2" t="s">
        <v>1399</v>
      </c>
      <c r="H72" s="2" t="s">
        <v>1400</v>
      </c>
      <c r="I72" s="4" t="s">
        <v>60</v>
      </c>
      <c r="J72" s="112">
        <f>IF($H72&lt;&gt;"Y",0,ROUND(MIN(Dashboard!$R$24,IF(IFERROR(VLOOKUP($B72,Dashboard!$Q$28:$S$60,2,FALSE),0)&gt;0,IFERROR(VLOOKUP($B72,Dashboard!$Q$28:$S$60,2,FALSE),0),$Z72*IF($U72&lt;&gt;"",ROUND((Dashboard!$R$4/$U72)*VLOOKUP($I72,Dashboard!$Q$9:$R$13,2,FALSE)*IF(ISNUMBER(SEARCH("Duals",$B72)),2,IF(ISNUMBER(SEARCH("Triples",$B72)),3,IF(ISNUMBER(SEARCH("Quads",$B72)),4,1))),2),ROUND(VLOOKUP($I72,Dashboard!$Q$15:$R$20,2,FALSE)*IF($E72="Red",Dashboard!$R$6,IF($E72="Gold",Dashboard!$R$7,Dashboard!$R$5))*IF(ISNUMBER(SEARCH("Duals",$B72)),2,IF(ISNUMBER(SEARCH("Triples",$B72)),3,IF(ISNUMBER(SEARCH("Quads",$B72)),4,1))),2))*IF(IFERROR(VLOOKUP($B72,Dashboard!$Q$28:$S$60,3,FALSE),0)&gt;0,VLOOKUP($B72,Dashboard!$Q$28:$S$60,3,FALSE),1))),0))</f>
        <v>1</v>
      </c>
      <c r="K72" s="2" t="str">
        <f>IF('Base S1'!C72="","",'Base S1'!C72)</f>
        <v>h</v>
      </c>
      <c r="L72" s="2">
        <f t="shared" si="13"/>
        <v>1</v>
      </c>
      <c r="M72" s="2">
        <f t="shared" si="14"/>
        <v>0</v>
      </c>
      <c r="N72" s="2">
        <f t="shared" si="15"/>
        <v>1</v>
      </c>
      <c r="O72" s="2">
        <f t="shared" si="16"/>
        <v>0</v>
      </c>
      <c r="P72" s="112">
        <f t="shared" si="17"/>
        <v>1</v>
      </c>
      <c r="Q72" s="112">
        <f t="shared" si="18"/>
        <v>0</v>
      </c>
      <c r="R72" s="53"/>
      <c r="S72" s="53" t="str">
        <f t="shared" si="19"/>
        <v>Base S1|Base Set - Season 1|71|Base</v>
      </c>
      <c r="T72" s="57" t="str">
        <f>IF($S72="","",IFERROR(VLOOKUP($S72,'Pop Estimates (Non-#d)'!$N$2:$O$500,2,FALSE),""))</f>
        <v/>
      </c>
      <c r="U72" s="57" t="str">
        <f t="shared" si="20"/>
        <v/>
      </c>
      <c r="V72" s="53" t="str">
        <f t="shared" si="21"/>
        <v/>
      </c>
      <c r="W72" s="53" t="str">
        <f t="shared" si="22"/>
        <v/>
      </c>
      <c r="X72" s="53" t="str">
        <f t="shared" si="23"/>
        <v/>
      </c>
      <c r="Y72" s="57" t="str">
        <f>IF($X72="","",IFERROR(VLOOKUP($X72,'Char Popularity'!$A$2:$C$500,2,FALSE),""))</f>
        <v/>
      </c>
      <c r="Z72" s="56">
        <f>IF($X72="",1,IFERROR(VLOOKUP($X72,'Char Popularity'!$A$2:$C$500,3,FALSE),1))</f>
        <v>1</v>
      </c>
      <c r="AA72" s="62">
        <f>IF($H72&lt;&gt;"Y",0,(IF($F72&lt;&gt;"",ROUND(Dashboard!$R$4/$F72,1),IF(AND($I72="Base",$E72="Base"),Dashboard!$R$5,IF(AND($I72="Base",$E72="Red"),Dashboard!$R$6,IF(AND($I72="Base",$E72="Gold"),Dashboard!$R$7,VLOOKUP($I72,Dashboard!$Q$16:$R$21,2,FALSE)))))*VLOOKUP($I72,Dashboard!$Q$9:$R$13,2,FALSE)*IF(AND($I72="Auto",$F72="",OR($B72="Autographs Duals",$B72="Autographs Triples",$B72="Autographs Quads",$B72="Autographs Quads (Inscribed)")),IF($B72="Autographs Duals",2,IF($B72="Autographs Triples",3,4)),1)))</f>
        <v>1</v>
      </c>
      <c r="AB72" s="62">
        <f t="shared" si="24"/>
        <v>1</v>
      </c>
      <c r="AC72" s="62">
        <f t="shared" si="25"/>
        <v>0</v>
      </c>
    </row>
    <row r="73" spans="1:29" ht="28.7" customHeight="1" x14ac:dyDescent="0.25">
      <c r="A73" s="4" t="s">
        <v>17</v>
      </c>
      <c r="B73" s="7" t="s">
        <v>61</v>
      </c>
      <c r="C73" s="2" t="s">
        <v>1471</v>
      </c>
      <c r="D73" s="7" t="s">
        <v>983</v>
      </c>
      <c r="E73" s="4" t="s">
        <v>60</v>
      </c>
      <c r="F73" s="2"/>
      <c r="G73" s="2" t="s">
        <v>1399</v>
      </c>
      <c r="H73" s="2" t="s">
        <v>1400</v>
      </c>
      <c r="I73" s="4" t="s">
        <v>60</v>
      </c>
      <c r="J73" s="112">
        <f>IF($H73&lt;&gt;"Y",0,ROUND(MIN(Dashboard!$R$24,IF(IFERROR(VLOOKUP($B73,Dashboard!$Q$28:$S$60,2,FALSE),0)&gt;0,IFERROR(VLOOKUP($B73,Dashboard!$Q$28:$S$60,2,FALSE),0),$Z73*IF($U73&lt;&gt;"",ROUND((Dashboard!$R$4/$U73)*VLOOKUP($I73,Dashboard!$Q$9:$R$13,2,FALSE)*IF(ISNUMBER(SEARCH("Duals",$B73)),2,IF(ISNUMBER(SEARCH("Triples",$B73)),3,IF(ISNUMBER(SEARCH("Quads",$B73)),4,1))),2),ROUND(VLOOKUP($I73,Dashboard!$Q$15:$R$20,2,FALSE)*IF($E73="Red",Dashboard!$R$6,IF($E73="Gold",Dashboard!$R$7,Dashboard!$R$5))*IF(ISNUMBER(SEARCH("Duals",$B73)),2,IF(ISNUMBER(SEARCH("Triples",$B73)),3,IF(ISNUMBER(SEARCH("Quads",$B73)),4,1))),2))*IF(IFERROR(VLOOKUP($B73,Dashboard!$Q$28:$S$60,3,FALSE),0)&gt;0,VLOOKUP($B73,Dashboard!$Q$28:$S$60,3,FALSE),1))),0))</f>
        <v>1</v>
      </c>
      <c r="K73" s="2" t="str">
        <f>IF('Base S1'!C73="","",'Base S1'!C73)</f>
        <v>h</v>
      </c>
      <c r="L73" s="2">
        <f t="shared" si="13"/>
        <v>1</v>
      </c>
      <c r="M73" s="2">
        <f t="shared" si="14"/>
        <v>0</v>
      </c>
      <c r="N73" s="2">
        <f t="shared" si="15"/>
        <v>1</v>
      </c>
      <c r="O73" s="2">
        <f t="shared" si="16"/>
        <v>0</v>
      </c>
      <c r="P73" s="112">
        <f t="shared" si="17"/>
        <v>1</v>
      </c>
      <c r="Q73" s="112">
        <f t="shared" si="18"/>
        <v>0</v>
      </c>
      <c r="R73" s="53"/>
      <c r="S73" s="53" t="str">
        <f t="shared" si="19"/>
        <v>Base S1|Base Set - Season 1|72|Base</v>
      </c>
      <c r="T73" s="57" t="str">
        <f>IF($S73="","",IFERROR(VLOOKUP($S73,'Pop Estimates (Non-#d)'!$N$2:$O$500,2,FALSE),""))</f>
        <v/>
      </c>
      <c r="U73" s="57" t="str">
        <f t="shared" si="20"/>
        <v/>
      </c>
      <c r="V73" s="53" t="str">
        <f t="shared" si="21"/>
        <v/>
      </c>
      <c r="W73" s="53" t="str">
        <f t="shared" si="22"/>
        <v/>
      </c>
      <c r="X73" s="53" t="str">
        <f t="shared" si="23"/>
        <v/>
      </c>
      <c r="Y73" s="57" t="str">
        <f>IF($X73="","",IFERROR(VLOOKUP($X73,'Char Popularity'!$A$2:$C$500,2,FALSE),""))</f>
        <v/>
      </c>
      <c r="Z73" s="56">
        <f>IF($X73="",1,IFERROR(VLOOKUP($X73,'Char Popularity'!$A$2:$C$500,3,FALSE),1))</f>
        <v>1</v>
      </c>
      <c r="AA73" s="62">
        <f>IF($H73&lt;&gt;"Y",0,(IF($F73&lt;&gt;"",ROUND(Dashboard!$R$4/$F73,1),IF(AND($I73="Base",$E73="Base"),Dashboard!$R$5,IF(AND($I73="Base",$E73="Red"),Dashboard!$R$6,IF(AND($I73="Base",$E73="Gold"),Dashboard!$R$7,VLOOKUP($I73,Dashboard!$Q$16:$R$21,2,FALSE)))))*VLOOKUP($I73,Dashboard!$Q$9:$R$13,2,FALSE)*IF(AND($I73="Auto",$F73="",OR($B73="Autographs Duals",$B73="Autographs Triples",$B73="Autographs Quads",$B73="Autographs Quads (Inscribed)")),IF($B73="Autographs Duals",2,IF($B73="Autographs Triples",3,4)),1)))</f>
        <v>1</v>
      </c>
      <c r="AB73" s="62">
        <f t="shared" si="24"/>
        <v>1</v>
      </c>
      <c r="AC73" s="62">
        <f t="shared" si="25"/>
        <v>0</v>
      </c>
    </row>
    <row r="74" spans="1:29" ht="28.7" customHeight="1" x14ac:dyDescent="0.25">
      <c r="A74" s="4" t="s">
        <v>17</v>
      </c>
      <c r="B74" s="7" t="s">
        <v>61</v>
      </c>
      <c r="C74" s="2" t="s">
        <v>1472</v>
      </c>
      <c r="D74" s="7" t="s">
        <v>985</v>
      </c>
      <c r="E74" s="4" t="s">
        <v>60</v>
      </c>
      <c r="F74" s="2"/>
      <c r="G74" s="2" t="s">
        <v>1399</v>
      </c>
      <c r="H74" s="2" t="s">
        <v>1400</v>
      </c>
      <c r="I74" s="4" t="s">
        <v>60</v>
      </c>
      <c r="J74" s="112">
        <f>IF($H74&lt;&gt;"Y",0,ROUND(MIN(Dashboard!$R$24,IF(IFERROR(VLOOKUP($B74,Dashboard!$Q$28:$S$60,2,FALSE),0)&gt;0,IFERROR(VLOOKUP($B74,Dashboard!$Q$28:$S$60,2,FALSE),0),$Z74*IF($U74&lt;&gt;"",ROUND((Dashboard!$R$4/$U74)*VLOOKUP($I74,Dashboard!$Q$9:$R$13,2,FALSE)*IF(ISNUMBER(SEARCH("Duals",$B74)),2,IF(ISNUMBER(SEARCH("Triples",$B74)),3,IF(ISNUMBER(SEARCH("Quads",$B74)),4,1))),2),ROUND(VLOOKUP($I74,Dashboard!$Q$15:$R$20,2,FALSE)*IF($E74="Red",Dashboard!$R$6,IF($E74="Gold",Dashboard!$R$7,Dashboard!$R$5))*IF(ISNUMBER(SEARCH("Duals",$B74)),2,IF(ISNUMBER(SEARCH("Triples",$B74)),3,IF(ISNUMBER(SEARCH("Quads",$B74)),4,1))),2))*IF(IFERROR(VLOOKUP($B74,Dashboard!$Q$28:$S$60,3,FALSE),0)&gt;0,VLOOKUP($B74,Dashboard!$Q$28:$S$60,3,FALSE),1))),0))</f>
        <v>1</v>
      </c>
      <c r="K74" s="2" t="str">
        <f>IF('Base S1'!C74="","",'Base S1'!C74)</f>
        <v>h</v>
      </c>
      <c r="L74" s="2">
        <f t="shared" si="13"/>
        <v>1</v>
      </c>
      <c r="M74" s="2">
        <f t="shared" si="14"/>
        <v>0</v>
      </c>
      <c r="N74" s="2">
        <f t="shared" si="15"/>
        <v>1</v>
      </c>
      <c r="O74" s="2">
        <f t="shared" si="16"/>
        <v>0</v>
      </c>
      <c r="P74" s="112">
        <f t="shared" si="17"/>
        <v>1</v>
      </c>
      <c r="Q74" s="112">
        <f t="shared" si="18"/>
        <v>0</v>
      </c>
      <c r="R74" s="53"/>
      <c r="S74" s="53" t="str">
        <f t="shared" si="19"/>
        <v>Base S1|Base Set - Season 1|73|Base</v>
      </c>
      <c r="T74" s="57" t="str">
        <f>IF($S74="","",IFERROR(VLOOKUP($S74,'Pop Estimates (Non-#d)'!$N$2:$O$500,2,FALSE),""))</f>
        <v/>
      </c>
      <c r="U74" s="57" t="str">
        <f t="shared" si="20"/>
        <v/>
      </c>
      <c r="V74" s="53" t="str">
        <f t="shared" si="21"/>
        <v/>
      </c>
      <c r="W74" s="53" t="str">
        <f t="shared" si="22"/>
        <v/>
      </c>
      <c r="X74" s="53" t="str">
        <f t="shared" si="23"/>
        <v/>
      </c>
      <c r="Y74" s="57" t="str">
        <f>IF($X74="","",IFERROR(VLOOKUP($X74,'Char Popularity'!$A$2:$C$500,2,FALSE),""))</f>
        <v/>
      </c>
      <c r="Z74" s="56">
        <f>IF($X74="",1,IFERROR(VLOOKUP($X74,'Char Popularity'!$A$2:$C$500,3,FALSE),1))</f>
        <v>1</v>
      </c>
      <c r="AA74" s="62">
        <f>IF($H74&lt;&gt;"Y",0,(IF($F74&lt;&gt;"",ROUND(Dashboard!$R$4/$F74,1),IF(AND($I74="Base",$E74="Base"),Dashboard!$R$5,IF(AND($I74="Base",$E74="Red"),Dashboard!$R$6,IF(AND($I74="Base",$E74="Gold"),Dashboard!$R$7,VLOOKUP($I74,Dashboard!$Q$16:$R$21,2,FALSE)))))*VLOOKUP($I74,Dashboard!$Q$9:$R$13,2,FALSE)*IF(AND($I74="Auto",$F74="",OR($B74="Autographs Duals",$B74="Autographs Triples",$B74="Autographs Quads",$B74="Autographs Quads (Inscribed)")),IF($B74="Autographs Duals",2,IF($B74="Autographs Triples",3,4)),1)))</f>
        <v>1</v>
      </c>
      <c r="AB74" s="62">
        <f t="shared" si="24"/>
        <v>1</v>
      </c>
      <c r="AC74" s="62">
        <f t="shared" si="25"/>
        <v>0</v>
      </c>
    </row>
    <row r="75" spans="1:29" ht="28.7" customHeight="1" x14ac:dyDescent="0.25">
      <c r="A75" s="4" t="s">
        <v>17</v>
      </c>
      <c r="B75" s="7" t="s">
        <v>61</v>
      </c>
      <c r="C75" s="2" t="s">
        <v>1473</v>
      </c>
      <c r="D75" s="7" t="s">
        <v>987</v>
      </c>
      <c r="E75" s="4" t="s">
        <v>60</v>
      </c>
      <c r="F75" s="2"/>
      <c r="G75" s="2" t="s">
        <v>1399</v>
      </c>
      <c r="H75" s="2" t="s">
        <v>1400</v>
      </c>
      <c r="I75" s="4" t="s">
        <v>60</v>
      </c>
      <c r="J75" s="112">
        <f>IF($H75&lt;&gt;"Y",0,ROUND(MIN(Dashboard!$R$24,IF(IFERROR(VLOOKUP($B75,Dashboard!$Q$28:$S$60,2,FALSE),0)&gt;0,IFERROR(VLOOKUP($B75,Dashboard!$Q$28:$S$60,2,FALSE),0),$Z75*IF($U75&lt;&gt;"",ROUND((Dashboard!$R$4/$U75)*VLOOKUP($I75,Dashboard!$Q$9:$R$13,2,FALSE)*IF(ISNUMBER(SEARCH("Duals",$B75)),2,IF(ISNUMBER(SEARCH("Triples",$B75)),3,IF(ISNUMBER(SEARCH("Quads",$B75)),4,1))),2),ROUND(VLOOKUP($I75,Dashboard!$Q$15:$R$20,2,FALSE)*IF($E75="Red",Dashboard!$R$6,IF($E75="Gold",Dashboard!$R$7,Dashboard!$R$5))*IF(ISNUMBER(SEARCH("Duals",$B75)),2,IF(ISNUMBER(SEARCH("Triples",$B75)),3,IF(ISNUMBER(SEARCH("Quads",$B75)),4,1))),2))*IF(IFERROR(VLOOKUP($B75,Dashboard!$Q$28:$S$60,3,FALSE),0)&gt;0,VLOOKUP($B75,Dashboard!$Q$28:$S$60,3,FALSE),1))),0))</f>
        <v>1</v>
      </c>
      <c r="K75" s="2" t="str">
        <f>IF('Base S1'!C75="","",'Base S1'!C75)</f>
        <v>h</v>
      </c>
      <c r="L75" s="2">
        <f t="shared" si="13"/>
        <v>1</v>
      </c>
      <c r="M75" s="2">
        <f t="shared" si="14"/>
        <v>0</v>
      </c>
      <c r="N75" s="2">
        <f t="shared" si="15"/>
        <v>1</v>
      </c>
      <c r="O75" s="2">
        <f t="shared" si="16"/>
        <v>0</v>
      </c>
      <c r="P75" s="112">
        <f t="shared" si="17"/>
        <v>1</v>
      </c>
      <c r="Q75" s="112">
        <f t="shared" si="18"/>
        <v>0</v>
      </c>
      <c r="R75" s="53"/>
      <c r="S75" s="53" t="str">
        <f t="shared" si="19"/>
        <v>Base S1|Base Set - Season 1|74|Base</v>
      </c>
      <c r="T75" s="57" t="str">
        <f>IF($S75="","",IFERROR(VLOOKUP($S75,'Pop Estimates (Non-#d)'!$N$2:$O$500,2,FALSE),""))</f>
        <v/>
      </c>
      <c r="U75" s="57" t="str">
        <f t="shared" si="20"/>
        <v/>
      </c>
      <c r="V75" s="53" t="str">
        <f t="shared" si="21"/>
        <v/>
      </c>
      <c r="W75" s="53" t="str">
        <f t="shared" si="22"/>
        <v/>
      </c>
      <c r="X75" s="53" t="str">
        <f t="shared" si="23"/>
        <v/>
      </c>
      <c r="Y75" s="57" t="str">
        <f>IF($X75="","",IFERROR(VLOOKUP($X75,'Char Popularity'!$A$2:$C$500,2,FALSE),""))</f>
        <v/>
      </c>
      <c r="Z75" s="56">
        <f>IF($X75="",1,IFERROR(VLOOKUP($X75,'Char Popularity'!$A$2:$C$500,3,FALSE),1))</f>
        <v>1</v>
      </c>
      <c r="AA75" s="62">
        <f>IF($H75&lt;&gt;"Y",0,(IF($F75&lt;&gt;"",ROUND(Dashboard!$R$4/$F75,1),IF(AND($I75="Base",$E75="Base"),Dashboard!$R$5,IF(AND($I75="Base",$E75="Red"),Dashboard!$R$6,IF(AND($I75="Base",$E75="Gold"),Dashboard!$R$7,VLOOKUP($I75,Dashboard!$Q$16:$R$21,2,FALSE)))))*VLOOKUP($I75,Dashboard!$Q$9:$R$13,2,FALSE)*IF(AND($I75="Auto",$F75="",OR($B75="Autographs Duals",$B75="Autographs Triples",$B75="Autographs Quads",$B75="Autographs Quads (Inscribed)")),IF($B75="Autographs Duals",2,IF($B75="Autographs Triples",3,4)),1)))</f>
        <v>1</v>
      </c>
      <c r="AB75" s="62">
        <f t="shared" si="24"/>
        <v>1</v>
      </c>
      <c r="AC75" s="62">
        <f t="shared" si="25"/>
        <v>0</v>
      </c>
    </row>
    <row r="76" spans="1:29" ht="28.7" customHeight="1" x14ac:dyDescent="0.25">
      <c r="A76" s="4" t="s">
        <v>17</v>
      </c>
      <c r="B76" s="7" t="s">
        <v>61</v>
      </c>
      <c r="C76" s="2" t="s">
        <v>1474</v>
      </c>
      <c r="D76" s="7" t="s">
        <v>989</v>
      </c>
      <c r="E76" s="4" t="s">
        <v>60</v>
      </c>
      <c r="F76" s="2"/>
      <c r="G76" s="2" t="s">
        <v>1399</v>
      </c>
      <c r="H76" s="2" t="s">
        <v>1400</v>
      </c>
      <c r="I76" s="4" t="s">
        <v>60</v>
      </c>
      <c r="J76" s="112">
        <f>IF($H76&lt;&gt;"Y",0,ROUND(MIN(Dashboard!$R$24,IF(IFERROR(VLOOKUP($B76,Dashboard!$Q$28:$S$60,2,FALSE),0)&gt;0,IFERROR(VLOOKUP($B76,Dashboard!$Q$28:$S$60,2,FALSE),0),$Z76*IF($U76&lt;&gt;"",ROUND((Dashboard!$R$4/$U76)*VLOOKUP($I76,Dashboard!$Q$9:$R$13,2,FALSE)*IF(ISNUMBER(SEARCH("Duals",$B76)),2,IF(ISNUMBER(SEARCH("Triples",$B76)),3,IF(ISNUMBER(SEARCH("Quads",$B76)),4,1))),2),ROUND(VLOOKUP($I76,Dashboard!$Q$15:$R$20,2,FALSE)*IF($E76="Red",Dashboard!$R$6,IF($E76="Gold",Dashboard!$R$7,Dashboard!$R$5))*IF(ISNUMBER(SEARCH("Duals",$B76)),2,IF(ISNUMBER(SEARCH("Triples",$B76)),3,IF(ISNUMBER(SEARCH("Quads",$B76)),4,1))),2))*IF(IFERROR(VLOOKUP($B76,Dashboard!$Q$28:$S$60,3,FALSE),0)&gt;0,VLOOKUP($B76,Dashboard!$Q$28:$S$60,3,FALSE),1))),0))</f>
        <v>1</v>
      </c>
      <c r="K76" s="2" t="str">
        <f>IF('Base S1'!C76="","",'Base S1'!C76)</f>
        <v>h</v>
      </c>
      <c r="L76" s="2">
        <f t="shared" si="13"/>
        <v>1</v>
      </c>
      <c r="M76" s="2">
        <f t="shared" si="14"/>
        <v>0</v>
      </c>
      <c r="N76" s="2">
        <f t="shared" si="15"/>
        <v>1</v>
      </c>
      <c r="O76" s="2">
        <f t="shared" si="16"/>
        <v>0</v>
      </c>
      <c r="P76" s="112">
        <f t="shared" si="17"/>
        <v>1</v>
      </c>
      <c r="Q76" s="112">
        <f t="shared" si="18"/>
        <v>0</v>
      </c>
      <c r="R76" s="53"/>
      <c r="S76" s="53" t="str">
        <f t="shared" si="19"/>
        <v>Base S1|Base Set - Season 1|75|Base</v>
      </c>
      <c r="T76" s="57" t="str">
        <f>IF($S76="","",IFERROR(VLOOKUP($S76,'Pop Estimates (Non-#d)'!$N$2:$O$500,2,FALSE),""))</f>
        <v/>
      </c>
      <c r="U76" s="57" t="str">
        <f t="shared" si="20"/>
        <v/>
      </c>
      <c r="V76" s="53" t="str">
        <f t="shared" si="21"/>
        <v/>
      </c>
      <c r="W76" s="53" t="str">
        <f t="shared" si="22"/>
        <v/>
      </c>
      <c r="X76" s="53" t="str">
        <f t="shared" si="23"/>
        <v/>
      </c>
      <c r="Y76" s="57" t="str">
        <f>IF($X76="","",IFERROR(VLOOKUP($X76,'Char Popularity'!$A$2:$C$500,2,FALSE),""))</f>
        <v/>
      </c>
      <c r="Z76" s="56">
        <f>IF($X76="",1,IFERROR(VLOOKUP($X76,'Char Popularity'!$A$2:$C$500,3,FALSE),1))</f>
        <v>1</v>
      </c>
      <c r="AA76" s="62">
        <f>IF($H76&lt;&gt;"Y",0,(IF($F76&lt;&gt;"",ROUND(Dashboard!$R$4/$F76,1),IF(AND($I76="Base",$E76="Base"),Dashboard!$R$5,IF(AND($I76="Base",$E76="Red"),Dashboard!$R$6,IF(AND($I76="Base",$E76="Gold"),Dashboard!$R$7,VLOOKUP($I76,Dashboard!$Q$16:$R$21,2,FALSE)))))*VLOOKUP($I76,Dashboard!$Q$9:$R$13,2,FALSE)*IF(AND($I76="Auto",$F76="",OR($B76="Autographs Duals",$B76="Autographs Triples",$B76="Autographs Quads",$B76="Autographs Quads (Inscribed)")),IF($B76="Autographs Duals",2,IF($B76="Autographs Triples",3,4)),1)))</f>
        <v>1</v>
      </c>
      <c r="AB76" s="62">
        <f t="shared" si="24"/>
        <v>1</v>
      </c>
      <c r="AC76" s="62">
        <f t="shared" si="25"/>
        <v>0</v>
      </c>
    </row>
    <row r="77" spans="1:29" ht="28.7" customHeight="1" x14ac:dyDescent="0.25">
      <c r="A77" s="4" t="s">
        <v>17</v>
      </c>
      <c r="B77" s="7" t="s">
        <v>61</v>
      </c>
      <c r="C77" s="2" t="s">
        <v>1475</v>
      </c>
      <c r="D77" s="7" t="s">
        <v>991</v>
      </c>
      <c r="E77" s="4" t="s">
        <v>60</v>
      </c>
      <c r="F77" s="2"/>
      <c r="G77" s="2" t="s">
        <v>1399</v>
      </c>
      <c r="H77" s="2" t="s">
        <v>1400</v>
      </c>
      <c r="I77" s="4" t="s">
        <v>60</v>
      </c>
      <c r="J77" s="112">
        <f>IF($H77&lt;&gt;"Y",0,ROUND(MIN(Dashboard!$R$24,IF(IFERROR(VLOOKUP($B77,Dashboard!$Q$28:$S$60,2,FALSE),0)&gt;0,IFERROR(VLOOKUP($B77,Dashboard!$Q$28:$S$60,2,FALSE),0),$Z77*IF($U77&lt;&gt;"",ROUND((Dashboard!$R$4/$U77)*VLOOKUP($I77,Dashboard!$Q$9:$R$13,2,FALSE)*IF(ISNUMBER(SEARCH("Duals",$B77)),2,IF(ISNUMBER(SEARCH("Triples",$B77)),3,IF(ISNUMBER(SEARCH("Quads",$B77)),4,1))),2),ROUND(VLOOKUP($I77,Dashboard!$Q$15:$R$20,2,FALSE)*IF($E77="Red",Dashboard!$R$6,IF($E77="Gold",Dashboard!$R$7,Dashboard!$R$5))*IF(ISNUMBER(SEARCH("Duals",$B77)),2,IF(ISNUMBER(SEARCH("Triples",$B77)),3,IF(ISNUMBER(SEARCH("Quads",$B77)),4,1))),2))*IF(IFERROR(VLOOKUP($B77,Dashboard!$Q$28:$S$60,3,FALSE),0)&gt;0,VLOOKUP($B77,Dashboard!$Q$28:$S$60,3,FALSE),1))),0))</f>
        <v>1</v>
      </c>
      <c r="K77" s="2" t="str">
        <f>IF('Base S1'!C77="","",'Base S1'!C77)</f>
        <v>h</v>
      </c>
      <c r="L77" s="2">
        <f t="shared" si="13"/>
        <v>1</v>
      </c>
      <c r="M77" s="2">
        <f t="shared" si="14"/>
        <v>0</v>
      </c>
      <c r="N77" s="2">
        <f t="shared" si="15"/>
        <v>1</v>
      </c>
      <c r="O77" s="2">
        <f t="shared" si="16"/>
        <v>0</v>
      </c>
      <c r="P77" s="112">
        <f t="shared" si="17"/>
        <v>1</v>
      </c>
      <c r="Q77" s="112">
        <f t="shared" si="18"/>
        <v>0</v>
      </c>
      <c r="R77" s="53"/>
      <c r="S77" s="53" t="str">
        <f t="shared" si="19"/>
        <v>Base S1|Base Set - Season 1|76|Base</v>
      </c>
      <c r="T77" s="57" t="str">
        <f>IF($S77="","",IFERROR(VLOOKUP($S77,'Pop Estimates (Non-#d)'!$N$2:$O$500,2,FALSE),""))</f>
        <v/>
      </c>
      <c r="U77" s="57" t="str">
        <f t="shared" si="20"/>
        <v/>
      </c>
      <c r="V77" s="53" t="str">
        <f t="shared" si="21"/>
        <v/>
      </c>
      <c r="W77" s="53" t="str">
        <f t="shared" si="22"/>
        <v/>
      </c>
      <c r="X77" s="53" t="str">
        <f t="shared" si="23"/>
        <v/>
      </c>
      <c r="Y77" s="57" t="str">
        <f>IF($X77="","",IFERROR(VLOOKUP($X77,'Char Popularity'!$A$2:$C$500,2,FALSE),""))</f>
        <v/>
      </c>
      <c r="Z77" s="56">
        <f>IF($X77="",1,IFERROR(VLOOKUP($X77,'Char Popularity'!$A$2:$C$500,3,FALSE),1))</f>
        <v>1</v>
      </c>
      <c r="AA77" s="62">
        <f>IF($H77&lt;&gt;"Y",0,(IF($F77&lt;&gt;"",ROUND(Dashboard!$R$4/$F77,1),IF(AND($I77="Base",$E77="Base"),Dashboard!$R$5,IF(AND($I77="Base",$E77="Red"),Dashboard!$R$6,IF(AND($I77="Base",$E77="Gold"),Dashboard!$R$7,VLOOKUP($I77,Dashboard!$Q$16:$R$21,2,FALSE)))))*VLOOKUP($I77,Dashboard!$Q$9:$R$13,2,FALSE)*IF(AND($I77="Auto",$F77="",OR($B77="Autographs Duals",$B77="Autographs Triples",$B77="Autographs Quads",$B77="Autographs Quads (Inscribed)")),IF($B77="Autographs Duals",2,IF($B77="Autographs Triples",3,4)),1)))</f>
        <v>1</v>
      </c>
      <c r="AB77" s="62">
        <f t="shared" si="24"/>
        <v>1</v>
      </c>
      <c r="AC77" s="62">
        <f t="shared" si="25"/>
        <v>0</v>
      </c>
    </row>
    <row r="78" spans="1:29" ht="28.7" customHeight="1" x14ac:dyDescent="0.25">
      <c r="A78" s="4" t="s">
        <v>17</v>
      </c>
      <c r="B78" s="7" t="s">
        <v>61</v>
      </c>
      <c r="C78" s="2" t="s">
        <v>1476</v>
      </c>
      <c r="D78" s="7" t="s">
        <v>993</v>
      </c>
      <c r="E78" s="4" t="s">
        <v>60</v>
      </c>
      <c r="F78" s="2"/>
      <c r="G78" s="2" t="s">
        <v>1399</v>
      </c>
      <c r="H78" s="2" t="s">
        <v>1400</v>
      </c>
      <c r="I78" s="4" t="s">
        <v>60</v>
      </c>
      <c r="J78" s="112">
        <f>IF($H78&lt;&gt;"Y",0,ROUND(MIN(Dashboard!$R$24,IF(IFERROR(VLOOKUP($B78,Dashboard!$Q$28:$S$60,2,FALSE),0)&gt;0,IFERROR(VLOOKUP($B78,Dashboard!$Q$28:$S$60,2,FALSE),0),$Z78*IF($U78&lt;&gt;"",ROUND((Dashboard!$R$4/$U78)*VLOOKUP($I78,Dashboard!$Q$9:$R$13,2,FALSE)*IF(ISNUMBER(SEARCH("Duals",$B78)),2,IF(ISNUMBER(SEARCH("Triples",$B78)),3,IF(ISNUMBER(SEARCH("Quads",$B78)),4,1))),2),ROUND(VLOOKUP($I78,Dashboard!$Q$15:$R$20,2,FALSE)*IF($E78="Red",Dashboard!$R$6,IF($E78="Gold",Dashboard!$R$7,Dashboard!$R$5))*IF(ISNUMBER(SEARCH("Duals",$B78)),2,IF(ISNUMBER(SEARCH("Triples",$B78)),3,IF(ISNUMBER(SEARCH("Quads",$B78)),4,1))),2))*IF(IFERROR(VLOOKUP($B78,Dashboard!$Q$28:$S$60,3,FALSE),0)&gt;0,VLOOKUP($B78,Dashboard!$Q$28:$S$60,3,FALSE),1))),0))</f>
        <v>1</v>
      </c>
      <c r="K78" s="2" t="str">
        <f>IF('Base S1'!C78="","",'Base S1'!C78)</f>
        <v>h</v>
      </c>
      <c r="L78" s="2">
        <f t="shared" si="13"/>
        <v>1</v>
      </c>
      <c r="M78" s="2">
        <f t="shared" si="14"/>
        <v>0</v>
      </c>
      <c r="N78" s="2">
        <f t="shared" si="15"/>
        <v>1</v>
      </c>
      <c r="O78" s="2">
        <f t="shared" si="16"/>
        <v>0</v>
      </c>
      <c r="P78" s="112">
        <f t="shared" si="17"/>
        <v>1</v>
      </c>
      <c r="Q78" s="112">
        <f t="shared" si="18"/>
        <v>0</v>
      </c>
      <c r="R78" s="53"/>
      <c r="S78" s="53" t="str">
        <f t="shared" si="19"/>
        <v>Base S1|Base Set - Season 1|77|Base</v>
      </c>
      <c r="T78" s="57" t="str">
        <f>IF($S78="","",IFERROR(VLOOKUP($S78,'Pop Estimates (Non-#d)'!$N$2:$O$500,2,FALSE),""))</f>
        <v/>
      </c>
      <c r="U78" s="57" t="str">
        <f t="shared" si="20"/>
        <v/>
      </c>
      <c r="V78" s="53" t="str">
        <f t="shared" si="21"/>
        <v/>
      </c>
      <c r="W78" s="53" t="str">
        <f t="shared" si="22"/>
        <v/>
      </c>
      <c r="X78" s="53" t="str">
        <f t="shared" si="23"/>
        <v/>
      </c>
      <c r="Y78" s="57" t="str">
        <f>IF($X78="","",IFERROR(VLOOKUP($X78,'Char Popularity'!$A$2:$C$500,2,FALSE),""))</f>
        <v/>
      </c>
      <c r="Z78" s="56">
        <f>IF($X78="",1,IFERROR(VLOOKUP($X78,'Char Popularity'!$A$2:$C$500,3,FALSE),1))</f>
        <v>1</v>
      </c>
      <c r="AA78" s="62">
        <f>IF($H78&lt;&gt;"Y",0,(IF($F78&lt;&gt;"",ROUND(Dashboard!$R$4/$F78,1),IF(AND($I78="Base",$E78="Base"),Dashboard!$R$5,IF(AND($I78="Base",$E78="Red"),Dashboard!$R$6,IF(AND($I78="Base",$E78="Gold"),Dashboard!$R$7,VLOOKUP($I78,Dashboard!$Q$16:$R$21,2,FALSE)))))*VLOOKUP($I78,Dashboard!$Q$9:$R$13,2,FALSE)*IF(AND($I78="Auto",$F78="",OR($B78="Autographs Duals",$B78="Autographs Triples",$B78="Autographs Quads",$B78="Autographs Quads (Inscribed)")),IF($B78="Autographs Duals",2,IF($B78="Autographs Triples",3,4)),1)))</f>
        <v>1</v>
      </c>
      <c r="AB78" s="62">
        <f t="shared" si="24"/>
        <v>1</v>
      </c>
      <c r="AC78" s="62">
        <f t="shared" si="25"/>
        <v>0</v>
      </c>
    </row>
    <row r="79" spans="1:29" ht="28.7" customHeight="1" x14ac:dyDescent="0.25">
      <c r="A79" s="4" t="s">
        <v>17</v>
      </c>
      <c r="B79" s="7" t="s">
        <v>61</v>
      </c>
      <c r="C79" s="2" t="s">
        <v>1477</v>
      </c>
      <c r="D79" s="7" t="s">
        <v>995</v>
      </c>
      <c r="E79" s="4" t="s">
        <v>60</v>
      </c>
      <c r="F79" s="2"/>
      <c r="G79" s="2" t="s">
        <v>1399</v>
      </c>
      <c r="H79" s="2" t="s">
        <v>1400</v>
      </c>
      <c r="I79" s="4" t="s">
        <v>60</v>
      </c>
      <c r="J79" s="112">
        <f>IF($H79&lt;&gt;"Y",0,ROUND(MIN(Dashboard!$R$24,IF(IFERROR(VLOOKUP($B79,Dashboard!$Q$28:$S$60,2,FALSE),0)&gt;0,IFERROR(VLOOKUP($B79,Dashboard!$Q$28:$S$60,2,FALSE),0),$Z79*IF($U79&lt;&gt;"",ROUND((Dashboard!$R$4/$U79)*VLOOKUP($I79,Dashboard!$Q$9:$R$13,2,FALSE)*IF(ISNUMBER(SEARCH("Duals",$B79)),2,IF(ISNUMBER(SEARCH("Triples",$B79)),3,IF(ISNUMBER(SEARCH("Quads",$B79)),4,1))),2),ROUND(VLOOKUP($I79,Dashboard!$Q$15:$R$20,2,FALSE)*IF($E79="Red",Dashboard!$R$6,IF($E79="Gold",Dashboard!$R$7,Dashboard!$R$5))*IF(ISNUMBER(SEARCH("Duals",$B79)),2,IF(ISNUMBER(SEARCH("Triples",$B79)),3,IF(ISNUMBER(SEARCH("Quads",$B79)),4,1))),2))*IF(IFERROR(VLOOKUP($B79,Dashboard!$Q$28:$S$60,3,FALSE),0)&gt;0,VLOOKUP($B79,Dashboard!$Q$28:$S$60,3,FALSE),1))),0))</f>
        <v>1</v>
      </c>
      <c r="K79" s="2" t="str">
        <f>IF('Base S1'!C79="","",'Base S1'!C79)</f>
        <v>h</v>
      </c>
      <c r="L79" s="2">
        <f t="shared" si="13"/>
        <v>1</v>
      </c>
      <c r="M79" s="2">
        <f t="shared" si="14"/>
        <v>0</v>
      </c>
      <c r="N79" s="2">
        <f t="shared" si="15"/>
        <v>1</v>
      </c>
      <c r="O79" s="2">
        <f t="shared" si="16"/>
        <v>0</v>
      </c>
      <c r="P79" s="112">
        <f t="shared" si="17"/>
        <v>1</v>
      </c>
      <c r="Q79" s="112">
        <f t="shared" si="18"/>
        <v>0</v>
      </c>
      <c r="R79" s="53"/>
      <c r="S79" s="53" t="str">
        <f t="shared" si="19"/>
        <v>Base S1|Base Set - Season 1|78|Base</v>
      </c>
      <c r="T79" s="57" t="str">
        <f>IF($S79="","",IFERROR(VLOOKUP($S79,'Pop Estimates (Non-#d)'!$N$2:$O$500,2,FALSE),""))</f>
        <v/>
      </c>
      <c r="U79" s="57" t="str">
        <f t="shared" si="20"/>
        <v/>
      </c>
      <c r="V79" s="53" t="str">
        <f t="shared" si="21"/>
        <v/>
      </c>
      <c r="W79" s="53" t="str">
        <f t="shared" si="22"/>
        <v/>
      </c>
      <c r="X79" s="53" t="str">
        <f t="shared" si="23"/>
        <v/>
      </c>
      <c r="Y79" s="57" t="str">
        <f>IF($X79="","",IFERROR(VLOOKUP($X79,'Char Popularity'!$A$2:$C$500,2,FALSE),""))</f>
        <v/>
      </c>
      <c r="Z79" s="56">
        <f>IF($X79="",1,IFERROR(VLOOKUP($X79,'Char Popularity'!$A$2:$C$500,3,FALSE),1))</f>
        <v>1</v>
      </c>
      <c r="AA79" s="62">
        <f>IF($H79&lt;&gt;"Y",0,(IF($F79&lt;&gt;"",ROUND(Dashboard!$R$4/$F79,1),IF(AND($I79="Base",$E79="Base"),Dashboard!$R$5,IF(AND($I79="Base",$E79="Red"),Dashboard!$R$6,IF(AND($I79="Base",$E79="Gold"),Dashboard!$R$7,VLOOKUP($I79,Dashboard!$Q$16:$R$21,2,FALSE)))))*VLOOKUP($I79,Dashboard!$Q$9:$R$13,2,FALSE)*IF(AND($I79="Auto",$F79="",OR($B79="Autographs Duals",$B79="Autographs Triples",$B79="Autographs Quads",$B79="Autographs Quads (Inscribed)")),IF($B79="Autographs Duals",2,IF($B79="Autographs Triples",3,4)),1)))</f>
        <v>1</v>
      </c>
      <c r="AB79" s="62">
        <f t="shared" si="24"/>
        <v>1</v>
      </c>
      <c r="AC79" s="62">
        <f t="shared" si="25"/>
        <v>0</v>
      </c>
    </row>
    <row r="80" spans="1:29" ht="28.7" customHeight="1" x14ac:dyDescent="0.25">
      <c r="A80" s="4" t="s">
        <v>17</v>
      </c>
      <c r="B80" s="7" t="s">
        <v>61</v>
      </c>
      <c r="C80" s="2" t="s">
        <v>1478</v>
      </c>
      <c r="D80" s="7" t="s">
        <v>998</v>
      </c>
      <c r="E80" s="4" t="s">
        <v>60</v>
      </c>
      <c r="F80" s="2"/>
      <c r="G80" s="2" t="s">
        <v>1399</v>
      </c>
      <c r="H80" s="2" t="s">
        <v>1400</v>
      </c>
      <c r="I80" s="4" t="s">
        <v>60</v>
      </c>
      <c r="J80" s="112">
        <f>IF($H80&lt;&gt;"Y",0,ROUND(MIN(Dashboard!$R$24,IF(IFERROR(VLOOKUP($B80,Dashboard!$Q$28:$S$60,2,FALSE),0)&gt;0,IFERROR(VLOOKUP($B80,Dashboard!$Q$28:$S$60,2,FALSE),0),$Z80*IF($U80&lt;&gt;"",ROUND((Dashboard!$R$4/$U80)*VLOOKUP($I80,Dashboard!$Q$9:$R$13,2,FALSE)*IF(ISNUMBER(SEARCH("Duals",$B80)),2,IF(ISNUMBER(SEARCH("Triples",$B80)),3,IF(ISNUMBER(SEARCH("Quads",$B80)),4,1))),2),ROUND(VLOOKUP($I80,Dashboard!$Q$15:$R$20,2,FALSE)*IF($E80="Red",Dashboard!$R$6,IF($E80="Gold",Dashboard!$R$7,Dashboard!$R$5))*IF(ISNUMBER(SEARCH("Duals",$B80)),2,IF(ISNUMBER(SEARCH("Triples",$B80)),3,IF(ISNUMBER(SEARCH("Quads",$B80)),4,1))),2))*IF(IFERROR(VLOOKUP($B80,Dashboard!$Q$28:$S$60,3,FALSE),0)&gt;0,VLOOKUP($B80,Dashboard!$Q$28:$S$60,3,FALSE),1))),0))</f>
        <v>1</v>
      </c>
      <c r="K80" s="2" t="str">
        <f>IF('Base S1'!C80="","",'Base S1'!C80)</f>
        <v>h</v>
      </c>
      <c r="L80" s="2">
        <f t="shared" si="13"/>
        <v>1</v>
      </c>
      <c r="M80" s="2">
        <f t="shared" si="14"/>
        <v>0</v>
      </c>
      <c r="N80" s="2">
        <f t="shared" si="15"/>
        <v>1</v>
      </c>
      <c r="O80" s="2">
        <f t="shared" si="16"/>
        <v>0</v>
      </c>
      <c r="P80" s="112">
        <f t="shared" si="17"/>
        <v>1</v>
      </c>
      <c r="Q80" s="112">
        <f t="shared" si="18"/>
        <v>0</v>
      </c>
      <c r="R80" s="53"/>
      <c r="S80" s="53" t="str">
        <f t="shared" si="19"/>
        <v>Base S1|Base Set - Season 1|79|Base</v>
      </c>
      <c r="T80" s="57" t="str">
        <f>IF($S80="","",IFERROR(VLOOKUP($S80,'Pop Estimates (Non-#d)'!$N$2:$O$500,2,FALSE),""))</f>
        <v/>
      </c>
      <c r="U80" s="57" t="str">
        <f t="shared" si="20"/>
        <v/>
      </c>
      <c r="V80" s="53" t="str">
        <f t="shared" si="21"/>
        <v/>
      </c>
      <c r="W80" s="53" t="str">
        <f t="shared" si="22"/>
        <v/>
      </c>
      <c r="X80" s="53" t="str">
        <f t="shared" si="23"/>
        <v/>
      </c>
      <c r="Y80" s="57" t="str">
        <f>IF($X80="","",IFERROR(VLOOKUP($X80,'Char Popularity'!$A$2:$C$500,2,FALSE),""))</f>
        <v/>
      </c>
      <c r="Z80" s="56">
        <f>IF($X80="",1,IFERROR(VLOOKUP($X80,'Char Popularity'!$A$2:$C$500,3,FALSE),1))</f>
        <v>1</v>
      </c>
      <c r="AA80" s="62">
        <f>IF($H80&lt;&gt;"Y",0,(IF($F80&lt;&gt;"",ROUND(Dashboard!$R$4/$F80,1),IF(AND($I80="Base",$E80="Base"),Dashboard!$R$5,IF(AND($I80="Base",$E80="Red"),Dashboard!$R$6,IF(AND($I80="Base",$E80="Gold"),Dashboard!$R$7,VLOOKUP($I80,Dashboard!$Q$16:$R$21,2,FALSE)))))*VLOOKUP($I80,Dashboard!$Q$9:$R$13,2,FALSE)*IF(AND($I80="Auto",$F80="",OR($B80="Autographs Duals",$B80="Autographs Triples",$B80="Autographs Quads",$B80="Autographs Quads (Inscribed)")),IF($B80="Autographs Duals",2,IF($B80="Autographs Triples",3,4)),1)))</f>
        <v>1</v>
      </c>
      <c r="AB80" s="62">
        <f t="shared" si="24"/>
        <v>1</v>
      </c>
      <c r="AC80" s="62">
        <f t="shared" si="25"/>
        <v>0</v>
      </c>
    </row>
    <row r="81" spans="1:29" ht="28.7" customHeight="1" x14ac:dyDescent="0.25">
      <c r="A81" s="4" t="s">
        <v>17</v>
      </c>
      <c r="B81" s="7" t="s">
        <v>61</v>
      </c>
      <c r="C81" s="2" t="s">
        <v>1479</v>
      </c>
      <c r="D81" s="7" t="s">
        <v>1000</v>
      </c>
      <c r="E81" s="4" t="s">
        <v>60</v>
      </c>
      <c r="F81" s="2"/>
      <c r="G81" s="2" t="s">
        <v>1399</v>
      </c>
      <c r="H81" s="2" t="s">
        <v>1400</v>
      </c>
      <c r="I81" s="4" t="s">
        <v>60</v>
      </c>
      <c r="J81" s="112">
        <f>IF($H81&lt;&gt;"Y",0,ROUND(MIN(Dashboard!$R$24,IF(IFERROR(VLOOKUP($B81,Dashboard!$Q$28:$S$60,2,FALSE),0)&gt;0,IFERROR(VLOOKUP($B81,Dashboard!$Q$28:$S$60,2,FALSE),0),$Z81*IF($U81&lt;&gt;"",ROUND((Dashboard!$R$4/$U81)*VLOOKUP($I81,Dashboard!$Q$9:$R$13,2,FALSE)*IF(ISNUMBER(SEARCH("Duals",$B81)),2,IF(ISNUMBER(SEARCH("Triples",$B81)),3,IF(ISNUMBER(SEARCH("Quads",$B81)),4,1))),2),ROUND(VLOOKUP($I81,Dashboard!$Q$15:$R$20,2,FALSE)*IF($E81="Red",Dashboard!$R$6,IF($E81="Gold",Dashboard!$R$7,Dashboard!$R$5))*IF(ISNUMBER(SEARCH("Duals",$B81)),2,IF(ISNUMBER(SEARCH("Triples",$B81)),3,IF(ISNUMBER(SEARCH("Quads",$B81)),4,1))),2))*IF(IFERROR(VLOOKUP($B81,Dashboard!$Q$28:$S$60,3,FALSE),0)&gt;0,VLOOKUP($B81,Dashboard!$Q$28:$S$60,3,FALSE),1))),0))</f>
        <v>1</v>
      </c>
      <c r="K81" s="2" t="str">
        <f>IF('Base S1'!C81="","",'Base S1'!C81)</f>
        <v>h</v>
      </c>
      <c r="L81" s="2">
        <f t="shared" si="13"/>
        <v>1</v>
      </c>
      <c r="M81" s="2">
        <f t="shared" si="14"/>
        <v>0</v>
      </c>
      <c r="N81" s="2">
        <f t="shared" si="15"/>
        <v>1</v>
      </c>
      <c r="O81" s="2">
        <f t="shared" si="16"/>
        <v>0</v>
      </c>
      <c r="P81" s="112">
        <f t="shared" si="17"/>
        <v>1</v>
      </c>
      <c r="Q81" s="112">
        <f t="shared" si="18"/>
        <v>0</v>
      </c>
      <c r="R81" s="53"/>
      <c r="S81" s="53" t="str">
        <f t="shared" si="19"/>
        <v>Base S1|Base Set - Season 1|80|Base</v>
      </c>
      <c r="T81" s="57" t="str">
        <f>IF($S81="","",IFERROR(VLOOKUP($S81,'Pop Estimates (Non-#d)'!$N$2:$O$500,2,FALSE),""))</f>
        <v/>
      </c>
      <c r="U81" s="57" t="str">
        <f t="shared" si="20"/>
        <v/>
      </c>
      <c r="V81" s="53" t="str">
        <f t="shared" si="21"/>
        <v/>
      </c>
      <c r="W81" s="53" t="str">
        <f t="shared" si="22"/>
        <v/>
      </c>
      <c r="X81" s="53" t="str">
        <f t="shared" si="23"/>
        <v/>
      </c>
      <c r="Y81" s="57" t="str">
        <f>IF($X81="","",IFERROR(VLOOKUP($X81,'Char Popularity'!$A$2:$C$500,2,FALSE),""))</f>
        <v/>
      </c>
      <c r="Z81" s="56">
        <f>IF($X81="",1,IFERROR(VLOOKUP($X81,'Char Popularity'!$A$2:$C$500,3,FALSE),1))</f>
        <v>1</v>
      </c>
      <c r="AA81" s="62">
        <f>IF($H81&lt;&gt;"Y",0,(IF($F81&lt;&gt;"",ROUND(Dashboard!$R$4/$F81,1),IF(AND($I81="Base",$E81="Base"),Dashboard!$R$5,IF(AND($I81="Base",$E81="Red"),Dashboard!$R$6,IF(AND($I81="Base",$E81="Gold"),Dashboard!$R$7,VLOOKUP($I81,Dashboard!$Q$16:$R$21,2,FALSE)))))*VLOOKUP($I81,Dashboard!$Q$9:$R$13,2,FALSE)*IF(AND($I81="Auto",$F81="",OR($B81="Autographs Duals",$B81="Autographs Triples",$B81="Autographs Quads",$B81="Autographs Quads (Inscribed)")),IF($B81="Autographs Duals",2,IF($B81="Autographs Triples",3,4)),1)))</f>
        <v>1</v>
      </c>
      <c r="AB81" s="62">
        <f t="shared" si="24"/>
        <v>1</v>
      </c>
      <c r="AC81" s="62">
        <f t="shared" si="25"/>
        <v>0</v>
      </c>
    </row>
    <row r="82" spans="1:29" ht="28.7" customHeight="1" x14ac:dyDescent="0.25">
      <c r="A82" s="4" t="s">
        <v>17</v>
      </c>
      <c r="B82" s="7" t="s">
        <v>61</v>
      </c>
      <c r="C82" s="2" t="s">
        <v>1480</v>
      </c>
      <c r="D82" s="7" t="s">
        <v>1003</v>
      </c>
      <c r="E82" s="4" t="s">
        <v>60</v>
      </c>
      <c r="F82" s="2"/>
      <c r="G82" s="2" t="s">
        <v>1399</v>
      </c>
      <c r="H82" s="2" t="s">
        <v>1400</v>
      </c>
      <c r="I82" s="4" t="s">
        <v>60</v>
      </c>
      <c r="J82" s="112">
        <f>IF($H82&lt;&gt;"Y",0,ROUND(MIN(Dashboard!$R$24,IF(IFERROR(VLOOKUP($B82,Dashboard!$Q$28:$S$60,2,FALSE),0)&gt;0,IFERROR(VLOOKUP($B82,Dashboard!$Q$28:$S$60,2,FALSE),0),$Z82*IF($U82&lt;&gt;"",ROUND((Dashboard!$R$4/$U82)*VLOOKUP($I82,Dashboard!$Q$9:$R$13,2,FALSE)*IF(ISNUMBER(SEARCH("Duals",$B82)),2,IF(ISNUMBER(SEARCH("Triples",$B82)),3,IF(ISNUMBER(SEARCH("Quads",$B82)),4,1))),2),ROUND(VLOOKUP($I82,Dashboard!$Q$15:$R$20,2,FALSE)*IF($E82="Red",Dashboard!$R$6,IF($E82="Gold",Dashboard!$R$7,Dashboard!$R$5))*IF(ISNUMBER(SEARCH("Duals",$B82)),2,IF(ISNUMBER(SEARCH("Triples",$B82)),3,IF(ISNUMBER(SEARCH("Quads",$B82)),4,1))),2))*IF(IFERROR(VLOOKUP($B82,Dashboard!$Q$28:$S$60,3,FALSE),0)&gt;0,VLOOKUP($B82,Dashboard!$Q$28:$S$60,3,FALSE),1))),0))</f>
        <v>1</v>
      </c>
      <c r="K82" s="2" t="str">
        <f>IF('Base S1'!C82="","",'Base S1'!C82)</f>
        <v>h</v>
      </c>
      <c r="L82" s="2">
        <f t="shared" si="13"/>
        <v>1</v>
      </c>
      <c r="M82" s="2">
        <f t="shared" si="14"/>
        <v>0</v>
      </c>
      <c r="N82" s="2">
        <f t="shared" si="15"/>
        <v>1</v>
      </c>
      <c r="O82" s="2">
        <f t="shared" si="16"/>
        <v>0</v>
      </c>
      <c r="P82" s="112">
        <f t="shared" si="17"/>
        <v>1</v>
      </c>
      <c r="Q82" s="112">
        <f t="shared" si="18"/>
        <v>0</v>
      </c>
      <c r="R82" s="53"/>
      <c r="S82" s="53" t="str">
        <f t="shared" si="19"/>
        <v>Base S1|Base Set - Season 1|81|Base</v>
      </c>
      <c r="T82" s="57" t="str">
        <f>IF($S82="","",IFERROR(VLOOKUP($S82,'Pop Estimates (Non-#d)'!$N$2:$O$500,2,FALSE),""))</f>
        <v/>
      </c>
      <c r="U82" s="57" t="str">
        <f t="shared" si="20"/>
        <v/>
      </c>
      <c r="V82" s="53" t="str">
        <f t="shared" si="21"/>
        <v/>
      </c>
      <c r="W82" s="53" t="str">
        <f t="shared" si="22"/>
        <v/>
      </c>
      <c r="X82" s="53" t="str">
        <f t="shared" si="23"/>
        <v/>
      </c>
      <c r="Y82" s="57" t="str">
        <f>IF($X82="","",IFERROR(VLOOKUP($X82,'Char Popularity'!$A$2:$C$500,2,FALSE),""))</f>
        <v/>
      </c>
      <c r="Z82" s="56">
        <f>IF($X82="",1,IFERROR(VLOOKUP($X82,'Char Popularity'!$A$2:$C$500,3,FALSE),1))</f>
        <v>1</v>
      </c>
      <c r="AA82" s="62">
        <f>IF($H82&lt;&gt;"Y",0,(IF($F82&lt;&gt;"",ROUND(Dashboard!$R$4/$F82,1),IF(AND($I82="Base",$E82="Base"),Dashboard!$R$5,IF(AND($I82="Base",$E82="Red"),Dashboard!$R$6,IF(AND($I82="Base",$E82="Gold"),Dashboard!$R$7,VLOOKUP($I82,Dashboard!$Q$16:$R$21,2,FALSE)))))*VLOOKUP($I82,Dashboard!$Q$9:$R$13,2,FALSE)*IF(AND($I82="Auto",$F82="",OR($B82="Autographs Duals",$B82="Autographs Triples",$B82="Autographs Quads",$B82="Autographs Quads (Inscribed)")),IF($B82="Autographs Duals",2,IF($B82="Autographs Triples",3,4)),1)))</f>
        <v>1</v>
      </c>
      <c r="AB82" s="62">
        <f t="shared" si="24"/>
        <v>1</v>
      </c>
      <c r="AC82" s="62">
        <f t="shared" si="25"/>
        <v>0</v>
      </c>
    </row>
    <row r="83" spans="1:29" ht="28.7" customHeight="1" x14ac:dyDescent="0.25">
      <c r="A83" s="4" t="s">
        <v>17</v>
      </c>
      <c r="B83" s="7" t="s">
        <v>61</v>
      </c>
      <c r="C83" s="2" t="s">
        <v>1481</v>
      </c>
      <c r="D83" s="7" t="s">
        <v>1005</v>
      </c>
      <c r="E83" s="4" t="s">
        <v>60</v>
      </c>
      <c r="F83" s="2"/>
      <c r="G83" s="2" t="s">
        <v>1399</v>
      </c>
      <c r="H83" s="2" t="s">
        <v>1400</v>
      </c>
      <c r="I83" s="4" t="s">
        <v>60</v>
      </c>
      <c r="J83" s="112">
        <f>IF($H83&lt;&gt;"Y",0,ROUND(MIN(Dashboard!$R$24,IF(IFERROR(VLOOKUP($B83,Dashboard!$Q$28:$S$60,2,FALSE),0)&gt;0,IFERROR(VLOOKUP($B83,Dashboard!$Q$28:$S$60,2,FALSE),0),$Z83*IF($U83&lt;&gt;"",ROUND((Dashboard!$R$4/$U83)*VLOOKUP($I83,Dashboard!$Q$9:$R$13,2,FALSE)*IF(ISNUMBER(SEARCH("Duals",$B83)),2,IF(ISNUMBER(SEARCH("Triples",$B83)),3,IF(ISNUMBER(SEARCH("Quads",$B83)),4,1))),2),ROUND(VLOOKUP($I83,Dashboard!$Q$15:$R$20,2,FALSE)*IF($E83="Red",Dashboard!$R$6,IF($E83="Gold",Dashboard!$R$7,Dashboard!$R$5))*IF(ISNUMBER(SEARCH("Duals",$B83)),2,IF(ISNUMBER(SEARCH("Triples",$B83)),3,IF(ISNUMBER(SEARCH("Quads",$B83)),4,1))),2))*IF(IFERROR(VLOOKUP($B83,Dashboard!$Q$28:$S$60,3,FALSE),0)&gt;0,VLOOKUP($B83,Dashboard!$Q$28:$S$60,3,FALSE),1))),0))</f>
        <v>1</v>
      </c>
      <c r="K83" s="2" t="str">
        <f>IF('Base S1'!C83="","",'Base S1'!C83)</f>
        <v>h</v>
      </c>
      <c r="L83" s="2">
        <f t="shared" si="13"/>
        <v>1</v>
      </c>
      <c r="M83" s="2">
        <f t="shared" si="14"/>
        <v>0</v>
      </c>
      <c r="N83" s="2">
        <f t="shared" si="15"/>
        <v>1</v>
      </c>
      <c r="O83" s="2">
        <f t="shared" si="16"/>
        <v>0</v>
      </c>
      <c r="P83" s="112">
        <f t="shared" si="17"/>
        <v>1</v>
      </c>
      <c r="Q83" s="112">
        <f t="shared" si="18"/>
        <v>0</v>
      </c>
      <c r="R83" s="53"/>
      <c r="S83" s="53" t="str">
        <f t="shared" si="19"/>
        <v>Base S1|Base Set - Season 1|82|Base</v>
      </c>
      <c r="T83" s="57" t="str">
        <f>IF($S83="","",IFERROR(VLOOKUP($S83,'Pop Estimates (Non-#d)'!$N$2:$O$500,2,FALSE),""))</f>
        <v/>
      </c>
      <c r="U83" s="57" t="str">
        <f t="shared" si="20"/>
        <v/>
      </c>
      <c r="V83" s="53" t="str">
        <f t="shared" si="21"/>
        <v/>
      </c>
      <c r="W83" s="53" t="str">
        <f t="shared" si="22"/>
        <v/>
      </c>
      <c r="X83" s="53" t="str">
        <f t="shared" si="23"/>
        <v/>
      </c>
      <c r="Y83" s="57" t="str">
        <f>IF($X83="","",IFERROR(VLOOKUP($X83,'Char Popularity'!$A$2:$C$500,2,FALSE),""))</f>
        <v/>
      </c>
      <c r="Z83" s="56">
        <f>IF($X83="",1,IFERROR(VLOOKUP($X83,'Char Popularity'!$A$2:$C$500,3,FALSE),1))</f>
        <v>1</v>
      </c>
      <c r="AA83" s="62">
        <f>IF($H83&lt;&gt;"Y",0,(IF($F83&lt;&gt;"",ROUND(Dashboard!$R$4/$F83,1),IF(AND($I83="Base",$E83="Base"),Dashboard!$R$5,IF(AND($I83="Base",$E83="Red"),Dashboard!$R$6,IF(AND($I83="Base",$E83="Gold"),Dashboard!$R$7,VLOOKUP($I83,Dashboard!$Q$16:$R$21,2,FALSE)))))*VLOOKUP($I83,Dashboard!$Q$9:$R$13,2,FALSE)*IF(AND($I83="Auto",$F83="",OR($B83="Autographs Duals",$B83="Autographs Triples",$B83="Autographs Quads",$B83="Autographs Quads (Inscribed)")),IF($B83="Autographs Duals",2,IF($B83="Autographs Triples",3,4)),1)))</f>
        <v>1</v>
      </c>
      <c r="AB83" s="62">
        <f t="shared" si="24"/>
        <v>1</v>
      </c>
      <c r="AC83" s="62">
        <f t="shared" si="25"/>
        <v>0</v>
      </c>
    </row>
    <row r="84" spans="1:29" ht="28.7" customHeight="1" x14ac:dyDescent="0.25">
      <c r="A84" s="4" t="s">
        <v>17</v>
      </c>
      <c r="B84" s="7" t="s">
        <v>61</v>
      </c>
      <c r="C84" s="2" t="s">
        <v>1482</v>
      </c>
      <c r="D84" s="7" t="s">
        <v>1008</v>
      </c>
      <c r="E84" s="4" t="s">
        <v>60</v>
      </c>
      <c r="F84" s="2"/>
      <c r="G84" s="2" t="s">
        <v>1399</v>
      </c>
      <c r="H84" s="2" t="s">
        <v>1400</v>
      </c>
      <c r="I84" s="4" t="s">
        <v>60</v>
      </c>
      <c r="J84" s="112">
        <f>IF($H84&lt;&gt;"Y",0,ROUND(MIN(Dashboard!$R$24,IF(IFERROR(VLOOKUP($B84,Dashboard!$Q$28:$S$60,2,FALSE),0)&gt;0,IFERROR(VLOOKUP($B84,Dashboard!$Q$28:$S$60,2,FALSE),0),$Z84*IF($U84&lt;&gt;"",ROUND((Dashboard!$R$4/$U84)*VLOOKUP($I84,Dashboard!$Q$9:$R$13,2,FALSE)*IF(ISNUMBER(SEARCH("Duals",$B84)),2,IF(ISNUMBER(SEARCH("Triples",$B84)),3,IF(ISNUMBER(SEARCH("Quads",$B84)),4,1))),2),ROUND(VLOOKUP($I84,Dashboard!$Q$15:$R$20,2,FALSE)*IF($E84="Red",Dashboard!$R$6,IF($E84="Gold",Dashboard!$R$7,Dashboard!$R$5))*IF(ISNUMBER(SEARCH("Duals",$B84)),2,IF(ISNUMBER(SEARCH("Triples",$B84)),3,IF(ISNUMBER(SEARCH("Quads",$B84)),4,1))),2))*IF(IFERROR(VLOOKUP($B84,Dashboard!$Q$28:$S$60,3,FALSE),0)&gt;0,VLOOKUP($B84,Dashboard!$Q$28:$S$60,3,FALSE),1))),0))</f>
        <v>1</v>
      </c>
      <c r="K84" s="2" t="str">
        <f>IF('Base S1'!C84="","",'Base S1'!C84)</f>
        <v>h</v>
      </c>
      <c r="L84" s="2">
        <f t="shared" si="13"/>
        <v>1</v>
      </c>
      <c r="M84" s="2">
        <f t="shared" si="14"/>
        <v>0</v>
      </c>
      <c r="N84" s="2">
        <f t="shared" si="15"/>
        <v>1</v>
      </c>
      <c r="O84" s="2">
        <f t="shared" si="16"/>
        <v>0</v>
      </c>
      <c r="P84" s="112">
        <f t="shared" si="17"/>
        <v>1</v>
      </c>
      <c r="Q84" s="112">
        <f t="shared" si="18"/>
        <v>0</v>
      </c>
      <c r="R84" s="53"/>
      <c r="S84" s="53" t="str">
        <f t="shared" si="19"/>
        <v>Base S1|Base Set - Season 1|83|Base</v>
      </c>
      <c r="T84" s="57" t="str">
        <f>IF($S84="","",IFERROR(VLOOKUP($S84,'Pop Estimates (Non-#d)'!$N$2:$O$500,2,FALSE),""))</f>
        <v/>
      </c>
      <c r="U84" s="57" t="str">
        <f t="shared" si="20"/>
        <v/>
      </c>
      <c r="V84" s="53" t="str">
        <f t="shared" si="21"/>
        <v/>
      </c>
      <c r="W84" s="53" t="str">
        <f t="shared" si="22"/>
        <v/>
      </c>
      <c r="X84" s="53" t="str">
        <f t="shared" si="23"/>
        <v/>
      </c>
      <c r="Y84" s="57" t="str">
        <f>IF($X84="","",IFERROR(VLOOKUP($X84,'Char Popularity'!$A$2:$C$500,2,FALSE),""))</f>
        <v/>
      </c>
      <c r="Z84" s="56">
        <f>IF($X84="",1,IFERROR(VLOOKUP($X84,'Char Popularity'!$A$2:$C$500,3,FALSE),1))</f>
        <v>1</v>
      </c>
      <c r="AA84" s="62">
        <f>IF($H84&lt;&gt;"Y",0,(IF($F84&lt;&gt;"",ROUND(Dashboard!$R$4/$F84,1),IF(AND($I84="Base",$E84="Base"),Dashboard!$R$5,IF(AND($I84="Base",$E84="Red"),Dashboard!$R$6,IF(AND($I84="Base",$E84="Gold"),Dashboard!$R$7,VLOOKUP($I84,Dashboard!$Q$16:$R$21,2,FALSE)))))*VLOOKUP($I84,Dashboard!$Q$9:$R$13,2,FALSE)*IF(AND($I84="Auto",$F84="",OR($B84="Autographs Duals",$B84="Autographs Triples",$B84="Autographs Quads",$B84="Autographs Quads (Inscribed)")),IF($B84="Autographs Duals",2,IF($B84="Autographs Triples",3,4)),1)))</f>
        <v>1</v>
      </c>
      <c r="AB84" s="62">
        <f t="shared" si="24"/>
        <v>1</v>
      </c>
      <c r="AC84" s="62">
        <f t="shared" si="25"/>
        <v>0</v>
      </c>
    </row>
    <row r="85" spans="1:29" ht="28.7" customHeight="1" x14ac:dyDescent="0.25">
      <c r="A85" s="4" t="s">
        <v>17</v>
      </c>
      <c r="B85" s="7" t="s">
        <v>61</v>
      </c>
      <c r="C85" s="2" t="s">
        <v>1483</v>
      </c>
      <c r="D85" s="7" t="s">
        <v>1010</v>
      </c>
      <c r="E85" s="4" t="s">
        <v>60</v>
      </c>
      <c r="F85" s="2"/>
      <c r="G85" s="2" t="s">
        <v>1399</v>
      </c>
      <c r="H85" s="2" t="s">
        <v>1400</v>
      </c>
      <c r="I85" s="4" t="s">
        <v>60</v>
      </c>
      <c r="J85" s="112">
        <f>IF($H85&lt;&gt;"Y",0,ROUND(MIN(Dashboard!$R$24,IF(IFERROR(VLOOKUP($B85,Dashboard!$Q$28:$S$60,2,FALSE),0)&gt;0,IFERROR(VLOOKUP($B85,Dashboard!$Q$28:$S$60,2,FALSE),0),$Z85*IF($U85&lt;&gt;"",ROUND((Dashboard!$R$4/$U85)*VLOOKUP($I85,Dashboard!$Q$9:$R$13,2,FALSE)*IF(ISNUMBER(SEARCH("Duals",$B85)),2,IF(ISNUMBER(SEARCH("Triples",$B85)),3,IF(ISNUMBER(SEARCH("Quads",$B85)),4,1))),2),ROUND(VLOOKUP($I85,Dashboard!$Q$15:$R$20,2,FALSE)*IF($E85="Red",Dashboard!$R$6,IF($E85="Gold",Dashboard!$R$7,Dashboard!$R$5))*IF(ISNUMBER(SEARCH("Duals",$B85)),2,IF(ISNUMBER(SEARCH("Triples",$B85)),3,IF(ISNUMBER(SEARCH("Quads",$B85)),4,1))),2))*IF(IFERROR(VLOOKUP($B85,Dashboard!$Q$28:$S$60,3,FALSE),0)&gt;0,VLOOKUP($B85,Dashboard!$Q$28:$S$60,3,FALSE),1))),0))</f>
        <v>1</v>
      </c>
      <c r="K85" s="2" t="str">
        <f>IF('Base S1'!C85="","",'Base S1'!C85)</f>
        <v>h</v>
      </c>
      <c r="L85" s="2">
        <f t="shared" si="13"/>
        <v>1</v>
      </c>
      <c r="M85" s="2">
        <f t="shared" si="14"/>
        <v>0</v>
      </c>
      <c r="N85" s="2">
        <f t="shared" si="15"/>
        <v>1</v>
      </c>
      <c r="O85" s="2">
        <f t="shared" si="16"/>
        <v>0</v>
      </c>
      <c r="P85" s="112">
        <f t="shared" si="17"/>
        <v>1</v>
      </c>
      <c r="Q85" s="112">
        <f t="shared" si="18"/>
        <v>0</v>
      </c>
      <c r="R85" s="53"/>
      <c r="S85" s="53" t="str">
        <f t="shared" si="19"/>
        <v>Base S1|Base Set - Season 1|84|Base</v>
      </c>
      <c r="T85" s="57" t="str">
        <f>IF($S85="","",IFERROR(VLOOKUP($S85,'Pop Estimates (Non-#d)'!$N$2:$O$500,2,FALSE),""))</f>
        <v/>
      </c>
      <c r="U85" s="57" t="str">
        <f t="shared" si="20"/>
        <v/>
      </c>
      <c r="V85" s="53" t="str">
        <f t="shared" si="21"/>
        <v/>
      </c>
      <c r="W85" s="53" t="str">
        <f t="shared" si="22"/>
        <v/>
      </c>
      <c r="X85" s="53" t="str">
        <f t="shared" si="23"/>
        <v/>
      </c>
      <c r="Y85" s="57" t="str">
        <f>IF($X85="","",IFERROR(VLOOKUP($X85,'Char Popularity'!$A$2:$C$500,2,FALSE),""))</f>
        <v/>
      </c>
      <c r="Z85" s="56">
        <f>IF($X85="",1,IFERROR(VLOOKUP($X85,'Char Popularity'!$A$2:$C$500,3,FALSE),1))</f>
        <v>1</v>
      </c>
      <c r="AA85" s="62">
        <f>IF($H85&lt;&gt;"Y",0,(IF($F85&lt;&gt;"",ROUND(Dashboard!$R$4/$F85,1),IF(AND($I85="Base",$E85="Base"),Dashboard!$R$5,IF(AND($I85="Base",$E85="Red"),Dashboard!$R$6,IF(AND($I85="Base",$E85="Gold"),Dashboard!$R$7,VLOOKUP($I85,Dashboard!$Q$16:$R$21,2,FALSE)))))*VLOOKUP($I85,Dashboard!$Q$9:$R$13,2,FALSE)*IF(AND($I85="Auto",$F85="",OR($B85="Autographs Duals",$B85="Autographs Triples",$B85="Autographs Quads",$B85="Autographs Quads (Inscribed)")),IF($B85="Autographs Duals",2,IF($B85="Autographs Triples",3,4)),1)))</f>
        <v>1</v>
      </c>
      <c r="AB85" s="62">
        <f t="shared" si="24"/>
        <v>1</v>
      </c>
      <c r="AC85" s="62">
        <f t="shared" si="25"/>
        <v>0</v>
      </c>
    </row>
    <row r="86" spans="1:29" ht="28.7" customHeight="1" x14ac:dyDescent="0.25">
      <c r="A86" s="4" t="s">
        <v>17</v>
      </c>
      <c r="B86" s="7" t="s">
        <v>61</v>
      </c>
      <c r="C86" s="2" t="s">
        <v>1484</v>
      </c>
      <c r="D86" s="7" t="s">
        <v>1012</v>
      </c>
      <c r="E86" s="4" t="s">
        <v>60</v>
      </c>
      <c r="F86" s="2"/>
      <c r="G86" s="2" t="s">
        <v>1399</v>
      </c>
      <c r="H86" s="2" t="s">
        <v>1400</v>
      </c>
      <c r="I86" s="4" t="s">
        <v>60</v>
      </c>
      <c r="J86" s="112">
        <f>IF($H86&lt;&gt;"Y",0,ROUND(MIN(Dashboard!$R$24,IF(IFERROR(VLOOKUP($B86,Dashboard!$Q$28:$S$60,2,FALSE),0)&gt;0,IFERROR(VLOOKUP($B86,Dashboard!$Q$28:$S$60,2,FALSE),0),$Z86*IF($U86&lt;&gt;"",ROUND((Dashboard!$R$4/$U86)*VLOOKUP($I86,Dashboard!$Q$9:$R$13,2,FALSE)*IF(ISNUMBER(SEARCH("Duals",$B86)),2,IF(ISNUMBER(SEARCH("Triples",$B86)),3,IF(ISNUMBER(SEARCH("Quads",$B86)),4,1))),2),ROUND(VLOOKUP($I86,Dashboard!$Q$15:$R$20,2,FALSE)*IF($E86="Red",Dashboard!$R$6,IF($E86="Gold",Dashboard!$R$7,Dashboard!$R$5))*IF(ISNUMBER(SEARCH("Duals",$B86)),2,IF(ISNUMBER(SEARCH("Triples",$B86)),3,IF(ISNUMBER(SEARCH("Quads",$B86)),4,1))),2))*IF(IFERROR(VLOOKUP($B86,Dashboard!$Q$28:$S$60,3,FALSE),0)&gt;0,VLOOKUP($B86,Dashboard!$Q$28:$S$60,3,FALSE),1))),0))</f>
        <v>1</v>
      </c>
      <c r="K86" s="2" t="str">
        <f>IF('Base S1'!C86="","",'Base S1'!C86)</f>
        <v>h</v>
      </c>
      <c r="L86" s="2">
        <f t="shared" si="13"/>
        <v>1</v>
      </c>
      <c r="M86" s="2">
        <f t="shared" si="14"/>
        <v>0</v>
      </c>
      <c r="N86" s="2">
        <f t="shared" si="15"/>
        <v>1</v>
      </c>
      <c r="O86" s="2">
        <f t="shared" si="16"/>
        <v>0</v>
      </c>
      <c r="P86" s="112">
        <f t="shared" si="17"/>
        <v>1</v>
      </c>
      <c r="Q86" s="112">
        <f t="shared" si="18"/>
        <v>0</v>
      </c>
      <c r="R86" s="53"/>
      <c r="S86" s="53" t="str">
        <f t="shared" si="19"/>
        <v>Base S1|Base Set - Season 1|85|Base</v>
      </c>
      <c r="T86" s="57" t="str">
        <f>IF($S86="","",IFERROR(VLOOKUP($S86,'Pop Estimates (Non-#d)'!$N$2:$O$500,2,FALSE),""))</f>
        <v/>
      </c>
      <c r="U86" s="57" t="str">
        <f t="shared" si="20"/>
        <v/>
      </c>
      <c r="V86" s="53" t="str">
        <f t="shared" si="21"/>
        <v/>
      </c>
      <c r="W86" s="53" t="str">
        <f t="shared" si="22"/>
        <v/>
      </c>
      <c r="X86" s="53" t="str">
        <f t="shared" si="23"/>
        <v/>
      </c>
      <c r="Y86" s="57" t="str">
        <f>IF($X86="","",IFERROR(VLOOKUP($X86,'Char Popularity'!$A$2:$C$500,2,FALSE),""))</f>
        <v/>
      </c>
      <c r="Z86" s="56">
        <f>IF($X86="",1,IFERROR(VLOOKUP($X86,'Char Popularity'!$A$2:$C$500,3,FALSE),1))</f>
        <v>1</v>
      </c>
      <c r="AA86" s="62">
        <f>IF($H86&lt;&gt;"Y",0,(IF($F86&lt;&gt;"",ROUND(Dashboard!$R$4/$F86,1),IF(AND($I86="Base",$E86="Base"),Dashboard!$R$5,IF(AND($I86="Base",$E86="Red"),Dashboard!$R$6,IF(AND($I86="Base",$E86="Gold"),Dashboard!$R$7,VLOOKUP($I86,Dashboard!$Q$16:$R$21,2,FALSE)))))*VLOOKUP($I86,Dashboard!$Q$9:$R$13,2,FALSE)*IF(AND($I86="Auto",$F86="",OR($B86="Autographs Duals",$B86="Autographs Triples",$B86="Autographs Quads",$B86="Autographs Quads (Inscribed)")),IF($B86="Autographs Duals",2,IF($B86="Autographs Triples",3,4)),1)))</f>
        <v>1</v>
      </c>
      <c r="AB86" s="62">
        <f t="shared" si="24"/>
        <v>1</v>
      </c>
      <c r="AC86" s="62">
        <f t="shared" si="25"/>
        <v>0</v>
      </c>
    </row>
    <row r="87" spans="1:29" ht="28.7" customHeight="1" x14ac:dyDescent="0.25">
      <c r="A87" s="4" t="s">
        <v>17</v>
      </c>
      <c r="B87" s="7" t="s">
        <v>61</v>
      </c>
      <c r="C87" s="2" t="s">
        <v>1485</v>
      </c>
      <c r="D87" s="7" t="s">
        <v>1013</v>
      </c>
      <c r="E87" s="4" t="s">
        <v>60</v>
      </c>
      <c r="F87" s="2"/>
      <c r="G87" s="2" t="s">
        <v>1399</v>
      </c>
      <c r="H87" s="2" t="s">
        <v>1400</v>
      </c>
      <c r="I87" s="4" t="s">
        <v>60</v>
      </c>
      <c r="J87" s="112">
        <f>IF($H87&lt;&gt;"Y",0,ROUND(MIN(Dashboard!$R$24,IF(IFERROR(VLOOKUP($B87,Dashboard!$Q$28:$S$60,2,FALSE),0)&gt;0,IFERROR(VLOOKUP($B87,Dashboard!$Q$28:$S$60,2,FALSE),0),$Z87*IF($U87&lt;&gt;"",ROUND((Dashboard!$R$4/$U87)*VLOOKUP($I87,Dashboard!$Q$9:$R$13,2,FALSE)*IF(ISNUMBER(SEARCH("Duals",$B87)),2,IF(ISNUMBER(SEARCH("Triples",$B87)),3,IF(ISNUMBER(SEARCH("Quads",$B87)),4,1))),2),ROUND(VLOOKUP($I87,Dashboard!$Q$15:$R$20,2,FALSE)*IF($E87="Red",Dashboard!$R$6,IF($E87="Gold",Dashboard!$R$7,Dashboard!$R$5))*IF(ISNUMBER(SEARCH("Duals",$B87)),2,IF(ISNUMBER(SEARCH("Triples",$B87)),3,IF(ISNUMBER(SEARCH("Quads",$B87)),4,1))),2))*IF(IFERROR(VLOOKUP($B87,Dashboard!$Q$28:$S$60,3,FALSE),0)&gt;0,VLOOKUP($B87,Dashboard!$Q$28:$S$60,3,FALSE),1))),0))</f>
        <v>1</v>
      </c>
      <c r="K87" s="2" t="str">
        <f>IF('Base S1'!C87="","",'Base S1'!C87)</f>
        <v>h</v>
      </c>
      <c r="L87" s="2">
        <f t="shared" si="13"/>
        <v>1</v>
      </c>
      <c r="M87" s="2">
        <f t="shared" si="14"/>
        <v>0</v>
      </c>
      <c r="N87" s="2">
        <f t="shared" si="15"/>
        <v>1</v>
      </c>
      <c r="O87" s="2">
        <f t="shared" si="16"/>
        <v>0</v>
      </c>
      <c r="P87" s="112">
        <f t="shared" si="17"/>
        <v>1</v>
      </c>
      <c r="Q87" s="112">
        <f t="shared" si="18"/>
        <v>0</v>
      </c>
      <c r="R87" s="53"/>
      <c r="S87" s="53" t="str">
        <f t="shared" si="19"/>
        <v>Base S1|Base Set - Season 1|86|Base</v>
      </c>
      <c r="T87" s="57" t="str">
        <f>IF($S87="","",IFERROR(VLOOKUP($S87,'Pop Estimates (Non-#d)'!$N$2:$O$500,2,FALSE),""))</f>
        <v/>
      </c>
      <c r="U87" s="57" t="str">
        <f t="shared" si="20"/>
        <v/>
      </c>
      <c r="V87" s="53" t="str">
        <f t="shared" si="21"/>
        <v/>
      </c>
      <c r="W87" s="53" t="str">
        <f t="shared" si="22"/>
        <v/>
      </c>
      <c r="X87" s="53" t="str">
        <f t="shared" si="23"/>
        <v/>
      </c>
      <c r="Y87" s="57" t="str">
        <f>IF($X87="","",IFERROR(VLOOKUP($X87,'Char Popularity'!$A$2:$C$500,2,FALSE),""))</f>
        <v/>
      </c>
      <c r="Z87" s="56">
        <f>IF($X87="",1,IFERROR(VLOOKUP($X87,'Char Popularity'!$A$2:$C$500,3,FALSE),1))</f>
        <v>1</v>
      </c>
      <c r="AA87" s="62">
        <f>IF($H87&lt;&gt;"Y",0,(IF($F87&lt;&gt;"",ROUND(Dashboard!$R$4/$F87,1),IF(AND($I87="Base",$E87="Base"),Dashboard!$R$5,IF(AND($I87="Base",$E87="Red"),Dashboard!$R$6,IF(AND($I87="Base",$E87="Gold"),Dashboard!$R$7,VLOOKUP($I87,Dashboard!$Q$16:$R$21,2,FALSE)))))*VLOOKUP($I87,Dashboard!$Q$9:$R$13,2,FALSE)*IF(AND($I87="Auto",$F87="",OR($B87="Autographs Duals",$B87="Autographs Triples",$B87="Autographs Quads",$B87="Autographs Quads (Inscribed)")),IF($B87="Autographs Duals",2,IF($B87="Autographs Triples",3,4)),1)))</f>
        <v>1</v>
      </c>
      <c r="AB87" s="62">
        <f t="shared" si="24"/>
        <v>1</v>
      </c>
      <c r="AC87" s="62">
        <f t="shared" si="25"/>
        <v>0</v>
      </c>
    </row>
    <row r="88" spans="1:29" ht="28.7" customHeight="1" x14ac:dyDescent="0.25">
      <c r="A88" s="4" t="s">
        <v>17</v>
      </c>
      <c r="B88" s="7" t="s">
        <v>61</v>
      </c>
      <c r="C88" s="2" t="s">
        <v>1486</v>
      </c>
      <c r="D88" s="7" t="s">
        <v>1015</v>
      </c>
      <c r="E88" s="4" t="s">
        <v>60</v>
      </c>
      <c r="F88" s="2"/>
      <c r="G88" s="2" t="s">
        <v>1399</v>
      </c>
      <c r="H88" s="2" t="s">
        <v>1400</v>
      </c>
      <c r="I88" s="4" t="s">
        <v>60</v>
      </c>
      <c r="J88" s="112">
        <f>IF($H88&lt;&gt;"Y",0,ROUND(MIN(Dashboard!$R$24,IF(IFERROR(VLOOKUP($B88,Dashboard!$Q$28:$S$60,2,FALSE),0)&gt;0,IFERROR(VLOOKUP($B88,Dashboard!$Q$28:$S$60,2,FALSE),0),$Z88*IF($U88&lt;&gt;"",ROUND((Dashboard!$R$4/$U88)*VLOOKUP($I88,Dashboard!$Q$9:$R$13,2,FALSE)*IF(ISNUMBER(SEARCH("Duals",$B88)),2,IF(ISNUMBER(SEARCH("Triples",$B88)),3,IF(ISNUMBER(SEARCH("Quads",$B88)),4,1))),2),ROUND(VLOOKUP($I88,Dashboard!$Q$15:$R$20,2,FALSE)*IF($E88="Red",Dashboard!$R$6,IF($E88="Gold",Dashboard!$R$7,Dashboard!$R$5))*IF(ISNUMBER(SEARCH("Duals",$B88)),2,IF(ISNUMBER(SEARCH("Triples",$B88)),3,IF(ISNUMBER(SEARCH("Quads",$B88)),4,1))),2))*IF(IFERROR(VLOOKUP($B88,Dashboard!$Q$28:$S$60,3,FALSE),0)&gt;0,VLOOKUP($B88,Dashboard!$Q$28:$S$60,3,FALSE),1))),0))</f>
        <v>1</v>
      </c>
      <c r="K88" s="2" t="str">
        <f>IF('Base S1'!C88="","",'Base S1'!C88)</f>
        <v>h</v>
      </c>
      <c r="L88" s="2">
        <f t="shared" si="13"/>
        <v>1</v>
      </c>
      <c r="M88" s="2">
        <f t="shared" si="14"/>
        <v>0</v>
      </c>
      <c r="N88" s="2">
        <f t="shared" si="15"/>
        <v>1</v>
      </c>
      <c r="O88" s="2">
        <f t="shared" si="16"/>
        <v>0</v>
      </c>
      <c r="P88" s="112">
        <f t="shared" si="17"/>
        <v>1</v>
      </c>
      <c r="Q88" s="112">
        <f t="shared" si="18"/>
        <v>0</v>
      </c>
      <c r="R88" s="53"/>
      <c r="S88" s="53" t="str">
        <f t="shared" si="19"/>
        <v>Base S1|Base Set - Season 1|87|Base</v>
      </c>
      <c r="T88" s="57" t="str">
        <f>IF($S88="","",IFERROR(VLOOKUP($S88,'Pop Estimates (Non-#d)'!$N$2:$O$500,2,FALSE),""))</f>
        <v/>
      </c>
      <c r="U88" s="57" t="str">
        <f t="shared" si="20"/>
        <v/>
      </c>
      <c r="V88" s="53" t="str">
        <f t="shared" si="21"/>
        <v/>
      </c>
      <c r="W88" s="53" t="str">
        <f t="shared" si="22"/>
        <v/>
      </c>
      <c r="X88" s="53" t="str">
        <f t="shared" si="23"/>
        <v/>
      </c>
      <c r="Y88" s="57" t="str">
        <f>IF($X88="","",IFERROR(VLOOKUP($X88,'Char Popularity'!$A$2:$C$500,2,FALSE),""))</f>
        <v/>
      </c>
      <c r="Z88" s="56">
        <f>IF($X88="",1,IFERROR(VLOOKUP($X88,'Char Popularity'!$A$2:$C$500,3,FALSE),1))</f>
        <v>1</v>
      </c>
      <c r="AA88" s="62">
        <f>IF($H88&lt;&gt;"Y",0,(IF($F88&lt;&gt;"",ROUND(Dashboard!$R$4/$F88,1),IF(AND($I88="Base",$E88="Base"),Dashboard!$R$5,IF(AND($I88="Base",$E88="Red"),Dashboard!$R$6,IF(AND($I88="Base",$E88="Gold"),Dashboard!$R$7,VLOOKUP($I88,Dashboard!$Q$16:$R$21,2,FALSE)))))*VLOOKUP($I88,Dashboard!$Q$9:$R$13,2,FALSE)*IF(AND($I88="Auto",$F88="",OR($B88="Autographs Duals",$B88="Autographs Triples",$B88="Autographs Quads",$B88="Autographs Quads (Inscribed)")),IF($B88="Autographs Duals",2,IF($B88="Autographs Triples",3,4)),1)))</f>
        <v>1</v>
      </c>
      <c r="AB88" s="62">
        <f t="shared" si="24"/>
        <v>1</v>
      </c>
      <c r="AC88" s="62">
        <f t="shared" si="25"/>
        <v>0</v>
      </c>
    </row>
    <row r="89" spans="1:29" ht="28.7" customHeight="1" x14ac:dyDescent="0.25">
      <c r="A89" s="4" t="s">
        <v>17</v>
      </c>
      <c r="B89" s="7" t="s">
        <v>61</v>
      </c>
      <c r="C89" s="2" t="s">
        <v>1487</v>
      </c>
      <c r="D89" s="7" t="s">
        <v>1018</v>
      </c>
      <c r="E89" s="4" t="s">
        <v>60</v>
      </c>
      <c r="F89" s="2"/>
      <c r="G89" s="2" t="s">
        <v>1399</v>
      </c>
      <c r="H89" s="2" t="s">
        <v>1400</v>
      </c>
      <c r="I89" s="4" t="s">
        <v>60</v>
      </c>
      <c r="J89" s="112">
        <f>IF($H89&lt;&gt;"Y",0,ROUND(MIN(Dashboard!$R$24,IF(IFERROR(VLOOKUP($B89,Dashboard!$Q$28:$S$60,2,FALSE),0)&gt;0,IFERROR(VLOOKUP($B89,Dashboard!$Q$28:$S$60,2,FALSE),0),$Z89*IF($U89&lt;&gt;"",ROUND((Dashboard!$R$4/$U89)*VLOOKUP($I89,Dashboard!$Q$9:$R$13,2,FALSE)*IF(ISNUMBER(SEARCH("Duals",$B89)),2,IF(ISNUMBER(SEARCH("Triples",$B89)),3,IF(ISNUMBER(SEARCH("Quads",$B89)),4,1))),2),ROUND(VLOOKUP($I89,Dashboard!$Q$15:$R$20,2,FALSE)*IF($E89="Red",Dashboard!$R$6,IF($E89="Gold",Dashboard!$R$7,Dashboard!$R$5))*IF(ISNUMBER(SEARCH("Duals",$B89)),2,IF(ISNUMBER(SEARCH("Triples",$B89)),3,IF(ISNUMBER(SEARCH("Quads",$B89)),4,1))),2))*IF(IFERROR(VLOOKUP($B89,Dashboard!$Q$28:$S$60,3,FALSE),0)&gt;0,VLOOKUP($B89,Dashboard!$Q$28:$S$60,3,FALSE),1))),0))</f>
        <v>1</v>
      </c>
      <c r="K89" s="2" t="str">
        <f>IF('Base S1'!C89="","",'Base S1'!C89)</f>
        <v>h</v>
      </c>
      <c r="L89" s="2">
        <f t="shared" si="13"/>
        <v>1</v>
      </c>
      <c r="M89" s="2">
        <f t="shared" si="14"/>
        <v>0</v>
      </c>
      <c r="N89" s="2">
        <f t="shared" si="15"/>
        <v>1</v>
      </c>
      <c r="O89" s="2">
        <f t="shared" si="16"/>
        <v>0</v>
      </c>
      <c r="P89" s="112">
        <f t="shared" si="17"/>
        <v>1</v>
      </c>
      <c r="Q89" s="112">
        <f t="shared" si="18"/>
        <v>0</v>
      </c>
      <c r="R89" s="53"/>
      <c r="S89" s="53" t="str">
        <f t="shared" si="19"/>
        <v>Base S1|Base Set - Season 1|88|Base</v>
      </c>
      <c r="T89" s="57" t="str">
        <f>IF($S89="","",IFERROR(VLOOKUP($S89,'Pop Estimates (Non-#d)'!$N$2:$O$500,2,FALSE),""))</f>
        <v/>
      </c>
      <c r="U89" s="57" t="str">
        <f t="shared" si="20"/>
        <v/>
      </c>
      <c r="V89" s="53" t="str">
        <f t="shared" si="21"/>
        <v/>
      </c>
      <c r="W89" s="53" t="str">
        <f t="shared" si="22"/>
        <v/>
      </c>
      <c r="X89" s="53" t="str">
        <f t="shared" si="23"/>
        <v/>
      </c>
      <c r="Y89" s="57" t="str">
        <f>IF($X89="","",IFERROR(VLOOKUP($X89,'Char Popularity'!$A$2:$C$500,2,FALSE),""))</f>
        <v/>
      </c>
      <c r="Z89" s="56">
        <f>IF($X89="",1,IFERROR(VLOOKUP($X89,'Char Popularity'!$A$2:$C$500,3,FALSE),1))</f>
        <v>1</v>
      </c>
      <c r="AA89" s="62">
        <f>IF($H89&lt;&gt;"Y",0,(IF($F89&lt;&gt;"",ROUND(Dashboard!$R$4/$F89,1),IF(AND($I89="Base",$E89="Base"),Dashboard!$R$5,IF(AND($I89="Base",$E89="Red"),Dashboard!$R$6,IF(AND($I89="Base",$E89="Gold"),Dashboard!$R$7,VLOOKUP($I89,Dashboard!$Q$16:$R$21,2,FALSE)))))*VLOOKUP($I89,Dashboard!$Q$9:$R$13,2,FALSE)*IF(AND($I89="Auto",$F89="",OR($B89="Autographs Duals",$B89="Autographs Triples",$B89="Autographs Quads",$B89="Autographs Quads (Inscribed)")),IF($B89="Autographs Duals",2,IF($B89="Autographs Triples",3,4)),1)))</f>
        <v>1</v>
      </c>
      <c r="AB89" s="62">
        <f t="shared" si="24"/>
        <v>1</v>
      </c>
      <c r="AC89" s="62">
        <f t="shared" si="25"/>
        <v>0</v>
      </c>
    </row>
    <row r="90" spans="1:29" ht="28.7" customHeight="1" x14ac:dyDescent="0.25">
      <c r="A90" s="4" t="s">
        <v>17</v>
      </c>
      <c r="B90" s="7" t="s">
        <v>61</v>
      </c>
      <c r="C90" s="2" t="s">
        <v>1488</v>
      </c>
      <c r="D90" s="7" t="s">
        <v>1021</v>
      </c>
      <c r="E90" s="4" t="s">
        <v>60</v>
      </c>
      <c r="F90" s="2"/>
      <c r="G90" s="2" t="s">
        <v>1399</v>
      </c>
      <c r="H90" s="2" t="s">
        <v>1400</v>
      </c>
      <c r="I90" s="4" t="s">
        <v>60</v>
      </c>
      <c r="J90" s="112">
        <f>IF($H90&lt;&gt;"Y",0,ROUND(MIN(Dashboard!$R$24,IF(IFERROR(VLOOKUP($B90,Dashboard!$Q$28:$S$60,2,FALSE),0)&gt;0,IFERROR(VLOOKUP($B90,Dashboard!$Q$28:$S$60,2,FALSE),0),$Z90*IF($U90&lt;&gt;"",ROUND((Dashboard!$R$4/$U90)*VLOOKUP($I90,Dashboard!$Q$9:$R$13,2,FALSE)*IF(ISNUMBER(SEARCH("Duals",$B90)),2,IF(ISNUMBER(SEARCH("Triples",$B90)),3,IF(ISNUMBER(SEARCH("Quads",$B90)),4,1))),2),ROUND(VLOOKUP($I90,Dashboard!$Q$15:$R$20,2,FALSE)*IF($E90="Red",Dashboard!$R$6,IF($E90="Gold",Dashboard!$R$7,Dashboard!$R$5))*IF(ISNUMBER(SEARCH("Duals",$B90)),2,IF(ISNUMBER(SEARCH("Triples",$B90)),3,IF(ISNUMBER(SEARCH("Quads",$B90)),4,1))),2))*IF(IFERROR(VLOOKUP($B90,Dashboard!$Q$28:$S$60,3,FALSE),0)&gt;0,VLOOKUP($B90,Dashboard!$Q$28:$S$60,3,FALSE),1))),0))</f>
        <v>1</v>
      </c>
      <c r="K90" s="2" t="str">
        <f>IF('Base S1'!C90="","",'Base S1'!C90)</f>
        <v>h</v>
      </c>
      <c r="L90" s="2">
        <f t="shared" si="13"/>
        <v>1</v>
      </c>
      <c r="M90" s="2">
        <f t="shared" si="14"/>
        <v>0</v>
      </c>
      <c r="N90" s="2">
        <f t="shared" si="15"/>
        <v>1</v>
      </c>
      <c r="O90" s="2">
        <f t="shared" si="16"/>
        <v>0</v>
      </c>
      <c r="P90" s="112">
        <f t="shared" si="17"/>
        <v>1</v>
      </c>
      <c r="Q90" s="112">
        <f t="shared" si="18"/>
        <v>0</v>
      </c>
      <c r="R90" s="53"/>
      <c r="S90" s="53" t="str">
        <f t="shared" si="19"/>
        <v>Base S1|Base Set - Season 1|89|Base</v>
      </c>
      <c r="T90" s="57" t="str">
        <f>IF($S90="","",IFERROR(VLOOKUP($S90,'Pop Estimates (Non-#d)'!$N$2:$O$500,2,FALSE),""))</f>
        <v/>
      </c>
      <c r="U90" s="57" t="str">
        <f t="shared" si="20"/>
        <v/>
      </c>
      <c r="V90" s="53" t="str">
        <f t="shared" si="21"/>
        <v/>
      </c>
      <c r="W90" s="53" t="str">
        <f t="shared" si="22"/>
        <v/>
      </c>
      <c r="X90" s="53" t="str">
        <f t="shared" si="23"/>
        <v/>
      </c>
      <c r="Y90" s="57" t="str">
        <f>IF($X90="","",IFERROR(VLOOKUP($X90,'Char Popularity'!$A$2:$C$500,2,FALSE),""))</f>
        <v/>
      </c>
      <c r="Z90" s="56">
        <f>IF($X90="",1,IFERROR(VLOOKUP($X90,'Char Popularity'!$A$2:$C$500,3,FALSE),1))</f>
        <v>1</v>
      </c>
      <c r="AA90" s="62">
        <f>IF($H90&lt;&gt;"Y",0,(IF($F90&lt;&gt;"",ROUND(Dashboard!$R$4/$F90,1),IF(AND($I90="Base",$E90="Base"),Dashboard!$R$5,IF(AND($I90="Base",$E90="Red"),Dashboard!$R$6,IF(AND($I90="Base",$E90="Gold"),Dashboard!$R$7,VLOOKUP($I90,Dashboard!$Q$16:$R$21,2,FALSE)))))*VLOOKUP($I90,Dashboard!$Q$9:$R$13,2,FALSE)*IF(AND($I90="Auto",$F90="",OR($B90="Autographs Duals",$B90="Autographs Triples",$B90="Autographs Quads",$B90="Autographs Quads (Inscribed)")),IF($B90="Autographs Duals",2,IF($B90="Autographs Triples",3,4)),1)))</f>
        <v>1</v>
      </c>
      <c r="AB90" s="62">
        <f t="shared" si="24"/>
        <v>1</v>
      </c>
      <c r="AC90" s="62">
        <f t="shared" si="25"/>
        <v>0</v>
      </c>
    </row>
    <row r="91" spans="1:29" ht="28.7" customHeight="1" x14ac:dyDescent="0.25">
      <c r="A91" s="4" t="s">
        <v>17</v>
      </c>
      <c r="B91" s="7" t="s">
        <v>61</v>
      </c>
      <c r="C91" s="2" t="s">
        <v>1489</v>
      </c>
      <c r="D91" s="7" t="s">
        <v>1023</v>
      </c>
      <c r="E91" s="4" t="s">
        <v>60</v>
      </c>
      <c r="F91" s="2"/>
      <c r="G91" s="2" t="s">
        <v>1399</v>
      </c>
      <c r="H91" s="2" t="s">
        <v>1400</v>
      </c>
      <c r="I91" s="4" t="s">
        <v>60</v>
      </c>
      <c r="J91" s="112">
        <f>IF($H91&lt;&gt;"Y",0,ROUND(MIN(Dashboard!$R$24,IF(IFERROR(VLOOKUP($B91,Dashboard!$Q$28:$S$60,2,FALSE),0)&gt;0,IFERROR(VLOOKUP($B91,Dashboard!$Q$28:$S$60,2,FALSE),0),$Z91*IF($U91&lt;&gt;"",ROUND((Dashboard!$R$4/$U91)*VLOOKUP($I91,Dashboard!$Q$9:$R$13,2,FALSE)*IF(ISNUMBER(SEARCH("Duals",$B91)),2,IF(ISNUMBER(SEARCH("Triples",$B91)),3,IF(ISNUMBER(SEARCH("Quads",$B91)),4,1))),2),ROUND(VLOOKUP($I91,Dashboard!$Q$15:$R$20,2,FALSE)*IF($E91="Red",Dashboard!$R$6,IF($E91="Gold",Dashboard!$R$7,Dashboard!$R$5))*IF(ISNUMBER(SEARCH("Duals",$B91)),2,IF(ISNUMBER(SEARCH("Triples",$B91)),3,IF(ISNUMBER(SEARCH("Quads",$B91)),4,1))),2))*IF(IFERROR(VLOOKUP($B91,Dashboard!$Q$28:$S$60,3,FALSE),0)&gt;0,VLOOKUP($B91,Dashboard!$Q$28:$S$60,3,FALSE),1))),0))</f>
        <v>1</v>
      </c>
      <c r="K91" s="2" t="str">
        <f>IF('Base S1'!C91="","",'Base S1'!C91)</f>
        <v>h</v>
      </c>
      <c r="L91" s="2">
        <f t="shared" si="13"/>
        <v>1</v>
      </c>
      <c r="M91" s="2">
        <f t="shared" si="14"/>
        <v>0</v>
      </c>
      <c r="N91" s="2">
        <f t="shared" si="15"/>
        <v>1</v>
      </c>
      <c r="O91" s="2">
        <f t="shared" si="16"/>
        <v>0</v>
      </c>
      <c r="P91" s="112">
        <f t="shared" si="17"/>
        <v>1</v>
      </c>
      <c r="Q91" s="112">
        <f t="shared" si="18"/>
        <v>0</v>
      </c>
      <c r="R91" s="53"/>
      <c r="S91" s="53" t="str">
        <f t="shared" si="19"/>
        <v>Base S1|Base Set - Season 1|90|Base</v>
      </c>
      <c r="T91" s="57" t="str">
        <f>IF($S91="","",IFERROR(VLOOKUP($S91,'Pop Estimates (Non-#d)'!$N$2:$O$500,2,FALSE),""))</f>
        <v/>
      </c>
      <c r="U91" s="57" t="str">
        <f t="shared" si="20"/>
        <v/>
      </c>
      <c r="V91" s="53" t="str">
        <f t="shared" si="21"/>
        <v/>
      </c>
      <c r="W91" s="53" t="str">
        <f t="shared" si="22"/>
        <v/>
      </c>
      <c r="X91" s="53" t="str">
        <f t="shared" si="23"/>
        <v/>
      </c>
      <c r="Y91" s="57" t="str">
        <f>IF($X91="","",IFERROR(VLOOKUP($X91,'Char Popularity'!$A$2:$C$500,2,FALSE),""))</f>
        <v/>
      </c>
      <c r="Z91" s="56">
        <f>IF($X91="",1,IFERROR(VLOOKUP($X91,'Char Popularity'!$A$2:$C$500,3,FALSE),1))</f>
        <v>1</v>
      </c>
      <c r="AA91" s="62">
        <f>IF($H91&lt;&gt;"Y",0,(IF($F91&lt;&gt;"",ROUND(Dashboard!$R$4/$F91,1),IF(AND($I91="Base",$E91="Base"),Dashboard!$R$5,IF(AND($I91="Base",$E91="Red"),Dashboard!$R$6,IF(AND($I91="Base",$E91="Gold"),Dashboard!$R$7,VLOOKUP($I91,Dashboard!$Q$16:$R$21,2,FALSE)))))*VLOOKUP($I91,Dashboard!$Q$9:$R$13,2,FALSE)*IF(AND($I91="Auto",$F91="",OR($B91="Autographs Duals",$B91="Autographs Triples",$B91="Autographs Quads",$B91="Autographs Quads (Inscribed)")),IF($B91="Autographs Duals",2,IF($B91="Autographs Triples",3,4)),1)))</f>
        <v>1</v>
      </c>
      <c r="AB91" s="62">
        <f t="shared" si="24"/>
        <v>1</v>
      </c>
      <c r="AC91" s="62">
        <f t="shared" si="25"/>
        <v>0</v>
      </c>
    </row>
    <row r="92" spans="1:29" ht="28.7" customHeight="1" x14ac:dyDescent="0.25">
      <c r="A92" s="4" t="s">
        <v>17</v>
      </c>
      <c r="B92" s="7" t="s">
        <v>61</v>
      </c>
      <c r="C92" s="2" t="s">
        <v>1490</v>
      </c>
      <c r="D92" s="7" t="s">
        <v>1025</v>
      </c>
      <c r="E92" s="4" t="s">
        <v>60</v>
      </c>
      <c r="F92" s="2"/>
      <c r="G92" s="2" t="s">
        <v>1399</v>
      </c>
      <c r="H92" s="2" t="s">
        <v>1400</v>
      </c>
      <c r="I92" s="4" t="s">
        <v>60</v>
      </c>
      <c r="J92" s="112">
        <f>IF($H92&lt;&gt;"Y",0,ROUND(MIN(Dashboard!$R$24,IF(IFERROR(VLOOKUP($B92,Dashboard!$Q$28:$S$60,2,FALSE),0)&gt;0,IFERROR(VLOOKUP($B92,Dashboard!$Q$28:$S$60,2,FALSE),0),$Z92*IF($U92&lt;&gt;"",ROUND((Dashboard!$R$4/$U92)*VLOOKUP($I92,Dashboard!$Q$9:$R$13,2,FALSE)*IF(ISNUMBER(SEARCH("Duals",$B92)),2,IF(ISNUMBER(SEARCH("Triples",$B92)),3,IF(ISNUMBER(SEARCH("Quads",$B92)),4,1))),2),ROUND(VLOOKUP($I92,Dashboard!$Q$15:$R$20,2,FALSE)*IF($E92="Red",Dashboard!$R$6,IF($E92="Gold",Dashboard!$R$7,Dashboard!$R$5))*IF(ISNUMBER(SEARCH("Duals",$B92)),2,IF(ISNUMBER(SEARCH("Triples",$B92)),3,IF(ISNUMBER(SEARCH("Quads",$B92)),4,1))),2))*IF(IFERROR(VLOOKUP($B92,Dashboard!$Q$28:$S$60,3,FALSE),0)&gt;0,VLOOKUP($B92,Dashboard!$Q$28:$S$60,3,FALSE),1))),0))</f>
        <v>1</v>
      </c>
      <c r="K92" s="2" t="str">
        <f>IF('Base S1'!C92="","",'Base S1'!C92)</f>
        <v>h</v>
      </c>
      <c r="L92" s="2">
        <f t="shared" si="13"/>
        <v>1</v>
      </c>
      <c r="M92" s="2">
        <f t="shared" si="14"/>
        <v>0</v>
      </c>
      <c r="N92" s="2">
        <f t="shared" si="15"/>
        <v>1</v>
      </c>
      <c r="O92" s="2">
        <f t="shared" si="16"/>
        <v>0</v>
      </c>
      <c r="P92" s="112">
        <f t="shared" si="17"/>
        <v>1</v>
      </c>
      <c r="Q92" s="112">
        <f t="shared" si="18"/>
        <v>0</v>
      </c>
      <c r="R92" s="53"/>
      <c r="S92" s="53" t="str">
        <f t="shared" si="19"/>
        <v>Base S1|Base Set - Season 1|91|Base</v>
      </c>
      <c r="T92" s="57" t="str">
        <f>IF($S92="","",IFERROR(VLOOKUP($S92,'Pop Estimates (Non-#d)'!$N$2:$O$500,2,FALSE),""))</f>
        <v/>
      </c>
      <c r="U92" s="57" t="str">
        <f t="shared" si="20"/>
        <v/>
      </c>
      <c r="V92" s="53" t="str">
        <f t="shared" si="21"/>
        <v/>
      </c>
      <c r="W92" s="53" t="str">
        <f t="shared" si="22"/>
        <v/>
      </c>
      <c r="X92" s="53" t="str">
        <f t="shared" si="23"/>
        <v/>
      </c>
      <c r="Y92" s="57" t="str">
        <f>IF($X92="","",IFERROR(VLOOKUP($X92,'Char Popularity'!$A$2:$C$500,2,FALSE),""))</f>
        <v/>
      </c>
      <c r="Z92" s="56">
        <f>IF($X92="",1,IFERROR(VLOOKUP($X92,'Char Popularity'!$A$2:$C$500,3,FALSE),1))</f>
        <v>1</v>
      </c>
      <c r="AA92" s="62">
        <f>IF($H92&lt;&gt;"Y",0,(IF($F92&lt;&gt;"",ROUND(Dashboard!$R$4/$F92,1),IF(AND($I92="Base",$E92="Base"),Dashboard!$R$5,IF(AND($I92="Base",$E92="Red"),Dashboard!$R$6,IF(AND($I92="Base",$E92="Gold"),Dashboard!$R$7,VLOOKUP($I92,Dashboard!$Q$16:$R$21,2,FALSE)))))*VLOOKUP($I92,Dashboard!$Q$9:$R$13,2,FALSE)*IF(AND($I92="Auto",$F92="",OR($B92="Autographs Duals",$B92="Autographs Triples",$B92="Autographs Quads",$B92="Autographs Quads (Inscribed)")),IF($B92="Autographs Duals",2,IF($B92="Autographs Triples",3,4)),1)))</f>
        <v>1</v>
      </c>
      <c r="AB92" s="62">
        <f t="shared" si="24"/>
        <v>1</v>
      </c>
      <c r="AC92" s="62">
        <f t="shared" si="25"/>
        <v>0</v>
      </c>
    </row>
    <row r="93" spans="1:29" ht="28.7" customHeight="1" x14ac:dyDescent="0.25">
      <c r="A93" s="4" t="s">
        <v>17</v>
      </c>
      <c r="B93" s="7" t="s">
        <v>61</v>
      </c>
      <c r="C93" s="2" t="s">
        <v>1491</v>
      </c>
      <c r="D93" s="7" t="s">
        <v>1027</v>
      </c>
      <c r="E93" s="4" t="s">
        <v>60</v>
      </c>
      <c r="F93" s="2"/>
      <c r="G93" s="2" t="s">
        <v>1399</v>
      </c>
      <c r="H93" s="2" t="s">
        <v>1400</v>
      </c>
      <c r="I93" s="4" t="s">
        <v>60</v>
      </c>
      <c r="J93" s="112">
        <f>IF($H93&lt;&gt;"Y",0,ROUND(MIN(Dashboard!$R$24,IF(IFERROR(VLOOKUP($B93,Dashboard!$Q$28:$S$60,2,FALSE),0)&gt;0,IFERROR(VLOOKUP($B93,Dashboard!$Q$28:$S$60,2,FALSE),0),$Z93*IF($U93&lt;&gt;"",ROUND((Dashboard!$R$4/$U93)*VLOOKUP($I93,Dashboard!$Q$9:$R$13,2,FALSE)*IF(ISNUMBER(SEARCH("Duals",$B93)),2,IF(ISNUMBER(SEARCH("Triples",$B93)),3,IF(ISNUMBER(SEARCH("Quads",$B93)),4,1))),2),ROUND(VLOOKUP($I93,Dashboard!$Q$15:$R$20,2,FALSE)*IF($E93="Red",Dashboard!$R$6,IF($E93="Gold",Dashboard!$R$7,Dashboard!$R$5))*IF(ISNUMBER(SEARCH("Duals",$B93)),2,IF(ISNUMBER(SEARCH("Triples",$B93)),3,IF(ISNUMBER(SEARCH("Quads",$B93)),4,1))),2))*IF(IFERROR(VLOOKUP($B93,Dashboard!$Q$28:$S$60,3,FALSE),0)&gt;0,VLOOKUP($B93,Dashboard!$Q$28:$S$60,3,FALSE),1))),0))</f>
        <v>1</v>
      </c>
      <c r="K93" s="2" t="str">
        <f>IF('Base S1'!C93="","",'Base S1'!C93)</f>
        <v>h</v>
      </c>
      <c r="L93" s="2">
        <f t="shared" si="13"/>
        <v>1</v>
      </c>
      <c r="M93" s="2">
        <f t="shared" si="14"/>
        <v>0</v>
      </c>
      <c r="N93" s="2">
        <f t="shared" si="15"/>
        <v>1</v>
      </c>
      <c r="O93" s="2">
        <f t="shared" si="16"/>
        <v>0</v>
      </c>
      <c r="P93" s="112">
        <f t="shared" si="17"/>
        <v>1</v>
      </c>
      <c r="Q93" s="112">
        <f t="shared" si="18"/>
        <v>0</v>
      </c>
      <c r="R93" s="53"/>
      <c r="S93" s="53" t="str">
        <f t="shared" si="19"/>
        <v>Base S1|Base Set - Season 1|92|Base</v>
      </c>
      <c r="T93" s="57" t="str">
        <f>IF($S93="","",IFERROR(VLOOKUP($S93,'Pop Estimates (Non-#d)'!$N$2:$O$500,2,FALSE),""))</f>
        <v/>
      </c>
      <c r="U93" s="57" t="str">
        <f t="shared" si="20"/>
        <v/>
      </c>
      <c r="V93" s="53" t="str">
        <f t="shared" si="21"/>
        <v/>
      </c>
      <c r="W93" s="53" t="str">
        <f t="shared" si="22"/>
        <v/>
      </c>
      <c r="X93" s="53" t="str">
        <f t="shared" si="23"/>
        <v/>
      </c>
      <c r="Y93" s="57" t="str">
        <f>IF($X93="","",IFERROR(VLOOKUP($X93,'Char Popularity'!$A$2:$C$500,2,FALSE),""))</f>
        <v/>
      </c>
      <c r="Z93" s="56">
        <f>IF($X93="",1,IFERROR(VLOOKUP($X93,'Char Popularity'!$A$2:$C$500,3,FALSE),1))</f>
        <v>1</v>
      </c>
      <c r="AA93" s="62">
        <f>IF($H93&lt;&gt;"Y",0,(IF($F93&lt;&gt;"",ROUND(Dashboard!$R$4/$F93,1),IF(AND($I93="Base",$E93="Base"),Dashboard!$R$5,IF(AND($I93="Base",$E93="Red"),Dashboard!$R$6,IF(AND($I93="Base",$E93="Gold"),Dashboard!$R$7,VLOOKUP($I93,Dashboard!$Q$16:$R$21,2,FALSE)))))*VLOOKUP($I93,Dashboard!$Q$9:$R$13,2,FALSE)*IF(AND($I93="Auto",$F93="",OR($B93="Autographs Duals",$B93="Autographs Triples",$B93="Autographs Quads",$B93="Autographs Quads (Inscribed)")),IF($B93="Autographs Duals",2,IF($B93="Autographs Triples",3,4)),1)))</f>
        <v>1</v>
      </c>
      <c r="AB93" s="62">
        <f t="shared" si="24"/>
        <v>1</v>
      </c>
      <c r="AC93" s="62">
        <f t="shared" si="25"/>
        <v>0</v>
      </c>
    </row>
    <row r="94" spans="1:29" ht="28.7" customHeight="1" x14ac:dyDescent="0.25">
      <c r="A94" s="4" t="s">
        <v>17</v>
      </c>
      <c r="B94" s="7" t="s">
        <v>61</v>
      </c>
      <c r="C94" s="2" t="s">
        <v>1492</v>
      </c>
      <c r="D94" s="7" t="s">
        <v>1029</v>
      </c>
      <c r="E94" s="4" t="s">
        <v>60</v>
      </c>
      <c r="F94" s="2"/>
      <c r="G94" s="2" t="s">
        <v>1399</v>
      </c>
      <c r="H94" s="2" t="s">
        <v>1400</v>
      </c>
      <c r="I94" s="4" t="s">
        <v>60</v>
      </c>
      <c r="J94" s="112">
        <f>IF($H94&lt;&gt;"Y",0,ROUND(MIN(Dashboard!$R$24,IF(IFERROR(VLOOKUP($B94,Dashboard!$Q$28:$S$60,2,FALSE),0)&gt;0,IFERROR(VLOOKUP($B94,Dashboard!$Q$28:$S$60,2,FALSE),0),$Z94*IF($U94&lt;&gt;"",ROUND((Dashboard!$R$4/$U94)*VLOOKUP($I94,Dashboard!$Q$9:$R$13,2,FALSE)*IF(ISNUMBER(SEARCH("Duals",$B94)),2,IF(ISNUMBER(SEARCH("Triples",$B94)),3,IF(ISNUMBER(SEARCH("Quads",$B94)),4,1))),2),ROUND(VLOOKUP($I94,Dashboard!$Q$15:$R$20,2,FALSE)*IF($E94="Red",Dashboard!$R$6,IF($E94="Gold",Dashboard!$R$7,Dashboard!$R$5))*IF(ISNUMBER(SEARCH("Duals",$B94)),2,IF(ISNUMBER(SEARCH("Triples",$B94)),3,IF(ISNUMBER(SEARCH("Quads",$B94)),4,1))),2))*IF(IFERROR(VLOOKUP($B94,Dashboard!$Q$28:$S$60,3,FALSE),0)&gt;0,VLOOKUP($B94,Dashboard!$Q$28:$S$60,3,FALSE),1))),0))</f>
        <v>1</v>
      </c>
      <c r="K94" s="2" t="str">
        <f>IF('Base S1'!C94="","",'Base S1'!C94)</f>
        <v>h</v>
      </c>
      <c r="L94" s="2">
        <f t="shared" si="13"/>
        <v>1</v>
      </c>
      <c r="M94" s="2">
        <f t="shared" si="14"/>
        <v>0</v>
      </c>
      <c r="N94" s="2">
        <f t="shared" si="15"/>
        <v>1</v>
      </c>
      <c r="O94" s="2">
        <f t="shared" si="16"/>
        <v>0</v>
      </c>
      <c r="P94" s="112">
        <f t="shared" si="17"/>
        <v>1</v>
      </c>
      <c r="Q94" s="112">
        <f t="shared" si="18"/>
        <v>0</v>
      </c>
      <c r="R94" s="53"/>
      <c r="S94" s="53" t="str">
        <f t="shared" si="19"/>
        <v>Base S1|Base Set - Season 1|93|Base</v>
      </c>
      <c r="T94" s="57" t="str">
        <f>IF($S94="","",IFERROR(VLOOKUP($S94,'Pop Estimates (Non-#d)'!$N$2:$O$500,2,FALSE),""))</f>
        <v/>
      </c>
      <c r="U94" s="57" t="str">
        <f t="shared" si="20"/>
        <v/>
      </c>
      <c r="V94" s="53" t="str">
        <f t="shared" si="21"/>
        <v/>
      </c>
      <c r="W94" s="53" t="str">
        <f t="shared" si="22"/>
        <v/>
      </c>
      <c r="X94" s="53" t="str">
        <f t="shared" si="23"/>
        <v/>
      </c>
      <c r="Y94" s="57" t="str">
        <f>IF($X94="","",IFERROR(VLOOKUP($X94,'Char Popularity'!$A$2:$C$500,2,FALSE),""))</f>
        <v/>
      </c>
      <c r="Z94" s="56">
        <f>IF($X94="",1,IFERROR(VLOOKUP($X94,'Char Popularity'!$A$2:$C$500,3,FALSE),1))</f>
        <v>1</v>
      </c>
      <c r="AA94" s="62">
        <f>IF($H94&lt;&gt;"Y",0,(IF($F94&lt;&gt;"",ROUND(Dashboard!$R$4/$F94,1),IF(AND($I94="Base",$E94="Base"),Dashboard!$R$5,IF(AND($I94="Base",$E94="Red"),Dashboard!$R$6,IF(AND($I94="Base",$E94="Gold"),Dashboard!$R$7,VLOOKUP($I94,Dashboard!$Q$16:$R$21,2,FALSE)))))*VLOOKUP($I94,Dashboard!$Q$9:$R$13,2,FALSE)*IF(AND($I94="Auto",$F94="",OR($B94="Autographs Duals",$B94="Autographs Triples",$B94="Autographs Quads",$B94="Autographs Quads (Inscribed)")),IF($B94="Autographs Duals",2,IF($B94="Autographs Triples",3,4)),1)))</f>
        <v>1</v>
      </c>
      <c r="AB94" s="62">
        <f t="shared" si="24"/>
        <v>1</v>
      </c>
      <c r="AC94" s="62">
        <f t="shared" si="25"/>
        <v>0</v>
      </c>
    </row>
    <row r="95" spans="1:29" ht="28.7" customHeight="1" x14ac:dyDescent="0.25">
      <c r="A95" s="4" t="s">
        <v>17</v>
      </c>
      <c r="B95" s="7" t="s">
        <v>61</v>
      </c>
      <c r="C95" s="2" t="s">
        <v>1493</v>
      </c>
      <c r="D95" s="7" t="s">
        <v>1031</v>
      </c>
      <c r="E95" s="4" t="s">
        <v>60</v>
      </c>
      <c r="F95" s="2"/>
      <c r="G95" s="2" t="s">
        <v>1399</v>
      </c>
      <c r="H95" s="2" t="s">
        <v>1400</v>
      </c>
      <c r="I95" s="4" t="s">
        <v>60</v>
      </c>
      <c r="J95" s="112">
        <f>IF($H95&lt;&gt;"Y",0,ROUND(MIN(Dashboard!$R$24,IF(IFERROR(VLOOKUP($B95,Dashboard!$Q$28:$S$60,2,FALSE),0)&gt;0,IFERROR(VLOOKUP($B95,Dashboard!$Q$28:$S$60,2,FALSE),0),$Z95*IF($U95&lt;&gt;"",ROUND((Dashboard!$R$4/$U95)*VLOOKUP($I95,Dashboard!$Q$9:$R$13,2,FALSE)*IF(ISNUMBER(SEARCH("Duals",$B95)),2,IF(ISNUMBER(SEARCH("Triples",$B95)),3,IF(ISNUMBER(SEARCH("Quads",$B95)),4,1))),2),ROUND(VLOOKUP($I95,Dashboard!$Q$15:$R$20,2,FALSE)*IF($E95="Red",Dashboard!$R$6,IF($E95="Gold",Dashboard!$R$7,Dashboard!$R$5))*IF(ISNUMBER(SEARCH("Duals",$B95)),2,IF(ISNUMBER(SEARCH("Triples",$B95)),3,IF(ISNUMBER(SEARCH("Quads",$B95)),4,1))),2))*IF(IFERROR(VLOOKUP($B95,Dashboard!$Q$28:$S$60,3,FALSE),0)&gt;0,VLOOKUP($B95,Dashboard!$Q$28:$S$60,3,FALSE),1))),0))</f>
        <v>1</v>
      </c>
      <c r="K95" s="2" t="str">
        <f>IF('Base S1'!C95="","",'Base S1'!C95)</f>
        <v>h</v>
      </c>
      <c r="L95" s="2">
        <f t="shared" si="13"/>
        <v>1</v>
      </c>
      <c r="M95" s="2">
        <f t="shared" si="14"/>
        <v>0</v>
      </c>
      <c r="N95" s="2">
        <f t="shared" si="15"/>
        <v>1</v>
      </c>
      <c r="O95" s="2">
        <f t="shared" si="16"/>
        <v>0</v>
      </c>
      <c r="P95" s="112">
        <f t="shared" si="17"/>
        <v>1</v>
      </c>
      <c r="Q95" s="112">
        <f t="shared" si="18"/>
        <v>0</v>
      </c>
      <c r="R95" s="53"/>
      <c r="S95" s="53" t="str">
        <f t="shared" si="19"/>
        <v>Base S1|Base Set - Season 1|94|Base</v>
      </c>
      <c r="T95" s="57" t="str">
        <f>IF($S95="","",IFERROR(VLOOKUP($S95,'Pop Estimates (Non-#d)'!$N$2:$O$500,2,FALSE),""))</f>
        <v/>
      </c>
      <c r="U95" s="57" t="str">
        <f t="shared" si="20"/>
        <v/>
      </c>
      <c r="V95" s="53" t="str">
        <f t="shared" si="21"/>
        <v/>
      </c>
      <c r="W95" s="53" t="str">
        <f t="shared" si="22"/>
        <v/>
      </c>
      <c r="X95" s="53" t="str">
        <f t="shared" si="23"/>
        <v/>
      </c>
      <c r="Y95" s="57" t="str">
        <f>IF($X95="","",IFERROR(VLOOKUP($X95,'Char Popularity'!$A$2:$C$500,2,FALSE),""))</f>
        <v/>
      </c>
      <c r="Z95" s="56">
        <f>IF($X95="",1,IFERROR(VLOOKUP($X95,'Char Popularity'!$A$2:$C$500,3,FALSE),1))</f>
        <v>1</v>
      </c>
      <c r="AA95" s="62">
        <f>IF($H95&lt;&gt;"Y",0,(IF($F95&lt;&gt;"",ROUND(Dashboard!$R$4/$F95,1),IF(AND($I95="Base",$E95="Base"),Dashboard!$R$5,IF(AND($I95="Base",$E95="Red"),Dashboard!$R$6,IF(AND($I95="Base",$E95="Gold"),Dashboard!$R$7,VLOOKUP($I95,Dashboard!$Q$16:$R$21,2,FALSE)))))*VLOOKUP($I95,Dashboard!$Q$9:$R$13,2,FALSE)*IF(AND($I95="Auto",$F95="",OR($B95="Autographs Duals",$B95="Autographs Triples",$B95="Autographs Quads",$B95="Autographs Quads (Inscribed)")),IF($B95="Autographs Duals",2,IF($B95="Autographs Triples",3,4)),1)))</f>
        <v>1</v>
      </c>
      <c r="AB95" s="62">
        <f t="shared" si="24"/>
        <v>1</v>
      </c>
      <c r="AC95" s="62">
        <f t="shared" si="25"/>
        <v>0</v>
      </c>
    </row>
    <row r="96" spans="1:29" ht="28.7" customHeight="1" x14ac:dyDescent="0.25">
      <c r="A96" s="4" t="s">
        <v>17</v>
      </c>
      <c r="B96" s="7" t="s">
        <v>61</v>
      </c>
      <c r="C96" s="2" t="s">
        <v>1494</v>
      </c>
      <c r="D96" s="7" t="s">
        <v>1032</v>
      </c>
      <c r="E96" s="4" t="s">
        <v>60</v>
      </c>
      <c r="F96" s="2"/>
      <c r="G96" s="2" t="s">
        <v>1399</v>
      </c>
      <c r="H96" s="2" t="s">
        <v>1400</v>
      </c>
      <c r="I96" s="4" t="s">
        <v>60</v>
      </c>
      <c r="J96" s="112">
        <f>IF($H96&lt;&gt;"Y",0,ROUND(MIN(Dashboard!$R$24,IF(IFERROR(VLOOKUP($B96,Dashboard!$Q$28:$S$60,2,FALSE),0)&gt;0,IFERROR(VLOOKUP($B96,Dashboard!$Q$28:$S$60,2,FALSE),0),$Z96*IF($U96&lt;&gt;"",ROUND((Dashboard!$R$4/$U96)*VLOOKUP($I96,Dashboard!$Q$9:$R$13,2,FALSE)*IF(ISNUMBER(SEARCH("Duals",$B96)),2,IF(ISNUMBER(SEARCH("Triples",$B96)),3,IF(ISNUMBER(SEARCH("Quads",$B96)),4,1))),2),ROUND(VLOOKUP($I96,Dashboard!$Q$15:$R$20,2,FALSE)*IF($E96="Red",Dashboard!$R$6,IF($E96="Gold",Dashboard!$R$7,Dashboard!$R$5))*IF(ISNUMBER(SEARCH("Duals",$B96)),2,IF(ISNUMBER(SEARCH("Triples",$B96)),3,IF(ISNUMBER(SEARCH("Quads",$B96)),4,1))),2))*IF(IFERROR(VLOOKUP($B96,Dashboard!$Q$28:$S$60,3,FALSE),0)&gt;0,VLOOKUP($B96,Dashboard!$Q$28:$S$60,3,FALSE),1))),0))</f>
        <v>1</v>
      </c>
      <c r="K96" s="2" t="str">
        <f>IF('Base S1'!C96="","",'Base S1'!C96)</f>
        <v>h</v>
      </c>
      <c r="L96" s="2">
        <f t="shared" si="13"/>
        <v>1</v>
      </c>
      <c r="M96" s="2">
        <f t="shared" si="14"/>
        <v>0</v>
      </c>
      <c r="N96" s="2">
        <f t="shared" si="15"/>
        <v>1</v>
      </c>
      <c r="O96" s="2">
        <f t="shared" si="16"/>
        <v>0</v>
      </c>
      <c r="P96" s="112">
        <f t="shared" si="17"/>
        <v>1</v>
      </c>
      <c r="Q96" s="112">
        <f t="shared" si="18"/>
        <v>0</v>
      </c>
      <c r="R96" s="53"/>
      <c r="S96" s="53" t="str">
        <f t="shared" si="19"/>
        <v>Base S1|Base Set - Season 1|95|Base</v>
      </c>
      <c r="T96" s="57" t="str">
        <f>IF($S96="","",IFERROR(VLOOKUP($S96,'Pop Estimates (Non-#d)'!$N$2:$O$500,2,FALSE),""))</f>
        <v/>
      </c>
      <c r="U96" s="57" t="str">
        <f t="shared" si="20"/>
        <v/>
      </c>
      <c r="V96" s="53" t="str">
        <f t="shared" si="21"/>
        <v/>
      </c>
      <c r="W96" s="53" t="str">
        <f t="shared" si="22"/>
        <v/>
      </c>
      <c r="X96" s="53" t="str">
        <f t="shared" si="23"/>
        <v/>
      </c>
      <c r="Y96" s="57" t="str">
        <f>IF($X96="","",IFERROR(VLOOKUP($X96,'Char Popularity'!$A$2:$C$500,2,FALSE),""))</f>
        <v/>
      </c>
      <c r="Z96" s="56">
        <f>IF($X96="",1,IFERROR(VLOOKUP($X96,'Char Popularity'!$A$2:$C$500,3,FALSE),1))</f>
        <v>1</v>
      </c>
      <c r="AA96" s="62">
        <f>IF($H96&lt;&gt;"Y",0,(IF($F96&lt;&gt;"",ROUND(Dashboard!$R$4/$F96,1),IF(AND($I96="Base",$E96="Base"),Dashboard!$R$5,IF(AND($I96="Base",$E96="Red"),Dashboard!$R$6,IF(AND($I96="Base",$E96="Gold"),Dashboard!$R$7,VLOOKUP($I96,Dashboard!$Q$16:$R$21,2,FALSE)))))*VLOOKUP($I96,Dashboard!$Q$9:$R$13,2,FALSE)*IF(AND($I96="Auto",$F96="",OR($B96="Autographs Duals",$B96="Autographs Triples",$B96="Autographs Quads",$B96="Autographs Quads (Inscribed)")),IF($B96="Autographs Duals",2,IF($B96="Autographs Triples",3,4)),1)))</f>
        <v>1</v>
      </c>
      <c r="AB96" s="62">
        <f t="shared" si="24"/>
        <v>1</v>
      </c>
      <c r="AC96" s="62">
        <f t="shared" si="25"/>
        <v>0</v>
      </c>
    </row>
    <row r="97" spans="1:29" ht="28.7" customHeight="1" x14ac:dyDescent="0.25">
      <c r="A97" s="4" t="s">
        <v>17</v>
      </c>
      <c r="B97" s="7" t="s">
        <v>61</v>
      </c>
      <c r="C97" s="2" t="s">
        <v>1495</v>
      </c>
      <c r="D97" s="7" t="s">
        <v>1034</v>
      </c>
      <c r="E97" s="4" t="s">
        <v>60</v>
      </c>
      <c r="F97" s="2"/>
      <c r="G97" s="2" t="s">
        <v>1399</v>
      </c>
      <c r="H97" s="2" t="s">
        <v>1400</v>
      </c>
      <c r="I97" s="4" t="s">
        <v>60</v>
      </c>
      <c r="J97" s="112">
        <f>IF($H97&lt;&gt;"Y",0,ROUND(MIN(Dashboard!$R$24,IF(IFERROR(VLOOKUP($B97,Dashboard!$Q$28:$S$60,2,FALSE),0)&gt;0,IFERROR(VLOOKUP($B97,Dashboard!$Q$28:$S$60,2,FALSE),0),$Z97*IF($U97&lt;&gt;"",ROUND((Dashboard!$R$4/$U97)*VLOOKUP($I97,Dashboard!$Q$9:$R$13,2,FALSE)*IF(ISNUMBER(SEARCH("Duals",$B97)),2,IF(ISNUMBER(SEARCH("Triples",$B97)),3,IF(ISNUMBER(SEARCH("Quads",$B97)),4,1))),2),ROUND(VLOOKUP($I97,Dashboard!$Q$15:$R$20,2,FALSE)*IF($E97="Red",Dashboard!$R$6,IF($E97="Gold",Dashboard!$R$7,Dashboard!$R$5))*IF(ISNUMBER(SEARCH("Duals",$B97)),2,IF(ISNUMBER(SEARCH("Triples",$B97)),3,IF(ISNUMBER(SEARCH("Quads",$B97)),4,1))),2))*IF(IFERROR(VLOOKUP($B97,Dashboard!$Q$28:$S$60,3,FALSE),0)&gt;0,VLOOKUP($B97,Dashboard!$Q$28:$S$60,3,FALSE),1))),0))</f>
        <v>1</v>
      </c>
      <c r="K97" s="2" t="str">
        <f>IF('Base S1'!C97="","",'Base S1'!C97)</f>
        <v>h</v>
      </c>
      <c r="L97" s="2">
        <f t="shared" si="13"/>
        <v>1</v>
      </c>
      <c r="M97" s="2">
        <f t="shared" si="14"/>
        <v>0</v>
      </c>
      <c r="N97" s="2">
        <f t="shared" si="15"/>
        <v>1</v>
      </c>
      <c r="O97" s="2">
        <f t="shared" si="16"/>
        <v>0</v>
      </c>
      <c r="P97" s="112">
        <f t="shared" si="17"/>
        <v>1</v>
      </c>
      <c r="Q97" s="112">
        <f t="shared" si="18"/>
        <v>0</v>
      </c>
      <c r="R97" s="53"/>
      <c r="S97" s="53" t="str">
        <f t="shared" si="19"/>
        <v>Base S1|Base Set - Season 1|96|Base</v>
      </c>
      <c r="T97" s="57" t="str">
        <f>IF($S97="","",IFERROR(VLOOKUP($S97,'Pop Estimates (Non-#d)'!$N$2:$O$500,2,FALSE),""))</f>
        <v/>
      </c>
      <c r="U97" s="57" t="str">
        <f t="shared" si="20"/>
        <v/>
      </c>
      <c r="V97" s="53" t="str">
        <f t="shared" si="21"/>
        <v/>
      </c>
      <c r="W97" s="53" t="str">
        <f t="shared" si="22"/>
        <v/>
      </c>
      <c r="X97" s="53" t="str">
        <f t="shared" si="23"/>
        <v/>
      </c>
      <c r="Y97" s="57" t="str">
        <f>IF($X97="","",IFERROR(VLOOKUP($X97,'Char Popularity'!$A$2:$C$500,2,FALSE),""))</f>
        <v/>
      </c>
      <c r="Z97" s="56">
        <f>IF($X97="",1,IFERROR(VLOOKUP($X97,'Char Popularity'!$A$2:$C$500,3,FALSE),1))</f>
        <v>1</v>
      </c>
      <c r="AA97" s="62">
        <f>IF($H97&lt;&gt;"Y",0,(IF($F97&lt;&gt;"",ROUND(Dashboard!$R$4/$F97,1),IF(AND($I97="Base",$E97="Base"),Dashboard!$R$5,IF(AND($I97="Base",$E97="Red"),Dashboard!$R$6,IF(AND($I97="Base",$E97="Gold"),Dashboard!$R$7,VLOOKUP($I97,Dashboard!$Q$16:$R$21,2,FALSE)))))*VLOOKUP($I97,Dashboard!$Q$9:$R$13,2,FALSE)*IF(AND($I97="Auto",$F97="",OR($B97="Autographs Duals",$B97="Autographs Triples",$B97="Autographs Quads",$B97="Autographs Quads (Inscribed)")),IF($B97="Autographs Duals",2,IF($B97="Autographs Triples",3,4)),1)))</f>
        <v>1</v>
      </c>
      <c r="AB97" s="62">
        <f t="shared" si="24"/>
        <v>1</v>
      </c>
      <c r="AC97" s="62">
        <f t="shared" si="25"/>
        <v>0</v>
      </c>
    </row>
    <row r="98" spans="1:29" ht="28.7" customHeight="1" x14ac:dyDescent="0.25">
      <c r="A98" s="4" t="s">
        <v>17</v>
      </c>
      <c r="B98" s="7" t="s">
        <v>61</v>
      </c>
      <c r="C98" s="2" t="s">
        <v>1496</v>
      </c>
      <c r="D98" s="7" t="s">
        <v>1036</v>
      </c>
      <c r="E98" s="4" t="s">
        <v>60</v>
      </c>
      <c r="F98" s="2"/>
      <c r="G98" s="2" t="s">
        <v>1399</v>
      </c>
      <c r="H98" s="2" t="s">
        <v>1400</v>
      </c>
      <c r="I98" s="4" t="s">
        <v>60</v>
      </c>
      <c r="J98" s="112">
        <f>IF($H98&lt;&gt;"Y",0,ROUND(MIN(Dashboard!$R$24,IF(IFERROR(VLOOKUP($B98,Dashboard!$Q$28:$S$60,2,FALSE),0)&gt;0,IFERROR(VLOOKUP($B98,Dashboard!$Q$28:$S$60,2,FALSE),0),$Z98*IF($U98&lt;&gt;"",ROUND((Dashboard!$R$4/$U98)*VLOOKUP($I98,Dashboard!$Q$9:$R$13,2,FALSE)*IF(ISNUMBER(SEARCH("Duals",$B98)),2,IF(ISNUMBER(SEARCH("Triples",$B98)),3,IF(ISNUMBER(SEARCH("Quads",$B98)),4,1))),2),ROUND(VLOOKUP($I98,Dashboard!$Q$15:$R$20,2,FALSE)*IF($E98="Red",Dashboard!$R$6,IF($E98="Gold",Dashboard!$R$7,Dashboard!$R$5))*IF(ISNUMBER(SEARCH("Duals",$B98)),2,IF(ISNUMBER(SEARCH("Triples",$B98)),3,IF(ISNUMBER(SEARCH("Quads",$B98)),4,1))),2))*IF(IFERROR(VLOOKUP($B98,Dashboard!$Q$28:$S$60,3,FALSE),0)&gt;0,VLOOKUP($B98,Dashboard!$Q$28:$S$60,3,FALSE),1))),0))</f>
        <v>1</v>
      </c>
      <c r="K98" s="2" t="str">
        <f>IF('Base S1'!C98="","",'Base S1'!C98)</f>
        <v>h</v>
      </c>
      <c r="L98" s="2">
        <f t="shared" si="13"/>
        <v>1</v>
      </c>
      <c r="M98" s="2">
        <f t="shared" si="14"/>
        <v>0</v>
      </c>
      <c r="N98" s="2">
        <f t="shared" si="15"/>
        <v>1</v>
      </c>
      <c r="O98" s="2">
        <f t="shared" si="16"/>
        <v>0</v>
      </c>
      <c r="P98" s="112">
        <f t="shared" si="17"/>
        <v>1</v>
      </c>
      <c r="Q98" s="112">
        <f t="shared" si="18"/>
        <v>0</v>
      </c>
      <c r="R98" s="53"/>
      <c r="S98" s="53" t="str">
        <f t="shared" si="19"/>
        <v>Base S1|Base Set - Season 1|97|Base</v>
      </c>
      <c r="T98" s="57" t="str">
        <f>IF($S98="","",IFERROR(VLOOKUP($S98,'Pop Estimates (Non-#d)'!$N$2:$O$500,2,FALSE),""))</f>
        <v/>
      </c>
      <c r="U98" s="57" t="str">
        <f t="shared" si="20"/>
        <v/>
      </c>
      <c r="V98" s="53" t="str">
        <f t="shared" si="21"/>
        <v/>
      </c>
      <c r="W98" s="53" t="str">
        <f t="shared" si="22"/>
        <v/>
      </c>
      <c r="X98" s="53" t="str">
        <f t="shared" si="23"/>
        <v/>
      </c>
      <c r="Y98" s="57" t="str">
        <f>IF($X98="","",IFERROR(VLOOKUP($X98,'Char Popularity'!$A$2:$C$500,2,FALSE),""))</f>
        <v/>
      </c>
      <c r="Z98" s="56">
        <f>IF($X98="",1,IFERROR(VLOOKUP($X98,'Char Popularity'!$A$2:$C$500,3,FALSE),1))</f>
        <v>1</v>
      </c>
      <c r="AA98" s="62">
        <f>IF($H98&lt;&gt;"Y",0,(IF($F98&lt;&gt;"",ROUND(Dashboard!$R$4/$F98,1),IF(AND($I98="Base",$E98="Base"),Dashboard!$R$5,IF(AND($I98="Base",$E98="Red"),Dashboard!$R$6,IF(AND($I98="Base",$E98="Gold"),Dashboard!$R$7,VLOOKUP($I98,Dashboard!$Q$16:$R$21,2,FALSE)))))*VLOOKUP($I98,Dashboard!$Q$9:$R$13,2,FALSE)*IF(AND($I98="Auto",$F98="",OR($B98="Autographs Duals",$B98="Autographs Triples",$B98="Autographs Quads",$B98="Autographs Quads (Inscribed)")),IF($B98="Autographs Duals",2,IF($B98="Autographs Triples",3,4)),1)))</f>
        <v>1</v>
      </c>
      <c r="AB98" s="62">
        <f t="shared" si="24"/>
        <v>1</v>
      </c>
      <c r="AC98" s="62">
        <f t="shared" si="25"/>
        <v>0</v>
      </c>
    </row>
    <row r="99" spans="1:29" ht="28.7" customHeight="1" x14ac:dyDescent="0.25">
      <c r="A99" s="4" t="s">
        <v>17</v>
      </c>
      <c r="B99" s="7" t="s">
        <v>61</v>
      </c>
      <c r="C99" s="2" t="s">
        <v>1497</v>
      </c>
      <c r="D99" s="7" t="s">
        <v>1037</v>
      </c>
      <c r="E99" s="4" t="s">
        <v>60</v>
      </c>
      <c r="F99" s="2"/>
      <c r="G99" s="2" t="s">
        <v>1399</v>
      </c>
      <c r="H99" s="2" t="s">
        <v>1400</v>
      </c>
      <c r="I99" s="4" t="s">
        <v>60</v>
      </c>
      <c r="J99" s="112">
        <f>IF($H99&lt;&gt;"Y",0,ROUND(MIN(Dashboard!$R$24,IF(IFERROR(VLOOKUP($B99,Dashboard!$Q$28:$S$60,2,FALSE),0)&gt;0,IFERROR(VLOOKUP($B99,Dashboard!$Q$28:$S$60,2,FALSE),0),$Z99*IF($U99&lt;&gt;"",ROUND((Dashboard!$R$4/$U99)*VLOOKUP($I99,Dashboard!$Q$9:$R$13,2,FALSE)*IF(ISNUMBER(SEARCH("Duals",$B99)),2,IF(ISNUMBER(SEARCH("Triples",$B99)),3,IF(ISNUMBER(SEARCH("Quads",$B99)),4,1))),2),ROUND(VLOOKUP($I99,Dashboard!$Q$15:$R$20,2,FALSE)*IF($E99="Red",Dashboard!$R$6,IF($E99="Gold",Dashboard!$R$7,Dashboard!$R$5))*IF(ISNUMBER(SEARCH("Duals",$B99)),2,IF(ISNUMBER(SEARCH("Triples",$B99)),3,IF(ISNUMBER(SEARCH("Quads",$B99)),4,1))),2))*IF(IFERROR(VLOOKUP($B99,Dashboard!$Q$28:$S$60,3,FALSE),0)&gt;0,VLOOKUP($B99,Dashboard!$Q$28:$S$60,3,FALSE),1))),0))</f>
        <v>1</v>
      </c>
      <c r="K99" s="2" t="str">
        <f>IF('Base S1'!C99="","",'Base S1'!C99)</f>
        <v>h</v>
      </c>
      <c r="L99" s="2">
        <f t="shared" si="13"/>
        <v>1</v>
      </c>
      <c r="M99" s="2">
        <f t="shared" si="14"/>
        <v>0</v>
      </c>
      <c r="N99" s="2">
        <f t="shared" si="15"/>
        <v>1</v>
      </c>
      <c r="O99" s="2">
        <f t="shared" si="16"/>
        <v>0</v>
      </c>
      <c r="P99" s="112">
        <f t="shared" si="17"/>
        <v>1</v>
      </c>
      <c r="Q99" s="112">
        <f t="shared" si="18"/>
        <v>0</v>
      </c>
      <c r="R99" s="53"/>
      <c r="S99" s="53" t="str">
        <f t="shared" si="19"/>
        <v>Base S1|Base Set - Season 1|98|Base</v>
      </c>
      <c r="T99" s="57" t="str">
        <f>IF($S99="","",IFERROR(VLOOKUP($S99,'Pop Estimates (Non-#d)'!$N$2:$O$500,2,FALSE),""))</f>
        <v/>
      </c>
      <c r="U99" s="57" t="str">
        <f t="shared" si="20"/>
        <v/>
      </c>
      <c r="V99" s="53" t="str">
        <f t="shared" si="21"/>
        <v/>
      </c>
      <c r="W99" s="53" t="str">
        <f t="shared" si="22"/>
        <v/>
      </c>
      <c r="X99" s="53" t="str">
        <f t="shared" si="23"/>
        <v/>
      </c>
      <c r="Y99" s="57" t="str">
        <f>IF($X99="","",IFERROR(VLOOKUP($X99,'Char Popularity'!$A$2:$C$500,2,FALSE),""))</f>
        <v/>
      </c>
      <c r="Z99" s="56">
        <f>IF($X99="",1,IFERROR(VLOOKUP($X99,'Char Popularity'!$A$2:$C$500,3,FALSE),1))</f>
        <v>1</v>
      </c>
      <c r="AA99" s="62">
        <f>IF($H99&lt;&gt;"Y",0,(IF($F99&lt;&gt;"",ROUND(Dashboard!$R$4/$F99,1),IF(AND($I99="Base",$E99="Base"),Dashboard!$R$5,IF(AND($I99="Base",$E99="Red"),Dashboard!$R$6,IF(AND($I99="Base",$E99="Gold"),Dashboard!$R$7,VLOOKUP($I99,Dashboard!$Q$16:$R$21,2,FALSE)))))*VLOOKUP($I99,Dashboard!$Q$9:$R$13,2,FALSE)*IF(AND($I99="Auto",$F99="",OR($B99="Autographs Duals",$B99="Autographs Triples",$B99="Autographs Quads",$B99="Autographs Quads (Inscribed)")),IF($B99="Autographs Duals",2,IF($B99="Autographs Triples",3,4)),1)))</f>
        <v>1</v>
      </c>
      <c r="AB99" s="62">
        <f t="shared" si="24"/>
        <v>1</v>
      </c>
      <c r="AC99" s="62">
        <f t="shared" si="25"/>
        <v>0</v>
      </c>
    </row>
    <row r="100" spans="1:29" ht="28.7" customHeight="1" x14ac:dyDescent="0.25">
      <c r="A100" s="4" t="s">
        <v>17</v>
      </c>
      <c r="B100" s="7" t="s">
        <v>61</v>
      </c>
      <c r="C100" s="2" t="s">
        <v>1498</v>
      </c>
      <c r="D100" s="7" t="s">
        <v>1039</v>
      </c>
      <c r="E100" s="4" t="s">
        <v>60</v>
      </c>
      <c r="F100" s="2"/>
      <c r="G100" s="2" t="s">
        <v>1399</v>
      </c>
      <c r="H100" s="2" t="s">
        <v>1400</v>
      </c>
      <c r="I100" s="4" t="s">
        <v>60</v>
      </c>
      <c r="J100" s="112">
        <f>IF($H100&lt;&gt;"Y",0,ROUND(MIN(Dashboard!$R$24,IF(IFERROR(VLOOKUP($B100,Dashboard!$Q$28:$S$60,2,FALSE),0)&gt;0,IFERROR(VLOOKUP($B100,Dashboard!$Q$28:$S$60,2,FALSE),0),$Z100*IF($U100&lt;&gt;"",ROUND((Dashboard!$R$4/$U100)*VLOOKUP($I100,Dashboard!$Q$9:$R$13,2,FALSE)*IF(ISNUMBER(SEARCH("Duals",$B100)),2,IF(ISNUMBER(SEARCH("Triples",$B100)),3,IF(ISNUMBER(SEARCH("Quads",$B100)),4,1))),2),ROUND(VLOOKUP($I100,Dashboard!$Q$15:$R$20,2,FALSE)*IF($E100="Red",Dashboard!$R$6,IF($E100="Gold",Dashboard!$R$7,Dashboard!$R$5))*IF(ISNUMBER(SEARCH("Duals",$B100)),2,IF(ISNUMBER(SEARCH("Triples",$B100)),3,IF(ISNUMBER(SEARCH("Quads",$B100)),4,1))),2))*IF(IFERROR(VLOOKUP($B100,Dashboard!$Q$28:$S$60,3,FALSE),0)&gt;0,VLOOKUP($B100,Dashboard!$Q$28:$S$60,3,FALSE),1))),0))</f>
        <v>1</v>
      </c>
      <c r="K100" s="2" t="str">
        <f>IF('Base S1'!C100="","",'Base S1'!C100)</f>
        <v>h</v>
      </c>
      <c r="L100" s="2">
        <f t="shared" si="13"/>
        <v>1</v>
      </c>
      <c r="M100" s="2">
        <f t="shared" si="14"/>
        <v>0</v>
      </c>
      <c r="N100" s="2">
        <f t="shared" si="15"/>
        <v>1</v>
      </c>
      <c r="O100" s="2">
        <f t="shared" si="16"/>
        <v>0</v>
      </c>
      <c r="P100" s="112">
        <f t="shared" si="17"/>
        <v>1</v>
      </c>
      <c r="Q100" s="112">
        <f t="shared" si="18"/>
        <v>0</v>
      </c>
      <c r="R100" s="53"/>
      <c r="S100" s="53" t="str">
        <f t="shared" si="19"/>
        <v>Base S1|Base Set - Season 1|99|Base</v>
      </c>
      <c r="T100" s="57" t="str">
        <f>IF($S100="","",IFERROR(VLOOKUP($S100,'Pop Estimates (Non-#d)'!$N$2:$O$500,2,FALSE),""))</f>
        <v/>
      </c>
      <c r="U100" s="57" t="str">
        <f t="shared" si="20"/>
        <v/>
      </c>
      <c r="V100" s="53" t="str">
        <f t="shared" si="21"/>
        <v/>
      </c>
      <c r="W100" s="53" t="str">
        <f t="shared" si="22"/>
        <v/>
      </c>
      <c r="X100" s="53" t="str">
        <f t="shared" si="23"/>
        <v/>
      </c>
      <c r="Y100" s="57" t="str">
        <f>IF($X100="","",IFERROR(VLOOKUP($X100,'Char Popularity'!$A$2:$C$500,2,FALSE),""))</f>
        <v/>
      </c>
      <c r="Z100" s="56">
        <f>IF($X100="",1,IFERROR(VLOOKUP($X100,'Char Popularity'!$A$2:$C$500,3,FALSE),1))</f>
        <v>1</v>
      </c>
      <c r="AA100" s="62">
        <f>IF($H100&lt;&gt;"Y",0,(IF($F100&lt;&gt;"",ROUND(Dashboard!$R$4/$F100,1),IF(AND($I100="Base",$E100="Base"),Dashboard!$R$5,IF(AND($I100="Base",$E100="Red"),Dashboard!$R$6,IF(AND($I100="Base",$E100="Gold"),Dashboard!$R$7,VLOOKUP($I100,Dashboard!$Q$16:$R$21,2,FALSE)))))*VLOOKUP($I100,Dashboard!$Q$9:$R$13,2,FALSE)*IF(AND($I100="Auto",$F100="",OR($B100="Autographs Duals",$B100="Autographs Triples",$B100="Autographs Quads",$B100="Autographs Quads (Inscribed)")),IF($B100="Autographs Duals",2,IF($B100="Autographs Triples",3,4)),1)))</f>
        <v>1</v>
      </c>
      <c r="AB100" s="62">
        <f t="shared" si="24"/>
        <v>1</v>
      </c>
      <c r="AC100" s="62">
        <f t="shared" si="25"/>
        <v>0</v>
      </c>
    </row>
    <row r="101" spans="1:29" ht="28.7" customHeight="1" x14ac:dyDescent="0.25">
      <c r="A101" s="4" t="s">
        <v>17</v>
      </c>
      <c r="B101" s="7" t="s">
        <v>61</v>
      </c>
      <c r="C101" s="2" t="s">
        <v>1499</v>
      </c>
      <c r="D101" s="7" t="s">
        <v>1041</v>
      </c>
      <c r="E101" s="4" t="s">
        <v>60</v>
      </c>
      <c r="F101" s="2"/>
      <c r="G101" s="2" t="s">
        <v>1399</v>
      </c>
      <c r="H101" s="2" t="s">
        <v>1400</v>
      </c>
      <c r="I101" s="4" t="s">
        <v>60</v>
      </c>
      <c r="J101" s="112">
        <f>IF($H101&lt;&gt;"Y",0,ROUND(MIN(Dashboard!$R$24,IF(IFERROR(VLOOKUP($B101,Dashboard!$Q$28:$S$60,2,FALSE),0)&gt;0,IFERROR(VLOOKUP($B101,Dashboard!$Q$28:$S$60,2,FALSE),0),$Z101*IF($U101&lt;&gt;"",ROUND((Dashboard!$R$4/$U101)*VLOOKUP($I101,Dashboard!$Q$9:$R$13,2,FALSE)*IF(ISNUMBER(SEARCH("Duals",$B101)),2,IF(ISNUMBER(SEARCH("Triples",$B101)),3,IF(ISNUMBER(SEARCH("Quads",$B101)),4,1))),2),ROUND(VLOOKUP($I101,Dashboard!$Q$15:$R$20,2,FALSE)*IF($E101="Red",Dashboard!$R$6,IF($E101="Gold",Dashboard!$R$7,Dashboard!$R$5))*IF(ISNUMBER(SEARCH("Duals",$B101)),2,IF(ISNUMBER(SEARCH("Triples",$B101)),3,IF(ISNUMBER(SEARCH("Quads",$B101)),4,1))),2))*IF(IFERROR(VLOOKUP($B101,Dashboard!$Q$28:$S$60,3,FALSE),0)&gt;0,VLOOKUP($B101,Dashboard!$Q$28:$S$60,3,FALSE),1))),0))</f>
        <v>1</v>
      </c>
      <c r="K101" s="2" t="str">
        <f>IF('Base S1'!C101="","",'Base S1'!C101)</f>
        <v>h</v>
      </c>
      <c r="L101" s="2">
        <f t="shared" si="13"/>
        <v>1</v>
      </c>
      <c r="M101" s="2">
        <f t="shared" si="14"/>
        <v>0</v>
      </c>
      <c r="N101" s="2">
        <f t="shared" si="15"/>
        <v>1</v>
      </c>
      <c r="O101" s="2">
        <f t="shared" si="16"/>
        <v>0</v>
      </c>
      <c r="P101" s="112">
        <f t="shared" si="17"/>
        <v>1</v>
      </c>
      <c r="Q101" s="112">
        <f t="shared" si="18"/>
        <v>0</v>
      </c>
      <c r="R101" s="53"/>
      <c r="S101" s="53" t="str">
        <f t="shared" si="19"/>
        <v>Base S1|Base Set - Season 1|100|Base</v>
      </c>
      <c r="T101" s="57" t="str">
        <f>IF($S101="","",IFERROR(VLOOKUP($S101,'Pop Estimates (Non-#d)'!$N$2:$O$500,2,FALSE),""))</f>
        <v/>
      </c>
      <c r="U101" s="57" t="str">
        <f t="shared" si="20"/>
        <v/>
      </c>
      <c r="V101" s="53" t="str">
        <f t="shared" si="21"/>
        <v/>
      </c>
      <c r="W101" s="53" t="str">
        <f t="shared" si="22"/>
        <v/>
      </c>
      <c r="X101" s="53" t="str">
        <f t="shared" si="23"/>
        <v/>
      </c>
      <c r="Y101" s="57" t="str">
        <f>IF($X101="","",IFERROR(VLOOKUP($X101,'Char Popularity'!$A$2:$C$500,2,FALSE),""))</f>
        <v/>
      </c>
      <c r="Z101" s="56">
        <f>IF($X101="",1,IFERROR(VLOOKUP($X101,'Char Popularity'!$A$2:$C$500,3,FALSE),1))</f>
        <v>1</v>
      </c>
      <c r="AA101" s="62">
        <f>IF($H101&lt;&gt;"Y",0,(IF($F101&lt;&gt;"",ROUND(Dashboard!$R$4/$F101,1),IF(AND($I101="Base",$E101="Base"),Dashboard!$R$5,IF(AND($I101="Base",$E101="Red"),Dashboard!$R$6,IF(AND($I101="Base",$E101="Gold"),Dashboard!$R$7,VLOOKUP($I101,Dashboard!$Q$16:$R$21,2,FALSE)))))*VLOOKUP($I101,Dashboard!$Q$9:$R$13,2,FALSE)*IF(AND($I101="Auto",$F101="",OR($B101="Autographs Duals",$B101="Autographs Triples",$B101="Autographs Quads",$B101="Autographs Quads (Inscribed)")),IF($B101="Autographs Duals",2,IF($B101="Autographs Triples",3,4)),1)))</f>
        <v>1</v>
      </c>
      <c r="AB101" s="62">
        <f t="shared" si="24"/>
        <v>1</v>
      </c>
      <c r="AC101" s="62">
        <f t="shared" si="25"/>
        <v>0</v>
      </c>
    </row>
    <row r="102" spans="1:29" ht="28.7" customHeight="1" x14ac:dyDescent="0.25">
      <c r="A102" s="4" t="s">
        <v>17</v>
      </c>
      <c r="B102" s="7" t="s">
        <v>70</v>
      </c>
      <c r="C102" s="2" t="s">
        <v>1398</v>
      </c>
      <c r="D102" s="7" t="s">
        <v>830</v>
      </c>
      <c r="E102" s="4" t="s">
        <v>780</v>
      </c>
      <c r="F102" s="2">
        <v>25</v>
      </c>
      <c r="G102" s="2" t="s">
        <v>1399</v>
      </c>
      <c r="H102" s="2" t="s">
        <v>1400</v>
      </c>
      <c r="I102" s="4" t="s">
        <v>60</v>
      </c>
      <c r="J102" s="112">
        <f>IF($H102&lt;&gt;"Y",0,ROUND(MIN(Dashboard!$R$24,IF(IFERROR(VLOOKUP($B102,Dashboard!$Q$28:$S$60,2,FALSE),0)&gt;0,IFERROR(VLOOKUP($B102,Dashboard!$Q$28:$S$60,2,FALSE),0),$Z102*IF($U102&lt;&gt;"",ROUND((Dashboard!$R$4/$U102)*VLOOKUP($I102,Dashboard!$Q$9:$R$13,2,FALSE)*IF(ISNUMBER(SEARCH("Duals",$B102)),2,IF(ISNUMBER(SEARCH("Triples",$B102)),3,IF(ISNUMBER(SEARCH("Quads",$B102)),4,1))),2),ROUND(VLOOKUP($I102,Dashboard!$Q$15:$R$20,2,FALSE)*IF($E102="Red",Dashboard!$R$6,IF($E102="Gold",Dashboard!$R$7,Dashboard!$R$5))*IF(ISNUMBER(SEARCH("Duals",$B102)),2,IF(ISNUMBER(SEARCH("Triples",$B102)),3,IF(ISNUMBER(SEARCH("Quads",$B102)),4,1))),2))*IF(IFERROR(VLOOKUP($B102,Dashboard!$Q$28:$S$60,3,FALSE),0)&gt;0,VLOOKUP($B102,Dashboard!$Q$28:$S$60,3,FALSE),1))),0))</f>
        <v>40</v>
      </c>
      <c r="K102" s="2" t="str">
        <f>IF('Base S1'!H2="","",'Base S1'!H2)</f>
        <v/>
      </c>
      <c r="L102" s="2">
        <f t="shared" si="13"/>
        <v>0</v>
      </c>
      <c r="M102" s="2">
        <f t="shared" si="14"/>
        <v>0</v>
      </c>
      <c r="N102" s="2">
        <f t="shared" si="15"/>
        <v>0</v>
      </c>
      <c r="O102" s="2">
        <f t="shared" si="16"/>
        <v>1</v>
      </c>
      <c r="P102" s="112">
        <f t="shared" si="17"/>
        <v>0</v>
      </c>
      <c r="Q102" s="112">
        <f t="shared" si="18"/>
        <v>0</v>
      </c>
      <c r="R102" s="53"/>
      <c r="S102" s="53" t="str">
        <f t="shared" si="19"/>
        <v>Base S1|Black Parallel - Season 1|1|Black</v>
      </c>
      <c r="T102" s="57" t="str">
        <f>IF($S102="","",IFERROR(VLOOKUP($S102,'Pop Estimates (Non-#d)'!$N$2:$O$500,2,FALSE),""))</f>
        <v/>
      </c>
      <c r="U102" s="57">
        <f t="shared" si="20"/>
        <v>25</v>
      </c>
      <c r="V102" s="53" t="str">
        <f t="shared" si="21"/>
        <v/>
      </c>
      <c r="W102" s="53" t="str">
        <f t="shared" si="22"/>
        <v/>
      </c>
      <c r="X102" s="53" t="str">
        <f t="shared" si="23"/>
        <v/>
      </c>
      <c r="Y102" s="57" t="str">
        <f>IF($X102="","",IFERROR(VLOOKUP($X102,'Char Popularity'!$A$2:$C$500,2,FALSE),""))</f>
        <v/>
      </c>
      <c r="Z102" s="56">
        <f>IF($X102="",1,IFERROR(VLOOKUP($X102,'Char Popularity'!$A$2:$C$500,3,FALSE),1))</f>
        <v>1</v>
      </c>
      <c r="AA102" s="62">
        <f>IF($H102&lt;&gt;"Y",0,(IF($F102&lt;&gt;"",ROUND(Dashboard!$R$4/$F102,1),IF(AND($I102="Base",$E102="Base"),Dashboard!$R$5,IF(AND($I102="Base",$E102="Red"),Dashboard!$R$6,IF(AND($I102="Base",$E102="Gold"),Dashboard!$R$7,VLOOKUP($I102,Dashboard!$Q$16:$R$21,2,FALSE)))))*VLOOKUP($I102,Dashboard!$Q$9:$R$13,2,FALSE)*IF(AND($I102="Auto",$F102="",OR($B102="Autographs Duals",$B102="Autographs Triples",$B102="Autographs Quads",$B102="Autographs Quads (Inscribed)")),IF($B102="Autographs Duals",2,IF($B102="Autographs Triples",3,4)),1)))</f>
        <v>40</v>
      </c>
      <c r="AB102" s="62">
        <f t="shared" si="24"/>
        <v>0</v>
      </c>
      <c r="AC102" s="62">
        <f t="shared" si="25"/>
        <v>0</v>
      </c>
    </row>
    <row r="103" spans="1:29" ht="28.7" customHeight="1" x14ac:dyDescent="0.25">
      <c r="A103" s="4" t="s">
        <v>17</v>
      </c>
      <c r="B103" s="7" t="s">
        <v>70</v>
      </c>
      <c r="C103" s="2" t="s">
        <v>1401</v>
      </c>
      <c r="D103" s="7" t="s">
        <v>834</v>
      </c>
      <c r="E103" s="4" t="s">
        <v>780</v>
      </c>
      <c r="F103" s="2">
        <v>25</v>
      </c>
      <c r="G103" s="2" t="s">
        <v>1399</v>
      </c>
      <c r="H103" s="2" t="s">
        <v>1400</v>
      </c>
      <c r="I103" s="4" t="s">
        <v>60</v>
      </c>
      <c r="J103" s="112">
        <f>IF($H103&lt;&gt;"Y",0,ROUND(MIN(Dashboard!$R$24,IF(IFERROR(VLOOKUP($B103,Dashboard!$Q$28:$S$60,2,FALSE),0)&gt;0,IFERROR(VLOOKUP($B103,Dashboard!$Q$28:$S$60,2,FALSE),0),$Z103*IF($U103&lt;&gt;"",ROUND((Dashboard!$R$4/$U103)*VLOOKUP($I103,Dashboard!$Q$9:$R$13,2,FALSE)*IF(ISNUMBER(SEARCH("Duals",$B103)),2,IF(ISNUMBER(SEARCH("Triples",$B103)),3,IF(ISNUMBER(SEARCH("Quads",$B103)),4,1))),2),ROUND(VLOOKUP($I103,Dashboard!$Q$15:$R$20,2,FALSE)*IF($E103="Red",Dashboard!$R$6,IF($E103="Gold",Dashboard!$R$7,Dashboard!$R$5))*IF(ISNUMBER(SEARCH("Duals",$B103)),2,IF(ISNUMBER(SEARCH("Triples",$B103)),3,IF(ISNUMBER(SEARCH("Quads",$B103)),4,1))),2))*IF(IFERROR(VLOOKUP($B103,Dashboard!$Q$28:$S$60,3,FALSE),0)&gt;0,VLOOKUP($B103,Dashboard!$Q$28:$S$60,3,FALSE),1))),0))</f>
        <v>40</v>
      </c>
      <c r="K103" s="2" t="str">
        <f>IF('Base S1'!H3="","",'Base S1'!H3)</f>
        <v/>
      </c>
      <c r="L103" s="2">
        <f t="shared" si="13"/>
        <v>0</v>
      </c>
      <c r="M103" s="2">
        <f t="shared" si="14"/>
        <v>0</v>
      </c>
      <c r="N103" s="2">
        <f t="shared" si="15"/>
        <v>0</v>
      </c>
      <c r="O103" s="2">
        <f t="shared" si="16"/>
        <v>1</v>
      </c>
      <c r="P103" s="112">
        <f t="shared" si="17"/>
        <v>0</v>
      </c>
      <c r="Q103" s="112">
        <f t="shared" si="18"/>
        <v>0</v>
      </c>
      <c r="R103" s="53"/>
      <c r="S103" s="53" t="str">
        <f t="shared" si="19"/>
        <v>Base S1|Black Parallel - Season 1|2|Black</v>
      </c>
      <c r="T103" s="57" t="str">
        <f>IF($S103="","",IFERROR(VLOOKUP($S103,'Pop Estimates (Non-#d)'!$N$2:$O$500,2,FALSE),""))</f>
        <v/>
      </c>
      <c r="U103" s="57">
        <f t="shared" si="20"/>
        <v>25</v>
      </c>
      <c r="V103" s="53" t="str">
        <f t="shared" si="21"/>
        <v/>
      </c>
      <c r="W103" s="53" t="str">
        <f t="shared" si="22"/>
        <v/>
      </c>
      <c r="X103" s="53" t="str">
        <f t="shared" si="23"/>
        <v/>
      </c>
      <c r="Y103" s="57" t="str">
        <f>IF($X103="","",IFERROR(VLOOKUP($X103,'Char Popularity'!$A$2:$C$500,2,FALSE),""))</f>
        <v/>
      </c>
      <c r="Z103" s="56">
        <f>IF($X103="",1,IFERROR(VLOOKUP($X103,'Char Popularity'!$A$2:$C$500,3,FALSE),1))</f>
        <v>1</v>
      </c>
      <c r="AA103" s="62">
        <f>IF($H103&lt;&gt;"Y",0,(IF($F103&lt;&gt;"",ROUND(Dashboard!$R$4/$F103,1),IF(AND($I103="Base",$E103="Base"),Dashboard!$R$5,IF(AND($I103="Base",$E103="Red"),Dashboard!$R$6,IF(AND($I103="Base",$E103="Gold"),Dashboard!$R$7,VLOOKUP($I103,Dashboard!$Q$16:$R$21,2,FALSE)))))*VLOOKUP($I103,Dashboard!$Q$9:$R$13,2,FALSE)*IF(AND($I103="Auto",$F103="",OR($B103="Autographs Duals",$B103="Autographs Triples",$B103="Autographs Quads",$B103="Autographs Quads (Inscribed)")),IF($B103="Autographs Duals",2,IF($B103="Autographs Triples",3,4)),1)))</f>
        <v>40</v>
      </c>
      <c r="AB103" s="62">
        <f t="shared" si="24"/>
        <v>0</v>
      </c>
      <c r="AC103" s="62">
        <f t="shared" si="25"/>
        <v>0</v>
      </c>
    </row>
    <row r="104" spans="1:29" ht="28.7" customHeight="1" x14ac:dyDescent="0.25">
      <c r="A104" s="4" t="s">
        <v>17</v>
      </c>
      <c r="B104" s="7" t="s">
        <v>70</v>
      </c>
      <c r="C104" s="2" t="s">
        <v>1402</v>
      </c>
      <c r="D104" s="7" t="s">
        <v>837</v>
      </c>
      <c r="E104" s="4" t="s">
        <v>780</v>
      </c>
      <c r="F104" s="2">
        <v>25</v>
      </c>
      <c r="G104" s="2" t="s">
        <v>1399</v>
      </c>
      <c r="H104" s="2" t="s">
        <v>1400</v>
      </c>
      <c r="I104" s="4" t="s">
        <v>60</v>
      </c>
      <c r="J104" s="112">
        <f>IF($H104&lt;&gt;"Y",0,ROUND(MIN(Dashboard!$R$24,IF(IFERROR(VLOOKUP($B104,Dashboard!$Q$28:$S$60,2,FALSE),0)&gt;0,IFERROR(VLOOKUP($B104,Dashboard!$Q$28:$S$60,2,FALSE),0),$Z104*IF($U104&lt;&gt;"",ROUND((Dashboard!$R$4/$U104)*VLOOKUP($I104,Dashboard!$Q$9:$R$13,2,FALSE)*IF(ISNUMBER(SEARCH("Duals",$B104)),2,IF(ISNUMBER(SEARCH("Triples",$B104)),3,IF(ISNUMBER(SEARCH("Quads",$B104)),4,1))),2),ROUND(VLOOKUP($I104,Dashboard!$Q$15:$R$20,2,FALSE)*IF($E104="Red",Dashboard!$R$6,IF($E104="Gold",Dashboard!$R$7,Dashboard!$R$5))*IF(ISNUMBER(SEARCH("Duals",$B104)),2,IF(ISNUMBER(SEARCH("Triples",$B104)),3,IF(ISNUMBER(SEARCH("Quads",$B104)),4,1))),2))*IF(IFERROR(VLOOKUP($B104,Dashboard!$Q$28:$S$60,3,FALSE),0)&gt;0,VLOOKUP($B104,Dashboard!$Q$28:$S$60,3,FALSE),1))),0))</f>
        <v>40</v>
      </c>
      <c r="K104" s="2" t="str">
        <f>IF('Base S1'!H4="","",'Base S1'!H4)</f>
        <v/>
      </c>
      <c r="L104" s="2">
        <f t="shared" si="13"/>
        <v>0</v>
      </c>
      <c r="M104" s="2">
        <f t="shared" si="14"/>
        <v>0</v>
      </c>
      <c r="N104" s="2">
        <f t="shared" si="15"/>
        <v>0</v>
      </c>
      <c r="O104" s="2">
        <f t="shared" si="16"/>
        <v>1</v>
      </c>
      <c r="P104" s="112">
        <f t="shared" si="17"/>
        <v>0</v>
      </c>
      <c r="Q104" s="112">
        <f t="shared" si="18"/>
        <v>0</v>
      </c>
      <c r="R104" s="53"/>
      <c r="S104" s="53" t="str">
        <f t="shared" si="19"/>
        <v>Base S1|Black Parallel - Season 1|3|Black</v>
      </c>
      <c r="T104" s="57" t="str">
        <f>IF($S104="","",IFERROR(VLOOKUP($S104,'Pop Estimates (Non-#d)'!$N$2:$O$500,2,FALSE),""))</f>
        <v/>
      </c>
      <c r="U104" s="57">
        <f t="shared" si="20"/>
        <v>25</v>
      </c>
      <c r="V104" s="53" t="str">
        <f t="shared" si="21"/>
        <v/>
      </c>
      <c r="W104" s="53" t="str">
        <f t="shared" si="22"/>
        <v/>
      </c>
      <c r="X104" s="53" t="str">
        <f t="shared" si="23"/>
        <v/>
      </c>
      <c r="Y104" s="57" t="str">
        <f>IF($X104="","",IFERROR(VLOOKUP($X104,'Char Popularity'!$A$2:$C$500,2,FALSE),""))</f>
        <v/>
      </c>
      <c r="Z104" s="56">
        <f>IF($X104="",1,IFERROR(VLOOKUP($X104,'Char Popularity'!$A$2:$C$500,3,FALSE),1))</f>
        <v>1</v>
      </c>
      <c r="AA104" s="62">
        <f>IF($H104&lt;&gt;"Y",0,(IF($F104&lt;&gt;"",ROUND(Dashboard!$R$4/$F104,1),IF(AND($I104="Base",$E104="Base"),Dashboard!$R$5,IF(AND($I104="Base",$E104="Red"),Dashboard!$R$6,IF(AND($I104="Base",$E104="Gold"),Dashboard!$R$7,VLOOKUP($I104,Dashboard!$Q$16:$R$21,2,FALSE)))))*VLOOKUP($I104,Dashboard!$Q$9:$R$13,2,FALSE)*IF(AND($I104="Auto",$F104="",OR($B104="Autographs Duals",$B104="Autographs Triples",$B104="Autographs Quads",$B104="Autographs Quads (Inscribed)")),IF($B104="Autographs Duals",2,IF($B104="Autographs Triples",3,4)),1)))</f>
        <v>40</v>
      </c>
      <c r="AB104" s="62">
        <f t="shared" si="24"/>
        <v>0</v>
      </c>
      <c r="AC104" s="62">
        <f t="shared" si="25"/>
        <v>0</v>
      </c>
    </row>
    <row r="105" spans="1:29" ht="28.7" customHeight="1" x14ac:dyDescent="0.25">
      <c r="A105" s="4" t="s">
        <v>17</v>
      </c>
      <c r="B105" s="7" t="s">
        <v>70</v>
      </c>
      <c r="C105" s="2" t="s">
        <v>1403</v>
      </c>
      <c r="D105" s="7" t="s">
        <v>839</v>
      </c>
      <c r="E105" s="4" t="s">
        <v>780</v>
      </c>
      <c r="F105" s="2">
        <v>25</v>
      </c>
      <c r="G105" s="2" t="s">
        <v>1399</v>
      </c>
      <c r="H105" s="2" t="s">
        <v>1400</v>
      </c>
      <c r="I105" s="4" t="s">
        <v>60</v>
      </c>
      <c r="J105" s="112">
        <f>IF($H105&lt;&gt;"Y",0,ROUND(MIN(Dashboard!$R$24,IF(IFERROR(VLOOKUP($B105,Dashboard!$Q$28:$S$60,2,FALSE),0)&gt;0,IFERROR(VLOOKUP($B105,Dashboard!$Q$28:$S$60,2,FALSE),0),$Z105*IF($U105&lt;&gt;"",ROUND((Dashboard!$R$4/$U105)*VLOOKUP($I105,Dashboard!$Q$9:$R$13,2,FALSE)*IF(ISNUMBER(SEARCH("Duals",$B105)),2,IF(ISNUMBER(SEARCH("Triples",$B105)),3,IF(ISNUMBER(SEARCH("Quads",$B105)),4,1))),2),ROUND(VLOOKUP($I105,Dashboard!$Q$15:$R$20,2,FALSE)*IF($E105="Red",Dashboard!$R$6,IF($E105="Gold",Dashboard!$R$7,Dashboard!$R$5))*IF(ISNUMBER(SEARCH("Duals",$B105)),2,IF(ISNUMBER(SEARCH("Triples",$B105)),3,IF(ISNUMBER(SEARCH("Quads",$B105)),4,1))),2))*IF(IFERROR(VLOOKUP($B105,Dashboard!$Q$28:$S$60,3,FALSE),0)&gt;0,VLOOKUP($B105,Dashboard!$Q$28:$S$60,3,FALSE),1))),0))</f>
        <v>40</v>
      </c>
      <c r="K105" s="2" t="str">
        <f>IF('Base S1'!H5="","",'Base S1'!H5)</f>
        <v/>
      </c>
      <c r="L105" s="2">
        <f t="shared" si="13"/>
        <v>0</v>
      </c>
      <c r="M105" s="2">
        <f t="shared" si="14"/>
        <v>0</v>
      </c>
      <c r="N105" s="2">
        <f t="shared" si="15"/>
        <v>0</v>
      </c>
      <c r="O105" s="2">
        <f t="shared" si="16"/>
        <v>1</v>
      </c>
      <c r="P105" s="112">
        <f t="shared" si="17"/>
        <v>0</v>
      </c>
      <c r="Q105" s="112">
        <f t="shared" si="18"/>
        <v>0</v>
      </c>
      <c r="R105" s="53"/>
      <c r="S105" s="53" t="str">
        <f t="shared" si="19"/>
        <v>Base S1|Black Parallel - Season 1|4|Black</v>
      </c>
      <c r="T105" s="57" t="str">
        <f>IF($S105="","",IFERROR(VLOOKUP($S105,'Pop Estimates (Non-#d)'!$N$2:$O$500,2,FALSE),""))</f>
        <v/>
      </c>
      <c r="U105" s="57">
        <f t="shared" si="20"/>
        <v>25</v>
      </c>
      <c r="V105" s="53" t="str">
        <f t="shared" si="21"/>
        <v/>
      </c>
      <c r="W105" s="53" t="str">
        <f t="shared" si="22"/>
        <v/>
      </c>
      <c r="X105" s="53" t="str">
        <f t="shared" si="23"/>
        <v/>
      </c>
      <c r="Y105" s="57" t="str">
        <f>IF($X105="","",IFERROR(VLOOKUP($X105,'Char Popularity'!$A$2:$C$500,2,FALSE),""))</f>
        <v/>
      </c>
      <c r="Z105" s="56">
        <f>IF($X105="",1,IFERROR(VLOOKUP($X105,'Char Popularity'!$A$2:$C$500,3,FALSE),1))</f>
        <v>1</v>
      </c>
      <c r="AA105" s="62">
        <f>IF($H105&lt;&gt;"Y",0,(IF($F105&lt;&gt;"",ROUND(Dashboard!$R$4/$F105,1),IF(AND($I105="Base",$E105="Base"),Dashboard!$R$5,IF(AND($I105="Base",$E105="Red"),Dashboard!$R$6,IF(AND($I105="Base",$E105="Gold"),Dashboard!$R$7,VLOOKUP($I105,Dashboard!$Q$16:$R$21,2,FALSE)))))*VLOOKUP($I105,Dashboard!$Q$9:$R$13,2,FALSE)*IF(AND($I105="Auto",$F105="",OR($B105="Autographs Duals",$B105="Autographs Triples",$B105="Autographs Quads",$B105="Autographs Quads (Inscribed)")),IF($B105="Autographs Duals",2,IF($B105="Autographs Triples",3,4)),1)))</f>
        <v>40</v>
      </c>
      <c r="AB105" s="62">
        <f t="shared" si="24"/>
        <v>0</v>
      </c>
      <c r="AC105" s="62">
        <f t="shared" si="25"/>
        <v>0</v>
      </c>
    </row>
    <row r="106" spans="1:29" ht="28.7" customHeight="1" x14ac:dyDescent="0.25">
      <c r="A106" s="4" t="s">
        <v>17</v>
      </c>
      <c r="B106" s="7" t="s">
        <v>70</v>
      </c>
      <c r="C106" s="2" t="s">
        <v>1404</v>
      </c>
      <c r="D106" s="7" t="s">
        <v>841</v>
      </c>
      <c r="E106" s="4" t="s">
        <v>780</v>
      </c>
      <c r="F106" s="2">
        <v>25</v>
      </c>
      <c r="G106" s="2" t="s">
        <v>1399</v>
      </c>
      <c r="H106" s="2" t="s">
        <v>1400</v>
      </c>
      <c r="I106" s="4" t="s">
        <v>60</v>
      </c>
      <c r="J106" s="112">
        <f>IF($H106&lt;&gt;"Y",0,ROUND(MIN(Dashboard!$R$24,IF(IFERROR(VLOOKUP($B106,Dashboard!$Q$28:$S$60,2,FALSE),0)&gt;0,IFERROR(VLOOKUP($B106,Dashboard!$Q$28:$S$60,2,FALSE),0),$Z106*IF($U106&lt;&gt;"",ROUND((Dashboard!$R$4/$U106)*VLOOKUP($I106,Dashboard!$Q$9:$R$13,2,FALSE)*IF(ISNUMBER(SEARCH("Duals",$B106)),2,IF(ISNUMBER(SEARCH("Triples",$B106)),3,IF(ISNUMBER(SEARCH("Quads",$B106)),4,1))),2),ROUND(VLOOKUP($I106,Dashboard!$Q$15:$R$20,2,FALSE)*IF($E106="Red",Dashboard!$R$6,IF($E106="Gold",Dashboard!$R$7,Dashboard!$R$5))*IF(ISNUMBER(SEARCH("Duals",$B106)),2,IF(ISNUMBER(SEARCH("Triples",$B106)),3,IF(ISNUMBER(SEARCH("Quads",$B106)),4,1))),2))*IF(IFERROR(VLOOKUP($B106,Dashboard!$Q$28:$S$60,3,FALSE),0)&gt;0,VLOOKUP($B106,Dashboard!$Q$28:$S$60,3,FALSE),1))),0))</f>
        <v>40</v>
      </c>
      <c r="K106" s="2" t="str">
        <f>IF('Base S1'!H6="","",'Base S1'!H6)</f>
        <v/>
      </c>
      <c r="L106" s="2">
        <f t="shared" si="13"/>
        <v>0</v>
      </c>
      <c r="M106" s="2">
        <f t="shared" si="14"/>
        <v>0</v>
      </c>
      <c r="N106" s="2">
        <f t="shared" si="15"/>
        <v>0</v>
      </c>
      <c r="O106" s="2">
        <f t="shared" si="16"/>
        <v>1</v>
      </c>
      <c r="P106" s="112">
        <f t="shared" si="17"/>
        <v>0</v>
      </c>
      <c r="Q106" s="112">
        <f t="shared" si="18"/>
        <v>0</v>
      </c>
      <c r="R106" s="53"/>
      <c r="S106" s="53" t="str">
        <f t="shared" si="19"/>
        <v>Base S1|Black Parallel - Season 1|5|Black</v>
      </c>
      <c r="T106" s="57" t="str">
        <f>IF($S106="","",IFERROR(VLOOKUP($S106,'Pop Estimates (Non-#d)'!$N$2:$O$500,2,FALSE),""))</f>
        <v/>
      </c>
      <c r="U106" s="57">
        <f t="shared" si="20"/>
        <v>25</v>
      </c>
      <c r="V106" s="53" t="str">
        <f t="shared" si="21"/>
        <v/>
      </c>
      <c r="W106" s="53" t="str">
        <f t="shared" si="22"/>
        <v/>
      </c>
      <c r="X106" s="53" t="str">
        <f t="shared" si="23"/>
        <v/>
      </c>
      <c r="Y106" s="57" t="str">
        <f>IF($X106="","",IFERROR(VLOOKUP($X106,'Char Popularity'!$A$2:$C$500,2,FALSE),""))</f>
        <v/>
      </c>
      <c r="Z106" s="56">
        <f>IF($X106="",1,IFERROR(VLOOKUP($X106,'Char Popularity'!$A$2:$C$500,3,FALSE),1))</f>
        <v>1</v>
      </c>
      <c r="AA106" s="62">
        <f>IF($H106&lt;&gt;"Y",0,(IF($F106&lt;&gt;"",ROUND(Dashboard!$R$4/$F106,1),IF(AND($I106="Base",$E106="Base"),Dashboard!$R$5,IF(AND($I106="Base",$E106="Red"),Dashboard!$R$6,IF(AND($I106="Base",$E106="Gold"),Dashboard!$R$7,VLOOKUP($I106,Dashboard!$Q$16:$R$21,2,FALSE)))))*VLOOKUP($I106,Dashboard!$Q$9:$R$13,2,FALSE)*IF(AND($I106="Auto",$F106="",OR($B106="Autographs Duals",$B106="Autographs Triples",$B106="Autographs Quads",$B106="Autographs Quads (Inscribed)")),IF($B106="Autographs Duals",2,IF($B106="Autographs Triples",3,4)),1)))</f>
        <v>40</v>
      </c>
      <c r="AB106" s="62">
        <f t="shared" si="24"/>
        <v>0</v>
      </c>
      <c r="AC106" s="62">
        <f t="shared" si="25"/>
        <v>0</v>
      </c>
    </row>
    <row r="107" spans="1:29" ht="28.7" customHeight="1" x14ac:dyDescent="0.25">
      <c r="A107" s="4" t="s">
        <v>17</v>
      </c>
      <c r="B107" s="7" t="s">
        <v>70</v>
      </c>
      <c r="C107" s="2" t="s">
        <v>1405</v>
      </c>
      <c r="D107" s="7" t="s">
        <v>843</v>
      </c>
      <c r="E107" s="4" t="s">
        <v>780</v>
      </c>
      <c r="F107" s="2">
        <v>25</v>
      </c>
      <c r="G107" s="2" t="s">
        <v>1399</v>
      </c>
      <c r="H107" s="2" t="s">
        <v>1400</v>
      </c>
      <c r="I107" s="4" t="s">
        <v>60</v>
      </c>
      <c r="J107" s="112">
        <f>IF($H107&lt;&gt;"Y",0,ROUND(MIN(Dashboard!$R$24,IF(IFERROR(VLOOKUP($B107,Dashboard!$Q$28:$S$60,2,FALSE),0)&gt;0,IFERROR(VLOOKUP($B107,Dashboard!$Q$28:$S$60,2,FALSE),0),$Z107*IF($U107&lt;&gt;"",ROUND((Dashboard!$R$4/$U107)*VLOOKUP($I107,Dashboard!$Q$9:$R$13,2,FALSE)*IF(ISNUMBER(SEARCH("Duals",$B107)),2,IF(ISNUMBER(SEARCH("Triples",$B107)),3,IF(ISNUMBER(SEARCH("Quads",$B107)),4,1))),2),ROUND(VLOOKUP($I107,Dashboard!$Q$15:$R$20,2,FALSE)*IF($E107="Red",Dashboard!$R$6,IF($E107="Gold",Dashboard!$R$7,Dashboard!$R$5))*IF(ISNUMBER(SEARCH("Duals",$B107)),2,IF(ISNUMBER(SEARCH("Triples",$B107)),3,IF(ISNUMBER(SEARCH("Quads",$B107)),4,1))),2))*IF(IFERROR(VLOOKUP($B107,Dashboard!$Q$28:$S$60,3,FALSE),0)&gt;0,VLOOKUP($B107,Dashboard!$Q$28:$S$60,3,FALSE),1))),0))</f>
        <v>40</v>
      </c>
      <c r="K107" s="2" t="str">
        <f>IF('Base S1'!H7="","",'Base S1'!H7)</f>
        <v/>
      </c>
      <c r="L107" s="2">
        <f t="shared" si="13"/>
        <v>0</v>
      </c>
      <c r="M107" s="2">
        <f t="shared" si="14"/>
        <v>0</v>
      </c>
      <c r="N107" s="2">
        <f t="shared" si="15"/>
        <v>0</v>
      </c>
      <c r="O107" s="2">
        <f t="shared" si="16"/>
        <v>1</v>
      </c>
      <c r="P107" s="112">
        <f t="shared" si="17"/>
        <v>0</v>
      </c>
      <c r="Q107" s="112">
        <f t="shared" si="18"/>
        <v>0</v>
      </c>
      <c r="R107" s="53"/>
      <c r="S107" s="53" t="str">
        <f t="shared" si="19"/>
        <v>Base S1|Black Parallel - Season 1|6|Black</v>
      </c>
      <c r="T107" s="57" t="str">
        <f>IF($S107="","",IFERROR(VLOOKUP($S107,'Pop Estimates (Non-#d)'!$N$2:$O$500,2,FALSE),""))</f>
        <v/>
      </c>
      <c r="U107" s="57">
        <f t="shared" si="20"/>
        <v>25</v>
      </c>
      <c r="V107" s="53" t="str">
        <f t="shared" si="21"/>
        <v/>
      </c>
      <c r="W107" s="53" t="str">
        <f t="shared" si="22"/>
        <v/>
      </c>
      <c r="X107" s="53" t="str">
        <f t="shared" si="23"/>
        <v/>
      </c>
      <c r="Y107" s="57" t="str">
        <f>IF($X107="","",IFERROR(VLOOKUP($X107,'Char Popularity'!$A$2:$C$500,2,FALSE),""))</f>
        <v/>
      </c>
      <c r="Z107" s="56">
        <f>IF($X107="",1,IFERROR(VLOOKUP($X107,'Char Popularity'!$A$2:$C$500,3,FALSE),1))</f>
        <v>1</v>
      </c>
      <c r="AA107" s="62">
        <f>IF($H107&lt;&gt;"Y",0,(IF($F107&lt;&gt;"",ROUND(Dashboard!$R$4/$F107,1),IF(AND($I107="Base",$E107="Base"),Dashboard!$R$5,IF(AND($I107="Base",$E107="Red"),Dashboard!$R$6,IF(AND($I107="Base",$E107="Gold"),Dashboard!$R$7,VLOOKUP($I107,Dashboard!$Q$16:$R$21,2,FALSE)))))*VLOOKUP($I107,Dashboard!$Q$9:$R$13,2,FALSE)*IF(AND($I107="Auto",$F107="",OR($B107="Autographs Duals",$B107="Autographs Triples",$B107="Autographs Quads",$B107="Autographs Quads (Inscribed)")),IF($B107="Autographs Duals",2,IF($B107="Autographs Triples",3,4)),1)))</f>
        <v>40</v>
      </c>
      <c r="AB107" s="62">
        <f t="shared" si="24"/>
        <v>0</v>
      </c>
      <c r="AC107" s="62">
        <f t="shared" si="25"/>
        <v>0</v>
      </c>
    </row>
    <row r="108" spans="1:29" ht="28.7" customHeight="1" x14ac:dyDescent="0.25">
      <c r="A108" s="4" t="s">
        <v>17</v>
      </c>
      <c r="B108" s="7" t="s">
        <v>70</v>
      </c>
      <c r="C108" s="2" t="s">
        <v>1406</v>
      </c>
      <c r="D108" s="7" t="s">
        <v>845</v>
      </c>
      <c r="E108" s="4" t="s">
        <v>780</v>
      </c>
      <c r="F108" s="2">
        <v>25</v>
      </c>
      <c r="G108" s="2" t="s">
        <v>1399</v>
      </c>
      <c r="H108" s="2" t="s">
        <v>1400</v>
      </c>
      <c r="I108" s="4" t="s">
        <v>60</v>
      </c>
      <c r="J108" s="112">
        <f>IF($H108&lt;&gt;"Y",0,ROUND(MIN(Dashboard!$R$24,IF(IFERROR(VLOOKUP($B108,Dashboard!$Q$28:$S$60,2,FALSE),0)&gt;0,IFERROR(VLOOKUP($B108,Dashboard!$Q$28:$S$60,2,FALSE),0),$Z108*IF($U108&lt;&gt;"",ROUND((Dashboard!$R$4/$U108)*VLOOKUP($I108,Dashboard!$Q$9:$R$13,2,FALSE)*IF(ISNUMBER(SEARCH("Duals",$B108)),2,IF(ISNUMBER(SEARCH("Triples",$B108)),3,IF(ISNUMBER(SEARCH("Quads",$B108)),4,1))),2),ROUND(VLOOKUP($I108,Dashboard!$Q$15:$R$20,2,FALSE)*IF($E108="Red",Dashboard!$R$6,IF($E108="Gold",Dashboard!$R$7,Dashboard!$R$5))*IF(ISNUMBER(SEARCH("Duals",$B108)),2,IF(ISNUMBER(SEARCH("Triples",$B108)),3,IF(ISNUMBER(SEARCH("Quads",$B108)),4,1))),2))*IF(IFERROR(VLOOKUP($B108,Dashboard!$Q$28:$S$60,3,FALSE),0)&gt;0,VLOOKUP($B108,Dashboard!$Q$28:$S$60,3,FALSE),1))),0))</f>
        <v>40</v>
      </c>
      <c r="K108" s="2" t="str">
        <f>IF('Base S1'!H8="","",'Base S1'!H8)</f>
        <v/>
      </c>
      <c r="L108" s="2">
        <f t="shared" si="13"/>
        <v>0</v>
      </c>
      <c r="M108" s="2">
        <f t="shared" si="14"/>
        <v>0</v>
      </c>
      <c r="N108" s="2">
        <f t="shared" si="15"/>
        <v>0</v>
      </c>
      <c r="O108" s="2">
        <f t="shared" si="16"/>
        <v>1</v>
      </c>
      <c r="P108" s="112">
        <f t="shared" si="17"/>
        <v>0</v>
      </c>
      <c r="Q108" s="112">
        <f t="shared" si="18"/>
        <v>0</v>
      </c>
      <c r="R108" s="53"/>
      <c r="S108" s="53" t="str">
        <f t="shared" si="19"/>
        <v>Base S1|Black Parallel - Season 1|7|Black</v>
      </c>
      <c r="T108" s="57" t="str">
        <f>IF($S108="","",IFERROR(VLOOKUP($S108,'Pop Estimates (Non-#d)'!$N$2:$O$500,2,FALSE),""))</f>
        <v/>
      </c>
      <c r="U108" s="57">
        <f t="shared" si="20"/>
        <v>25</v>
      </c>
      <c r="V108" s="53" t="str">
        <f t="shared" si="21"/>
        <v/>
      </c>
      <c r="W108" s="53" t="str">
        <f t="shared" si="22"/>
        <v/>
      </c>
      <c r="X108" s="53" t="str">
        <f t="shared" si="23"/>
        <v/>
      </c>
      <c r="Y108" s="57" t="str">
        <f>IF($X108="","",IFERROR(VLOOKUP($X108,'Char Popularity'!$A$2:$C$500,2,FALSE),""))</f>
        <v/>
      </c>
      <c r="Z108" s="56">
        <f>IF($X108="",1,IFERROR(VLOOKUP($X108,'Char Popularity'!$A$2:$C$500,3,FALSE),1))</f>
        <v>1</v>
      </c>
      <c r="AA108" s="62">
        <f>IF($H108&lt;&gt;"Y",0,(IF($F108&lt;&gt;"",ROUND(Dashboard!$R$4/$F108,1),IF(AND($I108="Base",$E108="Base"),Dashboard!$R$5,IF(AND($I108="Base",$E108="Red"),Dashboard!$R$6,IF(AND($I108="Base",$E108="Gold"),Dashboard!$R$7,VLOOKUP($I108,Dashboard!$Q$16:$R$21,2,FALSE)))))*VLOOKUP($I108,Dashboard!$Q$9:$R$13,2,FALSE)*IF(AND($I108="Auto",$F108="",OR($B108="Autographs Duals",$B108="Autographs Triples",$B108="Autographs Quads",$B108="Autographs Quads (Inscribed)")),IF($B108="Autographs Duals",2,IF($B108="Autographs Triples",3,4)),1)))</f>
        <v>40</v>
      </c>
      <c r="AB108" s="62">
        <f t="shared" si="24"/>
        <v>0</v>
      </c>
      <c r="AC108" s="62">
        <f t="shared" si="25"/>
        <v>0</v>
      </c>
    </row>
    <row r="109" spans="1:29" ht="28.7" customHeight="1" x14ac:dyDescent="0.25">
      <c r="A109" s="4" t="s">
        <v>17</v>
      </c>
      <c r="B109" s="7" t="s">
        <v>70</v>
      </c>
      <c r="C109" s="2" t="s">
        <v>1407</v>
      </c>
      <c r="D109" s="7" t="s">
        <v>848</v>
      </c>
      <c r="E109" s="4" t="s">
        <v>780</v>
      </c>
      <c r="F109" s="2">
        <v>25</v>
      </c>
      <c r="G109" s="2" t="s">
        <v>1399</v>
      </c>
      <c r="H109" s="2" t="s">
        <v>1400</v>
      </c>
      <c r="I109" s="4" t="s">
        <v>60</v>
      </c>
      <c r="J109" s="112">
        <f>IF($H109&lt;&gt;"Y",0,ROUND(MIN(Dashboard!$R$24,IF(IFERROR(VLOOKUP($B109,Dashboard!$Q$28:$S$60,2,FALSE),0)&gt;0,IFERROR(VLOOKUP($B109,Dashboard!$Q$28:$S$60,2,FALSE),0),$Z109*IF($U109&lt;&gt;"",ROUND((Dashboard!$R$4/$U109)*VLOOKUP($I109,Dashboard!$Q$9:$R$13,2,FALSE)*IF(ISNUMBER(SEARCH("Duals",$B109)),2,IF(ISNUMBER(SEARCH("Triples",$B109)),3,IF(ISNUMBER(SEARCH("Quads",$B109)),4,1))),2),ROUND(VLOOKUP($I109,Dashboard!$Q$15:$R$20,2,FALSE)*IF($E109="Red",Dashboard!$R$6,IF($E109="Gold",Dashboard!$R$7,Dashboard!$R$5))*IF(ISNUMBER(SEARCH("Duals",$B109)),2,IF(ISNUMBER(SEARCH("Triples",$B109)),3,IF(ISNUMBER(SEARCH("Quads",$B109)),4,1))),2))*IF(IFERROR(VLOOKUP($B109,Dashboard!$Q$28:$S$60,3,FALSE),0)&gt;0,VLOOKUP($B109,Dashboard!$Q$28:$S$60,3,FALSE),1))),0))</f>
        <v>40</v>
      </c>
      <c r="K109" s="2" t="str">
        <f>IF('Base S1'!H9="","",'Base S1'!H9)</f>
        <v/>
      </c>
      <c r="L109" s="2">
        <f t="shared" si="13"/>
        <v>0</v>
      </c>
      <c r="M109" s="2">
        <f t="shared" si="14"/>
        <v>0</v>
      </c>
      <c r="N109" s="2">
        <f t="shared" si="15"/>
        <v>0</v>
      </c>
      <c r="O109" s="2">
        <f t="shared" si="16"/>
        <v>1</v>
      </c>
      <c r="P109" s="112">
        <f t="shared" si="17"/>
        <v>0</v>
      </c>
      <c r="Q109" s="112">
        <f t="shared" si="18"/>
        <v>0</v>
      </c>
      <c r="R109" s="53"/>
      <c r="S109" s="53" t="str">
        <f t="shared" si="19"/>
        <v>Base S1|Black Parallel - Season 1|8|Black</v>
      </c>
      <c r="T109" s="57" t="str">
        <f>IF($S109="","",IFERROR(VLOOKUP($S109,'Pop Estimates (Non-#d)'!$N$2:$O$500,2,FALSE),""))</f>
        <v/>
      </c>
      <c r="U109" s="57">
        <f t="shared" si="20"/>
        <v>25</v>
      </c>
      <c r="V109" s="53" t="str">
        <f t="shared" si="21"/>
        <v/>
      </c>
      <c r="W109" s="53" t="str">
        <f t="shared" si="22"/>
        <v/>
      </c>
      <c r="X109" s="53" t="str">
        <f t="shared" si="23"/>
        <v/>
      </c>
      <c r="Y109" s="57" t="str">
        <f>IF($X109="","",IFERROR(VLOOKUP($X109,'Char Popularity'!$A$2:$C$500,2,FALSE),""))</f>
        <v/>
      </c>
      <c r="Z109" s="56">
        <f>IF($X109="",1,IFERROR(VLOOKUP($X109,'Char Popularity'!$A$2:$C$500,3,FALSE),1))</f>
        <v>1</v>
      </c>
      <c r="AA109" s="62">
        <f>IF($H109&lt;&gt;"Y",0,(IF($F109&lt;&gt;"",ROUND(Dashboard!$R$4/$F109,1),IF(AND($I109="Base",$E109="Base"),Dashboard!$R$5,IF(AND($I109="Base",$E109="Red"),Dashboard!$R$6,IF(AND($I109="Base",$E109="Gold"),Dashboard!$R$7,VLOOKUP($I109,Dashboard!$Q$16:$R$21,2,FALSE)))))*VLOOKUP($I109,Dashboard!$Q$9:$R$13,2,FALSE)*IF(AND($I109="Auto",$F109="",OR($B109="Autographs Duals",$B109="Autographs Triples",$B109="Autographs Quads",$B109="Autographs Quads (Inscribed)")),IF($B109="Autographs Duals",2,IF($B109="Autographs Triples",3,4)),1)))</f>
        <v>40</v>
      </c>
      <c r="AB109" s="62">
        <f t="shared" si="24"/>
        <v>0</v>
      </c>
      <c r="AC109" s="62">
        <f t="shared" si="25"/>
        <v>0</v>
      </c>
    </row>
    <row r="110" spans="1:29" ht="28.7" customHeight="1" x14ac:dyDescent="0.25">
      <c r="A110" s="4" t="s">
        <v>17</v>
      </c>
      <c r="B110" s="7" t="s">
        <v>70</v>
      </c>
      <c r="C110" s="2" t="s">
        <v>1408</v>
      </c>
      <c r="D110" s="7" t="s">
        <v>850</v>
      </c>
      <c r="E110" s="4" t="s">
        <v>780</v>
      </c>
      <c r="F110" s="2">
        <v>25</v>
      </c>
      <c r="G110" s="2" t="s">
        <v>1399</v>
      </c>
      <c r="H110" s="2" t="s">
        <v>1400</v>
      </c>
      <c r="I110" s="4" t="s">
        <v>60</v>
      </c>
      <c r="J110" s="112">
        <f>IF($H110&lt;&gt;"Y",0,ROUND(MIN(Dashboard!$R$24,IF(IFERROR(VLOOKUP($B110,Dashboard!$Q$28:$S$60,2,FALSE),0)&gt;0,IFERROR(VLOOKUP($B110,Dashboard!$Q$28:$S$60,2,FALSE),0),$Z110*IF($U110&lt;&gt;"",ROUND((Dashboard!$R$4/$U110)*VLOOKUP($I110,Dashboard!$Q$9:$R$13,2,FALSE)*IF(ISNUMBER(SEARCH("Duals",$B110)),2,IF(ISNUMBER(SEARCH("Triples",$B110)),3,IF(ISNUMBER(SEARCH("Quads",$B110)),4,1))),2),ROUND(VLOOKUP($I110,Dashboard!$Q$15:$R$20,2,FALSE)*IF($E110="Red",Dashboard!$R$6,IF($E110="Gold",Dashboard!$R$7,Dashboard!$R$5))*IF(ISNUMBER(SEARCH("Duals",$B110)),2,IF(ISNUMBER(SEARCH("Triples",$B110)),3,IF(ISNUMBER(SEARCH("Quads",$B110)),4,1))),2))*IF(IFERROR(VLOOKUP($B110,Dashboard!$Q$28:$S$60,3,FALSE),0)&gt;0,VLOOKUP($B110,Dashboard!$Q$28:$S$60,3,FALSE),1))),0))</f>
        <v>40</v>
      </c>
      <c r="K110" s="2" t="str">
        <f>IF('Base S1'!H10="","",'Base S1'!H10)</f>
        <v>C 24/25</v>
      </c>
      <c r="L110" s="2">
        <f t="shared" si="13"/>
        <v>1</v>
      </c>
      <c r="M110" s="2">
        <f t="shared" si="14"/>
        <v>0</v>
      </c>
      <c r="N110" s="2">
        <f t="shared" si="15"/>
        <v>1</v>
      </c>
      <c r="O110" s="2">
        <f t="shared" si="16"/>
        <v>0</v>
      </c>
      <c r="P110" s="112">
        <f t="shared" si="17"/>
        <v>40</v>
      </c>
      <c r="Q110" s="112">
        <f t="shared" si="18"/>
        <v>0</v>
      </c>
      <c r="R110" s="53"/>
      <c r="S110" s="53" t="str">
        <f t="shared" si="19"/>
        <v>Base S1|Black Parallel - Season 1|9|Black</v>
      </c>
      <c r="T110" s="57" t="str">
        <f>IF($S110="","",IFERROR(VLOOKUP($S110,'Pop Estimates (Non-#d)'!$N$2:$O$500,2,FALSE),""))</f>
        <v/>
      </c>
      <c r="U110" s="57">
        <f t="shared" si="20"/>
        <v>25</v>
      </c>
      <c r="V110" s="53" t="str">
        <f t="shared" si="21"/>
        <v/>
      </c>
      <c r="W110" s="53" t="str">
        <f t="shared" si="22"/>
        <v/>
      </c>
      <c r="X110" s="53" t="str">
        <f t="shared" si="23"/>
        <v/>
      </c>
      <c r="Y110" s="57" t="str">
        <f>IF($X110="","",IFERROR(VLOOKUP($X110,'Char Popularity'!$A$2:$C$500,2,FALSE),""))</f>
        <v/>
      </c>
      <c r="Z110" s="56">
        <f>IF($X110="",1,IFERROR(VLOOKUP($X110,'Char Popularity'!$A$2:$C$500,3,FALSE),1))</f>
        <v>1</v>
      </c>
      <c r="AA110" s="62">
        <f>IF($H110&lt;&gt;"Y",0,(IF($F110&lt;&gt;"",ROUND(Dashboard!$R$4/$F110,1),IF(AND($I110="Base",$E110="Base"),Dashboard!$R$5,IF(AND($I110="Base",$E110="Red"),Dashboard!$R$6,IF(AND($I110="Base",$E110="Gold"),Dashboard!$R$7,VLOOKUP($I110,Dashboard!$Q$16:$R$21,2,FALSE)))))*VLOOKUP($I110,Dashboard!$Q$9:$R$13,2,FALSE)*IF(AND($I110="Auto",$F110="",OR($B110="Autographs Duals",$B110="Autographs Triples",$B110="Autographs Quads",$B110="Autographs Quads (Inscribed)")),IF($B110="Autographs Duals",2,IF($B110="Autographs Triples",3,4)),1)))</f>
        <v>40</v>
      </c>
      <c r="AB110" s="62">
        <f t="shared" si="24"/>
        <v>40</v>
      </c>
      <c r="AC110" s="62">
        <f t="shared" si="25"/>
        <v>0</v>
      </c>
    </row>
    <row r="111" spans="1:29" ht="28.7" customHeight="1" x14ac:dyDescent="0.25">
      <c r="A111" s="4" t="s">
        <v>17</v>
      </c>
      <c r="B111" s="7" t="s">
        <v>70</v>
      </c>
      <c r="C111" s="2" t="s">
        <v>1409</v>
      </c>
      <c r="D111" s="7" t="s">
        <v>853</v>
      </c>
      <c r="E111" s="4" t="s">
        <v>780</v>
      </c>
      <c r="F111" s="2">
        <v>25</v>
      </c>
      <c r="G111" s="2" t="s">
        <v>1399</v>
      </c>
      <c r="H111" s="2" t="s">
        <v>1400</v>
      </c>
      <c r="I111" s="4" t="s">
        <v>60</v>
      </c>
      <c r="J111" s="112">
        <f>IF($H111&lt;&gt;"Y",0,ROUND(MIN(Dashboard!$R$24,IF(IFERROR(VLOOKUP($B111,Dashboard!$Q$28:$S$60,2,FALSE),0)&gt;0,IFERROR(VLOOKUP($B111,Dashboard!$Q$28:$S$60,2,FALSE),0),$Z111*IF($U111&lt;&gt;"",ROUND((Dashboard!$R$4/$U111)*VLOOKUP($I111,Dashboard!$Q$9:$R$13,2,FALSE)*IF(ISNUMBER(SEARCH("Duals",$B111)),2,IF(ISNUMBER(SEARCH("Triples",$B111)),3,IF(ISNUMBER(SEARCH("Quads",$B111)),4,1))),2),ROUND(VLOOKUP($I111,Dashboard!$Q$15:$R$20,2,FALSE)*IF($E111="Red",Dashboard!$R$6,IF($E111="Gold",Dashboard!$R$7,Dashboard!$R$5))*IF(ISNUMBER(SEARCH("Duals",$B111)),2,IF(ISNUMBER(SEARCH("Triples",$B111)),3,IF(ISNUMBER(SEARCH("Quads",$B111)),4,1))),2))*IF(IFERROR(VLOOKUP($B111,Dashboard!$Q$28:$S$60,3,FALSE),0)&gt;0,VLOOKUP($B111,Dashboard!$Q$28:$S$60,3,FALSE),1))),0))</f>
        <v>40</v>
      </c>
      <c r="K111" s="2" t="str">
        <f>IF('Base S1'!H11="","",'Base S1'!H11)</f>
        <v>C 16/25</v>
      </c>
      <c r="L111" s="2">
        <f t="shared" si="13"/>
        <v>1</v>
      </c>
      <c r="M111" s="2">
        <f t="shared" si="14"/>
        <v>0</v>
      </c>
      <c r="N111" s="2">
        <f t="shared" si="15"/>
        <v>1</v>
      </c>
      <c r="O111" s="2">
        <f t="shared" si="16"/>
        <v>0</v>
      </c>
      <c r="P111" s="112">
        <f t="shared" si="17"/>
        <v>40</v>
      </c>
      <c r="Q111" s="112">
        <f t="shared" si="18"/>
        <v>0</v>
      </c>
      <c r="R111" s="53"/>
      <c r="S111" s="53" t="str">
        <f t="shared" si="19"/>
        <v>Base S1|Black Parallel - Season 1|10|Black</v>
      </c>
      <c r="T111" s="57" t="str">
        <f>IF($S111="","",IFERROR(VLOOKUP($S111,'Pop Estimates (Non-#d)'!$N$2:$O$500,2,FALSE),""))</f>
        <v/>
      </c>
      <c r="U111" s="57">
        <f t="shared" si="20"/>
        <v>25</v>
      </c>
      <c r="V111" s="53" t="str">
        <f t="shared" si="21"/>
        <v/>
      </c>
      <c r="W111" s="53" t="str">
        <f t="shared" si="22"/>
        <v/>
      </c>
      <c r="X111" s="53" t="str">
        <f t="shared" si="23"/>
        <v/>
      </c>
      <c r="Y111" s="57" t="str">
        <f>IF($X111="","",IFERROR(VLOOKUP($X111,'Char Popularity'!$A$2:$C$500,2,FALSE),""))</f>
        <v/>
      </c>
      <c r="Z111" s="56">
        <f>IF($X111="",1,IFERROR(VLOOKUP($X111,'Char Popularity'!$A$2:$C$500,3,FALSE),1))</f>
        <v>1</v>
      </c>
      <c r="AA111" s="62">
        <f>IF($H111&lt;&gt;"Y",0,(IF($F111&lt;&gt;"",ROUND(Dashboard!$R$4/$F111,1),IF(AND($I111="Base",$E111="Base"),Dashboard!$R$5,IF(AND($I111="Base",$E111="Red"),Dashboard!$R$6,IF(AND($I111="Base",$E111="Gold"),Dashboard!$R$7,VLOOKUP($I111,Dashboard!$Q$16:$R$21,2,FALSE)))))*VLOOKUP($I111,Dashboard!$Q$9:$R$13,2,FALSE)*IF(AND($I111="Auto",$F111="",OR($B111="Autographs Duals",$B111="Autographs Triples",$B111="Autographs Quads",$B111="Autographs Quads (Inscribed)")),IF($B111="Autographs Duals",2,IF($B111="Autographs Triples",3,4)),1)))</f>
        <v>40</v>
      </c>
      <c r="AB111" s="62">
        <f t="shared" si="24"/>
        <v>40</v>
      </c>
      <c r="AC111" s="62">
        <f t="shared" si="25"/>
        <v>0</v>
      </c>
    </row>
    <row r="112" spans="1:29" ht="28.7" customHeight="1" x14ac:dyDescent="0.25">
      <c r="A112" s="4" t="s">
        <v>17</v>
      </c>
      <c r="B112" s="7" t="s">
        <v>70</v>
      </c>
      <c r="C112" s="2" t="s">
        <v>1410</v>
      </c>
      <c r="D112" s="7" t="s">
        <v>856</v>
      </c>
      <c r="E112" s="4" t="s">
        <v>780</v>
      </c>
      <c r="F112" s="2">
        <v>25</v>
      </c>
      <c r="G112" s="2" t="s">
        <v>1399</v>
      </c>
      <c r="H112" s="2" t="s">
        <v>1400</v>
      </c>
      <c r="I112" s="4" t="s">
        <v>60</v>
      </c>
      <c r="J112" s="112">
        <f>IF($H112&lt;&gt;"Y",0,ROUND(MIN(Dashboard!$R$24,IF(IFERROR(VLOOKUP($B112,Dashboard!$Q$28:$S$60,2,FALSE),0)&gt;0,IFERROR(VLOOKUP($B112,Dashboard!$Q$28:$S$60,2,FALSE),0),$Z112*IF($U112&lt;&gt;"",ROUND((Dashboard!$R$4/$U112)*VLOOKUP($I112,Dashboard!$Q$9:$R$13,2,FALSE)*IF(ISNUMBER(SEARCH("Duals",$B112)),2,IF(ISNUMBER(SEARCH("Triples",$B112)),3,IF(ISNUMBER(SEARCH("Quads",$B112)),4,1))),2),ROUND(VLOOKUP($I112,Dashboard!$Q$15:$R$20,2,FALSE)*IF($E112="Red",Dashboard!$R$6,IF($E112="Gold",Dashboard!$R$7,Dashboard!$R$5))*IF(ISNUMBER(SEARCH("Duals",$B112)),2,IF(ISNUMBER(SEARCH("Triples",$B112)),3,IF(ISNUMBER(SEARCH("Quads",$B112)),4,1))),2))*IF(IFERROR(VLOOKUP($B112,Dashboard!$Q$28:$S$60,3,FALSE),0)&gt;0,VLOOKUP($B112,Dashboard!$Q$28:$S$60,3,FALSE),1))),0))</f>
        <v>40</v>
      </c>
      <c r="K112" s="2" t="str">
        <f>IF('Base S1'!H12="","",'Base S1'!H12)</f>
        <v/>
      </c>
      <c r="L112" s="2">
        <f t="shared" si="13"/>
        <v>0</v>
      </c>
      <c r="M112" s="2">
        <f t="shared" si="14"/>
        <v>0</v>
      </c>
      <c r="N112" s="2">
        <f t="shared" si="15"/>
        <v>0</v>
      </c>
      <c r="O112" s="2">
        <f t="shared" si="16"/>
        <v>1</v>
      </c>
      <c r="P112" s="112">
        <f t="shared" si="17"/>
        <v>0</v>
      </c>
      <c r="Q112" s="112">
        <f t="shared" si="18"/>
        <v>0</v>
      </c>
      <c r="R112" s="53"/>
      <c r="S112" s="53" t="str">
        <f t="shared" si="19"/>
        <v>Base S1|Black Parallel - Season 1|11|Black</v>
      </c>
      <c r="T112" s="57" t="str">
        <f>IF($S112="","",IFERROR(VLOOKUP($S112,'Pop Estimates (Non-#d)'!$N$2:$O$500,2,FALSE),""))</f>
        <v/>
      </c>
      <c r="U112" s="57">
        <f t="shared" si="20"/>
        <v>25</v>
      </c>
      <c r="V112" s="53" t="str">
        <f t="shared" si="21"/>
        <v/>
      </c>
      <c r="W112" s="53" t="str">
        <f t="shared" si="22"/>
        <v/>
      </c>
      <c r="X112" s="53" t="str">
        <f t="shared" si="23"/>
        <v/>
      </c>
      <c r="Y112" s="57" t="str">
        <f>IF($X112="","",IFERROR(VLOOKUP($X112,'Char Popularity'!$A$2:$C$500,2,FALSE),""))</f>
        <v/>
      </c>
      <c r="Z112" s="56">
        <f>IF($X112="",1,IFERROR(VLOOKUP($X112,'Char Popularity'!$A$2:$C$500,3,FALSE),1))</f>
        <v>1</v>
      </c>
      <c r="AA112" s="62">
        <f>IF($H112&lt;&gt;"Y",0,(IF($F112&lt;&gt;"",ROUND(Dashboard!$R$4/$F112,1),IF(AND($I112="Base",$E112="Base"),Dashboard!$R$5,IF(AND($I112="Base",$E112="Red"),Dashboard!$R$6,IF(AND($I112="Base",$E112="Gold"),Dashboard!$R$7,VLOOKUP($I112,Dashboard!$Q$16:$R$21,2,FALSE)))))*VLOOKUP($I112,Dashboard!$Q$9:$R$13,2,FALSE)*IF(AND($I112="Auto",$F112="",OR($B112="Autographs Duals",$B112="Autographs Triples",$B112="Autographs Quads",$B112="Autographs Quads (Inscribed)")),IF($B112="Autographs Duals",2,IF($B112="Autographs Triples",3,4)),1)))</f>
        <v>40</v>
      </c>
      <c r="AB112" s="62">
        <f t="shared" si="24"/>
        <v>0</v>
      </c>
      <c r="AC112" s="62">
        <f t="shared" si="25"/>
        <v>0</v>
      </c>
    </row>
    <row r="113" spans="1:29" ht="28.7" customHeight="1" x14ac:dyDescent="0.25">
      <c r="A113" s="4" t="s">
        <v>17</v>
      </c>
      <c r="B113" s="7" t="s">
        <v>70</v>
      </c>
      <c r="C113" s="2" t="s">
        <v>1411</v>
      </c>
      <c r="D113" s="7" t="s">
        <v>858</v>
      </c>
      <c r="E113" s="4" t="s">
        <v>780</v>
      </c>
      <c r="F113" s="2">
        <v>25</v>
      </c>
      <c r="G113" s="2" t="s">
        <v>1399</v>
      </c>
      <c r="H113" s="2" t="s">
        <v>1400</v>
      </c>
      <c r="I113" s="4" t="s">
        <v>60</v>
      </c>
      <c r="J113" s="112">
        <f>IF($H113&lt;&gt;"Y",0,ROUND(MIN(Dashboard!$R$24,IF(IFERROR(VLOOKUP($B113,Dashboard!$Q$28:$S$60,2,FALSE),0)&gt;0,IFERROR(VLOOKUP($B113,Dashboard!$Q$28:$S$60,2,FALSE),0),$Z113*IF($U113&lt;&gt;"",ROUND((Dashboard!$R$4/$U113)*VLOOKUP($I113,Dashboard!$Q$9:$R$13,2,FALSE)*IF(ISNUMBER(SEARCH("Duals",$B113)),2,IF(ISNUMBER(SEARCH("Triples",$B113)),3,IF(ISNUMBER(SEARCH("Quads",$B113)),4,1))),2),ROUND(VLOOKUP($I113,Dashboard!$Q$15:$R$20,2,FALSE)*IF($E113="Red",Dashboard!$R$6,IF($E113="Gold",Dashboard!$R$7,Dashboard!$R$5))*IF(ISNUMBER(SEARCH("Duals",$B113)),2,IF(ISNUMBER(SEARCH("Triples",$B113)),3,IF(ISNUMBER(SEARCH("Quads",$B113)),4,1))),2))*IF(IFERROR(VLOOKUP($B113,Dashboard!$Q$28:$S$60,3,FALSE),0)&gt;0,VLOOKUP($B113,Dashboard!$Q$28:$S$60,3,FALSE),1))),0))</f>
        <v>40</v>
      </c>
      <c r="K113" s="2" t="str">
        <f>IF('Base S1'!H13="","",'Base S1'!H13)</f>
        <v/>
      </c>
      <c r="L113" s="2">
        <f t="shared" si="13"/>
        <v>0</v>
      </c>
      <c r="M113" s="2">
        <f t="shared" si="14"/>
        <v>0</v>
      </c>
      <c r="N113" s="2">
        <f t="shared" si="15"/>
        <v>0</v>
      </c>
      <c r="O113" s="2">
        <f t="shared" si="16"/>
        <v>1</v>
      </c>
      <c r="P113" s="112">
        <f t="shared" si="17"/>
        <v>0</v>
      </c>
      <c r="Q113" s="112">
        <f t="shared" si="18"/>
        <v>0</v>
      </c>
      <c r="R113" s="53"/>
      <c r="S113" s="53" t="str">
        <f t="shared" si="19"/>
        <v>Base S1|Black Parallel - Season 1|12|Black</v>
      </c>
      <c r="T113" s="57" t="str">
        <f>IF($S113="","",IFERROR(VLOOKUP($S113,'Pop Estimates (Non-#d)'!$N$2:$O$500,2,FALSE),""))</f>
        <v/>
      </c>
      <c r="U113" s="57">
        <f t="shared" si="20"/>
        <v>25</v>
      </c>
      <c r="V113" s="53" t="str">
        <f t="shared" si="21"/>
        <v/>
      </c>
      <c r="W113" s="53" t="str">
        <f t="shared" si="22"/>
        <v/>
      </c>
      <c r="X113" s="53" t="str">
        <f t="shared" si="23"/>
        <v/>
      </c>
      <c r="Y113" s="57" t="str">
        <f>IF($X113="","",IFERROR(VLOOKUP($X113,'Char Popularity'!$A$2:$C$500,2,FALSE),""))</f>
        <v/>
      </c>
      <c r="Z113" s="56">
        <f>IF($X113="",1,IFERROR(VLOOKUP($X113,'Char Popularity'!$A$2:$C$500,3,FALSE),1))</f>
        <v>1</v>
      </c>
      <c r="AA113" s="62">
        <f>IF($H113&lt;&gt;"Y",0,(IF($F113&lt;&gt;"",ROUND(Dashboard!$R$4/$F113,1),IF(AND($I113="Base",$E113="Base"),Dashboard!$R$5,IF(AND($I113="Base",$E113="Red"),Dashboard!$R$6,IF(AND($I113="Base",$E113="Gold"),Dashboard!$R$7,VLOOKUP($I113,Dashboard!$Q$16:$R$21,2,FALSE)))))*VLOOKUP($I113,Dashboard!$Q$9:$R$13,2,FALSE)*IF(AND($I113="Auto",$F113="",OR($B113="Autographs Duals",$B113="Autographs Triples",$B113="Autographs Quads",$B113="Autographs Quads (Inscribed)")),IF($B113="Autographs Duals",2,IF($B113="Autographs Triples",3,4)),1)))</f>
        <v>40</v>
      </c>
      <c r="AB113" s="62">
        <f t="shared" si="24"/>
        <v>0</v>
      </c>
      <c r="AC113" s="62">
        <f t="shared" si="25"/>
        <v>0</v>
      </c>
    </row>
    <row r="114" spans="1:29" ht="28.7" customHeight="1" x14ac:dyDescent="0.25">
      <c r="A114" s="4" t="s">
        <v>17</v>
      </c>
      <c r="B114" s="7" t="s">
        <v>70</v>
      </c>
      <c r="C114" s="2" t="s">
        <v>1412</v>
      </c>
      <c r="D114" s="7" t="s">
        <v>861</v>
      </c>
      <c r="E114" s="4" t="s">
        <v>780</v>
      </c>
      <c r="F114" s="2">
        <v>25</v>
      </c>
      <c r="G114" s="2" t="s">
        <v>1399</v>
      </c>
      <c r="H114" s="2" t="s">
        <v>1400</v>
      </c>
      <c r="I114" s="4" t="s">
        <v>60</v>
      </c>
      <c r="J114" s="112">
        <f>IF($H114&lt;&gt;"Y",0,ROUND(MIN(Dashboard!$R$24,IF(IFERROR(VLOOKUP($B114,Dashboard!$Q$28:$S$60,2,FALSE),0)&gt;0,IFERROR(VLOOKUP($B114,Dashboard!$Q$28:$S$60,2,FALSE),0),$Z114*IF($U114&lt;&gt;"",ROUND((Dashboard!$R$4/$U114)*VLOOKUP($I114,Dashboard!$Q$9:$R$13,2,FALSE)*IF(ISNUMBER(SEARCH("Duals",$B114)),2,IF(ISNUMBER(SEARCH("Triples",$B114)),3,IF(ISNUMBER(SEARCH("Quads",$B114)),4,1))),2),ROUND(VLOOKUP($I114,Dashboard!$Q$15:$R$20,2,FALSE)*IF($E114="Red",Dashboard!$R$6,IF($E114="Gold",Dashboard!$R$7,Dashboard!$R$5))*IF(ISNUMBER(SEARCH("Duals",$B114)),2,IF(ISNUMBER(SEARCH("Triples",$B114)),3,IF(ISNUMBER(SEARCH("Quads",$B114)),4,1))),2))*IF(IFERROR(VLOOKUP($B114,Dashboard!$Q$28:$S$60,3,FALSE),0)&gt;0,VLOOKUP($B114,Dashboard!$Q$28:$S$60,3,FALSE),1))),0))</f>
        <v>40</v>
      </c>
      <c r="K114" s="2" t="str">
        <f>IF('Base S1'!H14="","",'Base S1'!H14)</f>
        <v/>
      </c>
      <c r="L114" s="2">
        <f t="shared" si="13"/>
        <v>0</v>
      </c>
      <c r="M114" s="2">
        <f t="shared" si="14"/>
        <v>0</v>
      </c>
      <c r="N114" s="2">
        <f t="shared" si="15"/>
        <v>0</v>
      </c>
      <c r="O114" s="2">
        <f t="shared" si="16"/>
        <v>1</v>
      </c>
      <c r="P114" s="112">
        <f t="shared" si="17"/>
        <v>0</v>
      </c>
      <c r="Q114" s="112">
        <f t="shared" si="18"/>
        <v>0</v>
      </c>
      <c r="R114" s="53"/>
      <c r="S114" s="53" t="str">
        <f t="shared" si="19"/>
        <v>Base S1|Black Parallel - Season 1|13|Black</v>
      </c>
      <c r="T114" s="57" t="str">
        <f>IF($S114="","",IFERROR(VLOOKUP($S114,'Pop Estimates (Non-#d)'!$N$2:$O$500,2,FALSE),""))</f>
        <v/>
      </c>
      <c r="U114" s="57">
        <f t="shared" si="20"/>
        <v>25</v>
      </c>
      <c r="V114" s="53" t="str">
        <f t="shared" si="21"/>
        <v/>
      </c>
      <c r="W114" s="53" t="str">
        <f t="shared" si="22"/>
        <v/>
      </c>
      <c r="X114" s="53" t="str">
        <f t="shared" si="23"/>
        <v/>
      </c>
      <c r="Y114" s="57" t="str">
        <f>IF($X114="","",IFERROR(VLOOKUP($X114,'Char Popularity'!$A$2:$C$500,2,FALSE),""))</f>
        <v/>
      </c>
      <c r="Z114" s="56">
        <f>IF($X114="",1,IFERROR(VLOOKUP($X114,'Char Popularity'!$A$2:$C$500,3,FALSE),1))</f>
        <v>1</v>
      </c>
      <c r="AA114" s="62">
        <f>IF($H114&lt;&gt;"Y",0,(IF($F114&lt;&gt;"",ROUND(Dashboard!$R$4/$F114,1),IF(AND($I114="Base",$E114="Base"),Dashboard!$R$5,IF(AND($I114="Base",$E114="Red"),Dashboard!$R$6,IF(AND($I114="Base",$E114="Gold"),Dashboard!$R$7,VLOOKUP($I114,Dashboard!$Q$16:$R$21,2,FALSE)))))*VLOOKUP($I114,Dashboard!$Q$9:$R$13,2,FALSE)*IF(AND($I114="Auto",$F114="",OR($B114="Autographs Duals",$B114="Autographs Triples",$B114="Autographs Quads",$B114="Autographs Quads (Inscribed)")),IF($B114="Autographs Duals",2,IF($B114="Autographs Triples",3,4)),1)))</f>
        <v>40</v>
      </c>
      <c r="AB114" s="62">
        <f t="shared" si="24"/>
        <v>0</v>
      </c>
      <c r="AC114" s="62">
        <f t="shared" si="25"/>
        <v>0</v>
      </c>
    </row>
    <row r="115" spans="1:29" ht="28.7" customHeight="1" x14ac:dyDescent="0.25">
      <c r="A115" s="4" t="s">
        <v>17</v>
      </c>
      <c r="B115" s="7" t="s">
        <v>70</v>
      </c>
      <c r="C115" s="2" t="s">
        <v>1413</v>
      </c>
      <c r="D115" s="7" t="s">
        <v>863</v>
      </c>
      <c r="E115" s="4" t="s">
        <v>780</v>
      </c>
      <c r="F115" s="2">
        <v>25</v>
      </c>
      <c r="G115" s="2" t="s">
        <v>1399</v>
      </c>
      <c r="H115" s="2" t="s">
        <v>1400</v>
      </c>
      <c r="I115" s="4" t="s">
        <v>60</v>
      </c>
      <c r="J115" s="112">
        <f>IF($H115&lt;&gt;"Y",0,ROUND(MIN(Dashboard!$R$24,IF(IFERROR(VLOOKUP($B115,Dashboard!$Q$28:$S$60,2,FALSE),0)&gt;0,IFERROR(VLOOKUP($B115,Dashboard!$Q$28:$S$60,2,FALSE),0),$Z115*IF($U115&lt;&gt;"",ROUND((Dashboard!$R$4/$U115)*VLOOKUP($I115,Dashboard!$Q$9:$R$13,2,FALSE)*IF(ISNUMBER(SEARCH("Duals",$B115)),2,IF(ISNUMBER(SEARCH("Triples",$B115)),3,IF(ISNUMBER(SEARCH("Quads",$B115)),4,1))),2),ROUND(VLOOKUP($I115,Dashboard!$Q$15:$R$20,2,FALSE)*IF($E115="Red",Dashboard!$R$6,IF($E115="Gold",Dashboard!$R$7,Dashboard!$R$5))*IF(ISNUMBER(SEARCH("Duals",$B115)),2,IF(ISNUMBER(SEARCH("Triples",$B115)),3,IF(ISNUMBER(SEARCH("Quads",$B115)),4,1))),2))*IF(IFERROR(VLOOKUP($B115,Dashboard!$Q$28:$S$60,3,FALSE),0)&gt;0,VLOOKUP($B115,Dashboard!$Q$28:$S$60,3,FALSE),1))),0))</f>
        <v>40</v>
      </c>
      <c r="K115" s="2" t="str">
        <f>IF('Base S1'!H15="","",'Base S1'!H15)</f>
        <v/>
      </c>
      <c r="L115" s="2">
        <f t="shared" si="13"/>
        <v>0</v>
      </c>
      <c r="M115" s="2">
        <f t="shared" si="14"/>
        <v>0</v>
      </c>
      <c r="N115" s="2">
        <f t="shared" si="15"/>
        <v>0</v>
      </c>
      <c r="O115" s="2">
        <f t="shared" si="16"/>
        <v>1</v>
      </c>
      <c r="P115" s="112">
        <f t="shared" si="17"/>
        <v>0</v>
      </c>
      <c r="Q115" s="112">
        <f t="shared" si="18"/>
        <v>0</v>
      </c>
      <c r="R115" s="53"/>
      <c r="S115" s="53" t="str">
        <f t="shared" si="19"/>
        <v>Base S1|Black Parallel - Season 1|14|Black</v>
      </c>
      <c r="T115" s="57" t="str">
        <f>IF($S115="","",IFERROR(VLOOKUP($S115,'Pop Estimates (Non-#d)'!$N$2:$O$500,2,FALSE),""))</f>
        <v/>
      </c>
      <c r="U115" s="57">
        <f t="shared" si="20"/>
        <v>25</v>
      </c>
      <c r="V115" s="53" t="str">
        <f t="shared" si="21"/>
        <v/>
      </c>
      <c r="W115" s="53" t="str">
        <f t="shared" si="22"/>
        <v/>
      </c>
      <c r="X115" s="53" t="str">
        <f t="shared" si="23"/>
        <v/>
      </c>
      <c r="Y115" s="57" t="str">
        <f>IF($X115="","",IFERROR(VLOOKUP($X115,'Char Popularity'!$A$2:$C$500,2,FALSE),""))</f>
        <v/>
      </c>
      <c r="Z115" s="56">
        <f>IF($X115="",1,IFERROR(VLOOKUP($X115,'Char Popularity'!$A$2:$C$500,3,FALSE),1))</f>
        <v>1</v>
      </c>
      <c r="AA115" s="62">
        <f>IF($H115&lt;&gt;"Y",0,(IF($F115&lt;&gt;"",ROUND(Dashboard!$R$4/$F115,1),IF(AND($I115="Base",$E115="Base"),Dashboard!$R$5,IF(AND($I115="Base",$E115="Red"),Dashboard!$R$6,IF(AND($I115="Base",$E115="Gold"),Dashboard!$R$7,VLOOKUP($I115,Dashboard!$Q$16:$R$21,2,FALSE)))))*VLOOKUP($I115,Dashboard!$Q$9:$R$13,2,FALSE)*IF(AND($I115="Auto",$F115="",OR($B115="Autographs Duals",$B115="Autographs Triples",$B115="Autographs Quads",$B115="Autographs Quads (Inscribed)")),IF($B115="Autographs Duals",2,IF($B115="Autographs Triples",3,4)),1)))</f>
        <v>40</v>
      </c>
      <c r="AB115" s="62">
        <f t="shared" si="24"/>
        <v>0</v>
      </c>
      <c r="AC115" s="62">
        <f t="shared" si="25"/>
        <v>0</v>
      </c>
    </row>
    <row r="116" spans="1:29" ht="28.7" customHeight="1" x14ac:dyDescent="0.25">
      <c r="A116" s="4" t="s">
        <v>17</v>
      </c>
      <c r="B116" s="7" t="s">
        <v>70</v>
      </c>
      <c r="C116" s="2" t="s">
        <v>1414</v>
      </c>
      <c r="D116" s="7" t="s">
        <v>866</v>
      </c>
      <c r="E116" s="4" t="s">
        <v>780</v>
      </c>
      <c r="F116" s="2">
        <v>25</v>
      </c>
      <c r="G116" s="2" t="s">
        <v>1399</v>
      </c>
      <c r="H116" s="2" t="s">
        <v>1400</v>
      </c>
      <c r="I116" s="4" t="s">
        <v>60</v>
      </c>
      <c r="J116" s="112">
        <f>IF($H116&lt;&gt;"Y",0,ROUND(MIN(Dashboard!$R$24,IF(IFERROR(VLOOKUP($B116,Dashboard!$Q$28:$S$60,2,FALSE),0)&gt;0,IFERROR(VLOOKUP($B116,Dashboard!$Q$28:$S$60,2,FALSE),0),$Z116*IF($U116&lt;&gt;"",ROUND((Dashboard!$R$4/$U116)*VLOOKUP($I116,Dashboard!$Q$9:$R$13,2,FALSE)*IF(ISNUMBER(SEARCH("Duals",$B116)),2,IF(ISNUMBER(SEARCH("Triples",$B116)),3,IF(ISNUMBER(SEARCH("Quads",$B116)),4,1))),2),ROUND(VLOOKUP($I116,Dashboard!$Q$15:$R$20,2,FALSE)*IF($E116="Red",Dashboard!$R$6,IF($E116="Gold",Dashboard!$R$7,Dashboard!$R$5))*IF(ISNUMBER(SEARCH("Duals",$B116)),2,IF(ISNUMBER(SEARCH("Triples",$B116)),3,IF(ISNUMBER(SEARCH("Quads",$B116)),4,1))),2))*IF(IFERROR(VLOOKUP($B116,Dashboard!$Q$28:$S$60,3,FALSE),0)&gt;0,VLOOKUP($B116,Dashboard!$Q$28:$S$60,3,FALSE),1))),0))</f>
        <v>40</v>
      </c>
      <c r="K116" s="2" t="str">
        <f>IF('Base S1'!H16="","",'Base S1'!H16)</f>
        <v>C 19/25</v>
      </c>
      <c r="L116" s="2">
        <f t="shared" si="13"/>
        <v>1</v>
      </c>
      <c r="M116" s="2">
        <f t="shared" si="14"/>
        <v>0</v>
      </c>
      <c r="N116" s="2">
        <f t="shared" si="15"/>
        <v>1</v>
      </c>
      <c r="O116" s="2">
        <f t="shared" si="16"/>
        <v>0</v>
      </c>
      <c r="P116" s="112">
        <f t="shared" si="17"/>
        <v>40</v>
      </c>
      <c r="Q116" s="112">
        <f t="shared" si="18"/>
        <v>0</v>
      </c>
      <c r="R116" s="53"/>
      <c r="S116" s="53" t="str">
        <f t="shared" si="19"/>
        <v>Base S1|Black Parallel - Season 1|15|Black</v>
      </c>
      <c r="T116" s="57" t="str">
        <f>IF($S116="","",IFERROR(VLOOKUP($S116,'Pop Estimates (Non-#d)'!$N$2:$O$500,2,FALSE),""))</f>
        <v/>
      </c>
      <c r="U116" s="57">
        <f t="shared" si="20"/>
        <v>25</v>
      </c>
      <c r="V116" s="53" t="str">
        <f t="shared" si="21"/>
        <v/>
      </c>
      <c r="W116" s="53" t="str">
        <f t="shared" si="22"/>
        <v/>
      </c>
      <c r="X116" s="53" t="str">
        <f t="shared" si="23"/>
        <v/>
      </c>
      <c r="Y116" s="57" t="str">
        <f>IF($X116="","",IFERROR(VLOOKUP($X116,'Char Popularity'!$A$2:$C$500,2,FALSE),""))</f>
        <v/>
      </c>
      <c r="Z116" s="56">
        <f>IF($X116="",1,IFERROR(VLOOKUP($X116,'Char Popularity'!$A$2:$C$500,3,FALSE),1))</f>
        <v>1</v>
      </c>
      <c r="AA116" s="62">
        <f>IF($H116&lt;&gt;"Y",0,(IF($F116&lt;&gt;"",ROUND(Dashboard!$R$4/$F116,1),IF(AND($I116="Base",$E116="Base"),Dashboard!$R$5,IF(AND($I116="Base",$E116="Red"),Dashboard!$R$6,IF(AND($I116="Base",$E116="Gold"),Dashboard!$R$7,VLOOKUP($I116,Dashboard!$Q$16:$R$21,2,FALSE)))))*VLOOKUP($I116,Dashboard!$Q$9:$R$13,2,FALSE)*IF(AND($I116="Auto",$F116="",OR($B116="Autographs Duals",$B116="Autographs Triples",$B116="Autographs Quads",$B116="Autographs Quads (Inscribed)")),IF($B116="Autographs Duals",2,IF($B116="Autographs Triples",3,4)),1)))</f>
        <v>40</v>
      </c>
      <c r="AB116" s="62">
        <f t="shared" si="24"/>
        <v>40</v>
      </c>
      <c r="AC116" s="62">
        <f t="shared" si="25"/>
        <v>0</v>
      </c>
    </row>
    <row r="117" spans="1:29" ht="28.7" customHeight="1" x14ac:dyDescent="0.25">
      <c r="A117" s="4" t="s">
        <v>17</v>
      </c>
      <c r="B117" s="7" t="s">
        <v>70</v>
      </c>
      <c r="C117" s="2" t="s">
        <v>1415</v>
      </c>
      <c r="D117" s="7" t="s">
        <v>869</v>
      </c>
      <c r="E117" s="4" t="s">
        <v>780</v>
      </c>
      <c r="F117" s="2">
        <v>25</v>
      </c>
      <c r="G117" s="2" t="s">
        <v>1399</v>
      </c>
      <c r="H117" s="2" t="s">
        <v>1400</v>
      </c>
      <c r="I117" s="4" t="s">
        <v>60</v>
      </c>
      <c r="J117" s="112">
        <f>IF($H117&lt;&gt;"Y",0,ROUND(MIN(Dashboard!$R$24,IF(IFERROR(VLOOKUP($B117,Dashboard!$Q$28:$S$60,2,FALSE),0)&gt;0,IFERROR(VLOOKUP($B117,Dashboard!$Q$28:$S$60,2,FALSE),0),$Z117*IF($U117&lt;&gt;"",ROUND((Dashboard!$R$4/$U117)*VLOOKUP($I117,Dashboard!$Q$9:$R$13,2,FALSE)*IF(ISNUMBER(SEARCH("Duals",$B117)),2,IF(ISNUMBER(SEARCH("Triples",$B117)),3,IF(ISNUMBER(SEARCH("Quads",$B117)),4,1))),2),ROUND(VLOOKUP($I117,Dashboard!$Q$15:$R$20,2,FALSE)*IF($E117="Red",Dashboard!$R$6,IF($E117="Gold",Dashboard!$R$7,Dashboard!$R$5))*IF(ISNUMBER(SEARCH("Duals",$B117)),2,IF(ISNUMBER(SEARCH("Triples",$B117)),3,IF(ISNUMBER(SEARCH("Quads",$B117)),4,1))),2))*IF(IFERROR(VLOOKUP($B117,Dashboard!$Q$28:$S$60,3,FALSE),0)&gt;0,VLOOKUP($B117,Dashboard!$Q$28:$S$60,3,FALSE),1))),0))</f>
        <v>40</v>
      </c>
      <c r="K117" s="2" t="str">
        <f>IF('Base S1'!H17="","",'Base S1'!H17)</f>
        <v>C 15/25</v>
      </c>
      <c r="L117" s="2">
        <f t="shared" si="13"/>
        <v>1</v>
      </c>
      <c r="M117" s="2">
        <f t="shared" si="14"/>
        <v>0</v>
      </c>
      <c r="N117" s="2">
        <f t="shared" si="15"/>
        <v>1</v>
      </c>
      <c r="O117" s="2">
        <f t="shared" si="16"/>
        <v>0</v>
      </c>
      <c r="P117" s="112">
        <f t="shared" si="17"/>
        <v>40</v>
      </c>
      <c r="Q117" s="112">
        <f t="shared" si="18"/>
        <v>0</v>
      </c>
      <c r="R117" s="53"/>
      <c r="S117" s="53" t="str">
        <f t="shared" si="19"/>
        <v>Base S1|Black Parallel - Season 1|16|Black</v>
      </c>
      <c r="T117" s="57" t="str">
        <f>IF($S117="","",IFERROR(VLOOKUP($S117,'Pop Estimates (Non-#d)'!$N$2:$O$500,2,FALSE),""))</f>
        <v/>
      </c>
      <c r="U117" s="57">
        <f t="shared" si="20"/>
        <v>25</v>
      </c>
      <c r="V117" s="53" t="str">
        <f t="shared" si="21"/>
        <v/>
      </c>
      <c r="W117" s="53" t="str">
        <f t="shared" si="22"/>
        <v/>
      </c>
      <c r="X117" s="53" t="str">
        <f t="shared" si="23"/>
        <v/>
      </c>
      <c r="Y117" s="57" t="str">
        <f>IF($X117="","",IFERROR(VLOOKUP($X117,'Char Popularity'!$A$2:$C$500,2,FALSE),""))</f>
        <v/>
      </c>
      <c r="Z117" s="56">
        <f>IF($X117="",1,IFERROR(VLOOKUP($X117,'Char Popularity'!$A$2:$C$500,3,FALSE),1))</f>
        <v>1</v>
      </c>
      <c r="AA117" s="62">
        <f>IF($H117&lt;&gt;"Y",0,(IF($F117&lt;&gt;"",ROUND(Dashboard!$R$4/$F117,1),IF(AND($I117="Base",$E117="Base"),Dashboard!$R$5,IF(AND($I117="Base",$E117="Red"),Dashboard!$R$6,IF(AND($I117="Base",$E117="Gold"),Dashboard!$R$7,VLOOKUP($I117,Dashboard!$Q$16:$R$21,2,FALSE)))))*VLOOKUP($I117,Dashboard!$Q$9:$R$13,2,FALSE)*IF(AND($I117="Auto",$F117="",OR($B117="Autographs Duals",$B117="Autographs Triples",$B117="Autographs Quads",$B117="Autographs Quads (Inscribed)")),IF($B117="Autographs Duals",2,IF($B117="Autographs Triples",3,4)),1)))</f>
        <v>40</v>
      </c>
      <c r="AB117" s="62">
        <f t="shared" si="24"/>
        <v>40</v>
      </c>
      <c r="AC117" s="62">
        <f t="shared" si="25"/>
        <v>0</v>
      </c>
    </row>
    <row r="118" spans="1:29" ht="28.7" customHeight="1" x14ac:dyDescent="0.25">
      <c r="A118" s="4" t="s">
        <v>17</v>
      </c>
      <c r="B118" s="7" t="s">
        <v>70</v>
      </c>
      <c r="C118" s="2" t="s">
        <v>1416</v>
      </c>
      <c r="D118" s="7" t="s">
        <v>874</v>
      </c>
      <c r="E118" s="4" t="s">
        <v>780</v>
      </c>
      <c r="F118" s="2">
        <v>25</v>
      </c>
      <c r="G118" s="2" t="s">
        <v>1399</v>
      </c>
      <c r="H118" s="2" t="s">
        <v>1400</v>
      </c>
      <c r="I118" s="4" t="s">
        <v>60</v>
      </c>
      <c r="J118" s="112">
        <f>IF($H118&lt;&gt;"Y",0,ROUND(MIN(Dashboard!$R$24,IF(IFERROR(VLOOKUP($B118,Dashboard!$Q$28:$S$60,2,FALSE),0)&gt;0,IFERROR(VLOOKUP($B118,Dashboard!$Q$28:$S$60,2,FALSE),0),$Z118*IF($U118&lt;&gt;"",ROUND((Dashboard!$R$4/$U118)*VLOOKUP($I118,Dashboard!$Q$9:$R$13,2,FALSE)*IF(ISNUMBER(SEARCH("Duals",$B118)),2,IF(ISNUMBER(SEARCH("Triples",$B118)),3,IF(ISNUMBER(SEARCH("Quads",$B118)),4,1))),2),ROUND(VLOOKUP($I118,Dashboard!$Q$15:$R$20,2,FALSE)*IF($E118="Red",Dashboard!$R$6,IF($E118="Gold",Dashboard!$R$7,Dashboard!$R$5))*IF(ISNUMBER(SEARCH("Duals",$B118)),2,IF(ISNUMBER(SEARCH("Triples",$B118)),3,IF(ISNUMBER(SEARCH("Quads",$B118)),4,1))),2))*IF(IFERROR(VLOOKUP($B118,Dashboard!$Q$28:$S$60,3,FALSE),0)&gt;0,VLOOKUP($B118,Dashboard!$Q$28:$S$60,3,FALSE),1))),0))</f>
        <v>40</v>
      </c>
      <c r="K118" s="2" t="str">
        <f>IF('Base S1'!H18="","",'Base S1'!H18)</f>
        <v>C 20/25</v>
      </c>
      <c r="L118" s="2">
        <f t="shared" si="13"/>
        <v>1</v>
      </c>
      <c r="M118" s="2">
        <f t="shared" si="14"/>
        <v>0</v>
      </c>
      <c r="N118" s="2">
        <f t="shared" si="15"/>
        <v>1</v>
      </c>
      <c r="O118" s="2">
        <f t="shared" si="16"/>
        <v>0</v>
      </c>
      <c r="P118" s="112">
        <f t="shared" si="17"/>
        <v>40</v>
      </c>
      <c r="Q118" s="112">
        <f t="shared" si="18"/>
        <v>0</v>
      </c>
      <c r="R118" s="53"/>
      <c r="S118" s="53" t="str">
        <f t="shared" si="19"/>
        <v>Base S1|Black Parallel - Season 1|17|Black</v>
      </c>
      <c r="T118" s="57" t="str">
        <f>IF($S118="","",IFERROR(VLOOKUP($S118,'Pop Estimates (Non-#d)'!$N$2:$O$500,2,FALSE),""))</f>
        <v/>
      </c>
      <c r="U118" s="57">
        <f t="shared" si="20"/>
        <v>25</v>
      </c>
      <c r="V118" s="53" t="str">
        <f t="shared" si="21"/>
        <v/>
      </c>
      <c r="W118" s="53" t="str">
        <f t="shared" si="22"/>
        <v/>
      </c>
      <c r="X118" s="53" t="str">
        <f t="shared" si="23"/>
        <v/>
      </c>
      <c r="Y118" s="57" t="str">
        <f>IF($X118="","",IFERROR(VLOOKUP($X118,'Char Popularity'!$A$2:$C$500,2,FALSE),""))</f>
        <v/>
      </c>
      <c r="Z118" s="56">
        <f>IF($X118="",1,IFERROR(VLOOKUP($X118,'Char Popularity'!$A$2:$C$500,3,FALSE),1))</f>
        <v>1</v>
      </c>
      <c r="AA118" s="62">
        <f>IF($H118&lt;&gt;"Y",0,(IF($F118&lt;&gt;"",ROUND(Dashboard!$R$4/$F118,1),IF(AND($I118="Base",$E118="Base"),Dashboard!$R$5,IF(AND($I118="Base",$E118="Red"),Dashboard!$R$6,IF(AND($I118="Base",$E118="Gold"),Dashboard!$R$7,VLOOKUP($I118,Dashboard!$Q$16:$R$21,2,FALSE)))))*VLOOKUP($I118,Dashboard!$Q$9:$R$13,2,FALSE)*IF(AND($I118="Auto",$F118="",OR($B118="Autographs Duals",$B118="Autographs Triples",$B118="Autographs Quads",$B118="Autographs Quads (Inscribed)")),IF($B118="Autographs Duals",2,IF($B118="Autographs Triples",3,4)),1)))</f>
        <v>40</v>
      </c>
      <c r="AB118" s="62">
        <f t="shared" si="24"/>
        <v>40</v>
      </c>
      <c r="AC118" s="62">
        <f t="shared" si="25"/>
        <v>0</v>
      </c>
    </row>
    <row r="119" spans="1:29" ht="28.7" customHeight="1" x14ac:dyDescent="0.25">
      <c r="A119" s="4" t="s">
        <v>17</v>
      </c>
      <c r="B119" s="7" t="s">
        <v>70</v>
      </c>
      <c r="C119" s="2" t="s">
        <v>1417</v>
      </c>
      <c r="D119" s="7" t="s">
        <v>877</v>
      </c>
      <c r="E119" s="4" t="s">
        <v>780</v>
      </c>
      <c r="F119" s="2">
        <v>25</v>
      </c>
      <c r="G119" s="2" t="s">
        <v>1399</v>
      </c>
      <c r="H119" s="2" t="s">
        <v>1400</v>
      </c>
      <c r="I119" s="4" t="s">
        <v>60</v>
      </c>
      <c r="J119" s="112">
        <f>IF($H119&lt;&gt;"Y",0,ROUND(MIN(Dashboard!$R$24,IF(IFERROR(VLOOKUP($B119,Dashboard!$Q$28:$S$60,2,FALSE),0)&gt;0,IFERROR(VLOOKUP($B119,Dashboard!$Q$28:$S$60,2,FALSE),0),$Z119*IF($U119&lt;&gt;"",ROUND((Dashboard!$R$4/$U119)*VLOOKUP($I119,Dashboard!$Q$9:$R$13,2,FALSE)*IF(ISNUMBER(SEARCH("Duals",$B119)),2,IF(ISNUMBER(SEARCH("Triples",$B119)),3,IF(ISNUMBER(SEARCH("Quads",$B119)),4,1))),2),ROUND(VLOOKUP($I119,Dashboard!$Q$15:$R$20,2,FALSE)*IF($E119="Red",Dashboard!$R$6,IF($E119="Gold",Dashboard!$R$7,Dashboard!$R$5))*IF(ISNUMBER(SEARCH("Duals",$B119)),2,IF(ISNUMBER(SEARCH("Triples",$B119)),3,IF(ISNUMBER(SEARCH("Quads",$B119)),4,1))),2))*IF(IFERROR(VLOOKUP($B119,Dashboard!$Q$28:$S$60,3,FALSE),0)&gt;0,VLOOKUP($B119,Dashboard!$Q$28:$S$60,3,FALSE),1))),0))</f>
        <v>40</v>
      </c>
      <c r="K119" s="2" t="str">
        <f>IF('Base S1'!H19="","",'Base S1'!H19)</f>
        <v/>
      </c>
      <c r="L119" s="2">
        <f t="shared" si="13"/>
        <v>0</v>
      </c>
      <c r="M119" s="2">
        <f t="shared" si="14"/>
        <v>0</v>
      </c>
      <c r="N119" s="2">
        <f t="shared" si="15"/>
        <v>0</v>
      </c>
      <c r="O119" s="2">
        <f t="shared" si="16"/>
        <v>1</v>
      </c>
      <c r="P119" s="112">
        <f t="shared" si="17"/>
        <v>0</v>
      </c>
      <c r="Q119" s="112">
        <f t="shared" si="18"/>
        <v>0</v>
      </c>
      <c r="R119" s="53"/>
      <c r="S119" s="53" t="str">
        <f t="shared" si="19"/>
        <v>Base S1|Black Parallel - Season 1|18|Black</v>
      </c>
      <c r="T119" s="57" t="str">
        <f>IF($S119="","",IFERROR(VLOOKUP($S119,'Pop Estimates (Non-#d)'!$N$2:$O$500,2,FALSE),""))</f>
        <v/>
      </c>
      <c r="U119" s="57">
        <f t="shared" si="20"/>
        <v>25</v>
      </c>
      <c r="V119" s="53" t="str">
        <f t="shared" si="21"/>
        <v/>
      </c>
      <c r="W119" s="53" t="str">
        <f t="shared" si="22"/>
        <v/>
      </c>
      <c r="X119" s="53" t="str">
        <f t="shared" si="23"/>
        <v/>
      </c>
      <c r="Y119" s="57" t="str">
        <f>IF($X119="","",IFERROR(VLOOKUP($X119,'Char Popularity'!$A$2:$C$500,2,FALSE),""))</f>
        <v/>
      </c>
      <c r="Z119" s="56">
        <f>IF($X119="",1,IFERROR(VLOOKUP($X119,'Char Popularity'!$A$2:$C$500,3,FALSE),1))</f>
        <v>1</v>
      </c>
      <c r="AA119" s="62">
        <f>IF($H119&lt;&gt;"Y",0,(IF($F119&lt;&gt;"",ROUND(Dashboard!$R$4/$F119,1),IF(AND($I119="Base",$E119="Base"),Dashboard!$R$5,IF(AND($I119="Base",$E119="Red"),Dashboard!$R$6,IF(AND($I119="Base",$E119="Gold"),Dashboard!$R$7,VLOOKUP($I119,Dashboard!$Q$16:$R$21,2,FALSE)))))*VLOOKUP($I119,Dashboard!$Q$9:$R$13,2,FALSE)*IF(AND($I119="Auto",$F119="",OR($B119="Autographs Duals",$B119="Autographs Triples",$B119="Autographs Quads",$B119="Autographs Quads (Inscribed)")),IF($B119="Autographs Duals",2,IF($B119="Autographs Triples",3,4)),1)))</f>
        <v>40</v>
      </c>
      <c r="AB119" s="62">
        <f t="shared" si="24"/>
        <v>0</v>
      </c>
      <c r="AC119" s="62">
        <f t="shared" si="25"/>
        <v>0</v>
      </c>
    </row>
    <row r="120" spans="1:29" ht="28.7" customHeight="1" x14ac:dyDescent="0.25">
      <c r="A120" s="4" t="s">
        <v>17</v>
      </c>
      <c r="B120" s="7" t="s">
        <v>70</v>
      </c>
      <c r="C120" s="2" t="s">
        <v>1418</v>
      </c>
      <c r="D120" s="7" t="s">
        <v>879</v>
      </c>
      <c r="E120" s="4" t="s">
        <v>780</v>
      </c>
      <c r="F120" s="2">
        <v>25</v>
      </c>
      <c r="G120" s="2" t="s">
        <v>1399</v>
      </c>
      <c r="H120" s="2" t="s">
        <v>1400</v>
      </c>
      <c r="I120" s="4" t="s">
        <v>60</v>
      </c>
      <c r="J120" s="112">
        <f>IF($H120&lt;&gt;"Y",0,ROUND(MIN(Dashboard!$R$24,IF(IFERROR(VLOOKUP($B120,Dashboard!$Q$28:$S$60,2,FALSE),0)&gt;0,IFERROR(VLOOKUP($B120,Dashboard!$Q$28:$S$60,2,FALSE),0),$Z120*IF($U120&lt;&gt;"",ROUND((Dashboard!$R$4/$U120)*VLOOKUP($I120,Dashboard!$Q$9:$R$13,2,FALSE)*IF(ISNUMBER(SEARCH("Duals",$B120)),2,IF(ISNUMBER(SEARCH("Triples",$B120)),3,IF(ISNUMBER(SEARCH("Quads",$B120)),4,1))),2),ROUND(VLOOKUP($I120,Dashboard!$Q$15:$R$20,2,FALSE)*IF($E120="Red",Dashboard!$R$6,IF($E120="Gold",Dashboard!$R$7,Dashboard!$R$5))*IF(ISNUMBER(SEARCH("Duals",$B120)),2,IF(ISNUMBER(SEARCH("Triples",$B120)),3,IF(ISNUMBER(SEARCH("Quads",$B120)),4,1))),2))*IF(IFERROR(VLOOKUP($B120,Dashboard!$Q$28:$S$60,3,FALSE),0)&gt;0,VLOOKUP($B120,Dashboard!$Q$28:$S$60,3,FALSE),1))),0))</f>
        <v>40</v>
      </c>
      <c r="K120" s="2" t="str">
        <f>IF('Base S1'!H20="","",'Base S1'!H20)</f>
        <v/>
      </c>
      <c r="L120" s="2">
        <f t="shared" si="13"/>
        <v>0</v>
      </c>
      <c r="M120" s="2">
        <f t="shared" si="14"/>
        <v>0</v>
      </c>
      <c r="N120" s="2">
        <f t="shared" si="15"/>
        <v>0</v>
      </c>
      <c r="O120" s="2">
        <f t="shared" si="16"/>
        <v>1</v>
      </c>
      <c r="P120" s="112">
        <f t="shared" si="17"/>
        <v>0</v>
      </c>
      <c r="Q120" s="112">
        <f t="shared" si="18"/>
        <v>0</v>
      </c>
      <c r="R120" s="53"/>
      <c r="S120" s="53" t="str">
        <f t="shared" si="19"/>
        <v>Base S1|Black Parallel - Season 1|19|Black</v>
      </c>
      <c r="T120" s="57" t="str">
        <f>IF($S120="","",IFERROR(VLOOKUP($S120,'Pop Estimates (Non-#d)'!$N$2:$O$500,2,FALSE),""))</f>
        <v/>
      </c>
      <c r="U120" s="57">
        <f t="shared" si="20"/>
        <v>25</v>
      </c>
      <c r="V120" s="53" t="str">
        <f t="shared" si="21"/>
        <v/>
      </c>
      <c r="W120" s="53" t="str">
        <f t="shared" si="22"/>
        <v/>
      </c>
      <c r="X120" s="53" t="str">
        <f t="shared" si="23"/>
        <v/>
      </c>
      <c r="Y120" s="57" t="str">
        <f>IF($X120="","",IFERROR(VLOOKUP($X120,'Char Popularity'!$A$2:$C$500,2,FALSE),""))</f>
        <v/>
      </c>
      <c r="Z120" s="56">
        <f>IF($X120="",1,IFERROR(VLOOKUP($X120,'Char Popularity'!$A$2:$C$500,3,FALSE),1))</f>
        <v>1</v>
      </c>
      <c r="AA120" s="62">
        <f>IF($H120&lt;&gt;"Y",0,(IF($F120&lt;&gt;"",ROUND(Dashboard!$R$4/$F120,1),IF(AND($I120="Base",$E120="Base"),Dashboard!$R$5,IF(AND($I120="Base",$E120="Red"),Dashboard!$R$6,IF(AND($I120="Base",$E120="Gold"),Dashboard!$R$7,VLOOKUP($I120,Dashboard!$Q$16:$R$21,2,FALSE)))))*VLOOKUP($I120,Dashboard!$Q$9:$R$13,2,FALSE)*IF(AND($I120="Auto",$F120="",OR($B120="Autographs Duals",$B120="Autographs Triples",$B120="Autographs Quads",$B120="Autographs Quads (Inscribed)")),IF($B120="Autographs Duals",2,IF($B120="Autographs Triples",3,4)),1)))</f>
        <v>40</v>
      </c>
      <c r="AB120" s="62">
        <f t="shared" si="24"/>
        <v>0</v>
      </c>
      <c r="AC120" s="62">
        <f t="shared" si="25"/>
        <v>0</v>
      </c>
    </row>
    <row r="121" spans="1:29" ht="28.7" customHeight="1" x14ac:dyDescent="0.25">
      <c r="A121" s="4" t="s">
        <v>17</v>
      </c>
      <c r="B121" s="7" t="s">
        <v>70</v>
      </c>
      <c r="C121" s="2" t="s">
        <v>1419</v>
      </c>
      <c r="D121" s="7" t="s">
        <v>881</v>
      </c>
      <c r="E121" s="4" t="s">
        <v>780</v>
      </c>
      <c r="F121" s="2">
        <v>25</v>
      </c>
      <c r="G121" s="2" t="s">
        <v>1399</v>
      </c>
      <c r="H121" s="2" t="s">
        <v>1400</v>
      </c>
      <c r="I121" s="4" t="s">
        <v>60</v>
      </c>
      <c r="J121" s="112">
        <f>IF($H121&lt;&gt;"Y",0,ROUND(MIN(Dashboard!$R$24,IF(IFERROR(VLOOKUP($B121,Dashboard!$Q$28:$S$60,2,FALSE),0)&gt;0,IFERROR(VLOOKUP($B121,Dashboard!$Q$28:$S$60,2,FALSE),0),$Z121*IF($U121&lt;&gt;"",ROUND((Dashboard!$R$4/$U121)*VLOOKUP($I121,Dashboard!$Q$9:$R$13,2,FALSE)*IF(ISNUMBER(SEARCH("Duals",$B121)),2,IF(ISNUMBER(SEARCH("Triples",$B121)),3,IF(ISNUMBER(SEARCH("Quads",$B121)),4,1))),2),ROUND(VLOOKUP($I121,Dashboard!$Q$15:$R$20,2,FALSE)*IF($E121="Red",Dashboard!$R$6,IF($E121="Gold",Dashboard!$R$7,Dashboard!$R$5))*IF(ISNUMBER(SEARCH("Duals",$B121)),2,IF(ISNUMBER(SEARCH("Triples",$B121)),3,IF(ISNUMBER(SEARCH("Quads",$B121)),4,1))),2))*IF(IFERROR(VLOOKUP($B121,Dashboard!$Q$28:$S$60,3,FALSE),0)&gt;0,VLOOKUP($B121,Dashboard!$Q$28:$S$60,3,FALSE),1))),0))</f>
        <v>40</v>
      </c>
      <c r="K121" s="2" t="str">
        <f>IF('Base S1'!H21="","",'Base S1'!H21)</f>
        <v>C 15/25</v>
      </c>
      <c r="L121" s="2">
        <f t="shared" si="13"/>
        <v>1</v>
      </c>
      <c r="M121" s="2">
        <f t="shared" si="14"/>
        <v>0</v>
      </c>
      <c r="N121" s="2">
        <f t="shared" si="15"/>
        <v>1</v>
      </c>
      <c r="O121" s="2">
        <f t="shared" si="16"/>
        <v>0</v>
      </c>
      <c r="P121" s="112">
        <f t="shared" si="17"/>
        <v>40</v>
      </c>
      <c r="Q121" s="112">
        <f t="shared" si="18"/>
        <v>0</v>
      </c>
      <c r="R121" s="53"/>
      <c r="S121" s="53" t="str">
        <f t="shared" si="19"/>
        <v>Base S1|Black Parallel - Season 1|20|Black</v>
      </c>
      <c r="T121" s="57" t="str">
        <f>IF($S121="","",IFERROR(VLOOKUP($S121,'Pop Estimates (Non-#d)'!$N$2:$O$500,2,FALSE),""))</f>
        <v/>
      </c>
      <c r="U121" s="57">
        <f t="shared" si="20"/>
        <v>25</v>
      </c>
      <c r="V121" s="53" t="str">
        <f t="shared" si="21"/>
        <v/>
      </c>
      <c r="W121" s="53" t="str">
        <f t="shared" si="22"/>
        <v/>
      </c>
      <c r="X121" s="53" t="str">
        <f t="shared" si="23"/>
        <v/>
      </c>
      <c r="Y121" s="57" t="str">
        <f>IF($X121="","",IFERROR(VLOOKUP($X121,'Char Popularity'!$A$2:$C$500,2,FALSE),""))</f>
        <v/>
      </c>
      <c r="Z121" s="56">
        <f>IF($X121="",1,IFERROR(VLOOKUP($X121,'Char Popularity'!$A$2:$C$500,3,FALSE),1))</f>
        <v>1</v>
      </c>
      <c r="AA121" s="62">
        <f>IF($H121&lt;&gt;"Y",0,(IF($F121&lt;&gt;"",ROUND(Dashboard!$R$4/$F121,1),IF(AND($I121="Base",$E121="Base"),Dashboard!$R$5,IF(AND($I121="Base",$E121="Red"),Dashboard!$R$6,IF(AND($I121="Base",$E121="Gold"),Dashboard!$R$7,VLOOKUP($I121,Dashboard!$Q$16:$R$21,2,FALSE)))))*VLOOKUP($I121,Dashboard!$Q$9:$R$13,2,FALSE)*IF(AND($I121="Auto",$F121="",OR($B121="Autographs Duals",$B121="Autographs Triples",$B121="Autographs Quads",$B121="Autographs Quads (Inscribed)")),IF($B121="Autographs Duals",2,IF($B121="Autographs Triples",3,4)),1)))</f>
        <v>40</v>
      </c>
      <c r="AB121" s="62">
        <f t="shared" si="24"/>
        <v>40</v>
      </c>
      <c r="AC121" s="62">
        <f t="shared" si="25"/>
        <v>0</v>
      </c>
    </row>
    <row r="122" spans="1:29" ht="28.7" customHeight="1" x14ac:dyDescent="0.25">
      <c r="A122" s="4" t="s">
        <v>17</v>
      </c>
      <c r="B122" s="7" t="s">
        <v>70</v>
      </c>
      <c r="C122" s="2" t="s">
        <v>1420</v>
      </c>
      <c r="D122" s="7" t="s">
        <v>883</v>
      </c>
      <c r="E122" s="4" t="s">
        <v>780</v>
      </c>
      <c r="F122" s="2">
        <v>25</v>
      </c>
      <c r="G122" s="2" t="s">
        <v>1399</v>
      </c>
      <c r="H122" s="2" t="s">
        <v>1400</v>
      </c>
      <c r="I122" s="4" t="s">
        <v>60</v>
      </c>
      <c r="J122" s="112">
        <f>IF($H122&lt;&gt;"Y",0,ROUND(MIN(Dashboard!$R$24,IF(IFERROR(VLOOKUP($B122,Dashboard!$Q$28:$S$60,2,FALSE),0)&gt;0,IFERROR(VLOOKUP($B122,Dashboard!$Q$28:$S$60,2,FALSE),0),$Z122*IF($U122&lt;&gt;"",ROUND((Dashboard!$R$4/$U122)*VLOOKUP($I122,Dashboard!$Q$9:$R$13,2,FALSE)*IF(ISNUMBER(SEARCH("Duals",$B122)),2,IF(ISNUMBER(SEARCH("Triples",$B122)),3,IF(ISNUMBER(SEARCH("Quads",$B122)),4,1))),2),ROUND(VLOOKUP($I122,Dashboard!$Q$15:$R$20,2,FALSE)*IF($E122="Red",Dashboard!$R$6,IF($E122="Gold",Dashboard!$R$7,Dashboard!$R$5))*IF(ISNUMBER(SEARCH("Duals",$B122)),2,IF(ISNUMBER(SEARCH("Triples",$B122)),3,IF(ISNUMBER(SEARCH("Quads",$B122)),4,1))),2))*IF(IFERROR(VLOOKUP($B122,Dashboard!$Q$28:$S$60,3,FALSE),0)&gt;0,VLOOKUP($B122,Dashboard!$Q$28:$S$60,3,FALSE),1))),0))</f>
        <v>40</v>
      </c>
      <c r="K122" s="2" t="str">
        <f>IF('Base S1'!H22="","",'Base S1'!H22)</f>
        <v/>
      </c>
      <c r="L122" s="2">
        <f t="shared" si="13"/>
        <v>0</v>
      </c>
      <c r="M122" s="2">
        <f t="shared" si="14"/>
        <v>0</v>
      </c>
      <c r="N122" s="2">
        <f t="shared" si="15"/>
        <v>0</v>
      </c>
      <c r="O122" s="2">
        <f t="shared" si="16"/>
        <v>1</v>
      </c>
      <c r="P122" s="112">
        <f t="shared" si="17"/>
        <v>0</v>
      </c>
      <c r="Q122" s="112">
        <f t="shared" si="18"/>
        <v>0</v>
      </c>
      <c r="R122" s="53"/>
      <c r="S122" s="53" t="str">
        <f t="shared" si="19"/>
        <v>Base S1|Black Parallel - Season 1|21|Black</v>
      </c>
      <c r="T122" s="57" t="str">
        <f>IF($S122="","",IFERROR(VLOOKUP($S122,'Pop Estimates (Non-#d)'!$N$2:$O$500,2,FALSE),""))</f>
        <v/>
      </c>
      <c r="U122" s="57">
        <f t="shared" si="20"/>
        <v>25</v>
      </c>
      <c r="V122" s="53" t="str">
        <f t="shared" si="21"/>
        <v/>
      </c>
      <c r="W122" s="53" t="str">
        <f t="shared" si="22"/>
        <v/>
      </c>
      <c r="X122" s="53" t="str">
        <f t="shared" si="23"/>
        <v/>
      </c>
      <c r="Y122" s="57" t="str">
        <f>IF($X122="","",IFERROR(VLOOKUP($X122,'Char Popularity'!$A$2:$C$500,2,FALSE),""))</f>
        <v/>
      </c>
      <c r="Z122" s="56">
        <f>IF($X122="",1,IFERROR(VLOOKUP($X122,'Char Popularity'!$A$2:$C$500,3,FALSE),1))</f>
        <v>1</v>
      </c>
      <c r="AA122" s="62">
        <f>IF($H122&lt;&gt;"Y",0,(IF($F122&lt;&gt;"",ROUND(Dashboard!$R$4/$F122,1),IF(AND($I122="Base",$E122="Base"),Dashboard!$R$5,IF(AND($I122="Base",$E122="Red"),Dashboard!$R$6,IF(AND($I122="Base",$E122="Gold"),Dashboard!$R$7,VLOOKUP($I122,Dashboard!$Q$16:$R$21,2,FALSE)))))*VLOOKUP($I122,Dashboard!$Q$9:$R$13,2,FALSE)*IF(AND($I122="Auto",$F122="",OR($B122="Autographs Duals",$B122="Autographs Triples",$B122="Autographs Quads",$B122="Autographs Quads (Inscribed)")),IF($B122="Autographs Duals",2,IF($B122="Autographs Triples",3,4)),1)))</f>
        <v>40</v>
      </c>
      <c r="AB122" s="62">
        <f t="shared" si="24"/>
        <v>0</v>
      </c>
      <c r="AC122" s="62">
        <f t="shared" si="25"/>
        <v>0</v>
      </c>
    </row>
    <row r="123" spans="1:29" ht="28.7" customHeight="1" x14ac:dyDescent="0.25">
      <c r="A123" s="4" t="s">
        <v>17</v>
      </c>
      <c r="B123" s="7" t="s">
        <v>70</v>
      </c>
      <c r="C123" s="2" t="s">
        <v>1421</v>
      </c>
      <c r="D123" s="7" t="s">
        <v>885</v>
      </c>
      <c r="E123" s="4" t="s">
        <v>780</v>
      </c>
      <c r="F123" s="2">
        <v>25</v>
      </c>
      <c r="G123" s="2" t="s">
        <v>1399</v>
      </c>
      <c r="H123" s="2" t="s">
        <v>1400</v>
      </c>
      <c r="I123" s="4" t="s">
        <v>60</v>
      </c>
      <c r="J123" s="112">
        <f>IF($H123&lt;&gt;"Y",0,ROUND(MIN(Dashboard!$R$24,IF(IFERROR(VLOOKUP($B123,Dashboard!$Q$28:$S$60,2,FALSE),0)&gt;0,IFERROR(VLOOKUP($B123,Dashboard!$Q$28:$S$60,2,FALSE),0),$Z123*IF($U123&lt;&gt;"",ROUND((Dashboard!$R$4/$U123)*VLOOKUP($I123,Dashboard!$Q$9:$R$13,2,FALSE)*IF(ISNUMBER(SEARCH("Duals",$B123)),2,IF(ISNUMBER(SEARCH("Triples",$B123)),3,IF(ISNUMBER(SEARCH("Quads",$B123)),4,1))),2),ROUND(VLOOKUP($I123,Dashboard!$Q$15:$R$20,2,FALSE)*IF($E123="Red",Dashboard!$R$6,IF($E123="Gold",Dashboard!$R$7,Dashboard!$R$5))*IF(ISNUMBER(SEARCH("Duals",$B123)),2,IF(ISNUMBER(SEARCH("Triples",$B123)),3,IF(ISNUMBER(SEARCH("Quads",$B123)),4,1))),2))*IF(IFERROR(VLOOKUP($B123,Dashboard!$Q$28:$S$60,3,FALSE),0)&gt;0,VLOOKUP($B123,Dashboard!$Q$28:$S$60,3,FALSE),1))),0))</f>
        <v>40</v>
      </c>
      <c r="K123" s="2" t="str">
        <f>IF('Base S1'!H23="","",'Base S1'!H23)</f>
        <v/>
      </c>
      <c r="L123" s="2">
        <f t="shared" si="13"/>
        <v>0</v>
      </c>
      <c r="M123" s="2">
        <f t="shared" si="14"/>
        <v>0</v>
      </c>
      <c r="N123" s="2">
        <f t="shared" si="15"/>
        <v>0</v>
      </c>
      <c r="O123" s="2">
        <f t="shared" si="16"/>
        <v>1</v>
      </c>
      <c r="P123" s="112">
        <f t="shared" si="17"/>
        <v>0</v>
      </c>
      <c r="Q123" s="112">
        <f t="shared" si="18"/>
        <v>0</v>
      </c>
      <c r="R123" s="53"/>
      <c r="S123" s="53" t="str">
        <f t="shared" si="19"/>
        <v>Base S1|Black Parallel - Season 1|22|Black</v>
      </c>
      <c r="T123" s="57" t="str">
        <f>IF($S123="","",IFERROR(VLOOKUP($S123,'Pop Estimates (Non-#d)'!$N$2:$O$500,2,FALSE),""))</f>
        <v/>
      </c>
      <c r="U123" s="57">
        <f t="shared" si="20"/>
        <v>25</v>
      </c>
      <c r="V123" s="53" t="str">
        <f t="shared" si="21"/>
        <v/>
      </c>
      <c r="W123" s="53" t="str">
        <f t="shared" si="22"/>
        <v/>
      </c>
      <c r="X123" s="53" t="str">
        <f t="shared" si="23"/>
        <v/>
      </c>
      <c r="Y123" s="57" t="str">
        <f>IF($X123="","",IFERROR(VLOOKUP($X123,'Char Popularity'!$A$2:$C$500,2,FALSE),""))</f>
        <v/>
      </c>
      <c r="Z123" s="56">
        <f>IF($X123="",1,IFERROR(VLOOKUP($X123,'Char Popularity'!$A$2:$C$500,3,FALSE),1))</f>
        <v>1</v>
      </c>
      <c r="AA123" s="62">
        <f>IF($H123&lt;&gt;"Y",0,(IF($F123&lt;&gt;"",ROUND(Dashboard!$R$4/$F123,1),IF(AND($I123="Base",$E123="Base"),Dashboard!$R$5,IF(AND($I123="Base",$E123="Red"),Dashboard!$R$6,IF(AND($I123="Base",$E123="Gold"),Dashboard!$R$7,VLOOKUP($I123,Dashboard!$Q$16:$R$21,2,FALSE)))))*VLOOKUP($I123,Dashboard!$Q$9:$R$13,2,FALSE)*IF(AND($I123="Auto",$F123="",OR($B123="Autographs Duals",$B123="Autographs Triples",$B123="Autographs Quads",$B123="Autographs Quads (Inscribed)")),IF($B123="Autographs Duals",2,IF($B123="Autographs Triples",3,4)),1)))</f>
        <v>40</v>
      </c>
      <c r="AB123" s="62">
        <f t="shared" si="24"/>
        <v>0</v>
      </c>
      <c r="AC123" s="62">
        <f t="shared" si="25"/>
        <v>0</v>
      </c>
    </row>
    <row r="124" spans="1:29" ht="28.7" customHeight="1" x14ac:dyDescent="0.25">
      <c r="A124" s="4" t="s">
        <v>17</v>
      </c>
      <c r="B124" s="7" t="s">
        <v>70</v>
      </c>
      <c r="C124" s="2" t="s">
        <v>1422</v>
      </c>
      <c r="D124" s="7" t="s">
        <v>888</v>
      </c>
      <c r="E124" s="4" t="s">
        <v>780</v>
      </c>
      <c r="F124" s="2">
        <v>25</v>
      </c>
      <c r="G124" s="2" t="s">
        <v>1399</v>
      </c>
      <c r="H124" s="2" t="s">
        <v>1400</v>
      </c>
      <c r="I124" s="4" t="s">
        <v>60</v>
      </c>
      <c r="J124" s="112">
        <f>IF($H124&lt;&gt;"Y",0,ROUND(MIN(Dashboard!$R$24,IF(IFERROR(VLOOKUP($B124,Dashboard!$Q$28:$S$60,2,FALSE),0)&gt;0,IFERROR(VLOOKUP($B124,Dashboard!$Q$28:$S$60,2,FALSE),0),$Z124*IF($U124&lt;&gt;"",ROUND((Dashboard!$R$4/$U124)*VLOOKUP($I124,Dashboard!$Q$9:$R$13,2,FALSE)*IF(ISNUMBER(SEARCH("Duals",$B124)),2,IF(ISNUMBER(SEARCH("Triples",$B124)),3,IF(ISNUMBER(SEARCH("Quads",$B124)),4,1))),2),ROUND(VLOOKUP($I124,Dashboard!$Q$15:$R$20,2,FALSE)*IF($E124="Red",Dashboard!$R$6,IF($E124="Gold",Dashboard!$R$7,Dashboard!$R$5))*IF(ISNUMBER(SEARCH("Duals",$B124)),2,IF(ISNUMBER(SEARCH("Triples",$B124)),3,IF(ISNUMBER(SEARCH("Quads",$B124)),4,1))),2))*IF(IFERROR(VLOOKUP($B124,Dashboard!$Q$28:$S$60,3,FALSE),0)&gt;0,VLOOKUP($B124,Dashboard!$Q$28:$S$60,3,FALSE),1))),0))</f>
        <v>40</v>
      </c>
      <c r="K124" s="2" t="str">
        <f>IF('Base S1'!H24="","",'Base S1'!H24)</f>
        <v/>
      </c>
      <c r="L124" s="2">
        <f t="shared" si="13"/>
        <v>0</v>
      </c>
      <c r="M124" s="2">
        <f t="shared" si="14"/>
        <v>0</v>
      </c>
      <c r="N124" s="2">
        <f t="shared" si="15"/>
        <v>0</v>
      </c>
      <c r="O124" s="2">
        <f t="shared" si="16"/>
        <v>1</v>
      </c>
      <c r="P124" s="112">
        <f t="shared" si="17"/>
        <v>0</v>
      </c>
      <c r="Q124" s="112">
        <f t="shared" si="18"/>
        <v>0</v>
      </c>
      <c r="R124" s="53"/>
      <c r="S124" s="53" t="str">
        <f t="shared" si="19"/>
        <v>Base S1|Black Parallel - Season 1|23|Black</v>
      </c>
      <c r="T124" s="57" t="str">
        <f>IF($S124="","",IFERROR(VLOOKUP($S124,'Pop Estimates (Non-#d)'!$N$2:$O$500,2,FALSE),""))</f>
        <v/>
      </c>
      <c r="U124" s="57">
        <f t="shared" si="20"/>
        <v>25</v>
      </c>
      <c r="V124" s="53" t="str">
        <f t="shared" si="21"/>
        <v/>
      </c>
      <c r="W124" s="53" t="str">
        <f t="shared" si="22"/>
        <v/>
      </c>
      <c r="X124" s="53" t="str">
        <f t="shared" si="23"/>
        <v/>
      </c>
      <c r="Y124" s="57" t="str">
        <f>IF($X124="","",IFERROR(VLOOKUP($X124,'Char Popularity'!$A$2:$C$500,2,FALSE),""))</f>
        <v/>
      </c>
      <c r="Z124" s="56">
        <f>IF($X124="",1,IFERROR(VLOOKUP($X124,'Char Popularity'!$A$2:$C$500,3,FALSE),1))</f>
        <v>1</v>
      </c>
      <c r="AA124" s="62">
        <f>IF($H124&lt;&gt;"Y",0,(IF($F124&lt;&gt;"",ROUND(Dashboard!$R$4/$F124,1),IF(AND($I124="Base",$E124="Base"),Dashboard!$R$5,IF(AND($I124="Base",$E124="Red"),Dashboard!$R$6,IF(AND($I124="Base",$E124="Gold"),Dashboard!$R$7,VLOOKUP($I124,Dashboard!$Q$16:$R$21,2,FALSE)))))*VLOOKUP($I124,Dashboard!$Q$9:$R$13,2,FALSE)*IF(AND($I124="Auto",$F124="",OR($B124="Autographs Duals",$B124="Autographs Triples",$B124="Autographs Quads",$B124="Autographs Quads (Inscribed)")),IF($B124="Autographs Duals",2,IF($B124="Autographs Triples",3,4)),1)))</f>
        <v>40</v>
      </c>
      <c r="AB124" s="62">
        <f t="shared" si="24"/>
        <v>0</v>
      </c>
      <c r="AC124" s="62">
        <f t="shared" si="25"/>
        <v>0</v>
      </c>
    </row>
    <row r="125" spans="1:29" ht="28.7" customHeight="1" x14ac:dyDescent="0.25">
      <c r="A125" s="4" t="s">
        <v>17</v>
      </c>
      <c r="B125" s="7" t="s">
        <v>70</v>
      </c>
      <c r="C125" s="2" t="s">
        <v>1423</v>
      </c>
      <c r="D125" s="7" t="s">
        <v>890</v>
      </c>
      <c r="E125" s="4" t="s">
        <v>780</v>
      </c>
      <c r="F125" s="2">
        <v>25</v>
      </c>
      <c r="G125" s="2" t="s">
        <v>1399</v>
      </c>
      <c r="H125" s="2" t="s">
        <v>1400</v>
      </c>
      <c r="I125" s="4" t="s">
        <v>60</v>
      </c>
      <c r="J125" s="112">
        <f>IF($H125&lt;&gt;"Y",0,ROUND(MIN(Dashboard!$R$24,IF(IFERROR(VLOOKUP($B125,Dashboard!$Q$28:$S$60,2,FALSE),0)&gt;0,IFERROR(VLOOKUP($B125,Dashboard!$Q$28:$S$60,2,FALSE),0),$Z125*IF($U125&lt;&gt;"",ROUND((Dashboard!$R$4/$U125)*VLOOKUP($I125,Dashboard!$Q$9:$R$13,2,FALSE)*IF(ISNUMBER(SEARCH("Duals",$B125)),2,IF(ISNUMBER(SEARCH("Triples",$B125)),3,IF(ISNUMBER(SEARCH("Quads",$B125)),4,1))),2),ROUND(VLOOKUP($I125,Dashboard!$Q$15:$R$20,2,FALSE)*IF($E125="Red",Dashboard!$R$6,IF($E125="Gold",Dashboard!$R$7,Dashboard!$R$5))*IF(ISNUMBER(SEARCH("Duals",$B125)),2,IF(ISNUMBER(SEARCH("Triples",$B125)),3,IF(ISNUMBER(SEARCH("Quads",$B125)),4,1))),2))*IF(IFERROR(VLOOKUP($B125,Dashboard!$Q$28:$S$60,3,FALSE),0)&gt;0,VLOOKUP($B125,Dashboard!$Q$28:$S$60,3,FALSE),1))),0))</f>
        <v>40</v>
      </c>
      <c r="K125" s="2" t="str">
        <f>IF('Base S1'!H25="","",'Base S1'!H25)</f>
        <v/>
      </c>
      <c r="L125" s="2">
        <f t="shared" si="13"/>
        <v>0</v>
      </c>
      <c r="M125" s="2">
        <f t="shared" si="14"/>
        <v>0</v>
      </c>
      <c r="N125" s="2">
        <f t="shared" si="15"/>
        <v>0</v>
      </c>
      <c r="O125" s="2">
        <f t="shared" si="16"/>
        <v>1</v>
      </c>
      <c r="P125" s="112">
        <f t="shared" si="17"/>
        <v>0</v>
      </c>
      <c r="Q125" s="112">
        <f t="shared" si="18"/>
        <v>0</v>
      </c>
      <c r="R125" s="53"/>
      <c r="S125" s="53" t="str">
        <f t="shared" si="19"/>
        <v>Base S1|Black Parallel - Season 1|24|Black</v>
      </c>
      <c r="T125" s="57" t="str">
        <f>IF($S125="","",IFERROR(VLOOKUP($S125,'Pop Estimates (Non-#d)'!$N$2:$O$500,2,FALSE),""))</f>
        <v/>
      </c>
      <c r="U125" s="57">
        <f t="shared" si="20"/>
        <v>25</v>
      </c>
      <c r="V125" s="53" t="str">
        <f t="shared" si="21"/>
        <v/>
      </c>
      <c r="W125" s="53" t="str">
        <f t="shared" si="22"/>
        <v/>
      </c>
      <c r="X125" s="53" t="str">
        <f t="shared" si="23"/>
        <v/>
      </c>
      <c r="Y125" s="57" t="str">
        <f>IF($X125="","",IFERROR(VLOOKUP($X125,'Char Popularity'!$A$2:$C$500,2,FALSE),""))</f>
        <v/>
      </c>
      <c r="Z125" s="56">
        <f>IF($X125="",1,IFERROR(VLOOKUP($X125,'Char Popularity'!$A$2:$C$500,3,FALSE),1))</f>
        <v>1</v>
      </c>
      <c r="AA125" s="62">
        <f>IF($H125&lt;&gt;"Y",0,(IF($F125&lt;&gt;"",ROUND(Dashboard!$R$4/$F125,1),IF(AND($I125="Base",$E125="Base"),Dashboard!$R$5,IF(AND($I125="Base",$E125="Red"),Dashboard!$R$6,IF(AND($I125="Base",$E125="Gold"),Dashboard!$R$7,VLOOKUP($I125,Dashboard!$Q$16:$R$21,2,FALSE)))))*VLOOKUP($I125,Dashboard!$Q$9:$R$13,2,FALSE)*IF(AND($I125="Auto",$F125="",OR($B125="Autographs Duals",$B125="Autographs Triples",$B125="Autographs Quads",$B125="Autographs Quads (Inscribed)")),IF($B125="Autographs Duals",2,IF($B125="Autographs Triples",3,4)),1)))</f>
        <v>40</v>
      </c>
      <c r="AB125" s="62">
        <f t="shared" si="24"/>
        <v>0</v>
      </c>
      <c r="AC125" s="62">
        <f t="shared" si="25"/>
        <v>0</v>
      </c>
    </row>
    <row r="126" spans="1:29" ht="28.7" customHeight="1" x14ac:dyDescent="0.25">
      <c r="A126" s="4" t="s">
        <v>17</v>
      </c>
      <c r="B126" s="7" t="s">
        <v>70</v>
      </c>
      <c r="C126" s="2" t="s">
        <v>1424</v>
      </c>
      <c r="D126" s="7" t="s">
        <v>892</v>
      </c>
      <c r="E126" s="4" t="s">
        <v>780</v>
      </c>
      <c r="F126" s="2">
        <v>25</v>
      </c>
      <c r="G126" s="2" t="s">
        <v>1399</v>
      </c>
      <c r="H126" s="2" t="s">
        <v>1400</v>
      </c>
      <c r="I126" s="4" t="s">
        <v>60</v>
      </c>
      <c r="J126" s="112">
        <f>IF($H126&lt;&gt;"Y",0,ROUND(MIN(Dashboard!$R$24,IF(IFERROR(VLOOKUP($B126,Dashboard!$Q$28:$S$60,2,FALSE),0)&gt;0,IFERROR(VLOOKUP($B126,Dashboard!$Q$28:$S$60,2,FALSE),0),$Z126*IF($U126&lt;&gt;"",ROUND((Dashboard!$R$4/$U126)*VLOOKUP($I126,Dashboard!$Q$9:$R$13,2,FALSE)*IF(ISNUMBER(SEARCH("Duals",$B126)),2,IF(ISNUMBER(SEARCH("Triples",$B126)),3,IF(ISNUMBER(SEARCH("Quads",$B126)),4,1))),2),ROUND(VLOOKUP($I126,Dashboard!$Q$15:$R$20,2,FALSE)*IF($E126="Red",Dashboard!$R$6,IF($E126="Gold",Dashboard!$R$7,Dashboard!$R$5))*IF(ISNUMBER(SEARCH("Duals",$B126)),2,IF(ISNUMBER(SEARCH("Triples",$B126)),3,IF(ISNUMBER(SEARCH("Quads",$B126)),4,1))),2))*IF(IFERROR(VLOOKUP($B126,Dashboard!$Q$28:$S$60,3,FALSE),0)&gt;0,VLOOKUP($B126,Dashboard!$Q$28:$S$60,3,FALSE),1))),0))</f>
        <v>40</v>
      </c>
      <c r="K126" s="2" t="str">
        <f>IF('Base S1'!H26="","",'Base S1'!H26)</f>
        <v/>
      </c>
      <c r="L126" s="2">
        <f t="shared" si="13"/>
        <v>0</v>
      </c>
      <c r="M126" s="2">
        <f t="shared" si="14"/>
        <v>0</v>
      </c>
      <c r="N126" s="2">
        <f t="shared" si="15"/>
        <v>0</v>
      </c>
      <c r="O126" s="2">
        <f t="shared" si="16"/>
        <v>1</v>
      </c>
      <c r="P126" s="112">
        <f t="shared" si="17"/>
        <v>0</v>
      </c>
      <c r="Q126" s="112">
        <f t="shared" si="18"/>
        <v>0</v>
      </c>
      <c r="R126" s="53"/>
      <c r="S126" s="53" t="str">
        <f t="shared" si="19"/>
        <v>Base S1|Black Parallel - Season 1|25|Black</v>
      </c>
      <c r="T126" s="57" t="str">
        <f>IF($S126="","",IFERROR(VLOOKUP($S126,'Pop Estimates (Non-#d)'!$N$2:$O$500,2,FALSE),""))</f>
        <v/>
      </c>
      <c r="U126" s="57">
        <f t="shared" si="20"/>
        <v>25</v>
      </c>
      <c r="V126" s="53" t="str">
        <f t="shared" si="21"/>
        <v/>
      </c>
      <c r="W126" s="53" t="str">
        <f t="shared" si="22"/>
        <v/>
      </c>
      <c r="X126" s="53" t="str">
        <f t="shared" si="23"/>
        <v/>
      </c>
      <c r="Y126" s="57" t="str">
        <f>IF($X126="","",IFERROR(VLOOKUP($X126,'Char Popularity'!$A$2:$C$500,2,FALSE),""))</f>
        <v/>
      </c>
      <c r="Z126" s="56">
        <f>IF($X126="",1,IFERROR(VLOOKUP($X126,'Char Popularity'!$A$2:$C$500,3,FALSE),1))</f>
        <v>1</v>
      </c>
      <c r="AA126" s="62">
        <f>IF($H126&lt;&gt;"Y",0,(IF($F126&lt;&gt;"",ROUND(Dashboard!$R$4/$F126,1),IF(AND($I126="Base",$E126="Base"),Dashboard!$R$5,IF(AND($I126="Base",$E126="Red"),Dashboard!$R$6,IF(AND($I126="Base",$E126="Gold"),Dashboard!$R$7,VLOOKUP($I126,Dashboard!$Q$16:$R$21,2,FALSE)))))*VLOOKUP($I126,Dashboard!$Q$9:$R$13,2,FALSE)*IF(AND($I126="Auto",$F126="",OR($B126="Autographs Duals",$B126="Autographs Triples",$B126="Autographs Quads",$B126="Autographs Quads (Inscribed)")),IF($B126="Autographs Duals",2,IF($B126="Autographs Triples",3,4)),1)))</f>
        <v>40</v>
      </c>
      <c r="AB126" s="62">
        <f t="shared" si="24"/>
        <v>0</v>
      </c>
      <c r="AC126" s="62">
        <f t="shared" si="25"/>
        <v>0</v>
      </c>
    </row>
    <row r="127" spans="1:29" ht="28.7" customHeight="1" x14ac:dyDescent="0.25">
      <c r="A127" s="4" t="s">
        <v>17</v>
      </c>
      <c r="B127" s="7" t="s">
        <v>70</v>
      </c>
      <c r="C127" s="2" t="s">
        <v>1425</v>
      </c>
      <c r="D127" s="7" t="s">
        <v>895</v>
      </c>
      <c r="E127" s="4" t="s">
        <v>780</v>
      </c>
      <c r="F127" s="2">
        <v>25</v>
      </c>
      <c r="G127" s="2" t="s">
        <v>1399</v>
      </c>
      <c r="H127" s="2" t="s">
        <v>1400</v>
      </c>
      <c r="I127" s="4" t="s">
        <v>60</v>
      </c>
      <c r="J127" s="112">
        <f>IF($H127&lt;&gt;"Y",0,ROUND(MIN(Dashboard!$R$24,IF(IFERROR(VLOOKUP($B127,Dashboard!$Q$28:$S$60,2,FALSE),0)&gt;0,IFERROR(VLOOKUP($B127,Dashboard!$Q$28:$S$60,2,FALSE),0),$Z127*IF($U127&lt;&gt;"",ROUND((Dashboard!$R$4/$U127)*VLOOKUP($I127,Dashboard!$Q$9:$R$13,2,FALSE)*IF(ISNUMBER(SEARCH("Duals",$B127)),2,IF(ISNUMBER(SEARCH("Triples",$B127)),3,IF(ISNUMBER(SEARCH("Quads",$B127)),4,1))),2),ROUND(VLOOKUP($I127,Dashboard!$Q$15:$R$20,2,FALSE)*IF($E127="Red",Dashboard!$R$6,IF($E127="Gold",Dashboard!$R$7,Dashboard!$R$5))*IF(ISNUMBER(SEARCH("Duals",$B127)),2,IF(ISNUMBER(SEARCH("Triples",$B127)),3,IF(ISNUMBER(SEARCH("Quads",$B127)),4,1))),2))*IF(IFERROR(VLOOKUP($B127,Dashboard!$Q$28:$S$60,3,FALSE),0)&gt;0,VLOOKUP($B127,Dashboard!$Q$28:$S$60,3,FALSE),1))),0))</f>
        <v>40</v>
      </c>
      <c r="K127" s="2" t="str">
        <f>IF('Base S1'!H27="","",'Base S1'!H27)</f>
        <v/>
      </c>
      <c r="L127" s="2">
        <f t="shared" si="13"/>
        <v>0</v>
      </c>
      <c r="M127" s="2">
        <f t="shared" si="14"/>
        <v>0</v>
      </c>
      <c r="N127" s="2">
        <f t="shared" si="15"/>
        <v>0</v>
      </c>
      <c r="O127" s="2">
        <f t="shared" si="16"/>
        <v>1</v>
      </c>
      <c r="P127" s="112">
        <f t="shared" si="17"/>
        <v>0</v>
      </c>
      <c r="Q127" s="112">
        <f t="shared" si="18"/>
        <v>0</v>
      </c>
      <c r="R127" s="53"/>
      <c r="S127" s="53" t="str">
        <f t="shared" si="19"/>
        <v>Base S1|Black Parallel - Season 1|26|Black</v>
      </c>
      <c r="T127" s="57" t="str">
        <f>IF($S127="","",IFERROR(VLOOKUP($S127,'Pop Estimates (Non-#d)'!$N$2:$O$500,2,FALSE),""))</f>
        <v/>
      </c>
      <c r="U127" s="57">
        <f t="shared" si="20"/>
        <v>25</v>
      </c>
      <c r="V127" s="53" t="str">
        <f t="shared" si="21"/>
        <v/>
      </c>
      <c r="W127" s="53" t="str">
        <f t="shared" si="22"/>
        <v/>
      </c>
      <c r="X127" s="53" t="str">
        <f t="shared" si="23"/>
        <v/>
      </c>
      <c r="Y127" s="57" t="str">
        <f>IF($X127="","",IFERROR(VLOOKUP($X127,'Char Popularity'!$A$2:$C$500,2,FALSE),""))</f>
        <v/>
      </c>
      <c r="Z127" s="56">
        <f>IF($X127="",1,IFERROR(VLOOKUP($X127,'Char Popularity'!$A$2:$C$500,3,FALSE),1))</f>
        <v>1</v>
      </c>
      <c r="AA127" s="62">
        <f>IF($H127&lt;&gt;"Y",0,(IF($F127&lt;&gt;"",ROUND(Dashboard!$R$4/$F127,1),IF(AND($I127="Base",$E127="Base"),Dashboard!$R$5,IF(AND($I127="Base",$E127="Red"),Dashboard!$R$6,IF(AND($I127="Base",$E127="Gold"),Dashboard!$R$7,VLOOKUP($I127,Dashboard!$Q$16:$R$21,2,FALSE)))))*VLOOKUP($I127,Dashboard!$Q$9:$R$13,2,FALSE)*IF(AND($I127="Auto",$F127="",OR($B127="Autographs Duals",$B127="Autographs Triples",$B127="Autographs Quads",$B127="Autographs Quads (Inscribed)")),IF($B127="Autographs Duals",2,IF($B127="Autographs Triples",3,4)),1)))</f>
        <v>40</v>
      </c>
      <c r="AB127" s="62">
        <f t="shared" si="24"/>
        <v>0</v>
      </c>
      <c r="AC127" s="62">
        <f t="shared" si="25"/>
        <v>0</v>
      </c>
    </row>
    <row r="128" spans="1:29" ht="28.7" customHeight="1" x14ac:dyDescent="0.25">
      <c r="A128" s="4" t="s">
        <v>17</v>
      </c>
      <c r="B128" s="7" t="s">
        <v>70</v>
      </c>
      <c r="C128" s="2" t="s">
        <v>1426</v>
      </c>
      <c r="D128" s="7" t="s">
        <v>897</v>
      </c>
      <c r="E128" s="4" t="s">
        <v>780</v>
      </c>
      <c r="F128" s="2">
        <v>25</v>
      </c>
      <c r="G128" s="2" t="s">
        <v>1399</v>
      </c>
      <c r="H128" s="2" t="s">
        <v>1400</v>
      </c>
      <c r="I128" s="4" t="s">
        <v>60</v>
      </c>
      <c r="J128" s="112">
        <f>IF($H128&lt;&gt;"Y",0,ROUND(MIN(Dashboard!$R$24,IF(IFERROR(VLOOKUP($B128,Dashboard!$Q$28:$S$60,2,FALSE),0)&gt;0,IFERROR(VLOOKUP($B128,Dashboard!$Q$28:$S$60,2,FALSE),0),$Z128*IF($U128&lt;&gt;"",ROUND((Dashboard!$R$4/$U128)*VLOOKUP($I128,Dashboard!$Q$9:$R$13,2,FALSE)*IF(ISNUMBER(SEARCH("Duals",$B128)),2,IF(ISNUMBER(SEARCH("Triples",$B128)),3,IF(ISNUMBER(SEARCH("Quads",$B128)),4,1))),2),ROUND(VLOOKUP($I128,Dashboard!$Q$15:$R$20,2,FALSE)*IF($E128="Red",Dashboard!$R$6,IF($E128="Gold",Dashboard!$R$7,Dashboard!$R$5))*IF(ISNUMBER(SEARCH("Duals",$B128)),2,IF(ISNUMBER(SEARCH("Triples",$B128)),3,IF(ISNUMBER(SEARCH("Quads",$B128)),4,1))),2))*IF(IFERROR(VLOOKUP($B128,Dashboard!$Q$28:$S$60,3,FALSE),0)&gt;0,VLOOKUP($B128,Dashboard!$Q$28:$S$60,3,FALSE),1))),0))</f>
        <v>40</v>
      </c>
      <c r="K128" s="2" t="str">
        <f>IF('Base S1'!H28="","",'Base S1'!H28)</f>
        <v>V 18/25</v>
      </c>
      <c r="L128" s="2">
        <f t="shared" si="13"/>
        <v>1</v>
      </c>
      <c r="M128" s="2">
        <f t="shared" si="14"/>
        <v>0</v>
      </c>
      <c r="N128" s="2">
        <f t="shared" si="15"/>
        <v>1</v>
      </c>
      <c r="O128" s="2">
        <f t="shared" si="16"/>
        <v>0</v>
      </c>
      <c r="P128" s="112">
        <f t="shared" si="17"/>
        <v>40</v>
      </c>
      <c r="Q128" s="112">
        <f t="shared" si="18"/>
        <v>0</v>
      </c>
      <c r="R128" s="53"/>
      <c r="S128" s="53" t="str">
        <f t="shared" si="19"/>
        <v>Base S1|Black Parallel - Season 1|27|Black</v>
      </c>
      <c r="T128" s="57" t="str">
        <f>IF($S128="","",IFERROR(VLOOKUP($S128,'Pop Estimates (Non-#d)'!$N$2:$O$500,2,FALSE),""))</f>
        <v/>
      </c>
      <c r="U128" s="57">
        <f t="shared" si="20"/>
        <v>25</v>
      </c>
      <c r="V128" s="53" t="str">
        <f t="shared" si="21"/>
        <v/>
      </c>
      <c r="W128" s="53" t="str">
        <f t="shared" si="22"/>
        <v/>
      </c>
      <c r="X128" s="53" t="str">
        <f t="shared" si="23"/>
        <v/>
      </c>
      <c r="Y128" s="57" t="str">
        <f>IF($X128="","",IFERROR(VLOOKUP($X128,'Char Popularity'!$A$2:$C$500,2,FALSE),""))</f>
        <v/>
      </c>
      <c r="Z128" s="56">
        <f>IF($X128="",1,IFERROR(VLOOKUP($X128,'Char Popularity'!$A$2:$C$500,3,FALSE),1))</f>
        <v>1</v>
      </c>
      <c r="AA128" s="62">
        <f>IF($H128&lt;&gt;"Y",0,(IF($F128&lt;&gt;"",ROUND(Dashboard!$R$4/$F128,1),IF(AND($I128="Base",$E128="Base"),Dashboard!$R$5,IF(AND($I128="Base",$E128="Red"),Dashboard!$R$6,IF(AND($I128="Base",$E128="Gold"),Dashboard!$R$7,VLOOKUP($I128,Dashboard!$Q$16:$R$21,2,FALSE)))))*VLOOKUP($I128,Dashboard!$Q$9:$R$13,2,FALSE)*IF(AND($I128="Auto",$F128="",OR($B128="Autographs Duals",$B128="Autographs Triples",$B128="Autographs Quads",$B128="Autographs Quads (Inscribed)")),IF($B128="Autographs Duals",2,IF($B128="Autographs Triples",3,4)),1)))</f>
        <v>40</v>
      </c>
      <c r="AB128" s="62">
        <f t="shared" si="24"/>
        <v>40</v>
      </c>
      <c r="AC128" s="62">
        <f t="shared" si="25"/>
        <v>0</v>
      </c>
    </row>
    <row r="129" spans="1:29" ht="28.7" customHeight="1" x14ac:dyDescent="0.25">
      <c r="A129" s="4" t="s">
        <v>17</v>
      </c>
      <c r="B129" s="7" t="s">
        <v>70</v>
      </c>
      <c r="C129" s="2" t="s">
        <v>1427</v>
      </c>
      <c r="D129" s="7" t="s">
        <v>900</v>
      </c>
      <c r="E129" s="4" t="s">
        <v>780</v>
      </c>
      <c r="F129" s="2">
        <v>25</v>
      </c>
      <c r="G129" s="2" t="s">
        <v>1399</v>
      </c>
      <c r="H129" s="2" t="s">
        <v>1400</v>
      </c>
      <c r="I129" s="4" t="s">
        <v>60</v>
      </c>
      <c r="J129" s="112">
        <f>IF($H129&lt;&gt;"Y",0,ROUND(MIN(Dashboard!$R$24,IF(IFERROR(VLOOKUP($B129,Dashboard!$Q$28:$S$60,2,FALSE),0)&gt;0,IFERROR(VLOOKUP($B129,Dashboard!$Q$28:$S$60,2,FALSE),0),$Z129*IF($U129&lt;&gt;"",ROUND((Dashboard!$R$4/$U129)*VLOOKUP($I129,Dashboard!$Q$9:$R$13,2,FALSE)*IF(ISNUMBER(SEARCH("Duals",$B129)),2,IF(ISNUMBER(SEARCH("Triples",$B129)),3,IF(ISNUMBER(SEARCH("Quads",$B129)),4,1))),2),ROUND(VLOOKUP($I129,Dashboard!$Q$15:$R$20,2,FALSE)*IF($E129="Red",Dashboard!$R$6,IF($E129="Gold",Dashboard!$R$7,Dashboard!$R$5))*IF(ISNUMBER(SEARCH("Duals",$B129)),2,IF(ISNUMBER(SEARCH("Triples",$B129)),3,IF(ISNUMBER(SEARCH("Quads",$B129)),4,1))),2))*IF(IFERROR(VLOOKUP($B129,Dashboard!$Q$28:$S$60,3,FALSE),0)&gt;0,VLOOKUP($B129,Dashboard!$Q$28:$S$60,3,FALSE),1))),0))</f>
        <v>40</v>
      </c>
      <c r="K129" s="2" t="str">
        <f>IF('Base S1'!H29="","",'Base S1'!H29)</f>
        <v/>
      </c>
      <c r="L129" s="2">
        <f t="shared" si="13"/>
        <v>0</v>
      </c>
      <c r="M129" s="2">
        <f t="shared" si="14"/>
        <v>0</v>
      </c>
      <c r="N129" s="2">
        <f t="shared" si="15"/>
        <v>0</v>
      </c>
      <c r="O129" s="2">
        <f t="shared" si="16"/>
        <v>1</v>
      </c>
      <c r="P129" s="112">
        <f t="shared" si="17"/>
        <v>0</v>
      </c>
      <c r="Q129" s="112">
        <f t="shared" si="18"/>
        <v>0</v>
      </c>
      <c r="R129" s="53"/>
      <c r="S129" s="53" t="str">
        <f t="shared" si="19"/>
        <v>Base S1|Black Parallel - Season 1|28|Black</v>
      </c>
      <c r="T129" s="57" t="str">
        <f>IF($S129="","",IFERROR(VLOOKUP($S129,'Pop Estimates (Non-#d)'!$N$2:$O$500,2,FALSE),""))</f>
        <v/>
      </c>
      <c r="U129" s="57">
        <f t="shared" si="20"/>
        <v>25</v>
      </c>
      <c r="V129" s="53" t="str">
        <f t="shared" si="21"/>
        <v/>
      </c>
      <c r="W129" s="53" t="str">
        <f t="shared" si="22"/>
        <v/>
      </c>
      <c r="X129" s="53" t="str">
        <f t="shared" si="23"/>
        <v/>
      </c>
      <c r="Y129" s="57" t="str">
        <f>IF($X129="","",IFERROR(VLOOKUP($X129,'Char Popularity'!$A$2:$C$500,2,FALSE),""))</f>
        <v/>
      </c>
      <c r="Z129" s="56">
        <f>IF($X129="",1,IFERROR(VLOOKUP($X129,'Char Popularity'!$A$2:$C$500,3,FALSE),1))</f>
        <v>1</v>
      </c>
      <c r="AA129" s="62">
        <f>IF($H129&lt;&gt;"Y",0,(IF($F129&lt;&gt;"",ROUND(Dashboard!$R$4/$F129,1),IF(AND($I129="Base",$E129="Base"),Dashboard!$R$5,IF(AND($I129="Base",$E129="Red"),Dashboard!$R$6,IF(AND($I129="Base",$E129="Gold"),Dashboard!$R$7,VLOOKUP($I129,Dashboard!$Q$16:$R$21,2,FALSE)))))*VLOOKUP($I129,Dashboard!$Q$9:$R$13,2,FALSE)*IF(AND($I129="Auto",$F129="",OR($B129="Autographs Duals",$B129="Autographs Triples",$B129="Autographs Quads",$B129="Autographs Quads (Inscribed)")),IF($B129="Autographs Duals",2,IF($B129="Autographs Triples",3,4)),1)))</f>
        <v>40</v>
      </c>
      <c r="AB129" s="62">
        <f t="shared" si="24"/>
        <v>0</v>
      </c>
      <c r="AC129" s="62">
        <f t="shared" si="25"/>
        <v>0</v>
      </c>
    </row>
    <row r="130" spans="1:29" ht="28.7" customHeight="1" x14ac:dyDescent="0.25">
      <c r="A130" s="4" t="s">
        <v>17</v>
      </c>
      <c r="B130" s="7" t="s">
        <v>70</v>
      </c>
      <c r="C130" s="2" t="s">
        <v>1428</v>
      </c>
      <c r="D130" s="7" t="s">
        <v>902</v>
      </c>
      <c r="E130" s="4" t="s">
        <v>780</v>
      </c>
      <c r="F130" s="2">
        <v>25</v>
      </c>
      <c r="G130" s="2" t="s">
        <v>1399</v>
      </c>
      <c r="H130" s="2" t="s">
        <v>1400</v>
      </c>
      <c r="I130" s="4" t="s">
        <v>60</v>
      </c>
      <c r="J130" s="112">
        <f>IF($H130&lt;&gt;"Y",0,ROUND(MIN(Dashboard!$R$24,IF(IFERROR(VLOOKUP($B130,Dashboard!$Q$28:$S$60,2,FALSE),0)&gt;0,IFERROR(VLOOKUP($B130,Dashboard!$Q$28:$S$60,2,FALSE),0),$Z130*IF($U130&lt;&gt;"",ROUND((Dashboard!$R$4/$U130)*VLOOKUP($I130,Dashboard!$Q$9:$R$13,2,FALSE)*IF(ISNUMBER(SEARCH("Duals",$B130)),2,IF(ISNUMBER(SEARCH("Triples",$B130)),3,IF(ISNUMBER(SEARCH("Quads",$B130)),4,1))),2),ROUND(VLOOKUP($I130,Dashboard!$Q$15:$R$20,2,FALSE)*IF($E130="Red",Dashboard!$R$6,IF($E130="Gold",Dashboard!$R$7,Dashboard!$R$5))*IF(ISNUMBER(SEARCH("Duals",$B130)),2,IF(ISNUMBER(SEARCH("Triples",$B130)),3,IF(ISNUMBER(SEARCH("Quads",$B130)),4,1))),2))*IF(IFERROR(VLOOKUP($B130,Dashboard!$Q$28:$S$60,3,FALSE),0)&gt;0,VLOOKUP($B130,Dashboard!$Q$28:$S$60,3,FALSE),1))),0))</f>
        <v>40</v>
      </c>
      <c r="K130" s="2" t="str">
        <f>IF('Base S1'!H30="","",'Base S1'!H30)</f>
        <v/>
      </c>
      <c r="L130" s="2">
        <f t="shared" ref="L130:L193" si="26">IF(AND($K130&lt;&gt;"",LEFT($K130,1)&lt;&gt;"Y"),1,0)</f>
        <v>0</v>
      </c>
      <c r="M130" s="2">
        <f t="shared" ref="M130:M193" si="27">IF(LEFT($K130,1)="Y",1,0)</f>
        <v>0</v>
      </c>
      <c r="N130" s="2">
        <f t="shared" ref="N130:N193" si="28">$L130+$M130</f>
        <v>0</v>
      </c>
      <c r="O130" s="2">
        <f t="shared" ref="O130:O193" si="29">IF($H130="Y",1-$N130,0)</f>
        <v>1</v>
      </c>
      <c r="P130" s="112">
        <f t="shared" ref="P130:P193" si="30">IF($L130=1,$J130,0)</f>
        <v>0</v>
      </c>
      <c r="Q130" s="112">
        <f t="shared" ref="Q130:Q193" si="31">IF($M130=1,$J130,0)</f>
        <v>0</v>
      </c>
      <c r="R130" s="53"/>
      <c r="S130" s="53" t="str">
        <f t="shared" ref="S130:S193" si="32">IF($A130="","",$A130&amp;"|"&amp;$B130&amp;"|"&amp;$C130&amp;"|"&amp;$E130)</f>
        <v>Base S1|Black Parallel - Season 1|29|Black</v>
      </c>
      <c r="T130" s="57" t="str">
        <f>IF($S130="","",IFERROR(VLOOKUP($S130,'Pop Estimates (Non-#d)'!$N$2:$O$500,2,FALSE),""))</f>
        <v/>
      </c>
      <c r="U130" s="57">
        <f t="shared" ref="U130:U193" si="33">IF($A130="","",IF($F130&lt;&gt;"",$F130,$T130))</f>
        <v>25</v>
      </c>
      <c r="V130" s="53" t="str">
        <f t="shared" ref="V130:V193" si="34">IF($A130="","",IF(ISNUMBER(SEARCH(" as ",$D130)),MID($D130,SEARCH(" as ",$D130)+4,255),IF(ISNUMBER(SEARCH("/",$D130)),LEFT($D130,FIND("/",$D130&amp;"/")-1),"")))</f>
        <v/>
      </c>
      <c r="W130" s="53" t="str">
        <f t="shared" ref="W130:W193" si="35">IF($V130="","",TRIM(IFERROR(MID($V130,SEARCH("(", $V130)+1,SEARCH(")",$V130)-SEARCH("(", $V130)-1),$V130)))</f>
        <v/>
      </c>
      <c r="X130" s="53" t="str">
        <f t="shared" ref="X130:X193" si="36">IF($W130="","",TRIM(LEFT($W130&amp;"""",FIND("""",$W130&amp;"""")-1)))</f>
        <v/>
      </c>
      <c r="Y130" s="57" t="str">
        <f>IF($X130="","",IFERROR(VLOOKUP($X130,'Char Popularity'!$A$2:$C$500,2,FALSE),""))</f>
        <v/>
      </c>
      <c r="Z130" s="56">
        <f>IF($X130="",1,IFERROR(VLOOKUP($X130,'Char Popularity'!$A$2:$C$500,3,FALSE),1))</f>
        <v>1</v>
      </c>
      <c r="AA130" s="62">
        <f>IF($H130&lt;&gt;"Y",0,(IF($F130&lt;&gt;"",ROUND(Dashboard!$R$4/$F130,1),IF(AND($I130="Base",$E130="Base"),Dashboard!$R$5,IF(AND($I130="Base",$E130="Red"),Dashboard!$R$6,IF(AND($I130="Base",$E130="Gold"),Dashboard!$R$7,VLOOKUP($I130,Dashboard!$Q$16:$R$21,2,FALSE)))))*VLOOKUP($I130,Dashboard!$Q$9:$R$13,2,FALSE)*IF(AND($I130="Auto",$F130="",OR($B130="Autographs Duals",$B130="Autographs Triples",$B130="Autographs Quads",$B130="Autographs Quads (Inscribed)")),IF($B130="Autographs Duals",2,IF($B130="Autographs Triples",3,4)),1)))</f>
        <v>40</v>
      </c>
      <c r="AB130" s="62">
        <f t="shared" ref="AB130:AB193" si="37">IF($L130=1,$AA130,0)</f>
        <v>0</v>
      </c>
      <c r="AC130" s="62">
        <f t="shared" ref="AC130:AC193" si="38">IF($M130=1,$AA130,0)</f>
        <v>0</v>
      </c>
    </row>
    <row r="131" spans="1:29" ht="28.7" customHeight="1" x14ac:dyDescent="0.25">
      <c r="A131" s="4" t="s">
        <v>17</v>
      </c>
      <c r="B131" s="7" t="s">
        <v>70</v>
      </c>
      <c r="C131" s="2" t="s">
        <v>1429</v>
      </c>
      <c r="D131" s="7" t="s">
        <v>904</v>
      </c>
      <c r="E131" s="4" t="s">
        <v>780</v>
      </c>
      <c r="F131" s="2">
        <v>25</v>
      </c>
      <c r="G131" s="2" t="s">
        <v>1399</v>
      </c>
      <c r="H131" s="2" t="s">
        <v>1400</v>
      </c>
      <c r="I131" s="4" t="s">
        <v>60</v>
      </c>
      <c r="J131" s="112">
        <f>IF($H131&lt;&gt;"Y",0,ROUND(MIN(Dashboard!$R$24,IF(IFERROR(VLOOKUP($B131,Dashboard!$Q$28:$S$60,2,FALSE),0)&gt;0,IFERROR(VLOOKUP($B131,Dashboard!$Q$28:$S$60,2,FALSE),0),$Z131*IF($U131&lt;&gt;"",ROUND((Dashboard!$R$4/$U131)*VLOOKUP($I131,Dashboard!$Q$9:$R$13,2,FALSE)*IF(ISNUMBER(SEARCH("Duals",$B131)),2,IF(ISNUMBER(SEARCH("Triples",$B131)),3,IF(ISNUMBER(SEARCH("Quads",$B131)),4,1))),2),ROUND(VLOOKUP($I131,Dashboard!$Q$15:$R$20,2,FALSE)*IF($E131="Red",Dashboard!$R$6,IF($E131="Gold",Dashboard!$R$7,Dashboard!$R$5))*IF(ISNUMBER(SEARCH("Duals",$B131)),2,IF(ISNUMBER(SEARCH("Triples",$B131)),3,IF(ISNUMBER(SEARCH("Quads",$B131)),4,1))),2))*IF(IFERROR(VLOOKUP($B131,Dashboard!$Q$28:$S$60,3,FALSE),0)&gt;0,VLOOKUP($B131,Dashboard!$Q$28:$S$60,3,FALSE),1))),0))</f>
        <v>40</v>
      </c>
      <c r="K131" s="2" t="str">
        <f>IF('Base S1'!H31="","",'Base S1'!H31)</f>
        <v>C 14/25</v>
      </c>
      <c r="L131" s="2">
        <f t="shared" si="26"/>
        <v>1</v>
      </c>
      <c r="M131" s="2">
        <f t="shared" si="27"/>
        <v>0</v>
      </c>
      <c r="N131" s="2">
        <f t="shared" si="28"/>
        <v>1</v>
      </c>
      <c r="O131" s="2">
        <f t="shared" si="29"/>
        <v>0</v>
      </c>
      <c r="P131" s="112">
        <f t="shared" si="30"/>
        <v>40</v>
      </c>
      <c r="Q131" s="112">
        <f t="shared" si="31"/>
        <v>0</v>
      </c>
      <c r="R131" s="53"/>
      <c r="S131" s="53" t="str">
        <f t="shared" si="32"/>
        <v>Base S1|Black Parallel - Season 1|30|Black</v>
      </c>
      <c r="T131" s="57" t="str">
        <f>IF($S131="","",IFERROR(VLOOKUP($S131,'Pop Estimates (Non-#d)'!$N$2:$O$500,2,FALSE),""))</f>
        <v/>
      </c>
      <c r="U131" s="57">
        <f t="shared" si="33"/>
        <v>25</v>
      </c>
      <c r="V131" s="53" t="str">
        <f t="shared" si="34"/>
        <v/>
      </c>
      <c r="W131" s="53" t="str">
        <f t="shared" si="35"/>
        <v/>
      </c>
      <c r="X131" s="53" t="str">
        <f t="shared" si="36"/>
        <v/>
      </c>
      <c r="Y131" s="57" t="str">
        <f>IF($X131="","",IFERROR(VLOOKUP($X131,'Char Popularity'!$A$2:$C$500,2,FALSE),""))</f>
        <v/>
      </c>
      <c r="Z131" s="56">
        <f>IF($X131="",1,IFERROR(VLOOKUP($X131,'Char Popularity'!$A$2:$C$500,3,FALSE),1))</f>
        <v>1</v>
      </c>
      <c r="AA131" s="62">
        <f>IF($H131&lt;&gt;"Y",0,(IF($F131&lt;&gt;"",ROUND(Dashboard!$R$4/$F131,1),IF(AND($I131="Base",$E131="Base"),Dashboard!$R$5,IF(AND($I131="Base",$E131="Red"),Dashboard!$R$6,IF(AND($I131="Base",$E131="Gold"),Dashboard!$R$7,VLOOKUP($I131,Dashboard!$Q$16:$R$21,2,FALSE)))))*VLOOKUP($I131,Dashboard!$Q$9:$R$13,2,FALSE)*IF(AND($I131="Auto",$F131="",OR($B131="Autographs Duals",$B131="Autographs Triples",$B131="Autographs Quads",$B131="Autographs Quads (Inscribed)")),IF($B131="Autographs Duals",2,IF($B131="Autographs Triples",3,4)),1)))</f>
        <v>40</v>
      </c>
      <c r="AB131" s="62">
        <f t="shared" si="37"/>
        <v>40</v>
      </c>
      <c r="AC131" s="62">
        <f t="shared" si="38"/>
        <v>0</v>
      </c>
    </row>
    <row r="132" spans="1:29" ht="28.7" customHeight="1" x14ac:dyDescent="0.25">
      <c r="A132" s="4" t="s">
        <v>17</v>
      </c>
      <c r="B132" s="7" t="s">
        <v>70</v>
      </c>
      <c r="C132" s="2" t="s">
        <v>1430</v>
      </c>
      <c r="D132" s="7" t="s">
        <v>906</v>
      </c>
      <c r="E132" s="4" t="s">
        <v>780</v>
      </c>
      <c r="F132" s="2">
        <v>25</v>
      </c>
      <c r="G132" s="2" t="s">
        <v>1399</v>
      </c>
      <c r="H132" s="2" t="s">
        <v>1400</v>
      </c>
      <c r="I132" s="4" t="s">
        <v>60</v>
      </c>
      <c r="J132" s="112">
        <f>IF($H132&lt;&gt;"Y",0,ROUND(MIN(Dashboard!$R$24,IF(IFERROR(VLOOKUP($B132,Dashboard!$Q$28:$S$60,2,FALSE),0)&gt;0,IFERROR(VLOOKUP($B132,Dashboard!$Q$28:$S$60,2,FALSE),0),$Z132*IF($U132&lt;&gt;"",ROUND((Dashboard!$R$4/$U132)*VLOOKUP($I132,Dashboard!$Q$9:$R$13,2,FALSE)*IF(ISNUMBER(SEARCH("Duals",$B132)),2,IF(ISNUMBER(SEARCH("Triples",$B132)),3,IF(ISNUMBER(SEARCH("Quads",$B132)),4,1))),2),ROUND(VLOOKUP($I132,Dashboard!$Q$15:$R$20,2,FALSE)*IF($E132="Red",Dashboard!$R$6,IF($E132="Gold",Dashboard!$R$7,Dashboard!$R$5))*IF(ISNUMBER(SEARCH("Duals",$B132)),2,IF(ISNUMBER(SEARCH("Triples",$B132)),3,IF(ISNUMBER(SEARCH("Quads",$B132)),4,1))),2))*IF(IFERROR(VLOOKUP($B132,Dashboard!$Q$28:$S$60,3,FALSE),0)&gt;0,VLOOKUP($B132,Dashboard!$Q$28:$S$60,3,FALSE),1))),0))</f>
        <v>40</v>
      </c>
      <c r="K132" s="2" t="str">
        <f>IF('Base S1'!H32="","",'Base S1'!H32)</f>
        <v/>
      </c>
      <c r="L132" s="2">
        <f t="shared" si="26"/>
        <v>0</v>
      </c>
      <c r="M132" s="2">
        <f t="shared" si="27"/>
        <v>0</v>
      </c>
      <c r="N132" s="2">
        <f t="shared" si="28"/>
        <v>0</v>
      </c>
      <c r="O132" s="2">
        <f t="shared" si="29"/>
        <v>1</v>
      </c>
      <c r="P132" s="112">
        <f t="shared" si="30"/>
        <v>0</v>
      </c>
      <c r="Q132" s="112">
        <f t="shared" si="31"/>
        <v>0</v>
      </c>
      <c r="R132" s="53"/>
      <c r="S132" s="53" t="str">
        <f t="shared" si="32"/>
        <v>Base S1|Black Parallel - Season 1|31|Black</v>
      </c>
      <c r="T132" s="57" t="str">
        <f>IF($S132="","",IFERROR(VLOOKUP($S132,'Pop Estimates (Non-#d)'!$N$2:$O$500,2,FALSE),""))</f>
        <v/>
      </c>
      <c r="U132" s="57">
        <f t="shared" si="33"/>
        <v>25</v>
      </c>
      <c r="V132" s="53" t="str">
        <f t="shared" si="34"/>
        <v/>
      </c>
      <c r="W132" s="53" t="str">
        <f t="shared" si="35"/>
        <v/>
      </c>
      <c r="X132" s="53" t="str">
        <f t="shared" si="36"/>
        <v/>
      </c>
      <c r="Y132" s="57" t="str">
        <f>IF($X132="","",IFERROR(VLOOKUP($X132,'Char Popularity'!$A$2:$C$500,2,FALSE),""))</f>
        <v/>
      </c>
      <c r="Z132" s="56">
        <f>IF($X132="",1,IFERROR(VLOOKUP($X132,'Char Popularity'!$A$2:$C$500,3,FALSE),1))</f>
        <v>1</v>
      </c>
      <c r="AA132" s="62">
        <f>IF($H132&lt;&gt;"Y",0,(IF($F132&lt;&gt;"",ROUND(Dashboard!$R$4/$F132,1),IF(AND($I132="Base",$E132="Base"),Dashboard!$R$5,IF(AND($I132="Base",$E132="Red"),Dashboard!$R$6,IF(AND($I132="Base",$E132="Gold"),Dashboard!$R$7,VLOOKUP($I132,Dashboard!$Q$16:$R$21,2,FALSE)))))*VLOOKUP($I132,Dashboard!$Q$9:$R$13,2,FALSE)*IF(AND($I132="Auto",$F132="",OR($B132="Autographs Duals",$B132="Autographs Triples",$B132="Autographs Quads",$B132="Autographs Quads (Inscribed)")),IF($B132="Autographs Duals",2,IF($B132="Autographs Triples",3,4)),1)))</f>
        <v>40</v>
      </c>
      <c r="AB132" s="62">
        <f t="shared" si="37"/>
        <v>0</v>
      </c>
      <c r="AC132" s="62">
        <f t="shared" si="38"/>
        <v>0</v>
      </c>
    </row>
    <row r="133" spans="1:29" ht="28.7" customHeight="1" x14ac:dyDescent="0.25">
      <c r="A133" s="4" t="s">
        <v>17</v>
      </c>
      <c r="B133" s="7" t="s">
        <v>70</v>
      </c>
      <c r="C133" s="2" t="s">
        <v>1431</v>
      </c>
      <c r="D133" s="7" t="s">
        <v>908</v>
      </c>
      <c r="E133" s="4" t="s">
        <v>780</v>
      </c>
      <c r="F133" s="2">
        <v>25</v>
      </c>
      <c r="G133" s="2" t="s">
        <v>1399</v>
      </c>
      <c r="H133" s="2" t="s">
        <v>1400</v>
      </c>
      <c r="I133" s="4" t="s">
        <v>60</v>
      </c>
      <c r="J133" s="112">
        <f>IF($H133&lt;&gt;"Y",0,ROUND(MIN(Dashboard!$R$24,IF(IFERROR(VLOOKUP($B133,Dashboard!$Q$28:$S$60,2,FALSE),0)&gt;0,IFERROR(VLOOKUP($B133,Dashboard!$Q$28:$S$60,2,FALSE),0),$Z133*IF($U133&lt;&gt;"",ROUND((Dashboard!$R$4/$U133)*VLOOKUP($I133,Dashboard!$Q$9:$R$13,2,FALSE)*IF(ISNUMBER(SEARCH("Duals",$B133)),2,IF(ISNUMBER(SEARCH("Triples",$B133)),3,IF(ISNUMBER(SEARCH("Quads",$B133)),4,1))),2),ROUND(VLOOKUP($I133,Dashboard!$Q$15:$R$20,2,FALSE)*IF($E133="Red",Dashboard!$R$6,IF($E133="Gold",Dashboard!$R$7,Dashboard!$R$5))*IF(ISNUMBER(SEARCH("Duals",$B133)),2,IF(ISNUMBER(SEARCH("Triples",$B133)),3,IF(ISNUMBER(SEARCH("Quads",$B133)),4,1))),2))*IF(IFERROR(VLOOKUP($B133,Dashboard!$Q$28:$S$60,3,FALSE),0)&gt;0,VLOOKUP($B133,Dashboard!$Q$28:$S$60,3,FALSE),1))),0))</f>
        <v>40</v>
      </c>
      <c r="K133" s="2" t="str">
        <f>IF('Base S1'!H33="","",'Base S1'!H33)</f>
        <v/>
      </c>
      <c r="L133" s="2">
        <f t="shared" si="26"/>
        <v>0</v>
      </c>
      <c r="M133" s="2">
        <f t="shared" si="27"/>
        <v>0</v>
      </c>
      <c r="N133" s="2">
        <f t="shared" si="28"/>
        <v>0</v>
      </c>
      <c r="O133" s="2">
        <f t="shared" si="29"/>
        <v>1</v>
      </c>
      <c r="P133" s="112">
        <f t="shared" si="30"/>
        <v>0</v>
      </c>
      <c r="Q133" s="112">
        <f t="shared" si="31"/>
        <v>0</v>
      </c>
      <c r="R133" s="53"/>
      <c r="S133" s="53" t="str">
        <f t="shared" si="32"/>
        <v>Base S1|Black Parallel - Season 1|32|Black</v>
      </c>
      <c r="T133" s="57" t="str">
        <f>IF($S133="","",IFERROR(VLOOKUP($S133,'Pop Estimates (Non-#d)'!$N$2:$O$500,2,FALSE),""))</f>
        <v/>
      </c>
      <c r="U133" s="57">
        <f t="shared" si="33"/>
        <v>25</v>
      </c>
      <c r="V133" s="53" t="str">
        <f t="shared" si="34"/>
        <v/>
      </c>
      <c r="W133" s="53" t="str">
        <f t="shared" si="35"/>
        <v/>
      </c>
      <c r="X133" s="53" t="str">
        <f t="shared" si="36"/>
        <v/>
      </c>
      <c r="Y133" s="57" t="str">
        <f>IF($X133="","",IFERROR(VLOOKUP($X133,'Char Popularity'!$A$2:$C$500,2,FALSE),""))</f>
        <v/>
      </c>
      <c r="Z133" s="56">
        <f>IF($X133="",1,IFERROR(VLOOKUP($X133,'Char Popularity'!$A$2:$C$500,3,FALSE),1))</f>
        <v>1</v>
      </c>
      <c r="AA133" s="62">
        <f>IF($H133&lt;&gt;"Y",0,(IF($F133&lt;&gt;"",ROUND(Dashboard!$R$4/$F133,1),IF(AND($I133="Base",$E133="Base"),Dashboard!$R$5,IF(AND($I133="Base",$E133="Red"),Dashboard!$R$6,IF(AND($I133="Base",$E133="Gold"),Dashboard!$R$7,VLOOKUP($I133,Dashboard!$Q$16:$R$21,2,FALSE)))))*VLOOKUP($I133,Dashboard!$Q$9:$R$13,2,FALSE)*IF(AND($I133="Auto",$F133="",OR($B133="Autographs Duals",$B133="Autographs Triples",$B133="Autographs Quads",$B133="Autographs Quads (Inscribed)")),IF($B133="Autographs Duals",2,IF($B133="Autographs Triples",3,4)),1)))</f>
        <v>40</v>
      </c>
      <c r="AB133" s="62">
        <f t="shared" si="37"/>
        <v>0</v>
      </c>
      <c r="AC133" s="62">
        <f t="shared" si="38"/>
        <v>0</v>
      </c>
    </row>
    <row r="134" spans="1:29" ht="28.7" customHeight="1" x14ac:dyDescent="0.25">
      <c r="A134" s="4" t="s">
        <v>17</v>
      </c>
      <c r="B134" s="7" t="s">
        <v>70</v>
      </c>
      <c r="C134" s="2" t="s">
        <v>1432</v>
      </c>
      <c r="D134" s="7" t="s">
        <v>910</v>
      </c>
      <c r="E134" s="4" t="s">
        <v>780</v>
      </c>
      <c r="F134" s="2">
        <v>25</v>
      </c>
      <c r="G134" s="2" t="s">
        <v>1399</v>
      </c>
      <c r="H134" s="2" t="s">
        <v>1400</v>
      </c>
      <c r="I134" s="4" t="s">
        <v>60</v>
      </c>
      <c r="J134" s="112">
        <f>IF($H134&lt;&gt;"Y",0,ROUND(MIN(Dashboard!$R$24,IF(IFERROR(VLOOKUP($B134,Dashboard!$Q$28:$S$60,2,FALSE),0)&gt;0,IFERROR(VLOOKUP($B134,Dashboard!$Q$28:$S$60,2,FALSE),0),$Z134*IF($U134&lt;&gt;"",ROUND((Dashboard!$R$4/$U134)*VLOOKUP($I134,Dashboard!$Q$9:$R$13,2,FALSE)*IF(ISNUMBER(SEARCH("Duals",$B134)),2,IF(ISNUMBER(SEARCH("Triples",$B134)),3,IF(ISNUMBER(SEARCH("Quads",$B134)),4,1))),2),ROUND(VLOOKUP($I134,Dashboard!$Q$15:$R$20,2,FALSE)*IF($E134="Red",Dashboard!$R$6,IF($E134="Gold",Dashboard!$R$7,Dashboard!$R$5))*IF(ISNUMBER(SEARCH("Duals",$B134)),2,IF(ISNUMBER(SEARCH("Triples",$B134)),3,IF(ISNUMBER(SEARCH("Quads",$B134)),4,1))),2))*IF(IFERROR(VLOOKUP($B134,Dashboard!$Q$28:$S$60,3,FALSE),0)&gt;0,VLOOKUP($B134,Dashboard!$Q$28:$S$60,3,FALSE),1))),0))</f>
        <v>40</v>
      </c>
      <c r="K134" s="2" t="str">
        <f>IF('Base S1'!H34="","",'Base S1'!H34)</f>
        <v/>
      </c>
      <c r="L134" s="2">
        <f t="shared" si="26"/>
        <v>0</v>
      </c>
      <c r="M134" s="2">
        <f t="shared" si="27"/>
        <v>0</v>
      </c>
      <c r="N134" s="2">
        <f t="shared" si="28"/>
        <v>0</v>
      </c>
      <c r="O134" s="2">
        <f t="shared" si="29"/>
        <v>1</v>
      </c>
      <c r="P134" s="112">
        <f t="shared" si="30"/>
        <v>0</v>
      </c>
      <c r="Q134" s="112">
        <f t="shared" si="31"/>
        <v>0</v>
      </c>
      <c r="R134" s="53"/>
      <c r="S134" s="53" t="str">
        <f t="shared" si="32"/>
        <v>Base S1|Black Parallel - Season 1|33|Black</v>
      </c>
      <c r="T134" s="57" t="str">
        <f>IF($S134="","",IFERROR(VLOOKUP($S134,'Pop Estimates (Non-#d)'!$N$2:$O$500,2,FALSE),""))</f>
        <v/>
      </c>
      <c r="U134" s="57">
        <f t="shared" si="33"/>
        <v>25</v>
      </c>
      <c r="V134" s="53" t="str">
        <f t="shared" si="34"/>
        <v/>
      </c>
      <c r="W134" s="53" t="str">
        <f t="shared" si="35"/>
        <v/>
      </c>
      <c r="X134" s="53" t="str">
        <f t="shared" si="36"/>
        <v/>
      </c>
      <c r="Y134" s="57" t="str">
        <f>IF($X134="","",IFERROR(VLOOKUP($X134,'Char Popularity'!$A$2:$C$500,2,FALSE),""))</f>
        <v/>
      </c>
      <c r="Z134" s="56">
        <f>IF($X134="",1,IFERROR(VLOOKUP($X134,'Char Popularity'!$A$2:$C$500,3,FALSE),1))</f>
        <v>1</v>
      </c>
      <c r="AA134" s="62">
        <f>IF($H134&lt;&gt;"Y",0,(IF($F134&lt;&gt;"",ROUND(Dashboard!$R$4/$F134,1),IF(AND($I134="Base",$E134="Base"),Dashboard!$R$5,IF(AND($I134="Base",$E134="Red"),Dashboard!$R$6,IF(AND($I134="Base",$E134="Gold"),Dashboard!$R$7,VLOOKUP($I134,Dashboard!$Q$16:$R$21,2,FALSE)))))*VLOOKUP($I134,Dashboard!$Q$9:$R$13,2,FALSE)*IF(AND($I134="Auto",$F134="",OR($B134="Autographs Duals",$B134="Autographs Triples",$B134="Autographs Quads",$B134="Autographs Quads (Inscribed)")),IF($B134="Autographs Duals",2,IF($B134="Autographs Triples",3,4)),1)))</f>
        <v>40</v>
      </c>
      <c r="AB134" s="62">
        <f t="shared" si="37"/>
        <v>0</v>
      </c>
      <c r="AC134" s="62">
        <f t="shared" si="38"/>
        <v>0</v>
      </c>
    </row>
    <row r="135" spans="1:29" ht="28.7" customHeight="1" x14ac:dyDescent="0.25">
      <c r="A135" s="4" t="s">
        <v>17</v>
      </c>
      <c r="B135" s="7" t="s">
        <v>70</v>
      </c>
      <c r="C135" s="2" t="s">
        <v>1433</v>
      </c>
      <c r="D135" s="7" t="s">
        <v>912</v>
      </c>
      <c r="E135" s="4" t="s">
        <v>780</v>
      </c>
      <c r="F135" s="2">
        <v>25</v>
      </c>
      <c r="G135" s="2" t="s">
        <v>1399</v>
      </c>
      <c r="H135" s="2" t="s">
        <v>1400</v>
      </c>
      <c r="I135" s="4" t="s">
        <v>60</v>
      </c>
      <c r="J135" s="112">
        <f>IF($H135&lt;&gt;"Y",0,ROUND(MIN(Dashboard!$R$24,IF(IFERROR(VLOOKUP($B135,Dashboard!$Q$28:$S$60,2,FALSE),0)&gt;0,IFERROR(VLOOKUP($B135,Dashboard!$Q$28:$S$60,2,FALSE),0),$Z135*IF($U135&lt;&gt;"",ROUND((Dashboard!$R$4/$U135)*VLOOKUP($I135,Dashboard!$Q$9:$R$13,2,FALSE)*IF(ISNUMBER(SEARCH("Duals",$B135)),2,IF(ISNUMBER(SEARCH("Triples",$B135)),3,IF(ISNUMBER(SEARCH("Quads",$B135)),4,1))),2),ROUND(VLOOKUP($I135,Dashboard!$Q$15:$R$20,2,FALSE)*IF($E135="Red",Dashboard!$R$6,IF($E135="Gold",Dashboard!$R$7,Dashboard!$R$5))*IF(ISNUMBER(SEARCH("Duals",$B135)),2,IF(ISNUMBER(SEARCH("Triples",$B135)),3,IF(ISNUMBER(SEARCH("Quads",$B135)),4,1))),2))*IF(IFERROR(VLOOKUP($B135,Dashboard!$Q$28:$S$60,3,FALSE),0)&gt;0,VLOOKUP($B135,Dashboard!$Q$28:$S$60,3,FALSE),1))),0))</f>
        <v>40</v>
      </c>
      <c r="K135" s="2" t="str">
        <f>IF('Base S1'!H35="","",'Base S1'!H35)</f>
        <v/>
      </c>
      <c r="L135" s="2">
        <f t="shared" si="26"/>
        <v>0</v>
      </c>
      <c r="M135" s="2">
        <f t="shared" si="27"/>
        <v>0</v>
      </c>
      <c r="N135" s="2">
        <f t="shared" si="28"/>
        <v>0</v>
      </c>
      <c r="O135" s="2">
        <f t="shared" si="29"/>
        <v>1</v>
      </c>
      <c r="P135" s="112">
        <f t="shared" si="30"/>
        <v>0</v>
      </c>
      <c r="Q135" s="112">
        <f t="shared" si="31"/>
        <v>0</v>
      </c>
      <c r="R135" s="53"/>
      <c r="S135" s="53" t="str">
        <f t="shared" si="32"/>
        <v>Base S1|Black Parallel - Season 1|34|Black</v>
      </c>
      <c r="T135" s="57" t="str">
        <f>IF($S135="","",IFERROR(VLOOKUP($S135,'Pop Estimates (Non-#d)'!$N$2:$O$500,2,FALSE),""))</f>
        <v/>
      </c>
      <c r="U135" s="57">
        <f t="shared" si="33"/>
        <v>25</v>
      </c>
      <c r="V135" s="53" t="str">
        <f t="shared" si="34"/>
        <v/>
      </c>
      <c r="W135" s="53" t="str">
        <f t="shared" si="35"/>
        <v/>
      </c>
      <c r="X135" s="53" t="str">
        <f t="shared" si="36"/>
        <v/>
      </c>
      <c r="Y135" s="57" t="str">
        <f>IF($X135="","",IFERROR(VLOOKUP($X135,'Char Popularity'!$A$2:$C$500,2,FALSE),""))</f>
        <v/>
      </c>
      <c r="Z135" s="56">
        <f>IF($X135="",1,IFERROR(VLOOKUP($X135,'Char Popularity'!$A$2:$C$500,3,FALSE),1))</f>
        <v>1</v>
      </c>
      <c r="AA135" s="62">
        <f>IF($H135&lt;&gt;"Y",0,(IF($F135&lt;&gt;"",ROUND(Dashboard!$R$4/$F135,1),IF(AND($I135="Base",$E135="Base"),Dashboard!$R$5,IF(AND($I135="Base",$E135="Red"),Dashboard!$R$6,IF(AND($I135="Base",$E135="Gold"),Dashboard!$R$7,VLOOKUP($I135,Dashboard!$Q$16:$R$21,2,FALSE)))))*VLOOKUP($I135,Dashboard!$Q$9:$R$13,2,FALSE)*IF(AND($I135="Auto",$F135="",OR($B135="Autographs Duals",$B135="Autographs Triples",$B135="Autographs Quads",$B135="Autographs Quads (Inscribed)")),IF($B135="Autographs Duals",2,IF($B135="Autographs Triples",3,4)),1)))</f>
        <v>40</v>
      </c>
      <c r="AB135" s="62">
        <f t="shared" si="37"/>
        <v>0</v>
      </c>
      <c r="AC135" s="62">
        <f t="shared" si="38"/>
        <v>0</v>
      </c>
    </row>
    <row r="136" spans="1:29" ht="28.7" customHeight="1" x14ac:dyDescent="0.25">
      <c r="A136" s="4" t="s">
        <v>17</v>
      </c>
      <c r="B136" s="7" t="s">
        <v>70</v>
      </c>
      <c r="C136" s="2" t="s">
        <v>1434</v>
      </c>
      <c r="D136" s="7" t="s">
        <v>914</v>
      </c>
      <c r="E136" s="4" t="s">
        <v>780</v>
      </c>
      <c r="F136" s="2">
        <v>25</v>
      </c>
      <c r="G136" s="2" t="s">
        <v>1399</v>
      </c>
      <c r="H136" s="2" t="s">
        <v>1400</v>
      </c>
      <c r="I136" s="4" t="s">
        <v>60</v>
      </c>
      <c r="J136" s="112">
        <f>IF($H136&lt;&gt;"Y",0,ROUND(MIN(Dashboard!$R$24,IF(IFERROR(VLOOKUP($B136,Dashboard!$Q$28:$S$60,2,FALSE),0)&gt;0,IFERROR(VLOOKUP($B136,Dashboard!$Q$28:$S$60,2,FALSE),0),$Z136*IF($U136&lt;&gt;"",ROUND((Dashboard!$R$4/$U136)*VLOOKUP($I136,Dashboard!$Q$9:$R$13,2,FALSE)*IF(ISNUMBER(SEARCH("Duals",$B136)),2,IF(ISNUMBER(SEARCH("Triples",$B136)),3,IF(ISNUMBER(SEARCH("Quads",$B136)),4,1))),2),ROUND(VLOOKUP($I136,Dashboard!$Q$15:$R$20,2,FALSE)*IF($E136="Red",Dashboard!$R$6,IF($E136="Gold",Dashboard!$R$7,Dashboard!$R$5))*IF(ISNUMBER(SEARCH("Duals",$B136)),2,IF(ISNUMBER(SEARCH("Triples",$B136)),3,IF(ISNUMBER(SEARCH("Quads",$B136)),4,1))),2))*IF(IFERROR(VLOOKUP($B136,Dashboard!$Q$28:$S$60,3,FALSE),0)&gt;0,VLOOKUP($B136,Dashboard!$Q$28:$S$60,3,FALSE),1))),0))</f>
        <v>40</v>
      </c>
      <c r="K136" s="2" t="str">
        <f>IF('Base S1'!H36="","",'Base S1'!H36)</f>
        <v/>
      </c>
      <c r="L136" s="2">
        <f t="shared" si="26"/>
        <v>0</v>
      </c>
      <c r="M136" s="2">
        <f t="shared" si="27"/>
        <v>0</v>
      </c>
      <c r="N136" s="2">
        <f t="shared" si="28"/>
        <v>0</v>
      </c>
      <c r="O136" s="2">
        <f t="shared" si="29"/>
        <v>1</v>
      </c>
      <c r="P136" s="112">
        <f t="shared" si="30"/>
        <v>0</v>
      </c>
      <c r="Q136" s="112">
        <f t="shared" si="31"/>
        <v>0</v>
      </c>
      <c r="R136" s="53"/>
      <c r="S136" s="53" t="str">
        <f t="shared" si="32"/>
        <v>Base S1|Black Parallel - Season 1|35|Black</v>
      </c>
      <c r="T136" s="57" t="str">
        <f>IF($S136="","",IFERROR(VLOOKUP($S136,'Pop Estimates (Non-#d)'!$N$2:$O$500,2,FALSE),""))</f>
        <v/>
      </c>
      <c r="U136" s="57">
        <f t="shared" si="33"/>
        <v>25</v>
      </c>
      <c r="V136" s="53" t="str">
        <f t="shared" si="34"/>
        <v/>
      </c>
      <c r="W136" s="53" t="str">
        <f t="shared" si="35"/>
        <v/>
      </c>
      <c r="X136" s="53" t="str">
        <f t="shared" si="36"/>
        <v/>
      </c>
      <c r="Y136" s="57" t="str">
        <f>IF($X136="","",IFERROR(VLOOKUP($X136,'Char Popularity'!$A$2:$C$500,2,FALSE),""))</f>
        <v/>
      </c>
      <c r="Z136" s="56">
        <f>IF($X136="",1,IFERROR(VLOOKUP($X136,'Char Popularity'!$A$2:$C$500,3,FALSE),1))</f>
        <v>1</v>
      </c>
      <c r="AA136" s="62">
        <f>IF($H136&lt;&gt;"Y",0,(IF($F136&lt;&gt;"",ROUND(Dashboard!$R$4/$F136,1),IF(AND($I136="Base",$E136="Base"),Dashboard!$R$5,IF(AND($I136="Base",$E136="Red"),Dashboard!$R$6,IF(AND($I136="Base",$E136="Gold"),Dashboard!$R$7,VLOOKUP($I136,Dashboard!$Q$16:$R$21,2,FALSE)))))*VLOOKUP($I136,Dashboard!$Q$9:$R$13,2,FALSE)*IF(AND($I136="Auto",$F136="",OR($B136="Autographs Duals",$B136="Autographs Triples",$B136="Autographs Quads",$B136="Autographs Quads (Inscribed)")),IF($B136="Autographs Duals",2,IF($B136="Autographs Triples",3,4)),1)))</f>
        <v>40</v>
      </c>
      <c r="AB136" s="62">
        <f t="shared" si="37"/>
        <v>0</v>
      </c>
      <c r="AC136" s="62">
        <f t="shared" si="38"/>
        <v>0</v>
      </c>
    </row>
    <row r="137" spans="1:29" ht="28.7" customHeight="1" x14ac:dyDescent="0.25">
      <c r="A137" s="4" t="s">
        <v>17</v>
      </c>
      <c r="B137" s="7" t="s">
        <v>70</v>
      </c>
      <c r="C137" s="2" t="s">
        <v>1435</v>
      </c>
      <c r="D137" s="7" t="s">
        <v>915</v>
      </c>
      <c r="E137" s="4" t="s">
        <v>780</v>
      </c>
      <c r="F137" s="2">
        <v>25</v>
      </c>
      <c r="G137" s="2" t="s">
        <v>1399</v>
      </c>
      <c r="H137" s="2" t="s">
        <v>1400</v>
      </c>
      <c r="I137" s="4" t="s">
        <v>60</v>
      </c>
      <c r="J137" s="112">
        <f>IF($H137&lt;&gt;"Y",0,ROUND(MIN(Dashboard!$R$24,IF(IFERROR(VLOOKUP($B137,Dashboard!$Q$28:$S$60,2,FALSE),0)&gt;0,IFERROR(VLOOKUP($B137,Dashboard!$Q$28:$S$60,2,FALSE),0),$Z137*IF($U137&lt;&gt;"",ROUND((Dashboard!$R$4/$U137)*VLOOKUP($I137,Dashboard!$Q$9:$R$13,2,FALSE)*IF(ISNUMBER(SEARCH("Duals",$B137)),2,IF(ISNUMBER(SEARCH("Triples",$B137)),3,IF(ISNUMBER(SEARCH("Quads",$B137)),4,1))),2),ROUND(VLOOKUP($I137,Dashboard!$Q$15:$R$20,2,FALSE)*IF($E137="Red",Dashboard!$R$6,IF($E137="Gold",Dashboard!$R$7,Dashboard!$R$5))*IF(ISNUMBER(SEARCH("Duals",$B137)),2,IF(ISNUMBER(SEARCH("Triples",$B137)),3,IF(ISNUMBER(SEARCH("Quads",$B137)),4,1))),2))*IF(IFERROR(VLOOKUP($B137,Dashboard!$Q$28:$S$60,3,FALSE),0)&gt;0,VLOOKUP($B137,Dashboard!$Q$28:$S$60,3,FALSE),1))),0))</f>
        <v>40</v>
      </c>
      <c r="K137" s="2" t="str">
        <f>IF('Base S1'!H37="","",'Base S1'!H37)</f>
        <v/>
      </c>
      <c r="L137" s="2">
        <f t="shared" si="26"/>
        <v>0</v>
      </c>
      <c r="M137" s="2">
        <f t="shared" si="27"/>
        <v>0</v>
      </c>
      <c r="N137" s="2">
        <f t="shared" si="28"/>
        <v>0</v>
      </c>
      <c r="O137" s="2">
        <f t="shared" si="29"/>
        <v>1</v>
      </c>
      <c r="P137" s="112">
        <f t="shared" si="30"/>
        <v>0</v>
      </c>
      <c r="Q137" s="112">
        <f t="shared" si="31"/>
        <v>0</v>
      </c>
      <c r="R137" s="53"/>
      <c r="S137" s="53" t="str">
        <f t="shared" si="32"/>
        <v>Base S1|Black Parallel - Season 1|36|Black</v>
      </c>
      <c r="T137" s="57" t="str">
        <f>IF($S137="","",IFERROR(VLOOKUP($S137,'Pop Estimates (Non-#d)'!$N$2:$O$500,2,FALSE),""))</f>
        <v/>
      </c>
      <c r="U137" s="57">
        <f t="shared" si="33"/>
        <v>25</v>
      </c>
      <c r="V137" s="53" t="str">
        <f t="shared" si="34"/>
        <v/>
      </c>
      <c r="W137" s="53" t="str">
        <f t="shared" si="35"/>
        <v/>
      </c>
      <c r="X137" s="53" t="str">
        <f t="shared" si="36"/>
        <v/>
      </c>
      <c r="Y137" s="57" t="str">
        <f>IF($X137="","",IFERROR(VLOOKUP($X137,'Char Popularity'!$A$2:$C$500,2,FALSE),""))</f>
        <v/>
      </c>
      <c r="Z137" s="56">
        <f>IF($X137="",1,IFERROR(VLOOKUP($X137,'Char Popularity'!$A$2:$C$500,3,FALSE),1))</f>
        <v>1</v>
      </c>
      <c r="AA137" s="62">
        <f>IF($H137&lt;&gt;"Y",0,(IF($F137&lt;&gt;"",ROUND(Dashboard!$R$4/$F137,1),IF(AND($I137="Base",$E137="Base"),Dashboard!$R$5,IF(AND($I137="Base",$E137="Red"),Dashboard!$R$6,IF(AND($I137="Base",$E137="Gold"),Dashboard!$R$7,VLOOKUP($I137,Dashboard!$Q$16:$R$21,2,FALSE)))))*VLOOKUP($I137,Dashboard!$Q$9:$R$13,2,FALSE)*IF(AND($I137="Auto",$F137="",OR($B137="Autographs Duals",$B137="Autographs Triples",$B137="Autographs Quads",$B137="Autographs Quads (Inscribed)")),IF($B137="Autographs Duals",2,IF($B137="Autographs Triples",3,4)),1)))</f>
        <v>40</v>
      </c>
      <c r="AB137" s="62">
        <f t="shared" si="37"/>
        <v>0</v>
      </c>
      <c r="AC137" s="62">
        <f t="shared" si="38"/>
        <v>0</v>
      </c>
    </row>
    <row r="138" spans="1:29" ht="28.7" customHeight="1" x14ac:dyDescent="0.25">
      <c r="A138" s="4" t="s">
        <v>17</v>
      </c>
      <c r="B138" s="7" t="s">
        <v>70</v>
      </c>
      <c r="C138" s="2" t="s">
        <v>1436</v>
      </c>
      <c r="D138" s="7" t="s">
        <v>917</v>
      </c>
      <c r="E138" s="4" t="s">
        <v>780</v>
      </c>
      <c r="F138" s="2">
        <v>25</v>
      </c>
      <c r="G138" s="2" t="s">
        <v>1399</v>
      </c>
      <c r="H138" s="2" t="s">
        <v>1400</v>
      </c>
      <c r="I138" s="4" t="s">
        <v>60</v>
      </c>
      <c r="J138" s="112">
        <f>IF($H138&lt;&gt;"Y",0,ROUND(MIN(Dashboard!$R$24,IF(IFERROR(VLOOKUP($B138,Dashboard!$Q$28:$S$60,2,FALSE),0)&gt;0,IFERROR(VLOOKUP($B138,Dashboard!$Q$28:$S$60,2,FALSE),0),$Z138*IF($U138&lt;&gt;"",ROUND((Dashboard!$R$4/$U138)*VLOOKUP($I138,Dashboard!$Q$9:$R$13,2,FALSE)*IF(ISNUMBER(SEARCH("Duals",$B138)),2,IF(ISNUMBER(SEARCH("Triples",$B138)),3,IF(ISNUMBER(SEARCH("Quads",$B138)),4,1))),2),ROUND(VLOOKUP($I138,Dashboard!$Q$15:$R$20,2,FALSE)*IF($E138="Red",Dashboard!$R$6,IF($E138="Gold",Dashboard!$R$7,Dashboard!$R$5))*IF(ISNUMBER(SEARCH("Duals",$B138)),2,IF(ISNUMBER(SEARCH("Triples",$B138)),3,IF(ISNUMBER(SEARCH("Quads",$B138)),4,1))),2))*IF(IFERROR(VLOOKUP($B138,Dashboard!$Q$28:$S$60,3,FALSE),0)&gt;0,VLOOKUP($B138,Dashboard!$Q$28:$S$60,3,FALSE),1))),0))</f>
        <v>40</v>
      </c>
      <c r="K138" s="2" t="str">
        <f>IF('Base S1'!H38="","",'Base S1'!H38)</f>
        <v/>
      </c>
      <c r="L138" s="2">
        <f t="shared" si="26"/>
        <v>0</v>
      </c>
      <c r="M138" s="2">
        <f t="shared" si="27"/>
        <v>0</v>
      </c>
      <c r="N138" s="2">
        <f t="shared" si="28"/>
        <v>0</v>
      </c>
      <c r="O138" s="2">
        <f t="shared" si="29"/>
        <v>1</v>
      </c>
      <c r="P138" s="112">
        <f t="shared" si="30"/>
        <v>0</v>
      </c>
      <c r="Q138" s="112">
        <f t="shared" si="31"/>
        <v>0</v>
      </c>
      <c r="R138" s="53"/>
      <c r="S138" s="53" t="str">
        <f t="shared" si="32"/>
        <v>Base S1|Black Parallel - Season 1|37|Black</v>
      </c>
      <c r="T138" s="57" t="str">
        <f>IF($S138="","",IFERROR(VLOOKUP($S138,'Pop Estimates (Non-#d)'!$N$2:$O$500,2,FALSE),""))</f>
        <v/>
      </c>
      <c r="U138" s="57">
        <f t="shared" si="33"/>
        <v>25</v>
      </c>
      <c r="V138" s="53" t="str">
        <f t="shared" si="34"/>
        <v/>
      </c>
      <c r="W138" s="53" t="str">
        <f t="shared" si="35"/>
        <v/>
      </c>
      <c r="X138" s="53" t="str">
        <f t="shared" si="36"/>
        <v/>
      </c>
      <c r="Y138" s="57" t="str">
        <f>IF($X138="","",IFERROR(VLOOKUP($X138,'Char Popularity'!$A$2:$C$500,2,FALSE),""))</f>
        <v/>
      </c>
      <c r="Z138" s="56">
        <f>IF($X138="",1,IFERROR(VLOOKUP($X138,'Char Popularity'!$A$2:$C$500,3,FALSE),1))</f>
        <v>1</v>
      </c>
      <c r="AA138" s="62">
        <f>IF($H138&lt;&gt;"Y",0,(IF($F138&lt;&gt;"",ROUND(Dashboard!$R$4/$F138,1),IF(AND($I138="Base",$E138="Base"),Dashboard!$R$5,IF(AND($I138="Base",$E138="Red"),Dashboard!$R$6,IF(AND($I138="Base",$E138="Gold"),Dashboard!$R$7,VLOOKUP($I138,Dashboard!$Q$16:$R$21,2,FALSE)))))*VLOOKUP($I138,Dashboard!$Q$9:$R$13,2,FALSE)*IF(AND($I138="Auto",$F138="",OR($B138="Autographs Duals",$B138="Autographs Triples",$B138="Autographs Quads",$B138="Autographs Quads (Inscribed)")),IF($B138="Autographs Duals",2,IF($B138="Autographs Triples",3,4)),1)))</f>
        <v>40</v>
      </c>
      <c r="AB138" s="62">
        <f t="shared" si="37"/>
        <v>0</v>
      </c>
      <c r="AC138" s="62">
        <f t="shared" si="38"/>
        <v>0</v>
      </c>
    </row>
    <row r="139" spans="1:29" ht="28.7" customHeight="1" x14ac:dyDescent="0.25">
      <c r="A139" s="4" t="s">
        <v>17</v>
      </c>
      <c r="B139" s="7" t="s">
        <v>70</v>
      </c>
      <c r="C139" s="2" t="s">
        <v>1437</v>
      </c>
      <c r="D139" s="7" t="s">
        <v>919</v>
      </c>
      <c r="E139" s="4" t="s">
        <v>780</v>
      </c>
      <c r="F139" s="2">
        <v>25</v>
      </c>
      <c r="G139" s="2" t="s">
        <v>1399</v>
      </c>
      <c r="H139" s="2" t="s">
        <v>1400</v>
      </c>
      <c r="I139" s="4" t="s">
        <v>60</v>
      </c>
      <c r="J139" s="112">
        <f>IF($H139&lt;&gt;"Y",0,ROUND(MIN(Dashboard!$R$24,IF(IFERROR(VLOOKUP($B139,Dashboard!$Q$28:$S$60,2,FALSE),0)&gt;0,IFERROR(VLOOKUP($B139,Dashboard!$Q$28:$S$60,2,FALSE),0),$Z139*IF($U139&lt;&gt;"",ROUND((Dashboard!$R$4/$U139)*VLOOKUP($I139,Dashboard!$Q$9:$R$13,2,FALSE)*IF(ISNUMBER(SEARCH("Duals",$B139)),2,IF(ISNUMBER(SEARCH("Triples",$B139)),3,IF(ISNUMBER(SEARCH("Quads",$B139)),4,1))),2),ROUND(VLOOKUP($I139,Dashboard!$Q$15:$R$20,2,FALSE)*IF($E139="Red",Dashboard!$R$6,IF($E139="Gold",Dashboard!$R$7,Dashboard!$R$5))*IF(ISNUMBER(SEARCH("Duals",$B139)),2,IF(ISNUMBER(SEARCH("Triples",$B139)),3,IF(ISNUMBER(SEARCH("Quads",$B139)),4,1))),2))*IF(IFERROR(VLOOKUP($B139,Dashboard!$Q$28:$S$60,3,FALSE),0)&gt;0,VLOOKUP($B139,Dashboard!$Q$28:$S$60,3,FALSE),1))),0))</f>
        <v>40</v>
      </c>
      <c r="K139" s="2" t="str">
        <f>IF('Base S1'!H39="","",'Base S1'!H39)</f>
        <v/>
      </c>
      <c r="L139" s="2">
        <f t="shared" si="26"/>
        <v>0</v>
      </c>
      <c r="M139" s="2">
        <f t="shared" si="27"/>
        <v>0</v>
      </c>
      <c r="N139" s="2">
        <f t="shared" si="28"/>
        <v>0</v>
      </c>
      <c r="O139" s="2">
        <f t="shared" si="29"/>
        <v>1</v>
      </c>
      <c r="P139" s="112">
        <f t="shared" si="30"/>
        <v>0</v>
      </c>
      <c r="Q139" s="112">
        <f t="shared" si="31"/>
        <v>0</v>
      </c>
      <c r="R139" s="53"/>
      <c r="S139" s="53" t="str">
        <f t="shared" si="32"/>
        <v>Base S1|Black Parallel - Season 1|38|Black</v>
      </c>
      <c r="T139" s="57" t="str">
        <f>IF($S139="","",IFERROR(VLOOKUP($S139,'Pop Estimates (Non-#d)'!$N$2:$O$500,2,FALSE),""))</f>
        <v/>
      </c>
      <c r="U139" s="57">
        <f t="shared" si="33"/>
        <v>25</v>
      </c>
      <c r="V139" s="53" t="str">
        <f t="shared" si="34"/>
        <v/>
      </c>
      <c r="W139" s="53" t="str">
        <f t="shared" si="35"/>
        <v/>
      </c>
      <c r="X139" s="53" t="str">
        <f t="shared" si="36"/>
        <v/>
      </c>
      <c r="Y139" s="57" t="str">
        <f>IF($X139="","",IFERROR(VLOOKUP($X139,'Char Popularity'!$A$2:$C$500,2,FALSE),""))</f>
        <v/>
      </c>
      <c r="Z139" s="56">
        <f>IF($X139="",1,IFERROR(VLOOKUP($X139,'Char Popularity'!$A$2:$C$500,3,FALSE),1))</f>
        <v>1</v>
      </c>
      <c r="AA139" s="62">
        <f>IF($H139&lt;&gt;"Y",0,(IF($F139&lt;&gt;"",ROUND(Dashboard!$R$4/$F139,1),IF(AND($I139="Base",$E139="Base"),Dashboard!$R$5,IF(AND($I139="Base",$E139="Red"),Dashboard!$R$6,IF(AND($I139="Base",$E139="Gold"),Dashboard!$R$7,VLOOKUP($I139,Dashboard!$Q$16:$R$21,2,FALSE)))))*VLOOKUP($I139,Dashboard!$Q$9:$R$13,2,FALSE)*IF(AND($I139="Auto",$F139="",OR($B139="Autographs Duals",$B139="Autographs Triples",$B139="Autographs Quads",$B139="Autographs Quads (Inscribed)")),IF($B139="Autographs Duals",2,IF($B139="Autographs Triples",3,4)),1)))</f>
        <v>40</v>
      </c>
      <c r="AB139" s="62">
        <f t="shared" si="37"/>
        <v>0</v>
      </c>
      <c r="AC139" s="62">
        <f t="shared" si="38"/>
        <v>0</v>
      </c>
    </row>
    <row r="140" spans="1:29" ht="28.7" customHeight="1" x14ac:dyDescent="0.25">
      <c r="A140" s="4" t="s">
        <v>17</v>
      </c>
      <c r="B140" s="7" t="s">
        <v>70</v>
      </c>
      <c r="C140" s="2" t="s">
        <v>1438</v>
      </c>
      <c r="D140" s="7" t="s">
        <v>920</v>
      </c>
      <c r="E140" s="4" t="s">
        <v>780</v>
      </c>
      <c r="F140" s="2">
        <v>25</v>
      </c>
      <c r="G140" s="2" t="s">
        <v>1399</v>
      </c>
      <c r="H140" s="2" t="s">
        <v>1400</v>
      </c>
      <c r="I140" s="4" t="s">
        <v>60</v>
      </c>
      <c r="J140" s="112">
        <f>IF($H140&lt;&gt;"Y",0,ROUND(MIN(Dashboard!$R$24,IF(IFERROR(VLOOKUP($B140,Dashboard!$Q$28:$S$60,2,FALSE),0)&gt;0,IFERROR(VLOOKUP($B140,Dashboard!$Q$28:$S$60,2,FALSE),0),$Z140*IF($U140&lt;&gt;"",ROUND((Dashboard!$R$4/$U140)*VLOOKUP($I140,Dashboard!$Q$9:$R$13,2,FALSE)*IF(ISNUMBER(SEARCH("Duals",$B140)),2,IF(ISNUMBER(SEARCH("Triples",$B140)),3,IF(ISNUMBER(SEARCH("Quads",$B140)),4,1))),2),ROUND(VLOOKUP($I140,Dashboard!$Q$15:$R$20,2,FALSE)*IF($E140="Red",Dashboard!$R$6,IF($E140="Gold",Dashboard!$R$7,Dashboard!$R$5))*IF(ISNUMBER(SEARCH("Duals",$B140)),2,IF(ISNUMBER(SEARCH("Triples",$B140)),3,IF(ISNUMBER(SEARCH("Quads",$B140)),4,1))),2))*IF(IFERROR(VLOOKUP($B140,Dashboard!$Q$28:$S$60,3,FALSE),0)&gt;0,VLOOKUP($B140,Dashboard!$Q$28:$S$60,3,FALSE),1))),0))</f>
        <v>40</v>
      </c>
      <c r="K140" s="2" t="str">
        <f>IF('Base S1'!H40="","",'Base S1'!H40)</f>
        <v/>
      </c>
      <c r="L140" s="2">
        <f t="shared" si="26"/>
        <v>0</v>
      </c>
      <c r="M140" s="2">
        <f t="shared" si="27"/>
        <v>0</v>
      </c>
      <c r="N140" s="2">
        <f t="shared" si="28"/>
        <v>0</v>
      </c>
      <c r="O140" s="2">
        <f t="shared" si="29"/>
        <v>1</v>
      </c>
      <c r="P140" s="112">
        <f t="shared" si="30"/>
        <v>0</v>
      </c>
      <c r="Q140" s="112">
        <f t="shared" si="31"/>
        <v>0</v>
      </c>
      <c r="R140" s="53"/>
      <c r="S140" s="53" t="str">
        <f t="shared" si="32"/>
        <v>Base S1|Black Parallel - Season 1|39|Black</v>
      </c>
      <c r="T140" s="57" t="str">
        <f>IF($S140="","",IFERROR(VLOOKUP($S140,'Pop Estimates (Non-#d)'!$N$2:$O$500,2,FALSE),""))</f>
        <v/>
      </c>
      <c r="U140" s="57">
        <f t="shared" si="33"/>
        <v>25</v>
      </c>
      <c r="V140" s="53" t="str">
        <f t="shared" si="34"/>
        <v/>
      </c>
      <c r="W140" s="53" t="str">
        <f t="shared" si="35"/>
        <v/>
      </c>
      <c r="X140" s="53" t="str">
        <f t="shared" si="36"/>
        <v/>
      </c>
      <c r="Y140" s="57" t="str">
        <f>IF($X140="","",IFERROR(VLOOKUP($X140,'Char Popularity'!$A$2:$C$500,2,FALSE),""))</f>
        <v/>
      </c>
      <c r="Z140" s="56">
        <f>IF($X140="",1,IFERROR(VLOOKUP($X140,'Char Popularity'!$A$2:$C$500,3,FALSE),1))</f>
        <v>1</v>
      </c>
      <c r="AA140" s="62">
        <f>IF($H140&lt;&gt;"Y",0,(IF($F140&lt;&gt;"",ROUND(Dashboard!$R$4/$F140,1),IF(AND($I140="Base",$E140="Base"),Dashboard!$R$5,IF(AND($I140="Base",$E140="Red"),Dashboard!$R$6,IF(AND($I140="Base",$E140="Gold"),Dashboard!$R$7,VLOOKUP($I140,Dashboard!$Q$16:$R$21,2,FALSE)))))*VLOOKUP($I140,Dashboard!$Q$9:$R$13,2,FALSE)*IF(AND($I140="Auto",$F140="",OR($B140="Autographs Duals",$B140="Autographs Triples",$B140="Autographs Quads",$B140="Autographs Quads (Inscribed)")),IF($B140="Autographs Duals",2,IF($B140="Autographs Triples",3,4)),1)))</f>
        <v>40</v>
      </c>
      <c r="AB140" s="62">
        <f t="shared" si="37"/>
        <v>0</v>
      </c>
      <c r="AC140" s="62">
        <f t="shared" si="38"/>
        <v>0</v>
      </c>
    </row>
    <row r="141" spans="1:29" ht="28.7" customHeight="1" x14ac:dyDescent="0.25">
      <c r="A141" s="4" t="s">
        <v>17</v>
      </c>
      <c r="B141" s="7" t="s">
        <v>70</v>
      </c>
      <c r="C141" s="2" t="s">
        <v>1439</v>
      </c>
      <c r="D141" s="7" t="s">
        <v>922</v>
      </c>
      <c r="E141" s="4" t="s">
        <v>780</v>
      </c>
      <c r="F141" s="2">
        <v>25</v>
      </c>
      <c r="G141" s="2" t="s">
        <v>1399</v>
      </c>
      <c r="H141" s="2" t="s">
        <v>1400</v>
      </c>
      <c r="I141" s="4" t="s">
        <v>60</v>
      </c>
      <c r="J141" s="112">
        <f>IF($H141&lt;&gt;"Y",0,ROUND(MIN(Dashboard!$R$24,IF(IFERROR(VLOOKUP($B141,Dashboard!$Q$28:$S$60,2,FALSE),0)&gt;0,IFERROR(VLOOKUP($B141,Dashboard!$Q$28:$S$60,2,FALSE),0),$Z141*IF($U141&lt;&gt;"",ROUND((Dashboard!$R$4/$U141)*VLOOKUP($I141,Dashboard!$Q$9:$R$13,2,FALSE)*IF(ISNUMBER(SEARCH("Duals",$B141)),2,IF(ISNUMBER(SEARCH("Triples",$B141)),3,IF(ISNUMBER(SEARCH("Quads",$B141)),4,1))),2),ROUND(VLOOKUP($I141,Dashboard!$Q$15:$R$20,2,FALSE)*IF($E141="Red",Dashboard!$R$6,IF($E141="Gold",Dashboard!$R$7,Dashboard!$R$5))*IF(ISNUMBER(SEARCH("Duals",$B141)),2,IF(ISNUMBER(SEARCH("Triples",$B141)),3,IF(ISNUMBER(SEARCH("Quads",$B141)),4,1))),2))*IF(IFERROR(VLOOKUP($B141,Dashboard!$Q$28:$S$60,3,FALSE),0)&gt;0,VLOOKUP($B141,Dashboard!$Q$28:$S$60,3,FALSE),1))),0))</f>
        <v>40</v>
      </c>
      <c r="K141" s="2" t="str">
        <f>IF('Base S1'!H41="","",'Base S1'!H41)</f>
        <v>V 14/25</v>
      </c>
      <c r="L141" s="2">
        <f t="shared" si="26"/>
        <v>1</v>
      </c>
      <c r="M141" s="2">
        <f t="shared" si="27"/>
        <v>0</v>
      </c>
      <c r="N141" s="2">
        <f t="shared" si="28"/>
        <v>1</v>
      </c>
      <c r="O141" s="2">
        <f t="shared" si="29"/>
        <v>0</v>
      </c>
      <c r="P141" s="112">
        <f t="shared" si="30"/>
        <v>40</v>
      </c>
      <c r="Q141" s="112">
        <f t="shared" si="31"/>
        <v>0</v>
      </c>
      <c r="R141" s="53"/>
      <c r="S141" s="53" t="str">
        <f t="shared" si="32"/>
        <v>Base S1|Black Parallel - Season 1|40|Black</v>
      </c>
      <c r="T141" s="57" t="str">
        <f>IF($S141="","",IFERROR(VLOOKUP($S141,'Pop Estimates (Non-#d)'!$N$2:$O$500,2,FALSE),""))</f>
        <v/>
      </c>
      <c r="U141" s="57">
        <f t="shared" si="33"/>
        <v>25</v>
      </c>
      <c r="V141" s="53" t="str">
        <f t="shared" si="34"/>
        <v/>
      </c>
      <c r="W141" s="53" t="str">
        <f t="shared" si="35"/>
        <v/>
      </c>
      <c r="X141" s="53" t="str">
        <f t="shared" si="36"/>
        <v/>
      </c>
      <c r="Y141" s="57" t="str">
        <f>IF($X141="","",IFERROR(VLOOKUP($X141,'Char Popularity'!$A$2:$C$500,2,FALSE),""))</f>
        <v/>
      </c>
      <c r="Z141" s="56">
        <f>IF($X141="",1,IFERROR(VLOOKUP($X141,'Char Popularity'!$A$2:$C$500,3,FALSE),1))</f>
        <v>1</v>
      </c>
      <c r="AA141" s="62">
        <f>IF($H141&lt;&gt;"Y",0,(IF($F141&lt;&gt;"",ROUND(Dashboard!$R$4/$F141,1),IF(AND($I141="Base",$E141="Base"),Dashboard!$R$5,IF(AND($I141="Base",$E141="Red"),Dashboard!$R$6,IF(AND($I141="Base",$E141="Gold"),Dashboard!$R$7,VLOOKUP($I141,Dashboard!$Q$16:$R$21,2,FALSE)))))*VLOOKUP($I141,Dashboard!$Q$9:$R$13,2,FALSE)*IF(AND($I141="Auto",$F141="",OR($B141="Autographs Duals",$B141="Autographs Triples",$B141="Autographs Quads",$B141="Autographs Quads (Inscribed)")),IF($B141="Autographs Duals",2,IF($B141="Autographs Triples",3,4)),1)))</f>
        <v>40</v>
      </c>
      <c r="AB141" s="62">
        <f t="shared" si="37"/>
        <v>40</v>
      </c>
      <c r="AC141" s="62">
        <f t="shared" si="38"/>
        <v>0</v>
      </c>
    </row>
    <row r="142" spans="1:29" ht="28.7" customHeight="1" x14ac:dyDescent="0.25">
      <c r="A142" s="4" t="s">
        <v>17</v>
      </c>
      <c r="B142" s="7" t="s">
        <v>70</v>
      </c>
      <c r="C142" s="2" t="s">
        <v>1440</v>
      </c>
      <c r="D142" s="7" t="s">
        <v>925</v>
      </c>
      <c r="E142" s="4" t="s">
        <v>780</v>
      </c>
      <c r="F142" s="2">
        <v>25</v>
      </c>
      <c r="G142" s="2" t="s">
        <v>1399</v>
      </c>
      <c r="H142" s="2" t="s">
        <v>1400</v>
      </c>
      <c r="I142" s="4" t="s">
        <v>60</v>
      </c>
      <c r="J142" s="112">
        <f>IF($H142&lt;&gt;"Y",0,ROUND(MIN(Dashboard!$R$24,IF(IFERROR(VLOOKUP($B142,Dashboard!$Q$28:$S$60,2,FALSE),0)&gt;0,IFERROR(VLOOKUP($B142,Dashboard!$Q$28:$S$60,2,FALSE),0),$Z142*IF($U142&lt;&gt;"",ROUND((Dashboard!$R$4/$U142)*VLOOKUP($I142,Dashboard!$Q$9:$R$13,2,FALSE)*IF(ISNUMBER(SEARCH("Duals",$B142)),2,IF(ISNUMBER(SEARCH("Triples",$B142)),3,IF(ISNUMBER(SEARCH("Quads",$B142)),4,1))),2),ROUND(VLOOKUP($I142,Dashboard!$Q$15:$R$20,2,FALSE)*IF($E142="Red",Dashboard!$R$6,IF($E142="Gold",Dashboard!$R$7,Dashboard!$R$5))*IF(ISNUMBER(SEARCH("Duals",$B142)),2,IF(ISNUMBER(SEARCH("Triples",$B142)),3,IF(ISNUMBER(SEARCH("Quads",$B142)),4,1))),2))*IF(IFERROR(VLOOKUP($B142,Dashboard!$Q$28:$S$60,3,FALSE),0)&gt;0,VLOOKUP($B142,Dashboard!$Q$28:$S$60,3,FALSE),1))),0))</f>
        <v>40</v>
      </c>
      <c r="K142" s="2" t="str">
        <f>IF('Base S1'!H42="","",'Base S1'!H42)</f>
        <v/>
      </c>
      <c r="L142" s="2">
        <f t="shared" si="26"/>
        <v>0</v>
      </c>
      <c r="M142" s="2">
        <f t="shared" si="27"/>
        <v>0</v>
      </c>
      <c r="N142" s="2">
        <f t="shared" si="28"/>
        <v>0</v>
      </c>
      <c r="O142" s="2">
        <f t="shared" si="29"/>
        <v>1</v>
      </c>
      <c r="P142" s="112">
        <f t="shared" si="30"/>
        <v>0</v>
      </c>
      <c r="Q142" s="112">
        <f t="shared" si="31"/>
        <v>0</v>
      </c>
      <c r="R142" s="53"/>
      <c r="S142" s="53" t="str">
        <f t="shared" si="32"/>
        <v>Base S1|Black Parallel - Season 1|41|Black</v>
      </c>
      <c r="T142" s="57" t="str">
        <f>IF($S142="","",IFERROR(VLOOKUP($S142,'Pop Estimates (Non-#d)'!$N$2:$O$500,2,FALSE),""))</f>
        <v/>
      </c>
      <c r="U142" s="57">
        <f t="shared" si="33"/>
        <v>25</v>
      </c>
      <c r="V142" s="53" t="str">
        <f t="shared" si="34"/>
        <v/>
      </c>
      <c r="W142" s="53" t="str">
        <f t="shared" si="35"/>
        <v/>
      </c>
      <c r="X142" s="53" t="str">
        <f t="shared" si="36"/>
        <v/>
      </c>
      <c r="Y142" s="57" t="str">
        <f>IF($X142="","",IFERROR(VLOOKUP($X142,'Char Popularity'!$A$2:$C$500,2,FALSE),""))</f>
        <v/>
      </c>
      <c r="Z142" s="56">
        <f>IF($X142="",1,IFERROR(VLOOKUP($X142,'Char Popularity'!$A$2:$C$500,3,FALSE),1))</f>
        <v>1</v>
      </c>
      <c r="AA142" s="62">
        <f>IF($H142&lt;&gt;"Y",0,(IF($F142&lt;&gt;"",ROUND(Dashboard!$R$4/$F142,1),IF(AND($I142="Base",$E142="Base"),Dashboard!$R$5,IF(AND($I142="Base",$E142="Red"),Dashboard!$R$6,IF(AND($I142="Base",$E142="Gold"),Dashboard!$R$7,VLOOKUP($I142,Dashboard!$Q$16:$R$21,2,FALSE)))))*VLOOKUP($I142,Dashboard!$Q$9:$R$13,2,FALSE)*IF(AND($I142="Auto",$F142="",OR($B142="Autographs Duals",$B142="Autographs Triples",$B142="Autographs Quads",$B142="Autographs Quads (Inscribed)")),IF($B142="Autographs Duals",2,IF($B142="Autographs Triples",3,4)),1)))</f>
        <v>40</v>
      </c>
      <c r="AB142" s="62">
        <f t="shared" si="37"/>
        <v>0</v>
      </c>
      <c r="AC142" s="62">
        <f t="shared" si="38"/>
        <v>0</v>
      </c>
    </row>
    <row r="143" spans="1:29" ht="28.7" customHeight="1" x14ac:dyDescent="0.25">
      <c r="A143" s="4" t="s">
        <v>17</v>
      </c>
      <c r="B143" s="7" t="s">
        <v>70</v>
      </c>
      <c r="C143" s="2" t="s">
        <v>1441</v>
      </c>
      <c r="D143" s="7" t="s">
        <v>926</v>
      </c>
      <c r="E143" s="4" t="s">
        <v>780</v>
      </c>
      <c r="F143" s="2">
        <v>25</v>
      </c>
      <c r="G143" s="2" t="s">
        <v>1399</v>
      </c>
      <c r="H143" s="2" t="s">
        <v>1400</v>
      </c>
      <c r="I143" s="4" t="s">
        <v>60</v>
      </c>
      <c r="J143" s="112">
        <f>IF($H143&lt;&gt;"Y",0,ROUND(MIN(Dashboard!$R$24,IF(IFERROR(VLOOKUP($B143,Dashboard!$Q$28:$S$60,2,FALSE),0)&gt;0,IFERROR(VLOOKUP($B143,Dashboard!$Q$28:$S$60,2,FALSE),0),$Z143*IF($U143&lt;&gt;"",ROUND((Dashboard!$R$4/$U143)*VLOOKUP($I143,Dashboard!$Q$9:$R$13,2,FALSE)*IF(ISNUMBER(SEARCH("Duals",$B143)),2,IF(ISNUMBER(SEARCH("Triples",$B143)),3,IF(ISNUMBER(SEARCH("Quads",$B143)),4,1))),2),ROUND(VLOOKUP($I143,Dashboard!$Q$15:$R$20,2,FALSE)*IF($E143="Red",Dashboard!$R$6,IF($E143="Gold",Dashboard!$R$7,Dashboard!$R$5))*IF(ISNUMBER(SEARCH("Duals",$B143)),2,IF(ISNUMBER(SEARCH("Triples",$B143)),3,IF(ISNUMBER(SEARCH("Quads",$B143)),4,1))),2))*IF(IFERROR(VLOOKUP($B143,Dashboard!$Q$28:$S$60,3,FALSE),0)&gt;0,VLOOKUP($B143,Dashboard!$Q$28:$S$60,3,FALSE),1))),0))</f>
        <v>40</v>
      </c>
      <c r="K143" s="2" t="str">
        <f>IF('Base S1'!H43="","",'Base S1'!H43)</f>
        <v/>
      </c>
      <c r="L143" s="2">
        <f t="shared" si="26"/>
        <v>0</v>
      </c>
      <c r="M143" s="2">
        <f t="shared" si="27"/>
        <v>0</v>
      </c>
      <c r="N143" s="2">
        <f t="shared" si="28"/>
        <v>0</v>
      </c>
      <c r="O143" s="2">
        <f t="shared" si="29"/>
        <v>1</v>
      </c>
      <c r="P143" s="112">
        <f t="shared" si="30"/>
        <v>0</v>
      </c>
      <c r="Q143" s="112">
        <f t="shared" si="31"/>
        <v>0</v>
      </c>
      <c r="R143" s="53"/>
      <c r="S143" s="53" t="str">
        <f t="shared" si="32"/>
        <v>Base S1|Black Parallel - Season 1|42|Black</v>
      </c>
      <c r="T143" s="57" t="str">
        <f>IF($S143="","",IFERROR(VLOOKUP($S143,'Pop Estimates (Non-#d)'!$N$2:$O$500,2,FALSE),""))</f>
        <v/>
      </c>
      <c r="U143" s="57">
        <f t="shared" si="33"/>
        <v>25</v>
      </c>
      <c r="V143" s="53" t="str">
        <f t="shared" si="34"/>
        <v/>
      </c>
      <c r="W143" s="53" t="str">
        <f t="shared" si="35"/>
        <v/>
      </c>
      <c r="X143" s="53" t="str">
        <f t="shared" si="36"/>
        <v/>
      </c>
      <c r="Y143" s="57" t="str">
        <f>IF($X143="","",IFERROR(VLOOKUP($X143,'Char Popularity'!$A$2:$C$500,2,FALSE),""))</f>
        <v/>
      </c>
      <c r="Z143" s="56">
        <f>IF($X143="",1,IFERROR(VLOOKUP($X143,'Char Popularity'!$A$2:$C$500,3,FALSE),1))</f>
        <v>1</v>
      </c>
      <c r="AA143" s="62">
        <f>IF($H143&lt;&gt;"Y",0,(IF($F143&lt;&gt;"",ROUND(Dashboard!$R$4/$F143,1),IF(AND($I143="Base",$E143="Base"),Dashboard!$R$5,IF(AND($I143="Base",$E143="Red"),Dashboard!$R$6,IF(AND($I143="Base",$E143="Gold"),Dashboard!$R$7,VLOOKUP($I143,Dashboard!$Q$16:$R$21,2,FALSE)))))*VLOOKUP($I143,Dashboard!$Q$9:$R$13,2,FALSE)*IF(AND($I143="Auto",$F143="",OR($B143="Autographs Duals",$B143="Autographs Triples",$B143="Autographs Quads",$B143="Autographs Quads (Inscribed)")),IF($B143="Autographs Duals",2,IF($B143="Autographs Triples",3,4)),1)))</f>
        <v>40</v>
      </c>
      <c r="AB143" s="62">
        <f t="shared" si="37"/>
        <v>0</v>
      </c>
      <c r="AC143" s="62">
        <f t="shared" si="38"/>
        <v>0</v>
      </c>
    </row>
    <row r="144" spans="1:29" ht="28.7" customHeight="1" x14ac:dyDescent="0.25">
      <c r="A144" s="4" t="s">
        <v>17</v>
      </c>
      <c r="B144" s="7" t="s">
        <v>70</v>
      </c>
      <c r="C144" s="2" t="s">
        <v>1442</v>
      </c>
      <c r="D144" s="7" t="s">
        <v>928</v>
      </c>
      <c r="E144" s="4" t="s">
        <v>780</v>
      </c>
      <c r="F144" s="2">
        <v>25</v>
      </c>
      <c r="G144" s="2" t="s">
        <v>1399</v>
      </c>
      <c r="H144" s="2" t="s">
        <v>1400</v>
      </c>
      <c r="I144" s="4" t="s">
        <v>60</v>
      </c>
      <c r="J144" s="112">
        <f>IF($H144&lt;&gt;"Y",0,ROUND(MIN(Dashboard!$R$24,IF(IFERROR(VLOOKUP($B144,Dashboard!$Q$28:$S$60,2,FALSE),0)&gt;0,IFERROR(VLOOKUP($B144,Dashboard!$Q$28:$S$60,2,FALSE),0),$Z144*IF($U144&lt;&gt;"",ROUND((Dashboard!$R$4/$U144)*VLOOKUP($I144,Dashboard!$Q$9:$R$13,2,FALSE)*IF(ISNUMBER(SEARCH("Duals",$B144)),2,IF(ISNUMBER(SEARCH("Triples",$B144)),3,IF(ISNUMBER(SEARCH("Quads",$B144)),4,1))),2),ROUND(VLOOKUP($I144,Dashboard!$Q$15:$R$20,2,FALSE)*IF($E144="Red",Dashboard!$R$6,IF($E144="Gold",Dashboard!$R$7,Dashboard!$R$5))*IF(ISNUMBER(SEARCH("Duals",$B144)),2,IF(ISNUMBER(SEARCH("Triples",$B144)),3,IF(ISNUMBER(SEARCH("Quads",$B144)),4,1))),2))*IF(IFERROR(VLOOKUP($B144,Dashboard!$Q$28:$S$60,3,FALSE),0)&gt;0,VLOOKUP($B144,Dashboard!$Q$28:$S$60,3,FALSE),1))),0))</f>
        <v>40</v>
      </c>
      <c r="K144" s="2" t="str">
        <f>IF('Base S1'!H44="","",'Base S1'!H44)</f>
        <v/>
      </c>
      <c r="L144" s="2">
        <f t="shared" si="26"/>
        <v>0</v>
      </c>
      <c r="M144" s="2">
        <f t="shared" si="27"/>
        <v>0</v>
      </c>
      <c r="N144" s="2">
        <f t="shared" si="28"/>
        <v>0</v>
      </c>
      <c r="O144" s="2">
        <f t="shared" si="29"/>
        <v>1</v>
      </c>
      <c r="P144" s="112">
        <f t="shared" si="30"/>
        <v>0</v>
      </c>
      <c r="Q144" s="112">
        <f t="shared" si="31"/>
        <v>0</v>
      </c>
      <c r="R144" s="53"/>
      <c r="S144" s="53" t="str">
        <f t="shared" si="32"/>
        <v>Base S1|Black Parallel - Season 1|43|Black</v>
      </c>
      <c r="T144" s="57" t="str">
        <f>IF($S144="","",IFERROR(VLOOKUP($S144,'Pop Estimates (Non-#d)'!$N$2:$O$500,2,FALSE),""))</f>
        <v/>
      </c>
      <c r="U144" s="57">
        <f t="shared" si="33"/>
        <v>25</v>
      </c>
      <c r="V144" s="53" t="str">
        <f t="shared" si="34"/>
        <v/>
      </c>
      <c r="W144" s="53" t="str">
        <f t="shared" si="35"/>
        <v/>
      </c>
      <c r="X144" s="53" t="str">
        <f t="shared" si="36"/>
        <v/>
      </c>
      <c r="Y144" s="57" t="str">
        <f>IF($X144="","",IFERROR(VLOOKUP($X144,'Char Popularity'!$A$2:$C$500,2,FALSE),""))</f>
        <v/>
      </c>
      <c r="Z144" s="56">
        <f>IF($X144="",1,IFERROR(VLOOKUP($X144,'Char Popularity'!$A$2:$C$500,3,FALSE),1))</f>
        <v>1</v>
      </c>
      <c r="AA144" s="62">
        <f>IF($H144&lt;&gt;"Y",0,(IF($F144&lt;&gt;"",ROUND(Dashboard!$R$4/$F144,1),IF(AND($I144="Base",$E144="Base"),Dashboard!$R$5,IF(AND($I144="Base",$E144="Red"),Dashboard!$R$6,IF(AND($I144="Base",$E144="Gold"),Dashboard!$R$7,VLOOKUP($I144,Dashboard!$Q$16:$R$21,2,FALSE)))))*VLOOKUP($I144,Dashboard!$Q$9:$R$13,2,FALSE)*IF(AND($I144="Auto",$F144="",OR($B144="Autographs Duals",$B144="Autographs Triples",$B144="Autographs Quads",$B144="Autographs Quads (Inscribed)")),IF($B144="Autographs Duals",2,IF($B144="Autographs Triples",3,4)),1)))</f>
        <v>40</v>
      </c>
      <c r="AB144" s="62">
        <f t="shared" si="37"/>
        <v>0</v>
      </c>
      <c r="AC144" s="62">
        <f t="shared" si="38"/>
        <v>0</v>
      </c>
    </row>
    <row r="145" spans="1:29" ht="28.7" customHeight="1" x14ac:dyDescent="0.25">
      <c r="A145" s="4" t="s">
        <v>17</v>
      </c>
      <c r="B145" s="7" t="s">
        <v>70</v>
      </c>
      <c r="C145" s="2" t="s">
        <v>1443</v>
      </c>
      <c r="D145" s="7" t="s">
        <v>930</v>
      </c>
      <c r="E145" s="4" t="s">
        <v>780</v>
      </c>
      <c r="F145" s="2">
        <v>25</v>
      </c>
      <c r="G145" s="2" t="s">
        <v>1399</v>
      </c>
      <c r="H145" s="2" t="s">
        <v>1400</v>
      </c>
      <c r="I145" s="4" t="s">
        <v>60</v>
      </c>
      <c r="J145" s="112">
        <f>IF($H145&lt;&gt;"Y",0,ROUND(MIN(Dashboard!$R$24,IF(IFERROR(VLOOKUP($B145,Dashboard!$Q$28:$S$60,2,FALSE),0)&gt;0,IFERROR(VLOOKUP($B145,Dashboard!$Q$28:$S$60,2,FALSE),0),$Z145*IF($U145&lt;&gt;"",ROUND((Dashboard!$R$4/$U145)*VLOOKUP($I145,Dashboard!$Q$9:$R$13,2,FALSE)*IF(ISNUMBER(SEARCH("Duals",$B145)),2,IF(ISNUMBER(SEARCH("Triples",$B145)),3,IF(ISNUMBER(SEARCH("Quads",$B145)),4,1))),2),ROUND(VLOOKUP($I145,Dashboard!$Q$15:$R$20,2,FALSE)*IF($E145="Red",Dashboard!$R$6,IF($E145="Gold",Dashboard!$R$7,Dashboard!$R$5))*IF(ISNUMBER(SEARCH("Duals",$B145)),2,IF(ISNUMBER(SEARCH("Triples",$B145)),3,IF(ISNUMBER(SEARCH("Quads",$B145)),4,1))),2))*IF(IFERROR(VLOOKUP($B145,Dashboard!$Q$28:$S$60,3,FALSE),0)&gt;0,VLOOKUP($B145,Dashboard!$Q$28:$S$60,3,FALSE),1))),0))</f>
        <v>40</v>
      </c>
      <c r="K145" s="2" t="str">
        <f>IF('Base S1'!H45="","",'Base S1'!H45)</f>
        <v/>
      </c>
      <c r="L145" s="2">
        <f t="shared" si="26"/>
        <v>0</v>
      </c>
      <c r="M145" s="2">
        <f t="shared" si="27"/>
        <v>0</v>
      </c>
      <c r="N145" s="2">
        <f t="shared" si="28"/>
        <v>0</v>
      </c>
      <c r="O145" s="2">
        <f t="shared" si="29"/>
        <v>1</v>
      </c>
      <c r="P145" s="112">
        <f t="shared" si="30"/>
        <v>0</v>
      </c>
      <c r="Q145" s="112">
        <f t="shared" si="31"/>
        <v>0</v>
      </c>
      <c r="R145" s="53"/>
      <c r="S145" s="53" t="str">
        <f t="shared" si="32"/>
        <v>Base S1|Black Parallel - Season 1|44|Black</v>
      </c>
      <c r="T145" s="57" t="str">
        <f>IF($S145="","",IFERROR(VLOOKUP($S145,'Pop Estimates (Non-#d)'!$N$2:$O$500,2,FALSE),""))</f>
        <v/>
      </c>
      <c r="U145" s="57">
        <f t="shared" si="33"/>
        <v>25</v>
      </c>
      <c r="V145" s="53" t="str">
        <f t="shared" si="34"/>
        <v/>
      </c>
      <c r="W145" s="53" t="str">
        <f t="shared" si="35"/>
        <v/>
      </c>
      <c r="X145" s="53" t="str">
        <f t="shared" si="36"/>
        <v/>
      </c>
      <c r="Y145" s="57" t="str">
        <f>IF($X145="","",IFERROR(VLOOKUP($X145,'Char Popularity'!$A$2:$C$500,2,FALSE),""))</f>
        <v/>
      </c>
      <c r="Z145" s="56">
        <f>IF($X145="",1,IFERROR(VLOOKUP($X145,'Char Popularity'!$A$2:$C$500,3,FALSE),1))</f>
        <v>1</v>
      </c>
      <c r="AA145" s="62">
        <f>IF($H145&lt;&gt;"Y",0,(IF($F145&lt;&gt;"",ROUND(Dashboard!$R$4/$F145,1),IF(AND($I145="Base",$E145="Base"),Dashboard!$R$5,IF(AND($I145="Base",$E145="Red"),Dashboard!$R$6,IF(AND($I145="Base",$E145="Gold"),Dashboard!$R$7,VLOOKUP($I145,Dashboard!$Q$16:$R$21,2,FALSE)))))*VLOOKUP($I145,Dashboard!$Q$9:$R$13,2,FALSE)*IF(AND($I145="Auto",$F145="",OR($B145="Autographs Duals",$B145="Autographs Triples",$B145="Autographs Quads",$B145="Autographs Quads (Inscribed)")),IF($B145="Autographs Duals",2,IF($B145="Autographs Triples",3,4)),1)))</f>
        <v>40</v>
      </c>
      <c r="AB145" s="62">
        <f t="shared" si="37"/>
        <v>0</v>
      </c>
      <c r="AC145" s="62">
        <f t="shared" si="38"/>
        <v>0</v>
      </c>
    </row>
    <row r="146" spans="1:29" ht="28.7" customHeight="1" x14ac:dyDescent="0.25">
      <c r="A146" s="4" t="s">
        <v>17</v>
      </c>
      <c r="B146" s="7" t="s">
        <v>70</v>
      </c>
      <c r="C146" s="2" t="s">
        <v>1444</v>
      </c>
      <c r="D146" s="7" t="s">
        <v>932</v>
      </c>
      <c r="E146" s="4" t="s">
        <v>780</v>
      </c>
      <c r="F146" s="2">
        <v>25</v>
      </c>
      <c r="G146" s="2" t="s">
        <v>1399</v>
      </c>
      <c r="H146" s="2" t="s">
        <v>1400</v>
      </c>
      <c r="I146" s="4" t="s">
        <v>60</v>
      </c>
      <c r="J146" s="112">
        <f>IF($H146&lt;&gt;"Y",0,ROUND(MIN(Dashboard!$R$24,IF(IFERROR(VLOOKUP($B146,Dashboard!$Q$28:$S$60,2,FALSE),0)&gt;0,IFERROR(VLOOKUP($B146,Dashboard!$Q$28:$S$60,2,FALSE),0),$Z146*IF($U146&lt;&gt;"",ROUND((Dashboard!$R$4/$U146)*VLOOKUP($I146,Dashboard!$Q$9:$R$13,2,FALSE)*IF(ISNUMBER(SEARCH("Duals",$B146)),2,IF(ISNUMBER(SEARCH("Triples",$B146)),3,IF(ISNUMBER(SEARCH("Quads",$B146)),4,1))),2),ROUND(VLOOKUP($I146,Dashboard!$Q$15:$R$20,2,FALSE)*IF($E146="Red",Dashboard!$R$6,IF($E146="Gold",Dashboard!$R$7,Dashboard!$R$5))*IF(ISNUMBER(SEARCH("Duals",$B146)),2,IF(ISNUMBER(SEARCH("Triples",$B146)),3,IF(ISNUMBER(SEARCH("Quads",$B146)),4,1))),2))*IF(IFERROR(VLOOKUP($B146,Dashboard!$Q$28:$S$60,3,FALSE),0)&gt;0,VLOOKUP($B146,Dashboard!$Q$28:$S$60,3,FALSE),1))),0))</f>
        <v>40</v>
      </c>
      <c r="K146" s="2" t="str">
        <f>IF('Base S1'!H46="","",'Base S1'!H46)</f>
        <v>V 05/25</v>
      </c>
      <c r="L146" s="2">
        <f t="shared" si="26"/>
        <v>1</v>
      </c>
      <c r="M146" s="2">
        <f t="shared" si="27"/>
        <v>0</v>
      </c>
      <c r="N146" s="2">
        <f t="shared" si="28"/>
        <v>1</v>
      </c>
      <c r="O146" s="2">
        <f t="shared" si="29"/>
        <v>0</v>
      </c>
      <c r="P146" s="112">
        <f t="shared" si="30"/>
        <v>40</v>
      </c>
      <c r="Q146" s="112">
        <f t="shared" si="31"/>
        <v>0</v>
      </c>
      <c r="R146" s="53"/>
      <c r="S146" s="53" t="str">
        <f t="shared" si="32"/>
        <v>Base S1|Black Parallel - Season 1|45|Black</v>
      </c>
      <c r="T146" s="57" t="str">
        <f>IF($S146="","",IFERROR(VLOOKUP($S146,'Pop Estimates (Non-#d)'!$N$2:$O$500,2,FALSE),""))</f>
        <v/>
      </c>
      <c r="U146" s="57">
        <f t="shared" si="33"/>
        <v>25</v>
      </c>
      <c r="V146" s="53" t="str">
        <f t="shared" si="34"/>
        <v/>
      </c>
      <c r="W146" s="53" t="str">
        <f t="shared" si="35"/>
        <v/>
      </c>
      <c r="X146" s="53" t="str">
        <f t="shared" si="36"/>
        <v/>
      </c>
      <c r="Y146" s="57" t="str">
        <f>IF($X146="","",IFERROR(VLOOKUP($X146,'Char Popularity'!$A$2:$C$500,2,FALSE),""))</f>
        <v/>
      </c>
      <c r="Z146" s="56">
        <f>IF($X146="",1,IFERROR(VLOOKUP($X146,'Char Popularity'!$A$2:$C$500,3,FALSE),1))</f>
        <v>1</v>
      </c>
      <c r="AA146" s="62">
        <f>IF($H146&lt;&gt;"Y",0,(IF($F146&lt;&gt;"",ROUND(Dashboard!$R$4/$F146,1),IF(AND($I146="Base",$E146="Base"),Dashboard!$R$5,IF(AND($I146="Base",$E146="Red"),Dashboard!$R$6,IF(AND($I146="Base",$E146="Gold"),Dashboard!$R$7,VLOOKUP($I146,Dashboard!$Q$16:$R$21,2,FALSE)))))*VLOOKUP($I146,Dashboard!$Q$9:$R$13,2,FALSE)*IF(AND($I146="Auto",$F146="",OR($B146="Autographs Duals",$B146="Autographs Triples",$B146="Autographs Quads",$B146="Autographs Quads (Inscribed)")),IF($B146="Autographs Duals",2,IF($B146="Autographs Triples",3,4)),1)))</f>
        <v>40</v>
      </c>
      <c r="AB146" s="62">
        <f t="shared" si="37"/>
        <v>40</v>
      </c>
      <c r="AC146" s="62">
        <f t="shared" si="38"/>
        <v>0</v>
      </c>
    </row>
    <row r="147" spans="1:29" ht="28.7" customHeight="1" x14ac:dyDescent="0.25">
      <c r="A147" s="4" t="s">
        <v>17</v>
      </c>
      <c r="B147" s="7" t="s">
        <v>70</v>
      </c>
      <c r="C147" s="2" t="s">
        <v>1445</v>
      </c>
      <c r="D147" s="7" t="s">
        <v>934</v>
      </c>
      <c r="E147" s="4" t="s">
        <v>780</v>
      </c>
      <c r="F147" s="2">
        <v>25</v>
      </c>
      <c r="G147" s="2" t="s">
        <v>1399</v>
      </c>
      <c r="H147" s="2" t="s">
        <v>1400</v>
      </c>
      <c r="I147" s="4" t="s">
        <v>60</v>
      </c>
      <c r="J147" s="112">
        <f>IF($H147&lt;&gt;"Y",0,ROUND(MIN(Dashboard!$R$24,IF(IFERROR(VLOOKUP($B147,Dashboard!$Q$28:$S$60,2,FALSE),0)&gt;0,IFERROR(VLOOKUP($B147,Dashboard!$Q$28:$S$60,2,FALSE),0),$Z147*IF($U147&lt;&gt;"",ROUND((Dashboard!$R$4/$U147)*VLOOKUP($I147,Dashboard!$Q$9:$R$13,2,FALSE)*IF(ISNUMBER(SEARCH("Duals",$B147)),2,IF(ISNUMBER(SEARCH("Triples",$B147)),3,IF(ISNUMBER(SEARCH("Quads",$B147)),4,1))),2),ROUND(VLOOKUP($I147,Dashboard!$Q$15:$R$20,2,FALSE)*IF($E147="Red",Dashboard!$R$6,IF($E147="Gold",Dashboard!$R$7,Dashboard!$R$5))*IF(ISNUMBER(SEARCH("Duals",$B147)),2,IF(ISNUMBER(SEARCH("Triples",$B147)),3,IF(ISNUMBER(SEARCH("Quads",$B147)),4,1))),2))*IF(IFERROR(VLOOKUP($B147,Dashboard!$Q$28:$S$60,3,FALSE),0)&gt;0,VLOOKUP($B147,Dashboard!$Q$28:$S$60,3,FALSE),1))),0))</f>
        <v>40</v>
      </c>
      <c r="K147" s="2" t="str">
        <f>IF('Base S1'!H47="","",'Base S1'!H47)</f>
        <v/>
      </c>
      <c r="L147" s="2">
        <f t="shared" si="26"/>
        <v>0</v>
      </c>
      <c r="M147" s="2">
        <f t="shared" si="27"/>
        <v>0</v>
      </c>
      <c r="N147" s="2">
        <f t="shared" si="28"/>
        <v>0</v>
      </c>
      <c r="O147" s="2">
        <f t="shared" si="29"/>
        <v>1</v>
      </c>
      <c r="P147" s="112">
        <f t="shared" si="30"/>
        <v>0</v>
      </c>
      <c r="Q147" s="112">
        <f t="shared" si="31"/>
        <v>0</v>
      </c>
      <c r="R147" s="53"/>
      <c r="S147" s="53" t="str">
        <f t="shared" si="32"/>
        <v>Base S1|Black Parallel - Season 1|46|Black</v>
      </c>
      <c r="T147" s="57" t="str">
        <f>IF($S147="","",IFERROR(VLOOKUP($S147,'Pop Estimates (Non-#d)'!$N$2:$O$500,2,FALSE),""))</f>
        <v/>
      </c>
      <c r="U147" s="57">
        <f t="shared" si="33"/>
        <v>25</v>
      </c>
      <c r="V147" s="53" t="str">
        <f t="shared" si="34"/>
        <v/>
      </c>
      <c r="W147" s="53" t="str">
        <f t="shared" si="35"/>
        <v/>
      </c>
      <c r="X147" s="53" t="str">
        <f t="shared" si="36"/>
        <v/>
      </c>
      <c r="Y147" s="57" t="str">
        <f>IF($X147="","",IFERROR(VLOOKUP($X147,'Char Popularity'!$A$2:$C$500,2,FALSE),""))</f>
        <v/>
      </c>
      <c r="Z147" s="56">
        <f>IF($X147="",1,IFERROR(VLOOKUP($X147,'Char Popularity'!$A$2:$C$500,3,FALSE),1))</f>
        <v>1</v>
      </c>
      <c r="AA147" s="62">
        <f>IF($H147&lt;&gt;"Y",0,(IF($F147&lt;&gt;"",ROUND(Dashboard!$R$4/$F147,1),IF(AND($I147="Base",$E147="Base"),Dashboard!$R$5,IF(AND($I147="Base",$E147="Red"),Dashboard!$R$6,IF(AND($I147="Base",$E147="Gold"),Dashboard!$R$7,VLOOKUP($I147,Dashboard!$Q$16:$R$21,2,FALSE)))))*VLOOKUP($I147,Dashboard!$Q$9:$R$13,2,FALSE)*IF(AND($I147="Auto",$F147="",OR($B147="Autographs Duals",$B147="Autographs Triples",$B147="Autographs Quads",$B147="Autographs Quads (Inscribed)")),IF($B147="Autographs Duals",2,IF($B147="Autographs Triples",3,4)),1)))</f>
        <v>40</v>
      </c>
      <c r="AB147" s="62">
        <f t="shared" si="37"/>
        <v>0</v>
      </c>
      <c r="AC147" s="62">
        <f t="shared" si="38"/>
        <v>0</v>
      </c>
    </row>
    <row r="148" spans="1:29" ht="28.7" customHeight="1" x14ac:dyDescent="0.25">
      <c r="A148" s="4" t="s">
        <v>17</v>
      </c>
      <c r="B148" s="7" t="s">
        <v>70</v>
      </c>
      <c r="C148" s="2" t="s">
        <v>1446</v>
      </c>
      <c r="D148" s="7" t="s">
        <v>562</v>
      </c>
      <c r="E148" s="4" t="s">
        <v>780</v>
      </c>
      <c r="F148" s="2">
        <v>25</v>
      </c>
      <c r="G148" s="2" t="s">
        <v>1399</v>
      </c>
      <c r="H148" s="2" t="s">
        <v>1400</v>
      </c>
      <c r="I148" s="4" t="s">
        <v>60</v>
      </c>
      <c r="J148" s="112">
        <f>IF($H148&lt;&gt;"Y",0,ROUND(MIN(Dashboard!$R$24,IF(IFERROR(VLOOKUP($B148,Dashboard!$Q$28:$S$60,2,FALSE),0)&gt;0,IFERROR(VLOOKUP($B148,Dashboard!$Q$28:$S$60,2,FALSE),0),$Z148*IF($U148&lt;&gt;"",ROUND((Dashboard!$R$4/$U148)*VLOOKUP($I148,Dashboard!$Q$9:$R$13,2,FALSE)*IF(ISNUMBER(SEARCH("Duals",$B148)),2,IF(ISNUMBER(SEARCH("Triples",$B148)),3,IF(ISNUMBER(SEARCH("Quads",$B148)),4,1))),2),ROUND(VLOOKUP($I148,Dashboard!$Q$15:$R$20,2,FALSE)*IF($E148="Red",Dashboard!$R$6,IF($E148="Gold",Dashboard!$R$7,Dashboard!$R$5))*IF(ISNUMBER(SEARCH("Duals",$B148)),2,IF(ISNUMBER(SEARCH("Triples",$B148)),3,IF(ISNUMBER(SEARCH("Quads",$B148)),4,1))),2))*IF(IFERROR(VLOOKUP($B148,Dashboard!$Q$28:$S$60,3,FALSE),0)&gt;0,VLOOKUP($B148,Dashboard!$Q$28:$S$60,3,FALSE),1))),0))</f>
        <v>40</v>
      </c>
      <c r="K148" s="2" t="str">
        <f>IF('Base S1'!H48="","",'Base S1'!H48)</f>
        <v>V 12/25</v>
      </c>
      <c r="L148" s="2">
        <f t="shared" si="26"/>
        <v>1</v>
      </c>
      <c r="M148" s="2">
        <f t="shared" si="27"/>
        <v>0</v>
      </c>
      <c r="N148" s="2">
        <f t="shared" si="28"/>
        <v>1</v>
      </c>
      <c r="O148" s="2">
        <f t="shared" si="29"/>
        <v>0</v>
      </c>
      <c r="P148" s="112">
        <f t="shared" si="30"/>
        <v>40</v>
      </c>
      <c r="Q148" s="112">
        <f t="shared" si="31"/>
        <v>0</v>
      </c>
      <c r="R148" s="53"/>
      <c r="S148" s="53" t="str">
        <f t="shared" si="32"/>
        <v>Base S1|Black Parallel - Season 1|47|Black</v>
      </c>
      <c r="T148" s="57" t="str">
        <f>IF($S148="","",IFERROR(VLOOKUP($S148,'Pop Estimates (Non-#d)'!$N$2:$O$500,2,FALSE),""))</f>
        <v/>
      </c>
      <c r="U148" s="57">
        <f t="shared" si="33"/>
        <v>25</v>
      </c>
      <c r="V148" s="53" t="str">
        <f t="shared" si="34"/>
        <v/>
      </c>
      <c r="W148" s="53" t="str">
        <f t="shared" si="35"/>
        <v/>
      </c>
      <c r="X148" s="53" t="str">
        <f t="shared" si="36"/>
        <v/>
      </c>
      <c r="Y148" s="57" t="str">
        <f>IF($X148="","",IFERROR(VLOOKUP($X148,'Char Popularity'!$A$2:$C$500,2,FALSE),""))</f>
        <v/>
      </c>
      <c r="Z148" s="56">
        <f>IF($X148="",1,IFERROR(VLOOKUP($X148,'Char Popularity'!$A$2:$C$500,3,FALSE),1))</f>
        <v>1</v>
      </c>
      <c r="AA148" s="62">
        <f>IF($H148&lt;&gt;"Y",0,(IF($F148&lt;&gt;"",ROUND(Dashboard!$R$4/$F148,1),IF(AND($I148="Base",$E148="Base"),Dashboard!$R$5,IF(AND($I148="Base",$E148="Red"),Dashboard!$R$6,IF(AND($I148="Base",$E148="Gold"),Dashboard!$R$7,VLOOKUP($I148,Dashboard!$Q$16:$R$21,2,FALSE)))))*VLOOKUP($I148,Dashboard!$Q$9:$R$13,2,FALSE)*IF(AND($I148="Auto",$F148="",OR($B148="Autographs Duals",$B148="Autographs Triples",$B148="Autographs Quads",$B148="Autographs Quads (Inscribed)")),IF($B148="Autographs Duals",2,IF($B148="Autographs Triples",3,4)),1)))</f>
        <v>40</v>
      </c>
      <c r="AB148" s="62">
        <f t="shared" si="37"/>
        <v>40</v>
      </c>
      <c r="AC148" s="62">
        <f t="shared" si="38"/>
        <v>0</v>
      </c>
    </row>
    <row r="149" spans="1:29" ht="28.7" customHeight="1" x14ac:dyDescent="0.25">
      <c r="A149" s="4" t="s">
        <v>17</v>
      </c>
      <c r="B149" s="7" t="s">
        <v>70</v>
      </c>
      <c r="C149" s="2" t="s">
        <v>1447</v>
      </c>
      <c r="D149" s="7" t="s">
        <v>539</v>
      </c>
      <c r="E149" s="4" t="s">
        <v>780</v>
      </c>
      <c r="F149" s="2">
        <v>25</v>
      </c>
      <c r="G149" s="2" t="s">
        <v>1399</v>
      </c>
      <c r="H149" s="2" t="s">
        <v>1400</v>
      </c>
      <c r="I149" s="4" t="s">
        <v>60</v>
      </c>
      <c r="J149" s="112">
        <f>IF($H149&lt;&gt;"Y",0,ROUND(MIN(Dashboard!$R$24,IF(IFERROR(VLOOKUP($B149,Dashboard!$Q$28:$S$60,2,FALSE),0)&gt;0,IFERROR(VLOOKUP($B149,Dashboard!$Q$28:$S$60,2,FALSE),0),$Z149*IF($U149&lt;&gt;"",ROUND((Dashboard!$R$4/$U149)*VLOOKUP($I149,Dashboard!$Q$9:$R$13,2,FALSE)*IF(ISNUMBER(SEARCH("Duals",$B149)),2,IF(ISNUMBER(SEARCH("Triples",$B149)),3,IF(ISNUMBER(SEARCH("Quads",$B149)),4,1))),2),ROUND(VLOOKUP($I149,Dashboard!$Q$15:$R$20,2,FALSE)*IF($E149="Red",Dashboard!$R$6,IF($E149="Gold",Dashboard!$R$7,Dashboard!$R$5))*IF(ISNUMBER(SEARCH("Duals",$B149)),2,IF(ISNUMBER(SEARCH("Triples",$B149)),3,IF(ISNUMBER(SEARCH("Quads",$B149)),4,1))),2))*IF(IFERROR(VLOOKUP($B149,Dashboard!$Q$28:$S$60,3,FALSE),0)&gt;0,VLOOKUP($B149,Dashboard!$Q$28:$S$60,3,FALSE),1))),0))</f>
        <v>40</v>
      </c>
      <c r="K149" s="2" t="str">
        <f>IF('Base S1'!H49="","",'Base S1'!H49)</f>
        <v/>
      </c>
      <c r="L149" s="2">
        <f t="shared" si="26"/>
        <v>0</v>
      </c>
      <c r="M149" s="2">
        <f t="shared" si="27"/>
        <v>0</v>
      </c>
      <c r="N149" s="2">
        <f t="shared" si="28"/>
        <v>0</v>
      </c>
      <c r="O149" s="2">
        <f t="shared" si="29"/>
        <v>1</v>
      </c>
      <c r="P149" s="112">
        <f t="shared" si="30"/>
        <v>0</v>
      </c>
      <c r="Q149" s="112">
        <f t="shared" si="31"/>
        <v>0</v>
      </c>
      <c r="R149" s="53"/>
      <c r="S149" s="53" t="str">
        <f t="shared" si="32"/>
        <v>Base S1|Black Parallel - Season 1|48|Black</v>
      </c>
      <c r="T149" s="57" t="str">
        <f>IF($S149="","",IFERROR(VLOOKUP($S149,'Pop Estimates (Non-#d)'!$N$2:$O$500,2,FALSE),""))</f>
        <v/>
      </c>
      <c r="U149" s="57">
        <f t="shared" si="33"/>
        <v>25</v>
      </c>
      <c r="V149" s="53" t="str">
        <f t="shared" si="34"/>
        <v/>
      </c>
      <c r="W149" s="53" t="str">
        <f t="shared" si="35"/>
        <v/>
      </c>
      <c r="X149" s="53" t="str">
        <f t="shared" si="36"/>
        <v/>
      </c>
      <c r="Y149" s="57" t="str">
        <f>IF($X149="","",IFERROR(VLOOKUP($X149,'Char Popularity'!$A$2:$C$500,2,FALSE),""))</f>
        <v/>
      </c>
      <c r="Z149" s="56">
        <f>IF($X149="",1,IFERROR(VLOOKUP($X149,'Char Popularity'!$A$2:$C$500,3,FALSE),1))</f>
        <v>1</v>
      </c>
      <c r="AA149" s="62">
        <f>IF($H149&lt;&gt;"Y",0,(IF($F149&lt;&gt;"",ROUND(Dashboard!$R$4/$F149,1),IF(AND($I149="Base",$E149="Base"),Dashboard!$R$5,IF(AND($I149="Base",$E149="Red"),Dashboard!$R$6,IF(AND($I149="Base",$E149="Gold"),Dashboard!$R$7,VLOOKUP($I149,Dashboard!$Q$16:$R$21,2,FALSE)))))*VLOOKUP($I149,Dashboard!$Q$9:$R$13,2,FALSE)*IF(AND($I149="Auto",$F149="",OR($B149="Autographs Duals",$B149="Autographs Triples",$B149="Autographs Quads",$B149="Autographs Quads (Inscribed)")),IF($B149="Autographs Duals",2,IF($B149="Autographs Triples",3,4)),1)))</f>
        <v>40</v>
      </c>
      <c r="AB149" s="62">
        <f t="shared" si="37"/>
        <v>0</v>
      </c>
      <c r="AC149" s="62">
        <f t="shared" si="38"/>
        <v>0</v>
      </c>
    </row>
    <row r="150" spans="1:29" ht="28.7" customHeight="1" x14ac:dyDescent="0.25">
      <c r="A150" s="4" t="s">
        <v>17</v>
      </c>
      <c r="B150" s="7" t="s">
        <v>70</v>
      </c>
      <c r="C150" s="2" t="s">
        <v>1448</v>
      </c>
      <c r="D150" s="7" t="s">
        <v>938</v>
      </c>
      <c r="E150" s="4" t="s">
        <v>780</v>
      </c>
      <c r="F150" s="2">
        <v>25</v>
      </c>
      <c r="G150" s="2" t="s">
        <v>1399</v>
      </c>
      <c r="H150" s="2" t="s">
        <v>1400</v>
      </c>
      <c r="I150" s="4" t="s">
        <v>60</v>
      </c>
      <c r="J150" s="112">
        <f>IF($H150&lt;&gt;"Y",0,ROUND(MIN(Dashboard!$R$24,IF(IFERROR(VLOOKUP($B150,Dashboard!$Q$28:$S$60,2,FALSE),0)&gt;0,IFERROR(VLOOKUP($B150,Dashboard!$Q$28:$S$60,2,FALSE),0),$Z150*IF($U150&lt;&gt;"",ROUND((Dashboard!$R$4/$U150)*VLOOKUP($I150,Dashboard!$Q$9:$R$13,2,FALSE)*IF(ISNUMBER(SEARCH("Duals",$B150)),2,IF(ISNUMBER(SEARCH("Triples",$B150)),3,IF(ISNUMBER(SEARCH("Quads",$B150)),4,1))),2),ROUND(VLOOKUP($I150,Dashboard!$Q$15:$R$20,2,FALSE)*IF($E150="Red",Dashboard!$R$6,IF($E150="Gold",Dashboard!$R$7,Dashboard!$R$5))*IF(ISNUMBER(SEARCH("Duals",$B150)),2,IF(ISNUMBER(SEARCH("Triples",$B150)),3,IF(ISNUMBER(SEARCH("Quads",$B150)),4,1))),2))*IF(IFERROR(VLOOKUP($B150,Dashboard!$Q$28:$S$60,3,FALSE),0)&gt;0,VLOOKUP($B150,Dashboard!$Q$28:$S$60,3,FALSE),1))),0))</f>
        <v>40</v>
      </c>
      <c r="K150" s="2" t="str">
        <f>IF('Base S1'!H50="","",'Base S1'!H50)</f>
        <v/>
      </c>
      <c r="L150" s="2">
        <f t="shared" si="26"/>
        <v>0</v>
      </c>
      <c r="M150" s="2">
        <f t="shared" si="27"/>
        <v>0</v>
      </c>
      <c r="N150" s="2">
        <f t="shared" si="28"/>
        <v>0</v>
      </c>
      <c r="O150" s="2">
        <f t="shared" si="29"/>
        <v>1</v>
      </c>
      <c r="P150" s="112">
        <f t="shared" si="30"/>
        <v>0</v>
      </c>
      <c r="Q150" s="112">
        <f t="shared" si="31"/>
        <v>0</v>
      </c>
      <c r="R150" s="53"/>
      <c r="S150" s="53" t="str">
        <f t="shared" si="32"/>
        <v>Base S1|Black Parallel - Season 1|49|Black</v>
      </c>
      <c r="T150" s="57" t="str">
        <f>IF($S150="","",IFERROR(VLOOKUP($S150,'Pop Estimates (Non-#d)'!$N$2:$O$500,2,FALSE),""))</f>
        <v/>
      </c>
      <c r="U150" s="57">
        <f t="shared" si="33"/>
        <v>25</v>
      </c>
      <c r="V150" s="53" t="str">
        <f t="shared" si="34"/>
        <v/>
      </c>
      <c r="W150" s="53" t="str">
        <f t="shared" si="35"/>
        <v/>
      </c>
      <c r="X150" s="53" t="str">
        <f t="shared" si="36"/>
        <v/>
      </c>
      <c r="Y150" s="57" t="str">
        <f>IF($X150="","",IFERROR(VLOOKUP($X150,'Char Popularity'!$A$2:$C$500,2,FALSE),""))</f>
        <v/>
      </c>
      <c r="Z150" s="56">
        <f>IF($X150="",1,IFERROR(VLOOKUP($X150,'Char Popularity'!$A$2:$C$500,3,FALSE),1))</f>
        <v>1</v>
      </c>
      <c r="AA150" s="62">
        <f>IF($H150&lt;&gt;"Y",0,(IF($F150&lt;&gt;"",ROUND(Dashboard!$R$4/$F150,1),IF(AND($I150="Base",$E150="Base"),Dashboard!$R$5,IF(AND($I150="Base",$E150="Red"),Dashboard!$R$6,IF(AND($I150="Base",$E150="Gold"),Dashboard!$R$7,VLOOKUP($I150,Dashboard!$Q$16:$R$21,2,FALSE)))))*VLOOKUP($I150,Dashboard!$Q$9:$R$13,2,FALSE)*IF(AND($I150="Auto",$F150="",OR($B150="Autographs Duals",$B150="Autographs Triples",$B150="Autographs Quads",$B150="Autographs Quads (Inscribed)")),IF($B150="Autographs Duals",2,IF($B150="Autographs Triples",3,4)),1)))</f>
        <v>40</v>
      </c>
      <c r="AB150" s="62">
        <f t="shared" si="37"/>
        <v>0</v>
      </c>
      <c r="AC150" s="62">
        <f t="shared" si="38"/>
        <v>0</v>
      </c>
    </row>
    <row r="151" spans="1:29" ht="28.7" customHeight="1" x14ac:dyDescent="0.25">
      <c r="A151" s="4" t="s">
        <v>17</v>
      </c>
      <c r="B151" s="7" t="s">
        <v>70</v>
      </c>
      <c r="C151" s="2" t="s">
        <v>1449</v>
      </c>
      <c r="D151" s="7" t="s">
        <v>939</v>
      </c>
      <c r="E151" s="4" t="s">
        <v>780</v>
      </c>
      <c r="F151" s="2">
        <v>25</v>
      </c>
      <c r="G151" s="2" t="s">
        <v>1399</v>
      </c>
      <c r="H151" s="2" t="s">
        <v>1400</v>
      </c>
      <c r="I151" s="4" t="s">
        <v>60</v>
      </c>
      <c r="J151" s="112">
        <f>IF($H151&lt;&gt;"Y",0,ROUND(MIN(Dashboard!$R$24,IF(IFERROR(VLOOKUP($B151,Dashboard!$Q$28:$S$60,2,FALSE),0)&gt;0,IFERROR(VLOOKUP($B151,Dashboard!$Q$28:$S$60,2,FALSE),0),$Z151*IF($U151&lt;&gt;"",ROUND((Dashboard!$R$4/$U151)*VLOOKUP($I151,Dashboard!$Q$9:$R$13,2,FALSE)*IF(ISNUMBER(SEARCH("Duals",$B151)),2,IF(ISNUMBER(SEARCH("Triples",$B151)),3,IF(ISNUMBER(SEARCH("Quads",$B151)),4,1))),2),ROUND(VLOOKUP($I151,Dashboard!$Q$15:$R$20,2,FALSE)*IF($E151="Red",Dashboard!$R$6,IF($E151="Gold",Dashboard!$R$7,Dashboard!$R$5))*IF(ISNUMBER(SEARCH("Duals",$B151)),2,IF(ISNUMBER(SEARCH("Triples",$B151)),3,IF(ISNUMBER(SEARCH("Quads",$B151)),4,1))),2))*IF(IFERROR(VLOOKUP($B151,Dashboard!$Q$28:$S$60,3,FALSE),0)&gt;0,VLOOKUP($B151,Dashboard!$Q$28:$S$60,3,FALSE),1))),0))</f>
        <v>40</v>
      </c>
      <c r="K151" s="2" t="str">
        <f>IF('Base S1'!H51="","",'Base S1'!H51)</f>
        <v/>
      </c>
      <c r="L151" s="2">
        <f t="shared" si="26"/>
        <v>0</v>
      </c>
      <c r="M151" s="2">
        <f t="shared" si="27"/>
        <v>0</v>
      </c>
      <c r="N151" s="2">
        <f t="shared" si="28"/>
        <v>0</v>
      </c>
      <c r="O151" s="2">
        <f t="shared" si="29"/>
        <v>1</v>
      </c>
      <c r="P151" s="112">
        <f t="shared" si="30"/>
        <v>0</v>
      </c>
      <c r="Q151" s="112">
        <f t="shared" si="31"/>
        <v>0</v>
      </c>
      <c r="R151" s="53"/>
      <c r="S151" s="53" t="str">
        <f t="shared" si="32"/>
        <v>Base S1|Black Parallel - Season 1|50|Black</v>
      </c>
      <c r="T151" s="57" t="str">
        <f>IF($S151="","",IFERROR(VLOOKUP($S151,'Pop Estimates (Non-#d)'!$N$2:$O$500,2,FALSE),""))</f>
        <v/>
      </c>
      <c r="U151" s="57">
        <f t="shared" si="33"/>
        <v>25</v>
      </c>
      <c r="V151" s="53" t="str">
        <f t="shared" si="34"/>
        <v/>
      </c>
      <c r="W151" s="53" t="str">
        <f t="shared" si="35"/>
        <v/>
      </c>
      <c r="X151" s="53" t="str">
        <f t="shared" si="36"/>
        <v/>
      </c>
      <c r="Y151" s="57" t="str">
        <f>IF($X151="","",IFERROR(VLOOKUP($X151,'Char Popularity'!$A$2:$C$500,2,FALSE),""))</f>
        <v/>
      </c>
      <c r="Z151" s="56">
        <f>IF($X151="",1,IFERROR(VLOOKUP($X151,'Char Popularity'!$A$2:$C$500,3,FALSE),1))</f>
        <v>1</v>
      </c>
      <c r="AA151" s="62">
        <f>IF($H151&lt;&gt;"Y",0,(IF($F151&lt;&gt;"",ROUND(Dashboard!$R$4/$F151,1),IF(AND($I151="Base",$E151="Base"),Dashboard!$R$5,IF(AND($I151="Base",$E151="Red"),Dashboard!$R$6,IF(AND($I151="Base",$E151="Gold"),Dashboard!$R$7,VLOOKUP($I151,Dashboard!$Q$16:$R$21,2,FALSE)))))*VLOOKUP($I151,Dashboard!$Q$9:$R$13,2,FALSE)*IF(AND($I151="Auto",$F151="",OR($B151="Autographs Duals",$B151="Autographs Triples",$B151="Autographs Quads",$B151="Autographs Quads (Inscribed)")),IF($B151="Autographs Duals",2,IF($B151="Autographs Triples",3,4)),1)))</f>
        <v>40</v>
      </c>
      <c r="AB151" s="62">
        <f t="shared" si="37"/>
        <v>0</v>
      </c>
      <c r="AC151" s="62">
        <f t="shared" si="38"/>
        <v>0</v>
      </c>
    </row>
    <row r="152" spans="1:29" ht="28.7" customHeight="1" x14ac:dyDescent="0.25">
      <c r="A152" s="4" t="s">
        <v>17</v>
      </c>
      <c r="B152" s="7" t="s">
        <v>70</v>
      </c>
      <c r="C152" s="2" t="s">
        <v>1450</v>
      </c>
      <c r="D152" s="7" t="s">
        <v>941</v>
      </c>
      <c r="E152" s="4" t="s">
        <v>780</v>
      </c>
      <c r="F152" s="2">
        <v>25</v>
      </c>
      <c r="G152" s="2" t="s">
        <v>1399</v>
      </c>
      <c r="H152" s="2" t="s">
        <v>1400</v>
      </c>
      <c r="I152" s="4" t="s">
        <v>60</v>
      </c>
      <c r="J152" s="112">
        <f>IF($H152&lt;&gt;"Y",0,ROUND(MIN(Dashboard!$R$24,IF(IFERROR(VLOOKUP($B152,Dashboard!$Q$28:$S$60,2,FALSE),0)&gt;0,IFERROR(VLOOKUP($B152,Dashboard!$Q$28:$S$60,2,FALSE),0),$Z152*IF($U152&lt;&gt;"",ROUND((Dashboard!$R$4/$U152)*VLOOKUP($I152,Dashboard!$Q$9:$R$13,2,FALSE)*IF(ISNUMBER(SEARCH("Duals",$B152)),2,IF(ISNUMBER(SEARCH("Triples",$B152)),3,IF(ISNUMBER(SEARCH("Quads",$B152)),4,1))),2),ROUND(VLOOKUP($I152,Dashboard!$Q$15:$R$20,2,FALSE)*IF($E152="Red",Dashboard!$R$6,IF($E152="Gold",Dashboard!$R$7,Dashboard!$R$5))*IF(ISNUMBER(SEARCH("Duals",$B152)),2,IF(ISNUMBER(SEARCH("Triples",$B152)),3,IF(ISNUMBER(SEARCH("Quads",$B152)),4,1))),2))*IF(IFERROR(VLOOKUP($B152,Dashboard!$Q$28:$S$60,3,FALSE),0)&gt;0,VLOOKUP($B152,Dashboard!$Q$28:$S$60,3,FALSE),1))),0))</f>
        <v>40</v>
      </c>
      <c r="K152" s="2" t="str">
        <f>IF('Base S1'!H52="","",'Base S1'!H52)</f>
        <v>C 18/25</v>
      </c>
      <c r="L152" s="2">
        <f t="shared" si="26"/>
        <v>1</v>
      </c>
      <c r="M152" s="2">
        <f t="shared" si="27"/>
        <v>0</v>
      </c>
      <c r="N152" s="2">
        <f t="shared" si="28"/>
        <v>1</v>
      </c>
      <c r="O152" s="2">
        <f t="shared" si="29"/>
        <v>0</v>
      </c>
      <c r="P152" s="112">
        <f t="shared" si="30"/>
        <v>40</v>
      </c>
      <c r="Q152" s="112">
        <f t="shared" si="31"/>
        <v>0</v>
      </c>
      <c r="R152" s="53"/>
      <c r="S152" s="53" t="str">
        <f t="shared" si="32"/>
        <v>Base S1|Black Parallel - Season 1|51|Black</v>
      </c>
      <c r="T152" s="57" t="str">
        <f>IF($S152="","",IFERROR(VLOOKUP($S152,'Pop Estimates (Non-#d)'!$N$2:$O$500,2,FALSE),""))</f>
        <v/>
      </c>
      <c r="U152" s="57">
        <f t="shared" si="33"/>
        <v>25</v>
      </c>
      <c r="V152" s="53" t="str">
        <f t="shared" si="34"/>
        <v/>
      </c>
      <c r="W152" s="53" t="str">
        <f t="shared" si="35"/>
        <v/>
      </c>
      <c r="X152" s="53" t="str">
        <f t="shared" si="36"/>
        <v/>
      </c>
      <c r="Y152" s="57" t="str">
        <f>IF($X152="","",IFERROR(VLOOKUP($X152,'Char Popularity'!$A$2:$C$500,2,FALSE),""))</f>
        <v/>
      </c>
      <c r="Z152" s="56">
        <f>IF($X152="",1,IFERROR(VLOOKUP($X152,'Char Popularity'!$A$2:$C$500,3,FALSE),1))</f>
        <v>1</v>
      </c>
      <c r="AA152" s="62">
        <f>IF($H152&lt;&gt;"Y",0,(IF($F152&lt;&gt;"",ROUND(Dashboard!$R$4/$F152,1),IF(AND($I152="Base",$E152="Base"),Dashboard!$R$5,IF(AND($I152="Base",$E152="Red"),Dashboard!$R$6,IF(AND($I152="Base",$E152="Gold"),Dashboard!$R$7,VLOOKUP($I152,Dashboard!$Q$16:$R$21,2,FALSE)))))*VLOOKUP($I152,Dashboard!$Q$9:$R$13,2,FALSE)*IF(AND($I152="Auto",$F152="",OR($B152="Autographs Duals",$B152="Autographs Triples",$B152="Autographs Quads",$B152="Autographs Quads (Inscribed)")),IF($B152="Autographs Duals",2,IF($B152="Autographs Triples",3,4)),1)))</f>
        <v>40</v>
      </c>
      <c r="AB152" s="62">
        <f t="shared" si="37"/>
        <v>40</v>
      </c>
      <c r="AC152" s="62">
        <f t="shared" si="38"/>
        <v>0</v>
      </c>
    </row>
    <row r="153" spans="1:29" ht="28.7" customHeight="1" x14ac:dyDescent="0.25">
      <c r="A153" s="4" t="s">
        <v>17</v>
      </c>
      <c r="B153" s="7" t="s">
        <v>70</v>
      </c>
      <c r="C153" s="2" t="s">
        <v>1451</v>
      </c>
      <c r="D153" s="7" t="s">
        <v>944</v>
      </c>
      <c r="E153" s="4" t="s">
        <v>780</v>
      </c>
      <c r="F153" s="2">
        <v>25</v>
      </c>
      <c r="G153" s="2" t="s">
        <v>1399</v>
      </c>
      <c r="H153" s="2" t="s">
        <v>1400</v>
      </c>
      <c r="I153" s="4" t="s">
        <v>60</v>
      </c>
      <c r="J153" s="112">
        <f>IF($H153&lt;&gt;"Y",0,ROUND(MIN(Dashboard!$R$24,IF(IFERROR(VLOOKUP($B153,Dashboard!$Q$28:$S$60,2,FALSE),0)&gt;0,IFERROR(VLOOKUP($B153,Dashboard!$Q$28:$S$60,2,FALSE),0),$Z153*IF($U153&lt;&gt;"",ROUND((Dashboard!$R$4/$U153)*VLOOKUP($I153,Dashboard!$Q$9:$R$13,2,FALSE)*IF(ISNUMBER(SEARCH("Duals",$B153)),2,IF(ISNUMBER(SEARCH("Triples",$B153)),3,IF(ISNUMBER(SEARCH("Quads",$B153)),4,1))),2),ROUND(VLOOKUP($I153,Dashboard!$Q$15:$R$20,2,FALSE)*IF($E153="Red",Dashboard!$R$6,IF($E153="Gold",Dashboard!$R$7,Dashboard!$R$5))*IF(ISNUMBER(SEARCH("Duals",$B153)),2,IF(ISNUMBER(SEARCH("Triples",$B153)),3,IF(ISNUMBER(SEARCH("Quads",$B153)),4,1))),2))*IF(IFERROR(VLOOKUP($B153,Dashboard!$Q$28:$S$60,3,FALSE),0)&gt;0,VLOOKUP($B153,Dashboard!$Q$28:$S$60,3,FALSE),1))),0))</f>
        <v>40</v>
      </c>
      <c r="K153" s="2" t="str">
        <f>IF('Base S1'!H53="","",'Base S1'!H53)</f>
        <v>C 20/25</v>
      </c>
      <c r="L153" s="2">
        <f t="shared" si="26"/>
        <v>1</v>
      </c>
      <c r="M153" s="2">
        <f t="shared" si="27"/>
        <v>0</v>
      </c>
      <c r="N153" s="2">
        <f t="shared" si="28"/>
        <v>1</v>
      </c>
      <c r="O153" s="2">
        <f t="shared" si="29"/>
        <v>0</v>
      </c>
      <c r="P153" s="112">
        <f t="shared" si="30"/>
        <v>40</v>
      </c>
      <c r="Q153" s="112">
        <f t="shared" si="31"/>
        <v>0</v>
      </c>
      <c r="R153" s="53"/>
      <c r="S153" s="53" t="str">
        <f t="shared" si="32"/>
        <v>Base S1|Black Parallel - Season 1|52|Black</v>
      </c>
      <c r="T153" s="57" t="str">
        <f>IF($S153="","",IFERROR(VLOOKUP($S153,'Pop Estimates (Non-#d)'!$N$2:$O$500,2,FALSE),""))</f>
        <v/>
      </c>
      <c r="U153" s="57">
        <f t="shared" si="33"/>
        <v>25</v>
      </c>
      <c r="V153" s="53" t="str">
        <f t="shared" si="34"/>
        <v/>
      </c>
      <c r="W153" s="53" t="str">
        <f t="shared" si="35"/>
        <v/>
      </c>
      <c r="X153" s="53" t="str">
        <f t="shared" si="36"/>
        <v/>
      </c>
      <c r="Y153" s="57" t="str">
        <f>IF($X153="","",IFERROR(VLOOKUP($X153,'Char Popularity'!$A$2:$C$500,2,FALSE),""))</f>
        <v/>
      </c>
      <c r="Z153" s="56">
        <f>IF($X153="",1,IFERROR(VLOOKUP($X153,'Char Popularity'!$A$2:$C$500,3,FALSE),1))</f>
        <v>1</v>
      </c>
      <c r="AA153" s="62">
        <f>IF($H153&lt;&gt;"Y",0,(IF($F153&lt;&gt;"",ROUND(Dashboard!$R$4/$F153,1),IF(AND($I153="Base",$E153="Base"),Dashboard!$R$5,IF(AND($I153="Base",$E153="Red"),Dashboard!$R$6,IF(AND($I153="Base",$E153="Gold"),Dashboard!$R$7,VLOOKUP($I153,Dashboard!$Q$16:$R$21,2,FALSE)))))*VLOOKUP($I153,Dashboard!$Q$9:$R$13,2,FALSE)*IF(AND($I153="Auto",$F153="",OR($B153="Autographs Duals",$B153="Autographs Triples",$B153="Autographs Quads",$B153="Autographs Quads (Inscribed)")),IF($B153="Autographs Duals",2,IF($B153="Autographs Triples",3,4)),1)))</f>
        <v>40</v>
      </c>
      <c r="AB153" s="62">
        <f t="shared" si="37"/>
        <v>40</v>
      </c>
      <c r="AC153" s="62">
        <f t="shared" si="38"/>
        <v>0</v>
      </c>
    </row>
    <row r="154" spans="1:29" ht="28.7" customHeight="1" x14ac:dyDescent="0.25">
      <c r="A154" s="4" t="s">
        <v>17</v>
      </c>
      <c r="B154" s="7" t="s">
        <v>70</v>
      </c>
      <c r="C154" s="2" t="s">
        <v>1452</v>
      </c>
      <c r="D154" s="7" t="s">
        <v>946</v>
      </c>
      <c r="E154" s="4" t="s">
        <v>780</v>
      </c>
      <c r="F154" s="2">
        <v>25</v>
      </c>
      <c r="G154" s="2" t="s">
        <v>1399</v>
      </c>
      <c r="H154" s="2" t="s">
        <v>1400</v>
      </c>
      <c r="I154" s="4" t="s">
        <v>60</v>
      </c>
      <c r="J154" s="112">
        <f>IF($H154&lt;&gt;"Y",0,ROUND(MIN(Dashboard!$R$24,IF(IFERROR(VLOOKUP($B154,Dashboard!$Q$28:$S$60,2,FALSE),0)&gt;0,IFERROR(VLOOKUP($B154,Dashboard!$Q$28:$S$60,2,FALSE),0),$Z154*IF($U154&lt;&gt;"",ROUND((Dashboard!$R$4/$U154)*VLOOKUP($I154,Dashboard!$Q$9:$R$13,2,FALSE)*IF(ISNUMBER(SEARCH("Duals",$B154)),2,IF(ISNUMBER(SEARCH("Triples",$B154)),3,IF(ISNUMBER(SEARCH("Quads",$B154)),4,1))),2),ROUND(VLOOKUP($I154,Dashboard!$Q$15:$R$20,2,FALSE)*IF($E154="Red",Dashboard!$R$6,IF($E154="Gold",Dashboard!$R$7,Dashboard!$R$5))*IF(ISNUMBER(SEARCH("Duals",$B154)),2,IF(ISNUMBER(SEARCH("Triples",$B154)),3,IF(ISNUMBER(SEARCH("Quads",$B154)),4,1))),2))*IF(IFERROR(VLOOKUP($B154,Dashboard!$Q$28:$S$60,3,FALSE),0)&gt;0,VLOOKUP($B154,Dashboard!$Q$28:$S$60,3,FALSE),1))),0))</f>
        <v>40</v>
      </c>
      <c r="K154" s="2" t="str">
        <f>IF('Base S1'!H54="","",'Base S1'!H54)</f>
        <v>V 19/25</v>
      </c>
      <c r="L154" s="2">
        <f t="shared" si="26"/>
        <v>1</v>
      </c>
      <c r="M154" s="2">
        <f t="shared" si="27"/>
        <v>0</v>
      </c>
      <c r="N154" s="2">
        <f t="shared" si="28"/>
        <v>1</v>
      </c>
      <c r="O154" s="2">
        <f t="shared" si="29"/>
        <v>0</v>
      </c>
      <c r="P154" s="112">
        <f t="shared" si="30"/>
        <v>40</v>
      </c>
      <c r="Q154" s="112">
        <f t="shared" si="31"/>
        <v>0</v>
      </c>
      <c r="R154" s="53"/>
      <c r="S154" s="53" t="str">
        <f t="shared" si="32"/>
        <v>Base S1|Black Parallel - Season 1|53|Black</v>
      </c>
      <c r="T154" s="57" t="str">
        <f>IF($S154="","",IFERROR(VLOOKUP($S154,'Pop Estimates (Non-#d)'!$N$2:$O$500,2,FALSE),""))</f>
        <v/>
      </c>
      <c r="U154" s="57">
        <f t="shared" si="33"/>
        <v>25</v>
      </c>
      <c r="V154" s="53" t="str">
        <f t="shared" si="34"/>
        <v/>
      </c>
      <c r="W154" s="53" t="str">
        <f t="shared" si="35"/>
        <v/>
      </c>
      <c r="X154" s="53" t="str">
        <f t="shared" si="36"/>
        <v/>
      </c>
      <c r="Y154" s="57" t="str">
        <f>IF($X154="","",IFERROR(VLOOKUP($X154,'Char Popularity'!$A$2:$C$500,2,FALSE),""))</f>
        <v/>
      </c>
      <c r="Z154" s="56">
        <f>IF($X154="",1,IFERROR(VLOOKUP($X154,'Char Popularity'!$A$2:$C$500,3,FALSE),1))</f>
        <v>1</v>
      </c>
      <c r="AA154" s="62">
        <f>IF($H154&lt;&gt;"Y",0,(IF($F154&lt;&gt;"",ROUND(Dashboard!$R$4/$F154,1),IF(AND($I154="Base",$E154="Base"),Dashboard!$R$5,IF(AND($I154="Base",$E154="Red"),Dashboard!$R$6,IF(AND($I154="Base",$E154="Gold"),Dashboard!$R$7,VLOOKUP($I154,Dashboard!$Q$16:$R$21,2,FALSE)))))*VLOOKUP($I154,Dashboard!$Q$9:$R$13,2,FALSE)*IF(AND($I154="Auto",$F154="",OR($B154="Autographs Duals",$B154="Autographs Triples",$B154="Autographs Quads",$B154="Autographs Quads (Inscribed)")),IF($B154="Autographs Duals",2,IF($B154="Autographs Triples",3,4)),1)))</f>
        <v>40</v>
      </c>
      <c r="AB154" s="62">
        <f t="shared" si="37"/>
        <v>40</v>
      </c>
      <c r="AC154" s="62">
        <f t="shared" si="38"/>
        <v>0</v>
      </c>
    </row>
    <row r="155" spans="1:29" ht="28.7" customHeight="1" x14ac:dyDescent="0.25">
      <c r="A155" s="4" t="s">
        <v>17</v>
      </c>
      <c r="B155" s="7" t="s">
        <v>70</v>
      </c>
      <c r="C155" s="2" t="s">
        <v>1453</v>
      </c>
      <c r="D155" s="7" t="s">
        <v>948</v>
      </c>
      <c r="E155" s="4" t="s">
        <v>780</v>
      </c>
      <c r="F155" s="2">
        <v>25</v>
      </c>
      <c r="G155" s="2" t="s">
        <v>1399</v>
      </c>
      <c r="H155" s="2" t="s">
        <v>1400</v>
      </c>
      <c r="I155" s="4" t="s">
        <v>60</v>
      </c>
      <c r="J155" s="112">
        <f>IF($H155&lt;&gt;"Y",0,ROUND(MIN(Dashboard!$R$24,IF(IFERROR(VLOOKUP($B155,Dashboard!$Q$28:$S$60,2,FALSE),0)&gt;0,IFERROR(VLOOKUP($B155,Dashboard!$Q$28:$S$60,2,FALSE),0),$Z155*IF($U155&lt;&gt;"",ROUND((Dashboard!$R$4/$U155)*VLOOKUP($I155,Dashboard!$Q$9:$R$13,2,FALSE)*IF(ISNUMBER(SEARCH("Duals",$B155)),2,IF(ISNUMBER(SEARCH("Triples",$B155)),3,IF(ISNUMBER(SEARCH("Quads",$B155)),4,1))),2),ROUND(VLOOKUP($I155,Dashboard!$Q$15:$R$20,2,FALSE)*IF($E155="Red",Dashboard!$R$6,IF($E155="Gold",Dashboard!$R$7,Dashboard!$R$5))*IF(ISNUMBER(SEARCH("Duals",$B155)),2,IF(ISNUMBER(SEARCH("Triples",$B155)),3,IF(ISNUMBER(SEARCH("Quads",$B155)),4,1))),2))*IF(IFERROR(VLOOKUP($B155,Dashboard!$Q$28:$S$60,3,FALSE),0)&gt;0,VLOOKUP($B155,Dashboard!$Q$28:$S$60,3,FALSE),1))),0))</f>
        <v>40</v>
      </c>
      <c r="K155" s="2" t="str">
        <f>IF('Base S1'!H55="","",'Base S1'!H55)</f>
        <v/>
      </c>
      <c r="L155" s="2">
        <f t="shared" si="26"/>
        <v>0</v>
      </c>
      <c r="M155" s="2">
        <f t="shared" si="27"/>
        <v>0</v>
      </c>
      <c r="N155" s="2">
        <f t="shared" si="28"/>
        <v>0</v>
      </c>
      <c r="O155" s="2">
        <f t="shared" si="29"/>
        <v>1</v>
      </c>
      <c r="P155" s="112">
        <f t="shared" si="30"/>
        <v>0</v>
      </c>
      <c r="Q155" s="112">
        <f t="shared" si="31"/>
        <v>0</v>
      </c>
      <c r="R155" s="53"/>
      <c r="S155" s="53" t="str">
        <f t="shared" si="32"/>
        <v>Base S1|Black Parallel - Season 1|54|Black</v>
      </c>
      <c r="T155" s="57" t="str">
        <f>IF($S155="","",IFERROR(VLOOKUP($S155,'Pop Estimates (Non-#d)'!$N$2:$O$500,2,FALSE),""))</f>
        <v/>
      </c>
      <c r="U155" s="57">
        <f t="shared" si="33"/>
        <v>25</v>
      </c>
      <c r="V155" s="53" t="str">
        <f t="shared" si="34"/>
        <v/>
      </c>
      <c r="W155" s="53" t="str">
        <f t="shared" si="35"/>
        <v/>
      </c>
      <c r="X155" s="53" t="str">
        <f t="shared" si="36"/>
        <v/>
      </c>
      <c r="Y155" s="57" t="str">
        <f>IF($X155="","",IFERROR(VLOOKUP($X155,'Char Popularity'!$A$2:$C$500,2,FALSE),""))</f>
        <v/>
      </c>
      <c r="Z155" s="56">
        <f>IF($X155="",1,IFERROR(VLOOKUP($X155,'Char Popularity'!$A$2:$C$500,3,FALSE),1))</f>
        <v>1</v>
      </c>
      <c r="AA155" s="62">
        <f>IF($H155&lt;&gt;"Y",0,(IF($F155&lt;&gt;"",ROUND(Dashboard!$R$4/$F155,1),IF(AND($I155="Base",$E155="Base"),Dashboard!$R$5,IF(AND($I155="Base",$E155="Red"),Dashboard!$R$6,IF(AND($I155="Base",$E155="Gold"),Dashboard!$R$7,VLOOKUP($I155,Dashboard!$Q$16:$R$21,2,FALSE)))))*VLOOKUP($I155,Dashboard!$Q$9:$R$13,2,FALSE)*IF(AND($I155="Auto",$F155="",OR($B155="Autographs Duals",$B155="Autographs Triples",$B155="Autographs Quads",$B155="Autographs Quads (Inscribed)")),IF($B155="Autographs Duals",2,IF($B155="Autographs Triples",3,4)),1)))</f>
        <v>40</v>
      </c>
      <c r="AB155" s="62">
        <f t="shared" si="37"/>
        <v>0</v>
      </c>
      <c r="AC155" s="62">
        <f t="shared" si="38"/>
        <v>0</v>
      </c>
    </row>
    <row r="156" spans="1:29" ht="28.7" customHeight="1" x14ac:dyDescent="0.25">
      <c r="A156" s="4" t="s">
        <v>17</v>
      </c>
      <c r="B156" s="7" t="s">
        <v>70</v>
      </c>
      <c r="C156" s="2" t="s">
        <v>1454</v>
      </c>
      <c r="D156" s="7" t="s">
        <v>950</v>
      </c>
      <c r="E156" s="4" t="s">
        <v>780</v>
      </c>
      <c r="F156" s="2">
        <v>25</v>
      </c>
      <c r="G156" s="2" t="s">
        <v>1399</v>
      </c>
      <c r="H156" s="2" t="s">
        <v>1400</v>
      </c>
      <c r="I156" s="4" t="s">
        <v>60</v>
      </c>
      <c r="J156" s="112">
        <f>IF($H156&lt;&gt;"Y",0,ROUND(MIN(Dashboard!$R$24,IF(IFERROR(VLOOKUP($B156,Dashboard!$Q$28:$S$60,2,FALSE),0)&gt;0,IFERROR(VLOOKUP($B156,Dashboard!$Q$28:$S$60,2,FALSE),0),$Z156*IF($U156&lt;&gt;"",ROUND((Dashboard!$R$4/$U156)*VLOOKUP($I156,Dashboard!$Q$9:$R$13,2,FALSE)*IF(ISNUMBER(SEARCH("Duals",$B156)),2,IF(ISNUMBER(SEARCH("Triples",$B156)),3,IF(ISNUMBER(SEARCH("Quads",$B156)),4,1))),2),ROUND(VLOOKUP($I156,Dashboard!$Q$15:$R$20,2,FALSE)*IF($E156="Red",Dashboard!$R$6,IF($E156="Gold",Dashboard!$R$7,Dashboard!$R$5))*IF(ISNUMBER(SEARCH("Duals",$B156)),2,IF(ISNUMBER(SEARCH("Triples",$B156)),3,IF(ISNUMBER(SEARCH("Quads",$B156)),4,1))),2))*IF(IFERROR(VLOOKUP($B156,Dashboard!$Q$28:$S$60,3,FALSE),0)&gt;0,VLOOKUP($B156,Dashboard!$Q$28:$S$60,3,FALSE),1))),0))</f>
        <v>40</v>
      </c>
      <c r="K156" s="2" t="str">
        <f>IF('Base S1'!H56="","",'Base S1'!H56)</f>
        <v/>
      </c>
      <c r="L156" s="2">
        <f t="shared" si="26"/>
        <v>0</v>
      </c>
      <c r="M156" s="2">
        <f t="shared" si="27"/>
        <v>0</v>
      </c>
      <c r="N156" s="2">
        <f t="shared" si="28"/>
        <v>0</v>
      </c>
      <c r="O156" s="2">
        <f t="shared" si="29"/>
        <v>1</v>
      </c>
      <c r="P156" s="112">
        <f t="shared" si="30"/>
        <v>0</v>
      </c>
      <c r="Q156" s="112">
        <f t="shared" si="31"/>
        <v>0</v>
      </c>
      <c r="R156" s="53"/>
      <c r="S156" s="53" t="str">
        <f t="shared" si="32"/>
        <v>Base S1|Black Parallel - Season 1|55|Black</v>
      </c>
      <c r="T156" s="57" t="str">
        <f>IF($S156="","",IFERROR(VLOOKUP($S156,'Pop Estimates (Non-#d)'!$N$2:$O$500,2,FALSE),""))</f>
        <v/>
      </c>
      <c r="U156" s="57">
        <f t="shared" si="33"/>
        <v>25</v>
      </c>
      <c r="V156" s="53" t="str">
        <f t="shared" si="34"/>
        <v/>
      </c>
      <c r="W156" s="53" t="str">
        <f t="shared" si="35"/>
        <v/>
      </c>
      <c r="X156" s="53" t="str">
        <f t="shared" si="36"/>
        <v/>
      </c>
      <c r="Y156" s="57" t="str">
        <f>IF($X156="","",IFERROR(VLOOKUP($X156,'Char Popularity'!$A$2:$C$500,2,FALSE),""))</f>
        <v/>
      </c>
      <c r="Z156" s="56">
        <f>IF($X156="",1,IFERROR(VLOOKUP($X156,'Char Popularity'!$A$2:$C$500,3,FALSE),1))</f>
        <v>1</v>
      </c>
      <c r="AA156" s="62">
        <f>IF($H156&lt;&gt;"Y",0,(IF($F156&lt;&gt;"",ROUND(Dashboard!$R$4/$F156,1),IF(AND($I156="Base",$E156="Base"),Dashboard!$R$5,IF(AND($I156="Base",$E156="Red"),Dashboard!$R$6,IF(AND($I156="Base",$E156="Gold"),Dashboard!$R$7,VLOOKUP($I156,Dashboard!$Q$16:$R$21,2,FALSE)))))*VLOOKUP($I156,Dashboard!$Q$9:$R$13,2,FALSE)*IF(AND($I156="Auto",$F156="",OR($B156="Autographs Duals",$B156="Autographs Triples",$B156="Autographs Quads",$B156="Autographs Quads (Inscribed)")),IF($B156="Autographs Duals",2,IF($B156="Autographs Triples",3,4)),1)))</f>
        <v>40</v>
      </c>
      <c r="AB156" s="62">
        <f t="shared" si="37"/>
        <v>0</v>
      </c>
      <c r="AC156" s="62">
        <f t="shared" si="38"/>
        <v>0</v>
      </c>
    </row>
    <row r="157" spans="1:29" ht="28.7" customHeight="1" x14ac:dyDescent="0.25">
      <c r="A157" s="4" t="s">
        <v>17</v>
      </c>
      <c r="B157" s="7" t="s">
        <v>70</v>
      </c>
      <c r="C157" s="2" t="s">
        <v>1455</v>
      </c>
      <c r="D157" s="7" t="s">
        <v>952</v>
      </c>
      <c r="E157" s="4" t="s">
        <v>780</v>
      </c>
      <c r="F157" s="2">
        <v>25</v>
      </c>
      <c r="G157" s="2" t="s">
        <v>1399</v>
      </c>
      <c r="H157" s="2" t="s">
        <v>1400</v>
      </c>
      <c r="I157" s="4" t="s">
        <v>60</v>
      </c>
      <c r="J157" s="112">
        <f>IF($H157&lt;&gt;"Y",0,ROUND(MIN(Dashboard!$R$24,IF(IFERROR(VLOOKUP($B157,Dashboard!$Q$28:$S$60,2,FALSE),0)&gt;0,IFERROR(VLOOKUP($B157,Dashboard!$Q$28:$S$60,2,FALSE),0),$Z157*IF($U157&lt;&gt;"",ROUND((Dashboard!$R$4/$U157)*VLOOKUP($I157,Dashboard!$Q$9:$R$13,2,FALSE)*IF(ISNUMBER(SEARCH("Duals",$B157)),2,IF(ISNUMBER(SEARCH("Triples",$B157)),3,IF(ISNUMBER(SEARCH("Quads",$B157)),4,1))),2),ROUND(VLOOKUP($I157,Dashboard!$Q$15:$R$20,2,FALSE)*IF($E157="Red",Dashboard!$R$6,IF($E157="Gold",Dashboard!$R$7,Dashboard!$R$5))*IF(ISNUMBER(SEARCH("Duals",$B157)),2,IF(ISNUMBER(SEARCH("Triples",$B157)),3,IF(ISNUMBER(SEARCH("Quads",$B157)),4,1))),2))*IF(IFERROR(VLOOKUP($B157,Dashboard!$Q$28:$S$60,3,FALSE),0)&gt;0,VLOOKUP($B157,Dashboard!$Q$28:$S$60,3,FALSE),1))),0))</f>
        <v>40</v>
      </c>
      <c r="K157" s="2" t="str">
        <f>IF('Base S1'!H57="","",'Base S1'!H57)</f>
        <v>V 08/25</v>
      </c>
      <c r="L157" s="2">
        <f t="shared" si="26"/>
        <v>1</v>
      </c>
      <c r="M157" s="2">
        <f t="shared" si="27"/>
        <v>0</v>
      </c>
      <c r="N157" s="2">
        <f t="shared" si="28"/>
        <v>1</v>
      </c>
      <c r="O157" s="2">
        <f t="shared" si="29"/>
        <v>0</v>
      </c>
      <c r="P157" s="112">
        <f t="shared" si="30"/>
        <v>40</v>
      </c>
      <c r="Q157" s="112">
        <f t="shared" si="31"/>
        <v>0</v>
      </c>
      <c r="R157" s="53"/>
      <c r="S157" s="53" t="str">
        <f t="shared" si="32"/>
        <v>Base S1|Black Parallel - Season 1|56|Black</v>
      </c>
      <c r="T157" s="57" t="str">
        <f>IF($S157="","",IFERROR(VLOOKUP($S157,'Pop Estimates (Non-#d)'!$N$2:$O$500,2,FALSE),""))</f>
        <v/>
      </c>
      <c r="U157" s="57">
        <f t="shared" si="33"/>
        <v>25</v>
      </c>
      <c r="V157" s="53" t="str">
        <f t="shared" si="34"/>
        <v/>
      </c>
      <c r="W157" s="53" t="str">
        <f t="shared" si="35"/>
        <v/>
      </c>
      <c r="X157" s="53" t="str">
        <f t="shared" si="36"/>
        <v/>
      </c>
      <c r="Y157" s="57" t="str">
        <f>IF($X157="","",IFERROR(VLOOKUP($X157,'Char Popularity'!$A$2:$C$500,2,FALSE),""))</f>
        <v/>
      </c>
      <c r="Z157" s="56">
        <f>IF($X157="",1,IFERROR(VLOOKUP($X157,'Char Popularity'!$A$2:$C$500,3,FALSE),1))</f>
        <v>1</v>
      </c>
      <c r="AA157" s="62">
        <f>IF($H157&lt;&gt;"Y",0,(IF($F157&lt;&gt;"",ROUND(Dashboard!$R$4/$F157,1),IF(AND($I157="Base",$E157="Base"),Dashboard!$R$5,IF(AND($I157="Base",$E157="Red"),Dashboard!$R$6,IF(AND($I157="Base",$E157="Gold"),Dashboard!$R$7,VLOOKUP($I157,Dashboard!$Q$16:$R$21,2,FALSE)))))*VLOOKUP($I157,Dashboard!$Q$9:$R$13,2,FALSE)*IF(AND($I157="Auto",$F157="",OR($B157="Autographs Duals",$B157="Autographs Triples",$B157="Autographs Quads",$B157="Autographs Quads (Inscribed)")),IF($B157="Autographs Duals",2,IF($B157="Autographs Triples",3,4)),1)))</f>
        <v>40</v>
      </c>
      <c r="AB157" s="62">
        <f t="shared" si="37"/>
        <v>40</v>
      </c>
      <c r="AC157" s="62">
        <f t="shared" si="38"/>
        <v>0</v>
      </c>
    </row>
    <row r="158" spans="1:29" ht="28.7" customHeight="1" x14ac:dyDescent="0.25">
      <c r="A158" s="4" t="s">
        <v>17</v>
      </c>
      <c r="B158" s="7" t="s">
        <v>70</v>
      </c>
      <c r="C158" s="2" t="s">
        <v>1456</v>
      </c>
      <c r="D158" s="7" t="s">
        <v>956</v>
      </c>
      <c r="E158" s="4" t="s">
        <v>780</v>
      </c>
      <c r="F158" s="2">
        <v>25</v>
      </c>
      <c r="G158" s="2" t="s">
        <v>1399</v>
      </c>
      <c r="H158" s="2" t="s">
        <v>1400</v>
      </c>
      <c r="I158" s="4" t="s">
        <v>60</v>
      </c>
      <c r="J158" s="112">
        <f>IF($H158&lt;&gt;"Y",0,ROUND(MIN(Dashboard!$R$24,IF(IFERROR(VLOOKUP($B158,Dashboard!$Q$28:$S$60,2,FALSE),0)&gt;0,IFERROR(VLOOKUP($B158,Dashboard!$Q$28:$S$60,2,FALSE),0),$Z158*IF($U158&lt;&gt;"",ROUND((Dashboard!$R$4/$U158)*VLOOKUP($I158,Dashboard!$Q$9:$R$13,2,FALSE)*IF(ISNUMBER(SEARCH("Duals",$B158)),2,IF(ISNUMBER(SEARCH("Triples",$B158)),3,IF(ISNUMBER(SEARCH("Quads",$B158)),4,1))),2),ROUND(VLOOKUP($I158,Dashboard!$Q$15:$R$20,2,FALSE)*IF($E158="Red",Dashboard!$R$6,IF($E158="Gold",Dashboard!$R$7,Dashboard!$R$5))*IF(ISNUMBER(SEARCH("Duals",$B158)),2,IF(ISNUMBER(SEARCH("Triples",$B158)),3,IF(ISNUMBER(SEARCH("Quads",$B158)),4,1))),2))*IF(IFERROR(VLOOKUP($B158,Dashboard!$Q$28:$S$60,3,FALSE),0)&gt;0,VLOOKUP($B158,Dashboard!$Q$28:$S$60,3,FALSE),1))),0))</f>
        <v>40</v>
      </c>
      <c r="K158" s="2" t="str">
        <f>IF('Base S1'!H58="","",'Base S1'!H58)</f>
        <v>C 20/25</v>
      </c>
      <c r="L158" s="2">
        <f t="shared" si="26"/>
        <v>1</v>
      </c>
      <c r="M158" s="2">
        <f t="shared" si="27"/>
        <v>0</v>
      </c>
      <c r="N158" s="2">
        <f t="shared" si="28"/>
        <v>1</v>
      </c>
      <c r="O158" s="2">
        <f t="shared" si="29"/>
        <v>0</v>
      </c>
      <c r="P158" s="112">
        <f t="shared" si="30"/>
        <v>40</v>
      </c>
      <c r="Q158" s="112">
        <f t="shared" si="31"/>
        <v>0</v>
      </c>
      <c r="R158" s="53"/>
      <c r="S158" s="53" t="str">
        <f t="shared" si="32"/>
        <v>Base S1|Black Parallel - Season 1|57|Black</v>
      </c>
      <c r="T158" s="57" t="str">
        <f>IF($S158="","",IFERROR(VLOOKUP($S158,'Pop Estimates (Non-#d)'!$N$2:$O$500,2,FALSE),""))</f>
        <v/>
      </c>
      <c r="U158" s="57">
        <f t="shared" si="33"/>
        <v>25</v>
      </c>
      <c r="V158" s="53" t="str">
        <f t="shared" si="34"/>
        <v/>
      </c>
      <c r="W158" s="53" t="str">
        <f t="shared" si="35"/>
        <v/>
      </c>
      <c r="X158" s="53" t="str">
        <f t="shared" si="36"/>
        <v/>
      </c>
      <c r="Y158" s="57" t="str">
        <f>IF($X158="","",IFERROR(VLOOKUP($X158,'Char Popularity'!$A$2:$C$500,2,FALSE),""))</f>
        <v/>
      </c>
      <c r="Z158" s="56">
        <f>IF($X158="",1,IFERROR(VLOOKUP($X158,'Char Popularity'!$A$2:$C$500,3,FALSE),1))</f>
        <v>1</v>
      </c>
      <c r="AA158" s="62">
        <f>IF($H158&lt;&gt;"Y",0,(IF($F158&lt;&gt;"",ROUND(Dashboard!$R$4/$F158,1),IF(AND($I158="Base",$E158="Base"),Dashboard!$R$5,IF(AND($I158="Base",$E158="Red"),Dashboard!$R$6,IF(AND($I158="Base",$E158="Gold"),Dashboard!$R$7,VLOOKUP($I158,Dashboard!$Q$16:$R$21,2,FALSE)))))*VLOOKUP($I158,Dashboard!$Q$9:$R$13,2,FALSE)*IF(AND($I158="Auto",$F158="",OR($B158="Autographs Duals",$B158="Autographs Triples",$B158="Autographs Quads",$B158="Autographs Quads (Inscribed)")),IF($B158="Autographs Duals",2,IF($B158="Autographs Triples",3,4)),1)))</f>
        <v>40</v>
      </c>
      <c r="AB158" s="62">
        <f t="shared" si="37"/>
        <v>40</v>
      </c>
      <c r="AC158" s="62">
        <f t="shared" si="38"/>
        <v>0</v>
      </c>
    </row>
    <row r="159" spans="1:29" ht="28.7" customHeight="1" x14ac:dyDescent="0.25">
      <c r="A159" s="4" t="s">
        <v>17</v>
      </c>
      <c r="B159" s="7" t="s">
        <v>70</v>
      </c>
      <c r="C159" s="2" t="s">
        <v>1457</v>
      </c>
      <c r="D159" s="7" t="s">
        <v>957</v>
      </c>
      <c r="E159" s="4" t="s">
        <v>780</v>
      </c>
      <c r="F159" s="2">
        <v>25</v>
      </c>
      <c r="G159" s="2" t="s">
        <v>1399</v>
      </c>
      <c r="H159" s="2" t="s">
        <v>1400</v>
      </c>
      <c r="I159" s="4" t="s">
        <v>60</v>
      </c>
      <c r="J159" s="112">
        <f>IF($H159&lt;&gt;"Y",0,ROUND(MIN(Dashboard!$R$24,IF(IFERROR(VLOOKUP($B159,Dashboard!$Q$28:$S$60,2,FALSE),0)&gt;0,IFERROR(VLOOKUP($B159,Dashboard!$Q$28:$S$60,2,FALSE),0),$Z159*IF($U159&lt;&gt;"",ROUND((Dashboard!$R$4/$U159)*VLOOKUP($I159,Dashboard!$Q$9:$R$13,2,FALSE)*IF(ISNUMBER(SEARCH("Duals",$B159)),2,IF(ISNUMBER(SEARCH("Triples",$B159)),3,IF(ISNUMBER(SEARCH("Quads",$B159)),4,1))),2),ROUND(VLOOKUP($I159,Dashboard!$Q$15:$R$20,2,FALSE)*IF($E159="Red",Dashboard!$R$6,IF($E159="Gold",Dashboard!$R$7,Dashboard!$R$5))*IF(ISNUMBER(SEARCH("Duals",$B159)),2,IF(ISNUMBER(SEARCH("Triples",$B159)),3,IF(ISNUMBER(SEARCH("Quads",$B159)),4,1))),2))*IF(IFERROR(VLOOKUP($B159,Dashboard!$Q$28:$S$60,3,FALSE),0)&gt;0,VLOOKUP($B159,Dashboard!$Q$28:$S$60,3,FALSE),1))),0))</f>
        <v>40</v>
      </c>
      <c r="K159" s="2" t="str">
        <f>IF('Base S1'!H59="","",'Base S1'!H59)</f>
        <v>C 13/25</v>
      </c>
      <c r="L159" s="2">
        <f t="shared" si="26"/>
        <v>1</v>
      </c>
      <c r="M159" s="2">
        <f t="shared" si="27"/>
        <v>0</v>
      </c>
      <c r="N159" s="2">
        <f t="shared" si="28"/>
        <v>1</v>
      </c>
      <c r="O159" s="2">
        <f t="shared" si="29"/>
        <v>0</v>
      </c>
      <c r="P159" s="112">
        <f t="shared" si="30"/>
        <v>40</v>
      </c>
      <c r="Q159" s="112">
        <f t="shared" si="31"/>
        <v>0</v>
      </c>
      <c r="R159" s="53"/>
      <c r="S159" s="53" t="str">
        <f t="shared" si="32"/>
        <v>Base S1|Black Parallel - Season 1|58|Black</v>
      </c>
      <c r="T159" s="57" t="str">
        <f>IF($S159="","",IFERROR(VLOOKUP($S159,'Pop Estimates (Non-#d)'!$N$2:$O$500,2,FALSE),""))</f>
        <v/>
      </c>
      <c r="U159" s="57">
        <f t="shared" si="33"/>
        <v>25</v>
      </c>
      <c r="V159" s="53" t="str">
        <f t="shared" si="34"/>
        <v/>
      </c>
      <c r="W159" s="53" t="str">
        <f t="shared" si="35"/>
        <v/>
      </c>
      <c r="X159" s="53" t="str">
        <f t="shared" si="36"/>
        <v/>
      </c>
      <c r="Y159" s="57" t="str">
        <f>IF($X159="","",IFERROR(VLOOKUP($X159,'Char Popularity'!$A$2:$C$500,2,FALSE),""))</f>
        <v/>
      </c>
      <c r="Z159" s="56">
        <f>IF($X159="",1,IFERROR(VLOOKUP($X159,'Char Popularity'!$A$2:$C$500,3,FALSE),1))</f>
        <v>1</v>
      </c>
      <c r="AA159" s="62">
        <f>IF($H159&lt;&gt;"Y",0,(IF($F159&lt;&gt;"",ROUND(Dashboard!$R$4/$F159,1),IF(AND($I159="Base",$E159="Base"),Dashboard!$R$5,IF(AND($I159="Base",$E159="Red"),Dashboard!$R$6,IF(AND($I159="Base",$E159="Gold"),Dashboard!$R$7,VLOOKUP($I159,Dashboard!$Q$16:$R$21,2,FALSE)))))*VLOOKUP($I159,Dashboard!$Q$9:$R$13,2,FALSE)*IF(AND($I159="Auto",$F159="",OR($B159="Autographs Duals",$B159="Autographs Triples",$B159="Autographs Quads",$B159="Autographs Quads (Inscribed)")),IF($B159="Autographs Duals",2,IF($B159="Autographs Triples",3,4)),1)))</f>
        <v>40</v>
      </c>
      <c r="AB159" s="62">
        <f t="shared" si="37"/>
        <v>40</v>
      </c>
      <c r="AC159" s="62">
        <f t="shared" si="38"/>
        <v>0</v>
      </c>
    </row>
    <row r="160" spans="1:29" ht="28.7" customHeight="1" x14ac:dyDescent="0.25">
      <c r="A160" s="4" t="s">
        <v>17</v>
      </c>
      <c r="B160" s="7" t="s">
        <v>70</v>
      </c>
      <c r="C160" s="2" t="s">
        <v>1458</v>
      </c>
      <c r="D160" s="7" t="s">
        <v>960</v>
      </c>
      <c r="E160" s="4" t="s">
        <v>780</v>
      </c>
      <c r="F160" s="2">
        <v>25</v>
      </c>
      <c r="G160" s="2" t="s">
        <v>1399</v>
      </c>
      <c r="H160" s="2" t="s">
        <v>1400</v>
      </c>
      <c r="I160" s="4" t="s">
        <v>60</v>
      </c>
      <c r="J160" s="112">
        <f>IF($H160&lt;&gt;"Y",0,ROUND(MIN(Dashboard!$R$24,IF(IFERROR(VLOOKUP($B160,Dashboard!$Q$28:$S$60,2,FALSE),0)&gt;0,IFERROR(VLOOKUP($B160,Dashboard!$Q$28:$S$60,2,FALSE),0),$Z160*IF($U160&lt;&gt;"",ROUND((Dashboard!$R$4/$U160)*VLOOKUP($I160,Dashboard!$Q$9:$R$13,2,FALSE)*IF(ISNUMBER(SEARCH("Duals",$B160)),2,IF(ISNUMBER(SEARCH("Triples",$B160)),3,IF(ISNUMBER(SEARCH("Quads",$B160)),4,1))),2),ROUND(VLOOKUP($I160,Dashboard!$Q$15:$R$20,2,FALSE)*IF($E160="Red",Dashboard!$R$6,IF($E160="Gold",Dashboard!$R$7,Dashboard!$R$5))*IF(ISNUMBER(SEARCH("Duals",$B160)),2,IF(ISNUMBER(SEARCH("Triples",$B160)),3,IF(ISNUMBER(SEARCH("Quads",$B160)),4,1))),2))*IF(IFERROR(VLOOKUP($B160,Dashboard!$Q$28:$S$60,3,FALSE),0)&gt;0,VLOOKUP($B160,Dashboard!$Q$28:$S$60,3,FALSE),1))),0))</f>
        <v>40</v>
      </c>
      <c r="K160" s="2" t="str">
        <f>IF('Base S1'!H60="","",'Base S1'!H60)</f>
        <v>V 12/25</v>
      </c>
      <c r="L160" s="2">
        <f t="shared" si="26"/>
        <v>1</v>
      </c>
      <c r="M160" s="2">
        <f t="shared" si="27"/>
        <v>0</v>
      </c>
      <c r="N160" s="2">
        <f t="shared" si="28"/>
        <v>1</v>
      </c>
      <c r="O160" s="2">
        <f t="shared" si="29"/>
        <v>0</v>
      </c>
      <c r="P160" s="112">
        <f t="shared" si="30"/>
        <v>40</v>
      </c>
      <c r="Q160" s="112">
        <f t="shared" si="31"/>
        <v>0</v>
      </c>
      <c r="R160" s="53"/>
      <c r="S160" s="53" t="str">
        <f t="shared" si="32"/>
        <v>Base S1|Black Parallel - Season 1|59|Black</v>
      </c>
      <c r="T160" s="57" t="str">
        <f>IF($S160="","",IFERROR(VLOOKUP($S160,'Pop Estimates (Non-#d)'!$N$2:$O$500,2,FALSE),""))</f>
        <v/>
      </c>
      <c r="U160" s="57">
        <f t="shared" si="33"/>
        <v>25</v>
      </c>
      <c r="V160" s="53" t="str">
        <f t="shared" si="34"/>
        <v/>
      </c>
      <c r="W160" s="53" t="str">
        <f t="shared" si="35"/>
        <v/>
      </c>
      <c r="X160" s="53" t="str">
        <f t="shared" si="36"/>
        <v/>
      </c>
      <c r="Y160" s="57" t="str">
        <f>IF($X160="","",IFERROR(VLOOKUP($X160,'Char Popularity'!$A$2:$C$500,2,FALSE),""))</f>
        <v/>
      </c>
      <c r="Z160" s="56">
        <f>IF($X160="",1,IFERROR(VLOOKUP($X160,'Char Popularity'!$A$2:$C$500,3,FALSE),1))</f>
        <v>1</v>
      </c>
      <c r="AA160" s="62">
        <f>IF($H160&lt;&gt;"Y",0,(IF($F160&lt;&gt;"",ROUND(Dashboard!$R$4/$F160,1),IF(AND($I160="Base",$E160="Base"),Dashboard!$R$5,IF(AND($I160="Base",$E160="Red"),Dashboard!$R$6,IF(AND($I160="Base",$E160="Gold"),Dashboard!$R$7,VLOOKUP($I160,Dashboard!$Q$16:$R$21,2,FALSE)))))*VLOOKUP($I160,Dashboard!$Q$9:$R$13,2,FALSE)*IF(AND($I160="Auto",$F160="",OR($B160="Autographs Duals",$B160="Autographs Triples",$B160="Autographs Quads",$B160="Autographs Quads (Inscribed)")),IF($B160="Autographs Duals",2,IF($B160="Autographs Triples",3,4)),1)))</f>
        <v>40</v>
      </c>
      <c r="AB160" s="62">
        <f t="shared" si="37"/>
        <v>40</v>
      </c>
      <c r="AC160" s="62">
        <f t="shared" si="38"/>
        <v>0</v>
      </c>
    </row>
    <row r="161" spans="1:29" ht="28.7" customHeight="1" x14ac:dyDescent="0.25">
      <c r="A161" s="4" t="s">
        <v>17</v>
      </c>
      <c r="B161" s="7" t="s">
        <v>70</v>
      </c>
      <c r="C161" s="2" t="s">
        <v>1459</v>
      </c>
      <c r="D161" s="7" t="s">
        <v>961</v>
      </c>
      <c r="E161" s="4" t="s">
        <v>780</v>
      </c>
      <c r="F161" s="2">
        <v>25</v>
      </c>
      <c r="G161" s="2" t="s">
        <v>1399</v>
      </c>
      <c r="H161" s="2" t="s">
        <v>1400</v>
      </c>
      <c r="I161" s="4" t="s">
        <v>60</v>
      </c>
      <c r="J161" s="112">
        <f>IF($H161&lt;&gt;"Y",0,ROUND(MIN(Dashboard!$R$24,IF(IFERROR(VLOOKUP($B161,Dashboard!$Q$28:$S$60,2,FALSE),0)&gt;0,IFERROR(VLOOKUP($B161,Dashboard!$Q$28:$S$60,2,FALSE),0),$Z161*IF($U161&lt;&gt;"",ROUND((Dashboard!$R$4/$U161)*VLOOKUP($I161,Dashboard!$Q$9:$R$13,2,FALSE)*IF(ISNUMBER(SEARCH("Duals",$B161)),2,IF(ISNUMBER(SEARCH("Triples",$B161)),3,IF(ISNUMBER(SEARCH("Quads",$B161)),4,1))),2),ROUND(VLOOKUP($I161,Dashboard!$Q$15:$R$20,2,FALSE)*IF($E161="Red",Dashboard!$R$6,IF($E161="Gold",Dashboard!$R$7,Dashboard!$R$5))*IF(ISNUMBER(SEARCH("Duals",$B161)),2,IF(ISNUMBER(SEARCH("Triples",$B161)),3,IF(ISNUMBER(SEARCH("Quads",$B161)),4,1))),2))*IF(IFERROR(VLOOKUP($B161,Dashboard!$Q$28:$S$60,3,FALSE),0)&gt;0,VLOOKUP($B161,Dashboard!$Q$28:$S$60,3,FALSE),1))),0))</f>
        <v>40</v>
      </c>
      <c r="K161" s="2" t="str">
        <f>IF('Base S1'!H61="","",'Base S1'!H61)</f>
        <v/>
      </c>
      <c r="L161" s="2">
        <f t="shared" si="26"/>
        <v>0</v>
      </c>
      <c r="M161" s="2">
        <f t="shared" si="27"/>
        <v>0</v>
      </c>
      <c r="N161" s="2">
        <f t="shared" si="28"/>
        <v>0</v>
      </c>
      <c r="O161" s="2">
        <f t="shared" si="29"/>
        <v>1</v>
      </c>
      <c r="P161" s="112">
        <f t="shared" si="30"/>
        <v>0</v>
      </c>
      <c r="Q161" s="112">
        <f t="shared" si="31"/>
        <v>0</v>
      </c>
      <c r="R161" s="53"/>
      <c r="S161" s="53" t="str">
        <f t="shared" si="32"/>
        <v>Base S1|Black Parallel - Season 1|60|Black</v>
      </c>
      <c r="T161" s="57" t="str">
        <f>IF($S161="","",IFERROR(VLOOKUP($S161,'Pop Estimates (Non-#d)'!$N$2:$O$500,2,FALSE),""))</f>
        <v/>
      </c>
      <c r="U161" s="57">
        <f t="shared" si="33"/>
        <v>25</v>
      </c>
      <c r="V161" s="53" t="str">
        <f t="shared" si="34"/>
        <v/>
      </c>
      <c r="W161" s="53" t="str">
        <f t="shared" si="35"/>
        <v/>
      </c>
      <c r="X161" s="53" t="str">
        <f t="shared" si="36"/>
        <v/>
      </c>
      <c r="Y161" s="57" t="str">
        <f>IF($X161="","",IFERROR(VLOOKUP($X161,'Char Popularity'!$A$2:$C$500,2,FALSE),""))</f>
        <v/>
      </c>
      <c r="Z161" s="56">
        <f>IF($X161="",1,IFERROR(VLOOKUP($X161,'Char Popularity'!$A$2:$C$500,3,FALSE),1))</f>
        <v>1</v>
      </c>
      <c r="AA161" s="62">
        <f>IF($H161&lt;&gt;"Y",0,(IF($F161&lt;&gt;"",ROUND(Dashboard!$R$4/$F161,1),IF(AND($I161="Base",$E161="Base"),Dashboard!$R$5,IF(AND($I161="Base",$E161="Red"),Dashboard!$R$6,IF(AND($I161="Base",$E161="Gold"),Dashboard!$R$7,VLOOKUP($I161,Dashboard!$Q$16:$R$21,2,FALSE)))))*VLOOKUP($I161,Dashboard!$Q$9:$R$13,2,FALSE)*IF(AND($I161="Auto",$F161="",OR($B161="Autographs Duals",$B161="Autographs Triples",$B161="Autographs Quads",$B161="Autographs Quads (Inscribed)")),IF($B161="Autographs Duals",2,IF($B161="Autographs Triples",3,4)),1)))</f>
        <v>40</v>
      </c>
      <c r="AB161" s="62">
        <f t="shared" si="37"/>
        <v>0</v>
      </c>
      <c r="AC161" s="62">
        <f t="shared" si="38"/>
        <v>0</v>
      </c>
    </row>
    <row r="162" spans="1:29" ht="28.7" customHeight="1" x14ac:dyDescent="0.25">
      <c r="A162" s="4" t="s">
        <v>17</v>
      </c>
      <c r="B162" s="7" t="s">
        <v>70</v>
      </c>
      <c r="C162" s="2" t="s">
        <v>1460</v>
      </c>
      <c r="D162" s="7" t="s">
        <v>962</v>
      </c>
      <c r="E162" s="4" t="s">
        <v>780</v>
      </c>
      <c r="F162" s="2">
        <v>25</v>
      </c>
      <c r="G162" s="2" t="s">
        <v>1399</v>
      </c>
      <c r="H162" s="2" t="s">
        <v>1400</v>
      </c>
      <c r="I162" s="4" t="s">
        <v>60</v>
      </c>
      <c r="J162" s="112">
        <f>IF($H162&lt;&gt;"Y",0,ROUND(MIN(Dashboard!$R$24,IF(IFERROR(VLOOKUP($B162,Dashboard!$Q$28:$S$60,2,FALSE),0)&gt;0,IFERROR(VLOOKUP($B162,Dashboard!$Q$28:$S$60,2,FALSE),0),$Z162*IF($U162&lt;&gt;"",ROUND((Dashboard!$R$4/$U162)*VLOOKUP($I162,Dashboard!$Q$9:$R$13,2,FALSE)*IF(ISNUMBER(SEARCH("Duals",$B162)),2,IF(ISNUMBER(SEARCH("Triples",$B162)),3,IF(ISNUMBER(SEARCH("Quads",$B162)),4,1))),2),ROUND(VLOOKUP($I162,Dashboard!$Q$15:$R$20,2,FALSE)*IF($E162="Red",Dashboard!$R$6,IF($E162="Gold",Dashboard!$R$7,Dashboard!$R$5))*IF(ISNUMBER(SEARCH("Duals",$B162)),2,IF(ISNUMBER(SEARCH("Triples",$B162)),3,IF(ISNUMBER(SEARCH("Quads",$B162)),4,1))),2))*IF(IFERROR(VLOOKUP($B162,Dashboard!$Q$28:$S$60,3,FALSE),0)&gt;0,VLOOKUP($B162,Dashboard!$Q$28:$S$60,3,FALSE),1))),0))</f>
        <v>40</v>
      </c>
      <c r="K162" s="2" t="str">
        <f>IF('Base S1'!H62="","",'Base S1'!H62)</f>
        <v/>
      </c>
      <c r="L162" s="2">
        <f t="shared" si="26"/>
        <v>0</v>
      </c>
      <c r="M162" s="2">
        <f t="shared" si="27"/>
        <v>0</v>
      </c>
      <c r="N162" s="2">
        <f t="shared" si="28"/>
        <v>0</v>
      </c>
      <c r="O162" s="2">
        <f t="shared" si="29"/>
        <v>1</v>
      </c>
      <c r="P162" s="112">
        <f t="shared" si="30"/>
        <v>0</v>
      </c>
      <c r="Q162" s="112">
        <f t="shared" si="31"/>
        <v>0</v>
      </c>
      <c r="R162" s="53"/>
      <c r="S162" s="53" t="str">
        <f t="shared" si="32"/>
        <v>Base S1|Black Parallel - Season 1|61|Black</v>
      </c>
      <c r="T162" s="57" t="str">
        <f>IF($S162="","",IFERROR(VLOOKUP($S162,'Pop Estimates (Non-#d)'!$N$2:$O$500,2,FALSE),""))</f>
        <v/>
      </c>
      <c r="U162" s="57">
        <f t="shared" si="33"/>
        <v>25</v>
      </c>
      <c r="V162" s="53" t="str">
        <f t="shared" si="34"/>
        <v/>
      </c>
      <c r="W162" s="53" t="str">
        <f t="shared" si="35"/>
        <v/>
      </c>
      <c r="X162" s="53" t="str">
        <f t="shared" si="36"/>
        <v/>
      </c>
      <c r="Y162" s="57" t="str">
        <f>IF($X162="","",IFERROR(VLOOKUP($X162,'Char Popularity'!$A$2:$C$500,2,FALSE),""))</f>
        <v/>
      </c>
      <c r="Z162" s="56">
        <f>IF($X162="",1,IFERROR(VLOOKUP($X162,'Char Popularity'!$A$2:$C$500,3,FALSE),1))</f>
        <v>1</v>
      </c>
      <c r="AA162" s="62">
        <f>IF($H162&lt;&gt;"Y",0,(IF($F162&lt;&gt;"",ROUND(Dashboard!$R$4/$F162,1),IF(AND($I162="Base",$E162="Base"),Dashboard!$R$5,IF(AND($I162="Base",$E162="Red"),Dashboard!$R$6,IF(AND($I162="Base",$E162="Gold"),Dashboard!$R$7,VLOOKUP($I162,Dashboard!$Q$16:$R$21,2,FALSE)))))*VLOOKUP($I162,Dashboard!$Q$9:$R$13,2,FALSE)*IF(AND($I162="Auto",$F162="",OR($B162="Autographs Duals",$B162="Autographs Triples",$B162="Autographs Quads",$B162="Autographs Quads (Inscribed)")),IF($B162="Autographs Duals",2,IF($B162="Autographs Triples",3,4)),1)))</f>
        <v>40</v>
      </c>
      <c r="AB162" s="62">
        <f t="shared" si="37"/>
        <v>0</v>
      </c>
      <c r="AC162" s="62">
        <f t="shared" si="38"/>
        <v>0</v>
      </c>
    </row>
    <row r="163" spans="1:29" ht="28.7" customHeight="1" x14ac:dyDescent="0.25">
      <c r="A163" s="4" t="s">
        <v>17</v>
      </c>
      <c r="B163" s="7" t="s">
        <v>70</v>
      </c>
      <c r="C163" s="2" t="s">
        <v>1461</v>
      </c>
      <c r="D163" s="7" t="s">
        <v>963</v>
      </c>
      <c r="E163" s="4" t="s">
        <v>780</v>
      </c>
      <c r="F163" s="2">
        <v>25</v>
      </c>
      <c r="G163" s="2" t="s">
        <v>1399</v>
      </c>
      <c r="H163" s="2" t="s">
        <v>1400</v>
      </c>
      <c r="I163" s="4" t="s">
        <v>60</v>
      </c>
      <c r="J163" s="112">
        <f>IF($H163&lt;&gt;"Y",0,ROUND(MIN(Dashboard!$R$24,IF(IFERROR(VLOOKUP($B163,Dashboard!$Q$28:$S$60,2,FALSE),0)&gt;0,IFERROR(VLOOKUP($B163,Dashboard!$Q$28:$S$60,2,FALSE),0),$Z163*IF($U163&lt;&gt;"",ROUND((Dashboard!$R$4/$U163)*VLOOKUP($I163,Dashboard!$Q$9:$R$13,2,FALSE)*IF(ISNUMBER(SEARCH("Duals",$B163)),2,IF(ISNUMBER(SEARCH("Triples",$B163)),3,IF(ISNUMBER(SEARCH("Quads",$B163)),4,1))),2),ROUND(VLOOKUP($I163,Dashboard!$Q$15:$R$20,2,FALSE)*IF($E163="Red",Dashboard!$R$6,IF($E163="Gold",Dashboard!$R$7,Dashboard!$R$5))*IF(ISNUMBER(SEARCH("Duals",$B163)),2,IF(ISNUMBER(SEARCH("Triples",$B163)),3,IF(ISNUMBER(SEARCH("Quads",$B163)),4,1))),2))*IF(IFERROR(VLOOKUP($B163,Dashboard!$Q$28:$S$60,3,FALSE),0)&gt;0,VLOOKUP($B163,Dashboard!$Q$28:$S$60,3,FALSE),1))),0))</f>
        <v>40</v>
      </c>
      <c r="K163" s="2" t="str">
        <f>IF('Base S1'!H63="","",'Base S1'!H63)</f>
        <v>C 03/25</v>
      </c>
      <c r="L163" s="2">
        <f t="shared" si="26"/>
        <v>1</v>
      </c>
      <c r="M163" s="2">
        <f t="shared" si="27"/>
        <v>0</v>
      </c>
      <c r="N163" s="2">
        <f t="shared" si="28"/>
        <v>1</v>
      </c>
      <c r="O163" s="2">
        <f t="shared" si="29"/>
        <v>0</v>
      </c>
      <c r="P163" s="112">
        <f t="shared" si="30"/>
        <v>40</v>
      </c>
      <c r="Q163" s="112">
        <f t="shared" si="31"/>
        <v>0</v>
      </c>
      <c r="R163" s="53"/>
      <c r="S163" s="53" t="str">
        <f t="shared" si="32"/>
        <v>Base S1|Black Parallel - Season 1|62|Black</v>
      </c>
      <c r="T163" s="57" t="str">
        <f>IF($S163="","",IFERROR(VLOOKUP($S163,'Pop Estimates (Non-#d)'!$N$2:$O$500,2,FALSE),""))</f>
        <v/>
      </c>
      <c r="U163" s="57">
        <f t="shared" si="33"/>
        <v>25</v>
      </c>
      <c r="V163" s="53" t="str">
        <f t="shared" si="34"/>
        <v/>
      </c>
      <c r="W163" s="53" t="str">
        <f t="shared" si="35"/>
        <v/>
      </c>
      <c r="X163" s="53" t="str">
        <f t="shared" si="36"/>
        <v/>
      </c>
      <c r="Y163" s="57" t="str">
        <f>IF($X163="","",IFERROR(VLOOKUP($X163,'Char Popularity'!$A$2:$C$500,2,FALSE),""))</f>
        <v/>
      </c>
      <c r="Z163" s="56">
        <f>IF($X163="",1,IFERROR(VLOOKUP($X163,'Char Popularity'!$A$2:$C$500,3,FALSE),1))</f>
        <v>1</v>
      </c>
      <c r="AA163" s="62">
        <f>IF($H163&lt;&gt;"Y",0,(IF($F163&lt;&gt;"",ROUND(Dashboard!$R$4/$F163,1),IF(AND($I163="Base",$E163="Base"),Dashboard!$R$5,IF(AND($I163="Base",$E163="Red"),Dashboard!$R$6,IF(AND($I163="Base",$E163="Gold"),Dashboard!$R$7,VLOOKUP($I163,Dashboard!$Q$16:$R$21,2,FALSE)))))*VLOOKUP($I163,Dashboard!$Q$9:$R$13,2,FALSE)*IF(AND($I163="Auto",$F163="",OR($B163="Autographs Duals",$B163="Autographs Triples",$B163="Autographs Quads",$B163="Autographs Quads (Inscribed)")),IF($B163="Autographs Duals",2,IF($B163="Autographs Triples",3,4)),1)))</f>
        <v>40</v>
      </c>
      <c r="AB163" s="62">
        <f t="shared" si="37"/>
        <v>40</v>
      </c>
      <c r="AC163" s="62">
        <f t="shared" si="38"/>
        <v>0</v>
      </c>
    </row>
    <row r="164" spans="1:29" ht="28.7" customHeight="1" x14ac:dyDescent="0.25">
      <c r="A164" s="4" t="s">
        <v>17</v>
      </c>
      <c r="B164" s="7" t="s">
        <v>70</v>
      </c>
      <c r="C164" s="2" t="s">
        <v>1462</v>
      </c>
      <c r="D164" s="7" t="s">
        <v>966</v>
      </c>
      <c r="E164" s="4" t="s">
        <v>780</v>
      </c>
      <c r="F164" s="2">
        <v>25</v>
      </c>
      <c r="G164" s="2" t="s">
        <v>1399</v>
      </c>
      <c r="H164" s="2" t="s">
        <v>1400</v>
      </c>
      <c r="I164" s="4" t="s">
        <v>60</v>
      </c>
      <c r="J164" s="112">
        <f>IF($H164&lt;&gt;"Y",0,ROUND(MIN(Dashboard!$R$24,IF(IFERROR(VLOOKUP($B164,Dashboard!$Q$28:$S$60,2,FALSE),0)&gt;0,IFERROR(VLOOKUP($B164,Dashboard!$Q$28:$S$60,2,FALSE),0),$Z164*IF($U164&lt;&gt;"",ROUND((Dashboard!$R$4/$U164)*VLOOKUP($I164,Dashboard!$Q$9:$R$13,2,FALSE)*IF(ISNUMBER(SEARCH("Duals",$B164)),2,IF(ISNUMBER(SEARCH("Triples",$B164)),3,IF(ISNUMBER(SEARCH("Quads",$B164)),4,1))),2),ROUND(VLOOKUP($I164,Dashboard!$Q$15:$R$20,2,FALSE)*IF($E164="Red",Dashboard!$R$6,IF($E164="Gold",Dashboard!$R$7,Dashboard!$R$5))*IF(ISNUMBER(SEARCH("Duals",$B164)),2,IF(ISNUMBER(SEARCH("Triples",$B164)),3,IF(ISNUMBER(SEARCH("Quads",$B164)),4,1))),2))*IF(IFERROR(VLOOKUP($B164,Dashboard!$Q$28:$S$60,3,FALSE),0)&gt;0,VLOOKUP($B164,Dashboard!$Q$28:$S$60,3,FALSE),1))),0))</f>
        <v>40</v>
      </c>
      <c r="K164" s="2" t="str">
        <f>IF('Base S1'!H64="","",'Base S1'!H64)</f>
        <v/>
      </c>
      <c r="L164" s="2">
        <f t="shared" si="26"/>
        <v>0</v>
      </c>
      <c r="M164" s="2">
        <f t="shared" si="27"/>
        <v>0</v>
      </c>
      <c r="N164" s="2">
        <f t="shared" si="28"/>
        <v>0</v>
      </c>
      <c r="O164" s="2">
        <f t="shared" si="29"/>
        <v>1</v>
      </c>
      <c r="P164" s="112">
        <f t="shared" si="30"/>
        <v>0</v>
      </c>
      <c r="Q164" s="112">
        <f t="shared" si="31"/>
        <v>0</v>
      </c>
      <c r="R164" s="53"/>
      <c r="S164" s="53" t="str">
        <f t="shared" si="32"/>
        <v>Base S1|Black Parallel - Season 1|63|Black</v>
      </c>
      <c r="T164" s="57" t="str">
        <f>IF($S164="","",IFERROR(VLOOKUP($S164,'Pop Estimates (Non-#d)'!$N$2:$O$500,2,FALSE),""))</f>
        <v/>
      </c>
      <c r="U164" s="57">
        <f t="shared" si="33"/>
        <v>25</v>
      </c>
      <c r="V164" s="53" t="str">
        <f t="shared" si="34"/>
        <v/>
      </c>
      <c r="W164" s="53" t="str">
        <f t="shared" si="35"/>
        <v/>
      </c>
      <c r="X164" s="53" t="str">
        <f t="shared" si="36"/>
        <v/>
      </c>
      <c r="Y164" s="57" t="str">
        <f>IF($X164="","",IFERROR(VLOOKUP($X164,'Char Popularity'!$A$2:$C$500,2,FALSE),""))</f>
        <v/>
      </c>
      <c r="Z164" s="56">
        <f>IF($X164="",1,IFERROR(VLOOKUP($X164,'Char Popularity'!$A$2:$C$500,3,FALSE),1))</f>
        <v>1</v>
      </c>
      <c r="AA164" s="62">
        <f>IF($H164&lt;&gt;"Y",0,(IF($F164&lt;&gt;"",ROUND(Dashboard!$R$4/$F164,1),IF(AND($I164="Base",$E164="Base"),Dashboard!$R$5,IF(AND($I164="Base",$E164="Red"),Dashboard!$R$6,IF(AND($I164="Base",$E164="Gold"),Dashboard!$R$7,VLOOKUP($I164,Dashboard!$Q$16:$R$21,2,FALSE)))))*VLOOKUP($I164,Dashboard!$Q$9:$R$13,2,FALSE)*IF(AND($I164="Auto",$F164="",OR($B164="Autographs Duals",$B164="Autographs Triples",$B164="Autographs Quads",$B164="Autographs Quads (Inscribed)")),IF($B164="Autographs Duals",2,IF($B164="Autographs Triples",3,4)),1)))</f>
        <v>40</v>
      </c>
      <c r="AB164" s="62">
        <f t="shared" si="37"/>
        <v>0</v>
      </c>
      <c r="AC164" s="62">
        <f t="shared" si="38"/>
        <v>0</v>
      </c>
    </row>
    <row r="165" spans="1:29" ht="28.7" customHeight="1" x14ac:dyDescent="0.25">
      <c r="A165" s="4" t="s">
        <v>17</v>
      </c>
      <c r="B165" s="7" t="s">
        <v>70</v>
      </c>
      <c r="C165" s="2" t="s">
        <v>1463</v>
      </c>
      <c r="D165" s="7" t="s">
        <v>968</v>
      </c>
      <c r="E165" s="4" t="s">
        <v>780</v>
      </c>
      <c r="F165" s="2">
        <v>25</v>
      </c>
      <c r="G165" s="2" t="s">
        <v>1399</v>
      </c>
      <c r="H165" s="2" t="s">
        <v>1400</v>
      </c>
      <c r="I165" s="4" t="s">
        <v>60</v>
      </c>
      <c r="J165" s="112">
        <f>IF($H165&lt;&gt;"Y",0,ROUND(MIN(Dashboard!$R$24,IF(IFERROR(VLOOKUP($B165,Dashboard!$Q$28:$S$60,2,FALSE),0)&gt;0,IFERROR(VLOOKUP($B165,Dashboard!$Q$28:$S$60,2,FALSE),0),$Z165*IF($U165&lt;&gt;"",ROUND((Dashboard!$R$4/$U165)*VLOOKUP($I165,Dashboard!$Q$9:$R$13,2,FALSE)*IF(ISNUMBER(SEARCH("Duals",$B165)),2,IF(ISNUMBER(SEARCH("Triples",$B165)),3,IF(ISNUMBER(SEARCH("Quads",$B165)),4,1))),2),ROUND(VLOOKUP($I165,Dashboard!$Q$15:$R$20,2,FALSE)*IF($E165="Red",Dashboard!$R$6,IF($E165="Gold",Dashboard!$R$7,Dashboard!$R$5))*IF(ISNUMBER(SEARCH("Duals",$B165)),2,IF(ISNUMBER(SEARCH("Triples",$B165)),3,IF(ISNUMBER(SEARCH("Quads",$B165)),4,1))),2))*IF(IFERROR(VLOOKUP($B165,Dashboard!$Q$28:$S$60,3,FALSE),0)&gt;0,VLOOKUP($B165,Dashboard!$Q$28:$S$60,3,FALSE),1))),0))</f>
        <v>40</v>
      </c>
      <c r="K165" s="2" t="str">
        <f>IF('Base S1'!H65="","",'Base S1'!H65)</f>
        <v>V 04/25</v>
      </c>
      <c r="L165" s="2">
        <f t="shared" si="26"/>
        <v>1</v>
      </c>
      <c r="M165" s="2">
        <f t="shared" si="27"/>
        <v>0</v>
      </c>
      <c r="N165" s="2">
        <f t="shared" si="28"/>
        <v>1</v>
      </c>
      <c r="O165" s="2">
        <f t="shared" si="29"/>
        <v>0</v>
      </c>
      <c r="P165" s="112">
        <f t="shared" si="30"/>
        <v>40</v>
      </c>
      <c r="Q165" s="112">
        <f t="shared" si="31"/>
        <v>0</v>
      </c>
      <c r="R165" s="53"/>
      <c r="S165" s="53" t="str">
        <f t="shared" si="32"/>
        <v>Base S1|Black Parallel - Season 1|64|Black</v>
      </c>
      <c r="T165" s="57" t="str">
        <f>IF($S165="","",IFERROR(VLOOKUP($S165,'Pop Estimates (Non-#d)'!$N$2:$O$500,2,FALSE),""))</f>
        <v/>
      </c>
      <c r="U165" s="57">
        <f t="shared" si="33"/>
        <v>25</v>
      </c>
      <c r="V165" s="53" t="str">
        <f t="shared" si="34"/>
        <v/>
      </c>
      <c r="W165" s="53" t="str">
        <f t="shared" si="35"/>
        <v/>
      </c>
      <c r="X165" s="53" t="str">
        <f t="shared" si="36"/>
        <v/>
      </c>
      <c r="Y165" s="57" t="str">
        <f>IF($X165="","",IFERROR(VLOOKUP($X165,'Char Popularity'!$A$2:$C$500,2,FALSE),""))</f>
        <v/>
      </c>
      <c r="Z165" s="56">
        <f>IF($X165="",1,IFERROR(VLOOKUP($X165,'Char Popularity'!$A$2:$C$500,3,FALSE),1))</f>
        <v>1</v>
      </c>
      <c r="AA165" s="62">
        <f>IF($H165&lt;&gt;"Y",0,(IF($F165&lt;&gt;"",ROUND(Dashboard!$R$4/$F165,1),IF(AND($I165="Base",$E165="Base"),Dashboard!$R$5,IF(AND($I165="Base",$E165="Red"),Dashboard!$R$6,IF(AND($I165="Base",$E165="Gold"),Dashboard!$R$7,VLOOKUP($I165,Dashboard!$Q$16:$R$21,2,FALSE)))))*VLOOKUP($I165,Dashboard!$Q$9:$R$13,2,FALSE)*IF(AND($I165="Auto",$F165="",OR($B165="Autographs Duals",$B165="Autographs Triples",$B165="Autographs Quads",$B165="Autographs Quads (Inscribed)")),IF($B165="Autographs Duals",2,IF($B165="Autographs Triples",3,4)),1)))</f>
        <v>40</v>
      </c>
      <c r="AB165" s="62">
        <f t="shared" si="37"/>
        <v>40</v>
      </c>
      <c r="AC165" s="62">
        <f t="shared" si="38"/>
        <v>0</v>
      </c>
    </row>
    <row r="166" spans="1:29" ht="28.7" customHeight="1" x14ac:dyDescent="0.25">
      <c r="A166" s="4" t="s">
        <v>17</v>
      </c>
      <c r="B166" s="7" t="s">
        <v>70</v>
      </c>
      <c r="C166" s="2" t="s">
        <v>1464</v>
      </c>
      <c r="D166" s="7" t="s">
        <v>971</v>
      </c>
      <c r="E166" s="4" t="s">
        <v>780</v>
      </c>
      <c r="F166" s="2">
        <v>25</v>
      </c>
      <c r="G166" s="2" t="s">
        <v>1399</v>
      </c>
      <c r="H166" s="2" t="s">
        <v>1400</v>
      </c>
      <c r="I166" s="4" t="s">
        <v>60</v>
      </c>
      <c r="J166" s="112">
        <f>IF($H166&lt;&gt;"Y",0,ROUND(MIN(Dashboard!$R$24,IF(IFERROR(VLOOKUP($B166,Dashboard!$Q$28:$S$60,2,FALSE),0)&gt;0,IFERROR(VLOOKUP($B166,Dashboard!$Q$28:$S$60,2,FALSE),0),$Z166*IF($U166&lt;&gt;"",ROUND((Dashboard!$R$4/$U166)*VLOOKUP($I166,Dashboard!$Q$9:$R$13,2,FALSE)*IF(ISNUMBER(SEARCH("Duals",$B166)),2,IF(ISNUMBER(SEARCH("Triples",$B166)),3,IF(ISNUMBER(SEARCH("Quads",$B166)),4,1))),2),ROUND(VLOOKUP($I166,Dashboard!$Q$15:$R$20,2,FALSE)*IF($E166="Red",Dashboard!$R$6,IF($E166="Gold",Dashboard!$R$7,Dashboard!$R$5))*IF(ISNUMBER(SEARCH("Duals",$B166)),2,IF(ISNUMBER(SEARCH("Triples",$B166)),3,IF(ISNUMBER(SEARCH("Quads",$B166)),4,1))),2))*IF(IFERROR(VLOOKUP($B166,Dashboard!$Q$28:$S$60,3,FALSE),0)&gt;0,VLOOKUP($B166,Dashboard!$Q$28:$S$60,3,FALSE),1))),0))</f>
        <v>40</v>
      </c>
      <c r="K166" s="2" t="str">
        <f>IF('Base S1'!H66="","",'Base S1'!H66)</f>
        <v>V 07/25</v>
      </c>
      <c r="L166" s="2">
        <f t="shared" si="26"/>
        <v>1</v>
      </c>
      <c r="M166" s="2">
        <f t="shared" si="27"/>
        <v>0</v>
      </c>
      <c r="N166" s="2">
        <f t="shared" si="28"/>
        <v>1</v>
      </c>
      <c r="O166" s="2">
        <f t="shared" si="29"/>
        <v>0</v>
      </c>
      <c r="P166" s="112">
        <f t="shared" si="30"/>
        <v>40</v>
      </c>
      <c r="Q166" s="112">
        <f t="shared" si="31"/>
        <v>0</v>
      </c>
      <c r="R166" s="53"/>
      <c r="S166" s="53" t="str">
        <f t="shared" si="32"/>
        <v>Base S1|Black Parallel - Season 1|65|Black</v>
      </c>
      <c r="T166" s="57" t="str">
        <f>IF($S166="","",IFERROR(VLOOKUP($S166,'Pop Estimates (Non-#d)'!$N$2:$O$500,2,FALSE),""))</f>
        <v/>
      </c>
      <c r="U166" s="57">
        <f t="shared" si="33"/>
        <v>25</v>
      </c>
      <c r="V166" s="53" t="str">
        <f t="shared" si="34"/>
        <v/>
      </c>
      <c r="W166" s="53" t="str">
        <f t="shared" si="35"/>
        <v/>
      </c>
      <c r="X166" s="53" t="str">
        <f t="shared" si="36"/>
        <v/>
      </c>
      <c r="Y166" s="57" t="str">
        <f>IF($X166="","",IFERROR(VLOOKUP($X166,'Char Popularity'!$A$2:$C$500,2,FALSE),""))</f>
        <v/>
      </c>
      <c r="Z166" s="56">
        <f>IF($X166="",1,IFERROR(VLOOKUP($X166,'Char Popularity'!$A$2:$C$500,3,FALSE),1))</f>
        <v>1</v>
      </c>
      <c r="AA166" s="62">
        <f>IF($H166&lt;&gt;"Y",0,(IF($F166&lt;&gt;"",ROUND(Dashboard!$R$4/$F166,1),IF(AND($I166="Base",$E166="Base"),Dashboard!$R$5,IF(AND($I166="Base",$E166="Red"),Dashboard!$R$6,IF(AND($I166="Base",$E166="Gold"),Dashboard!$R$7,VLOOKUP($I166,Dashboard!$Q$16:$R$21,2,FALSE)))))*VLOOKUP($I166,Dashboard!$Q$9:$R$13,2,FALSE)*IF(AND($I166="Auto",$F166="",OR($B166="Autographs Duals",$B166="Autographs Triples",$B166="Autographs Quads",$B166="Autographs Quads (Inscribed)")),IF($B166="Autographs Duals",2,IF($B166="Autographs Triples",3,4)),1)))</f>
        <v>40</v>
      </c>
      <c r="AB166" s="62">
        <f t="shared" si="37"/>
        <v>40</v>
      </c>
      <c r="AC166" s="62">
        <f t="shared" si="38"/>
        <v>0</v>
      </c>
    </row>
    <row r="167" spans="1:29" ht="28.7" customHeight="1" x14ac:dyDescent="0.25">
      <c r="A167" s="4" t="s">
        <v>17</v>
      </c>
      <c r="B167" s="7" t="s">
        <v>70</v>
      </c>
      <c r="C167" s="2" t="s">
        <v>1465</v>
      </c>
      <c r="D167" s="7" t="s">
        <v>973</v>
      </c>
      <c r="E167" s="4" t="s">
        <v>780</v>
      </c>
      <c r="F167" s="2">
        <v>25</v>
      </c>
      <c r="G167" s="2" t="s">
        <v>1399</v>
      </c>
      <c r="H167" s="2" t="s">
        <v>1400</v>
      </c>
      <c r="I167" s="4" t="s">
        <v>60</v>
      </c>
      <c r="J167" s="112">
        <f>IF($H167&lt;&gt;"Y",0,ROUND(MIN(Dashboard!$R$24,IF(IFERROR(VLOOKUP($B167,Dashboard!$Q$28:$S$60,2,FALSE),0)&gt;0,IFERROR(VLOOKUP($B167,Dashboard!$Q$28:$S$60,2,FALSE),0),$Z167*IF($U167&lt;&gt;"",ROUND((Dashboard!$R$4/$U167)*VLOOKUP($I167,Dashboard!$Q$9:$R$13,2,FALSE)*IF(ISNUMBER(SEARCH("Duals",$B167)),2,IF(ISNUMBER(SEARCH("Triples",$B167)),3,IF(ISNUMBER(SEARCH("Quads",$B167)),4,1))),2),ROUND(VLOOKUP($I167,Dashboard!$Q$15:$R$20,2,FALSE)*IF($E167="Red",Dashboard!$R$6,IF($E167="Gold",Dashboard!$R$7,Dashboard!$R$5))*IF(ISNUMBER(SEARCH("Duals",$B167)),2,IF(ISNUMBER(SEARCH("Triples",$B167)),3,IF(ISNUMBER(SEARCH("Quads",$B167)),4,1))),2))*IF(IFERROR(VLOOKUP($B167,Dashboard!$Q$28:$S$60,3,FALSE),0)&gt;0,VLOOKUP($B167,Dashboard!$Q$28:$S$60,3,FALSE),1))),0))</f>
        <v>40</v>
      </c>
      <c r="K167" s="2" t="str">
        <f>IF('Base S1'!H67="","",'Base S1'!H67)</f>
        <v>C 18/25</v>
      </c>
      <c r="L167" s="2">
        <f t="shared" si="26"/>
        <v>1</v>
      </c>
      <c r="M167" s="2">
        <f t="shared" si="27"/>
        <v>0</v>
      </c>
      <c r="N167" s="2">
        <f t="shared" si="28"/>
        <v>1</v>
      </c>
      <c r="O167" s="2">
        <f t="shared" si="29"/>
        <v>0</v>
      </c>
      <c r="P167" s="112">
        <f t="shared" si="30"/>
        <v>40</v>
      </c>
      <c r="Q167" s="112">
        <f t="shared" si="31"/>
        <v>0</v>
      </c>
      <c r="R167" s="53"/>
      <c r="S167" s="53" t="str">
        <f t="shared" si="32"/>
        <v>Base S1|Black Parallel - Season 1|66|Black</v>
      </c>
      <c r="T167" s="57" t="str">
        <f>IF($S167="","",IFERROR(VLOOKUP($S167,'Pop Estimates (Non-#d)'!$N$2:$O$500,2,FALSE),""))</f>
        <v/>
      </c>
      <c r="U167" s="57">
        <f t="shared" si="33"/>
        <v>25</v>
      </c>
      <c r="V167" s="53" t="str">
        <f t="shared" si="34"/>
        <v/>
      </c>
      <c r="W167" s="53" t="str">
        <f t="shared" si="35"/>
        <v/>
      </c>
      <c r="X167" s="53" t="str">
        <f t="shared" si="36"/>
        <v/>
      </c>
      <c r="Y167" s="57" t="str">
        <f>IF($X167="","",IFERROR(VLOOKUP($X167,'Char Popularity'!$A$2:$C$500,2,FALSE),""))</f>
        <v/>
      </c>
      <c r="Z167" s="56">
        <f>IF($X167="",1,IFERROR(VLOOKUP($X167,'Char Popularity'!$A$2:$C$500,3,FALSE),1))</f>
        <v>1</v>
      </c>
      <c r="AA167" s="62">
        <f>IF($H167&lt;&gt;"Y",0,(IF($F167&lt;&gt;"",ROUND(Dashboard!$R$4/$F167,1),IF(AND($I167="Base",$E167="Base"),Dashboard!$R$5,IF(AND($I167="Base",$E167="Red"),Dashboard!$R$6,IF(AND($I167="Base",$E167="Gold"),Dashboard!$R$7,VLOOKUP($I167,Dashboard!$Q$16:$R$21,2,FALSE)))))*VLOOKUP($I167,Dashboard!$Q$9:$R$13,2,FALSE)*IF(AND($I167="Auto",$F167="",OR($B167="Autographs Duals",$B167="Autographs Triples",$B167="Autographs Quads",$B167="Autographs Quads (Inscribed)")),IF($B167="Autographs Duals",2,IF($B167="Autographs Triples",3,4)),1)))</f>
        <v>40</v>
      </c>
      <c r="AB167" s="62">
        <f t="shared" si="37"/>
        <v>40</v>
      </c>
      <c r="AC167" s="62">
        <f t="shared" si="38"/>
        <v>0</v>
      </c>
    </row>
    <row r="168" spans="1:29" ht="28.7" customHeight="1" x14ac:dyDescent="0.25">
      <c r="A168" s="4" t="s">
        <v>17</v>
      </c>
      <c r="B168" s="7" t="s">
        <v>70</v>
      </c>
      <c r="C168" s="2" t="s">
        <v>1466</v>
      </c>
      <c r="D168" s="7" t="s">
        <v>974</v>
      </c>
      <c r="E168" s="4" t="s">
        <v>780</v>
      </c>
      <c r="F168" s="2">
        <v>25</v>
      </c>
      <c r="G168" s="2" t="s">
        <v>1399</v>
      </c>
      <c r="H168" s="2" t="s">
        <v>1400</v>
      </c>
      <c r="I168" s="4" t="s">
        <v>60</v>
      </c>
      <c r="J168" s="112">
        <f>IF($H168&lt;&gt;"Y",0,ROUND(MIN(Dashboard!$R$24,IF(IFERROR(VLOOKUP($B168,Dashboard!$Q$28:$S$60,2,FALSE),0)&gt;0,IFERROR(VLOOKUP($B168,Dashboard!$Q$28:$S$60,2,FALSE),0),$Z168*IF($U168&lt;&gt;"",ROUND((Dashboard!$R$4/$U168)*VLOOKUP($I168,Dashboard!$Q$9:$R$13,2,FALSE)*IF(ISNUMBER(SEARCH("Duals",$B168)),2,IF(ISNUMBER(SEARCH("Triples",$B168)),3,IF(ISNUMBER(SEARCH("Quads",$B168)),4,1))),2),ROUND(VLOOKUP($I168,Dashboard!$Q$15:$R$20,2,FALSE)*IF($E168="Red",Dashboard!$R$6,IF($E168="Gold",Dashboard!$R$7,Dashboard!$R$5))*IF(ISNUMBER(SEARCH("Duals",$B168)),2,IF(ISNUMBER(SEARCH("Triples",$B168)),3,IF(ISNUMBER(SEARCH("Quads",$B168)),4,1))),2))*IF(IFERROR(VLOOKUP($B168,Dashboard!$Q$28:$S$60,3,FALSE),0)&gt;0,VLOOKUP($B168,Dashboard!$Q$28:$S$60,3,FALSE),1))),0))</f>
        <v>40</v>
      </c>
      <c r="K168" s="2" t="str">
        <f>IF('Base S1'!H68="","",'Base S1'!H68)</f>
        <v>V 02/25</v>
      </c>
      <c r="L168" s="2">
        <f t="shared" si="26"/>
        <v>1</v>
      </c>
      <c r="M168" s="2">
        <f t="shared" si="27"/>
        <v>0</v>
      </c>
      <c r="N168" s="2">
        <f t="shared" si="28"/>
        <v>1</v>
      </c>
      <c r="O168" s="2">
        <f t="shared" si="29"/>
        <v>0</v>
      </c>
      <c r="P168" s="112">
        <f t="shared" si="30"/>
        <v>40</v>
      </c>
      <c r="Q168" s="112">
        <f t="shared" si="31"/>
        <v>0</v>
      </c>
      <c r="R168" s="53"/>
      <c r="S168" s="53" t="str">
        <f t="shared" si="32"/>
        <v>Base S1|Black Parallel - Season 1|67|Black</v>
      </c>
      <c r="T168" s="57" t="str">
        <f>IF($S168="","",IFERROR(VLOOKUP($S168,'Pop Estimates (Non-#d)'!$N$2:$O$500,2,FALSE),""))</f>
        <v/>
      </c>
      <c r="U168" s="57">
        <f t="shared" si="33"/>
        <v>25</v>
      </c>
      <c r="V168" s="53" t="str">
        <f t="shared" si="34"/>
        <v/>
      </c>
      <c r="W168" s="53" t="str">
        <f t="shared" si="35"/>
        <v/>
      </c>
      <c r="X168" s="53" t="str">
        <f t="shared" si="36"/>
        <v/>
      </c>
      <c r="Y168" s="57" t="str">
        <f>IF($X168="","",IFERROR(VLOOKUP($X168,'Char Popularity'!$A$2:$C$500,2,FALSE),""))</f>
        <v/>
      </c>
      <c r="Z168" s="56">
        <f>IF($X168="",1,IFERROR(VLOOKUP($X168,'Char Popularity'!$A$2:$C$500,3,FALSE),1))</f>
        <v>1</v>
      </c>
      <c r="AA168" s="62">
        <f>IF($H168&lt;&gt;"Y",0,(IF($F168&lt;&gt;"",ROUND(Dashboard!$R$4/$F168,1),IF(AND($I168="Base",$E168="Base"),Dashboard!$R$5,IF(AND($I168="Base",$E168="Red"),Dashboard!$R$6,IF(AND($I168="Base",$E168="Gold"),Dashboard!$R$7,VLOOKUP($I168,Dashboard!$Q$16:$R$21,2,FALSE)))))*VLOOKUP($I168,Dashboard!$Q$9:$R$13,2,FALSE)*IF(AND($I168="Auto",$F168="",OR($B168="Autographs Duals",$B168="Autographs Triples",$B168="Autographs Quads",$B168="Autographs Quads (Inscribed)")),IF($B168="Autographs Duals",2,IF($B168="Autographs Triples",3,4)),1)))</f>
        <v>40</v>
      </c>
      <c r="AB168" s="62">
        <f t="shared" si="37"/>
        <v>40</v>
      </c>
      <c r="AC168" s="62">
        <f t="shared" si="38"/>
        <v>0</v>
      </c>
    </row>
    <row r="169" spans="1:29" ht="28.7" customHeight="1" x14ac:dyDescent="0.25">
      <c r="A169" s="4" t="s">
        <v>17</v>
      </c>
      <c r="B169" s="7" t="s">
        <v>70</v>
      </c>
      <c r="C169" s="2" t="s">
        <v>1467</v>
      </c>
      <c r="D169" s="7" t="s">
        <v>977</v>
      </c>
      <c r="E169" s="4" t="s">
        <v>780</v>
      </c>
      <c r="F169" s="2">
        <v>25</v>
      </c>
      <c r="G169" s="2" t="s">
        <v>1399</v>
      </c>
      <c r="H169" s="2" t="s">
        <v>1400</v>
      </c>
      <c r="I169" s="4" t="s">
        <v>60</v>
      </c>
      <c r="J169" s="112">
        <f>IF($H169&lt;&gt;"Y",0,ROUND(MIN(Dashboard!$R$24,IF(IFERROR(VLOOKUP($B169,Dashboard!$Q$28:$S$60,2,FALSE),0)&gt;0,IFERROR(VLOOKUP($B169,Dashboard!$Q$28:$S$60,2,FALSE),0),$Z169*IF($U169&lt;&gt;"",ROUND((Dashboard!$R$4/$U169)*VLOOKUP($I169,Dashboard!$Q$9:$R$13,2,FALSE)*IF(ISNUMBER(SEARCH("Duals",$B169)),2,IF(ISNUMBER(SEARCH("Triples",$B169)),3,IF(ISNUMBER(SEARCH("Quads",$B169)),4,1))),2),ROUND(VLOOKUP($I169,Dashboard!$Q$15:$R$20,2,FALSE)*IF($E169="Red",Dashboard!$R$6,IF($E169="Gold",Dashboard!$R$7,Dashboard!$R$5))*IF(ISNUMBER(SEARCH("Duals",$B169)),2,IF(ISNUMBER(SEARCH("Triples",$B169)),3,IF(ISNUMBER(SEARCH("Quads",$B169)),4,1))),2))*IF(IFERROR(VLOOKUP($B169,Dashboard!$Q$28:$S$60,3,FALSE),0)&gt;0,VLOOKUP($B169,Dashboard!$Q$28:$S$60,3,FALSE),1))),0))</f>
        <v>40</v>
      </c>
      <c r="K169" s="2" t="str">
        <f>IF('Base S1'!H69="","",'Base S1'!H69)</f>
        <v/>
      </c>
      <c r="L169" s="2">
        <f t="shared" si="26"/>
        <v>0</v>
      </c>
      <c r="M169" s="2">
        <f t="shared" si="27"/>
        <v>0</v>
      </c>
      <c r="N169" s="2">
        <f t="shared" si="28"/>
        <v>0</v>
      </c>
      <c r="O169" s="2">
        <f t="shared" si="29"/>
        <v>1</v>
      </c>
      <c r="P169" s="112">
        <f t="shared" si="30"/>
        <v>0</v>
      </c>
      <c r="Q169" s="112">
        <f t="shared" si="31"/>
        <v>0</v>
      </c>
      <c r="R169" s="53"/>
      <c r="S169" s="53" t="str">
        <f t="shared" si="32"/>
        <v>Base S1|Black Parallel - Season 1|68|Black</v>
      </c>
      <c r="T169" s="57" t="str">
        <f>IF($S169="","",IFERROR(VLOOKUP($S169,'Pop Estimates (Non-#d)'!$N$2:$O$500,2,FALSE),""))</f>
        <v/>
      </c>
      <c r="U169" s="57">
        <f t="shared" si="33"/>
        <v>25</v>
      </c>
      <c r="V169" s="53" t="str">
        <f t="shared" si="34"/>
        <v/>
      </c>
      <c r="W169" s="53" t="str">
        <f t="shared" si="35"/>
        <v/>
      </c>
      <c r="X169" s="53" t="str">
        <f t="shared" si="36"/>
        <v/>
      </c>
      <c r="Y169" s="57" t="str">
        <f>IF($X169="","",IFERROR(VLOOKUP($X169,'Char Popularity'!$A$2:$C$500,2,FALSE),""))</f>
        <v/>
      </c>
      <c r="Z169" s="56">
        <f>IF($X169="",1,IFERROR(VLOOKUP($X169,'Char Popularity'!$A$2:$C$500,3,FALSE),1))</f>
        <v>1</v>
      </c>
      <c r="AA169" s="62">
        <f>IF($H169&lt;&gt;"Y",0,(IF($F169&lt;&gt;"",ROUND(Dashboard!$R$4/$F169,1),IF(AND($I169="Base",$E169="Base"),Dashboard!$R$5,IF(AND($I169="Base",$E169="Red"),Dashboard!$R$6,IF(AND($I169="Base",$E169="Gold"),Dashboard!$R$7,VLOOKUP($I169,Dashboard!$Q$16:$R$21,2,FALSE)))))*VLOOKUP($I169,Dashboard!$Q$9:$R$13,2,FALSE)*IF(AND($I169="Auto",$F169="",OR($B169="Autographs Duals",$B169="Autographs Triples",$B169="Autographs Quads",$B169="Autographs Quads (Inscribed)")),IF($B169="Autographs Duals",2,IF($B169="Autographs Triples",3,4)),1)))</f>
        <v>40</v>
      </c>
      <c r="AB169" s="62">
        <f t="shared" si="37"/>
        <v>0</v>
      </c>
      <c r="AC169" s="62">
        <f t="shared" si="38"/>
        <v>0</v>
      </c>
    </row>
    <row r="170" spans="1:29" ht="28.7" customHeight="1" x14ac:dyDescent="0.25">
      <c r="A170" s="4" t="s">
        <v>17</v>
      </c>
      <c r="B170" s="7" t="s">
        <v>70</v>
      </c>
      <c r="C170" s="2" t="s">
        <v>1468</v>
      </c>
      <c r="D170" s="7" t="s">
        <v>979</v>
      </c>
      <c r="E170" s="4" t="s">
        <v>780</v>
      </c>
      <c r="F170" s="2">
        <v>25</v>
      </c>
      <c r="G170" s="2" t="s">
        <v>1399</v>
      </c>
      <c r="H170" s="2" t="s">
        <v>1400</v>
      </c>
      <c r="I170" s="4" t="s">
        <v>60</v>
      </c>
      <c r="J170" s="112">
        <f>IF($H170&lt;&gt;"Y",0,ROUND(MIN(Dashboard!$R$24,IF(IFERROR(VLOOKUP($B170,Dashboard!$Q$28:$S$60,2,FALSE),0)&gt;0,IFERROR(VLOOKUP($B170,Dashboard!$Q$28:$S$60,2,FALSE),0),$Z170*IF($U170&lt;&gt;"",ROUND((Dashboard!$R$4/$U170)*VLOOKUP($I170,Dashboard!$Q$9:$R$13,2,FALSE)*IF(ISNUMBER(SEARCH("Duals",$B170)),2,IF(ISNUMBER(SEARCH("Triples",$B170)),3,IF(ISNUMBER(SEARCH("Quads",$B170)),4,1))),2),ROUND(VLOOKUP($I170,Dashboard!$Q$15:$R$20,2,FALSE)*IF($E170="Red",Dashboard!$R$6,IF($E170="Gold",Dashboard!$R$7,Dashboard!$R$5))*IF(ISNUMBER(SEARCH("Duals",$B170)),2,IF(ISNUMBER(SEARCH("Triples",$B170)),3,IF(ISNUMBER(SEARCH("Quads",$B170)),4,1))),2))*IF(IFERROR(VLOOKUP($B170,Dashboard!$Q$28:$S$60,3,FALSE),0)&gt;0,VLOOKUP($B170,Dashboard!$Q$28:$S$60,3,FALSE),1))),0))</f>
        <v>40</v>
      </c>
      <c r="K170" s="2" t="str">
        <f>IF('Base S1'!H70="","",'Base S1'!H70)</f>
        <v/>
      </c>
      <c r="L170" s="2">
        <f t="shared" si="26"/>
        <v>0</v>
      </c>
      <c r="M170" s="2">
        <f t="shared" si="27"/>
        <v>0</v>
      </c>
      <c r="N170" s="2">
        <f t="shared" si="28"/>
        <v>0</v>
      </c>
      <c r="O170" s="2">
        <f t="shared" si="29"/>
        <v>1</v>
      </c>
      <c r="P170" s="112">
        <f t="shared" si="30"/>
        <v>0</v>
      </c>
      <c r="Q170" s="112">
        <f t="shared" si="31"/>
        <v>0</v>
      </c>
      <c r="R170" s="53"/>
      <c r="S170" s="53" t="str">
        <f t="shared" si="32"/>
        <v>Base S1|Black Parallel - Season 1|69|Black</v>
      </c>
      <c r="T170" s="57" t="str">
        <f>IF($S170="","",IFERROR(VLOOKUP($S170,'Pop Estimates (Non-#d)'!$N$2:$O$500,2,FALSE),""))</f>
        <v/>
      </c>
      <c r="U170" s="57">
        <f t="shared" si="33"/>
        <v>25</v>
      </c>
      <c r="V170" s="53" t="str">
        <f t="shared" si="34"/>
        <v/>
      </c>
      <c r="W170" s="53" t="str">
        <f t="shared" si="35"/>
        <v/>
      </c>
      <c r="X170" s="53" t="str">
        <f t="shared" si="36"/>
        <v/>
      </c>
      <c r="Y170" s="57" t="str">
        <f>IF($X170="","",IFERROR(VLOOKUP($X170,'Char Popularity'!$A$2:$C$500,2,FALSE),""))</f>
        <v/>
      </c>
      <c r="Z170" s="56">
        <f>IF($X170="",1,IFERROR(VLOOKUP($X170,'Char Popularity'!$A$2:$C$500,3,FALSE),1))</f>
        <v>1</v>
      </c>
      <c r="AA170" s="62">
        <f>IF($H170&lt;&gt;"Y",0,(IF($F170&lt;&gt;"",ROUND(Dashboard!$R$4/$F170,1),IF(AND($I170="Base",$E170="Base"),Dashboard!$R$5,IF(AND($I170="Base",$E170="Red"),Dashboard!$R$6,IF(AND($I170="Base",$E170="Gold"),Dashboard!$R$7,VLOOKUP($I170,Dashboard!$Q$16:$R$21,2,FALSE)))))*VLOOKUP($I170,Dashboard!$Q$9:$R$13,2,FALSE)*IF(AND($I170="Auto",$F170="",OR($B170="Autographs Duals",$B170="Autographs Triples",$B170="Autographs Quads",$B170="Autographs Quads (Inscribed)")),IF($B170="Autographs Duals",2,IF($B170="Autographs Triples",3,4)),1)))</f>
        <v>40</v>
      </c>
      <c r="AB170" s="62">
        <f t="shared" si="37"/>
        <v>0</v>
      </c>
      <c r="AC170" s="62">
        <f t="shared" si="38"/>
        <v>0</v>
      </c>
    </row>
    <row r="171" spans="1:29" ht="28.7" customHeight="1" x14ac:dyDescent="0.25">
      <c r="A171" s="4" t="s">
        <v>17</v>
      </c>
      <c r="B171" s="7" t="s">
        <v>70</v>
      </c>
      <c r="C171" s="2" t="s">
        <v>1469</v>
      </c>
      <c r="D171" s="7" t="s">
        <v>980</v>
      </c>
      <c r="E171" s="4" t="s">
        <v>780</v>
      </c>
      <c r="F171" s="2">
        <v>25</v>
      </c>
      <c r="G171" s="2" t="s">
        <v>1399</v>
      </c>
      <c r="H171" s="2" t="s">
        <v>1400</v>
      </c>
      <c r="I171" s="4" t="s">
        <v>60</v>
      </c>
      <c r="J171" s="112">
        <f>IF($H171&lt;&gt;"Y",0,ROUND(MIN(Dashboard!$R$24,IF(IFERROR(VLOOKUP($B171,Dashboard!$Q$28:$S$60,2,FALSE),0)&gt;0,IFERROR(VLOOKUP($B171,Dashboard!$Q$28:$S$60,2,FALSE),0),$Z171*IF($U171&lt;&gt;"",ROUND((Dashboard!$R$4/$U171)*VLOOKUP($I171,Dashboard!$Q$9:$R$13,2,FALSE)*IF(ISNUMBER(SEARCH("Duals",$B171)),2,IF(ISNUMBER(SEARCH("Triples",$B171)),3,IF(ISNUMBER(SEARCH("Quads",$B171)),4,1))),2),ROUND(VLOOKUP($I171,Dashboard!$Q$15:$R$20,2,FALSE)*IF($E171="Red",Dashboard!$R$6,IF($E171="Gold",Dashboard!$R$7,Dashboard!$R$5))*IF(ISNUMBER(SEARCH("Duals",$B171)),2,IF(ISNUMBER(SEARCH("Triples",$B171)),3,IF(ISNUMBER(SEARCH("Quads",$B171)),4,1))),2))*IF(IFERROR(VLOOKUP($B171,Dashboard!$Q$28:$S$60,3,FALSE),0)&gt;0,VLOOKUP($B171,Dashboard!$Q$28:$S$60,3,FALSE),1))),0))</f>
        <v>40</v>
      </c>
      <c r="K171" s="2" t="str">
        <f>IF('Base S1'!H71="","",'Base S1'!H71)</f>
        <v/>
      </c>
      <c r="L171" s="2">
        <f t="shared" si="26"/>
        <v>0</v>
      </c>
      <c r="M171" s="2">
        <f t="shared" si="27"/>
        <v>0</v>
      </c>
      <c r="N171" s="2">
        <f t="shared" si="28"/>
        <v>0</v>
      </c>
      <c r="O171" s="2">
        <f t="shared" si="29"/>
        <v>1</v>
      </c>
      <c r="P171" s="112">
        <f t="shared" si="30"/>
        <v>0</v>
      </c>
      <c r="Q171" s="112">
        <f t="shared" si="31"/>
        <v>0</v>
      </c>
      <c r="R171" s="53"/>
      <c r="S171" s="53" t="str">
        <f t="shared" si="32"/>
        <v>Base S1|Black Parallel - Season 1|70|Black</v>
      </c>
      <c r="T171" s="57" t="str">
        <f>IF($S171="","",IFERROR(VLOOKUP($S171,'Pop Estimates (Non-#d)'!$N$2:$O$500,2,FALSE),""))</f>
        <v/>
      </c>
      <c r="U171" s="57">
        <f t="shared" si="33"/>
        <v>25</v>
      </c>
      <c r="V171" s="53" t="str">
        <f t="shared" si="34"/>
        <v/>
      </c>
      <c r="W171" s="53" t="str">
        <f t="shared" si="35"/>
        <v/>
      </c>
      <c r="X171" s="53" t="str">
        <f t="shared" si="36"/>
        <v/>
      </c>
      <c r="Y171" s="57" t="str">
        <f>IF($X171="","",IFERROR(VLOOKUP($X171,'Char Popularity'!$A$2:$C$500,2,FALSE),""))</f>
        <v/>
      </c>
      <c r="Z171" s="56">
        <f>IF($X171="",1,IFERROR(VLOOKUP($X171,'Char Popularity'!$A$2:$C$500,3,FALSE),1))</f>
        <v>1</v>
      </c>
      <c r="AA171" s="62">
        <f>IF($H171&lt;&gt;"Y",0,(IF($F171&lt;&gt;"",ROUND(Dashboard!$R$4/$F171,1),IF(AND($I171="Base",$E171="Base"),Dashboard!$R$5,IF(AND($I171="Base",$E171="Red"),Dashboard!$R$6,IF(AND($I171="Base",$E171="Gold"),Dashboard!$R$7,VLOOKUP($I171,Dashboard!$Q$16:$R$21,2,FALSE)))))*VLOOKUP($I171,Dashboard!$Q$9:$R$13,2,FALSE)*IF(AND($I171="Auto",$F171="",OR($B171="Autographs Duals",$B171="Autographs Triples",$B171="Autographs Quads",$B171="Autographs Quads (Inscribed)")),IF($B171="Autographs Duals",2,IF($B171="Autographs Triples",3,4)),1)))</f>
        <v>40</v>
      </c>
      <c r="AB171" s="62">
        <f t="shared" si="37"/>
        <v>0</v>
      </c>
      <c r="AC171" s="62">
        <f t="shared" si="38"/>
        <v>0</v>
      </c>
    </row>
    <row r="172" spans="1:29" ht="28.7" customHeight="1" x14ac:dyDescent="0.25">
      <c r="A172" s="4" t="s">
        <v>17</v>
      </c>
      <c r="B172" s="7" t="s">
        <v>70</v>
      </c>
      <c r="C172" s="2" t="s">
        <v>1470</v>
      </c>
      <c r="D172" s="7" t="s">
        <v>981</v>
      </c>
      <c r="E172" s="4" t="s">
        <v>780</v>
      </c>
      <c r="F172" s="2">
        <v>25</v>
      </c>
      <c r="G172" s="2" t="s">
        <v>1399</v>
      </c>
      <c r="H172" s="2" t="s">
        <v>1400</v>
      </c>
      <c r="I172" s="4" t="s">
        <v>60</v>
      </c>
      <c r="J172" s="112">
        <f>IF($H172&lt;&gt;"Y",0,ROUND(MIN(Dashboard!$R$24,IF(IFERROR(VLOOKUP($B172,Dashboard!$Q$28:$S$60,2,FALSE),0)&gt;0,IFERROR(VLOOKUP($B172,Dashboard!$Q$28:$S$60,2,FALSE),0),$Z172*IF($U172&lt;&gt;"",ROUND((Dashboard!$R$4/$U172)*VLOOKUP($I172,Dashboard!$Q$9:$R$13,2,FALSE)*IF(ISNUMBER(SEARCH("Duals",$B172)),2,IF(ISNUMBER(SEARCH("Triples",$B172)),3,IF(ISNUMBER(SEARCH("Quads",$B172)),4,1))),2),ROUND(VLOOKUP($I172,Dashboard!$Q$15:$R$20,2,FALSE)*IF($E172="Red",Dashboard!$R$6,IF($E172="Gold",Dashboard!$R$7,Dashboard!$R$5))*IF(ISNUMBER(SEARCH("Duals",$B172)),2,IF(ISNUMBER(SEARCH("Triples",$B172)),3,IF(ISNUMBER(SEARCH("Quads",$B172)),4,1))),2))*IF(IFERROR(VLOOKUP($B172,Dashboard!$Q$28:$S$60,3,FALSE),0)&gt;0,VLOOKUP($B172,Dashboard!$Q$28:$S$60,3,FALSE),1))),0))</f>
        <v>40</v>
      </c>
      <c r="K172" s="2" t="str">
        <f>IF('Base S1'!H72="","",'Base S1'!H72)</f>
        <v>C 2/25</v>
      </c>
      <c r="L172" s="2">
        <f t="shared" si="26"/>
        <v>1</v>
      </c>
      <c r="M172" s="2">
        <f t="shared" si="27"/>
        <v>0</v>
      </c>
      <c r="N172" s="2">
        <f t="shared" si="28"/>
        <v>1</v>
      </c>
      <c r="O172" s="2">
        <f t="shared" si="29"/>
        <v>0</v>
      </c>
      <c r="P172" s="112">
        <f t="shared" si="30"/>
        <v>40</v>
      </c>
      <c r="Q172" s="112">
        <f t="shared" si="31"/>
        <v>0</v>
      </c>
      <c r="R172" s="53"/>
      <c r="S172" s="53" t="str">
        <f t="shared" si="32"/>
        <v>Base S1|Black Parallel - Season 1|71|Black</v>
      </c>
      <c r="T172" s="57" t="str">
        <f>IF($S172="","",IFERROR(VLOOKUP($S172,'Pop Estimates (Non-#d)'!$N$2:$O$500,2,FALSE),""))</f>
        <v/>
      </c>
      <c r="U172" s="57">
        <f t="shared" si="33"/>
        <v>25</v>
      </c>
      <c r="V172" s="53" t="str">
        <f t="shared" si="34"/>
        <v/>
      </c>
      <c r="W172" s="53" t="str">
        <f t="shared" si="35"/>
        <v/>
      </c>
      <c r="X172" s="53" t="str">
        <f t="shared" si="36"/>
        <v/>
      </c>
      <c r="Y172" s="57" t="str">
        <f>IF($X172="","",IFERROR(VLOOKUP($X172,'Char Popularity'!$A$2:$C$500,2,FALSE),""))</f>
        <v/>
      </c>
      <c r="Z172" s="56">
        <f>IF($X172="",1,IFERROR(VLOOKUP($X172,'Char Popularity'!$A$2:$C$500,3,FALSE),1))</f>
        <v>1</v>
      </c>
      <c r="AA172" s="62">
        <f>IF($H172&lt;&gt;"Y",0,(IF($F172&lt;&gt;"",ROUND(Dashboard!$R$4/$F172,1),IF(AND($I172="Base",$E172="Base"),Dashboard!$R$5,IF(AND($I172="Base",$E172="Red"),Dashboard!$R$6,IF(AND($I172="Base",$E172="Gold"),Dashboard!$R$7,VLOOKUP($I172,Dashboard!$Q$16:$R$21,2,FALSE)))))*VLOOKUP($I172,Dashboard!$Q$9:$R$13,2,FALSE)*IF(AND($I172="Auto",$F172="",OR($B172="Autographs Duals",$B172="Autographs Triples",$B172="Autographs Quads",$B172="Autographs Quads (Inscribed)")),IF($B172="Autographs Duals",2,IF($B172="Autographs Triples",3,4)),1)))</f>
        <v>40</v>
      </c>
      <c r="AB172" s="62">
        <f t="shared" si="37"/>
        <v>40</v>
      </c>
      <c r="AC172" s="62">
        <f t="shared" si="38"/>
        <v>0</v>
      </c>
    </row>
    <row r="173" spans="1:29" ht="28.7" customHeight="1" x14ac:dyDescent="0.25">
      <c r="A173" s="4" t="s">
        <v>17</v>
      </c>
      <c r="B173" s="7" t="s">
        <v>70</v>
      </c>
      <c r="C173" s="2" t="s">
        <v>1471</v>
      </c>
      <c r="D173" s="7" t="s">
        <v>983</v>
      </c>
      <c r="E173" s="4" t="s">
        <v>780</v>
      </c>
      <c r="F173" s="2">
        <v>25</v>
      </c>
      <c r="G173" s="2" t="s">
        <v>1399</v>
      </c>
      <c r="H173" s="2" t="s">
        <v>1400</v>
      </c>
      <c r="I173" s="4" t="s">
        <v>60</v>
      </c>
      <c r="J173" s="112">
        <f>IF($H173&lt;&gt;"Y",0,ROUND(MIN(Dashboard!$R$24,IF(IFERROR(VLOOKUP($B173,Dashboard!$Q$28:$S$60,2,FALSE),0)&gt;0,IFERROR(VLOOKUP($B173,Dashboard!$Q$28:$S$60,2,FALSE),0),$Z173*IF($U173&lt;&gt;"",ROUND((Dashboard!$R$4/$U173)*VLOOKUP($I173,Dashboard!$Q$9:$R$13,2,FALSE)*IF(ISNUMBER(SEARCH("Duals",$B173)),2,IF(ISNUMBER(SEARCH("Triples",$B173)),3,IF(ISNUMBER(SEARCH("Quads",$B173)),4,1))),2),ROUND(VLOOKUP($I173,Dashboard!$Q$15:$R$20,2,FALSE)*IF($E173="Red",Dashboard!$R$6,IF($E173="Gold",Dashboard!$R$7,Dashboard!$R$5))*IF(ISNUMBER(SEARCH("Duals",$B173)),2,IF(ISNUMBER(SEARCH("Triples",$B173)),3,IF(ISNUMBER(SEARCH("Quads",$B173)),4,1))),2))*IF(IFERROR(VLOOKUP($B173,Dashboard!$Q$28:$S$60,3,FALSE),0)&gt;0,VLOOKUP($B173,Dashboard!$Q$28:$S$60,3,FALSE),1))),0))</f>
        <v>40</v>
      </c>
      <c r="K173" s="2" t="str">
        <f>IF('Base S1'!H73="","",'Base S1'!H73)</f>
        <v/>
      </c>
      <c r="L173" s="2">
        <f t="shared" si="26"/>
        <v>0</v>
      </c>
      <c r="M173" s="2">
        <f t="shared" si="27"/>
        <v>0</v>
      </c>
      <c r="N173" s="2">
        <f t="shared" si="28"/>
        <v>0</v>
      </c>
      <c r="O173" s="2">
        <f t="shared" si="29"/>
        <v>1</v>
      </c>
      <c r="P173" s="112">
        <f t="shared" si="30"/>
        <v>0</v>
      </c>
      <c r="Q173" s="112">
        <f t="shared" si="31"/>
        <v>0</v>
      </c>
      <c r="R173" s="53"/>
      <c r="S173" s="53" t="str">
        <f t="shared" si="32"/>
        <v>Base S1|Black Parallel - Season 1|72|Black</v>
      </c>
      <c r="T173" s="57" t="str">
        <f>IF($S173="","",IFERROR(VLOOKUP($S173,'Pop Estimates (Non-#d)'!$N$2:$O$500,2,FALSE),""))</f>
        <v/>
      </c>
      <c r="U173" s="57">
        <f t="shared" si="33"/>
        <v>25</v>
      </c>
      <c r="V173" s="53" t="str">
        <f t="shared" si="34"/>
        <v/>
      </c>
      <c r="W173" s="53" t="str">
        <f t="shared" si="35"/>
        <v/>
      </c>
      <c r="X173" s="53" t="str">
        <f t="shared" si="36"/>
        <v/>
      </c>
      <c r="Y173" s="57" t="str">
        <f>IF($X173="","",IFERROR(VLOOKUP($X173,'Char Popularity'!$A$2:$C$500,2,FALSE),""))</f>
        <v/>
      </c>
      <c r="Z173" s="56">
        <f>IF($X173="",1,IFERROR(VLOOKUP($X173,'Char Popularity'!$A$2:$C$500,3,FALSE),1))</f>
        <v>1</v>
      </c>
      <c r="AA173" s="62">
        <f>IF($H173&lt;&gt;"Y",0,(IF($F173&lt;&gt;"",ROUND(Dashboard!$R$4/$F173,1),IF(AND($I173="Base",$E173="Base"),Dashboard!$R$5,IF(AND($I173="Base",$E173="Red"),Dashboard!$R$6,IF(AND($I173="Base",$E173="Gold"),Dashboard!$R$7,VLOOKUP($I173,Dashboard!$Q$16:$R$21,2,FALSE)))))*VLOOKUP($I173,Dashboard!$Q$9:$R$13,2,FALSE)*IF(AND($I173="Auto",$F173="",OR($B173="Autographs Duals",$B173="Autographs Triples",$B173="Autographs Quads",$B173="Autographs Quads (Inscribed)")),IF($B173="Autographs Duals",2,IF($B173="Autographs Triples",3,4)),1)))</f>
        <v>40</v>
      </c>
      <c r="AB173" s="62">
        <f t="shared" si="37"/>
        <v>0</v>
      </c>
      <c r="AC173" s="62">
        <f t="shared" si="38"/>
        <v>0</v>
      </c>
    </row>
    <row r="174" spans="1:29" ht="28.7" customHeight="1" x14ac:dyDescent="0.25">
      <c r="A174" s="4" t="s">
        <v>17</v>
      </c>
      <c r="B174" s="7" t="s">
        <v>70</v>
      </c>
      <c r="C174" s="2" t="s">
        <v>1472</v>
      </c>
      <c r="D174" s="7" t="s">
        <v>985</v>
      </c>
      <c r="E174" s="4" t="s">
        <v>780</v>
      </c>
      <c r="F174" s="2">
        <v>25</v>
      </c>
      <c r="G174" s="2" t="s">
        <v>1399</v>
      </c>
      <c r="H174" s="2" t="s">
        <v>1400</v>
      </c>
      <c r="I174" s="4" t="s">
        <v>60</v>
      </c>
      <c r="J174" s="112">
        <f>IF($H174&lt;&gt;"Y",0,ROUND(MIN(Dashboard!$R$24,IF(IFERROR(VLOOKUP($B174,Dashboard!$Q$28:$S$60,2,FALSE),0)&gt;0,IFERROR(VLOOKUP($B174,Dashboard!$Q$28:$S$60,2,FALSE),0),$Z174*IF($U174&lt;&gt;"",ROUND((Dashboard!$R$4/$U174)*VLOOKUP($I174,Dashboard!$Q$9:$R$13,2,FALSE)*IF(ISNUMBER(SEARCH("Duals",$B174)),2,IF(ISNUMBER(SEARCH("Triples",$B174)),3,IF(ISNUMBER(SEARCH("Quads",$B174)),4,1))),2),ROUND(VLOOKUP($I174,Dashboard!$Q$15:$R$20,2,FALSE)*IF($E174="Red",Dashboard!$R$6,IF($E174="Gold",Dashboard!$R$7,Dashboard!$R$5))*IF(ISNUMBER(SEARCH("Duals",$B174)),2,IF(ISNUMBER(SEARCH("Triples",$B174)),3,IF(ISNUMBER(SEARCH("Quads",$B174)),4,1))),2))*IF(IFERROR(VLOOKUP($B174,Dashboard!$Q$28:$S$60,3,FALSE),0)&gt;0,VLOOKUP($B174,Dashboard!$Q$28:$S$60,3,FALSE),1))),0))</f>
        <v>40</v>
      </c>
      <c r="K174" s="2" t="str">
        <f>IF('Base S1'!H74="","",'Base S1'!H74)</f>
        <v/>
      </c>
      <c r="L174" s="2">
        <f t="shared" si="26"/>
        <v>0</v>
      </c>
      <c r="M174" s="2">
        <f t="shared" si="27"/>
        <v>0</v>
      </c>
      <c r="N174" s="2">
        <f t="shared" si="28"/>
        <v>0</v>
      </c>
      <c r="O174" s="2">
        <f t="shared" si="29"/>
        <v>1</v>
      </c>
      <c r="P174" s="112">
        <f t="shared" si="30"/>
        <v>0</v>
      </c>
      <c r="Q174" s="112">
        <f t="shared" si="31"/>
        <v>0</v>
      </c>
      <c r="R174" s="53"/>
      <c r="S174" s="53" t="str">
        <f t="shared" si="32"/>
        <v>Base S1|Black Parallel - Season 1|73|Black</v>
      </c>
      <c r="T174" s="57" t="str">
        <f>IF($S174="","",IFERROR(VLOOKUP($S174,'Pop Estimates (Non-#d)'!$N$2:$O$500,2,FALSE),""))</f>
        <v/>
      </c>
      <c r="U174" s="57">
        <f t="shared" si="33"/>
        <v>25</v>
      </c>
      <c r="V174" s="53" t="str">
        <f t="shared" si="34"/>
        <v/>
      </c>
      <c r="W174" s="53" t="str">
        <f t="shared" si="35"/>
        <v/>
      </c>
      <c r="X174" s="53" t="str">
        <f t="shared" si="36"/>
        <v/>
      </c>
      <c r="Y174" s="57" t="str">
        <f>IF($X174="","",IFERROR(VLOOKUP($X174,'Char Popularity'!$A$2:$C$500,2,FALSE),""))</f>
        <v/>
      </c>
      <c r="Z174" s="56">
        <f>IF($X174="",1,IFERROR(VLOOKUP($X174,'Char Popularity'!$A$2:$C$500,3,FALSE),1))</f>
        <v>1</v>
      </c>
      <c r="AA174" s="62">
        <f>IF($H174&lt;&gt;"Y",0,(IF($F174&lt;&gt;"",ROUND(Dashboard!$R$4/$F174,1),IF(AND($I174="Base",$E174="Base"),Dashboard!$R$5,IF(AND($I174="Base",$E174="Red"),Dashboard!$R$6,IF(AND($I174="Base",$E174="Gold"),Dashboard!$R$7,VLOOKUP($I174,Dashboard!$Q$16:$R$21,2,FALSE)))))*VLOOKUP($I174,Dashboard!$Q$9:$R$13,2,FALSE)*IF(AND($I174="Auto",$F174="",OR($B174="Autographs Duals",$B174="Autographs Triples",$B174="Autographs Quads",$B174="Autographs Quads (Inscribed)")),IF($B174="Autographs Duals",2,IF($B174="Autographs Triples",3,4)),1)))</f>
        <v>40</v>
      </c>
      <c r="AB174" s="62">
        <f t="shared" si="37"/>
        <v>0</v>
      </c>
      <c r="AC174" s="62">
        <f t="shared" si="38"/>
        <v>0</v>
      </c>
    </row>
    <row r="175" spans="1:29" ht="28.7" customHeight="1" x14ac:dyDescent="0.25">
      <c r="A175" s="4" t="s">
        <v>17</v>
      </c>
      <c r="B175" s="7" t="s">
        <v>70</v>
      </c>
      <c r="C175" s="2" t="s">
        <v>1473</v>
      </c>
      <c r="D175" s="7" t="s">
        <v>987</v>
      </c>
      <c r="E175" s="4" t="s">
        <v>780</v>
      </c>
      <c r="F175" s="2">
        <v>25</v>
      </c>
      <c r="G175" s="2" t="s">
        <v>1399</v>
      </c>
      <c r="H175" s="2" t="s">
        <v>1400</v>
      </c>
      <c r="I175" s="4" t="s">
        <v>60</v>
      </c>
      <c r="J175" s="112">
        <f>IF($H175&lt;&gt;"Y",0,ROUND(MIN(Dashboard!$R$24,IF(IFERROR(VLOOKUP($B175,Dashboard!$Q$28:$S$60,2,FALSE),0)&gt;0,IFERROR(VLOOKUP($B175,Dashboard!$Q$28:$S$60,2,FALSE),0),$Z175*IF($U175&lt;&gt;"",ROUND((Dashboard!$R$4/$U175)*VLOOKUP($I175,Dashboard!$Q$9:$R$13,2,FALSE)*IF(ISNUMBER(SEARCH("Duals",$B175)),2,IF(ISNUMBER(SEARCH("Triples",$B175)),3,IF(ISNUMBER(SEARCH("Quads",$B175)),4,1))),2),ROUND(VLOOKUP($I175,Dashboard!$Q$15:$R$20,2,FALSE)*IF($E175="Red",Dashboard!$R$6,IF($E175="Gold",Dashboard!$R$7,Dashboard!$R$5))*IF(ISNUMBER(SEARCH("Duals",$B175)),2,IF(ISNUMBER(SEARCH("Triples",$B175)),3,IF(ISNUMBER(SEARCH("Quads",$B175)),4,1))),2))*IF(IFERROR(VLOOKUP($B175,Dashboard!$Q$28:$S$60,3,FALSE),0)&gt;0,VLOOKUP($B175,Dashboard!$Q$28:$S$60,3,FALSE),1))),0))</f>
        <v>40</v>
      </c>
      <c r="K175" s="2" t="str">
        <f>IF('Base S1'!H75="","",'Base S1'!H75)</f>
        <v>C 07/25</v>
      </c>
      <c r="L175" s="2">
        <f t="shared" si="26"/>
        <v>1</v>
      </c>
      <c r="M175" s="2">
        <f t="shared" si="27"/>
        <v>0</v>
      </c>
      <c r="N175" s="2">
        <f t="shared" si="28"/>
        <v>1</v>
      </c>
      <c r="O175" s="2">
        <f t="shared" si="29"/>
        <v>0</v>
      </c>
      <c r="P175" s="112">
        <f t="shared" si="30"/>
        <v>40</v>
      </c>
      <c r="Q175" s="112">
        <f t="shared" si="31"/>
        <v>0</v>
      </c>
      <c r="R175" s="53"/>
      <c r="S175" s="53" t="str">
        <f t="shared" si="32"/>
        <v>Base S1|Black Parallel - Season 1|74|Black</v>
      </c>
      <c r="T175" s="57" t="str">
        <f>IF($S175="","",IFERROR(VLOOKUP($S175,'Pop Estimates (Non-#d)'!$N$2:$O$500,2,FALSE),""))</f>
        <v/>
      </c>
      <c r="U175" s="57">
        <f t="shared" si="33"/>
        <v>25</v>
      </c>
      <c r="V175" s="53" t="str">
        <f t="shared" si="34"/>
        <v/>
      </c>
      <c r="W175" s="53" t="str">
        <f t="shared" si="35"/>
        <v/>
      </c>
      <c r="X175" s="53" t="str">
        <f t="shared" si="36"/>
        <v/>
      </c>
      <c r="Y175" s="57" t="str">
        <f>IF($X175="","",IFERROR(VLOOKUP($X175,'Char Popularity'!$A$2:$C$500,2,FALSE),""))</f>
        <v/>
      </c>
      <c r="Z175" s="56">
        <f>IF($X175="",1,IFERROR(VLOOKUP($X175,'Char Popularity'!$A$2:$C$500,3,FALSE),1))</f>
        <v>1</v>
      </c>
      <c r="AA175" s="62">
        <f>IF($H175&lt;&gt;"Y",0,(IF($F175&lt;&gt;"",ROUND(Dashboard!$R$4/$F175,1),IF(AND($I175="Base",$E175="Base"),Dashboard!$R$5,IF(AND($I175="Base",$E175="Red"),Dashboard!$R$6,IF(AND($I175="Base",$E175="Gold"),Dashboard!$R$7,VLOOKUP($I175,Dashboard!$Q$16:$R$21,2,FALSE)))))*VLOOKUP($I175,Dashboard!$Q$9:$R$13,2,FALSE)*IF(AND($I175="Auto",$F175="",OR($B175="Autographs Duals",$B175="Autographs Triples",$B175="Autographs Quads",$B175="Autographs Quads (Inscribed)")),IF($B175="Autographs Duals",2,IF($B175="Autographs Triples",3,4)),1)))</f>
        <v>40</v>
      </c>
      <c r="AB175" s="62">
        <f t="shared" si="37"/>
        <v>40</v>
      </c>
      <c r="AC175" s="62">
        <f t="shared" si="38"/>
        <v>0</v>
      </c>
    </row>
    <row r="176" spans="1:29" ht="28.7" customHeight="1" x14ac:dyDescent="0.25">
      <c r="A176" s="4" t="s">
        <v>17</v>
      </c>
      <c r="B176" s="7" t="s">
        <v>70</v>
      </c>
      <c r="C176" s="2" t="s">
        <v>1474</v>
      </c>
      <c r="D176" s="7" t="s">
        <v>989</v>
      </c>
      <c r="E176" s="4" t="s">
        <v>780</v>
      </c>
      <c r="F176" s="2">
        <v>25</v>
      </c>
      <c r="G176" s="2" t="s">
        <v>1399</v>
      </c>
      <c r="H176" s="2" t="s">
        <v>1400</v>
      </c>
      <c r="I176" s="4" t="s">
        <v>60</v>
      </c>
      <c r="J176" s="112">
        <f>IF($H176&lt;&gt;"Y",0,ROUND(MIN(Dashboard!$R$24,IF(IFERROR(VLOOKUP($B176,Dashboard!$Q$28:$S$60,2,FALSE),0)&gt;0,IFERROR(VLOOKUP($B176,Dashboard!$Q$28:$S$60,2,FALSE),0),$Z176*IF($U176&lt;&gt;"",ROUND((Dashboard!$R$4/$U176)*VLOOKUP($I176,Dashboard!$Q$9:$R$13,2,FALSE)*IF(ISNUMBER(SEARCH("Duals",$B176)),2,IF(ISNUMBER(SEARCH("Triples",$B176)),3,IF(ISNUMBER(SEARCH("Quads",$B176)),4,1))),2),ROUND(VLOOKUP($I176,Dashboard!$Q$15:$R$20,2,FALSE)*IF($E176="Red",Dashboard!$R$6,IF($E176="Gold",Dashboard!$R$7,Dashboard!$R$5))*IF(ISNUMBER(SEARCH("Duals",$B176)),2,IF(ISNUMBER(SEARCH("Triples",$B176)),3,IF(ISNUMBER(SEARCH("Quads",$B176)),4,1))),2))*IF(IFERROR(VLOOKUP($B176,Dashboard!$Q$28:$S$60,3,FALSE),0)&gt;0,VLOOKUP($B176,Dashboard!$Q$28:$S$60,3,FALSE),1))),0))</f>
        <v>40</v>
      </c>
      <c r="K176" s="2" t="str">
        <f>IF('Base S1'!H76="","",'Base S1'!H76)</f>
        <v/>
      </c>
      <c r="L176" s="2">
        <f t="shared" si="26"/>
        <v>0</v>
      </c>
      <c r="M176" s="2">
        <f t="shared" si="27"/>
        <v>0</v>
      </c>
      <c r="N176" s="2">
        <f t="shared" si="28"/>
        <v>0</v>
      </c>
      <c r="O176" s="2">
        <f t="shared" si="29"/>
        <v>1</v>
      </c>
      <c r="P176" s="112">
        <f t="shared" si="30"/>
        <v>0</v>
      </c>
      <c r="Q176" s="112">
        <f t="shared" si="31"/>
        <v>0</v>
      </c>
      <c r="R176" s="53"/>
      <c r="S176" s="53" t="str">
        <f t="shared" si="32"/>
        <v>Base S1|Black Parallel - Season 1|75|Black</v>
      </c>
      <c r="T176" s="57" t="str">
        <f>IF($S176="","",IFERROR(VLOOKUP($S176,'Pop Estimates (Non-#d)'!$N$2:$O$500,2,FALSE),""))</f>
        <v/>
      </c>
      <c r="U176" s="57">
        <f t="shared" si="33"/>
        <v>25</v>
      </c>
      <c r="V176" s="53" t="str">
        <f t="shared" si="34"/>
        <v/>
      </c>
      <c r="W176" s="53" t="str">
        <f t="shared" si="35"/>
        <v/>
      </c>
      <c r="X176" s="53" t="str">
        <f t="shared" si="36"/>
        <v/>
      </c>
      <c r="Y176" s="57" t="str">
        <f>IF($X176="","",IFERROR(VLOOKUP($X176,'Char Popularity'!$A$2:$C$500,2,FALSE),""))</f>
        <v/>
      </c>
      <c r="Z176" s="56">
        <f>IF($X176="",1,IFERROR(VLOOKUP($X176,'Char Popularity'!$A$2:$C$500,3,FALSE),1))</f>
        <v>1</v>
      </c>
      <c r="AA176" s="62">
        <f>IF($H176&lt;&gt;"Y",0,(IF($F176&lt;&gt;"",ROUND(Dashboard!$R$4/$F176,1),IF(AND($I176="Base",$E176="Base"),Dashboard!$R$5,IF(AND($I176="Base",$E176="Red"),Dashboard!$R$6,IF(AND($I176="Base",$E176="Gold"),Dashboard!$R$7,VLOOKUP($I176,Dashboard!$Q$16:$R$21,2,FALSE)))))*VLOOKUP($I176,Dashboard!$Q$9:$R$13,2,FALSE)*IF(AND($I176="Auto",$F176="",OR($B176="Autographs Duals",$B176="Autographs Triples",$B176="Autographs Quads",$B176="Autographs Quads (Inscribed)")),IF($B176="Autographs Duals",2,IF($B176="Autographs Triples",3,4)),1)))</f>
        <v>40</v>
      </c>
      <c r="AB176" s="62">
        <f t="shared" si="37"/>
        <v>0</v>
      </c>
      <c r="AC176" s="62">
        <f t="shared" si="38"/>
        <v>0</v>
      </c>
    </row>
    <row r="177" spans="1:29" ht="28.7" customHeight="1" x14ac:dyDescent="0.25">
      <c r="A177" s="4" t="s">
        <v>17</v>
      </c>
      <c r="B177" s="7" t="s">
        <v>70</v>
      </c>
      <c r="C177" s="2" t="s">
        <v>1475</v>
      </c>
      <c r="D177" s="7" t="s">
        <v>991</v>
      </c>
      <c r="E177" s="4" t="s">
        <v>780</v>
      </c>
      <c r="F177" s="2">
        <v>25</v>
      </c>
      <c r="G177" s="2" t="s">
        <v>1399</v>
      </c>
      <c r="H177" s="2" t="s">
        <v>1400</v>
      </c>
      <c r="I177" s="4" t="s">
        <v>60</v>
      </c>
      <c r="J177" s="112">
        <f>IF($H177&lt;&gt;"Y",0,ROUND(MIN(Dashboard!$R$24,IF(IFERROR(VLOOKUP($B177,Dashboard!$Q$28:$S$60,2,FALSE),0)&gt;0,IFERROR(VLOOKUP($B177,Dashboard!$Q$28:$S$60,2,FALSE),0),$Z177*IF($U177&lt;&gt;"",ROUND((Dashboard!$R$4/$U177)*VLOOKUP($I177,Dashboard!$Q$9:$R$13,2,FALSE)*IF(ISNUMBER(SEARCH("Duals",$B177)),2,IF(ISNUMBER(SEARCH("Triples",$B177)),3,IF(ISNUMBER(SEARCH("Quads",$B177)),4,1))),2),ROUND(VLOOKUP($I177,Dashboard!$Q$15:$R$20,2,FALSE)*IF($E177="Red",Dashboard!$R$6,IF($E177="Gold",Dashboard!$R$7,Dashboard!$R$5))*IF(ISNUMBER(SEARCH("Duals",$B177)),2,IF(ISNUMBER(SEARCH("Triples",$B177)),3,IF(ISNUMBER(SEARCH("Quads",$B177)),4,1))),2))*IF(IFERROR(VLOOKUP($B177,Dashboard!$Q$28:$S$60,3,FALSE),0)&gt;0,VLOOKUP($B177,Dashboard!$Q$28:$S$60,3,FALSE),1))),0))</f>
        <v>40</v>
      </c>
      <c r="K177" s="2" t="str">
        <f>IF('Base S1'!H77="","",'Base S1'!H77)</f>
        <v/>
      </c>
      <c r="L177" s="2">
        <f t="shared" si="26"/>
        <v>0</v>
      </c>
      <c r="M177" s="2">
        <f t="shared" si="27"/>
        <v>0</v>
      </c>
      <c r="N177" s="2">
        <f t="shared" si="28"/>
        <v>0</v>
      </c>
      <c r="O177" s="2">
        <f t="shared" si="29"/>
        <v>1</v>
      </c>
      <c r="P177" s="112">
        <f t="shared" si="30"/>
        <v>0</v>
      </c>
      <c r="Q177" s="112">
        <f t="shared" si="31"/>
        <v>0</v>
      </c>
      <c r="R177" s="53"/>
      <c r="S177" s="53" t="str">
        <f t="shared" si="32"/>
        <v>Base S1|Black Parallel - Season 1|76|Black</v>
      </c>
      <c r="T177" s="57" t="str">
        <f>IF($S177="","",IFERROR(VLOOKUP($S177,'Pop Estimates (Non-#d)'!$N$2:$O$500,2,FALSE),""))</f>
        <v/>
      </c>
      <c r="U177" s="57">
        <f t="shared" si="33"/>
        <v>25</v>
      </c>
      <c r="V177" s="53" t="str">
        <f t="shared" si="34"/>
        <v/>
      </c>
      <c r="W177" s="53" t="str">
        <f t="shared" si="35"/>
        <v/>
      </c>
      <c r="X177" s="53" t="str">
        <f t="shared" si="36"/>
        <v/>
      </c>
      <c r="Y177" s="57" t="str">
        <f>IF($X177="","",IFERROR(VLOOKUP($X177,'Char Popularity'!$A$2:$C$500,2,FALSE),""))</f>
        <v/>
      </c>
      <c r="Z177" s="56">
        <f>IF($X177="",1,IFERROR(VLOOKUP($X177,'Char Popularity'!$A$2:$C$500,3,FALSE),1))</f>
        <v>1</v>
      </c>
      <c r="AA177" s="62">
        <f>IF($H177&lt;&gt;"Y",0,(IF($F177&lt;&gt;"",ROUND(Dashboard!$R$4/$F177,1),IF(AND($I177="Base",$E177="Base"),Dashboard!$R$5,IF(AND($I177="Base",$E177="Red"),Dashboard!$R$6,IF(AND($I177="Base",$E177="Gold"),Dashboard!$R$7,VLOOKUP($I177,Dashboard!$Q$16:$R$21,2,FALSE)))))*VLOOKUP($I177,Dashboard!$Q$9:$R$13,2,FALSE)*IF(AND($I177="Auto",$F177="",OR($B177="Autographs Duals",$B177="Autographs Triples",$B177="Autographs Quads",$B177="Autographs Quads (Inscribed)")),IF($B177="Autographs Duals",2,IF($B177="Autographs Triples",3,4)),1)))</f>
        <v>40</v>
      </c>
      <c r="AB177" s="62">
        <f t="shared" si="37"/>
        <v>0</v>
      </c>
      <c r="AC177" s="62">
        <f t="shared" si="38"/>
        <v>0</v>
      </c>
    </row>
    <row r="178" spans="1:29" ht="28.7" customHeight="1" x14ac:dyDescent="0.25">
      <c r="A178" s="4" t="s">
        <v>17</v>
      </c>
      <c r="B178" s="7" t="s">
        <v>70</v>
      </c>
      <c r="C178" s="2" t="s">
        <v>1476</v>
      </c>
      <c r="D178" s="7" t="s">
        <v>993</v>
      </c>
      <c r="E178" s="4" t="s">
        <v>780</v>
      </c>
      <c r="F178" s="2">
        <v>25</v>
      </c>
      <c r="G178" s="2" t="s">
        <v>1399</v>
      </c>
      <c r="H178" s="2" t="s">
        <v>1400</v>
      </c>
      <c r="I178" s="4" t="s">
        <v>60</v>
      </c>
      <c r="J178" s="112">
        <f>IF($H178&lt;&gt;"Y",0,ROUND(MIN(Dashboard!$R$24,IF(IFERROR(VLOOKUP($B178,Dashboard!$Q$28:$S$60,2,FALSE),0)&gt;0,IFERROR(VLOOKUP($B178,Dashboard!$Q$28:$S$60,2,FALSE),0),$Z178*IF($U178&lt;&gt;"",ROUND((Dashboard!$R$4/$U178)*VLOOKUP($I178,Dashboard!$Q$9:$R$13,2,FALSE)*IF(ISNUMBER(SEARCH("Duals",$B178)),2,IF(ISNUMBER(SEARCH("Triples",$B178)),3,IF(ISNUMBER(SEARCH("Quads",$B178)),4,1))),2),ROUND(VLOOKUP($I178,Dashboard!$Q$15:$R$20,2,FALSE)*IF($E178="Red",Dashboard!$R$6,IF($E178="Gold",Dashboard!$R$7,Dashboard!$R$5))*IF(ISNUMBER(SEARCH("Duals",$B178)),2,IF(ISNUMBER(SEARCH("Triples",$B178)),3,IF(ISNUMBER(SEARCH("Quads",$B178)),4,1))),2))*IF(IFERROR(VLOOKUP($B178,Dashboard!$Q$28:$S$60,3,FALSE),0)&gt;0,VLOOKUP($B178,Dashboard!$Q$28:$S$60,3,FALSE),1))),0))</f>
        <v>40</v>
      </c>
      <c r="K178" s="2" t="str">
        <f>IF('Base S1'!H78="","",'Base S1'!H78)</f>
        <v/>
      </c>
      <c r="L178" s="2">
        <f t="shared" si="26"/>
        <v>0</v>
      </c>
      <c r="M178" s="2">
        <f t="shared" si="27"/>
        <v>0</v>
      </c>
      <c r="N178" s="2">
        <f t="shared" si="28"/>
        <v>0</v>
      </c>
      <c r="O178" s="2">
        <f t="shared" si="29"/>
        <v>1</v>
      </c>
      <c r="P178" s="112">
        <f t="shared" si="30"/>
        <v>0</v>
      </c>
      <c r="Q178" s="112">
        <f t="shared" si="31"/>
        <v>0</v>
      </c>
      <c r="R178" s="53"/>
      <c r="S178" s="53" t="str">
        <f t="shared" si="32"/>
        <v>Base S1|Black Parallel - Season 1|77|Black</v>
      </c>
      <c r="T178" s="57" t="str">
        <f>IF($S178="","",IFERROR(VLOOKUP($S178,'Pop Estimates (Non-#d)'!$N$2:$O$500,2,FALSE),""))</f>
        <v/>
      </c>
      <c r="U178" s="57">
        <f t="shared" si="33"/>
        <v>25</v>
      </c>
      <c r="V178" s="53" t="str">
        <f t="shared" si="34"/>
        <v/>
      </c>
      <c r="W178" s="53" t="str">
        <f t="shared" si="35"/>
        <v/>
      </c>
      <c r="X178" s="53" t="str">
        <f t="shared" si="36"/>
        <v/>
      </c>
      <c r="Y178" s="57" t="str">
        <f>IF($X178="","",IFERROR(VLOOKUP($X178,'Char Popularity'!$A$2:$C$500,2,FALSE),""))</f>
        <v/>
      </c>
      <c r="Z178" s="56">
        <f>IF($X178="",1,IFERROR(VLOOKUP($X178,'Char Popularity'!$A$2:$C$500,3,FALSE),1))</f>
        <v>1</v>
      </c>
      <c r="AA178" s="62">
        <f>IF($H178&lt;&gt;"Y",0,(IF($F178&lt;&gt;"",ROUND(Dashboard!$R$4/$F178,1),IF(AND($I178="Base",$E178="Base"),Dashboard!$R$5,IF(AND($I178="Base",$E178="Red"),Dashboard!$R$6,IF(AND($I178="Base",$E178="Gold"),Dashboard!$R$7,VLOOKUP($I178,Dashboard!$Q$16:$R$21,2,FALSE)))))*VLOOKUP($I178,Dashboard!$Q$9:$R$13,2,FALSE)*IF(AND($I178="Auto",$F178="",OR($B178="Autographs Duals",$B178="Autographs Triples",$B178="Autographs Quads",$B178="Autographs Quads (Inscribed)")),IF($B178="Autographs Duals",2,IF($B178="Autographs Triples",3,4)),1)))</f>
        <v>40</v>
      </c>
      <c r="AB178" s="62">
        <f t="shared" si="37"/>
        <v>0</v>
      </c>
      <c r="AC178" s="62">
        <f t="shared" si="38"/>
        <v>0</v>
      </c>
    </row>
    <row r="179" spans="1:29" ht="28.7" customHeight="1" x14ac:dyDescent="0.25">
      <c r="A179" s="4" t="s">
        <v>17</v>
      </c>
      <c r="B179" s="7" t="s">
        <v>70</v>
      </c>
      <c r="C179" s="2" t="s">
        <v>1477</v>
      </c>
      <c r="D179" s="7" t="s">
        <v>995</v>
      </c>
      <c r="E179" s="4" t="s">
        <v>780</v>
      </c>
      <c r="F179" s="2">
        <v>25</v>
      </c>
      <c r="G179" s="2" t="s">
        <v>1399</v>
      </c>
      <c r="H179" s="2" t="s">
        <v>1400</v>
      </c>
      <c r="I179" s="4" t="s">
        <v>60</v>
      </c>
      <c r="J179" s="112">
        <f>IF($H179&lt;&gt;"Y",0,ROUND(MIN(Dashboard!$R$24,IF(IFERROR(VLOOKUP($B179,Dashboard!$Q$28:$S$60,2,FALSE),0)&gt;0,IFERROR(VLOOKUP($B179,Dashboard!$Q$28:$S$60,2,FALSE),0),$Z179*IF($U179&lt;&gt;"",ROUND((Dashboard!$R$4/$U179)*VLOOKUP($I179,Dashboard!$Q$9:$R$13,2,FALSE)*IF(ISNUMBER(SEARCH("Duals",$B179)),2,IF(ISNUMBER(SEARCH("Triples",$B179)),3,IF(ISNUMBER(SEARCH("Quads",$B179)),4,1))),2),ROUND(VLOOKUP($I179,Dashboard!$Q$15:$R$20,2,FALSE)*IF($E179="Red",Dashboard!$R$6,IF($E179="Gold",Dashboard!$R$7,Dashboard!$R$5))*IF(ISNUMBER(SEARCH("Duals",$B179)),2,IF(ISNUMBER(SEARCH("Triples",$B179)),3,IF(ISNUMBER(SEARCH("Quads",$B179)),4,1))),2))*IF(IFERROR(VLOOKUP($B179,Dashboard!$Q$28:$S$60,3,FALSE),0)&gt;0,VLOOKUP($B179,Dashboard!$Q$28:$S$60,3,FALSE),1))),0))</f>
        <v>40</v>
      </c>
      <c r="K179" s="2" t="str">
        <f>IF('Base S1'!H79="","",'Base S1'!H79)</f>
        <v>C 21/25</v>
      </c>
      <c r="L179" s="2">
        <f t="shared" si="26"/>
        <v>1</v>
      </c>
      <c r="M179" s="2">
        <f t="shared" si="27"/>
        <v>0</v>
      </c>
      <c r="N179" s="2">
        <f t="shared" si="28"/>
        <v>1</v>
      </c>
      <c r="O179" s="2">
        <f t="shared" si="29"/>
        <v>0</v>
      </c>
      <c r="P179" s="112">
        <f t="shared" si="30"/>
        <v>40</v>
      </c>
      <c r="Q179" s="112">
        <f t="shared" si="31"/>
        <v>0</v>
      </c>
      <c r="R179" s="53"/>
      <c r="S179" s="53" t="str">
        <f t="shared" si="32"/>
        <v>Base S1|Black Parallel - Season 1|78|Black</v>
      </c>
      <c r="T179" s="57" t="str">
        <f>IF($S179="","",IFERROR(VLOOKUP($S179,'Pop Estimates (Non-#d)'!$N$2:$O$500,2,FALSE),""))</f>
        <v/>
      </c>
      <c r="U179" s="57">
        <f t="shared" si="33"/>
        <v>25</v>
      </c>
      <c r="V179" s="53" t="str">
        <f t="shared" si="34"/>
        <v/>
      </c>
      <c r="W179" s="53" t="str">
        <f t="shared" si="35"/>
        <v/>
      </c>
      <c r="X179" s="53" t="str">
        <f t="shared" si="36"/>
        <v/>
      </c>
      <c r="Y179" s="57" t="str">
        <f>IF($X179="","",IFERROR(VLOOKUP($X179,'Char Popularity'!$A$2:$C$500,2,FALSE),""))</f>
        <v/>
      </c>
      <c r="Z179" s="56">
        <f>IF($X179="",1,IFERROR(VLOOKUP($X179,'Char Popularity'!$A$2:$C$500,3,FALSE),1))</f>
        <v>1</v>
      </c>
      <c r="AA179" s="62">
        <f>IF($H179&lt;&gt;"Y",0,(IF($F179&lt;&gt;"",ROUND(Dashboard!$R$4/$F179,1),IF(AND($I179="Base",$E179="Base"),Dashboard!$R$5,IF(AND($I179="Base",$E179="Red"),Dashboard!$R$6,IF(AND($I179="Base",$E179="Gold"),Dashboard!$R$7,VLOOKUP($I179,Dashboard!$Q$16:$R$21,2,FALSE)))))*VLOOKUP($I179,Dashboard!$Q$9:$R$13,2,FALSE)*IF(AND($I179="Auto",$F179="",OR($B179="Autographs Duals",$B179="Autographs Triples",$B179="Autographs Quads",$B179="Autographs Quads (Inscribed)")),IF($B179="Autographs Duals",2,IF($B179="Autographs Triples",3,4)),1)))</f>
        <v>40</v>
      </c>
      <c r="AB179" s="62">
        <f t="shared" si="37"/>
        <v>40</v>
      </c>
      <c r="AC179" s="62">
        <f t="shared" si="38"/>
        <v>0</v>
      </c>
    </row>
    <row r="180" spans="1:29" ht="28.7" customHeight="1" x14ac:dyDescent="0.25">
      <c r="A180" s="4" t="s">
        <v>17</v>
      </c>
      <c r="B180" s="7" t="s">
        <v>70</v>
      </c>
      <c r="C180" s="2" t="s">
        <v>1478</v>
      </c>
      <c r="D180" s="7" t="s">
        <v>998</v>
      </c>
      <c r="E180" s="4" t="s">
        <v>780</v>
      </c>
      <c r="F180" s="2">
        <v>25</v>
      </c>
      <c r="G180" s="2" t="s">
        <v>1399</v>
      </c>
      <c r="H180" s="2" t="s">
        <v>1400</v>
      </c>
      <c r="I180" s="4" t="s">
        <v>60</v>
      </c>
      <c r="J180" s="112">
        <f>IF($H180&lt;&gt;"Y",0,ROUND(MIN(Dashboard!$R$24,IF(IFERROR(VLOOKUP($B180,Dashboard!$Q$28:$S$60,2,FALSE),0)&gt;0,IFERROR(VLOOKUP($B180,Dashboard!$Q$28:$S$60,2,FALSE),0),$Z180*IF($U180&lt;&gt;"",ROUND((Dashboard!$R$4/$U180)*VLOOKUP($I180,Dashboard!$Q$9:$R$13,2,FALSE)*IF(ISNUMBER(SEARCH("Duals",$B180)),2,IF(ISNUMBER(SEARCH("Triples",$B180)),3,IF(ISNUMBER(SEARCH("Quads",$B180)),4,1))),2),ROUND(VLOOKUP($I180,Dashboard!$Q$15:$R$20,2,FALSE)*IF($E180="Red",Dashboard!$R$6,IF($E180="Gold",Dashboard!$R$7,Dashboard!$R$5))*IF(ISNUMBER(SEARCH("Duals",$B180)),2,IF(ISNUMBER(SEARCH("Triples",$B180)),3,IF(ISNUMBER(SEARCH("Quads",$B180)),4,1))),2))*IF(IFERROR(VLOOKUP($B180,Dashboard!$Q$28:$S$60,3,FALSE),0)&gt;0,VLOOKUP($B180,Dashboard!$Q$28:$S$60,3,FALSE),1))),0))</f>
        <v>40</v>
      </c>
      <c r="K180" s="2" t="str">
        <f>IF('Base S1'!H80="","",'Base S1'!H80)</f>
        <v/>
      </c>
      <c r="L180" s="2">
        <f t="shared" si="26"/>
        <v>0</v>
      </c>
      <c r="M180" s="2">
        <f t="shared" si="27"/>
        <v>0</v>
      </c>
      <c r="N180" s="2">
        <f t="shared" si="28"/>
        <v>0</v>
      </c>
      <c r="O180" s="2">
        <f t="shared" si="29"/>
        <v>1</v>
      </c>
      <c r="P180" s="112">
        <f t="shared" si="30"/>
        <v>0</v>
      </c>
      <c r="Q180" s="112">
        <f t="shared" si="31"/>
        <v>0</v>
      </c>
      <c r="R180" s="53"/>
      <c r="S180" s="53" t="str">
        <f t="shared" si="32"/>
        <v>Base S1|Black Parallel - Season 1|79|Black</v>
      </c>
      <c r="T180" s="57" t="str">
        <f>IF($S180="","",IFERROR(VLOOKUP($S180,'Pop Estimates (Non-#d)'!$N$2:$O$500,2,FALSE),""))</f>
        <v/>
      </c>
      <c r="U180" s="57">
        <f t="shared" si="33"/>
        <v>25</v>
      </c>
      <c r="V180" s="53" t="str">
        <f t="shared" si="34"/>
        <v/>
      </c>
      <c r="W180" s="53" t="str">
        <f t="shared" si="35"/>
        <v/>
      </c>
      <c r="X180" s="53" t="str">
        <f t="shared" si="36"/>
        <v/>
      </c>
      <c r="Y180" s="57" t="str">
        <f>IF($X180="","",IFERROR(VLOOKUP($X180,'Char Popularity'!$A$2:$C$500,2,FALSE),""))</f>
        <v/>
      </c>
      <c r="Z180" s="56">
        <f>IF($X180="",1,IFERROR(VLOOKUP($X180,'Char Popularity'!$A$2:$C$500,3,FALSE),1))</f>
        <v>1</v>
      </c>
      <c r="AA180" s="62">
        <f>IF($H180&lt;&gt;"Y",0,(IF($F180&lt;&gt;"",ROUND(Dashboard!$R$4/$F180,1),IF(AND($I180="Base",$E180="Base"),Dashboard!$R$5,IF(AND($I180="Base",$E180="Red"),Dashboard!$R$6,IF(AND($I180="Base",$E180="Gold"),Dashboard!$R$7,VLOOKUP($I180,Dashboard!$Q$16:$R$21,2,FALSE)))))*VLOOKUP($I180,Dashboard!$Q$9:$R$13,2,FALSE)*IF(AND($I180="Auto",$F180="",OR($B180="Autographs Duals",$B180="Autographs Triples",$B180="Autographs Quads",$B180="Autographs Quads (Inscribed)")),IF($B180="Autographs Duals",2,IF($B180="Autographs Triples",3,4)),1)))</f>
        <v>40</v>
      </c>
      <c r="AB180" s="62">
        <f t="shared" si="37"/>
        <v>0</v>
      </c>
      <c r="AC180" s="62">
        <f t="shared" si="38"/>
        <v>0</v>
      </c>
    </row>
    <row r="181" spans="1:29" ht="28.7" customHeight="1" x14ac:dyDescent="0.25">
      <c r="A181" s="4" t="s">
        <v>17</v>
      </c>
      <c r="B181" s="7" t="s">
        <v>70</v>
      </c>
      <c r="C181" s="2" t="s">
        <v>1479</v>
      </c>
      <c r="D181" s="7" t="s">
        <v>1000</v>
      </c>
      <c r="E181" s="4" t="s">
        <v>780</v>
      </c>
      <c r="F181" s="2">
        <v>25</v>
      </c>
      <c r="G181" s="2" t="s">
        <v>1399</v>
      </c>
      <c r="H181" s="2" t="s">
        <v>1400</v>
      </c>
      <c r="I181" s="4" t="s">
        <v>60</v>
      </c>
      <c r="J181" s="112">
        <f>IF($H181&lt;&gt;"Y",0,ROUND(MIN(Dashboard!$R$24,IF(IFERROR(VLOOKUP($B181,Dashboard!$Q$28:$S$60,2,FALSE),0)&gt;0,IFERROR(VLOOKUP($B181,Dashboard!$Q$28:$S$60,2,FALSE),0),$Z181*IF($U181&lt;&gt;"",ROUND((Dashboard!$R$4/$U181)*VLOOKUP($I181,Dashboard!$Q$9:$R$13,2,FALSE)*IF(ISNUMBER(SEARCH("Duals",$B181)),2,IF(ISNUMBER(SEARCH("Triples",$B181)),3,IF(ISNUMBER(SEARCH("Quads",$B181)),4,1))),2),ROUND(VLOOKUP($I181,Dashboard!$Q$15:$R$20,2,FALSE)*IF($E181="Red",Dashboard!$R$6,IF($E181="Gold",Dashboard!$R$7,Dashboard!$R$5))*IF(ISNUMBER(SEARCH("Duals",$B181)),2,IF(ISNUMBER(SEARCH("Triples",$B181)),3,IF(ISNUMBER(SEARCH("Quads",$B181)),4,1))),2))*IF(IFERROR(VLOOKUP($B181,Dashboard!$Q$28:$S$60,3,FALSE),0)&gt;0,VLOOKUP($B181,Dashboard!$Q$28:$S$60,3,FALSE),1))),0))</f>
        <v>40</v>
      </c>
      <c r="K181" s="2" t="str">
        <f>IF('Base S1'!H81="","",'Base S1'!H81)</f>
        <v>C 02/25</v>
      </c>
      <c r="L181" s="2">
        <f t="shared" si="26"/>
        <v>1</v>
      </c>
      <c r="M181" s="2">
        <f t="shared" si="27"/>
        <v>0</v>
      </c>
      <c r="N181" s="2">
        <f t="shared" si="28"/>
        <v>1</v>
      </c>
      <c r="O181" s="2">
        <f t="shared" si="29"/>
        <v>0</v>
      </c>
      <c r="P181" s="112">
        <f t="shared" si="30"/>
        <v>40</v>
      </c>
      <c r="Q181" s="112">
        <f t="shared" si="31"/>
        <v>0</v>
      </c>
      <c r="R181" s="53"/>
      <c r="S181" s="53" t="str">
        <f t="shared" si="32"/>
        <v>Base S1|Black Parallel - Season 1|80|Black</v>
      </c>
      <c r="T181" s="57" t="str">
        <f>IF($S181="","",IFERROR(VLOOKUP($S181,'Pop Estimates (Non-#d)'!$N$2:$O$500,2,FALSE),""))</f>
        <v/>
      </c>
      <c r="U181" s="57">
        <f t="shared" si="33"/>
        <v>25</v>
      </c>
      <c r="V181" s="53" t="str">
        <f t="shared" si="34"/>
        <v/>
      </c>
      <c r="W181" s="53" t="str">
        <f t="shared" si="35"/>
        <v/>
      </c>
      <c r="X181" s="53" t="str">
        <f t="shared" si="36"/>
        <v/>
      </c>
      <c r="Y181" s="57" t="str">
        <f>IF($X181="","",IFERROR(VLOOKUP($X181,'Char Popularity'!$A$2:$C$500,2,FALSE),""))</f>
        <v/>
      </c>
      <c r="Z181" s="56">
        <f>IF($X181="",1,IFERROR(VLOOKUP($X181,'Char Popularity'!$A$2:$C$500,3,FALSE),1))</f>
        <v>1</v>
      </c>
      <c r="AA181" s="62">
        <f>IF($H181&lt;&gt;"Y",0,(IF($F181&lt;&gt;"",ROUND(Dashboard!$R$4/$F181,1),IF(AND($I181="Base",$E181="Base"),Dashboard!$R$5,IF(AND($I181="Base",$E181="Red"),Dashboard!$R$6,IF(AND($I181="Base",$E181="Gold"),Dashboard!$R$7,VLOOKUP($I181,Dashboard!$Q$16:$R$21,2,FALSE)))))*VLOOKUP($I181,Dashboard!$Q$9:$R$13,2,FALSE)*IF(AND($I181="Auto",$F181="",OR($B181="Autographs Duals",$B181="Autographs Triples",$B181="Autographs Quads",$B181="Autographs Quads (Inscribed)")),IF($B181="Autographs Duals",2,IF($B181="Autographs Triples",3,4)),1)))</f>
        <v>40</v>
      </c>
      <c r="AB181" s="62">
        <f t="shared" si="37"/>
        <v>40</v>
      </c>
      <c r="AC181" s="62">
        <f t="shared" si="38"/>
        <v>0</v>
      </c>
    </row>
    <row r="182" spans="1:29" ht="28.7" customHeight="1" x14ac:dyDescent="0.25">
      <c r="A182" s="4" t="s">
        <v>17</v>
      </c>
      <c r="B182" s="7" t="s">
        <v>70</v>
      </c>
      <c r="C182" s="2" t="s">
        <v>1480</v>
      </c>
      <c r="D182" s="7" t="s">
        <v>1003</v>
      </c>
      <c r="E182" s="4" t="s">
        <v>780</v>
      </c>
      <c r="F182" s="2">
        <v>25</v>
      </c>
      <c r="G182" s="2" t="s">
        <v>1399</v>
      </c>
      <c r="H182" s="2" t="s">
        <v>1400</v>
      </c>
      <c r="I182" s="4" t="s">
        <v>60</v>
      </c>
      <c r="J182" s="112">
        <f>IF($H182&lt;&gt;"Y",0,ROUND(MIN(Dashboard!$R$24,IF(IFERROR(VLOOKUP($B182,Dashboard!$Q$28:$S$60,2,FALSE),0)&gt;0,IFERROR(VLOOKUP($B182,Dashboard!$Q$28:$S$60,2,FALSE),0),$Z182*IF($U182&lt;&gt;"",ROUND((Dashboard!$R$4/$U182)*VLOOKUP($I182,Dashboard!$Q$9:$R$13,2,FALSE)*IF(ISNUMBER(SEARCH("Duals",$B182)),2,IF(ISNUMBER(SEARCH("Triples",$B182)),3,IF(ISNUMBER(SEARCH("Quads",$B182)),4,1))),2),ROUND(VLOOKUP($I182,Dashboard!$Q$15:$R$20,2,FALSE)*IF($E182="Red",Dashboard!$R$6,IF($E182="Gold",Dashboard!$R$7,Dashboard!$R$5))*IF(ISNUMBER(SEARCH("Duals",$B182)),2,IF(ISNUMBER(SEARCH("Triples",$B182)),3,IF(ISNUMBER(SEARCH("Quads",$B182)),4,1))),2))*IF(IFERROR(VLOOKUP($B182,Dashboard!$Q$28:$S$60,3,FALSE),0)&gt;0,VLOOKUP($B182,Dashboard!$Q$28:$S$60,3,FALSE),1))),0))</f>
        <v>40</v>
      </c>
      <c r="K182" s="2" t="str">
        <f>IF('Base S1'!H82="","",'Base S1'!H82)</f>
        <v/>
      </c>
      <c r="L182" s="2">
        <f t="shared" si="26"/>
        <v>0</v>
      </c>
      <c r="M182" s="2">
        <f t="shared" si="27"/>
        <v>0</v>
      </c>
      <c r="N182" s="2">
        <f t="shared" si="28"/>
        <v>0</v>
      </c>
      <c r="O182" s="2">
        <f t="shared" si="29"/>
        <v>1</v>
      </c>
      <c r="P182" s="112">
        <f t="shared" si="30"/>
        <v>0</v>
      </c>
      <c r="Q182" s="112">
        <f t="shared" si="31"/>
        <v>0</v>
      </c>
      <c r="R182" s="53"/>
      <c r="S182" s="53" t="str">
        <f t="shared" si="32"/>
        <v>Base S1|Black Parallel - Season 1|81|Black</v>
      </c>
      <c r="T182" s="57" t="str">
        <f>IF($S182="","",IFERROR(VLOOKUP($S182,'Pop Estimates (Non-#d)'!$N$2:$O$500,2,FALSE),""))</f>
        <v/>
      </c>
      <c r="U182" s="57">
        <f t="shared" si="33"/>
        <v>25</v>
      </c>
      <c r="V182" s="53" t="str">
        <f t="shared" si="34"/>
        <v/>
      </c>
      <c r="W182" s="53" t="str">
        <f t="shared" si="35"/>
        <v/>
      </c>
      <c r="X182" s="53" t="str">
        <f t="shared" si="36"/>
        <v/>
      </c>
      <c r="Y182" s="57" t="str">
        <f>IF($X182="","",IFERROR(VLOOKUP($X182,'Char Popularity'!$A$2:$C$500,2,FALSE),""))</f>
        <v/>
      </c>
      <c r="Z182" s="56">
        <f>IF($X182="",1,IFERROR(VLOOKUP($X182,'Char Popularity'!$A$2:$C$500,3,FALSE),1))</f>
        <v>1</v>
      </c>
      <c r="AA182" s="62">
        <f>IF($H182&lt;&gt;"Y",0,(IF($F182&lt;&gt;"",ROUND(Dashboard!$R$4/$F182,1),IF(AND($I182="Base",$E182="Base"),Dashboard!$R$5,IF(AND($I182="Base",$E182="Red"),Dashboard!$R$6,IF(AND($I182="Base",$E182="Gold"),Dashboard!$R$7,VLOOKUP($I182,Dashboard!$Q$16:$R$21,2,FALSE)))))*VLOOKUP($I182,Dashboard!$Q$9:$R$13,2,FALSE)*IF(AND($I182="Auto",$F182="",OR($B182="Autographs Duals",$B182="Autographs Triples",$B182="Autographs Quads",$B182="Autographs Quads (Inscribed)")),IF($B182="Autographs Duals",2,IF($B182="Autographs Triples",3,4)),1)))</f>
        <v>40</v>
      </c>
      <c r="AB182" s="62">
        <f t="shared" si="37"/>
        <v>0</v>
      </c>
      <c r="AC182" s="62">
        <f t="shared" si="38"/>
        <v>0</v>
      </c>
    </row>
    <row r="183" spans="1:29" ht="28.7" customHeight="1" x14ac:dyDescent="0.25">
      <c r="A183" s="4" t="s">
        <v>17</v>
      </c>
      <c r="B183" s="7" t="s">
        <v>70</v>
      </c>
      <c r="C183" s="2" t="s">
        <v>1481</v>
      </c>
      <c r="D183" s="7" t="s">
        <v>1005</v>
      </c>
      <c r="E183" s="4" t="s">
        <v>780</v>
      </c>
      <c r="F183" s="2">
        <v>25</v>
      </c>
      <c r="G183" s="2" t="s">
        <v>1399</v>
      </c>
      <c r="H183" s="2" t="s">
        <v>1400</v>
      </c>
      <c r="I183" s="4" t="s">
        <v>60</v>
      </c>
      <c r="J183" s="112">
        <f>IF($H183&lt;&gt;"Y",0,ROUND(MIN(Dashboard!$R$24,IF(IFERROR(VLOOKUP($B183,Dashboard!$Q$28:$S$60,2,FALSE),0)&gt;0,IFERROR(VLOOKUP($B183,Dashboard!$Q$28:$S$60,2,FALSE),0),$Z183*IF($U183&lt;&gt;"",ROUND((Dashboard!$R$4/$U183)*VLOOKUP($I183,Dashboard!$Q$9:$R$13,2,FALSE)*IF(ISNUMBER(SEARCH("Duals",$B183)),2,IF(ISNUMBER(SEARCH("Triples",$B183)),3,IF(ISNUMBER(SEARCH("Quads",$B183)),4,1))),2),ROUND(VLOOKUP($I183,Dashboard!$Q$15:$R$20,2,FALSE)*IF($E183="Red",Dashboard!$R$6,IF($E183="Gold",Dashboard!$R$7,Dashboard!$R$5))*IF(ISNUMBER(SEARCH("Duals",$B183)),2,IF(ISNUMBER(SEARCH("Triples",$B183)),3,IF(ISNUMBER(SEARCH("Quads",$B183)),4,1))),2))*IF(IFERROR(VLOOKUP($B183,Dashboard!$Q$28:$S$60,3,FALSE),0)&gt;0,VLOOKUP($B183,Dashboard!$Q$28:$S$60,3,FALSE),1))),0))</f>
        <v>40</v>
      </c>
      <c r="K183" s="2" t="str">
        <f>IF('Base S1'!H83="","",'Base S1'!H83)</f>
        <v>C 23/25</v>
      </c>
      <c r="L183" s="2">
        <f t="shared" si="26"/>
        <v>1</v>
      </c>
      <c r="M183" s="2">
        <f t="shared" si="27"/>
        <v>0</v>
      </c>
      <c r="N183" s="2">
        <f t="shared" si="28"/>
        <v>1</v>
      </c>
      <c r="O183" s="2">
        <f t="shared" si="29"/>
        <v>0</v>
      </c>
      <c r="P183" s="112">
        <f t="shared" si="30"/>
        <v>40</v>
      </c>
      <c r="Q183" s="112">
        <f t="shared" si="31"/>
        <v>0</v>
      </c>
      <c r="R183" s="53"/>
      <c r="S183" s="53" t="str">
        <f t="shared" si="32"/>
        <v>Base S1|Black Parallel - Season 1|82|Black</v>
      </c>
      <c r="T183" s="57" t="str">
        <f>IF($S183="","",IFERROR(VLOOKUP($S183,'Pop Estimates (Non-#d)'!$N$2:$O$500,2,FALSE),""))</f>
        <v/>
      </c>
      <c r="U183" s="57">
        <f t="shared" si="33"/>
        <v>25</v>
      </c>
      <c r="V183" s="53" t="str">
        <f t="shared" si="34"/>
        <v/>
      </c>
      <c r="W183" s="53" t="str">
        <f t="shared" si="35"/>
        <v/>
      </c>
      <c r="X183" s="53" t="str">
        <f t="shared" si="36"/>
        <v/>
      </c>
      <c r="Y183" s="57" t="str">
        <f>IF($X183="","",IFERROR(VLOOKUP($X183,'Char Popularity'!$A$2:$C$500,2,FALSE),""))</f>
        <v/>
      </c>
      <c r="Z183" s="56">
        <f>IF($X183="",1,IFERROR(VLOOKUP($X183,'Char Popularity'!$A$2:$C$500,3,FALSE),1))</f>
        <v>1</v>
      </c>
      <c r="AA183" s="62">
        <f>IF($H183&lt;&gt;"Y",0,(IF($F183&lt;&gt;"",ROUND(Dashboard!$R$4/$F183,1),IF(AND($I183="Base",$E183="Base"),Dashboard!$R$5,IF(AND($I183="Base",$E183="Red"),Dashboard!$R$6,IF(AND($I183="Base",$E183="Gold"),Dashboard!$R$7,VLOOKUP($I183,Dashboard!$Q$16:$R$21,2,FALSE)))))*VLOOKUP($I183,Dashboard!$Q$9:$R$13,2,FALSE)*IF(AND($I183="Auto",$F183="",OR($B183="Autographs Duals",$B183="Autographs Triples",$B183="Autographs Quads",$B183="Autographs Quads (Inscribed)")),IF($B183="Autographs Duals",2,IF($B183="Autographs Triples",3,4)),1)))</f>
        <v>40</v>
      </c>
      <c r="AB183" s="62">
        <f t="shared" si="37"/>
        <v>40</v>
      </c>
      <c r="AC183" s="62">
        <f t="shared" si="38"/>
        <v>0</v>
      </c>
    </row>
    <row r="184" spans="1:29" ht="28.7" customHeight="1" x14ac:dyDescent="0.25">
      <c r="A184" s="4" t="s">
        <v>17</v>
      </c>
      <c r="B184" s="7" t="s">
        <v>70</v>
      </c>
      <c r="C184" s="2" t="s">
        <v>1482</v>
      </c>
      <c r="D184" s="7" t="s">
        <v>1008</v>
      </c>
      <c r="E184" s="4" t="s">
        <v>780</v>
      </c>
      <c r="F184" s="2">
        <v>25</v>
      </c>
      <c r="G184" s="2" t="s">
        <v>1399</v>
      </c>
      <c r="H184" s="2" t="s">
        <v>1400</v>
      </c>
      <c r="I184" s="4" t="s">
        <v>60</v>
      </c>
      <c r="J184" s="112">
        <f>IF($H184&lt;&gt;"Y",0,ROUND(MIN(Dashboard!$R$24,IF(IFERROR(VLOOKUP($B184,Dashboard!$Q$28:$S$60,2,FALSE),0)&gt;0,IFERROR(VLOOKUP($B184,Dashboard!$Q$28:$S$60,2,FALSE),0),$Z184*IF($U184&lt;&gt;"",ROUND((Dashboard!$R$4/$U184)*VLOOKUP($I184,Dashboard!$Q$9:$R$13,2,FALSE)*IF(ISNUMBER(SEARCH("Duals",$B184)),2,IF(ISNUMBER(SEARCH("Triples",$B184)),3,IF(ISNUMBER(SEARCH("Quads",$B184)),4,1))),2),ROUND(VLOOKUP($I184,Dashboard!$Q$15:$R$20,2,FALSE)*IF($E184="Red",Dashboard!$R$6,IF($E184="Gold",Dashboard!$R$7,Dashboard!$R$5))*IF(ISNUMBER(SEARCH("Duals",$B184)),2,IF(ISNUMBER(SEARCH("Triples",$B184)),3,IF(ISNUMBER(SEARCH("Quads",$B184)),4,1))),2))*IF(IFERROR(VLOOKUP($B184,Dashboard!$Q$28:$S$60,3,FALSE),0)&gt;0,VLOOKUP($B184,Dashboard!$Q$28:$S$60,3,FALSE),1))),0))</f>
        <v>40</v>
      </c>
      <c r="K184" s="2" t="str">
        <f>IF('Base S1'!H84="","",'Base S1'!H84)</f>
        <v>C 23/25</v>
      </c>
      <c r="L184" s="2">
        <f t="shared" si="26"/>
        <v>1</v>
      </c>
      <c r="M184" s="2">
        <f t="shared" si="27"/>
        <v>0</v>
      </c>
      <c r="N184" s="2">
        <f t="shared" si="28"/>
        <v>1</v>
      </c>
      <c r="O184" s="2">
        <f t="shared" si="29"/>
        <v>0</v>
      </c>
      <c r="P184" s="112">
        <f t="shared" si="30"/>
        <v>40</v>
      </c>
      <c r="Q184" s="112">
        <f t="shared" si="31"/>
        <v>0</v>
      </c>
      <c r="R184" s="53"/>
      <c r="S184" s="53" t="str">
        <f t="shared" si="32"/>
        <v>Base S1|Black Parallel - Season 1|83|Black</v>
      </c>
      <c r="T184" s="57" t="str">
        <f>IF($S184="","",IFERROR(VLOOKUP($S184,'Pop Estimates (Non-#d)'!$N$2:$O$500,2,FALSE),""))</f>
        <v/>
      </c>
      <c r="U184" s="57">
        <f t="shared" si="33"/>
        <v>25</v>
      </c>
      <c r="V184" s="53" t="str">
        <f t="shared" si="34"/>
        <v/>
      </c>
      <c r="W184" s="53" t="str">
        <f t="shared" si="35"/>
        <v/>
      </c>
      <c r="X184" s="53" t="str">
        <f t="shared" si="36"/>
        <v/>
      </c>
      <c r="Y184" s="57" t="str">
        <f>IF($X184="","",IFERROR(VLOOKUP($X184,'Char Popularity'!$A$2:$C$500,2,FALSE),""))</f>
        <v/>
      </c>
      <c r="Z184" s="56">
        <f>IF($X184="",1,IFERROR(VLOOKUP($X184,'Char Popularity'!$A$2:$C$500,3,FALSE),1))</f>
        <v>1</v>
      </c>
      <c r="AA184" s="62">
        <f>IF($H184&lt;&gt;"Y",0,(IF($F184&lt;&gt;"",ROUND(Dashboard!$R$4/$F184,1),IF(AND($I184="Base",$E184="Base"),Dashboard!$R$5,IF(AND($I184="Base",$E184="Red"),Dashboard!$R$6,IF(AND($I184="Base",$E184="Gold"),Dashboard!$R$7,VLOOKUP($I184,Dashboard!$Q$16:$R$21,2,FALSE)))))*VLOOKUP($I184,Dashboard!$Q$9:$R$13,2,FALSE)*IF(AND($I184="Auto",$F184="",OR($B184="Autographs Duals",$B184="Autographs Triples",$B184="Autographs Quads",$B184="Autographs Quads (Inscribed)")),IF($B184="Autographs Duals",2,IF($B184="Autographs Triples",3,4)),1)))</f>
        <v>40</v>
      </c>
      <c r="AB184" s="62">
        <f t="shared" si="37"/>
        <v>40</v>
      </c>
      <c r="AC184" s="62">
        <f t="shared" si="38"/>
        <v>0</v>
      </c>
    </row>
    <row r="185" spans="1:29" ht="28.7" customHeight="1" x14ac:dyDescent="0.25">
      <c r="A185" s="4" t="s">
        <v>17</v>
      </c>
      <c r="B185" s="7" t="s">
        <v>70</v>
      </c>
      <c r="C185" s="2" t="s">
        <v>1483</v>
      </c>
      <c r="D185" s="7" t="s">
        <v>1010</v>
      </c>
      <c r="E185" s="4" t="s">
        <v>780</v>
      </c>
      <c r="F185" s="2">
        <v>25</v>
      </c>
      <c r="G185" s="2" t="s">
        <v>1399</v>
      </c>
      <c r="H185" s="2" t="s">
        <v>1400</v>
      </c>
      <c r="I185" s="4" t="s">
        <v>60</v>
      </c>
      <c r="J185" s="112">
        <f>IF($H185&lt;&gt;"Y",0,ROUND(MIN(Dashboard!$R$24,IF(IFERROR(VLOOKUP($B185,Dashboard!$Q$28:$S$60,2,FALSE),0)&gt;0,IFERROR(VLOOKUP($B185,Dashboard!$Q$28:$S$60,2,FALSE),0),$Z185*IF($U185&lt;&gt;"",ROUND((Dashboard!$R$4/$U185)*VLOOKUP($I185,Dashboard!$Q$9:$R$13,2,FALSE)*IF(ISNUMBER(SEARCH("Duals",$B185)),2,IF(ISNUMBER(SEARCH("Triples",$B185)),3,IF(ISNUMBER(SEARCH("Quads",$B185)),4,1))),2),ROUND(VLOOKUP($I185,Dashboard!$Q$15:$R$20,2,FALSE)*IF($E185="Red",Dashboard!$R$6,IF($E185="Gold",Dashboard!$R$7,Dashboard!$R$5))*IF(ISNUMBER(SEARCH("Duals",$B185)),2,IF(ISNUMBER(SEARCH("Triples",$B185)),3,IF(ISNUMBER(SEARCH("Quads",$B185)),4,1))),2))*IF(IFERROR(VLOOKUP($B185,Dashboard!$Q$28:$S$60,3,FALSE),0)&gt;0,VLOOKUP($B185,Dashboard!$Q$28:$S$60,3,FALSE),1))),0))</f>
        <v>40</v>
      </c>
      <c r="K185" s="2" t="str">
        <f>IF('Base S1'!H85="","",'Base S1'!H85)</f>
        <v>C 11/25</v>
      </c>
      <c r="L185" s="2">
        <f t="shared" si="26"/>
        <v>1</v>
      </c>
      <c r="M185" s="2">
        <f t="shared" si="27"/>
        <v>0</v>
      </c>
      <c r="N185" s="2">
        <f t="shared" si="28"/>
        <v>1</v>
      </c>
      <c r="O185" s="2">
        <f t="shared" si="29"/>
        <v>0</v>
      </c>
      <c r="P185" s="112">
        <f t="shared" si="30"/>
        <v>40</v>
      </c>
      <c r="Q185" s="112">
        <f t="shared" si="31"/>
        <v>0</v>
      </c>
      <c r="R185" s="53"/>
      <c r="S185" s="53" t="str">
        <f t="shared" si="32"/>
        <v>Base S1|Black Parallel - Season 1|84|Black</v>
      </c>
      <c r="T185" s="57" t="str">
        <f>IF($S185="","",IFERROR(VLOOKUP($S185,'Pop Estimates (Non-#d)'!$N$2:$O$500,2,FALSE),""))</f>
        <v/>
      </c>
      <c r="U185" s="57">
        <f t="shared" si="33"/>
        <v>25</v>
      </c>
      <c r="V185" s="53" t="str">
        <f t="shared" si="34"/>
        <v/>
      </c>
      <c r="W185" s="53" t="str">
        <f t="shared" si="35"/>
        <v/>
      </c>
      <c r="X185" s="53" t="str">
        <f t="shared" si="36"/>
        <v/>
      </c>
      <c r="Y185" s="57" t="str">
        <f>IF($X185="","",IFERROR(VLOOKUP($X185,'Char Popularity'!$A$2:$C$500,2,FALSE),""))</f>
        <v/>
      </c>
      <c r="Z185" s="56">
        <f>IF($X185="",1,IFERROR(VLOOKUP($X185,'Char Popularity'!$A$2:$C$500,3,FALSE),1))</f>
        <v>1</v>
      </c>
      <c r="AA185" s="62">
        <f>IF($H185&lt;&gt;"Y",0,(IF($F185&lt;&gt;"",ROUND(Dashboard!$R$4/$F185,1),IF(AND($I185="Base",$E185="Base"),Dashboard!$R$5,IF(AND($I185="Base",$E185="Red"),Dashboard!$R$6,IF(AND($I185="Base",$E185="Gold"),Dashboard!$R$7,VLOOKUP($I185,Dashboard!$Q$16:$R$21,2,FALSE)))))*VLOOKUP($I185,Dashboard!$Q$9:$R$13,2,FALSE)*IF(AND($I185="Auto",$F185="",OR($B185="Autographs Duals",$B185="Autographs Triples",$B185="Autographs Quads",$B185="Autographs Quads (Inscribed)")),IF($B185="Autographs Duals",2,IF($B185="Autographs Triples",3,4)),1)))</f>
        <v>40</v>
      </c>
      <c r="AB185" s="62">
        <f t="shared" si="37"/>
        <v>40</v>
      </c>
      <c r="AC185" s="62">
        <f t="shared" si="38"/>
        <v>0</v>
      </c>
    </row>
    <row r="186" spans="1:29" ht="28.7" customHeight="1" x14ac:dyDescent="0.25">
      <c r="A186" s="4" t="s">
        <v>17</v>
      </c>
      <c r="B186" s="7" t="s">
        <v>70</v>
      </c>
      <c r="C186" s="2" t="s">
        <v>1484</v>
      </c>
      <c r="D186" s="7" t="s">
        <v>1012</v>
      </c>
      <c r="E186" s="4" t="s">
        <v>780</v>
      </c>
      <c r="F186" s="2">
        <v>25</v>
      </c>
      <c r="G186" s="2" t="s">
        <v>1399</v>
      </c>
      <c r="H186" s="2" t="s">
        <v>1400</v>
      </c>
      <c r="I186" s="4" t="s">
        <v>60</v>
      </c>
      <c r="J186" s="112">
        <f>IF($H186&lt;&gt;"Y",0,ROUND(MIN(Dashboard!$R$24,IF(IFERROR(VLOOKUP($B186,Dashboard!$Q$28:$S$60,2,FALSE),0)&gt;0,IFERROR(VLOOKUP($B186,Dashboard!$Q$28:$S$60,2,FALSE),0),$Z186*IF($U186&lt;&gt;"",ROUND((Dashboard!$R$4/$U186)*VLOOKUP($I186,Dashboard!$Q$9:$R$13,2,FALSE)*IF(ISNUMBER(SEARCH("Duals",$B186)),2,IF(ISNUMBER(SEARCH("Triples",$B186)),3,IF(ISNUMBER(SEARCH("Quads",$B186)),4,1))),2),ROUND(VLOOKUP($I186,Dashboard!$Q$15:$R$20,2,FALSE)*IF($E186="Red",Dashboard!$R$6,IF($E186="Gold",Dashboard!$R$7,Dashboard!$R$5))*IF(ISNUMBER(SEARCH("Duals",$B186)),2,IF(ISNUMBER(SEARCH("Triples",$B186)),3,IF(ISNUMBER(SEARCH("Quads",$B186)),4,1))),2))*IF(IFERROR(VLOOKUP($B186,Dashboard!$Q$28:$S$60,3,FALSE),0)&gt;0,VLOOKUP($B186,Dashboard!$Q$28:$S$60,3,FALSE),1))),0))</f>
        <v>40</v>
      </c>
      <c r="K186" s="2" t="str">
        <f>IF('Base S1'!H86="","",'Base S1'!H86)</f>
        <v/>
      </c>
      <c r="L186" s="2">
        <f t="shared" si="26"/>
        <v>0</v>
      </c>
      <c r="M186" s="2">
        <f t="shared" si="27"/>
        <v>0</v>
      </c>
      <c r="N186" s="2">
        <f t="shared" si="28"/>
        <v>0</v>
      </c>
      <c r="O186" s="2">
        <f t="shared" si="29"/>
        <v>1</v>
      </c>
      <c r="P186" s="112">
        <f t="shared" si="30"/>
        <v>0</v>
      </c>
      <c r="Q186" s="112">
        <f t="shared" si="31"/>
        <v>0</v>
      </c>
      <c r="R186" s="53"/>
      <c r="S186" s="53" t="str">
        <f t="shared" si="32"/>
        <v>Base S1|Black Parallel - Season 1|85|Black</v>
      </c>
      <c r="T186" s="57" t="str">
        <f>IF($S186="","",IFERROR(VLOOKUP($S186,'Pop Estimates (Non-#d)'!$N$2:$O$500,2,FALSE),""))</f>
        <v/>
      </c>
      <c r="U186" s="57">
        <f t="shared" si="33"/>
        <v>25</v>
      </c>
      <c r="V186" s="53" t="str">
        <f t="shared" si="34"/>
        <v/>
      </c>
      <c r="W186" s="53" t="str">
        <f t="shared" si="35"/>
        <v/>
      </c>
      <c r="X186" s="53" t="str">
        <f t="shared" si="36"/>
        <v/>
      </c>
      <c r="Y186" s="57" t="str">
        <f>IF($X186="","",IFERROR(VLOOKUP($X186,'Char Popularity'!$A$2:$C$500,2,FALSE),""))</f>
        <v/>
      </c>
      <c r="Z186" s="56">
        <f>IF($X186="",1,IFERROR(VLOOKUP($X186,'Char Popularity'!$A$2:$C$500,3,FALSE),1))</f>
        <v>1</v>
      </c>
      <c r="AA186" s="62">
        <f>IF($H186&lt;&gt;"Y",0,(IF($F186&lt;&gt;"",ROUND(Dashboard!$R$4/$F186,1),IF(AND($I186="Base",$E186="Base"),Dashboard!$R$5,IF(AND($I186="Base",$E186="Red"),Dashboard!$R$6,IF(AND($I186="Base",$E186="Gold"),Dashboard!$R$7,VLOOKUP($I186,Dashboard!$Q$16:$R$21,2,FALSE)))))*VLOOKUP($I186,Dashboard!$Q$9:$R$13,2,FALSE)*IF(AND($I186="Auto",$F186="",OR($B186="Autographs Duals",$B186="Autographs Triples",$B186="Autographs Quads",$B186="Autographs Quads (Inscribed)")),IF($B186="Autographs Duals",2,IF($B186="Autographs Triples",3,4)),1)))</f>
        <v>40</v>
      </c>
      <c r="AB186" s="62">
        <f t="shared" si="37"/>
        <v>0</v>
      </c>
      <c r="AC186" s="62">
        <f t="shared" si="38"/>
        <v>0</v>
      </c>
    </row>
    <row r="187" spans="1:29" ht="28.7" customHeight="1" x14ac:dyDescent="0.25">
      <c r="A187" s="4" t="s">
        <v>17</v>
      </c>
      <c r="B187" s="7" t="s">
        <v>70</v>
      </c>
      <c r="C187" s="2" t="s">
        <v>1485</v>
      </c>
      <c r="D187" s="7" t="s">
        <v>1013</v>
      </c>
      <c r="E187" s="4" t="s">
        <v>780</v>
      </c>
      <c r="F187" s="2">
        <v>25</v>
      </c>
      <c r="G187" s="2" t="s">
        <v>1399</v>
      </c>
      <c r="H187" s="2" t="s">
        <v>1400</v>
      </c>
      <c r="I187" s="4" t="s">
        <v>60</v>
      </c>
      <c r="J187" s="112">
        <f>IF($H187&lt;&gt;"Y",0,ROUND(MIN(Dashboard!$R$24,IF(IFERROR(VLOOKUP($B187,Dashboard!$Q$28:$S$60,2,FALSE),0)&gt;0,IFERROR(VLOOKUP($B187,Dashboard!$Q$28:$S$60,2,FALSE),0),$Z187*IF($U187&lt;&gt;"",ROUND((Dashboard!$R$4/$U187)*VLOOKUP($I187,Dashboard!$Q$9:$R$13,2,FALSE)*IF(ISNUMBER(SEARCH("Duals",$B187)),2,IF(ISNUMBER(SEARCH("Triples",$B187)),3,IF(ISNUMBER(SEARCH("Quads",$B187)),4,1))),2),ROUND(VLOOKUP($I187,Dashboard!$Q$15:$R$20,2,FALSE)*IF($E187="Red",Dashboard!$R$6,IF($E187="Gold",Dashboard!$R$7,Dashboard!$R$5))*IF(ISNUMBER(SEARCH("Duals",$B187)),2,IF(ISNUMBER(SEARCH("Triples",$B187)),3,IF(ISNUMBER(SEARCH("Quads",$B187)),4,1))),2))*IF(IFERROR(VLOOKUP($B187,Dashboard!$Q$28:$S$60,3,FALSE),0)&gt;0,VLOOKUP($B187,Dashboard!$Q$28:$S$60,3,FALSE),1))),0))</f>
        <v>40</v>
      </c>
      <c r="K187" s="2" t="str">
        <f>IF('Base S1'!H87="","",'Base S1'!H87)</f>
        <v>C 19/25</v>
      </c>
      <c r="L187" s="2">
        <f t="shared" si="26"/>
        <v>1</v>
      </c>
      <c r="M187" s="2">
        <f t="shared" si="27"/>
        <v>0</v>
      </c>
      <c r="N187" s="2">
        <f t="shared" si="28"/>
        <v>1</v>
      </c>
      <c r="O187" s="2">
        <f t="shared" si="29"/>
        <v>0</v>
      </c>
      <c r="P187" s="112">
        <f t="shared" si="30"/>
        <v>40</v>
      </c>
      <c r="Q187" s="112">
        <f t="shared" si="31"/>
        <v>0</v>
      </c>
      <c r="R187" s="53"/>
      <c r="S187" s="53" t="str">
        <f t="shared" si="32"/>
        <v>Base S1|Black Parallel - Season 1|86|Black</v>
      </c>
      <c r="T187" s="57" t="str">
        <f>IF($S187="","",IFERROR(VLOOKUP($S187,'Pop Estimates (Non-#d)'!$N$2:$O$500,2,FALSE),""))</f>
        <v/>
      </c>
      <c r="U187" s="57">
        <f t="shared" si="33"/>
        <v>25</v>
      </c>
      <c r="V187" s="53" t="str">
        <f t="shared" si="34"/>
        <v/>
      </c>
      <c r="W187" s="53" t="str">
        <f t="shared" si="35"/>
        <v/>
      </c>
      <c r="X187" s="53" t="str">
        <f t="shared" si="36"/>
        <v/>
      </c>
      <c r="Y187" s="57" t="str">
        <f>IF($X187="","",IFERROR(VLOOKUP($X187,'Char Popularity'!$A$2:$C$500,2,FALSE),""))</f>
        <v/>
      </c>
      <c r="Z187" s="56">
        <f>IF($X187="",1,IFERROR(VLOOKUP($X187,'Char Popularity'!$A$2:$C$500,3,FALSE),1))</f>
        <v>1</v>
      </c>
      <c r="AA187" s="62">
        <f>IF($H187&lt;&gt;"Y",0,(IF($F187&lt;&gt;"",ROUND(Dashboard!$R$4/$F187,1),IF(AND($I187="Base",$E187="Base"),Dashboard!$R$5,IF(AND($I187="Base",$E187="Red"),Dashboard!$R$6,IF(AND($I187="Base",$E187="Gold"),Dashboard!$R$7,VLOOKUP($I187,Dashboard!$Q$16:$R$21,2,FALSE)))))*VLOOKUP($I187,Dashboard!$Q$9:$R$13,2,FALSE)*IF(AND($I187="Auto",$F187="",OR($B187="Autographs Duals",$B187="Autographs Triples",$B187="Autographs Quads",$B187="Autographs Quads (Inscribed)")),IF($B187="Autographs Duals",2,IF($B187="Autographs Triples",3,4)),1)))</f>
        <v>40</v>
      </c>
      <c r="AB187" s="62">
        <f t="shared" si="37"/>
        <v>40</v>
      </c>
      <c r="AC187" s="62">
        <f t="shared" si="38"/>
        <v>0</v>
      </c>
    </row>
    <row r="188" spans="1:29" ht="28.7" customHeight="1" x14ac:dyDescent="0.25">
      <c r="A188" s="4" t="s">
        <v>17</v>
      </c>
      <c r="B188" s="7" t="s">
        <v>70</v>
      </c>
      <c r="C188" s="2" t="s">
        <v>1486</v>
      </c>
      <c r="D188" s="7" t="s">
        <v>1015</v>
      </c>
      <c r="E188" s="4" t="s">
        <v>780</v>
      </c>
      <c r="F188" s="2">
        <v>25</v>
      </c>
      <c r="G188" s="2" t="s">
        <v>1399</v>
      </c>
      <c r="H188" s="2" t="s">
        <v>1400</v>
      </c>
      <c r="I188" s="4" t="s">
        <v>60</v>
      </c>
      <c r="J188" s="112">
        <f>IF($H188&lt;&gt;"Y",0,ROUND(MIN(Dashboard!$R$24,IF(IFERROR(VLOOKUP($B188,Dashboard!$Q$28:$S$60,2,FALSE),0)&gt;0,IFERROR(VLOOKUP($B188,Dashboard!$Q$28:$S$60,2,FALSE),0),$Z188*IF($U188&lt;&gt;"",ROUND((Dashboard!$R$4/$U188)*VLOOKUP($I188,Dashboard!$Q$9:$R$13,2,FALSE)*IF(ISNUMBER(SEARCH("Duals",$B188)),2,IF(ISNUMBER(SEARCH("Triples",$B188)),3,IF(ISNUMBER(SEARCH("Quads",$B188)),4,1))),2),ROUND(VLOOKUP($I188,Dashboard!$Q$15:$R$20,2,FALSE)*IF($E188="Red",Dashboard!$R$6,IF($E188="Gold",Dashboard!$R$7,Dashboard!$R$5))*IF(ISNUMBER(SEARCH("Duals",$B188)),2,IF(ISNUMBER(SEARCH("Triples",$B188)),3,IF(ISNUMBER(SEARCH("Quads",$B188)),4,1))),2))*IF(IFERROR(VLOOKUP($B188,Dashboard!$Q$28:$S$60,3,FALSE),0)&gt;0,VLOOKUP($B188,Dashboard!$Q$28:$S$60,3,FALSE),1))),0))</f>
        <v>40</v>
      </c>
      <c r="K188" s="2" t="str">
        <f>IF('Base S1'!H88="","",'Base S1'!H88)</f>
        <v>C 3/25</v>
      </c>
      <c r="L188" s="2">
        <f t="shared" si="26"/>
        <v>1</v>
      </c>
      <c r="M188" s="2">
        <f t="shared" si="27"/>
        <v>0</v>
      </c>
      <c r="N188" s="2">
        <f t="shared" si="28"/>
        <v>1</v>
      </c>
      <c r="O188" s="2">
        <f t="shared" si="29"/>
        <v>0</v>
      </c>
      <c r="P188" s="112">
        <f t="shared" si="30"/>
        <v>40</v>
      </c>
      <c r="Q188" s="112">
        <f t="shared" si="31"/>
        <v>0</v>
      </c>
      <c r="R188" s="53"/>
      <c r="S188" s="53" t="str">
        <f t="shared" si="32"/>
        <v>Base S1|Black Parallel - Season 1|87|Black</v>
      </c>
      <c r="T188" s="57" t="str">
        <f>IF($S188="","",IFERROR(VLOOKUP($S188,'Pop Estimates (Non-#d)'!$N$2:$O$500,2,FALSE),""))</f>
        <v/>
      </c>
      <c r="U188" s="57">
        <f t="shared" si="33"/>
        <v>25</v>
      </c>
      <c r="V188" s="53" t="str">
        <f t="shared" si="34"/>
        <v/>
      </c>
      <c r="W188" s="53" t="str">
        <f t="shared" si="35"/>
        <v/>
      </c>
      <c r="X188" s="53" t="str">
        <f t="shared" si="36"/>
        <v/>
      </c>
      <c r="Y188" s="57" t="str">
        <f>IF($X188="","",IFERROR(VLOOKUP($X188,'Char Popularity'!$A$2:$C$500,2,FALSE),""))</f>
        <v/>
      </c>
      <c r="Z188" s="56">
        <f>IF($X188="",1,IFERROR(VLOOKUP($X188,'Char Popularity'!$A$2:$C$500,3,FALSE),1))</f>
        <v>1</v>
      </c>
      <c r="AA188" s="62">
        <f>IF($H188&lt;&gt;"Y",0,(IF($F188&lt;&gt;"",ROUND(Dashboard!$R$4/$F188,1),IF(AND($I188="Base",$E188="Base"),Dashboard!$R$5,IF(AND($I188="Base",$E188="Red"),Dashboard!$R$6,IF(AND($I188="Base",$E188="Gold"),Dashboard!$R$7,VLOOKUP($I188,Dashboard!$Q$16:$R$21,2,FALSE)))))*VLOOKUP($I188,Dashboard!$Q$9:$R$13,2,FALSE)*IF(AND($I188="Auto",$F188="",OR($B188="Autographs Duals",$B188="Autographs Triples",$B188="Autographs Quads",$B188="Autographs Quads (Inscribed)")),IF($B188="Autographs Duals",2,IF($B188="Autographs Triples",3,4)),1)))</f>
        <v>40</v>
      </c>
      <c r="AB188" s="62">
        <f t="shared" si="37"/>
        <v>40</v>
      </c>
      <c r="AC188" s="62">
        <f t="shared" si="38"/>
        <v>0</v>
      </c>
    </row>
    <row r="189" spans="1:29" ht="28.7" customHeight="1" x14ac:dyDescent="0.25">
      <c r="A189" s="4" t="s">
        <v>17</v>
      </c>
      <c r="B189" s="7" t="s">
        <v>70</v>
      </c>
      <c r="C189" s="2" t="s">
        <v>1487</v>
      </c>
      <c r="D189" s="7" t="s">
        <v>1018</v>
      </c>
      <c r="E189" s="4" t="s">
        <v>780</v>
      </c>
      <c r="F189" s="2">
        <v>25</v>
      </c>
      <c r="G189" s="2" t="s">
        <v>1399</v>
      </c>
      <c r="H189" s="2" t="s">
        <v>1400</v>
      </c>
      <c r="I189" s="4" t="s">
        <v>60</v>
      </c>
      <c r="J189" s="112">
        <f>IF($H189&lt;&gt;"Y",0,ROUND(MIN(Dashboard!$R$24,IF(IFERROR(VLOOKUP($B189,Dashboard!$Q$28:$S$60,2,FALSE),0)&gt;0,IFERROR(VLOOKUP($B189,Dashboard!$Q$28:$S$60,2,FALSE),0),$Z189*IF($U189&lt;&gt;"",ROUND((Dashboard!$R$4/$U189)*VLOOKUP($I189,Dashboard!$Q$9:$R$13,2,FALSE)*IF(ISNUMBER(SEARCH("Duals",$B189)),2,IF(ISNUMBER(SEARCH("Triples",$B189)),3,IF(ISNUMBER(SEARCH("Quads",$B189)),4,1))),2),ROUND(VLOOKUP($I189,Dashboard!$Q$15:$R$20,2,FALSE)*IF($E189="Red",Dashboard!$R$6,IF($E189="Gold",Dashboard!$R$7,Dashboard!$R$5))*IF(ISNUMBER(SEARCH("Duals",$B189)),2,IF(ISNUMBER(SEARCH("Triples",$B189)),3,IF(ISNUMBER(SEARCH("Quads",$B189)),4,1))),2))*IF(IFERROR(VLOOKUP($B189,Dashboard!$Q$28:$S$60,3,FALSE),0)&gt;0,VLOOKUP($B189,Dashboard!$Q$28:$S$60,3,FALSE),1))),0))</f>
        <v>40</v>
      </c>
      <c r="K189" s="2" t="str">
        <f>IF('Base S1'!H89="","",'Base S1'!H89)</f>
        <v>C 01/25</v>
      </c>
      <c r="L189" s="2">
        <f t="shared" si="26"/>
        <v>1</v>
      </c>
      <c r="M189" s="2">
        <f t="shared" si="27"/>
        <v>0</v>
      </c>
      <c r="N189" s="2">
        <f t="shared" si="28"/>
        <v>1</v>
      </c>
      <c r="O189" s="2">
        <f t="shared" si="29"/>
        <v>0</v>
      </c>
      <c r="P189" s="112">
        <f t="shared" si="30"/>
        <v>40</v>
      </c>
      <c r="Q189" s="112">
        <f t="shared" si="31"/>
        <v>0</v>
      </c>
      <c r="R189" s="53"/>
      <c r="S189" s="53" t="str">
        <f t="shared" si="32"/>
        <v>Base S1|Black Parallel - Season 1|88|Black</v>
      </c>
      <c r="T189" s="57" t="str">
        <f>IF($S189="","",IFERROR(VLOOKUP($S189,'Pop Estimates (Non-#d)'!$N$2:$O$500,2,FALSE),""))</f>
        <v/>
      </c>
      <c r="U189" s="57">
        <f t="shared" si="33"/>
        <v>25</v>
      </c>
      <c r="V189" s="53" t="str">
        <f t="shared" si="34"/>
        <v/>
      </c>
      <c r="W189" s="53" t="str">
        <f t="shared" si="35"/>
        <v/>
      </c>
      <c r="X189" s="53" t="str">
        <f t="shared" si="36"/>
        <v/>
      </c>
      <c r="Y189" s="57" t="str">
        <f>IF($X189="","",IFERROR(VLOOKUP($X189,'Char Popularity'!$A$2:$C$500,2,FALSE),""))</f>
        <v/>
      </c>
      <c r="Z189" s="56">
        <f>IF($X189="",1,IFERROR(VLOOKUP($X189,'Char Popularity'!$A$2:$C$500,3,FALSE),1))</f>
        <v>1</v>
      </c>
      <c r="AA189" s="62">
        <f>IF($H189&lt;&gt;"Y",0,(IF($F189&lt;&gt;"",ROUND(Dashboard!$R$4/$F189,1),IF(AND($I189="Base",$E189="Base"),Dashboard!$R$5,IF(AND($I189="Base",$E189="Red"),Dashboard!$R$6,IF(AND($I189="Base",$E189="Gold"),Dashboard!$R$7,VLOOKUP($I189,Dashboard!$Q$16:$R$21,2,FALSE)))))*VLOOKUP($I189,Dashboard!$Q$9:$R$13,2,FALSE)*IF(AND($I189="Auto",$F189="",OR($B189="Autographs Duals",$B189="Autographs Triples",$B189="Autographs Quads",$B189="Autographs Quads (Inscribed)")),IF($B189="Autographs Duals",2,IF($B189="Autographs Triples",3,4)),1)))</f>
        <v>40</v>
      </c>
      <c r="AB189" s="62">
        <f t="shared" si="37"/>
        <v>40</v>
      </c>
      <c r="AC189" s="62">
        <f t="shared" si="38"/>
        <v>0</v>
      </c>
    </row>
    <row r="190" spans="1:29" ht="28.7" customHeight="1" x14ac:dyDescent="0.25">
      <c r="A190" s="4" t="s">
        <v>17</v>
      </c>
      <c r="B190" s="7" t="s">
        <v>70</v>
      </c>
      <c r="C190" s="2" t="s">
        <v>1488</v>
      </c>
      <c r="D190" s="7" t="s">
        <v>1021</v>
      </c>
      <c r="E190" s="4" t="s">
        <v>780</v>
      </c>
      <c r="F190" s="2">
        <v>25</v>
      </c>
      <c r="G190" s="2" t="s">
        <v>1399</v>
      </c>
      <c r="H190" s="2" t="s">
        <v>1400</v>
      </c>
      <c r="I190" s="4" t="s">
        <v>60</v>
      </c>
      <c r="J190" s="112">
        <f>IF($H190&lt;&gt;"Y",0,ROUND(MIN(Dashboard!$R$24,IF(IFERROR(VLOOKUP($B190,Dashboard!$Q$28:$S$60,2,FALSE),0)&gt;0,IFERROR(VLOOKUP($B190,Dashboard!$Q$28:$S$60,2,FALSE),0),$Z190*IF($U190&lt;&gt;"",ROUND((Dashboard!$R$4/$U190)*VLOOKUP($I190,Dashboard!$Q$9:$R$13,2,FALSE)*IF(ISNUMBER(SEARCH("Duals",$B190)),2,IF(ISNUMBER(SEARCH("Triples",$B190)),3,IF(ISNUMBER(SEARCH("Quads",$B190)),4,1))),2),ROUND(VLOOKUP($I190,Dashboard!$Q$15:$R$20,2,FALSE)*IF($E190="Red",Dashboard!$R$6,IF($E190="Gold",Dashboard!$R$7,Dashboard!$R$5))*IF(ISNUMBER(SEARCH("Duals",$B190)),2,IF(ISNUMBER(SEARCH("Triples",$B190)),3,IF(ISNUMBER(SEARCH("Quads",$B190)),4,1))),2))*IF(IFERROR(VLOOKUP($B190,Dashboard!$Q$28:$S$60,3,FALSE),0)&gt;0,VLOOKUP($B190,Dashboard!$Q$28:$S$60,3,FALSE),1))),0))</f>
        <v>40</v>
      </c>
      <c r="K190" s="2" t="str">
        <f>IF('Base S1'!H90="","",'Base S1'!H90)</f>
        <v>C 11/25</v>
      </c>
      <c r="L190" s="2">
        <f t="shared" si="26"/>
        <v>1</v>
      </c>
      <c r="M190" s="2">
        <f t="shared" si="27"/>
        <v>0</v>
      </c>
      <c r="N190" s="2">
        <f t="shared" si="28"/>
        <v>1</v>
      </c>
      <c r="O190" s="2">
        <f t="shared" si="29"/>
        <v>0</v>
      </c>
      <c r="P190" s="112">
        <f t="shared" si="30"/>
        <v>40</v>
      </c>
      <c r="Q190" s="112">
        <f t="shared" si="31"/>
        <v>0</v>
      </c>
      <c r="R190" s="53"/>
      <c r="S190" s="53" t="str">
        <f t="shared" si="32"/>
        <v>Base S1|Black Parallel - Season 1|89|Black</v>
      </c>
      <c r="T190" s="57" t="str">
        <f>IF($S190="","",IFERROR(VLOOKUP($S190,'Pop Estimates (Non-#d)'!$N$2:$O$500,2,FALSE),""))</f>
        <v/>
      </c>
      <c r="U190" s="57">
        <f t="shared" si="33"/>
        <v>25</v>
      </c>
      <c r="V190" s="53" t="str">
        <f t="shared" si="34"/>
        <v/>
      </c>
      <c r="W190" s="53" t="str">
        <f t="shared" si="35"/>
        <v/>
      </c>
      <c r="X190" s="53" t="str">
        <f t="shared" si="36"/>
        <v/>
      </c>
      <c r="Y190" s="57" t="str">
        <f>IF($X190="","",IFERROR(VLOOKUP($X190,'Char Popularity'!$A$2:$C$500,2,FALSE),""))</f>
        <v/>
      </c>
      <c r="Z190" s="56">
        <f>IF($X190="",1,IFERROR(VLOOKUP($X190,'Char Popularity'!$A$2:$C$500,3,FALSE),1))</f>
        <v>1</v>
      </c>
      <c r="AA190" s="62">
        <f>IF($H190&lt;&gt;"Y",0,(IF($F190&lt;&gt;"",ROUND(Dashboard!$R$4/$F190,1),IF(AND($I190="Base",$E190="Base"),Dashboard!$R$5,IF(AND($I190="Base",$E190="Red"),Dashboard!$R$6,IF(AND($I190="Base",$E190="Gold"),Dashboard!$R$7,VLOOKUP($I190,Dashboard!$Q$16:$R$21,2,FALSE)))))*VLOOKUP($I190,Dashboard!$Q$9:$R$13,2,FALSE)*IF(AND($I190="Auto",$F190="",OR($B190="Autographs Duals",$B190="Autographs Triples",$B190="Autographs Quads",$B190="Autographs Quads (Inscribed)")),IF($B190="Autographs Duals",2,IF($B190="Autographs Triples",3,4)),1)))</f>
        <v>40</v>
      </c>
      <c r="AB190" s="62">
        <f t="shared" si="37"/>
        <v>40</v>
      </c>
      <c r="AC190" s="62">
        <f t="shared" si="38"/>
        <v>0</v>
      </c>
    </row>
    <row r="191" spans="1:29" ht="28.7" customHeight="1" x14ac:dyDescent="0.25">
      <c r="A191" s="4" t="s">
        <v>17</v>
      </c>
      <c r="B191" s="7" t="s">
        <v>70</v>
      </c>
      <c r="C191" s="2" t="s">
        <v>1489</v>
      </c>
      <c r="D191" s="7" t="s">
        <v>1023</v>
      </c>
      <c r="E191" s="4" t="s">
        <v>780</v>
      </c>
      <c r="F191" s="2">
        <v>25</v>
      </c>
      <c r="G191" s="2" t="s">
        <v>1399</v>
      </c>
      <c r="H191" s="2" t="s">
        <v>1400</v>
      </c>
      <c r="I191" s="4" t="s">
        <v>60</v>
      </c>
      <c r="J191" s="112">
        <f>IF($H191&lt;&gt;"Y",0,ROUND(MIN(Dashboard!$R$24,IF(IFERROR(VLOOKUP($B191,Dashboard!$Q$28:$S$60,2,FALSE),0)&gt;0,IFERROR(VLOOKUP($B191,Dashboard!$Q$28:$S$60,2,FALSE),0),$Z191*IF($U191&lt;&gt;"",ROUND((Dashboard!$R$4/$U191)*VLOOKUP($I191,Dashboard!$Q$9:$R$13,2,FALSE)*IF(ISNUMBER(SEARCH("Duals",$B191)),2,IF(ISNUMBER(SEARCH("Triples",$B191)),3,IF(ISNUMBER(SEARCH("Quads",$B191)),4,1))),2),ROUND(VLOOKUP($I191,Dashboard!$Q$15:$R$20,2,FALSE)*IF($E191="Red",Dashboard!$R$6,IF($E191="Gold",Dashboard!$R$7,Dashboard!$R$5))*IF(ISNUMBER(SEARCH("Duals",$B191)),2,IF(ISNUMBER(SEARCH("Triples",$B191)),3,IF(ISNUMBER(SEARCH("Quads",$B191)),4,1))),2))*IF(IFERROR(VLOOKUP($B191,Dashboard!$Q$28:$S$60,3,FALSE),0)&gt;0,VLOOKUP($B191,Dashboard!$Q$28:$S$60,3,FALSE),1))),0))</f>
        <v>40</v>
      </c>
      <c r="K191" s="2" t="str">
        <f>IF('Base S1'!H91="","",'Base S1'!H91)</f>
        <v>C 10/25</v>
      </c>
      <c r="L191" s="2">
        <f t="shared" si="26"/>
        <v>1</v>
      </c>
      <c r="M191" s="2">
        <f t="shared" si="27"/>
        <v>0</v>
      </c>
      <c r="N191" s="2">
        <f t="shared" si="28"/>
        <v>1</v>
      </c>
      <c r="O191" s="2">
        <f t="shared" si="29"/>
        <v>0</v>
      </c>
      <c r="P191" s="112">
        <f t="shared" si="30"/>
        <v>40</v>
      </c>
      <c r="Q191" s="112">
        <f t="shared" si="31"/>
        <v>0</v>
      </c>
      <c r="R191" s="53"/>
      <c r="S191" s="53" t="str">
        <f t="shared" si="32"/>
        <v>Base S1|Black Parallel - Season 1|90|Black</v>
      </c>
      <c r="T191" s="57" t="str">
        <f>IF($S191="","",IFERROR(VLOOKUP($S191,'Pop Estimates (Non-#d)'!$N$2:$O$500,2,FALSE),""))</f>
        <v/>
      </c>
      <c r="U191" s="57">
        <f t="shared" si="33"/>
        <v>25</v>
      </c>
      <c r="V191" s="53" t="str">
        <f t="shared" si="34"/>
        <v/>
      </c>
      <c r="W191" s="53" t="str">
        <f t="shared" si="35"/>
        <v/>
      </c>
      <c r="X191" s="53" t="str">
        <f t="shared" si="36"/>
        <v/>
      </c>
      <c r="Y191" s="57" t="str">
        <f>IF($X191="","",IFERROR(VLOOKUP($X191,'Char Popularity'!$A$2:$C$500,2,FALSE),""))</f>
        <v/>
      </c>
      <c r="Z191" s="56">
        <f>IF($X191="",1,IFERROR(VLOOKUP($X191,'Char Popularity'!$A$2:$C$500,3,FALSE),1))</f>
        <v>1</v>
      </c>
      <c r="AA191" s="62">
        <f>IF($H191&lt;&gt;"Y",0,(IF($F191&lt;&gt;"",ROUND(Dashboard!$R$4/$F191,1),IF(AND($I191="Base",$E191="Base"),Dashboard!$R$5,IF(AND($I191="Base",$E191="Red"),Dashboard!$R$6,IF(AND($I191="Base",$E191="Gold"),Dashboard!$R$7,VLOOKUP($I191,Dashboard!$Q$16:$R$21,2,FALSE)))))*VLOOKUP($I191,Dashboard!$Q$9:$R$13,2,FALSE)*IF(AND($I191="Auto",$F191="",OR($B191="Autographs Duals",$B191="Autographs Triples",$B191="Autographs Quads",$B191="Autographs Quads (Inscribed)")),IF($B191="Autographs Duals",2,IF($B191="Autographs Triples",3,4)),1)))</f>
        <v>40</v>
      </c>
      <c r="AB191" s="62">
        <f t="shared" si="37"/>
        <v>40</v>
      </c>
      <c r="AC191" s="62">
        <f t="shared" si="38"/>
        <v>0</v>
      </c>
    </row>
    <row r="192" spans="1:29" ht="28.7" customHeight="1" x14ac:dyDescent="0.25">
      <c r="A192" s="4" t="s">
        <v>17</v>
      </c>
      <c r="B192" s="7" t="s">
        <v>70</v>
      </c>
      <c r="C192" s="2" t="s">
        <v>1490</v>
      </c>
      <c r="D192" s="7" t="s">
        <v>1025</v>
      </c>
      <c r="E192" s="4" t="s">
        <v>780</v>
      </c>
      <c r="F192" s="2">
        <v>25</v>
      </c>
      <c r="G192" s="2" t="s">
        <v>1399</v>
      </c>
      <c r="H192" s="2" t="s">
        <v>1400</v>
      </c>
      <c r="I192" s="4" t="s">
        <v>60</v>
      </c>
      <c r="J192" s="112">
        <f>IF($H192&lt;&gt;"Y",0,ROUND(MIN(Dashboard!$R$24,IF(IFERROR(VLOOKUP($B192,Dashboard!$Q$28:$S$60,2,FALSE),0)&gt;0,IFERROR(VLOOKUP($B192,Dashboard!$Q$28:$S$60,2,FALSE),0),$Z192*IF($U192&lt;&gt;"",ROUND((Dashboard!$R$4/$U192)*VLOOKUP($I192,Dashboard!$Q$9:$R$13,2,FALSE)*IF(ISNUMBER(SEARCH("Duals",$B192)),2,IF(ISNUMBER(SEARCH("Triples",$B192)),3,IF(ISNUMBER(SEARCH("Quads",$B192)),4,1))),2),ROUND(VLOOKUP($I192,Dashboard!$Q$15:$R$20,2,FALSE)*IF($E192="Red",Dashboard!$R$6,IF($E192="Gold",Dashboard!$R$7,Dashboard!$R$5))*IF(ISNUMBER(SEARCH("Duals",$B192)),2,IF(ISNUMBER(SEARCH("Triples",$B192)),3,IF(ISNUMBER(SEARCH("Quads",$B192)),4,1))),2))*IF(IFERROR(VLOOKUP($B192,Dashboard!$Q$28:$S$60,3,FALSE),0)&gt;0,VLOOKUP($B192,Dashboard!$Q$28:$S$60,3,FALSE),1))),0))</f>
        <v>40</v>
      </c>
      <c r="K192" s="2" t="str">
        <f>IF('Base S1'!H92="","",'Base S1'!H92)</f>
        <v/>
      </c>
      <c r="L192" s="2">
        <f t="shared" si="26"/>
        <v>0</v>
      </c>
      <c r="M192" s="2">
        <f t="shared" si="27"/>
        <v>0</v>
      </c>
      <c r="N192" s="2">
        <f t="shared" si="28"/>
        <v>0</v>
      </c>
      <c r="O192" s="2">
        <f t="shared" si="29"/>
        <v>1</v>
      </c>
      <c r="P192" s="112">
        <f t="shared" si="30"/>
        <v>0</v>
      </c>
      <c r="Q192" s="112">
        <f t="shared" si="31"/>
        <v>0</v>
      </c>
      <c r="R192" s="53"/>
      <c r="S192" s="53" t="str">
        <f t="shared" si="32"/>
        <v>Base S1|Black Parallel - Season 1|91|Black</v>
      </c>
      <c r="T192" s="57" t="str">
        <f>IF($S192="","",IFERROR(VLOOKUP($S192,'Pop Estimates (Non-#d)'!$N$2:$O$500,2,FALSE),""))</f>
        <v/>
      </c>
      <c r="U192" s="57">
        <f t="shared" si="33"/>
        <v>25</v>
      </c>
      <c r="V192" s="53" t="str">
        <f t="shared" si="34"/>
        <v/>
      </c>
      <c r="W192" s="53" t="str">
        <f t="shared" si="35"/>
        <v/>
      </c>
      <c r="X192" s="53" t="str">
        <f t="shared" si="36"/>
        <v/>
      </c>
      <c r="Y192" s="57" t="str">
        <f>IF($X192="","",IFERROR(VLOOKUP($X192,'Char Popularity'!$A$2:$C$500,2,FALSE),""))</f>
        <v/>
      </c>
      <c r="Z192" s="56">
        <f>IF($X192="",1,IFERROR(VLOOKUP($X192,'Char Popularity'!$A$2:$C$500,3,FALSE),1))</f>
        <v>1</v>
      </c>
      <c r="AA192" s="62">
        <f>IF($H192&lt;&gt;"Y",0,(IF($F192&lt;&gt;"",ROUND(Dashboard!$R$4/$F192,1),IF(AND($I192="Base",$E192="Base"),Dashboard!$R$5,IF(AND($I192="Base",$E192="Red"),Dashboard!$R$6,IF(AND($I192="Base",$E192="Gold"),Dashboard!$R$7,VLOOKUP($I192,Dashboard!$Q$16:$R$21,2,FALSE)))))*VLOOKUP($I192,Dashboard!$Q$9:$R$13,2,FALSE)*IF(AND($I192="Auto",$F192="",OR($B192="Autographs Duals",$B192="Autographs Triples",$B192="Autographs Quads",$B192="Autographs Quads (Inscribed)")),IF($B192="Autographs Duals",2,IF($B192="Autographs Triples",3,4)),1)))</f>
        <v>40</v>
      </c>
      <c r="AB192" s="62">
        <f t="shared" si="37"/>
        <v>0</v>
      </c>
      <c r="AC192" s="62">
        <f t="shared" si="38"/>
        <v>0</v>
      </c>
    </row>
    <row r="193" spans="1:29" ht="28.7" customHeight="1" x14ac:dyDescent="0.25">
      <c r="A193" s="4" t="s">
        <v>17</v>
      </c>
      <c r="B193" s="7" t="s">
        <v>70</v>
      </c>
      <c r="C193" s="2" t="s">
        <v>1491</v>
      </c>
      <c r="D193" s="7" t="s">
        <v>1027</v>
      </c>
      <c r="E193" s="4" t="s">
        <v>780</v>
      </c>
      <c r="F193" s="2">
        <v>25</v>
      </c>
      <c r="G193" s="2" t="s">
        <v>1399</v>
      </c>
      <c r="H193" s="2" t="s">
        <v>1400</v>
      </c>
      <c r="I193" s="4" t="s">
        <v>60</v>
      </c>
      <c r="J193" s="112">
        <f>IF($H193&lt;&gt;"Y",0,ROUND(MIN(Dashboard!$R$24,IF(IFERROR(VLOOKUP($B193,Dashboard!$Q$28:$S$60,2,FALSE),0)&gt;0,IFERROR(VLOOKUP($B193,Dashboard!$Q$28:$S$60,2,FALSE),0),$Z193*IF($U193&lt;&gt;"",ROUND((Dashboard!$R$4/$U193)*VLOOKUP($I193,Dashboard!$Q$9:$R$13,2,FALSE)*IF(ISNUMBER(SEARCH("Duals",$B193)),2,IF(ISNUMBER(SEARCH("Triples",$B193)),3,IF(ISNUMBER(SEARCH("Quads",$B193)),4,1))),2),ROUND(VLOOKUP($I193,Dashboard!$Q$15:$R$20,2,FALSE)*IF($E193="Red",Dashboard!$R$6,IF($E193="Gold",Dashboard!$R$7,Dashboard!$R$5))*IF(ISNUMBER(SEARCH("Duals",$B193)),2,IF(ISNUMBER(SEARCH("Triples",$B193)),3,IF(ISNUMBER(SEARCH("Quads",$B193)),4,1))),2))*IF(IFERROR(VLOOKUP($B193,Dashboard!$Q$28:$S$60,3,FALSE),0)&gt;0,VLOOKUP($B193,Dashboard!$Q$28:$S$60,3,FALSE),1))),0))</f>
        <v>40</v>
      </c>
      <c r="K193" s="2" t="str">
        <f>IF('Base S1'!H93="","",'Base S1'!H93)</f>
        <v>C 15/25</v>
      </c>
      <c r="L193" s="2">
        <f t="shared" si="26"/>
        <v>1</v>
      </c>
      <c r="M193" s="2">
        <f t="shared" si="27"/>
        <v>0</v>
      </c>
      <c r="N193" s="2">
        <f t="shared" si="28"/>
        <v>1</v>
      </c>
      <c r="O193" s="2">
        <f t="shared" si="29"/>
        <v>0</v>
      </c>
      <c r="P193" s="112">
        <f t="shared" si="30"/>
        <v>40</v>
      </c>
      <c r="Q193" s="112">
        <f t="shared" si="31"/>
        <v>0</v>
      </c>
      <c r="R193" s="53"/>
      <c r="S193" s="53" t="str">
        <f t="shared" si="32"/>
        <v>Base S1|Black Parallel - Season 1|92|Black</v>
      </c>
      <c r="T193" s="57" t="str">
        <f>IF($S193="","",IFERROR(VLOOKUP($S193,'Pop Estimates (Non-#d)'!$N$2:$O$500,2,FALSE),""))</f>
        <v/>
      </c>
      <c r="U193" s="57">
        <f t="shared" si="33"/>
        <v>25</v>
      </c>
      <c r="V193" s="53" t="str">
        <f t="shared" si="34"/>
        <v/>
      </c>
      <c r="W193" s="53" t="str">
        <f t="shared" si="35"/>
        <v/>
      </c>
      <c r="X193" s="53" t="str">
        <f t="shared" si="36"/>
        <v/>
      </c>
      <c r="Y193" s="57" t="str">
        <f>IF($X193="","",IFERROR(VLOOKUP($X193,'Char Popularity'!$A$2:$C$500,2,FALSE),""))</f>
        <v/>
      </c>
      <c r="Z193" s="56">
        <f>IF($X193="",1,IFERROR(VLOOKUP($X193,'Char Popularity'!$A$2:$C$500,3,FALSE),1))</f>
        <v>1</v>
      </c>
      <c r="AA193" s="62">
        <f>IF($H193&lt;&gt;"Y",0,(IF($F193&lt;&gt;"",ROUND(Dashboard!$R$4/$F193,1),IF(AND($I193="Base",$E193="Base"),Dashboard!$R$5,IF(AND($I193="Base",$E193="Red"),Dashboard!$R$6,IF(AND($I193="Base",$E193="Gold"),Dashboard!$R$7,VLOOKUP($I193,Dashboard!$Q$16:$R$21,2,FALSE)))))*VLOOKUP($I193,Dashboard!$Q$9:$R$13,2,FALSE)*IF(AND($I193="Auto",$F193="",OR($B193="Autographs Duals",$B193="Autographs Triples",$B193="Autographs Quads",$B193="Autographs Quads (Inscribed)")),IF($B193="Autographs Duals",2,IF($B193="Autographs Triples",3,4)),1)))</f>
        <v>40</v>
      </c>
      <c r="AB193" s="62">
        <f t="shared" si="37"/>
        <v>40</v>
      </c>
      <c r="AC193" s="62">
        <f t="shared" si="38"/>
        <v>0</v>
      </c>
    </row>
    <row r="194" spans="1:29" ht="28.7" customHeight="1" x14ac:dyDescent="0.25">
      <c r="A194" s="4" t="s">
        <v>17</v>
      </c>
      <c r="B194" s="7" t="s">
        <v>70</v>
      </c>
      <c r="C194" s="2" t="s">
        <v>1492</v>
      </c>
      <c r="D194" s="7" t="s">
        <v>1029</v>
      </c>
      <c r="E194" s="4" t="s">
        <v>780</v>
      </c>
      <c r="F194" s="2">
        <v>25</v>
      </c>
      <c r="G194" s="2" t="s">
        <v>1399</v>
      </c>
      <c r="H194" s="2" t="s">
        <v>1400</v>
      </c>
      <c r="I194" s="4" t="s">
        <v>60</v>
      </c>
      <c r="J194" s="112">
        <f>IF($H194&lt;&gt;"Y",0,ROUND(MIN(Dashboard!$R$24,IF(IFERROR(VLOOKUP($B194,Dashboard!$Q$28:$S$60,2,FALSE),0)&gt;0,IFERROR(VLOOKUP($B194,Dashboard!$Q$28:$S$60,2,FALSE),0),$Z194*IF($U194&lt;&gt;"",ROUND((Dashboard!$R$4/$U194)*VLOOKUP($I194,Dashboard!$Q$9:$R$13,2,FALSE)*IF(ISNUMBER(SEARCH("Duals",$B194)),2,IF(ISNUMBER(SEARCH("Triples",$B194)),3,IF(ISNUMBER(SEARCH("Quads",$B194)),4,1))),2),ROUND(VLOOKUP($I194,Dashboard!$Q$15:$R$20,2,FALSE)*IF($E194="Red",Dashboard!$R$6,IF($E194="Gold",Dashboard!$R$7,Dashboard!$R$5))*IF(ISNUMBER(SEARCH("Duals",$B194)),2,IF(ISNUMBER(SEARCH("Triples",$B194)),3,IF(ISNUMBER(SEARCH("Quads",$B194)),4,1))),2))*IF(IFERROR(VLOOKUP($B194,Dashboard!$Q$28:$S$60,3,FALSE),0)&gt;0,VLOOKUP($B194,Dashboard!$Q$28:$S$60,3,FALSE),1))),0))</f>
        <v>40</v>
      </c>
      <c r="K194" s="2" t="str">
        <f>IF('Base S1'!H94="","",'Base S1'!H94)</f>
        <v/>
      </c>
      <c r="L194" s="2">
        <f t="shared" ref="L194:L257" si="39">IF(AND($K194&lt;&gt;"",LEFT($K194,1)&lt;&gt;"Y"),1,0)</f>
        <v>0</v>
      </c>
      <c r="M194" s="2">
        <f t="shared" ref="M194:M257" si="40">IF(LEFT($K194,1)="Y",1,0)</f>
        <v>0</v>
      </c>
      <c r="N194" s="2">
        <f t="shared" ref="N194:N257" si="41">$L194+$M194</f>
        <v>0</v>
      </c>
      <c r="O194" s="2">
        <f t="shared" ref="O194:O257" si="42">IF($H194="Y",1-$N194,0)</f>
        <v>1</v>
      </c>
      <c r="P194" s="112">
        <f t="shared" ref="P194:P257" si="43">IF($L194=1,$J194,0)</f>
        <v>0</v>
      </c>
      <c r="Q194" s="112">
        <f t="shared" ref="Q194:Q257" si="44">IF($M194=1,$J194,0)</f>
        <v>0</v>
      </c>
      <c r="R194" s="53"/>
      <c r="S194" s="53" t="str">
        <f t="shared" ref="S194:S257" si="45">IF($A194="","",$A194&amp;"|"&amp;$B194&amp;"|"&amp;$C194&amp;"|"&amp;$E194)</f>
        <v>Base S1|Black Parallel - Season 1|93|Black</v>
      </c>
      <c r="T194" s="57" t="str">
        <f>IF($S194="","",IFERROR(VLOOKUP($S194,'Pop Estimates (Non-#d)'!$N$2:$O$500,2,FALSE),""))</f>
        <v/>
      </c>
      <c r="U194" s="57">
        <f t="shared" ref="U194:U257" si="46">IF($A194="","",IF($F194&lt;&gt;"",$F194,$T194))</f>
        <v>25</v>
      </c>
      <c r="V194" s="53" t="str">
        <f t="shared" ref="V194:V257" si="47">IF($A194="","",IF(ISNUMBER(SEARCH(" as ",$D194)),MID($D194,SEARCH(" as ",$D194)+4,255),IF(ISNUMBER(SEARCH("/",$D194)),LEFT($D194,FIND("/",$D194&amp;"/")-1),"")))</f>
        <v/>
      </c>
      <c r="W194" s="53" t="str">
        <f t="shared" ref="W194:W257" si="48">IF($V194="","",TRIM(IFERROR(MID($V194,SEARCH("(", $V194)+1,SEARCH(")",$V194)-SEARCH("(", $V194)-1),$V194)))</f>
        <v/>
      </c>
      <c r="X194" s="53" t="str">
        <f t="shared" ref="X194:X257" si="49">IF($W194="","",TRIM(LEFT($W194&amp;"""",FIND("""",$W194&amp;"""")-1)))</f>
        <v/>
      </c>
      <c r="Y194" s="57" t="str">
        <f>IF($X194="","",IFERROR(VLOOKUP($X194,'Char Popularity'!$A$2:$C$500,2,FALSE),""))</f>
        <v/>
      </c>
      <c r="Z194" s="56">
        <f>IF($X194="",1,IFERROR(VLOOKUP($X194,'Char Popularity'!$A$2:$C$500,3,FALSE),1))</f>
        <v>1</v>
      </c>
      <c r="AA194" s="62">
        <f>IF($H194&lt;&gt;"Y",0,(IF($F194&lt;&gt;"",ROUND(Dashboard!$R$4/$F194,1),IF(AND($I194="Base",$E194="Base"),Dashboard!$R$5,IF(AND($I194="Base",$E194="Red"),Dashboard!$R$6,IF(AND($I194="Base",$E194="Gold"),Dashboard!$R$7,VLOOKUP($I194,Dashboard!$Q$16:$R$21,2,FALSE)))))*VLOOKUP($I194,Dashboard!$Q$9:$R$13,2,FALSE)*IF(AND($I194="Auto",$F194="",OR($B194="Autographs Duals",$B194="Autographs Triples",$B194="Autographs Quads",$B194="Autographs Quads (Inscribed)")),IF($B194="Autographs Duals",2,IF($B194="Autographs Triples",3,4)),1)))</f>
        <v>40</v>
      </c>
      <c r="AB194" s="62">
        <f t="shared" ref="AB194:AB257" si="50">IF($L194=1,$AA194,0)</f>
        <v>0</v>
      </c>
      <c r="AC194" s="62">
        <f t="shared" ref="AC194:AC257" si="51">IF($M194=1,$AA194,0)</f>
        <v>0</v>
      </c>
    </row>
    <row r="195" spans="1:29" ht="28.7" customHeight="1" x14ac:dyDescent="0.25">
      <c r="A195" s="4" t="s">
        <v>17</v>
      </c>
      <c r="B195" s="7" t="s">
        <v>70</v>
      </c>
      <c r="C195" s="2" t="s">
        <v>1493</v>
      </c>
      <c r="D195" s="7" t="s">
        <v>1031</v>
      </c>
      <c r="E195" s="4" t="s">
        <v>780</v>
      </c>
      <c r="F195" s="2">
        <v>25</v>
      </c>
      <c r="G195" s="2" t="s">
        <v>1399</v>
      </c>
      <c r="H195" s="2" t="s">
        <v>1400</v>
      </c>
      <c r="I195" s="4" t="s">
        <v>60</v>
      </c>
      <c r="J195" s="112">
        <f>IF($H195&lt;&gt;"Y",0,ROUND(MIN(Dashboard!$R$24,IF(IFERROR(VLOOKUP($B195,Dashboard!$Q$28:$S$60,2,FALSE),0)&gt;0,IFERROR(VLOOKUP($B195,Dashboard!$Q$28:$S$60,2,FALSE),0),$Z195*IF($U195&lt;&gt;"",ROUND((Dashboard!$R$4/$U195)*VLOOKUP($I195,Dashboard!$Q$9:$R$13,2,FALSE)*IF(ISNUMBER(SEARCH("Duals",$B195)),2,IF(ISNUMBER(SEARCH("Triples",$B195)),3,IF(ISNUMBER(SEARCH("Quads",$B195)),4,1))),2),ROUND(VLOOKUP($I195,Dashboard!$Q$15:$R$20,2,FALSE)*IF($E195="Red",Dashboard!$R$6,IF($E195="Gold",Dashboard!$R$7,Dashboard!$R$5))*IF(ISNUMBER(SEARCH("Duals",$B195)),2,IF(ISNUMBER(SEARCH("Triples",$B195)),3,IF(ISNUMBER(SEARCH("Quads",$B195)),4,1))),2))*IF(IFERROR(VLOOKUP($B195,Dashboard!$Q$28:$S$60,3,FALSE),0)&gt;0,VLOOKUP($B195,Dashboard!$Q$28:$S$60,3,FALSE),1))),0))</f>
        <v>40</v>
      </c>
      <c r="K195" s="2" t="str">
        <f>IF('Base S1'!H95="","",'Base S1'!H95)</f>
        <v/>
      </c>
      <c r="L195" s="2">
        <f t="shared" si="39"/>
        <v>0</v>
      </c>
      <c r="M195" s="2">
        <f t="shared" si="40"/>
        <v>0</v>
      </c>
      <c r="N195" s="2">
        <f t="shared" si="41"/>
        <v>0</v>
      </c>
      <c r="O195" s="2">
        <f t="shared" si="42"/>
        <v>1</v>
      </c>
      <c r="P195" s="112">
        <f t="shared" si="43"/>
        <v>0</v>
      </c>
      <c r="Q195" s="112">
        <f t="shared" si="44"/>
        <v>0</v>
      </c>
      <c r="R195" s="53"/>
      <c r="S195" s="53" t="str">
        <f t="shared" si="45"/>
        <v>Base S1|Black Parallel - Season 1|94|Black</v>
      </c>
      <c r="T195" s="57" t="str">
        <f>IF($S195="","",IFERROR(VLOOKUP($S195,'Pop Estimates (Non-#d)'!$N$2:$O$500,2,FALSE),""))</f>
        <v/>
      </c>
      <c r="U195" s="57">
        <f t="shared" si="46"/>
        <v>25</v>
      </c>
      <c r="V195" s="53" t="str">
        <f t="shared" si="47"/>
        <v/>
      </c>
      <c r="W195" s="53" t="str">
        <f t="shared" si="48"/>
        <v/>
      </c>
      <c r="X195" s="53" t="str">
        <f t="shared" si="49"/>
        <v/>
      </c>
      <c r="Y195" s="57" t="str">
        <f>IF($X195="","",IFERROR(VLOOKUP($X195,'Char Popularity'!$A$2:$C$500,2,FALSE),""))</f>
        <v/>
      </c>
      <c r="Z195" s="56">
        <f>IF($X195="",1,IFERROR(VLOOKUP($X195,'Char Popularity'!$A$2:$C$500,3,FALSE),1))</f>
        <v>1</v>
      </c>
      <c r="AA195" s="62">
        <f>IF($H195&lt;&gt;"Y",0,(IF($F195&lt;&gt;"",ROUND(Dashboard!$R$4/$F195,1),IF(AND($I195="Base",$E195="Base"),Dashboard!$R$5,IF(AND($I195="Base",$E195="Red"),Dashboard!$R$6,IF(AND($I195="Base",$E195="Gold"),Dashboard!$R$7,VLOOKUP($I195,Dashboard!$Q$16:$R$21,2,FALSE)))))*VLOOKUP($I195,Dashboard!$Q$9:$R$13,2,FALSE)*IF(AND($I195="Auto",$F195="",OR($B195="Autographs Duals",$B195="Autographs Triples",$B195="Autographs Quads",$B195="Autographs Quads (Inscribed)")),IF($B195="Autographs Duals",2,IF($B195="Autographs Triples",3,4)),1)))</f>
        <v>40</v>
      </c>
      <c r="AB195" s="62">
        <f t="shared" si="50"/>
        <v>0</v>
      </c>
      <c r="AC195" s="62">
        <f t="shared" si="51"/>
        <v>0</v>
      </c>
    </row>
    <row r="196" spans="1:29" ht="28.7" customHeight="1" x14ac:dyDescent="0.25">
      <c r="A196" s="4" t="s">
        <v>17</v>
      </c>
      <c r="B196" s="7" t="s">
        <v>70</v>
      </c>
      <c r="C196" s="2" t="s">
        <v>1494</v>
      </c>
      <c r="D196" s="7" t="s">
        <v>1032</v>
      </c>
      <c r="E196" s="4" t="s">
        <v>780</v>
      </c>
      <c r="F196" s="2">
        <v>25</v>
      </c>
      <c r="G196" s="2" t="s">
        <v>1399</v>
      </c>
      <c r="H196" s="2" t="s">
        <v>1400</v>
      </c>
      <c r="I196" s="4" t="s">
        <v>60</v>
      </c>
      <c r="J196" s="112">
        <f>IF($H196&lt;&gt;"Y",0,ROUND(MIN(Dashboard!$R$24,IF(IFERROR(VLOOKUP($B196,Dashboard!$Q$28:$S$60,2,FALSE),0)&gt;0,IFERROR(VLOOKUP($B196,Dashboard!$Q$28:$S$60,2,FALSE),0),$Z196*IF($U196&lt;&gt;"",ROUND((Dashboard!$R$4/$U196)*VLOOKUP($I196,Dashboard!$Q$9:$R$13,2,FALSE)*IF(ISNUMBER(SEARCH("Duals",$B196)),2,IF(ISNUMBER(SEARCH("Triples",$B196)),3,IF(ISNUMBER(SEARCH("Quads",$B196)),4,1))),2),ROUND(VLOOKUP($I196,Dashboard!$Q$15:$R$20,2,FALSE)*IF($E196="Red",Dashboard!$R$6,IF($E196="Gold",Dashboard!$R$7,Dashboard!$R$5))*IF(ISNUMBER(SEARCH("Duals",$B196)),2,IF(ISNUMBER(SEARCH("Triples",$B196)),3,IF(ISNUMBER(SEARCH("Quads",$B196)),4,1))),2))*IF(IFERROR(VLOOKUP($B196,Dashboard!$Q$28:$S$60,3,FALSE),0)&gt;0,VLOOKUP($B196,Dashboard!$Q$28:$S$60,3,FALSE),1))),0))</f>
        <v>40</v>
      </c>
      <c r="K196" s="2" t="str">
        <f>IF('Base S1'!H96="","",'Base S1'!H96)</f>
        <v/>
      </c>
      <c r="L196" s="2">
        <f t="shared" si="39"/>
        <v>0</v>
      </c>
      <c r="M196" s="2">
        <f t="shared" si="40"/>
        <v>0</v>
      </c>
      <c r="N196" s="2">
        <f t="shared" si="41"/>
        <v>0</v>
      </c>
      <c r="O196" s="2">
        <f t="shared" si="42"/>
        <v>1</v>
      </c>
      <c r="P196" s="112">
        <f t="shared" si="43"/>
        <v>0</v>
      </c>
      <c r="Q196" s="112">
        <f t="shared" si="44"/>
        <v>0</v>
      </c>
      <c r="R196" s="53"/>
      <c r="S196" s="53" t="str">
        <f t="shared" si="45"/>
        <v>Base S1|Black Parallel - Season 1|95|Black</v>
      </c>
      <c r="T196" s="57" t="str">
        <f>IF($S196="","",IFERROR(VLOOKUP($S196,'Pop Estimates (Non-#d)'!$N$2:$O$500,2,FALSE),""))</f>
        <v/>
      </c>
      <c r="U196" s="57">
        <f t="shared" si="46"/>
        <v>25</v>
      </c>
      <c r="V196" s="53" t="str">
        <f t="shared" si="47"/>
        <v/>
      </c>
      <c r="W196" s="53" t="str">
        <f t="shared" si="48"/>
        <v/>
      </c>
      <c r="X196" s="53" t="str">
        <f t="shared" si="49"/>
        <v/>
      </c>
      <c r="Y196" s="57" t="str">
        <f>IF($X196="","",IFERROR(VLOOKUP($X196,'Char Popularity'!$A$2:$C$500,2,FALSE),""))</f>
        <v/>
      </c>
      <c r="Z196" s="56">
        <f>IF($X196="",1,IFERROR(VLOOKUP($X196,'Char Popularity'!$A$2:$C$500,3,FALSE),1))</f>
        <v>1</v>
      </c>
      <c r="AA196" s="62">
        <f>IF($H196&lt;&gt;"Y",0,(IF($F196&lt;&gt;"",ROUND(Dashboard!$R$4/$F196,1),IF(AND($I196="Base",$E196="Base"),Dashboard!$R$5,IF(AND($I196="Base",$E196="Red"),Dashboard!$R$6,IF(AND($I196="Base",$E196="Gold"),Dashboard!$R$7,VLOOKUP($I196,Dashboard!$Q$16:$R$21,2,FALSE)))))*VLOOKUP($I196,Dashboard!$Q$9:$R$13,2,FALSE)*IF(AND($I196="Auto",$F196="",OR($B196="Autographs Duals",$B196="Autographs Triples",$B196="Autographs Quads",$B196="Autographs Quads (Inscribed)")),IF($B196="Autographs Duals",2,IF($B196="Autographs Triples",3,4)),1)))</f>
        <v>40</v>
      </c>
      <c r="AB196" s="62">
        <f t="shared" si="50"/>
        <v>0</v>
      </c>
      <c r="AC196" s="62">
        <f t="shared" si="51"/>
        <v>0</v>
      </c>
    </row>
    <row r="197" spans="1:29" ht="28.7" customHeight="1" x14ac:dyDescent="0.25">
      <c r="A197" s="4" t="s">
        <v>17</v>
      </c>
      <c r="B197" s="7" t="s">
        <v>70</v>
      </c>
      <c r="C197" s="2" t="s">
        <v>1495</v>
      </c>
      <c r="D197" s="7" t="s">
        <v>1034</v>
      </c>
      <c r="E197" s="4" t="s">
        <v>780</v>
      </c>
      <c r="F197" s="2">
        <v>25</v>
      </c>
      <c r="G197" s="2" t="s">
        <v>1399</v>
      </c>
      <c r="H197" s="2" t="s">
        <v>1400</v>
      </c>
      <c r="I197" s="4" t="s">
        <v>60</v>
      </c>
      <c r="J197" s="112">
        <f>IF($H197&lt;&gt;"Y",0,ROUND(MIN(Dashboard!$R$24,IF(IFERROR(VLOOKUP($B197,Dashboard!$Q$28:$S$60,2,FALSE),0)&gt;0,IFERROR(VLOOKUP($B197,Dashboard!$Q$28:$S$60,2,FALSE),0),$Z197*IF($U197&lt;&gt;"",ROUND((Dashboard!$R$4/$U197)*VLOOKUP($I197,Dashboard!$Q$9:$R$13,2,FALSE)*IF(ISNUMBER(SEARCH("Duals",$B197)),2,IF(ISNUMBER(SEARCH("Triples",$B197)),3,IF(ISNUMBER(SEARCH("Quads",$B197)),4,1))),2),ROUND(VLOOKUP($I197,Dashboard!$Q$15:$R$20,2,FALSE)*IF($E197="Red",Dashboard!$R$6,IF($E197="Gold",Dashboard!$R$7,Dashboard!$R$5))*IF(ISNUMBER(SEARCH("Duals",$B197)),2,IF(ISNUMBER(SEARCH("Triples",$B197)),3,IF(ISNUMBER(SEARCH("Quads",$B197)),4,1))),2))*IF(IFERROR(VLOOKUP($B197,Dashboard!$Q$28:$S$60,3,FALSE),0)&gt;0,VLOOKUP($B197,Dashboard!$Q$28:$S$60,3,FALSE),1))),0))</f>
        <v>40</v>
      </c>
      <c r="K197" s="2" t="str">
        <f>IF('Base S1'!H97="","",'Base S1'!H97)</f>
        <v>C 24/25</v>
      </c>
      <c r="L197" s="2">
        <f t="shared" si="39"/>
        <v>1</v>
      </c>
      <c r="M197" s="2">
        <f t="shared" si="40"/>
        <v>0</v>
      </c>
      <c r="N197" s="2">
        <f t="shared" si="41"/>
        <v>1</v>
      </c>
      <c r="O197" s="2">
        <f t="shared" si="42"/>
        <v>0</v>
      </c>
      <c r="P197" s="112">
        <f t="shared" si="43"/>
        <v>40</v>
      </c>
      <c r="Q197" s="112">
        <f t="shared" si="44"/>
        <v>0</v>
      </c>
      <c r="R197" s="53"/>
      <c r="S197" s="53" t="str">
        <f t="shared" si="45"/>
        <v>Base S1|Black Parallel - Season 1|96|Black</v>
      </c>
      <c r="T197" s="57" t="str">
        <f>IF($S197="","",IFERROR(VLOOKUP($S197,'Pop Estimates (Non-#d)'!$N$2:$O$500,2,FALSE),""))</f>
        <v/>
      </c>
      <c r="U197" s="57">
        <f t="shared" si="46"/>
        <v>25</v>
      </c>
      <c r="V197" s="53" t="str">
        <f t="shared" si="47"/>
        <v/>
      </c>
      <c r="W197" s="53" t="str">
        <f t="shared" si="48"/>
        <v/>
      </c>
      <c r="X197" s="53" t="str">
        <f t="shared" si="49"/>
        <v/>
      </c>
      <c r="Y197" s="57" t="str">
        <f>IF($X197="","",IFERROR(VLOOKUP($X197,'Char Popularity'!$A$2:$C$500,2,FALSE),""))</f>
        <v/>
      </c>
      <c r="Z197" s="56">
        <f>IF($X197="",1,IFERROR(VLOOKUP($X197,'Char Popularity'!$A$2:$C$500,3,FALSE),1))</f>
        <v>1</v>
      </c>
      <c r="AA197" s="62">
        <f>IF($H197&lt;&gt;"Y",0,(IF($F197&lt;&gt;"",ROUND(Dashboard!$R$4/$F197,1),IF(AND($I197="Base",$E197="Base"),Dashboard!$R$5,IF(AND($I197="Base",$E197="Red"),Dashboard!$R$6,IF(AND($I197="Base",$E197="Gold"),Dashboard!$R$7,VLOOKUP($I197,Dashboard!$Q$16:$R$21,2,FALSE)))))*VLOOKUP($I197,Dashboard!$Q$9:$R$13,2,FALSE)*IF(AND($I197="Auto",$F197="",OR($B197="Autographs Duals",$B197="Autographs Triples",$B197="Autographs Quads",$B197="Autographs Quads (Inscribed)")),IF($B197="Autographs Duals",2,IF($B197="Autographs Triples",3,4)),1)))</f>
        <v>40</v>
      </c>
      <c r="AB197" s="62">
        <f t="shared" si="50"/>
        <v>40</v>
      </c>
      <c r="AC197" s="62">
        <f t="shared" si="51"/>
        <v>0</v>
      </c>
    </row>
    <row r="198" spans="1:29" ht="28.7" customHeight="1" x14ac:dyDescent="0.25">
      <c r="A198" s="4" t="s">
        <v>17</v>
      </c>
      <c r="B198" s="7" t="s">
        <v>70</v>
      </c>
      <c r="C198" s="2" t="s">
        <v>1496</v>
      </c>
      <c r="D198" s="7" t="s">
        <v>1036</v>
      </c>
      <c r="E198" s="4" t="s">
        <v>780</v>
      </c>
      <c r="F198" s="2">
        <v>25</v>
      </c>
      <c r="G198" s="2" t="s">
        <v>1399</v>
      </c>
      <c r="H198" s="2" t="s">
        <v>1400</v>
      </c>
      <c r="I198" s="4" t="s">
        <v>60</v>
      </c>
      <c r="J198" s="112">
        <f>IF($H198&lt;&gt;"Y",0,ROUND(MIN(Dashboard!$R$24,IF(IFERROR(VLOOKUP($B198,Dashboard!$Q$28:$S$60,2,FALSE),0)&gt;0,IFERROR(VLOOKUP($B198,Dashboard!$Q$28:$S$60,2,FALSE),0),$Z198*IF($U198&lt;&gt;"",ROUND((Dashboard!$R$4/$U198)*VLOOKUP($I198,Dashboard!$Q$9:$R$13,2,FALSE)*IF(ISNUMBER(SEARCH("Duals",$B198)),2,IF(ISNUMBER(SEARCH("Triples",$B198)),3,IF(ISNUMBER(SEARCH("Quads",$B198)),4,1))),2),ROUND(VLOOKUP($I198,Dashboard!$Q$15:$R$20,2,FALSE)*IF($E198="Red",Dashboard!$R$6,IF($E198="Gold",Dashboard!$R$7,Dashboard!$R$5))*IF(ISNUMBER(SEARCH("Duals",$B198)),2,IF(ISNUMBER(SEARCH("Triples",$B198)),3,IF(ISNUMBER(SEARCH("Quads",$B198)),4,1))),2))*IF(IFERROR(VLOOKUP($B198,Dashboard!$Q$28:$S$60,3,FALSE),0)&gt;0,VLOOKUP($B198,Dashboard!$Q$28:$S$60,3,FALSE),1))),0))</f>
        <v>40</v>
      </c>
      <c r="K198" s="2" t="str">
        <f>IF('Base S1'!H98="","",'Base S1'!H98)</f>
        <v>C</v>
      </c>
      <c r="L198" s="2">
        <f t="shared" si="39"/>
        <v>1</v>
      </c>
      <c r="M198" s="2">
        <f t="shared" si="40"/>
        <v>0</v>
      </c>
      <c r="N198" s="2">
        <f t="shared" si="41"/>
        <v>1</v>
      </c>
      <c r="O198" s="2">
        <f t="shared" si="42"/>
        <v>0</v>
      </c>
      <c r="P198" s="112">
        <f t="shared" si="43"/>
        <v>40</v>
      </c>
      <c r="Q198" s="112">
        <f t="shared" si="44"/>
        <v>0</v>
      </c>
      <c r="R198" s="53"/>
      <c r="S198" s="53" t="str">
        <f t="shared" si="45"/>
        <v>Base S1|Black Parallel - Season 1|97|Black</v>
      </c>
      <c r="T198" s="57" t="str">
        <f>IF($S198="","",IFERROR(VLOOKUP($S198,'Pop Estimates (Non-#d)'!$N$2:$O$500,2,FALSE),""))</f>
        <v/>
      </c>
      <c r="U198" s="57">
        <f t="shared" si="46"/>
        <v>25</v>
      </c>
      <c r="V198" s="53" t="str">
        <f t="shared" si="47"/>
        <v/>
      </c>
      <c r="W198" s="53" t="str">
        <f t="shared" si="48"/>
        <v/>
      </c>
      <c r="X198" s="53" t="str">
        <f t="shared" si="49"/>
        <v/>
      </c>
      <c r="Y198" s="57" t="str">
        <f>IF($X198="","",IFERROR(VLOOKUP($X198,'Char Popularity'!$A$2:$C$500,2,FALSE),""))</f>
        <v/>
      </c>
      <c r="Z198" s="56">
        <f>IF($X198="",1,IFERROR(VLOOKUP($X198,'Char Popularity'!$A$2:$C$500,3,FALSE),1))</f>
        <v>1</v>
      </c>
      <c r="AA198" s="62">
        <f>IF($H198&lt;&gt;"Y",0,(IF($F198&lt;&gt;"",ROUND(Dashboard!$R$4/$F198,1),IF(AND($I198="Base",$E198="Base"),Dashboard!$R$5,IF(AND($I198="Base",$E198="Red"),Dashboard!$R$6,IF(AND($I198="Base",$E198="Gold"),Dashboard!$R$7,VLOOKUP($I198,Dashboard!$Q$16:$R$21,2,FALSE)))))*VLOOKUP($I198,Dashboard!$Q$9:$R$13,2,FALSE)*IF(AND($I198="Auto",$F198="",OR($B198="Autographs Duals",$B198="Autographs Triples",$B198="Autographs Quads",$B198="Autographs Quads (Inscribed)")),IF($B198="Autographs Duals",2,IF($B198="Autographs Triples",3,4)),1)))</f>
        <v>40</v>
      </c>
      <c r="AB198" s="62">
        <f t="shared" si="50"/>
        <v>40</v>
      </c>
      <c r="AC198" s="62">
        <f t="shared" si="51"/>
        <v>0</v>
      </c>
    </row>
    <row r="199" spans="1:29" ht="28.7" customHeight="1" x14ac:dyDescent="0.25">
      <c r="A199" s="4" t="s">
        <v>17</v>
      </c>
      <c r="B199" s="7" t="s">
        <v>70</v>
      </c>
      <c r="C199" s="2" t="s">
        <v>1497</v>
      </c>
      <c r="D199" s="7" t="s">
        <v>1037</v>
      </c>
      <c r="E199" s="4" t="s">
        <v>780</v>
      </c>
      <c r="F199" s="2">
        <v>25</v>
      </c>
      <c r="G199" s="2" t="s">
        <v>1399</v>
      </c>
      <c r="H199" s="2" t="s">
        <v>1400</v>
      </c>
      <c r="I199" s="4" t="s">
        <v>60</v>
      </c>
      <c r="J199" s="112">
        <f>IF($H199&lt;&gt;"Y",0,ROUND(MIN(Dashboard!$R$24,IF(IFERROR(VLOOKUP($B199,Dashboard!$Q$28:$S$60,2,FALSE),0)&gt;0,IFERROR(VLOOKUP($B199,Dashboard!$Q$28:$S$60,2,FALSE),0),$Z199*IF($U199&lt;&gt;"",ROUND((Dashboard!$R$4/$U199)*VLOOKUP($I199,Dashboard!$Q$9:$R$13,2,FALSE)*IF(ISNUMBER(SEARCH("Duals",$B199)),2,IF(ISNUMBER(SEARCH("Triples",$B199)),3,IF(ISNUMBER(SEARCH("Quads",$B199)),4,1))),2),ROUND(VLOOKUP($I199,Dashboard!$Q$15:$R$20,2,FALSE)*IF($E199="Red",Dashboard!$R$6,IF($E199="Gold",Dashboard!$R$7,Dashboard!$R$5))*IF(ISNUMBER(SEARCH("Duals",$B199)),2,IF(ISNUMBER(SEARCH("Triples",$B199)),3,IF(ISNUMBER(SEARCH("Quads",$B199)),4,1))),2))*IF(IFERROR(VLOOKUP($B199,Dashboard!$Q$28:$S$60,3,FALSE),0)&gt;0,VLOOKUP($B199,Dashboard!$Q$28:$S$60,3,FALSE),1))),0))</f>
        <v>40</v>
      </c>
      <c r="K199" s="2" t="str">
        <f>IF('Base S1'!H99="","",'Base S1'!H99)</f>
        <v>C 13/25</v>
      </c>
      <c r="L199" s="2">
        <f t="shared" si="39"/>
        <v>1</v>
      </c>
      <c r="M199" s="2">
        <f t="shared" si="40"/>
        <v>0</v>
      </c>
      <c r="N199" s="2">
        <f t="shared" si="41"/>
        <v>1</v>
      </c>
      <c r="O199" s="2">
        <f t="shared" si="42"/>
        <v>0</v>
      </c>
      <c r="P199" s="112">
        <f t="shared" si="43"/>
        <v>40</v>
      </c>
      <c r="Q199" s="112">
        <f t="shared" si="44"/>
        <v>0</v>
      </c>
      <c r="R199" s="53"/>
      <c r="S199" s="53" t="str">
        <f t="shared" si="45"/>
        <v>Base S1|Black Parallel - Season 1|98|Black</v>
      </c>
      <c r="T199" s="57" t="str">
        <f>IF($S199="","",IFERROR(VLOOKUP($S199,'Pop Estimates (Non-#d)'!$N$2:$O$500,2,FALSE),""))</f>
        <v/>
      </c>
      <c r="U199" s="57">
        <f t="shared" si="46"/>
        <v>25</v>
      </c>
      <c r="V199" s="53" t="str">
        <f t="shared" si="47"/>
        <v/>
      </c>
      <c r="W199" s="53" t="str">
        <f t="shared" si="48"/>
        <v/>
      </c>
      <c r="X199" s="53" t="str">
        <f t="shared" si="49"/>
        <v/>
      </c>
      <c r="Y199" s="57" t="str">
        <f>IF($X199="","",IFERROR(VLOOKUP($X199,'Char Popularity'!$A$2:$C$500,2,FALSE),""))</f>
        <v/>
      </c>
      <c r="Z199" s="56">
        <f>IF($X199="",1,IFERROR(VLOOKUP($X199,'Char Popularity'!$A$2:$C$500,3,FALSE),1))</f>
        <v>1</v>
      </c>
      <c r="AA199" s="62">
        <f>IF($H199&lt;&gt;"Y",0,(IF($F199&lt;&gt;"",ROUND(Dashboard!$R$4/$F199,1),IF(AND($I199="Base",$E199="Base"),Dashboard!$R$5,IF(AND($I199="Base",$E199="Red"),Dashboard!$R$6,IF(AND($I199="Base",$E199="Gold"),Dashboard!$R$7,VLOOKUP($I199,Dashboard!$Q$16:$R$21,2,FALSE)))))*VLOOKUP($I199,Dashboard!$Q$9:$R$13,2,FALSE)*IF(AND($I199="Auto",$F199="",OR($B199="Autographs Duals",$B199="Autographs Triples",$B199="Autographs Quads",$B199="Autographs Quads (Inscribed)")),IF($B199="Autographs Duals",2,IF($B199="Autographs Triples",3,4)),1)))</f>
        <v>40</v>
      </c>
      <c r="AB199" s="62">
        <f t="shared" si="50"/>
        <v>40</v>
      </c>
      <c r="AC199" s="62">
        <f t="shared" si="51"/>
        <v>0</v>
      </c>
    </row>
    <row r="200" spans="1:29" ht="28.7" customHeight="1" x14ac:dyDescent="0.25">
      <c r="A200" s="4" t="s">
        <v>17</v>
      </c>
      <c r="B200" s="7" t="s">
        <v>70</v>
      </c>
      <c r="C200" s="2" t="s">
        <v>1498</v>
      </c>
      <c r="D200" s="7" t="s">
        <v>1039</v>
      </c>
      <c r="E200" s="4" t="s">
        <v>780</v>
      </c>
      <c r="F200" s="2">
        <v>25</v>
      </c>
      <c r="G200" s="2" t="s">
        <v>1399</v>
      </c>
      <c r="H200" s="2" t="s">
        <v>1400</v>
      </c>
      <c r="I200" s="4" t="s">
        <v>60</v>
      </c>
      <c r="J200" s="112">
        <f>IF($H200&lt;&gt;"Y",0,ROUND(MIN(Dashboard!$R$24,IF(IFERROR(VLOOKUP($B200,Dashboard!$Q$28:$S$60,2,FALSE),0)&gt;0,IFERROR(VLOOKUP($B200,Dashboard!$Q$28:$S$60,2,FALSE),0),$Z200*IF($U200&lt;&gt;"",ROUND((Dashboard!$R$4/$U200)*VLOOKUP($I200,Dashboard!$Q$9:$R$13,2,FALSE)*IF(ISNUMBER(SEARCH("Duals",$B200)),2,IF(ISNUMBER(SEARCH("Triples",$B200)),3,IF(ISNUMBER(SEARCH("Quads",$B200)),4,1))),2),ROUND(VLOOKUP($I200,Dashboard!$Q$15:$R$20,2,FALSE)*IF($E200="Red",Dashboard!$R$6,IF($E200="Gold",Dashboard!$R$7,Dashboard!$R$5))*IF(ISNUMBER(SEARCH("Duals",$B200)),2,IF(ISNUMBER(SEARCH("Triples",$B200)),3,IF(ISNUMBER(SEARCH("Quads",$B200)),4,1))),2))*IF(IFERROR(VLOOKUP($B200,Dashboard!$Q$28:$S$60,3,FALSE),0)&gt;0,VLOOKUP($B200,Dashboard!$Q$28:$S$60,3,FALSE),1))),0))</f>
        <v>40</v>
      </c>
      <c r="K200" s="2" t="str">
        <f>IF('Base S1'!H100="","",'Base S1'!H100)</f>
        <v>C 11/25</v>
      </c>
      <c r="L200" s="2">
        <f t="shared" si="39"/>
        <v>1</v>
      </c>
      <c r="M200" s="2">
        <f t="shared" si="40"/>
        <v>0</v>
      </c>
      <c r="N200" s="2">
        <f t="shared" si="41"/>
        <v>1</v>
      </c>
      <c r="O200" s="2">
        <f t="shared" si="42"/>
        <v>0</v>
      </c>
      <c r="P200" s="112">
        <f t="shared" si="43"/>
        <v>40</v>
      </c>
      <c r="Q200" s="112">
        <f t="shared" si="44"/>
        <v>0</v>
      </c>
      <c r="R200" s="53"/>
      <c r="S200" s="53" t="str">
        <f t="shared" si="45"/>
        <v>Base S1|Black Parallel - Season 1|99|Black</v>
      </c>
      <c r="T200" s="57" t="str">
        <f>IF($S200="","",IFERROR(VLOOKUP($S200,'Pop Estimates (Non-#d)'!$N$2:$O$500,2,FALSE),""))</f>
        <v/>
      </c>
      <c r="U200" s="57">
        <f t="shared" si="46"/>
        <v>25</v>
      </c>
      <c r="V200" s="53" t="str">
        <f t="shared" si="47"/>
        <v/>
      </c>
      <c r="W200" s="53" t="str">
        <f t="shared" si="48"/>
        <v/>
      </c>
      <c r="X200" s="53" t="str">
        <f t="shared" si="49"/>
        <v/>
      </c>
      <c r="Y200" s="57" t="str">
        <f>IF($X200="","",IFERROR(VLOOKUP($X200,'Char Popularity'!$A$2:$C$500,2,FALSE),""))</f>
        <v/>
      </c>
      <c r="Z200" s="56">
        <f>IF($X200="",1,IFERROR(VLOOKUP($X200,'Char Popularity'!$A$2:$C$500,3,FALSE),1))</f>
        <v>1</v>
      </c>
      <c r="AA200" s="62">
        <f>IF($H200&lt;&gt;"Y",0,(IF($F200&lt;&gt;"",ROUND(Dashboard!$R$4/$F200,1),IF(AND($I200="Base",$E200="Base"),Dashboard!$R$5,IF(AND($I200="Base",$E200="Red"),Dashboard!$R$6,IF(AND($I200="Base",$E200="Gold"),Dashboard!$R$7,VLOOKUP($I200,Dashboard!$Q$16:$R$21,2,FALSE)))))*VLOOKUP($I200,Dashboard!$Q$9:$R$13,2,FALSE)*IF(AND($I200="Auto",$F200="",OR($B200="Autographs Duals",$B200="Autographs Triples",$B200="Autographs Quads",$B200="Autographs Quads (Inscribed)")),IF($B200="Autographs Duals",2,IF($B200="Autographs Triples",3,4)),1)))</f>
        <v>40</v>
      </c>
      <c r="AB200" s="62">
        <f t="shared" si="50"/>
        <v>40</v>
      </c>
      <c r="AC200" s="62">
        <f t="shared" si="51"/>
        <v>0</v>
      </c>
    </row>
    <row r="201" spans="1:29" ht="28.7" customHeight="1" x14ac:dyDescent="0.25">
      <c r="A201" s="4" t="s">
        <v>17</v>
      </c>
      <c r="B201" s="7" t="s">
        <v>70</v>
      </c>
      <c r="C201" s="2" t="s">
        <v>1499</v>
      </c>
      <c r="D201" s="7" t="s">
        <v>1041</v>
      </c>
      <c r="E201" s="4" t="s">
        <v>780</v>
      </c>
      <c r="F201" s="2">
        <v>25</v>
      </c>
      <c r="G201" s="2" t="s">
        <v>1399</v>
      </c>
      <c r="H201" s="2" t="s">
        <v>1400</v>
      </c>
      <c r="I201" s="4" t="s">
        <v>60</v>
      </c>
      <c r="J201" s="112">
        <f>IF($H201&lt;&gt;"Y",0,ROUND(MIN(Dashboard!$R$24,IF(IFERROR(VLOOKUP($B201,Dashboard!$Q$28:$S$60,2,FALSE),0)&gt;0,IFERROR(VLOOKUP($B201,Dashboard!$Q$28:$S$60,2,FALSE),0),$Z201*IF($U201&lt;&gt;"",ROUND((Dashboard!$R$4/$U201)*VLOOKUP($I201,Dashboard!$Q$9:$R$13,2,FALSE)*IF(ISNUMBER(SEARCH("Duals",$B201)),2,IF(ISNUMBER(SEARCH("Triples",$B201)),3,IF(ISNUMBER(SEARCH("Quads",$B201)),4,1))),2),ROUND(VLOOKUP($I201,Dashboard!$Q$15:$R$20,2,FALSE)*IF($E201="Red",Dashboard!$R$6,IF($E201="Gold",Dashboard!$R$7,Dashboard!$R$5))*IF(ISNUMBER(SEARCH("Duals",$B201)),2,IF(ISNUMBER(SEARCH("Triples",$B201)),3,IF(ISNUMBER(SEARCH("Quads",$B201)),4,1))),2))*IF(IFERROR(VLOOKUP($B201,Dashboard!$Q$28:$S$60,3,FALSE),0)&gt;0,VLOOKUP($B201,Dashboard!$Q$28:$S$60,3,FALSE),1))),0))</f>
        <v>40</v>
      </c>
      <c r="K201" s="2" t="str">
        <f>IF('Base S1'!H101="","",'Base S1'!H101)</f>
        <v>C 11/25</v>
      </c>
      <c r="L201" s="2">
        <f t="shared" si="39"/>
        <v>1</v>
      </c>
      <c r="M201" s="2">
        <f t="shared" si="40"/>
        <v>0</v>
      </c>
      <c r="N201" s="2">
        <f t="shared" si="41"/>
        <v>1</v>
      </c>
      <c r="O201" s="2">
        <f t="shared" si="42"/>
        <v>0</v>
      </c>
      <c r="P201" s="112">
        <f t="shared" si="43"/>
        <v>40</v>
      </c>
      <c r="Q201" s="112">
        <f t="shared" si="44"/>
        <v>0</v>
      </c>
      <c r="R201" s="53"/>
      <c r="S201" s="53" t="str">
        <f t="shared" si="45"/>
        <v>Base S1|Black Parallel - Season 1|100|Black</v>
      </c>
      <c r="T201" s="57" t="str">
        <f>IF($S201="","",IFERROR(VLOOKUP($S201,'Pop Estimates (Non-#d)'!$N$2:$O$500,2,FALSE),""))</f>
        <v/>
      </c>
      <c r="U201" s="57">
        <f t="shared" si="46"/>
        <v>25</v>
      </c>
      <c r="V201" s="53" t="str">
        <f t="shared" si="47"/>
        <v/>
      </c>
      <c r="W201" s="53" t="str">
        <f t="shared" si="48"/>
        <v/>
      </c>
      <c r="X201" s="53" t="str">
        <f t="shared" si="49"/>
        <v/>
      </c>
      <c r="Y201" s="57" t="str">
        <f>IF($X201="","",IFERROR(VLOOKUP($X201,'Char Popularity'!$A$2:$C$500,2,FALSE),""))</f>
        <v/>
      </c>
      <c r="Z201" s="56">
        <f>IF($X201="",1,IFERROR(VLOOKUP($X201,'Char Popularity'!$A$2:$C$500,3,FALSE),1))</f>
        <v>1</v>
      </c>
      <c r="AA201" s="62">
        <f>IF($H201&lt;&gt;"Y",0,(IF($F201&lt;&gt;"",ROUND(Dashboard!$R$4/$F201,1),IF(AND($I201="Base",$E201="Base"),Dashboard!$R$5,IF(AND($I201="Base",$E201="Red"),Dashboard!$R$6,IF(AND($I201="Base",$E201="Gold"),Dashboard!$R$7,VLOOKUP($I201,Dashboard!$Q$16:$R$21,2,FALSE)))))*VLOOKUP($I201,Dashboard!$Q$9:$R$13,2,FALSE)*IF(AND($I201="Auto",$F201="",OR($B201="Autographs Duals",$B201="Autographs Triples",$B201="Autographs Quads",$B201="Autographs Quads (Inscribed)")),IF($B201="Autographs Duals",2,IF($B201="Autographs Triples",3,4)),1)))</f>
        <v>40</v>
      </c>
      <c r="AB201" s="62">
        <f t="shared" si="50"/>
        <v>40</v>
      </c>
      <c r="AC201" s="62">
        <f t="shared" si="51"/>
        <v>0</v>
      </c>
    </row>
    <row r="202" spans="1:29" ht="42.95" customHeight="1" x14ac:dyDescent="0.25">
      <c r="A202" s="4" t="s">
        <v>17</v>
      </c>
      <c r="B202" s="7" t="s">
        <v>65</v>
      </c>
      <c r="C202" s="2" t="s">
        <v>1398</v>
      </c>
      <c r="D202" s="7" t="s">
        <v>830</v>
      </c>
      <c r="E202" s="4" t="s">
        <v>778</v>
      </c>
      <c r="F202" s="2">
        <v>399</v>
      </c>
      <c r="G202" s="2" t="s">
        <v>1399</v>
      </c>
      <c r="H202" s="2" t="s">
        <v>1400</v>
      </c>
      <c r="I202" s="4" t="s">
        <v>60</v>
      </c>
      <c r="J202" s="112">
        <f>IF($H202&lt;&gt;"Y",0,ROUND(MIN(Dashboard!$R$24,IF(IFERROR(VLOOKUP($B202,Dashboard!$Q$28:$S$60,2,FALSE),0)&gt;0,IFERROR(VLOOKUP($B202,Dashboard!$Q$28:$S$60,2,FALSE),0),$Z202*IF($U202&lt;&gt;"",ROUND((Dashboard!$R$4/$U202)*VLOOKUP($I202,Dashboard!$Q$9:$R$13,2,FALSE)*IF(ISNUMBER(SEARCH("Duals",$B202)),2,IF(ISNUMBER(SEARCH("Triples",$B202)),3,IF(ISNUMBER(SEARCH("Quads",$B202)),4,1))),2),ROUND(VLOOKUP($I202,Dashboard!$Q$15:$R$20,2,FALSE)*IF($E202="Red",Dashboard!$R$6,IF($E202="Gold",Dashboard!$R$7,Dashboard!$R$5))*IF(ISNUMBER(SEARCH("Duals",$B202)),2,IF(ISNUMBER(SEARCH("Triples",$B202)),3,IF(ISNUMBER(SEARCH("Quads",$B202)),4,1))),2))*IF(IFERROR(VLOOKUP($B202,Dashboard!$Q$28:$S$60,3,FALSE),0)&gt;0,VLOOKUP($B202,Dashboard!$Q$28:$S$60,3,FALSE),1))),0))</f>
        <v>3</v>
      </c>
      <c r="K202" s="2" t="str">
        <f>IF('Base S1'!F2="","",'Base S1'!F2)</f>
        <v>C</v>
      </c>
      <c r="L202" s="2">
        <f t="shared" si="39"/>
        <v>1</v>
      </c>
      <c r="M202" s="2">
        <f t="shared" si="40"/>
        <v>0</v>
      </c>
      <c r="N202" s="2">
        <f t="shared" si="41"/>
        <v>1</v>
      </c>
      <c r="O202" s="2">
        <f t="shared" si="42"/>
        <v>0</v>
      </c>
      <c r="P202" s="112">
        <f t="shared" si="43"/>
        <v>3</v>
      </c>
      <c r="Q202" s="112">
        <f t="shared" si="44"/>
        <v>0</v>
      </c>
      <c r="R202" s="53"/>
      <c r="S202" s="53" t="str">
        <f t="shared" si="45"/>
        <v>Base S1|Compound V Parallel - Season 1|1|Compound V</v>
      </c>
      <c r="T202" s="57" t="str">
        <f>IF($S202="","",IFERROR(VLOOKUP($S202,'Pop Estimates (Non-#d)'!$N$2:$O$500,2,FALSE),""))</f>
        <v/>
      </c>
      <c r="U202" s="57">
        <f t="shared" si="46"/>
        <v>399</v>
      </c>
      <c r="V202" s="53" t="str">
        <f t="shared" si="47"/>
        <v/>
      </c>
      <c r="W202" s="53" t="str">
        <f t="shared" si="48"/>
        <v/>
      </c>
      <c r="X202" s="53" t="str">
        <f t="shared" si="49"/>
        <v/>
      </c>
      <c r="Y202" s="57" t="str">
        <f>IF($X202="","",IFERROR(VLOOKUP($X202,'Char Popularity'!$A$2:$C$500,2,FALSE),""))</f>
        <v/>
      </c>
      <c r="Z202" s="56">
        <f>IF($X202="",1,IFERROR(VLOOKUP($X202,'Char Popularity'!$A$2:$C$500,3,FALSE),1))</f>
        <v>1</v>
      </c>
      <c r="AA202" s="62">
        <f>IF($H202&lt;&gt;"Y",0,(IF($F202&lt;&gt;"",ROUND(Dashboard!$R$4/$F202,1),IF(AND($I202="Base",$E202="Base"),Dashboard!$R$5,IF(AND($I202="Base",$E202="Red"),Dashboard!$R$6,IF(AND($I202="Base",$E202="Gold"),Dashboard!$R$7,VLOOKUP($I202,Dashboard!$Q$16:$R$21,2,FALSE)))))*VLOOKUP($I202,Dashboard!$Q$9:$R$13,2,FALSE)*IF(AND($I202="Auto",$F202="",OR($B202="Autographs Duals",$B202="Autographs Triples",$B202="Autographs Quads",$B202="Autographs Quads (Inscribed)")),IF($B202="Autographs Duals",2,IF($B202="Autographs Triples",3,4)),1)))</f>
        <v>2.5</v>
      </c>
      <c r="AB202" s="62">
        <f t="shared" si="50"/>
        <v>2.5</v>
      </c>
      <c r="AC202" s="62">
        <f t="shared" si="51"/>
        <v>0</v>
      </c>
    </row>
    <row r="203" spans="1:29" ht="42.95" customHeight="1" x14ac:dyDescent="0.25">
      <c r="A203" s="4" t="s">
        <v>17</v>
      </c>
      <c r="B203" s="7" t="s">
        <v>65</v>
      </c>
      <c r="C203" s="2" t="s">
        <v>1401</v>
      </c>
      <c r="D203" s="7" t="s">
        <v>834</v>
      </c>
      <c r="E203" s="4" t="s">
        <v>778</v>
      </c>
      <c r="F203" s="2">
        <v>399</v>
      </c>
      <c r="G203" s="2" t="s">
        <v>1399</v>
      </c>
      <c r="H203" s="2" t="s">
        <v>1400</v>
      </c>
      <c r="I203" s="4" t="s">
        <v>60</v>
      </c>
      <c r="J203" s="112">
        <f>IF($H203&lt;&gt;"Y",0,ROUND(MIN(Dashboard!$R$24,IF(IFERROR(VLOOKUP($B203,Dashboard!$Q$28:$S$60,2,FALSE),0)&gt;0,IFERROR(VLOOKUP($B203,Dashboard!$Q$28:$S$60,2,FALSE),0),$Z203*IF($U203&lt;&gt;"",ROUND((Dashboard!$R$4/$U203)*VLOOKUP($I203,Dashboard!$Q$9:$R$13,2,FALSE)*IF(ISNUMBER(SEARCH("Duals",$B203)),2,IF(ISNUMBER(SEARCH("Triples",$B203)),3,IF(ISNUMBER(SEARCH("Quads",$B203)),4,1))),2),ROUND(VLOOKUP($I203,Dashboard!$Q$15:$R$20,2,FALSE)*IF($E203="Red",Dashboard!$R$6,IF($E203="Gold",Dashboard!$R$7,Dashboard!$R$5))*IF(ISNUMBER(SEARCH("Duals",$B203)),2,IF(ISNUMBER(SEARCH("Triples",$B203)),3,IF(ISNUMBER(SEARCH("Quads",$B203)),4,1))),2))*IF(IFERROR(VLOOKUP($B203,Dashboard!$Q$28:$S$60,3,FALSE),0)&gt;0,VLOOKUP($B203,Dashboard!$Q$28:$S$60,3,FALSE),1))),0))</f>
        <v>3</v>
      </c>
      <c r="K203" s="2" t="str">
        <f>IF('Base S1'!F3="","",'Base S1'!F3)</f>
        <v>V</v>
      </c>
      <c r="L203" s="2">
        <f t="shared" si="39"/>
        <v>1</v>
      </c>
      <c r="M203" s="2">
        <f t="shared" si="40"/>
        <v>0</v>
      </c>
      <c r="N203" s="2">
        <f t="shared" si="41"/>
        <v>1</v>
      </c>
      <c r="O203" s="2">
        <f t="shared" si="42"/>
        <v>0</v>
      </c>
      <c r="P203" s="112">
        <f t="shared" si="43"/>
        <v>3</v>
      </c>
      <c r="Q203" s="112">
        <f t="shared" si="44"/>
        <v>0</v>
      </c>
      <c r="R203" s="53"/>
      <c r="S203" s="53" t="str">
        <f t="shared" si="45"/>
        <v>Base S1|Compound V Parallel - Season 1|2|Compound V</v>
      </c>
      <c r="T203" s="57" t="str">
        <f>IF($S203="","",IFERROR(VLOOKUP($S203,'Pop Estimates (Non-#d)'!$N$2:$O$500,2,FALSE),""))</f>
        <v/>
      </c>
      <c r="U203" s="57">
        <f t="shared" si="46"/>
        <v>399</v>
      </c>
      <c r="V203" s="53" t="str">
        <f t="shared" si="47"/>
        <v/>
      </c>
      <c r="W203" s="53" t="str">
        <f t="shared" si="48"/>
        <v/>
      </c>
      <c r="X203" s="53" t="str">
        <f t="shared" si="49"/>
        <v/>
      </c>
      <c r="Y203" s="57" t="str">
        <f>IF($X203="","",IFERROR(VLOOKUP($X203,'Char Popularity'!$A$2:$C$500,2,FALSE),""))</f>
        <v/>
      </c>
      <c r="Z203" s="56">
        <f>IF($X203="",1,IFERROR(VLOOKUP($X203,'Char Popularity'!$A$2:$C$500,3,FALSE),1))</f>
        <v>1</v>
      </c>
      <c r="AA203" s="62">
        <f>IF($H203&lt;&gt;"Y",0,(IF($F203&lt;&gt;"",ROUND(Dashboard!$R$4/$F203,1),IF(AND($I203="Base",$E203="Base"),Dashboard!$R$5,IF(AND($I203="Base",$E203="Red"),Dashboard!$R$6,IF(AND($I203="Base",$E203="Gold"),Dashboard!$R$7,VLOOKUP($I203,Dashboard!$Q$16:$R$21,2,FALSE)))))*VLOOKUP($I203,Dashboard!$Q$9:$R$13,2,FALSE)*IF(AND($I203="Auto",$F203="",OR($B203="Autographs Duals",$B203="Autographs Triples",$B203="Autographs Quads",$B203="Autographs Quads (Inscribed)")),IF($B203="Autographs Duals",2,IF($B203="Autographs Triples",3,4)),1)))</f>
        <v>2.5</v>
      </c>
      <c r="AB203" s="62">
        <f t="shared" si="50"/>
        <v>2.5</v>
      </c>
      <c r="AC203" s="62">
        <f t="shared" si="51"/>
        <v>0</v>
      </c>
    </row>
    <row r="204" spans="1:29" ht="42.95" customHeight="1" x14ac:dyDescent="0.25">
      <c r="A204" s="4" t="s">
        <v>17</v>
      </c>
      <c r="B204" s="7" t="s">
        <v>65</v>
      </c>
      <c r="C204" s="2" t="s">
        <v>1402</v>
      </c>
      <c r="D204" s="7" t="s">
        <v>837</v>
      </c>
      <c r="E204" s="4" t="s">
        <v>778</v>
      </c>
      <c r="F204" s="2">
        <v>399</v>
      </c>
      <c r="G204" s="2" t="s">
        <v>1399</v>
      </c>
      <c r="H204" s="2" t="s">
        <v>1400</v>
      </c>
      <c r="I204" s="4" t="s">
        <v>60</v>
      </c>
      <c r="J204" s="112">
        <f>IF($H204&lt;&gt;"Y",0,ROUND(MIN(Dashboard!$R$24,IF(IFERROR(VLOOKUP($B204,Dashboard!$Q$28:$S$60,2,FALSE),0)&gt;0,IFERROR(VLOOKUP($B204,Dashboard!$Q$28:$S$60,2,FALSE),0),$Z204*IF($U204&lt;&gt;"",ROUND((Dashboard!$R$4/$U204)*VLOOKUP($I204,Dashboard!$Q$9:$R$13,2,FALSE)*IF(ISNUMBER(SEARCH("Duals",$B204)),2,IF(ISNUMBER(SEARCH("Triples",$B204)),3,IF(ISNUMBER(SEARCH("Quads",$B204)),4,1))),2),ROUND(VLOOKUP($I204,Dashboard!$Q$15:$R$20,2,FALSE)*IF($E204="Red",Dashboard!$R$6,IF($E204="Gold",Dashboard!$R$7,Dashboard!$R$5))*IF(ISNUMBER(SEARCH("Duals",$B204)),2,IF(ISNUMBER(SEARCH("Triples",$B204)),3,IF(ISNUMBER(SEARCH("Quads",$B204)),4,1))),2))*IF(IFERROR(VLOOKUP($B204,Dashboard!$Q$28:$S$60,3,FALSE),0)&gt;0,VLOOKUP($B204,Dashboard!$Q$28:$S$60,3,FALSE),1))),0))</f>
        <v>3</v>
      </c>
      <c r="K204" s="2" t="str">
        <f>IF('Base S1'!F4="","",'Base S1'!F4)</f>
        <v>C</v>
      </c>
      <c r="L204" s="2">
        <f t="shared" si="39"/>
        <v>1</v>
      </c>
      <c r="M204" s="2">
        <f t="shared" si="40"/>
        <v>0</v>
      </c>
      <c r="N204" s="2">
        <f t="shared" si="41"/>
        <v>1</v>
      </c>
      <c r="O204" s="2">
        <f t="shared" si="42"/>
        <v>0</v>
      </c>
      <c r="P204" s="112">
        <f t="shared" si="43"/>
        <v>3</v>
      </c>
      <c r="Q204" s="112">
        <f t="shared" si="44"/>
        <v>0</v>
      </c>
      <c r="R204" s="53"/>
      <c r="S204" s="53" t="str">
        <f t="shared" si="45"/>
        <v>Base S1|Compound V Parallel - Season 1|3|Compound V</v>
      </c>
      <c r="T204" s="57" t="str">
        <f>IF($S204="","",IFERROR(VLOOKUP($S204,'Pop Estimates (Non-#d)'!$N$2:$O$500,2,FALSE),""))</f>
        <v/>
      </c>
      <c r="U204" s="57">
        <f t="shared" si="46"/>
        <v>399</v>
      </c>
      <c r="V204" s="53" t="str">
        <f t="shared" si="47"/>
        <v/>
      </c>
      <c r="W204" s="53" t="str">
        <f t="shared" si="48"/>
        <v/>
      </c>
      <c r="X204" s="53" t="str">
        <f t="shared" si="49"/>
        <v/>
      </c>
      <c r="Y204" s="57" t="str">
        <f>IF($X204="","",IFERROR(VLOOKUP($X204,'Char Popularity'!$A$2:$C$500,2,FALSE),""))</f>
        <v/>
      </c>
      <c r="Z204" s="56">
        <f>IF($X204="",1,IFERROR(VLOOKUP($X204,'Char Popularity'!$A$2:$C$500,3,FALSE),1))</f>
        <v>1</v>
      </c>
      <c r="AA204" s="62">
        <f>IF($H204&lt;&gt;"Y",0,(IF($F204&lt;&gt;"",ROUND(Dashboard!$R$4/$F204,1),IF(AND($I204="Base",$E204="Base"),Dashboard!$R$5,IF(AND($I204="Base",$E204="Red"),Dashboard!$R$6,IF(AND($I204="Base",$E204="Gold"),Dashboard!$R$7,VLOOKUP($I204,Dashboard!$Q$16:$R$21,2,FALSE)))))*VLOOKUP($I204,Dashboard!$Q$9:$R$13,2,FALSE)*IF(AND($I204="Auto",$F204="",OR($B204="Autographs Duals",$B204="Autographs Triples",$B204="Autographs Quads",$B204="Autographs Quads (Inscribed)")),IF($B204="Autographs Duals",2,IF($B204="Autographs Triples",3,4)),1)))</f>
        <v>2.5</v>
      </c>
      <c r="AB204" s="62">
        <f t="shared" si="50"/>
        <v>2.5</v>
      </c>
      <c r="AC204" s="62">
        <f t="shared" si="51"/>
        <v>0</v>
      </c>
    </row>
    <row r="205" spans="1:29" ht="42.95" customHeight="1" x14ac:dyDescent="0.25">
      <c r="A205" s="4" t="s">
        <v>17</v>
      </c>
      <c r="B205" s="7" t="s">
        <v>65</v>
      </c>
      <c r="C205" s="2" t="s">
        <v>1403</v>
      </c>
      <c r="D205" s="7" t="s">
        <v>839</v>
      </c>
      <c r="E205" s="4" t="s">
        <v>778</v>
      </c>
      <c r="F205" s="2">
        <v>399</v>
      </c>
      <c r="G205" s="2" t="s">
        <v>1399</v>
      </c>
      <c r="H205" s="2" t="s">
        <v>1400</v>
      </c>
      <c r="I205" s="4" t="s">
        <v>60</v>
      </c>
      <c r="J205" s="112">
        <f>IF($H205&lt;&gt;"Y",0,ROUND(MIN(Dashboard!$R$24,IF(IFERROR(VLOOKUP($B205,Dashboard!$Q$28:$S$60,2,FALSE),0)&gt;0,IFERROR(VLOOKUP($B205,Dashboard!$Q$28:$S$60,2,FALSE),0),$Z205*IF($U205&lt;&gt;"",ROUND((Dashboard!$R$4/$U205)*VLOOKUP($I205,Dashboard!$Q$9:$R$13,2,FALSE)*IF(ISNUMBER(SEARCH("Duals",$B205)),2,IF(ISNUMBER(SEARCH("Triples",$B205)),3,IF(ISNUMBER(SEARCH("Quads",$B205)),4,1))),2),ROUND(VLOOKUP($I205,Dashboard!$Q$15:$R$20,2,FALSE)*IF($E205="Red",Dashboard!$R$6,IF($E205="Gold",Dashboard!$R$7,Dashboard!$R$5))*IF(ISNUMBER(SEARCH("Duals",$B205)),2,IF(ISNUMBER(SEARCH("Triples",$B205)),3,IF(ISNUMBER(SEARCH("Quads",$B205)),4,1))),2))*IF(IFERROR(VLOOKUP($B205,Dashboard!$Q$28:$S$60,3,FALSE),0)&gt;0,VLOOKUP($B205,Dashboard!$Q$28:$S$60,3,FALSE),1))),0))</f>
        <v>3</v>
      </c>
      <c r="K205" s="2" t="str">
        <f>IF('Base S1'!F5="","",'Base S1'!F5)</f>
        <v>V</v>
      </c>
      <c r="L205" s="2">
        <f t="shared" si="39"/>
        <v>1</v>
      </c>
      <c r="M205" s="2">
        <f t="shared" si="40"/>
        <v>0</v>
      </c>
      <c r="N205" s="2">
        <f t="shared" si="41"/>
        <v>1</v>
      </c>
      <c r="O205" s="2">
        <f t="shared" si="42"/>
        <v>0</v>
      </c>
      <c r="P205" s="112">
        <f t="shared" si="43"/>
        <v>3</v>
      </c>
      <c r="Q205" s="112">
        <f t="shared" si="44"/>
        <v>0</v>
      </c>
      <c r="R205" s="53"/>
      <c r="S205" s="53" t="str">
        <f t="shared" si="45"/>
        <v>Base S1|Compound V Parallel - Season 1|4|Compound V</v>
      </c>
      <c r="T205" s="57" t="str">
        <f>IF($S205="","",IFERROR(VLOOKUP($S205,'Pop Estimates (Non-#d)'!$N$2:$O$500,2,FALSE),""))</f>
        <v/>
      </c>
      <c r="U205" s="57">
        <f t="shared" si="46"/>
        <v>399</v>
      </c>
      <c r="V205" s="53" t="str">
        <f t="shared" si="47"/>
        <v/>
      </c>
      <c r="W205" s="53" t="str">
        <f t="shared" si="48"/>
        <v/>
      </c>
      <c r="X205" s="53" t="str">
        <f t="shared" si="49"/>
        <v/>
      </c>
      <c r="Y205" s="57" t="str">
        <f>IF($X205="","",IFERROR(VLOOKUP($X205,'Char Popularity'!$A$2:$C$500,2,FALSE),""))</f>
        <v/>
      </c>
      <c r="Z205" s="56">
        <f>IF($X205="",1,IFERROR(VLOOKUP($X205,'Char Popularity'!$A$2:$C$500,3,FALSE),1))</f>
        <v>1</v>
      </c>
      <c r="AA205" s="62">
        <f>IF($H205&lt;&gt;"Y",0,(IF($F205&lt;&gt;"",ROUND(Dashboard!$R$4/$F205,1),IF(AND($I205="Base",$E205="Base"),Dashboard!$R$5,IF(AND($I205="Base",$E205="Red"),Dashboard!$R$6,IF(AND($I205="Base",$E205="Gold"),Dashboard!$R$7,VLOOKUP($I205,Dashboard!$Q$16:$R$21,2,FALSE)))))*VLOOKUP($I205,Dashboard!$Q$9:$R$13,2,FALSE)*IF(AND($I205="Auto",$F205="",OR($B205="Autographs Duals",$B205="Autographs Triples",$B205="Autographs Quads",$B205="Autographs Quads (Inscribed)")),IF($B205="Autographs Duals",2,IF($B205="Autographs Triples",3,4)),1)))</f>
        <v>2.5</v>
      </c>
      <c r="AB205" s="62">
        <f t="shared" si="50"/>
        <v>2.5</v>
      </c>
      <c r="AC205" s="62">
        <f t="shared" si="51"/>
        <v>0</v>
      </c>
    </row>
    <row r="206" spans="1:29" ht="42.95" customHeight="1" x14ac:dyDescent="0.25">
      <c r="A206" s="4" t="s">
        <v>17</v>
      </c>
      <c r="B206" s="7" t="s">
        <v>65</v>
      </c>
      <c r="C206" s="2" t="s">
        <v>1404</v>
      </c>
      <c r="D206" s="7" t="s">
        <v>841</v>
      </c>
      <c r="E206" s="4" t="s">
        <v>778</v>
      </c>
      <c r="F206" s="2">
        <v>399</v>
      </c>
      <c r="G206" s="2" t="s">
        <v>1399</v>
      </c>
      <c r="H206" s="2" t="s">
        <v>1400</v>
      </c>
      <c r="I206" s="4" t="s">
        <v>60</v>
      </c>
      <c r="J206" s="112">
        <f>IF($H206&lt;&gt;"Y",0,ROUND(MIN(Dashboard!$R$24,IF(IFERROR(VLOOKUP($B206,Dashboard!$Q$28:$S$60,2,FALSE),0)&gt;0,IFERROR(VLOOKUP($B206,Dashboard!$Q$28:$S$60,2,FALSE),0),$Z206*IF($U206&lt;&gt;"",ROUND((Dashboard!$R$4/$U206)*VLOOKUP($I206,Dashboard!$Q$9:$R$13,2,FALSE)*IF(ISNUMBER(SEARCH("Duals",$B206)),2,IF(ISNUMBER(SEARCH("Triples",$B206)),3,IF(ISNUMBER(SEARCH("Quads",$B206)),4,1))),2),ROUND(VLOOKUP($I206,Dashboard!$Q$15:$R$20,2,FALSE)*IF($E206="Red",Dashboard!$R$6,IF($E206="Gold",Dashboard!$R$7,Dashboard!$R$5))*IF(ISNUMBER(SEARCH("Duals",$B206)),2,IF(ISNUMBER(SEARCH("Triples",$B206)),3,IF(ISNUMBER(SEARCH("Quads",$B206)),4,1))),2))*IF(IFERROR(VLOOKUP($B206,Dashboard!$Q$28:$S$60,3,FALSE),0)&gt;0,VLOOKUP($B206,Dashboard!$Q$28:$S$60,3,FALSE),1))),0))</f>
        <v>3</v>
      </c>
      <c r="K206" s="2" t="str">
        <f>IF('Base S1'!F6="","",'Base S1'!F6)</f>
        <v>V</v>
      </c>
      <c r="L206" s="2">
        <f t="shared" si="39"/>
        <v>1</v>
      </c>
      <c r="M206" s="2">
        <f t="shared" si="40"/>
        <v>0</v>
      </c>
      <c r="N206" s="2">
        <f t="shared" si="41"/>
        <v>1</v>
      </c>
      <c r="O206" s="2">
        <f t="shared" si="42"/>
        <v>0</v>
      </c>
      <c r="P206" s="112">
        <f t="shared" si="43"/>
        <v>3</v>
      </c>
      <c r="Q206" s="112">
        <f t="shared" si="44"/>
        <v>0</v>
      </c>
      <c r="R206" s="53"/>
      <c r="S206" s="53" t="str">
        <f t="shared" si="45"/>
        <v>Base S1|Compound V Parallel - Season 1|5|Compound V</v>
      </c>
      <c r="T206" s="57" t="str">
        <f>IF($S206="","",IFERROR(VLOOKUP($S206,'Pop Estimates (Non-#d)'!$N$2:$O$500,2,FALSE),""))</f>
        <v/>
      </c>
      <c r="U206" s="57">
        <f t="shared" si="46"/>
        <v>399</v>
      </c>
      <c r="V206" s="53" t="str">
        <f t="shared" si="47"/>
        <v/>
      </c>
      <c r="W206" s="53" t="str">
        <f t="shared" si="48"/>
        <v/>
      </c>
      <c r="X206" s="53" t="str">
        <f t="shared" si="49"/>
        <v/>
      </c>
      <c r="Y206" s="57" t="str">
        <f>IF($X206="","",IFERROR(VLOOKUP($X206,'Char Popularity'!$A$2:$C$500,2,FALSE),""))</f>
        <v/>
      </c>
      <c r="Z206" s="56">
        <f>IF($X206="",1,IFERROR(VLOOKUP($X206,'Char Popularity'!$A$2:$C$500,3,FALSE),1))</f>
        <v>1</v>
      </c>
      <c r="AA206" s="62">
        <f>IF($H206&lt;&gt;"Y",0,(IF($F206&lt;&gt;"",ROUND(Dashboard!$R$4/$F206,1),IF(AND($I206="Base",$E206="Base"),Dashboard!$R$5,IF(AND($I206="Base",$E206="Red"),Dashboard!$R$6,IF(AND($I206="Base",$E206="Gold"),Dashboard!$R$7,VLOOKUP($I206,Dashboard!$Q$16:$R$21,2,FALSE)))))*VLOOKUP($I206,Dashboard!$Q$9:$R$13,2,FALSE)*IF(AND($I206="Auto",$F206="",OR($B206="Autographs Duals",$B206="Autographs Triples",$B206="Autographs Quads",$B206="Autographs Quads (Inscribed)")),IF($B206="Autographs Duals",2,IF($B206="Autographs Triples",3,4)),1)))</f>
        <v>2.5</v>
      </c>
      <c r="AB206" s="62">
        <f t="shared" si="50"/>
        <v>2.5</v>
      </c>
      <c r="AC206" s="62">
        <f t="shared" si="51"/>
        <v>0</v>
      </c>
    </row>
    <row r="207" spans="1:29" ht="42.95" customHeight="1" x14ac:dyDescent="0.25">
      <c r="A207" s="4" t="s">
        <v>17</v>
      </c>
      <c r="B207" s="7" t="s">
        <v>65</v>
      </c>
      <c r="C207" s="2" t="s">
        <v>1405</v>
      </c>
      <c r="D207" s="7" t="s">
        <v>843</v>
      </c>
      <c r="E207" s="4" t="s">
        <v>778</v>
      </c>
      <c r="F207" s="2">
        <v>399</v>
      </c>
      <c r="G207" s="2" t="s">
        <v>1399</v>
      </c>
      <c r="H207" s="2" t="s">
        <v>1400</v>
      </c>
      <c r="I207" s="4" t="s">
        <v>60</v>
      </c>
      <c r="J207" s="112">
        <f>IF($H207&lt;&gt;"Y",0,ROUND(MIN(Dashboard!$R$24,IF(IFERROR(VLOOKUP($B207,Dashboard!$Q$28:$S$60,2,FALSE),0)&gt;0,IFERROR(VLOOKUP($B207,Dashboard!$Q$28:$S$60,2,FALSE),0),$Z207*IF($U207&lt;&gt;"",ROUND((Dashboard!$R$4/$U207)*VLOOKUP($I207,Dashboard!$Q$9:$R$13,2,FALSE)*IF(ISNUMBER(SEARCH("Duals",$B207)),2,IF(ISNUMBER(SEARCH("Triples",$B207)),3,IF(ISNUMBER(SEARCH("Quads",$B207)),4,1))),2),ROUND(VLOOKUP($I207,Dashboard!$Q$15:$R$20,2,FALSE)*IF($E207="Red",Dashboard!$R$6,IF($E207="Gold",Dashboard!$R$7,Dashboard!$R$5))*IF(ISNUMBER(SEARCH("Duals",$B207)),2,IF(ISNUMBER(SEARCH("Triples",$B207)),3,IF(ISNUMBER(SEARCH("Quads",$B207)),4,1))),2))*IF(IFERROR(VLOOKUP($B207,Dashboard!$Q$28:$S$60,3,FALSE),0)&gt;0,VLOOKUP($B207,Dashboard!$Q$28:$S$60,3,FALSE),1))),0))</f>
        <v>3</v>
      </c>
      <c r="K207" s="2" t="str">
        <f>IF('Base S1'!F7="","",'Base S1'!F7)</f>
        <v>V</v>
      </c>
      <c r="L207" s="2">
        <f t="shared" si="39"/>
        <v>1</v>
      </c>
      <c r="M207" s="2">
        <f t="shared" si="40"/>
        <v>0</v>
      </c>
      <c r="N207" s="2">
        <f t="shared" si="41"/>
        <v>1</v>
      </c>
      <c r="O207" s="2">
        <f t="shared" si="42"/>
        <v>0</v>
      </c>
      <c r="P207" s="112">
        <f t="shared" si="43"/>
        <v>3</v>
      </c>
      <c r="Q207" s="112">
        <f t="shared" si="44"/>
        <v>0</v>
      </c>
      <c r="R207" s="53"/>
      <c r="S207" s="53" t="str">
        <f t="shared" si="45"/>
        <v>Base S1|Compound V Parallel - Season 1|6|Compound V</v>
      </c>
      <c r="T207" s="57" t="str">
        <f>IF($S207="","",IFERROR(VLOOKUP($S207,'Pop Estimates (Non-#d)'!$N$2:$O$500,2,FALSE),""))</f>
        <v/>
      </c>
      <c r="U207" s="57">
        <f t="shared" si="46"/>
        <v>399</v>
      </c>
      <c r="V207" s="53" t="str">
        <f t="shared" si="47"/>
        <v/>
      </c>
      <c r="W207" s="53" t="str">
        <f t="shared" si="48"/>
        <v/>
      </c>
      <c r="X207" s="53" t="str">
        <f t="shared" si="49"/>
        <v/>
      </c>
      <c r="Y207" s="57" t="str">
        <f>IF($X207="","",IFERROR(VLOOKUP($X207,'Char Popularity'!$A$2:$C$500,2,FALSE),""))</f>
        <v/>
      </c>
      <c r="Z207" s="56">
        <f>IF($X207="",1,IFERROR(VLOOKUP($X207,'Char Popularity'!$A$2:$C$500,3,FALSE),1))</f>
        <v>1</v>
      </c>
      <c r="AA207" s="62">
        <f>IF($H207&lt;&gt;"Y",0,(IF($F207&lt;&gt;"",ROUND(Dashboard!$R$4/$F207,1),IF(AND($I207="Base",$E207="Base"),Dashboard!$R$5,IF(AND($I207="Base",$E207="Red"),Dashboard!$R$6,IF(AND($I207="Base",$E207="Gold"),Dashboard!$R$7,VLOOKUP($I207,Dashboard!$Q$16:$R$21,2,FALSE)))))*VLOOKUP($I207,Dashboard!$Q$9:$R$13,2,FALSE)*IF(AND($I207="Auto",$F207="",OR($B207="Autographs Duals",$B207="Autographs Triples",$B207="Autographs Quads",$B207="Autographs Quads (Inscribed)")),IF($B207="Autographs Duals",2,IF($B207="Autographs Triples",3,4)),1)))</f>
        <v>2.5</v>
      </c>
      <c r="AB207" s="62">
        <f t="shared" si="50"/>
        <v>2.5</v>
      </c>
      <c r="AC207" s="62">
        <f t="shared" si="51"/>
        <v>0</v>
      </c>
    </row>
    <row r="208" spans="1:29" ht="42.95" customHeight="1" x14ac:dyDescent="0.25">
      <c r="A208" s="4" t="s">
        <v>17</v>
      </c>
      <c r="B208" s="7" t="s">
        <v>65</v>
      </c>
      <c r="C208" s="2" t="s">
        <v>1406</v>
      </c>
      <c r="D208" s="7" t="s">
        <v>845</v>
      </c>
      <c r="E208" s="4" t="s">
        <v>778</v>
      </c>
      <c r="F208" s="2">
        <v>399</v>
      </c>
      <c r="G208" s="2" t="s">
        <v>1399</v>
      </c>
      <c r="H208" s="2" t="s">
        <v>1400</v>
      </c>
      <c r="I208" s="4" t="s">
        <v>60</v>
      </c>
      <c r="J208" s="112">
        <f>IF($H208&lt;&gt;"Y",0,ROUND(MIN(Dashboard!$R$24,IF(IFERROR(VLOOKUP($B208,Dashboard!$Q$28:$S$60,2,FALSE),0)&gt;0,IFERROR(VLOOKUP($B208,Dashboard!$Q$28:$S$60,2,FALSE),0),$Z208*IF($U208&lt;&gt;"",ROUND((Dashboard!$R$4/$U208)*VLOOKUP($I208,Dashboard!$Q$9:$R$13,2,FALSE)*IF(ISNUMBER(SEARCH("Duals",$B208)),2,IF(ISNUMBER(SEARCH("Triples",$B208)),3,IF(ISNUMBER(SEARCH("Quads",$B208)),4,1))),2),ROUND(VLOOKUP($I208,Dashboard!$Q$15:$R$20,2,FALSE)*IF($E208="Red",Dashboard!$R$6,IF($E208="Gold",Dashboard!$R$7,Dashboard!$R$5))*IF(ISNUMBER(SEARCH("Duals",$B208)),2,IF(ISNUMBER(SEARCH("Triples",$B208)),3,IF(ISNUMBER(SEARCH("Quads",$B208)),4,1))),2))*IF(IFERROR(VLOOKUP($B208,Dashboard!$Q$28:$S$60,3,FALSE),0)&gt;0,VLOOKUP($B208,Dashboard!$Q$28:$S$60,3,FALSE),1))),0))</f>
        <v>3</v>
      </c>
      <c r="K208" s="2" t="str">
        <f>IF('Base S1'!F8="","",'Base S1'!F8)</f>
        <v>V</v>
      </c>
      <c r="L208" s="2">
        <f t="shared" si="39"/>
        <v>1</v>
      </c>
      <c r="M208" s="2">
        <f t="shared" si="40"/>
        <v>0</v>
      </c>
      <c r="N208" s="2">
        <f t="shared" si="41"/>
        <v>1</v>
      </c>
      <c r="O208" s="2">
        <f t="shared" si="42"/>
        <v>0</v>
      </c>
      <c r="P208" s="112">
        <f t="shared" si="43"/>
        <v>3</v>
      </c>
      <c r="Q208" s="112">
        <f t="shared" si="44"/>
        <v>0</v>
      </c>
      <c r="R208" s="53"/>
      <c r="S208" s="53" t="str">
        <f t="shared" si="45"/>
        <v>Base S1|Compound V Parallel - Season 1|7|Compound V</v>
      </c>
      <c r="T208" s="57" t="str">
        <f>IF($S208="","",IFERROR(VLOOKUP($S208,'Pop Estimates (Non-#d)'!$N$2:$O$500,2,FALSE),""))</f>
        <v/>
      </c>
      <c r="U208" s="57">
        <f t="shared" si="46"/>
        <v>399</v>
      </c>
      <c r="V208" s="53" t="str">
        <f t="shared" si="47"/>
        <v/>
      </c>
      <c r="W208" s="53" t="str">
        <f t="shared" si="48"/>
        <v/>
      </c>
      <c r="X208" s="53" t="str">
        <f t="shared" si="49"/>
        <v/>
      </c>
      <c r="Y208" s="57" t="str">
        <f>IF($X208="","",IFERROR(VLOOKUP($X208,'Char Popularity'!$A$2:$C$500,2,FALSE),""))</f>
        <v/>
      </c>
      <c r="Z208" s="56">
        <f>IF($X208="",1,IFERROR(VLOOKUP($X208,'Char Popularity'!$A$2:$C$500,3,FALSE),1))</f>
        <v>1</v>
      </c>
      <c r="AA208" s="62">
        <f>IF($H208&lt;&gt;"Y",0,(IF($F208&lt;&gt;"",ROUND(Dashboard!$R$4/$F208,1),IF(AND($I208="Base",$E208="Base"),Dashboard!$R$5,IF(AND($I208="Base",$E208="Red"),Dashboard!$R$6,IF(AND($I208="Base",$E208="Gold"),Dashboard!$R$7,VLOOKUP($I208,Dashboard!$Q$16:$R$21,2,FALSE)))))*VLOOKUP($I208,Dashboard!$Q$9:$R$13,2,FALSE)*IF(AND($I208="Auto",$F208="",OR($B208="Autographs Duals",$B208="Autographs Triples",$B208="Autographs Quads",$B208="Autographs Quads (Inscribed)")),IF($B208="Autographs Duals",2,IF($B208="Autographs Triples",3,4)),1)))</f>
        <v>2.5</v>
      </c>
      <c r="AB208" s="62">
        <f t="shared" si="50"/>
        <v>2.5</v>
      </c>
      <c r="AC208" s="62">
        <f t="shared" si="51"/>
        <v>0</v>
      </c>
    </row>
    <row r="209" spans="1:29" ht="42.95" customHeight="1" x14ac:dyDescent="0.25">
      <c r="A209" s="4" t="s">
        <v>17</v>
      </c>
      <c r="B209" s="7" t="s">
        <v>65</v>
      </c>
      <c r="C209" s="2" t="s">
        <v>1407</v>
      </c>
      <c r="D209" s="7" t="s">
        <v>848</v>
      </c>
      <c r="E209" s="4" t="s">
        <v>778</v>
      </c>
      <c r="F209" s="2">
        <v>399</v>
      </c>
      <c r="G209" s="2" t="s">
        <v>1399</v>
      </c>
      <c r="H209" s="2" t="s">
        <v>1400</v>
      </c>
      <c r="I209" s="4" t="s">
        <v>60</v>
      </c>
      <c r="J209" s="112">
        <f>IF($H209&lt;&gt;"Y",0,ROUND(MIN(Dashboard!$R$24,IF(IFERROR(VLOOKUP($B209,Dashboard!$Q$28:$S$60,2,FALSE),0)&gt;0,IFERROR(VLOOKUP($B209,Dashboard!$Q$28:$S$60,2,FALSE),0),$Z209*IF($U209&lt;&gt;"",ROUND((Dashboard!$R$4/$U209)*VLOOKUP($I209,Dashboard!$Q$9:$R$13,2,FALSE)*IF(ISNUMBER(SEARCH("Duals",$B209)),2,IF(ISNUMBER(SEARCH("Triples",$B209)),3,IF(ISNUMBER(SEARCH("Quads",$B209)),4,1))),2),ROUND(VLOOKUP($I209,Dashboard!$Q$15:$R$20,2,FALSE)*IF($E209="Red",Dashboard!$R$6,IF($E209="Gold",Dashboard!$R$7,Dashboard!$R$5))*IF(ISNUMBER(SEARCH("Duals",$B209)),2,IF(ISNUMBER(SEARCH("Triples",$B209)),3,IF(ISNUMBER(SEARCH("Quads",$B209)),4,1))),2))*IF(IFERROR(VLOOKUP($B209,Dashboard!$Q$28:$S$60,3,FALSE),0)&gt;0,VLOOKUP($B209,Dashboard!$Q$28:$S$60,3,FALSE),1))),0))</f>
        <v>3</v>
      </c>
      <c r="K209" s="2" t="str">
        <f>IF('Base S1'!F9="","",'Base S1'!F9)</f>
        <v>C</v>
      </c>
      <c r="L209" s="2">
        <f t="shared" si="39"/>
        <v>1</v>
      </c>
      <c r="M209" s="2">
        <f t="shared" si="40"/>
        <v>0</v>
      </c>
      <c r="N209" s="2">
        <f t="shared" si="41"/>
        <v>1</v>
      </c>
      <c r="O209" s="2">
        <f t="shared" si="42"/>
        <v>0</v>
      </c>
      <c r="P209" s="112">
        <f t="shared" si="43"/>
        <v>3</v>
      </c>
      <c r="Q209" s="112">
        <f t="shared" si="44"/>
        <v>0</v>
      </c>
      <c r="R209" s="53"/>
      <c r="S209" s="53" t="str">
        <f t="shared" si="45"/>
        <v>Base S1|Compound V Parallel - Season 1|8|Compound V</v>
      </c>
      <c r="T209" s="57" t="str">
        <f>IF($S209="","",IFERROR(VLOOKUP($S209,'Pop Estimates (Non-#d)'!$N$2:$O$500,2,FALSE),""))</f>
        <v/>
      </c>
      <c r="U209" s="57">
        <f t="shared" si="46"/>
        <v>399</v>
      </c>
      <c r="V209" s="53" t="str">
        <f t="shared" si="47"/>
        <v/>
      </c>
      <c r="W209" s="53" t="str">
        <f t="shared" si="48"/>
        <v/>
      </c>
      <c r="X209" s="53" t="str">
        <f t="shared" si="49"/>
        <v/>
      </c>
      <c r="Y209" s="57" t="str">
        <f>IF($X209="","",IFERROR(VLOOKUP($X209,'Char Popularity'!$A$2:$C$500,2,FALSE),""))</f>
        <v/>
      </c>
      <c r="Z209" s="56">
        <f>IF($X209="",1,IFERROR(VLOOKUP($X209,'Char Popularity'!$A$2:$C$500,3,FALSE),1))</f>
        <v>1</v>
      </c>
      <c r="AA209" s="62">
        <f>IF($H209&lt;&gt;"Y",0,(IF($F209&lt;&gt;"",ROUND(Dashboard!$R$4/$F209,1),IF(AND($I209="Base",$E209="Base"),Dashboard!$R$5,IF(AND($I209="Base",$E209="Red"),Dashboard!$R$6,IF(AND($I209="Base",$E209="Gold"),Dashboard!$R$7,VLOOKUP($I209,Dashboard!$Q$16:$R$21,2,FALSE)))))*VLOOKUP($I209,Dashboard!$Q$9:$R$13,2,FALSE)*IF(AND($I209="Auto",$F209="",OR($B209="Autographs Duals",$B209="Autographs Triples",$B209="Autographs Quads",$B209="Autographs Quads (Inscribed)")),IF($B209="Autographs Duals",2,IF($B209="Autographs Triples",3,4)),1)))</f>
        <v>2.5</v>
      </c>
      <c r="AB209" s="62">
        <f t="shared" si="50"/>
        <v>2.5</v>
      </c>
      <c r="AC209" s="62">
        <f t="shared" si="51"/>
        <v>0</v>
      </c>
    </row>
    <row r="210" spans="1:29" ht="42.95" customHeight="1" x14ac:dyDescent="0.25">
      <c r="A210" s="4" t="s">
        <v>17</v>
      </c>
      <c r="B210" s="7" t="s">
        <v>65</v>
      </c>
      <c r="C210" s="2" t="s">
        <v>1408</v>
      </c>
      <c r="D210" s="7" t="s">
        <v>850</v>
      </c>
      <c r="E210" s="4" t="s">
        <v>778</v>
      </c>
      <c r="F210" s="2">
        <v>399</v>
      </c>
      <c r="G210" s="2" t="s">
        <v>1399</v>
      </c>
      <c r="H210" s="2" t="s">
        <v>1400</v>
      </c>
      <c r="I210" s="4" t="s">
        <v>60</v>
      </c>
      <c r="J210" s="112">
        <f>IF($H210&lt;&gt;"Y",0,ROUND(MIN(Dashboard!$R$24,IF(IFERROR(VLOOKUP($B210,Dashboard!$Q$28:$S$60,2,FALSE),0)&gt;0,IFERROR(VLOOKUP($B210,Dashboard!$Q$28:$S$60,2,FALSE),0),$Z210*IF($U210&lt;&gt;"",ROUND((Dashboard!$R$4/$U210)*VLOOKUP($I210,Dashboard!$Q$9:$R$13,2,FALSE)*IF(ISNUMBER(SEARCH("Duals",$B210)),2,IF(ISNUMBER(SEARCH("Triples",$B210)),3,IF(ISNUMBER(SEARCH("Quads",$B210)),4,1))),2),ROUND(VLOOKUP($I210,Dashboard!$Q$15:$R$20,2,FALSE)*IF($E210="Red",Dashboard!$R$6,IF($E210="Gold",Dashboard!$R$7,Dashboard!$R$5))*IF(ISNUMBER(SEARCH("Duals",$B210)),2,IF(ISNUMBER(SEARCH("Triples",$B210)),3,IF(ISNUMBER(SEARCH("Quads",$B210)),4,1))),2))*IF(IFERROR(VLOOKUP($B210,Dashboard!$Q$28:$S$60,3,FALSE),0)&gt;0,VLOOKUP($B210,Dashboard!$Q$28:$S$60,3,FALSE),1))),0))</f>
        <v>3</v>
      </c>
      <c r="K210" s="2" t="str">
        <f>IF('Base S1'!F10="","",'Base S1'!F10)</f>
        <v>C</v>
      </c>
      <c r="L210" s="2">
        <f t="shared" si="39"/>
        <v>1</v>
      </c>
      <c r="M210" s="2">
        <f t="shared" si="40"/>
        <v>0</v>
      </c>
      <c r="N210" s="2">
        <f t="shared" si="41"/>
        <v>1</v>
      </c>
      <c r="O210" s="2">
        <f t="shared" si="42"/>
        <v>0</v>
      </c>
      <c r="P210" s="112">
        <f t="shared" si="43"/>
        <v>3</v>
      </c>
      <c r="Q210" s="112">
        <f t="shared" si="44"/>
        <v>0</v>
      </c>
      <c r="R210" s="53"/>
      <c r="S210" s="53" t="str">
        <f t="shared" si="45"/>
        <v>Base S1|Compound V Parallel - Season 1|9|Compound V</v>
      </c>
      <c r="T210" s="57" t="str">
        <f>IF($S210="","",IFERROR(VLOOKUP($S210,'Pop Estimates (Non-#d)'!$N$2:$O$500,2,FALSE),""))</f>
        <v/>
      </c>
      <c r="U210" s="57">
        <f t="shared" si="46"/>
        <v>399</v>
      </c>
      <c r="V210" s="53" t="str">
        <f t="shared" si="47"/>
        <v/>
      </c>
      <c r="W210" s="53" t="str">
        <f t="shared" si="48"/>
        <v/>
      </c>
      <c r="X210" s="53" t="str">
        <f t="shared" si="49"/>
        <v/>
      </c>
      <c r="Y210" s="57" t="str">
        <f>IF($X210="","",IFERROR(VLOOKUP($X210,'Char Popularity'!$A$2:$C$500,2,FALSE),""))</f>
        <v/>
      </c>
      <c r="Z210" s="56">
        <f>IF($X210="",1,IFERROR(VLOOKUP($X210,'Char Popularity'!$A$2:$C$500,3,FALSE),1))</f>
        <v>1</v>
      </c>
      <c r="AA210" s="62">
        <f>IF($H210&lt;&gt;"Y",0,(IF($F210&lt;&gt;"",ROUND(Dashboard!$R$4/$F210,1),IF(AND($I210="Base",$E210="Base"),Dashboard!$R$5,IF(AND($I210="Base",$E210="Red"),Dashboard!$R$6,IF(AND($I210="Base",$E210="Gold"),Dashboard!$R$7,VLOOKUP($I210,Dashboard!$Q$16:$R$21,2,FALSE)))))*VLOOKUP($I210,Dashboard!$Q$9:$R$13,2,FALSE)*IF(AND($I210="Auto",$F210="",OR($B210="Autographs Duals",$B210="Autographs Triples",$B210="Autographs Quads",$B210="Autographs Quads (Inscribed)")),IF($B210="Autographs Duals",2,IF($B210="Autographs Triples",3,4)),1)))</f>
        <v>2.5</v>
      </c>
      <c r="AB210" s="62">
        <f t="shared" si="50"/>
        <v>2.5</v>
      </c>
      <c r="AC210" s="62">
        <f t="shared" si="51"/>
        <v>0</v>
      </c>
    </row>
    <row r="211" spans="1:29" ht="42.95" customHeight="1" x14ac:dyDescent="0.25">
      <c r="A211" s="4" t="s">
        <v>17</v>
      </c>
      <c r="B211" s="7" t="s">
        <v>65</v>
      </c>
      <c r="C211" s="2" t="s">
        <v>1409</v>
      </c>
      <c r="D211" s="7" t="s">
        <v>853</v>
      </c>
      <c r="E211" s="4" t="s">
        <v>778</v>
      </c>
      <c r="F211" s="2">
        <v>399</v>
      </c>
      <c r="G211" s="2" t="s">
        <v>1399</v>
      </c>
      <c r="H211" s="2" t="s">
        <v>1400</v>
      </c>
      <c r="I211" s="4" t="s">
        <v>60</v>
      </c>
      <c r="J211" s="112">
        <f>IF($H211&lt;&gt;"Y",0,ROUND(MIN(Dashboard!$R$24,IF(IFERROR(VLOOKUP($B211,Dashboard!$Q$28:$S$60,2,FALSE),0)&gt;0,IFERROR(VLOOKUP($B211,Dashboard!$Q$28:$S$60,2,FALSE),0),$Z211*IF($U211&lt;&gt;"",ROUND((Dashboard!$R$4/$U211)*VLOOKUP($I211,Dashboard!$Q$9:$R$13,2,FALSE)*IF(ISNUMBER(SEARCH("Duals",$B211)),2,IF(ISNUMBER(SEARCH("Triples",$B211)),3,IF(ISNUMBER(SEARCH("Quads",$B211)),4,1))),2),ROUND(VLOOKUP($I211,Dashboard!$Q$15:$R$20,2,FALSE)*IF($E211="Red",Dashboard!$R$6,IF($E211="Gold",Dashboard!$R$7,Dashboard!$R$5))*IF(ISNUMBER(SEARCH("Duals",$B211)),2,IF(ISNUMBER(SEARCH("Triples",$B211)),3,IF(ISNUMBER(SEARCH("Quads",$B211)),4,1))),2))*IF(IFERROR(VLOOKUP($B211,Dashboard!$Q$28:$S$60,3,FALSE),0)&gt;0,VLOOKUP($B211,Dashboard!$Q$28:$S$60,3,FALSE),1))),0))</f>
        <v>3</v>
      </c>
      <c r="K211" s="2" t="str">
        <f>IF('Base S1'!F11="","",'Base S1'!F11)</f>
        <v>C</v>
      </c>
      <c r="L211" s="2">
        <f t="shared" si="39"/>
        <v>1</v>
      </c>
      <c r="M211" s="2">
        <f t="shared" si="40"/>
        <v>0</v>
      </c>
      <c r="N211" s="2">
        <f t="shared" si="41"/>
        <v>1</v>
      </c>
      <c r="O211" s="2">
        <f t="shared" si="42"/>
        <v>0</v>
      </c>
      <c r="P211" s="112">
        <f t="shared" si="43"/>
        <v>3</v>
      </c>
      <c r="Q211" s="112">
        <f t="shared" si="44"/>
        <v>0</v>
      </c>
      <c r="R211" s="53"/>
      <c r="S211" s="53" t="str">
        <f t="shared" si="45"/>
        <v>Base S1|Compound V Parallel - Season 1|10|Compound V</v>
      </c>
      <c r="T211" s="57" t="str">
        <f>IF($S211="","",IFERROR(VLOOKUP($S211,'Pop Estimates (Non-#d)'!$N$2:$O$500,2,FALSE),""))</f>
        <v/>
      </c>
      <c r="U211" s="57">
        <f t="shared" si="46"/>
        <v>399</v>
      </c>
      <c r="V211" s="53" t="str">
        <f t="shared" si="47"/>
        <v/>
      </c>
      <c r="W211" s="53" t="str">
        <f t="shared" si="48"/>
        <v/>
      </c>
      <c r="X211" s="53" t="str">
        <f t="shared" si="49"/>
        <v/>
      </c>
      <c r="Y211" s="57" t="str">
        <f>IF($X211="","",IFERROR(VLOOKUP($X211,'Char Popularity'!$A$2:$C$500,2,FALSE),""))</f>
        <v/>
      </c>
      <c r="Z211" s="56">
        <f>IF($X211="",1,IFERROR(VLOOKUP($X211,'Char Popularity'!$A$2:$C$500,3,FALSE),1))</f>
        <v>1</v>
      </c>
      <c r="AA211" s="62">
        <f>IF($H211&lt;&gt;"Y",0,(IF($F211&lt;&gt;"",ROUND(Dashboard!$R$4/$F211,1),IF(AND($I211="Base",$E211="Base"),Dashboard!$R$5,IF(AND($I211="Base",$E211="Red"),Dashboard!$R$6,IF(AND($I211="Base",$E211="Gold"),Dashboard!$R$7,VLOOKUP($I211,Dashboard!$Q$16:$R$21,2,FALSE)))))*VLOOKUP($I211,Dashboard!$Q$9:$R$13,2,FALSE)*IF(AND($I211="Auto",$F211="",OR($B211="Autographs Duals",$B211="Autographs Triples",$B211="Autographs Quads",$B211="Autographs Quads (Inscribed)")),IF($B211="Autographs Duals",2,IF($B211="Autographs Triples",3,4)),1)))</f>
        <v>2.5</v>
      </c>
      <c r="AB211" s="62">
        <f t="shared" si="50"/>
        <v>2.5</v>
      </c>
      <c r="AC211" s="62">
        <f t="shared" si="51"/>
        <v>0</v>
      </c>
    </row>
    <row r="212" spans="1:29" ht="42.95" customHeight="1" x14ac:dyDescent="0.25">
      <c r="A212" s="4" t="s">
        <v>17</v>
      </c>
      <c r="B212" s="7" t="s">
        <v>65</v>
      </c>
      <c r="C212" s="2" t="s">
        <v>1410</v>
      </c>
      <c r="D212" s="7" t="s">
        <v>856</v>
      </c>
      <c r="E212" s="4" t="s">
        <v>778</v>
      </c>
      <c r="F212" s="2">
        <v>399</v>
      </c>
      <c r="G212" s="2" t="s">
        <v>1399</v>
      </c>
      <c r="H212" s="2" t="s">
        <v>1400</v>
      </c>
      <c r="I212" s="4" t="s">
        <v>60</v>
      </c>
      <c r="J212" s="112">
        <f>IF($H212&lt;&gt;"Y",0,ROUND(MIN(Dashboard!$R$24,IF(IFERROR(VLOOKUP($B212,Dashboard!$Q$28:$S$60,2,FALSE),0)&gt;0,IFERROR(VLOOKUP($B212,Dashboard!$Q$28:$S$60,2,FALSE),0),$Z212*IF($U212&lt;&gt;"",ROUND((Dashboard!$R$4/$U212)*VLOOKUP($I212,Dashboard!$Q$9:$R$13,2,FALSE)*IF(ISNUMBER(SEARCH("Duals",$B212)),2,IF(ISNUMBER(SEARCH("Triples",$B212)),3,IF(ISNUMBER(SEARCH("Quads",$B212)),4,1))),2),ROUND(VLOOKUP($I212,Dashboard!$Q$15:$R$20,2,FALSE)*IF($E212="Red",Dashboard!$R$6,IF($E212="Gold",Dashboard!$R$7,Dashboard!$R$5))*IF(ISNUMBER(SEARCH("Duals",$B212)),2,IF(ISNUMBER(SEARCH("Triples",$B212)),3,IF(ISNUMBER(SEARCH("Quads",$B212)),4,1))),2))*IF(IFERROR(VLOOKUP($B212,Dashboard!$Q$28:$S$60,3,FALSE),0)&gt;0,VLOOKUP($B212,Dashboard!$Q$28:$S$60,3,FALSE),1))),0))</f>
        <v>3</v>
      </c>
      <c r="K212" s="2" t="str">
        <f>IF('Base S1'!F12="","",'Base S1'!F12)</f>
        <v>V</v>
      </c>
      <c r="L212" s="2">
        <f t="shared" si="39"/>
        <v>1</v>
      </c>
      <c r="M212" s="2">
        <f t="shared" si="40"/>
        <v>0</v>
      </c>
      <c r="N212" s="2">
        <f t="shared" si="41"/>
        <v>1</v>
      </c>
      <c r="O212" s="2">
        <f t="shared" si="42"/>
        <v>0</v>
      </c>
      <c r="P212" s="112">
        <f t="shared" si="43"/>
        <v>3</v>
      </c>
      <c r="Q212" s="112">
        <f t="shared" si="44"/>
        <v>0</v>
      </c>
      <c r="R212" s="53"/>
      <c r="S212" s="53" t="str">
        <f t="shared" si="45"/>
        <v>Base S1|Compound V Parallel - Season 1|11|Compound V</v>
      </c>
      <c r="T212" s="57" t="str">
        <f>IF($S212="","",IFERROR(VLOOKUP($S212,'Pop Estimates (Non-#d)'!$N$2:$O$500,2,FALSE),""))</f>
        <v/>
      </c>
      <c r="U212" s="57">
        <f t="shared" si="46"/>
        <v>399</v>
      </c>
      <c r="V212" s="53" t="str">
        <f t="shared" si="47"/>
        <v/>
      </c>
      <c r="W212" s="53" t="str">
        <f t="shared" si="48"/>
        <v/>
      </c>
      <c r="X212" s="53" t="str">
        <f t="shared" si="49"/>
        <v/>
      </c>
      <c r="Y212" s="57" t="str">
        <f>IF($X212="","",IFERROR(VLOOKUP($X212,'Char Popularity'!$A$2:$C$500,2,FALSE),""))</f>
        <v/>
      </c>
      <c r="Z212" s="56">
        <f>IF($X212="",1,IFERROR(VLOOKUP($X212,'Char Popularity'!$A$2:$C$500,3,FALSE),1))</f>
        <v>1</v>
      </c>
      <c r="AA212" s="62">
        <f>IF($H212&lt;&gt;"Y",0,(IF($F212&lt;&gt;"",ROUND(Dashboard!$R$4/$F212,1),IF(AND($I212="Base",$E212="Base"),Dashboard!$R$5,IF(AND($I212="Base",$E212="Red"),Dashboard!$R$6,IF(AND($I212="Base",$E212="Gold"),Dashboard!$R$7,VLOOKUP($I212,Dashboard!$Q$16:$R$21,2,FALSE)))))*VLOOKUP($I212,Dashboard!$Q$9:$R$13,2,FALSE)*IF(AND($I212="Auto",$F212="",OR($B212="Autographs Duals",$B212="Autographs Triples",$B212="Autographs Quads",$B212="Autographs Quads (Inscribed)")),IF($B212="Autographs Duals",2,IF($B212="Autographs Triples",3,4)),1)))</f>
        <v>2.5</v>
      </c>
      <c r="AB212" s="62">
        <f t="shared" si="50"/>
        <v>2.5</v>
      </c>
      <c r="AC212" s="62">
        <f t="shared" si="51"/>
        <v>0</v>
      </c>
    </row>
    <row r="213" spans="1:29" ht="42.95" customHeight="1" x14ac:dyDescent="0.25">
      <c r="A213" s="4" t="s">
        <v>17</v>
      </c>
      <c r="B213" s="7" t="s">
        <v>65</v>
      </c>
      <c r="C213" s="2" t="s">
        <v>1411</v>
      </c>
      <c r="D213" s="7" t="s">
        <v>858</v>
      </c>
      <c r="E213" s="4" t="s">
        <v>778</v>
      </c>
      <c r="F213" s="2">
        <v>399</v>
      </c>
      <c r="G213" s="2" t="s">
        <v>1399</v>
      </c>
      <c r="H213" s="2" t="s">
        <v>1400</v>
      </c>
      <c r="I213" s="4" t="s">
        <v>60</v>
      </c>
      <c r="J213" s="112">
        <f>IF($H213&lt;&gt;"Y",0,ROUND(MIN(Dashboard!$R$24,IF(IFERROR(VLOOKUP($B213,Dashboard!$Q$28:$S$60,2,FALSE),0)&gt;0,IFERROR(VLOOKUP($B213,Dashboard!$Q$28:$S$60,2,FALSE),0),$Z213*IF($U213&lt;&gt;"",ROUND((Dashboard!$R$4/$U213)*VLOOKUP($I213,Dashboard!$Q$9:$R$13,2,FALSE)*IF(ISNUMBER(SEARCH("Duals",$B213)),2,IF(ISNUMBER(SEARCH("Triples",$B213)),3,IF(ISNUMBER(SEARCH("Quads",$B213)),4,1))),2),ROUND(VLOOKUP($I213,Dashboard!$Q$15:$R$20,2,FALSE)*IF($E213="Red",Dashboard!$R$6,IF($E213="Gold",Dashboard!$R$7,Dashboard!$R$5))*IF(ISNUMBER(SEARCH("Duals",$B213)),2,IF(ISNUMBER(SEARCH("Triples",$B213)),3,IF(ISNUMBER(SEARCH("Quads",$B213)),4,1))),2))*IF(IFERROR(VLOOKUP($B213,Dashboard!$Q$28:$S$60,3,FALSE),0)&gt;0,VLOOKUP($B213,Dashboard!$Q$28:$S$60,3,FALSE),1))),0))</f>
        <v>3</v>
      </c>
      <c r="K213" s="2" t="str">
        <f>IF('Base S1'!F13="","",'Base S1'!F13)</f>
        <v>V</v>
      </c>
      <c r="L213" s="2">
        <f t="shared" si="39"/>
        <v>1</v>
      </c>
      <c r="M213" s="2">
        <f t="shared" si="40"/>
        <v>0</v>
      </c>
      <c r="N213" s="2">
        <f t="shared" si="41"/>
        <v>1</v>
      </c>
      <c r="O213" s="2">
        <f t="shared" si="42"/>
        <v>0</v>
      </c>
      <c r="P213" s="112">
        <f t="shared" si="43"/>
        <v>3</v>
      </c>
      <c r="Q213" s="112">
        <f t="shared" si="44"/>
        <v>0</v>
      </c>
      <c r="R213" s="53"/>
      <c r="S213" s="53" t="str">
        <f t="shared" si="45"/>
        <v>Base S1|Compound V Parallel - Season 1|12|Compound V</v>
      </c>
      <c r="T213" s="57" t="str">
        <f>IF($S213="","",IFERROR(VLOOKUP($S213,'Pop Estimates (Non-#d)'!$N$2:$O$500,2,FALSE),""))</f>
        <v/>
      </c>
      <c r="U213" s="57">
        <f t="shared" si="46"/>
        <v>399</v>
      </c>
      <c r="V213" s="53" t="str">
        <f t="shared" si="47"/>
        <v/>
      </c>
      <c r="W213" s="53" t="str">
        <f t="shared" si="48"/>
        <v/>
      </c>
      <c r="X213" s="53" t="str">
        <f t="shared" si="49"/>
        <v/>
      </c>
      <c r="Y213" s="57" t="str">
        <f>IF($X213="","",IFERROR(VLOOKUP($X213,'Char Popularity'!$A$2:$C$500,2,FALSE),""))</f>
        <v/>
      </c>
      <c r="Z213" s="56">
        <f>IF($X213="",1,IFERROR(VLOOKUP($X213,'Char Popularity'!$A$2:$C$500,3,FALSE),1))</f>
        <v>1</v>
      </c>
      <c r="AA213" s="62">
        <f>IF($H213&lt;&gt;"Y",0,(IF($F213&lt;&gt;"",ROUND(Dashboard!$R$4/$F213,1),IF(AND($I213="Base",$E213="Base"),Dashboard!$R$5,IF(AND($I213="Base",$E213="Red"),Dashboard!$R$6,IF(AND($I213="Base",$E213="Gold"),Dashboard!$R$7,VLOOKUP($I213,Dashboard!$Q$16:$R$21,2,FALSE)))))*VLOOKUP($I213,Dashboard!$Q$9:$R$13,2,FALSE)*IF(AND($I213="Auto",$F213="",OR($B213="Autographs Duals",$B213="Autographs Triples",$B213="Autographs Quads",$B213="Autographs Quads (Inscribed)")),IF($B213="Autographs Duals",2,IF($B213="Autographs Triples",3,4)),1)))</f>
        <v>2.5</v>
      </c>
      <c r="AB213" s="62">
        <f t="shared" si="50"/>
        <v>2.5</v>
      </c>
      <c r="AC213" s="62">
        <f t="shared" si="51"/>
        <v>0</v>
      </c>
    </row>
    <row r="214" spans="1:29" ht="42.95" customHeight="1" x14ac:dyDescent="0.25">
      <c r="A214" s="4" t="s">
        <v>17</v>
      </c>
      <c r="B214" s="7" t="s">
        <v>65</v>
      </c>
      <c r="C214" s="2" t="s">
        <v>1412</v>
      </c>
      <c r="D214" s="7" t="s">
        <v>861</v>
      </c>
      <c r="E214" s="4" t="s">
        <v>778</v>
      </c>
      <c r="F214" s="2">
        <v>399</v>
      </c>
      <c r="G214" s="2" t="s">
        <v>1399</v>
      </c>
      <c r="H214" s="2" t="s">
        <v>1400</v>
      </c>
      <c r="I214" s="4" t="s">
        <v>60</v>
      </c>
      <c r="J214" s="112">
        <f>IF($H214&lt;&gt;"Y",0,ROUND(MIN(Dashboard!$R$24,IF(IFERROR(VLOOKUP($B214,Dashboard!$Q$28:$S$60,2,FALSE),0)&gt;0,IFERROR(VLOOKUP($B214,Dashboard!$Q$28:$S$60,2,FALSE),0),$Z214*IF($U214&lt;&gt;"",ROUND((Dashboard!$R$4/$U214)*VLOOKUP($I214,Dashboard!$Q$9:$R$13,2,FALSE)*IF(ISNUMBER(SEARCH("Duals",$B214)),2,IF(ISNUMBER(SEARCH("Triples",$B214)),3,IF(ISNUMBER(SEARCH("Quads",$B214)),4,1))),2),ROUND(VLOOKUP($I214,Dashboard!$Q$15:$R$20,2,FALSE)*IF($E214="Red",Dashboard!$R$6,IF($E214="Gold",Dashboard!$R$7,Dashboard!$R$5))*IF(ISNUMBER(SEARCH("Duals",$B214)),2,IF(ISNUMBER(SEARCH("Triples",$B214)),3,IF(ISNUMBER(SEARCH("Quads",$B214)),4,1))),2))*IF(IFERROR(VLOOKUP($B214,Dashboard!$Q$28:$S$60,3,FALSE),0)&gt;0,VLOOKUP($B214,Dashboard!$Q$28:$S$60,3,FALSE),1))),0))</f>
        <v>3</v>
      </c>
      <c r="K214" s="2" t="str">
        <f>IF('Base S1'!F14="","",'Base S1'!F14)</f>
        <v>V</v>
      </c>
      <c r="L214" s="2">
        <f t="shared" si="39"/>
        <v>1</v>
      </c>
      <c r="M214" s="2">
        <f t="shared" si="40"/>
        <v>0</v>
      </c>
      <c r="N214" s="2">
        <f t="shared" si="41"/>
        <v>1</v>
      </c>
      <c r="O214" s="2">
        <f t="shared" si="42"/>
        <v>0</v>
      </c>
      <c r="P214" s="112">
        <f t="shared" si="43"/>
        <v>3</v>
      </c>
      <c r="Q214" s="112">
        <f t="shared" si="44"/>
        <v>0</v>
      </c>
      <c r="R214" s="53"/>
      <c r="S214" s="53" t="str">
        <f t="shared" si="45"/>
        <v>Base S1|Compound V Parallel - Season 1|13|Compound V</v>
      </c>
      <c r="T214" s="57" t="str">
        <f>IF($S214="","",IFERROR(VLOOKUP($S214,'Pop Estimates (Non-#d)'!$N$2:$O$500,2,FALSE),""))</f>
        <v/>
      </c>
      <c r="U214" s="57">
        <f t="shared" si="46"/>
        <v>399</v>
      </c>
      <c r="V214" s="53" t="str">
        <f t="shared" si="47"/>
        <v/>
      </c>
      <c r="W214" s="53" t="str">
        <f t="shared" si="48"/>
        <v/>
      </c>
      <c r="X214" s="53" t="str">
        <f t="shared" si="49"/>
        <v/>
      </c>
      <c r="Y214" s="57" t="str">
        <f>IF($X214="","",IFERROR(VLOOKUP($X214,'Char Popularity'!$A$2:$C$500,2,FALSE),""))</f>
        <v/>
      </c>
      <c r="Z214" s="56">
        <f>IF($X214="",1,IFERROR(VLOOKUP($X214,'Char Popularity'!$A$2:$C$500,3,FALSE),1))</f>
        <v>1</v>
      </c>
      <c r="AA214" s="62">
        <f>IF($H214&lt;&gt;"Y",0,(IF($F214&lt;&gt;"",ROUND(Dashboard!$R$4/$F214,1),IF(AND($I214="Base",$E214="Base"),Dashboard!$R$5,IF(AND($I214="Base",$E214="Red"),Dashboard!$R$6,IF(AND($I214="Base",$E214="Gold"),Dashboard!$R$7,VLOOKUP($I214,Dashboard!$Q$16:$R$21,2,FALSE)))))*VLOOKUP($I214,Dashboard!$Q$9:$R$13,2,FALSE)*IF(AND($I214="Auto",$F214="",OR($B214="Autographs Duals",$B214="Autographs Triples",$B214="Autographs Quads",$B214="Autographs Quads (Inscribed)")),IF($B214="Autographs Duals",2,IF($B214="Autographs Triples",3,4)),1)))</f>
        <v>2.5</v>
      </c>
      <c r="AB214" s="62">
        <f t="shared" si="50"/>
        <v>2.5</v>
      </c>
      <c r="AC214" s="62">
        <f t="shared" si="51"/>
        <v>0</v>
      </c>
    </row>
    <row r="215" spans="1:29" ht="42.95" customHeight="1" x14ac:dyDescent="0.25">
      <c r="A215" s="4" t="s">
        <v>17</v>
      </c>
      <c r="B215" s="7" t="s">
        <v>65</v>
      </c>
      <c r="C215" s="2" t="s">
        <v>1413</v>
      </c>
      <c r="D215" s="7" t="s">
        <v>863</v>
      </c>
      <c r="E215" s="4" t="s">
        <v>778</v>
      </c>
      <c r="F215" s="2">
        <v>399</v>
      </c>
      <c r="G215" s="2" t="s">
        <v>1399</v>
      </c>
      <c r="H215" s="2" t="s">
        <v>1400</v>
      </c>
      <c r="I215" s="4" t="s">
        <v>60</v>
      </c>
      <c r="J215" s="112">
        <f>IF($H215&lt;&gt;"Y",0,ROUND(MIN(Dashboard!$R$24,IF(IFERROR(VLOOKUP($B215,Dashboard!$Q$28:$S$60,2,FALSE),0)&gt;0,IFERROR(VLOOKUP($B215,Dashboard!$Q$28:$S$60,2,FALSE),0),$Z215*IF($U215&lt;&gt;"",ROUND((Dashboard!$R$4/$U215)*VLOOKUP($I215,Dashboard!$Q$9:$R$13,2,FALSE)*IF(ISNUMBER(SEARCH("Duals",$B215)),2,IF(ISNUMBER(SEARCH("Triples",$B215)),3,IF(ISNUMBER(SEARCH("Quads",$B215)),4,1))),2),ROUND(VLOOKUP($I215,Dashboard!$Q$15:$R$20,2,FALSE)*IF($E215="Red",Dashboard!$R$6,IF($E215="Gold",Dashboard!$R$7,Dashboard!$R$5))*IF(ISNUMBER(SEARCH("Duals",$B215)),2,IF(ISNUMBER(SEARCH("Triples",$B215)),3,IF(ISNUMBER(SEARCH("Quads",$B215)),4,1))),2))*IF(IFERROR(VLOOKUP($B215,Dashboard!$Q$28:$S$60,3,FALSE),0)&gt;0,VLOOKUP($B215,Dashboard!$Q$28:$S$60,3,FALSE),1))),0))</f>
        <v>3</v>
      </c>
      <c r="K215" s="2" t="str">
        <f>IF('Base S1'!F15="","",'Base S1'!F15)</f>
        <v>V</v>
      </c>
      <c r="L215" s="2">
        <f t="shared" si="39"/>
        <v>1</v>
      </c>
      <c r="M215" s="2">
        <f t="shared" si="40"/>
        <v>0</v>
      </c>
      <c r="N215" s="2">
        <f t="shared" si="41"/>
        <v>1</v>
      </c>
      <c r="O215" s="2">
        <f t="shared" si="42"/>
        <v>0</v>
      </c>
      <c r="P215" s="112">
        <f t="shared" si="43"/>
        <v>3</v>
      </c>
      <c r="Q215" s="112">
        <f t="shared" si="44"/>
        <v>0</v>
      </c>
      <c r="R215" s="53"/>
      <c r="S215" s="53" t="str">
        <f t="shared" si="45"/>
        <v>Base S1|Compound V Parallel - Season 1|14|Compound V</v>
      </c>
      <c r="T215" s="57" t="str">
        <f>IF($S215="","",IFERROR(VLOOKUP($S215,'Pop Estimates (Non-#d)'!$N$2:$O$500,2,FALSE),""))</f>
        <v/>
      </c>
      <c r="U215" s="57">
        <f t="shared" si="46"/>
        <v>399</v>
      </c>
      <c r="V215" s="53" t="str">
        <f t="shared" si="47"/>
        <v/>
      </c>
      <c r="W215" s="53" t="str">
        <f t="shared" si="48"/>
        <v/>
      </c>
      <c r="X215" s="53" t="str">
        <f t="shared" si="49"/>
        <v/>
      </c>
      <c r="Y215" s="57" t="str">
        <f>IF($X215="","",IFERROR(VLOOKUP($X215,'Char Popularity'!$A$2:$C$500,2,FALSE),""))</f>
        <v/>
      </c>
      <c r="Z215" s="56">
        <f>IF($X215="",1,IFERROR(VLOOKUP($X215,'Char Popularity'!$A$2:$C$500,3,FALSE),1))</f>
        <v>1</v>
      </c>
      <c r="AA215" s="62">
        <f>IF($H215&lt;&gt;"Y",0,(IF($F215&lt;&gt;"",ROUND(Dashboard!$R$4/$F215,1),IF(AND($I215="Base",$E215="Base"),Dashboard!$R$5,IF(AND($I215="Base",$E215="Red"),Dashboard!$R$6,IF(AND($I215="Base",$E215="Gold"),Dashboard!$R$7,VLOOKUP($I215,Dashboard!$Q$16:$R$21,2,FALSE)))))*VLOOKUP($I215,Dashboard!$Q$9:$R$13,2,FALSE)*IF(AND($I215="Auto",$F215="",OR($B215="Autographs Duals",$B215="Autographs Triples",$B215="Autographs Quads",$B215="Autographs Quads (Inscribed)")),IF($B215="Autographs Duals",2,IF($B215="Autographs Triples",3,4)),1)))</f>
        <v>2.5</v>
      </c>
      <c r="AB215" s="62">
        <f t="shared" si="50"/>
        <v>2.5</v>
      </c>
      <c r="AC215" s="62">
        <f t="shared" si="51"/>
        <v>0</v>
      </c>
    </row>
    <row r="216" spans="1:29" ht="42.95" customHeight="1" x14ac:dyDescent="0.25">
      <c r="A216" s="4" t="s">
        <v>17</v>
      </c>
      <c r="B216" s="7" t="s">
        <v>65</v>
      </c>
      <c r="C216" s="2" t="s">
        <v>1414</v>
      </c>
      <c r="D216" s="7" t="s">
        <v>866</v>
      </c>
      <c r="E216" s="4" t="s">
        <v>778</v>
      </c>
      <c r="F216" s="2">
        <v>399</v>
      </c>
      <c r="G216" s="2" t="s">
        <v>1399</v>
      </c>
      <c r="H216" s="2" t="s">
        <v>1400</v>
      </c>
      <c r="I216" s="4" t="s">
        <v>60</v>
      </c>
      <c r="J216" s="112">
        <f>IF($H216&lt;&gt;"Y",0,ROUND(MIN(Dashboard!$R$24,IF(IFERROR(VLOOKUP($B216,Dashboard!$Q$28:$S$60,2,FALSE),0)&gt;0,IFERROR(VLOOKUP($B216,Dashboard!$Q$28:$S$60,2,FALSE),0),$Z216*IF($U216&lt;&gt;"",ROUND((Dashboard!$R$4/$U216)*VLOOKUP($I216,Dashboard!$Q$9:$R$13,2,FALSE)*IF(ISNUMBER(SEARCH("Duals",$B216)),2,IF(ISNUMBER(SEARCH("Triples",$B216)),3,IF(ISNUMBER(SEARCH("Quads",$B216)),4,1))),2),ROUND(VLOOKUP($I216,Dashboard!$Q$15:$R$20,2,FALSE)*IF($E216="Red",Dashboard!$R$6,IF($E216="Gold",Dashboard!$R$7,Dashboard!$R$5))*IF(ISNUMBER(SEARCH("Duals",$B216)),2,IF(ISNUMBER(SEARCH("Triples",$B216)),3,IF(ISNUMBER(SEARCH("Quads",$B216)),4,1))),2))*IF(IFERROR(VLOOKUP($B216,Dashboard!$Q$28:$S$60,3,FALSE),0)&gt;0,VLOOKUP($B216,Dashboard!$Q$28:$S$60,3,FALSE),1))),0))</f>
        <v>3</v>
      </c>
      <c r="K216" s="2" t="str">
        <f>IF('Base S1'!F16="","",'Base S1'!F16)</f>
        <v>V</v>
      </c>
      <c r="L216" s="2">
        <f t="shared" si="39"/>
        <v>1</v>
      </c>
      <c r="M216" s="2">
        <f t="shared" si="40"/>
        <v>0</v>
      </c>
      <c r="N216" s="2">
        <f t="shared" si="41"/>
        <v>1</v>
      </c>
      <c r="O216" s="2">
        <f t="shared" si="42"/>
        <v>0</v>
      </c>
      <c r="P216" s="112">
        <f t="shared" si="43"/>
        <v>3</v>
      </c>
      <c r="Q216" s="112">
        <f t="shared" si="44"/>
        <v>0</v>
      </c>
      <c r="R216" s="53"/>
      <c r="S216" s="53" t="str">
        <f t="shared" si="45"/>
        <v>Base S1|Compound V Parallel - Season 1|15|Compound V</v>
      </c>
      <c r="T216" s="57" t="str">
        <f>IF($S216="","",IFERROR(VLOOKUP($S216,'Pop Estimates (Non-#d)'!$N$2:$O$500,2,FALSE),""))</f>
        <v/>
      </c>
      <c r="U216" s="57">
        <f t="shared" si="46"/>
        <v>399</v>
      </c>
      <c r="V216" s="53" t="str">
        <f t="shared" si="47"/>
        <v/>
      </c>
      <c r="W216" s="53" t="str">
        <f t="shared" si="48"/>
        <v/>
      </c>
      <c r="X216" s="53" t="str">
        <f t="shared" si="49"/>
        <v/>
      </c>
      <c r="Y216" s="57" t="str">
        <f>IF($X216="","",IFERROR(VLOOKUP($X216,'Char Popularity'!$A$2:$C$500,2,FALSE),""))</f>
        <v/>
      </c>
      <c r="Z216" s="56">
        <f>IF($X216="",1,IFERROR(VLOOKUP($X216,'Char Popularity'!$A$2:$C$500,3,FALSE),1))</f>
        <v>1</v>
      </c>
      <c r="AA216" s="62">
        <f>IF($H216&lt;&gt;"Y",0,(IF($F216&lt;&gt;"",ROUND(Dashboard!$R$4/$F216,1),IF(AND($I216="Base",$E216="Base"),Dashboard!$R$5,IF(AND($I216="Base",$E216="Red"),Dashboard!$R$6,IF(AND($I216="Base",$E216="Gold"),Dashboard!$R$7,VLOOKUP($I216,Dashboard!$Q$16:$R$21,2,FALSE)))))*VLOOKUP($I216,Dashboard!$Q$9:$R$13,2,FALSE)*IF(AND($I216="Auto",$F216="",OR($B216="Autographs Duals",$B216="Autographs Triples",$B216="Autographs Quads",$B216="Autographs Quads (Inscribed)")),IF($B216="Autographs Duals",2,IF($B216="Autographs Triples",3,4)),1)))</f>
        <v>2.5</v>
      </c>
      <c r="AB216" s="62">
        <f t="shared" si="50"/>
        <v>2.5</v>
      </c>
      <c r="AC216" s="62">
        <f t="shared" si="51"/>
        <v>0</v>
      </c>
    </row>
    <row r="217" spans="1:29" ht="42.95" customHeight="1" x14ac:dyDescent="0.25">
      <c r="A217" s="4" t="s">
        <v>17</v>
      </c>
      <c r="B217" s="7" t="s">
        <v>65</v>
      </c>
      <c r="C217" s="2" t="s">
        <v>1415</v>
      </c>
      <c r="D217" s="7" t="s">
        <v>869</v>
      </c>
      <c r="E217" s="4" t="s">
        <v>778</v>
      </c>
      <c r="F217" s="2">
        <v>399</v>
      </c>
      <c r="G217" s="2" t="s">
        <v>1399</v>
      </c>
      <c r="H217" s="2" t="s">
        <v>1400</v>
      </c>
      <c r="I217" s="4" t="s">
        <v>60</v>
      </c>
      <c r="J217" s="112">
        <f>IF($H217&lt;&gt;"Y",0,ROUND(MIN(Dashboard!$R$24,IF(IFERROR(VLOOKUP($B217,Dashboard!$Q$28:$S$60,2,FALSE),0)&gt;0,IFERROR(VLOOKUP($B217,Dashboard!$Q$28:$S$60,2,FALSE),0),$Z217*IF($U217&lt;&gt;"",ROUND((Dashboard!$R$4/$U217)*VLOOKUP($I217,Dashboard!$Q$9:$R$13,2,FALSE)*IF(ISNUMBER(SEARCH("Duals",$B217)),2,IF(ISNUMBER(SEARCH("Triples",$B217)),3,IF(ISNUMBER(SEARCH("Quads",$B217)),4,1))),2),ROUND(VLOOKUP($I217,Dashboard!$Q$15:$R$20,2,FALSE)*IF($E217="Red",Dashboard!$R$6,IF($E217="Gold",Dashboard!$R$7,Dashboard!$R$5))*IF(ISNUMBER(SEARCH("Duals",$B217)),2,IF(ISNUMBER(SEARCH("Triples",$B217)),3,IF(ISNUMBER(SEARCH("Quads",$B217)),4,1))),2))*IF(IFERROR(VLOOKUP($B217,Dashboard!$Q$28:$S$60,3,FALSE),0)&gt;0,VLOOKUP($B217,Dashboard!$Q$28:$S$60,3,FALSE),1))),0))</f>
        <v>3</v>
      </c>
      <c r="K217" s="2" t="str">
        <f>IF('Base S1'!F17="","",'Base S1'!F17)</f>
        <v>V</v>
      </c>
      <c r="L217" s="2">
        <f t="shared" si="39"/>
        <v>1</v>
      </c>
      <c r="M217" s="2">
        <f t="shared" si="40"/>
        <v>0</v>
      </c>
      <c r="N217" s="2">
        <f t="shared" si="41"/>
        <v>1</v>
      </c>
      <c r="O217" s="2">
        <f t="shared" si="42"/>
        <v>0</v>
      </c>
      <c r="P217" s="112">
        <f t="shared" si="43"/>
        <v>3</v>
      </c>
      <c r="Q217" s="112">
        <f t="shared" si="44"/>
        <v>0</v>
      </c>
      <c r="R217" s="53"/>
      <c r="S217" s="53" t="str">
        <f t="shared" si="45"/>
        <v>Base S1|Compound V Parallel - Season 1|16|Compound V</v>
      </c>
      <c r="T217" s="57" t="str">
        <f>IF($S217="","",IFERROR(VLOOKUP($S217,'Pop Estimates (Non-#d)'!$N$2:$O$500,2,FALSE),""))</f>
        <v/>
      </c>
      <c r="U217" s="57">
        <f t="shared" si="46"/>
        <v>399</v>
      </c>
      <c r="V217" s="53" t="str">
        <f t="shared" si="47"/>
        <v/>
      </c>
      <c r="W217" s="53" t="str">
        <f t="shared" si="48"/>
        <v/>
      </c>
      <c r="X217" s="53" t="str">
        <f t="shared" si="49"/>
        <v/>
      </c>
      <c r="Y217" s="57" t="str">
        <f>IF($X217="","",IFERROR(VLOOKUP($X217,'Char Popularity'!$A$2:$C$500,2,FALSE),""))</f>
        <v/>
      </c>
      <c r="Z217" s="56">
        <f>IF($X217="",1,IFERROR(VLOOKUP($X217,'Char Popularity'!$A$2:$C$500,3,FALSE),1))</f>
        <v>1</v>
      </c>
      <c r="AA217" s="62">
        <f>IF($H217&lt;&gt;"Y",0,(IF($F217&lt;&gt;"",ROUND(Dashboard!$R$4/$F217,1),IF(AND($I217="Base",$E217="Base"),Dashboard!$R$5,IF(AND($I217="Base",$E217="Red"),Dashboard!$R$6,IF(AND($I217="Base",$E217="Gold"),Dashboard!$R$7,VLOOKUP($I217,Dashboard!$Q$16:$R$21,2,FALSE)))))*VLOOKUP($I217,Dashboard!$Q$9:$R$13,2,FALSE)*IF(AND($I217="Auto",$F217="",OR($B217="Autographs Duals",$B217="Autographs Triples",$B217="Autographs Quads",$B217="Autographs Quads (Inscribed)")),IF($B217="Autographs Duals",2,IF($B217="Autographs Triples",3,4)),1)))</f>
        <v>2.5</v>
      </c>
      <c r="AB217" s="62">
        <f t="shared" si="50"/>
        <v>2.5</v>
      </c>
      <c r="AC217" s="62">
        <f t="shared" si="51"/>
        <v>0</v>
      </c>
    </row>
    <row r="218" spans="1:29" ht="42.95" customHeight="1" x14ac:dyDescent="0.25">
      <c r="A218" s="4" t="s">
        <v>17</v>
      </c>
      <c r="B218" s="7" t="s">
        <v>65</v>
      </c>
      <c r="C218" s="2" t="s">
        <v>1416</v>
      </c>
      <c r="D218" s="7" t="s">
        <v>874</v>
      </c>
      <c r="E218" s="4" t="s">
        <v>778</v>
      </c>
      <c r="F218" s="2">
        <v>399</v>
      </c>
      <c r="G218" s="2" t="s">
        <v>1399</v>
      </c>
      <c r="H218" s="2" t="s">
        <v>1400</v>
      </c>
      <c r="I218" s="4" t="s">
        <v>60</v>
      </c>
      <c r="J218" s="112">
        <f>IF($H218&lt;&gt;"Y",0,ROUND(MIN(Dashboard!$R$24,IF(IFERROR(VLOOKUP($B218,Dashboard!$Q$28:$S$60,2,FALSE),0)&gt;0,IFERROR(VLOOKUP($B218,Dashboard!$Q$28:$S$60,2,FALSE),0),$Z218*IF($U218&lt;&gt;"",ROUND((Dashboard!$R$4/$U218)*VLOOKUP($I218,Dashboard!$Q$9:$R$13,2,FALSE)*IF(ISNUMBER(SEARCH("Duals",$B218)),2,IF(ISNUMBER(SEARCH("Triples",$B218)),3,IF(ISNUMBER(SEARCH("Quads",$B218)),4,1))),2),ROUND(VLOOKUP($I218,Dashboard!$Q$15:$R$20,2,FALSE)*IF($E218="Red",Dashboard!$R$6,IF($E218="Gold",Dashboard!$R$7,Dashboard!$R$5))*IF(ISNUMBER(SEARCH("Duals",$B218)),2,IF(ISNUMBER(SEARCH("Triples",$B218)),3,IF(ISNUMBER(SEARCH("Quads",$B218)),4,1))),2))*IF(IFERROR(VLOOKUP($B218,Dashboard!$Q$28:$S$60,3,FALSE),0)&gt;0,VLOOKUP($B218,Dashboard!$Q$28:$S$60,3,FALSE),1))),0))</f>
        <v>3</v>
      </c>
      <c r="K218" s="2" t="str">
        <f>IF('Base S1'!F18="","",'Base S1'!F18)</f>
        <v>V</v>
      </c>
      <c r="L218" s="2">
        <f t="shared" si="39"/>
        <v>1</v>
      </c>
      <c r="M218" s="2">
        <f t="shared" si="40"/>
        <v>0</v>
      </c>
      <c r="N218" s="2">
        <f t="shared" si="41"/>
        <v>1</v>
      </c>
      <c r="O218" s="2">
        <f t="shared" si="42"/>
        <v>0</v>
      </c>
      <c r="P218" s="112">
        <f t="shared" si="43"/>
        <v>3</v>
      </c>
      <c r="Q218" s="112">
        <f t="shared" si="44"/>
        <v>0</v>
      </c>
      <c r="R218" s="53"/>
      <c r="S218" s="53" t="str">
        <f t="shared" si="45"/>
        <v>Base S1|Compound V Parallel - Season 1|17|Compound V</v>
      </c>
      <c r="T218" s="57" t="str">
        <f>IF($S218="","",IFERROR(VLOOKUP($S218,'Pop Estimates (Non-#d)'!$N$2:$O$500,2,FALSE),""))</f>
        <v/>
      </c>
      <c r="U218" s="57">
        <f t="shared" si="46"/>
        <v>399</v>
      </c>
      <c r="V218" s="53" t="str">
        <f t="shared" si="47"/>
        <v/>
      </c>
      <c r="W218" s="53" t="str">
        <f t="shared" si="48"/>
        <v/>
      </c>
      <c r="X218" s="53" t="str">
        <f t="shared" si="49"/>
        <v/>
      </c>
      <c r="Y218" s="57" t="str">
        <f>IF($X218="","",IFERROR(VLOOKUP($X218,'Char Popularity'!$A$2:$C$500,2,FALSE),""))</f>
        <v/>
      </c>
      <c r="Z218" s="56">
        <f>IF($X218="",1,IFERROR(VLOOKUP($X218,'Char Popularity'!$A$2:$C$500,3,FALSE),1))</f>
        <v>1</v>
      </c>
      <c r="AA218" s="62">
        <f>IF($H218&lt;&gt;"Y",0,(IF($F218&lt;&gt;"",ROUND(Dashboard!$R$4/$F218,1),IF(AND($I218="Base",$E218="Base"),Dashboard!$R$5,IF(AND($I218="Base",$E218="Red"),Dashboard!$R$6,IF(AND($I218="Base",$E218="Gold"),Dashboard!$R$7,VLOOKUP($I218,Dashboard!$Q$16:$R$21,2,FALSE)))))*VLOOKUP($I218,Dashboard!$Q$9:$R$13,2,FALSE)*IF(AND($I218="Auto",$F218="",OR($B218="Autographs Duals",$B218="Autographs Triples",$B218="Autographs Quads",$B218="Autographs Quads (Inscribed)")),IF($B218="Autographs Duals",2,IF($B218="Autographs Triples",3,4)),1)))</f>
        <v>2.5</v>
      </c>
      <c r="AB218" s="62">
        <f t="shared" si="50"/>
        <v>2.5</v>
      </c>
      <c r="AC218" s="62">
        <f t="shared" si="51"/>
        <v>0</v>
      </c>
    </row>
    <row r="219" spans="1:29" ht="42.95" customHeight="1" x14ac:dyDescent="0.25">
      <c r="A219" s="4" t="s">
        <v>17</v>
      </c>
      <c r="B219" s="7" t="s">
        <v>65</v>
      </c>
      <c r="C219" s="2" t="s">
        <v>1417</v>
      </c>
      <c r="D219" s="7" t="s">
        <v>877</v>
      </c>
      <c r="E219" s="4" t="s">
        <v>778</v>
      </c>
      <c r="F219" s="2">
        <v>399</v>
      </c>
      <c r="G219" s="2" t="s">
        <v>1399</v>
      </c>
      <c r="H219" s="2" t="s">
        <v>1400</v>
      </c>
      <c r="I219" s="4" t="s">
        <v>60</v>
      </c>
      <c r="J219" s="112">
        <f>IF($H219&lt;&gt;"Y",0,ROUND(MIN(Dashboard!$R$24,IF(IFERROR(VLOOKUP($B219,Dashboard!$Q$28:$S$60,2,FALSE),0)&gt;0,IFERROR(VLOOKUP($B219,Dashboard!$Q$28:$S$60,2,FALSE),0),$Z219*IF($U219&lt;&gt;"",ROUND((Dashboard!$R$4/$U219)*VLOOKUP($I219,Dashboard!$Q$9:$R$13,2,FALSE)*IF(ISNUMBER(SEARCH("Duals",$B219)),2,IF(ISNUMBER(SEARCH("Triples",$B219)),3,IF(ISNUMBER(SEARCH("Quads",$B219)),4,1))),2),ROUND(VLOOKUP($I219,Dashboard!$Q$15:$R$20,2,FALSE)*IF($E219="Red",Dashboard!$R$6,IF($E219="Gold",Dashboard!$R$7,Dashboard!$R$5))*IF(ISNUMBER(SEARCH("Duals",$B219)),2,IF(ISNUMBER(SEARCH("Triples",$B219)),3,IF(ISNUMBER(SEARCH("Quads",$B219)),4,1))),2))*IF(IFERROR(VLOOKUP($B219,Dashboard!$Q$28:$S$60,3,FALSE),0)&gt;0,VLOOKUP($B219,Dashboard!$Q$28:$S$60,3,FALSE),1))),0))</f>
        <v>3</v>
      </c>
      <c r="K219" s="2" t="str">
        <f>IF('Base S1'!F19="","",'Base S1'!F19)</f>
        <v>V</v>
      </c>
      <c r="L219" s="2">
        <f t="shared" si="39"/>
        <v>1</v>
      </c>
      <c r="M219" s="2">
        <f t="shared" si="40"/>
        <v>0</v>
      </c>
      <c r="N219" s="2">
        <f t="shared" si="41"/>
        <v>1</v>
      </c>
      <c r="O219" s="2">
        <f t="shared" si="42"/>
        <v>0</v>
      </c>
      <c r="P219" s="112">
        <f t="shared" si="43"/>
        <v>3</v>
      </c>
      <c r="Q219" s="112">
        <f t="shared" si="44"/>
        <v>0</v>
      </c>
      <c r="R219" s="53"/>
      <c r="S219" s="53" t="str">
        <f t="shared" si="45"/>
        <v>Base S1|Compound V Parallel - Season 1|18|Compound V</v>
      </c>
      <c r="T219" s="57" t="str">
        <f>IF($S219="","",IFERROR(VLOOKUP($S219,'Pop Estimates (Non-#d)'!$N$2:$O$500,2,FALSE),""))</f>
        <v/>
      </c>
      <c r="U219" s="57">
        <f t="shared" si="46"/>
        <v>399</v>
      </c>
      <c r="V219" s="53" t="str">
        <f t="shared" si="47"/>
        <v/>
      </c>
      <c r="W219" s="53" t="str">
        <f t="shared" si="48"/>
        <v/>
      </c>
      <c r="X219" s="53" t="str">
        <f t="shared" si="49"/>
        <v/>
      </c>
      <c r="Y219" s="57" t="str">
        <f>IF($X219="","",IFERROR(VLOOKUP($X219,'Char Popularity'!$A$2:$C$500,2,FALSE),""))</f>
        <v/>
      </c>
      <c r="Z219" s="56">
        <f>IF($X219="",1,IFERROR(VLOOKUP($X219,'Char Popularity'!$A$2:$C$500,3,FALSE),1))</f>
        <v>1</v>
      </c>
      <c r="AA219" s="62">
        <f>IF($H219&lt;&gt;"Y",0,(IF($F219&lt;&gt;"",ROUND(Dashboard!$R$4/$F219,1),IF(AND($I219="Base",$E219="Base"),Dashboard!$R$5,IF(AND($I219="Base",$E219="Red"),Dashboard!$R$6,IF(AND($I219="Base",$E219="Gold"),Dashboard!$R$7,VLOOKUP($I219,Dashboard!$Q$16:$R$21,2,FALSE)))))*VLOOKUP($I219,Dashboard!$Q$9:$R$13,2,FALSE)*IF(AND($I219="Auto",$F219="",OR($B219="Autographs Duals",$B219="Autographs Triples",$B219="Autographs Quads",$B219="Autographs Quads (Inscribed)")),IF($B219="Autographs Duals",2,IF($B219="Autographs Triples",3,4)),1)))</f>
        <v>2.5</v>
      </c>
      <c r="AB219" s="62">
        <f t="shared" si="50"/>
        <v>2.5</v>
      </c>
      <c r="AC219" s="62">
        <f t="shared" si="51"/>
        <v>0</v>
      </c>
    </row>
    <row r="220" spans="1:29" ht="42.95" customHeight="1" x14ac:dyDescent="0.25">
      <c r="A220" s="4" t="s">
        <v>17</v>
      </c>
      <c r="B220" s="7" t="s">
        <v>65</v>
      </c>
      <c r="C220" s="2" t="s">
        <v>1418</v>
      </c>
      <c r="D220" s="7" t="s">
        <v>879</v>
      </c>
      <c r="E220" s="4" t="s">
        <v>778</v>
      </c>
      <c r="F220" s="2">
        <v>399</v>
      </c>
      <c r="G220" s="2" t="s">
        <v>1399</v>
      </c>
      <c r="H220" s="2" t="s">
        <v>1400</v>
      </c>
      <c r="I220" s="4" t="s">
        <v>60</v>
      </c>
      <c r="J220" s="112">
        <f>IF($H220&lt;&gt;"Y",0,ROUND(MIN(Dashboard!$R$24,IF(IFERROR(VLOOKUP($B220,Dashboard!$Q$28:$S$60,2,FALSE),0)&gt;0,IFERROR(VLOOKUP($B220,Dashboard!$Q$28:$S$60,2,FALSE),0),$Z220*IF($U220&lt;&gt;"",ROUND((Dashboard!$R$4/$U220)*VLOOKUP($I220,Dashboard!$Q$9:$R$13,2,FALSE)*IF(ISNUMBER(SEARCH("Duals",$B220)),2,IF(ISNUMBER(SEARCH("Triples",$B220)),3,IF(ISNUMBER(SEARCH("Quads",$B220)),4,1))),2),ROUND(VLOOKUP($I220,Dashboard!$Q$15:$R$20,2,FALSE)*IF($E220="Red",Dashboard!$R$6,IF($E220="Gold",Dashboard!$R$7,Dashboard!$R$5))*IF(ISNUMBER(SEARCH("Duals",$B220)),2,IF(ISNUMBER(SEARCH("Triples",$B220)),3,IF(ISNUMBER(SEARCH("Quads",$B220)),4,1))),2))*IF(IFERROR(VLOOKUP($B220,Dashboard!$Q$28:$S$60,3,FALSE),0)&gt;0,VLOOKUP($B220,Dashboard!$Q$28:$S$60,3,FALSE),1))),0))</f>
        <v>3</v>
      </c>
      <c r="K220" s="2" t="str">
        <f>IF('Base S1'!F20="","",'Base S1'!F20)</f>
        <v>V</v>
      </c>
      <c r="L220" s="2">
        <f t="shared" si="39"/>
        <v>1</v>
      </c>
      <c r="M220" s="2">
        <f t="shared" si="40"/>
        <v>0</v>
      </c>
      <c r="N220" s="2">
        <f t="shared" si="41"/>
        <v>1</v>
      </c>
      <c r="O220" s="2">
        <f t="shared" si="42"/>
        <v>0</v>
      </c>
      <c r="P220" s="112">
        <f t="shared" si="43"/>
        <v>3</v>
      </c>
      <c r="Q220" s="112">
        <f t="shared" si="44"/>
        <v>0</v>
      </c>
      <c r="R220" s="53"/>
      <c r="S220" s="53" t="str">
        <f t="shared" si="45"/>
        <v>Base S1|Compound V Parallel - Season 1|19|Compound V</v>
      </c>
      <c r="T220" s="57" t="str">
        <f>IF($S220="","",IFERROR(VLOOKUP($S220,'Pop Estimates (Non-#d)'!$N$2:$O$500,2,FALSE),""))</f>
        <v/>
      </c>
      <c r="U220" s="57">
        <f t="shared" si="46"/>
        <v>399</v>
      </c>
      <c r="V220" s="53" t="str">
        <f t="shared" si="47"/>
        <v/>
      </c>
      <c r="W220" s="53" t="str">
        <f t="shared" si="48"/>
        <v/>
      </c>
      <c r="X220" s="53" t="str">
        <f t="shared" si="49"/>
        <v/>
      </c>
      <c r="Y220" s="57" t="str">
        <f>IF($X220="","",IFERROR(VLOOKUP($X220,'Char Popularity'!$A$2:$C$500,2,FALSE),""))</f>
        <v/>
      </c>
      <c r="Z220" s="56">
        <f>IF($X220="",1,IFERROR(VLOOKUP($X220,'Char Popularity'!$A$2:$C$500,3,FALSE),1))</f>
        <v>1</v>
      </c>
      <c r="AA220" s="62">
        <f>IF($H220&lt;&gt;"Y",0,(IF($F220&lt;&gt;"",ROUND(Dashboard!$R$4/$F220,1),IF(AND($I220="Base",$E220="Base"),Dashboard!$R$5,IF(AND($I220="Base",$E220="Red"),Dashboard!$R$6,IF(AND($I220="Base",$E220="Gold"),Dashboard!$R$7,VLOOKUP($I220,Dashboard!$Q$16:$R$21,2,FALSE)))))*VLOOKUP($I220,Dashboard!$Q$9:$R$13,2,FALSE)*IF(AND($I220="Auto",$F220="",OR($B220="Autographs Duals",$B220="Autographs Triples",$B220="Autographs Quads",$B220="Autographs Quads (Inscribed)")),IF($B220="Autographs Duals",2,IF($B220="Autographs Triples",3,4)),1)))</f>
        <v>2.5</v>
      </c>
      <c r="AB220" s="62">
        <f t="shared" si="50"/>
        <v>2.5</v>
      </c>
      <c r="AC220" s="62">
        <f t="shared" si="51"/>
        <v>0</v>
      </c>
    </row>
    <row r="221" spans="1:29" ht="42.95" customHeight="1" x14ac:dyDescent="0.25">
      <c r="A221" s="4" t="s">
        <v>17</v>
      </c>
      <c r="B221" s="7" t="s">
        <v>65</v>
      </c>
      <c r="C221" s="2" t="s">
        <v>1419</v>
      </c>
      <c r="D221" s="7" t="s">
        <v>881</v>
      </c>
      <c r="E221" s="4" t="s">
        <v>778</v>
      </c>
      <c r="F221" s="2">
        <v>399</v>
      </c>
      <c r="G221" s="2" t="s">
        <v>1399</v>
      </c>
      <c r="H221" s="2" t="s">
        <v>1400</v>
      </c>
      <c r="I221" s="4" t="s">
        <v>60</v>
      </c>
      <c r="J221" s="112">
        <f>IF($H221&lt;&gt;"Y",0,ROUND(MIN(Dashboard!$R$24,IF(IFERROR(VLOOKUP($B221,Dashboard!$Q$28:$S$60,2,FALSE),0)&gt;0,IFERROR(VLOOKUP($B221,Dashboard!$Q$28:$S$60,2,FALSE),0),$Z221*IF($U221&lt;&gt;"",ROUND((Dashboard!$R$4/$U221)*VLOOKUP($I221,Dashboard!$Q$9:$R$13,2,FALSE)*IF(ISNUMBER(SEARCH("Duals",$B221)),2,IF(ISNUMBER(SEARCH("Triples",$B221)),3,IF(ISNUMBER(SEARCH("Quads",$B221)),4,1))),2),ROUND(VLOOKUP($I221,Dashboard!$Q$15:$R$20,2,FALSE)*IF($E221="Red",Dashboard!$R$6,IF($E221="Gold",Dashboard!$R$7,Dashboard!$R$5))*IF(ISNUMBER(SEARCH("Duals",$B221)),2,IF(ISNUMBER(SEARCH("Triples",$B221)),3,IF(ISNUMBER(SEARCH("Quads",$B221)),4,1))),2))*IF(IFERROR(VLOOKUP($B221,Dashboard!$Q$28:$S$60,3,FALSE),0)&gt;0,VLOOKUP($B221,Dashboard!$Q$28:$S$60,3,FALSE),1))),0))</f>
        <v>3</v>
      </c>
      <c r="K221" s="2" t="str">
        <f>IF('Base S1'!F21="","",'Base S1'!F21)</f>
        <v>V</v>
      </c>
      <c r="L221" s="2">
        <f t="shared" si="39"/>
        <v>1</v>
      </c>
      <c r="M221" s="2">
        <f t="shared" si="40"/>
        <v>0</v>
      </c>
      <c r="N221" s="2">
        <f t="shared" si="41"/>
        <v>1</v>
      </c>
      <c r="O221" s="2">
        <f t="shared" si="42"/>
        <v>0</v>
      </c>
      <c r="P221" s="112">
        <f t="shared" si="43"/>
        <v>3</v>
      </c>
      <c r="Q221" s="112">
        <f t="shared" si="44"/>
        <v>0</v>
      </c>
      <c r="R221" s="53"/>
      <c r="S221" s="53" t="str">
        <f t="shared" si="45"/>
        <v>Base S1|Compound V Parallel - Season 1|20|Compound V</v>
      </c>
      <c r="T221" s="57" t="str">
        <f>IF($S221="","",IFERROR(VLOOKUP($S221,'Pop Estimates (Non-#d)'!$N$2:$O$500,2,FALSE),""))</f>
        <v/>
      </c>
      <c r="U221" s="57">
        <f t="shared" si="46"/>
        <v>399</v>
      </c>
      <c r="V221" s="53" t="str">
        <f t="shared" si="47"/>
        <v/>
      </c>
      <c r="W221" s="53" t="str">
        <f t="shared" si="48"/>
        <v/>
      </c>
      <c r="X221" s="53" t="str">
        <f t="shared" si="49"/>
        <v/>
      </c>
      <c r="Y221" s="57" t="str">
        <f>IF($X221="","",IFERROR(VLOOKUP($X221,'Char Popularity'!$A$2:$C$500,2,FALSE),""))</f>
        <v/>
      </c>
      <c r="Z221" s="56">
        <f>IF($X221="",1,IFERROR(VLOOKUP($X221,'Char Popularity'!$A$2:$C$500,3,FALSE),1))</f>
        <v>1</v>
      </c>
      <c r="AA221" s="62">
        <f>IF($H221&lt;&gt;"Y",0,(IF($F221&lt;&gt;"",ROUND(Dashboard!$R$4/$F221,1),IF(AND($I221="Base",$E221="Base"),Dashboard!$R$5,IF(AND($I221="Base",$E221="Red"),Dashboard!$R$6,IF(AND($I221="Base",$E221="Gold"),Dashboard!$R$7,VLOOKUP($I221,Dashboard!$Q$16:$R$21,2,FALSE)))))*VLOOKUP($I221,Dashboard!$Q$9:$R$13,2,FALSE)*IF(AND($I221="Auto",$F221="",OR($B221="Autographs Duals",$B221="Autographs Triples",$B221="Autographs Quads",$B221="Autographs Quads (Inscribed)")),IF($B221="Autographs Duals",2,IF($B221="Autographs Triples",3,4)),1)))</f>
        <v>2.5</v>
      </c>
      <c r="AB221" s="62">
        <f t="shared" si="50"/>
        <v>2.5</v>
      </c>
      <c r="AC221" s="62">
        <f t="shared" si="51"/>
        <v>0</v>
      </c>
    </row>
    <row r="222" spans="1:29" ht="42.95" customHeight="1" x14ac:dyDescent="0.25">
      <c r="A222" s="4" t="s">
        <v>17</v>
      </c>
      <c r="B222" s="7" t="s">
        <v>65</v>
      </c>
      <c r="C222" s="2" t="s">
        <v>1420</v>
      </c>
      <c r="D222" s="7" t="s">
        <v>883</v>
      </c>
      <c r="E222" s="4" t="s">
        <v>778</v>
      </c>
      <c r="F222" s="2">
        <v>399</v>
      </c>
      <c r="G222" s="2" t="s">
        <v>1399</v>
      </c>
      <c r="H222" s="2" t="s">
        <v>1400</v>
      </c>
      <c r="I222" s="4" t="s">
        <v>60</v>
      </c>
      <c r="J222" s="112">
        <f>IF($H222&lt;&gt;"Y",0,ROUND(MIN(Dashboard!$R$24,IF(IFERROR(VLOOKUP($B222,Dashboard!$Q$28:$S$60,2,FALSE),0)&gt;0,IFERROR(VLOOKUP($B222,Dashboard!$Q$28:$S$60,2,FALSE),0),$Z222*IF($U222&lt;&gt;"",ROUND((Dashboard!$R$4/$U222)*VLOOKUP($I222,Dashboard!$Q$9:$R$13,2,FALSE)*IF(ISNUMBER(SEARCH("Duals",$B222)),2,IF(ISNUMBER(SEARCH("Triples",$B222)),3,IF(ISNUMBER(SEARCH("Quads",$B222)),4,1))),2),ROUND(VLOOKUP($I222,Dashboard!$Q$15:$R$20,2,FALSE)*IF($E222="Red",Dashboard!$R$6,IF($E222="Gold",Dashboard!$R$7,Dashboard!$R$5))*IF(ISNUMBER(SEARCH("Duals",$B222)),2,IF(ISNUMBER(SEARCH("Triples",$B222)),3,IF(ISNUMBER(SEARCH("Quads",$B222)),4,1))),2))*IF(IFERROR(VLOOKUP($B222,Dashboard!$Q$28:$S$60,3,FALSE),0)&gt;0,VLOOKUP($B222,Dashboard!$Q$28:$S$60,3,FALSE),1))),0))</f>
        <v>3</v>
      </c>
      <c r="K222" s="2" t="str">
        <f>IF('Base S1'!F22="","",'Base S1'!F22)</f>
        <v>C</v>
      </c>
      <c r="L222" s="2">
        <f t="shared" si="39"/>
        <v>1</v>
      </c>
      <c r="M222" s="2">
        <f t="shared" si="40"/>
        <v>0</v>
      </c>
      <c r="N222" s="2">
        <f t="shared" si="41"/>
        <v>1</v>
      </c>
      <c r="O222" s="2">
        <f t="shared" si="42"/>
        <v>0</v>
      </c>
      <c r="P222" s="112">
        <f t="shared" si="43"/>
        <v>3</v>
      </c>
      <c r="Q222" s="112">
        <f t="shared" si="44"/>
        <v>0</v>
      </c>
      <c r="R222" s="53"/>
      <c r="S222" s="53" t="str">
        <f t="shared" si="45"/>
        <v>Base S1|Compound V Parallel - Season 1|21|Compound V</v>
      </c>
      <c r="T222" s="57" t="str">
        <f>IF($S222="","",IFERROR(VLOOKUP($S222,'Pop Estimates (Non-#d)'!$N$2:$O$500,2,FALSE),""))</f>
        <v/>
      </c>
      <c r="U222" s="57">
        <f t="shared" si="46"/>
        <v>399</v>
      </c>
      <c r="V222" s="53" t="str">
        <f t="shared" si="47"/>
        <v/>
      </c>
      <c r="W222" s="53" t="str">
        <f t="shared" si="48"/>
        <v/>
      </c>
      <c r="X222" s="53" t="str">
        <f t="shared" si="49"/>
        <v/>
      </c>
      <c r="Y222" s="57" t="str">
        <f>IF($X222="","",IFERROR(VLOOKUP($X222,'Char Popularity'!$A$2:$C$500,2,FALSE),""))</f>
        <v/>
      </c>
      <c r="Z222" s="56">
        <f>IF($X222="",1,IFERROR(VLOOKUP($X222,'Char Popularity'!$A$2:$C$500,3,FALSE),1))</f>
        <v>1</v>
      </c>
      <c r="AA222" s="62">
        <f>IF($H222&lt;&gt;"Y",0,(IF($F222&lt;&gt;"",ROUND(Dashboard!$R$4/$F222,1),IF(AND($I222="Base",$E222="Base"),Dashboard!$R$5,IF(AND($I222="Base",$E222="Red"),Dashboard!$R$6,IF(AND($I222="Base",$E222="Gold"),Dashboard!$R$7,VLOOKUP($I222,Dashboard!$Q$16:$R$21,2,FALSE)))))*VLOOKUP($I222,Dashboard!$Q$9:$R$13,2,FALSE)*IF(AND($I222="Auto",$F222="",OR($B222="Autographs Duals",$B222="Autographs Triples",$B222="Autographs Quads",$B222="Autographs Quads (Inscribed)")),IF($B222="Autographs Duals",2,IF($B222="Autographs Triples",3,4)),1)))</f>
        <v>2.5</v>
      </c>
      <c r="AB222" s="62">
        <f t="shared" si="50"/>
        <v>2.5</v>
      </c>
      <c r="AC222" s="62">
        <f t="shared" si="51"/>
        <v>0</v>
      </c>
    </row>
    <row r="223" spans="1:29" ht="42.95" customHeight="1" x14ac:dyDescent="0.25">
      <c r="A223" s="4" t="s">
        <v>17</v>
      </c>
      <c r="B223" s="7" t="s">
        <v>65</v>
      </c>
      <c r="C223" s="2" t="s">
        <v>1421</v>
      </c>
      <c r="D223" s="7" t="s">
        <v>885</v>
      </c>
      <c r="E223" s="4" t="s">
        <v>778</v>
      </c>
      <c r="F223" s="2">
        <v>399</v>
      </c>
      <c r="G223" s="2" t="s">
        <v>1399</v>
      </c>
      <c r="H223" s="2" t="s">
        <v>1400</v>
      </c>
      <c r="I223" s="4" t="s">
        <v>60</v>
      </c>
      <c r="J223" s="112">
        <f>IF($H223&lt;&gt;"Y",0,ROUND(MIN(Dashboard!$R$24,IF(IFERROR(VLOOKUP($B223,Dashboard!$Q$28:$S$60,2,FALSE),0)&gt;0,IFERROR(VLOOKUP($B223,Dashboard!$Q$28:$S$60,2,FALSE),0),$Z223*IF($U223&lt;&gt;"",ROUND((Dashboard!$R$4/$U223)*VLOOKUP($I223,Dashboard!$Q$9:$R$13,2,FALSE)*IF(ISNUMBER(SEARCH("Duals",$B223)),2,IF(ISNUMBER(SEARCH("Triples",$B223)),3,IF(ISNUMBER(SEARCH("Quads",$B223)),4,1))),2),ROUND(VLOOKUP($I223,Dashboard!$Q$15:$R$20,2,FALSE)*IF($E223="Red",Dashboard!$R$6,IF($E223="Gold",Dashboard!$R$7,Dashboard!$R$5))*IF(ISNUMBER(SEARCH("Duals",$B223)),2,IF(ISNUMBER(SEARCH("Triples",$B223)),3,IF(ISNUMBER(SEARCH("Quads",$B223)),4,1))),2))*IF(IFERROR(VLOOKUP($B223,Dashboard!$Q$28:$S$60,3,FALSE),0)&gt;0,VLOOKUP($B223,Dashboard!$Q$28:$S$60,3,FALSE),1))),0))</f>
        <v>3</v>
      </c>
      <c r="K223" s="2" t="str">
        <f>IF('Base S1'!F23="","",'Base S1'!F23)</f>
        <v>V</v>
      </c>
      <c r="L223" s="2">
        <f t="shared" si="39"/>
        <v>1</v>
      </c>
      <c r="M223" s="2">
        <f t="shared" si="40"/>
        <v>0</v>
      </c>
      <c r="N223" s="2">
        <f t="shared" si="41"/>
        <v>1</v>
      </c>
      <c r="O223" s="2">
        <f t="shared" si="42"/>
        <v>0</v>
      </c>
      <c r="P223" s="112">
        <f t="shared" si="43"/>
        <v>3</v>
      </c>
      <c r="Q223" s="112">
        <f t="shared" si="44"/>
        <v>0</v>
      </c>
      <c r="R223" s="53"/>
      <c r="S223" s="53" t="str">
        <f t="shared" si="45"/>
        <v>Base S1|Compound V Parallel - Season 1|22|Compound V</v>
      </c>
      <c r="T223" s="57" t="str">
        <f>IF($S223="","",IFERROR(VLOOKUP($S223,'Pop Estimates (Non-#d)'!$N$2:$O$500,2,FALSE),""))</f>
        <v/>
      </c>
      <c r="U223" s="57">
        <f t="shared" si="46"/>
        <v>399</v>
      </c>
      <c r="V223" s="53" t="str">
        <f t="shared" si="47"/>
        <v/>
      </c>
      <c r="W223" s="53" t="str">
        <f t="shared" si="48"/>
        <v/>
      </c>
      <c r="X223" s="53" t="str">
        <f t="shared" si="49"/>
        <v/>
      </c>
      <c r="Y223" s="57" t="str">
        <f>IF($X223="","",IFERROR(VLOOKUP($X223,'Char Popularity'!$A$2:$C$500,2,FALSE),""))</f>
        <v/>
      </c>
      <c r="Z223" s="56">
        <f>IF($X223="",1,IFERROR(VLOOKUP($X223,'Char Popularity'!$A$2:$C$500,3,FALSE),1))</f>
        <v>1</v>
      </c>
      <c r="AA223" s="62">
        <f>IF($H223&lt;&gt;"Y",0,(IF($F223&lt;&gt;"",ROUND(Dashboard!$R$4/$F223,1),IF(AND($I223="Base",$E223="Base"),Dashboard!$R$5,IF(AND($I223="Base",$E223="Red"),Dashboard!$R$6,IF(AND($I223="Base",$E223="Gold"),Dashboard!$R$7,VLOOKUP($I223,Dashboard!$Q$16:$R$21,2,FALSE)))))*VLOOKUP($I223,Dashboard!$Q$9:$R$13,2,FALSE)*IF(AND($I223="Auto",$F223="",OR($B223="Autographs Duals",$B223="Autographs Triples",$B223="Autographs Quads",$B223="Autographs Quads (Inscribed)")),IF($B223="Autographs Duals",2,IF($B223="Autographs Triples",3,4)),1)))</f>
        <v>2.5</v>
      </c>
      <c r="AB223" s="62">
        <f t="shared" si="50"/>
        <v>2.5</v>
      </c>
      <c r="AC223" s="62">
        <f t="shared" si="51"/>
        <v>0</v>
      </c>
    </row>
    <row r="224" spans="1:29" ht="42.95" customHeight="1" x14ac:dyDescent="0.25">
      <c r="A224" s="4" t="s">
        <v>17</v>
      </c>
      <c r="B224" s="7" t="s">
        <v>65</v>
      </c>
      <c r="C224" s="2" t="s">
        <v>1422</v>
      </c>
      <c r="D224" s="7" t="s">
        <v>888</v>
      </c>
      <c r="E224" s="4" t="s">
        <v>778</v>
      </c>
      <c r="F224" s="2">
        <v>399</v>
      </c>
      <c r="G224" s="2" t="s">
        <v>1399</v>
      </c>
      <c r="H224" s="2" t="s">
        <v>1400</v>
      </c>
      <c r="I224" s="4" t="s">
        <v>60</v>
      </c>
      <c r="J224" s="112">
        <f>IF($H224&lt;&gt;"Y",0,ROUND(MIN(Dashboard!$R$24,IF(IFERROR(VLOOKUP($B224,Dashboard!$Q$28:$S$60,2,FALSE),0)&gt;0,IFERROR(VLOOKUP($B224,Dashboard!$Q$28:$S$60,2,FALSE),0),$Z224*IF($U224&lt;&gt;"",ROUND((Dashboard!$R$4/$U224)*VLOOKUP($I224,Dashboard!$Q$9:$R$13,2,FALSE)*IF(ISNUMBER(SEARCH("Duals",$B224)),2,IF(ISNUMBER(SEARCH("Triples",$B224)),3,IF(ISNUMBER(SEARCH("Quads",$B224)),4,1))),2),ROUND(VLOOKUP($I224,Dashboard!$Q$15:$R$20,2,FALSE)*IF($E224="Red",Dashboard!$R$6,IF($E224="Gold",Dashboard!$R$7,Dashboard!$R$5))*IF(ISNUMBER(SEARCH("Duals",$B224)),2,IF(ISNUMBER(SEARCH("Triples",$B224)),3,IF(ISNUMBER(SEARCH("Quads",$B224)),4,1))),2))*IF(IFERROR(VLOOKUP($B224,Dashboard!$Q$28:$S$60,3,FALSE),0)&gt;0,VLOOKUP($B224,Dashboard!$Q$28:$S$60,3,FALSE),1))),0))</f>
        <v>3</v>
      </c>
      <c r="K224" s="2" t="str">
        <f>IF('Base S1'!F24="","",'Base S1'!F24)</f>
        <v>C</v>
      </c>
      <c r="L224" s="2">
        <f t="shared" si="39"/>
        <v>1</v>
      </c>
      <c r="M224" s="2">
        <f t="shared" si="40"/>
        <v>0</v>
      </c>
      <c r="N224" s="2">
        <f t="shared" si="41"/>
        <v>1</v>
      </c>
      <c r="O224" s="2">
        <f t="shared" si="42"/>
        <v>0</v>
      </c>
      <c r="P224" s="112">
        <f t="shared" si="43"/>
        <v>3</v>
      </c>
      <c r="Q224" s="112">
        <f t="shared" si="44"/>
        <v>0</v>
      </c>
      <c r="R224" s="53"/>
      <c r="S224" s="53" t="str">
        <f t="shared" si="45"/>
        <v>Base S1|Compound V Parallel - Season 1|23|Compound V</v>
      </c>
      <c r="T224" s="57" t="str">
        <f>IF($S224="","",IFERROR(VLOOKUP($S224,'Pop Estimates (Non-#d)'!$N$2:$O$500,2,FALSE),""))</f>
        <v/>
      </c>
      <c r="U224" s="57">
        <f t="shared" si="46"/>
        <v>399</v>
      </c>
      <c r="V224" s="53" t="str">
        <f t="shared" si="47"/>
        <v/>
      </c>
      <c r="W224" s="53" t="str">
        <f t="shared" si="48"/>
        <v/>
      </c>
      <c r="X224" s="53" t="str">
        <f t="shared" si="49"/>
        <v/>
      </c>
      <c r="Y224" s="57" t="str">
        <f>IF($X224="","",IFERROR(VLOOKUP($X224,'Char Popularity'!$A$2:$C$500,2,FALSE),""))</f>
        <v/>
      </c>
      <c r="Z224" s="56">
        <f>IF($X224="",1,IFERROR(VLOOKUP($X224,'Char Popularity'!$A$2:$C$500,3,FALSE),1))</f>
        <v>1</v>
      </c>
      <c r="AA224" s="62">
        <f>IF($H224&lt;&gt;"Y",0,(IF($F224&lt;&gt;"",ROUND(Dashboard!$R$4/$F224,1),IF(AND($I224="Base",$E224="Base"),Dashboard!$R$5,IF(AND($I224="Base",$E224="Red"),Dashboard!$R$6,IF(AND($I224="Base",$E224="Gold"),Dashboard!$R$7,VLOOKUP($I224,Dashboard!$Q$16:$R$21,2,FALSE)))))*VLOOKUP($I224,Dashboard!$Q$9:$R$13,2,FALSE)*IF(AND($I224="Auto",$F224="",OR($B224="Autographs Duals",$B224="Autographs Triples",$B224="Autographs Quads",$B224="Autographs Quads (Inscribed)")),IF($B224="Autographs Duals",2,IF($B224="Autographs Triples",3,4)),1)))</f>
        <v>2.5</v>
      </c>
      <c r="AB224" s="62">
        <f t="shared" si="50"/>
        <v>2.5</v>
      </c>
      <c r="AC224" s="62">
        <f t="shared" si="51"/>
        <v>0</v>
      </c>
    </row>
    <row r="225" spans="1:29" ht="42.95" customHeight="1" x14ac:dyDescent="0.25">
      <c r="A225" s="4" t="s">
        <v>17</v>
      </c>
      <c r="B225" s="7" t="s">
        <v>65</v>
      </c>
      <c r="C225" s="2" t="s">
        <v>1423</v>
      </c>
      <c r="D225" s="7" t="s">
        <v>890</v>
      </c>
      <c r="E225" s="4" t="s">
        <v>778</v>
      </c>
      <c r="F225" s="2">
        <v>399</v>
      </c>
      <c r="G225" s="2" t="s">
        <v>1399</v>
      </c>
      <c r="H225" s="2" t="s">
        <v>1400</v>
      </c>
      <c r="I225" s="4" t="s">
        <v>60</v>
      </c>
      <c r="J225" s="112">
        <f>IF($H225&lt;&gt;"Y",0,ROUND(MIN(Dashboard!$R$24,IF(IFERROR(VLOOKUP($B225,Dashboard!$Q$28:$S$60,2,FALSE),0)&gt;0,IFERROR(VLOOKUP($B225,Dashboard!$Q$28:$S$60,2,FALSE),0),$Z225*IF($U225&lt;&gt;"",ROUND((Dashboard!$R$4/$U225)*VLOOKUP($I225,Dashboard!$Q$9:$R$13,2,FALSE)*IF(ISNUMBER(SEARCH("Duals",$B225)),2,IF(ISNUMBER(SEARCH("Triples",$B225)),3,IF(ISNUMBER(SEARCH("Quads",$B225)),4,1))),2),ROUND(VLOOKUP($I225,Dashboard!$Q$15:$R$20,2,FALSE)*IF($E225="Red",Dashboard!$R$6,IF($E225="Gold",Dashboard!$R$7,Dashboard!$R$5))*IF(ISNUMBER(SEARCH("Duals",$B225)),2,IF(ISNUMBER(SEARCH("Triples",$B225)),3,IF(ISNUMBER(SEARCH("Quads",$B225)),4,1))),2))*IF(IFERROR(VLOOKUP($B225,Dashboard!$Q$28:$S$60,3,FALSE),0)&gt;0,VLOOKUP($B225,Dashboard!$Q$28:$S$60,3,FALSE),1))),0))</f>
        <v>3</v>
      </c>
      <c r="K225" s="2" t="str">
        <f>IF('Base S1'!F25="","",'Base S1'!F25)</f>
        <v>C</v>
      </c>
      <c r="L225" s="2">
        <f t="shared" si="39"/>
        <v>1</v>
      </c>
      <c r="M225" s="2">
        <f t="shared" si="40"/>
        <v>0</v>
      </c>
      <c r="N225" s="2">
        <f t="shared" si="41"/>
        <v>1</v>
      </c>
      <c r="O225" s="2">
        <f t="shared" si="42"/>
        <v>0</v>
      </c>
      <c r="P225" s="112">
        <f t="shared" si="43"/>
        <v>3</v>
      </c>
      <c r="Q225" s="112">
        <f t="shared" si="44"/>
        <v>0</v>
      </c>
      <c r="R225" s="53"/>
      <c r="S225" s="53" t="str">
        <f t="shared" si="45"/>
        <v>Base S1|Compound V Parallel - Season 1|24|Compound V</v>
      </c>
      <c r="T225" s="57" t="str">
        <f>IF($S225="","",IFERROR(VLOOKUP($S225,'Pop Estimates (Non-#d)'!$N$2:$O$500,2,FALSE),""))</f>
        <v/>
      </c>
      <c r="U225" s="57">
        <f t="shared" si="46"/>
        <v>399</v>
      </c>
      <c r="V225" s="53" t="str">
        <f t="shared" si="47"/>
        <v/>
      </c>
      <c r="W225" s="53" t="str">
        <f t="shared" si="48"/>
        <v/>
      </c>
      <c r="X225" s="53" t="str">
        <f t="shared" si="49"/>
        <v/>
      </c>
      <c r="Y225" s="57" t="str">
        <f>IF($X225="","",IFERROR(VLOOKUP($X225,'Char Popularity'!$A$2:$C$500,2,FALSE),""))</f>
        <v/>
      </c>
      <c r="Z225" s="56">
        <f>IF($X225="",1,IFERROR(VLOOKUP($X225,'Char Popularity'!$A$2:$C$500,3,FALSE),1))</f>
        <v>1</v>
      </c>
      <c r="AA225" s="62">
        <f>IF($H225&lt;&gt;"Y",0,(IF($F225&lt;&gt;"",ROUND(Dashboard!$R$4/$F225,1),IF(AND($I225="Base",$E225="Base"),Dashboard!$R$5,IF(AND($I225="Base",$E225="Red"),Dashboard!$R$6,IF(AND($I225="Base",$E225="Gold"),Dashboard!$R$7,VLOOKUP($I225,Dashboard!$Q$16:$R$21,2,FALSE)))))*VLOOKUP($I225,Dashboard!$Q$9:$R$13,2,FALSE)*IF(AND($I225="Auto",$F225="",OR($B225="Autographs Duals",$B225="Autographs Triples",$B225="Autographs Quads",$B225="Autographs Quads (Inscribed)")),IF($B225="Autographs Duals",2,IF($B225="Autographs Triples",3,4)),1)))</f>
        <v>2.5</v>
      </c>
      <c r="AB225" s="62">
        <f t="shared" si="50"/>
        <v>2.5</v>
      </c>
      <c r="AC225" s="62">
        <f t="shared" si="51"/>
        <v>0</v>
      </c>
    </row>
    <row r="226" spans="1:29" ht="42.95" customHeight="1" x14ac:dyDescent="0.25">
      <c r="A226" s="4" t="s">
        <v>17</v>
      </c>
      <c r="B226" s="7" t="s">
        <v>65</v>
      </c>
      <c r="C226" s="2" t="s">
        <v>1424</v>
      </c>
      <c r="D226" s="7" t="s">
        <v>892</v>
      </c>
      <c r="E226" s="4" t="s">
        <v>778</v>
      </c>
      <c r="F226" s="2">
        <v>399</v>
      </c>
      <c r="G226" s="2" t="s">
        <v>1399</v>
      </c>
      <c r="H226" s="2" t="s">
        <v>1400</v>
      </c>
      <c r="I226" s="4" t="s">
        <v>60</v>
      </c>
      <c r="J226" s="112">
        <f>IF($H226&lt;&gt;"Y",0,ROUND(MIN(Dashboard!$R$24,IF(IFERROR(VLOOKUP($B226,Dashboard!$Q$28:$S$60,2,FALSE),0)&gt;0,IFERROR(VLOOKUP($B226,Dashboard!$Q$28:$S$60,2,FALSE),0),$Z226*IF($U226&lt;&gt;"",ROUND((Dashboard!$R$4/$U226)*VLOOKUP($I226,Dashboard!$Q$9:$R$13,2,FALSE)*IF(ISNUMBER(SEARCH("Duals",$B226)),2,IF(ISNUMBER(SEARCH("Triples",$B226)),3,IF(ISNUMBER(SEARCH("Quads",$B226)),4,1))),2),ROUND(VLOOKUP($I226,Dashboard!$Q$15:$R$20,2,FALSE)*IF($E226="Red",Dashboard!$R$6,IF($E226="Gold",Dashboard!$R$7,Dashboard!$R$5))*IF(ISNUMBER(SEARCH("Duals",$B226)),2,IF(ISNUMBER(SEARCH("Triples",$B226)),3,IF(ISNUMBER(SEARCH("Quads",$B226)),4,1))),2))*IF(IFERROR(VLOOKUP($B226,Dashboard!$Q$28:$S$60,3,FALSE),0)&gt;0,VLOOKUP($B226,Dashboard!$Q$28:$S$60,3,FALSE),1))),0))</f>
        <v>3</v>
      </c>
      <c r="K226" s="2" t="str">
        <f>IF('Base S1'!F26="","",'Base S1'!F26)</f>
        <v>V</v>
      </c>
      <c r="L226" s="2">
        <f t="shared" si="39"/>
        <v>1</v>
      </c>
      <c r="M226" s="2">
        <f t="shared" si="40"/>
        <v>0</v>
      </c>
      <c r="N226" s="2">
        <f t="shared" si="41"/>
        <v>1</v>
      </c>
      <c r="O226" s="2">
        <f t="shared" si="42"/>
        <v>0</v>
      </c>
      <c r="P226" s="112">
        <f t="shared" si="43"/>
        <v>3</v>
      </c>
      <c r="Q226" s="112">
        <f t="shared" si="44"/>
        <v>0</v>
      </c>
      <c r="R226" s="53"/>
      <c r="S226" s="53" t="str">
        <f t="shared" si="45"/>
        <v>Base S1|Compound V Parallel - Season 1|25|Compound V</v>
      </c>
      <c r="T226" s="57" t="str">
        <f>IF($S226="","",IFERROR(VLOOKUP($S226,'Pop Estimates (Non-#d)'!$N$2:$O$500,2,FALSE),""))</f>
        <v/>
      </c>
      <c r="U226" s="57">
        <f t="shared" si="46"/>
        <v>399</v>
      </c>
      <c r="V226" s="53" t="str">
        <f t="shared" si="47"/>
        <v/>
      </c>
      <c r="W226" s="53" t="str">
        <f t="shared" si="48"/>
        <v/>
      </c>
      <c r="X226" s="53" t="str">
        <f t="shared" si="49"/>
        <v/>
      </c>
      <c r="Y226" s="57" t="str">
        <f>IF($X226="","",IFERROR(VLOOKUP($X226,'Char Popularity'!$A$2:$C$500,2,FALSE),""))</f>
        <v/>
      </c>
      <c r="Z226" s="56">
        <f>IF($X226="",1,IFERROR(VLOOKUP($X226,'Char Popularity'!$A$2:$C$500,3,FALSE),1))</f>
        <v>1</v>
      </c>
      <c r="AA226" s="62">
        <f>IF($H226&lt;&gt;"Y",0,(IF($F226&lt;&gt;"",ROUND(Dashboard!$R$4/$F226,1),IF(AND($I226="Base",$E226="Base"),Dashboard!$R$5,IF(AND($I226="Base",$E226="Red"),Dashboard!$R$6,IF(AND($I226="Base",$E226="Gold"),Dashboard!$R$7,VLOOKUP($I226,Dashboard!$Q$16:$R$21,2,FALSE)))))*VLOOKUP($I226,Dashboard!$Q$9:$R$13,2,FALSE)*IF(AND($I226="Auto",$F226="",OR($B226="Autographs Duals",$B226="Autographs Triples",$B226="Autographs Quads",$B226="Autographs Quads (Inscribed)")),IF($B226="Autographs Duals",2,IF($B226="Autographs Triples",3,4)),1)))</f>
        <v>2.5</v>
      </c>
      <c r="AB226" s="62">
        <f t="shared" si="50"/>
        <v>2.5</v>
      </c>
      <c r="AC226" s="62">
        <f t="shared" si="51"/>
        <v>0</v>
      </c>
    </row>
    <row r="227" spans="1:29" ht="42.95" customHeight="1" x14ac:dyDescent="0.25">
      <c r="A227" s="4" t="s">
        <v>17</v>
      </c>
      <c r="B227" s="7" t="s">
        <v>65</v>
      </c>
      <c r="C227" s="2" t="s">
        <v>1425</v>
      </c>
      <c r="D227" s="7" t="s">
        <v>895</v>
      </c>
      <c r="E227" s="4" t="s">
        <v>778</v>
      </c>
      <c r="F227" s="2">
        <v>399</v>
      </c>
      <c r="G227" s="2" t="s">
        <v>1399</v>
      </c>
      <c r="H227" s="2" t="s">
        <v>1400</v>
      </c>
      <c r="I227" s="4" t="s">
        <v>60</v>
      </c>
      <c r="J227" s="112">
        <f>IF($H227&lt;&gt;"Y",0,ROUND(MIN(Dashboard!$R$24,IF(IFERROR(VLOOKUP($B227,Dashboard!$Q$28:$S$60,2,FALSE),0)&gt;0,IFERROR(VLOOKUP($B227,Dashboard!$Q$28:$S$60,2,FALSE),0),$Z227*IF($U227&lt;&gt;"",ROUND((Dashboard!$R$4/$U227)*VLOOKUP($I227,Dashboard!$Q$9:$R$13,2,FALSE)*IF(ISNUMBER(SEARCH("Duals",$B227)),2,IF(ISNUMBER(SEARCH("Triples",$B227)),3,IF(ISNUMBER(SEARCH("Quads",$B227)),4,1))),2),ROUND(VLOOKUP($I227,Dashboard!$Q$15:$R$20,2,FALSE)*IF($E227="Red",Dashboard!$R$6,IF($E227="Gold",Dashboard!$R$7,Dashboard!$R$5))*IF(ISNUMBER(SEARCH("Duals",$B227)),2,IF(ISNUMBER(SEARCH("Triples",$B227)),3,IF(ISNUMBER(SEARCH("Quads",$B227)),4,1))),2))*IF(IFERROR(VLOOKUP($B227,Dashboard!$Q$28:$S$60,3,FALSE),0)&gt;0,VLOOKUP($B227,Dashboard!$Q$28:$S$60,3,FALSE),1))),0))</f>
        <v>3</v>
      </c>
      <c r="K227" s="2" t="str">
        <f>IF('Base S1'!F27="","",'Base S1'!F27)</f>
        <v>V</v>
      </c>
      <c r="L227" s="2">
        <f t="shared" si="39"/>
        <v>1</v>
      </c>
      <c r="M227" s="2">
        <f t="shared" si="40"/>
        <v>0</v>
      </c>
      <c r="N227" s="2">
        <f t="shared" si="41"/>
        <v>1</v>
      </c>
      <c r="O227" s="2">
        <f t="shared" si="42"/>
        <v>0</v>
      </c>
      <c r="P227" s="112">
        <f t="shared" si="43"/>
        <v>3</v>
      </c>
      <c r="Q227" s="112">
        <f t="shared" si="44"/>
        <v>0</v>
      </c>
      <c r="R227" s="53"/>
      <c r="S227" s="53" t="str">
        <f t="shared" si="45"/>
        <v>Base S1|Compound V Parallel - Season 1|26|Compound V</v>
      </c>
      <c r="T227" s="57" t="str">
        <f>IF($S227="","",IFERROR(VLOOKUP($S227,'Pop Estimates (Non-#d)'!$N$2:$O$500,2,FALSE),""))</f>
        <v/>
      </c>
      <c r="U227" s="57">
        <f t="shared" si="46"/>
        <v>399</v>
      </c>
      <c r="V227" s="53" t="str">
        <f t="shared" si="47"/>
        <v/>
      </c>
      <c r="W227" s="53" t="str">
        <f t="shared" si="48"/>
        <v/>
      </c>
      <c r="X227" s="53" t="str">
        <f t="shared" si="49"/>
        <v/>
      </c>
      <c r="Y227" s="57" t="str">
        <f>IF($X227="","",IFERROR(VLOOKUP($X227,'Char Popularity'!$A$2:$C$500,2,FALSE),""))</f>
        <v/>
      </c>
      <c r="Z227" s="56">
        <f>IF($X227="",1,IFERROR(VLOOKUP($X227,'Char Popularity'!$A$2:$C$500,3,FALSE),1))</f>
        <v>1</v>
      </c>
      <c r="AA227" s="62">
        <f>IF($H227&lt;&gt;"Y",0,(IF($F227&lt;&gt;"",ROUND(Dashboard!$R$4/$F227,1),IF(AND($I227="Base",$E227="Base"),Dashboard!$R$5,IF(AND($I227="Base",$E227="Red"),Dashboard!$R$6,IF(AND($I227="Base",$E227="Gold"),Dashboard!$R$7,VLOOKUP($I227,Dashboard!$Q$16:$R$21,2,FALSE)))))*VLOOKUP($I227,Dashboard!$Q$9:$R$13,2,FALSE)*IF(AND($I227="Auto",$F227="",OR($B227="Autographs Duals",$B227="Autographs Triples",$B227="Autographs Quads",$B227="Autographs Quads (Inscribed)")),IF($B227="Autographs Duals",2,IF($B227="Autographs Triples",3,4)),1)))</f>
        <v>2.5</v>
      </c>
      <c r="AB227" s="62">
        <f t="shared" si="50"/>
        <v>2.5</v>
      </c>
      <c r="AC227" s="62">
        <f t="shared" si="51"/>
        <v>0</v>
      </c>
    </row>
    <row r="228" spans="1:29" ht="42.95" customHeight="1" x14ac:dyDescent="0.25">
      <c r="A228" s="4" t="s">
        <v>17</v>
      </c>
      <c r="B228" s="7" t="s">
        <v>65</v>
      </c>
      <c r="C228" s="2" t="s">
        <v>1426</v>
      </c>
      <c r="D228" s="7" t="s">
        <v>897</v>
      </c>
      <c r="E228" s="4" t="s">
        <v>778</v>
      </c>
      <c r="F228" s="2">
        <v>399</v>
      </c>
      <c r="G228" s="2" t="s">
        <v>1399</v>
      </c>
      <c r="H228" s="2" t="s">
        <v>1400</v>
      </c>
      <c r="I228" s="4" t="s">
        <v>60</v>
      </c>
      <c r="J228" s="112">
        <f>IF($H228&lt;&gt;"Y",0,ROUND(MIN(Dashboard!$R$24,IF(IFERROR(VLOOKUP($B228,Dashboard!$Q$28:$S$60,2,FALSE),0)&gt;0,IFERROR(VLOOKUP($B228,Dashboard!$Q$28:$S$60,2,FALSE),0),$Z228*IF($U228&lt;&gt;"",ROUND((Dashboard!$R$4/$U228)*VLOOKUP($I228,Dashboard!$Q$9:$R$13,2,FALSE)*IF(ISNUMBER(SEARCH("Duals",$B228)),2,IF(ISNUMBER(SEARCH("Triples",$B228)),3,IF(ISNUMBER(SEARCH("Quads",$B228)),4,1))),2),ROUND(VLOOKUP($I228,Dashboard!$Q$15:$R$20,2,FALSE)*IF($E228="Red",Dashboard!$R$6,IF($E228="Gold",Dashboard!$R$7,Dashboard!$R$5))*IF(ISNUMBER(SEARCH("Duals",$B228)),2,IF(ISNUMBER(SEARCH("Triples",$B228)),3,IF(ISNUMBER(SEARCH("Quads",$B228)),4,1))),2))*IF(IFERROR(VLOOKUP($B228,Dashboard!$Q$28:$S$60,3,FALSE),0)&gt;0,VLOOKUP($B228,Dashboard!$Q$28:$S$60,3,FALSE),1))),0))</f>
        <v>3</v>
      </c>
      <c r="K228" s="2" t="str">
        <f>IF('Base S1'!F28="","",'Base S1'!F28)</f>
        <v>V</v>
      </c>
      <c r="L228" s="2">
        <f t="shared" si="39"/>
        <v>1</v>
      </c>
      <c r="M228" s="2">
        <f t="shared" si="40"/>
        <v>0</v>
      </c>
      <c r="N228" s="2">
        <f t="shared" si="41"/>
        <v>1</v>
      </c>
      <c r="O228" s="2">
        <f t="shared" si="42"/>
        <v>0</v>
      </c>
      <c r="P228" s="112">
        <f t="shared" si="43"/>
        <v>3</v>
      </c>
      <c r="Q228" s="112">
        <f t="shared" si="44"/>
        <v>0</v>
      </c>
      <c r="R228" s="53"/>
      <c r="S228" s="53" t="str">
        <f t="shared" si="45"/>
        <v>Base S1|Compound V Parallel - Season 1|27|Compound V</v>
      </c>
      <c r="T228" s="57" t="str">
        <f>IF($S228="","",IFERROR(VLOOKUP($S228,'Pop Estimates (Non-#d)'!$N$2:$O$500,2,FALSE),""))</f>
        <v/>
      </c>
      <c r="U228" s="57">
        <f t="shared" si="46"/>
        <v>399</v>
      </c>
      <c r="V228" s="53" t="str">
        <f t="shared" si="47"/>
        <v/>
      </c>
      <c r="W228" s="53" t="str">
        <f t="shared" si="48"/>
        <v/>
      </c>
      <c r="X228" s="53" t="str">
        <f t="shared" si="49"/>
        <v/>
      </c>
      <c r="Y228" s="57" t="str">
        <f>IF($X228="","",IFERROR(VLOOKUP($X228,'Char Popularity'!$A$2:$C$500,2,FALSE),""))</f>
        <v/>
      </c>
      <c r="Z228" s="56">
        <f>IF($X228="",1,IFERROR(VLOOKUP($X228,'Char Popularity'!$A$2:$C$500,3,FALSE),1))</f>
        <v>1</v>
      </c>
      <c r="AA228" s="62">
        <f>IF($H228&lt;&gt;"Y",0,(IF($F228&lt;&gt;"",ROUND(Dashboard!$R$4/$F228,1),IF(AND($I228="Base",$E228="Base"),Dashboard!$R$5,IF(AND($I228="Base",$E228="Red"),Dashboard!$R$6,IF(AND($I228="Base",$E228="Gold"),Dashboard!$R$7,VLOOKUP($I228,Dashboard!$Q$16:$R$21,2,FALSE)))))*VLOOKUP($I228,Dashboard!$Q$9:$R$13,2,FALSE)*IF(AND($I228="Auto",$F228="",OR($B228="Autographs Duals",$B228="Autographs Triples",$B228="Autographs Quads",$B228="Autographs Quads (Inscribed)")),IF($B228="Autographs Duals",2,IF($B228="Autographs Triples",3,4)),1)))</f>
        <v>2.5</v>
      </c>
      <c r="AB228" s="62">
        <f t="shared" si="50"/>
        <v>2.5</v>
      </c>
      <c r="AC228" s="62">
        <f t="shared" si="51"/>
        <v>0</v>
      </c>
    </row>
    <row r="229" spans="1:29" ht="42.95" customHeight="1" x14ac:dyDescent="0.25">
      <c r="A229" s="4" t="s">
        <v>17</v>
      </c>
      <c r="B229" s="7" t="s">
        <v>65</v>
      </c>
      <c r="C229" s="2" t="s">
        <v>1427</v>
      </c>
      <c r="D229" s="7" t="s">
        <v>900</v>
      </c>
      <c r="E229" s="4" t="s">
        <v>778</v>
      </c>
      <c r="F229" s="2">
        <v>399</v>
      </c>
      <c r="G229" s="2" t="s">
        <v>1399</v>
      </c>
      <c r="H229" s="2" t="s">
        <v>1400</v>
      </c>
      <c r="I229" s="4" t="s">
        <v>60</v>
      </c>
      <c r="J229" s="112">
        <f>IF($H229&lt;&gt;"Y",0,ROUND(MIN(Dashboard!$R$24,IF(IFERROR(VLOOKUP($B229,Dashboard!$Q$28:$S$60,2,FALSE),0)&gt;0,IFERROR(VLOOKUP($B229,Dashboard!$Q$28:$S$60,2,FALSE),0),$Z229*IF($U229&lt;&gt;"",ROUND((Dashboard!$R$4/$U229)*VLOOKUP($I229,Dashboard!$Q$9:$R$13,2,FALSE)*IF(ISNUMBER(SEARCH("Duals",$B229)),2,IF(ISNUMBER(SEARCH("Triples",$B229)),3,IF(ISNUMBER(SEARCH("Quads",$B229)),4,1))),2),ROUND(VLOOKUP($I229,Dashboard!$Q$15:$R$20,2,FALSE)*IF($E229="Red",Dashboard!$R$6,IF($E229="Gold",Dashboard!$R$7,Dashboard!$R$5))*IF(ISNUMBER(SEARCH("Duals",$B229)),2,IF(ISNUMBER(SEARCH("Triples",$B229)),3,IF(ISNUMBER(SEARCH("Quads",$B229)),4,1))),2))*IF(IFERROR(VLOOKUP($B229,Dashboard!$Q$28:$S$60,3,FALSE),0)&gt;0,VLOOKUP($B229,Dashboard!$Q$28:$S$60,3,FALSE),1))),0))</f>
        <v>3</v>
      </c>
      <c r="K229" s="2" t="str">
        <f>IF('Base S1'!F29="","",'Base S1'!F29)</f>
        <v>V</v>
      </c>
      <c r="L229" s="2">
        <f t="shared" si="39"/>
        <v>1</v>
      </c>
      <c r="M229" s="2">
        <f t="shared" si="40"/>
        <v>0</v>
      </c>
      <c r="N229" s="2">
        <f t="shared" si="41"/>
        <v>1</v>
      </c>
      <c r="O229" s="2">
        <f t="shared" si="42"/>
        <v>0</v>
      </c>
      <c r="P229" s="112">
        <f t="shared" si="43"/>
        <v>3</v>
      </c>
      <c r="Q229" s="112">
        <f t="shared" si="44"/>
        <v>0</v>
      </c>
      <c r="R229" s="53"/>
      <c r="S229" s="53" t="str">
        <f t="shared" si="45"/>
        <v>Base S1|Compound V Parallel - Season 1|28|Compound V</v>
      </c>
      <c r="T229" s="57" t="str">
        <f>IF($S229="","",IFERROR(VLOOKUP($S229,'Pop Estimates (Non-#d)'!$N$2:$O$500,2,FALSE),""))</f>
        <v/>
      </c>
      <c r="U229" s="57">
        <f t="shared" si="46"/>
        <v>399</v>
      </c>
      <c r="V229" s="53" t="str">
        <f t="shared" si="47"/>
        <v/>
      </c>
      <c r="W229" s="53" t="str">
        <f t="shared" si="48"/>
        <v/>
      </c>
      <c r="X229" s="53" t="str">
        <f t="shared" si="49"/>
        <v/>
      </c>
      <c r="Y229" s="57" t="str">
        <f>IF($X229="","",IFERROR(VLOOKUP($X229,'Char Popularity'!$A$2:$C$500,2,FALSE),""))</f>
        <v/>
      </c>
      <c r="Z229" s="56">
        <f>IF($X229="",1,IFERROR(VLOOKUP($X229,'Char Popularity'!$A$2:$C$500,3,FALSE),1))</f>
        <v>1</v>
      </c>
      <c r="AA229" s="62">
        <f>IF($H229&lt;&gt;"Y",0,(IF($F229&lt;&gt;"",ROUND(Dashboard!$R$4/$F229,1),IF(AND($I229="Base",$E229="Base"),Dashboard!$R$5,IF(AND($I229="Base",$E229="Red"),Dashboard!$R$6,IF(AND($I229="Base",$E229="Gold"),Dashboard!$R$7,VLOOKUP($I229,Dashboard!$Q$16:$R$21,2,FALSE)))))*VLOOKUP($I229,Dashboard!$Q$9:$R$13,2,FALSE)*IF(AND($I229="Auto",$F229="",OR($B229="Autographs Duals",$B229="Autographs Triples",$B229="Autographs Quads",$B229="Autographs Quads (Inscribed)")),IF($B229="Autographs Duals",2,IF($B229="Autographs Triples",3,4)),1)))</f>
        <v>2.5</v>
      </c>
      <c r="AB229" s="62">
        <f t="shared" si="50"/>
        <v>2.5</v>
      </c>
      <c r="AC229" s="62">
        <f t="shared" si="51"/>
        <v>0</v>
      </c>
    </row>
    <row r="230" spans="1:29" ht="42.95" customHeight="1" x14ac:dyDescent="0.25">
      <c r="A230" s="4" t="s">
        <v>17</v>
      </c>
      <c r="B230" s="7" t="s">
        <v>65</v>
      </c>
      <c r="C230" s="2" t="s">
        <v>1428</v>
      </c>
      <c r="D230" s="7" t="s">
        <v>902</v>
      </c>
      <c r="E230" s="4" t="s">
        <v>778</v>
      </c>
      <c r="F230" s="2">
        <v>399</v>
      </c>
      <c r="G230" s="2" t="s">
        <v>1399</v>
      </c>
      <c r="H230" s="2" t="s">
        <v>1400</v>
      </c>
      <c r="I230" s="4" t="s">
        <v>60</v>
      </c>
      <c r="J230" s="112">
        <f>IF($H230&lt;&gt;"Y",0,ROUND(MIN(Dashboard!$R$24,IF(IFERROR(VLOOKUP($B230,Dashboard!$Q$28:$S$60,2,FALSE),0)&gt;0,IFERROR(VLOOKUP($B230,Dashboard!$Q$28:$S$60,2,FALSE),0),$Z230*IF($U230&lt;&gt;"",ROUND((Dashboard!$R$4/$U230)*VLOOKUP($I230,Dashboard!$Q$9:$R$13,2,FALSE)*IF(ISNUMBER(SEARCH("Duals",$B230)),2,IF(ISNUMBER(SEARCH("Triples",$B230)),3,IF(ISNUMBER(SEARCH("Quads",$B230)),4,1))),2),ROUND(VLOOKUP($I230,Dashboard!$Q$15:$R$20,2,FALSE)*IF($E230="Red",Dashboard!$R$6,IF($E230="Gold",Dashboard!$R$7,Dashboard!$R$5))*IF(ISNUMBER(SEARCH("Duals",$B230)),2,IF(ISNUMBER(SEARCH("Triples",$B230)),3,IF(ISNUMBER(SEARCH("Quads",$B230)),4,1))),2))*IF(IFERROR(VLOOKUP($B230,Dashboard!$Q$28:$S$60,3,FALSE),0)&gt;0,VLOOKUP($B230,Dashboard!$Q$28:$S$60,3,FALSE),1))),0))</f>
        <v>3</v>
      </c>
      <c r="K230" s="2" t="str">
        <f>IF('Base S1'!F30="","",'Base S1'!F30)</f>
        <v>V</v>
      </c>
      <c r="L230" s="2">
        <f t="shared" si="39"/>
        <v>1</v>
      </c>
      <c r="M230" s="2">
        <f t="shared" si="40"/>
        <v>0</v>
      </c>
      <c r="N230" s="2">
        <f t="shared" si="41"/>
        <v>1</v>
      </c>
      <c r="O230" s="2">
        <f t="shared" si="42"/>
        <v>0</v>
      </c>
      <c r="P230" s="112">
        <f t="shared" si="43"/>
        <v>3</v>
      </c>
      <c r="Q230" s="112">
        <f t="shared" si="44"/>
        <v>0</v>
      </c>
      <c r="R230" s="53"/>
      <c r="S230" s="53" t="str">
        <f t="shared" si="45"/>
        <v>Base S1|Compound V Parallel - Season 1|29|Compound V</v>
      </c>
      <c r="T230" s="57" t="str">
        <f>IF($S230="","",IFERROR(VLOOKUP($S230,'Pop Estimates (Non-#d)'!$N$2:$O$500,2,FALSE),""))</f>
        <v/>
      </c>
      <c r="U230" s="57">
        <f t="shared" si="46"/>
        <v>399</v>
      </c>
      <c r="V230" s="53" t="str">
        <f t="shared" si="47"/>
        <v/>
      </c>
      <c r="W230" s="53" t="str">
        <f t="shared" si="48"/>
        <v/>
      </c>
      <c r="X230" s="53" t="str">
        <f t="shared" si="49"/>
        <v/>
      </c>
      <c r="Y230" s="57" t="str">
        <f>IF($X230="","",IFERROR(VLOOKUP($X230,'Char Popularity'!$A$2:$C$500,2,FALSE),""))</f>
        <v/>
      </c>
      <c r="Z230" s="56">
        <f>IF($X230="",1,IFERROR(VLOOKUP($X230,'Char Popularity'!$A$2:$C$500,3,FALSE),1))</f>
        <v>1</v>
      </c>
      <c r="AA230" s="62">
        <f>IF($H230&lt;&gt;"Y",0,(IF($F230&lt;&gt;"",ROUND(Dashboard!$R$4/$F230,1),IF(AND($I230="Base",$E230="Base"),Dashboard!$R$5,IF(AND($I230="Base",$E230="Red"),Dashboard!$R$6,IF(AND($I230="Base",$E230="Gold"),Dashboard!$R$7,VLOOKUP($I230,Dashboard!$Q$16:$R$21,2,FALSE)))))*VLOOKUP($I230,Dashboard!$Q$9:$R$13,2,FALSE)*IF(AND($I230="Auto",$F230="",OR($B230="Autographs Duals",$B230="Autographs Triples",$B230="Autographs Quads",$B230="Autographs Quads (Inscribed)")),IF($B230="Autographs Duals",2,IF($B230="Autographs Triples",3,4)),1)))</f>
        <v>2.5</v>
      </c>
      <c r="AB230" s="62">
        <f t="shared" si="50"/>
        <v>2.5</v>
      </c>
      <c r="AC230" s="62">
        <f t="shared" si="51"/>
        <v>0</v>
      </c>
    </row>
    <row r="231" spans="1:29" ht="42.95" customHeight="1" x14ac:dyDescent="0.25">
      <c r="A231" s="4" t="s">
        <v>17</v>
      </c>
      <c r="B231" s="7" t="s">
        <v>65</v>
      </c>
      <c r="C231" s="2" t="s">
        <v>1429</v>
      </c>
      <c r="D231" s="7" t="s">
        <v>904</v>
      </c>
      <c r="E231" s="4" t="s">
        <v>778</v>
      </c>
      <c r="F231" s="2">
        <v>399</v>
      </c>
      <c r="G231" s="2" t="s">
        <v>1399</v>
      </c>
      <c r="H231" s="2" t="s">
        <v>1400</v>
      </c>
      <c r="I231" s="4" t="s">
        <v>60</v>
      </c>
      <c r="J231" s="112">
        <f>IF($H231&lt;&gt;"Y",0,ROUND(MIN(Dashboard!$R$24,IF(IFERROR(VLOOKUP($B231,Dashboard!$Q$28:$S$60,2,FALSE),0)&gt;0,IFERROR(VLOOKUP($B231,Dashboard!$Q$28:$S$60,2,FALSE),0),$Z231*IF($U231&lt;&gt;"",ROUND((Dashboard!$R$4/$U231)*VLOOKUP($I231,Dashboard!$Q$9:$R$13,2,FALSE)*IF(ISNUMBER(SEARCH("Duals",$B231)),2,IF(ISNUMBER(SEARCH("Triples",$B231)),3,IF(ISNUMBER(SEARCH("Quads",$B231)),4,1))),2),ROUND(VLOOKUP($I231,Dashboard!$Q$15:$R$20,2,FALSE)*IF($E231="Red",Dashboard!$R$6,IF($E231="Gold",Dashboard!$R$7,Dashboard!$R$5))*IF(ISNUMBER(SEARCH("Duals",$B231)),2,IF(ISNUMBER(SEARCH("Triples",$B231)),3,IF(ISNUMBER(SEARCH("Quads",$B231)),4,1))),2))*IF(IFERROR(VLOOKUP($B231,Dashboard!$Q$28:$S$60,3,FALSE),0)&gt;0,VLOOKUP($B231,Dashboard!$Q$28:$S$60,3,FALSE),1))),0))</f>
        <v>3</v>
      </c>
      <c r="K231" s="2" t="str">
        <f>IF('Base S1'!F31="","",'Base S1'!F31)</f>
        <v>V</v>
      </c>
      <c r="L231" s="2">
        <f t="shared" si="39"/>
        <v>1</v>
      </c>
      <c r="M231" s="2">
        <f t="shared" si="40"/>
        <v>0</v>
      </c>
      <c r="N231" s="2">
        <f t="shared" si="41"/>
        <v>1</v>
      </c>
      <c r="O231" s="2">
        <f t="shared" si="42"/>
        <v>0</v>
      </c>
      <c r="P231" s="112">
        <f t="shared" si="43"/>
        <v>3</v>
      </c>
      <c r="Q231" s="112">
        <f t="shared" si="44"/>
        <v>0</v>
      </c>
      <c r="R231" s="53"/>
      <c r="S231" s="53" t="str">
        <f t="shared" si="45"/>
        <v>Base S1|Compound V Parallel - Season 1|30|Compound V</v>
      </c>
      <c r="T231" s="57" t="str">
        <f>IF($S231="","",IFERROR(VLOOKUP($S231,'Pop Estimates (Non-#d)'!$N$2:$O$500,2,FALSE),""))</f>
        <v/>
      </c>
      <c r="U231" s="57">
        <f t="shared" si="46"/>
        <v>399</v>
      </c>
      <c r="V231" s="53" t="str">
        <f t="shared" si="47"/>
        <v/>
      </c>
      <c r="W231" s="53" t="str">
        <f t="shared" si="48"/>
        <v/>
      </c>
      <c r="X231" s="53" t="str">
        <f t="shared" si="49"/>
        <v/>
      </c>
      <c r="Y231" s="57" t="str">
        <f>IF($X231="","",IFERROR(VLOOKUP($X231,'Char Popularity'!$A$2:$C$500,2,FALSE),""))</f>
        <v/>
      </c>
      <c r="Z231" s="56">
        <f>IF($X231="",1,IFERROR(VLOOKUP($X231,'Char Popularity'!$A$2:$C$500,3,FALSE),1))</f>
        <v>1</v>
      </c>
      <c r="AA231" s="62">
        <f>IF($H231&lt;&gt;"Y",0,(IF($F231&lt;&gt;"",ROUND(Dashboard!$R$4/$F231,1),IF(AND($I231="Base",$E231="Base"),Dashboard!$R$5,IF(AND($I231="Base",$E231="Red"),Dashboard!$R$6,IF(AND($I231="Base",$E231="Gold"),Dashboard!$R$7,VLOOKUP($I231,Dashboard!$Q$16:$R$21,2,FALSE)))))*VLOOKUP($I231,Dashboard!$Q$9:$R$13,2,FALSE)*IF(AND($I231="Auto",$F231="",OR($B231="Autographs Duals",$B231="Autographs Triples",$B231="Autographs Quads",$B231="Autographs Quads (Inscribed)")),IF($B231="Autographs Duals",2,IF($B231="Autographs Triples",3,4)),1)))</f>
        <v>2.5</v>
      </c>
      <c r="AB231" s="62">
        <f t="shared" si="50"/>
        <v>2.5</v>
      </c>
      <c r="AC231" s="62">
        <f t="shared" si="51"/>
        <v>0</v>
      </c>
    </row>
    <row r="232" spans="1:29" ht="42.95" customHeight="1" x14ac:dyDescent="0.25">
      <c r="A232" s="4" t="s">
        <v>17</v>
      </c>
      <c r="B232" s="7" t="s">
        <v>65</v>
      </c>
      <c r="C232" s="2" t="s">
        <v>1430</v>
      </c>
      <c r="D232" s="7" t="s">
        <v>906</v>
      </c>
      <c r="E232" s="4" t="s">
        <v>778</v>
      </c>
      <c r="F232" s="2">
        <v>399</v>
      </c>
      <c r="G232" s="2" t="s">
        <v>1399</v>
      </c>
      <c r="H232" s="2" t="s">
        <v>1400</v>
      </c>
      <c r="I232" s="4" t="s">
        <v>60</v>
      </c>
      <c r="J232" s="112">
        <f>IF($H232&lt;&gt;"Y",0,ROUND(MIN(Dashboard!$R$24,IF(IFERROR(VLOOKUP($B232,Dashboard!$Q$28:$S$60,2,FALSE),0)&gt;0,IFERROR(VLOOKUP($B232,Dashboard!$Q$28:$S$60,2,FALSE),0),$Z232*IF($U232&lt;&gt;"",ROUND((Dashboard!$R$4/$U232)*VLOOKUP($I232,Dashboard!$Q$9:$R$13,2,FALSE)*IF(ISNUMBER(SEARCH("Duals",$B232)),2,IF(ISNUMBER(SEARCH("Triples",$B232)),3,IF(ISNUMBER(SEARCH("Quads",$B232)),4,1))),2),ROUND(VLOOKUP($I232,Dashboard!$Q$15:$R$20,2,FALSE)*IF($E232="Red",Dashboard!$R$6,IF($E232="Gold",Dashboard!$R$7,Dashboard!$R$5))*IF(ISNUMBER(SEARCH("Duals",$B232)),2,IF(ISNUMBER(SEARCH("Triples",$B232)),3,IF(ISNUMBER(SEARCH("Quads",$B232)),4,1))),2))*IF(IFERROR(VLOOKUP($B232,Dashboard!$Q$28:$S$60,3,FALSE),0)&gt;0,VLOOKUP($B232,Dashboard!$Q$28:$S$60,3,FALSE),1))),0))</f>
        <v>3</v>
      </c>
      <c r="K232" s="2" t="str">
        <f>IF('Base S1'!F32="","",'Base S1'!F32)</f>
        <v>V</v>
      </c>
      <c r="L232" s="2">
        <f t="shared" si="39"/>
        <v>1</v>
      </c>
      <c r="M232" s="2">
        <f t="shared" si="40"/>
        <v>0</v>
      </c>
      <c r="N232" s="2">
        <f t="shared" si="41"/>
        <v>1</v>
      </c>
      <c r="O232" s="2">
        <f t="shared" si="42"/>
        <v>0</v>
      </c>
      <c r="P232" s="112">
        <f t="shared" si="43"/>
        <v>3</v>
      </c>
      <c r="Q232" s="112">
        <f t="shared" si="44"/>
        <v>0</v>
      </c>
      <c r="R232" s="53"/>
      <c r="S232" s="53" t="str">
        <f t="shared" si="45"/>
        <v>Base S1|Compound V Parallel - Season 1|31|Compound V</v>
      </c>
      <c r="T232" s="57" t="str">
        <f>IF($S232="","",IFERROR(VLOOKUP($S232,'Pop Estimates (Non-#d)'!$N$2:$O$500,2,FALSE),""))</f>
        <v/>
      </c>
      <c r="U232" s="57">
        <f t="shared" si="46"/>
        <v>399</v>
      </c>
      <c r="V232" s="53" t="str">
        <f t="shared" si="47"/>
        <v/>
      </c>
      <c r="W232" s="53" t="str">
        <f t="shared" si="48"/>
        <v/>
      </c>
      <c r="X232" s="53" t="str">
        <f t="shared" si="49"/>
        <v/>
      </c>
      <c r="Y232" s="57" t="str">
        <f>IF($X232="","",IFERROR(VLOOKUP($X232,'Char Popularity'!$A$2:$C$500,2,FALSE),""))</f>
        <v/>
      </c>
      <c r="Z232" s="56">
        <f>IF($X232="",1,IFERROR(VLOOKUP($X232,'Char Popularity'!$A$2:$C$500,3,FALSE),1))</f>
        <v>1</v>
      </c>
      <c r="AA232" s="62">
        <f>IF($H232&lt;&gt;"Y",0,(IF($F232&lt;&gt;"",ROUND(Dashboard!$R$4/$F232,1),IF(AND($I232="Base",$E232="Base"),Dashboard!$R$5,IF(AND($I232="Base",$E232="Red"),Dashboard!$R$6,IF(AND($I232="Base",$E232="Gold"),Dashboard!$R$7,VLOOKUP($I232,Dashboard!$Q$16:$R$21,2,FALSE)))))*VLOOKUP($I232,Dashboard!$Q$9:$R$13,2,FALSE)*IF(AND($I232="Auto",$F232="",OR($B232="Autographs Duals",$B232="Autographs Triples",$B232="Autographs Quads",$B232="Autographs Quads (Inscribed)")),IF($B232="Autographs Duals",2,IF($B232="Autographs Triples",3,4)),1)))</f>
        <v>2.5</v>
      </c>
      <c r="AB232" s="62">
        <f t="shared" si="50"/>
        <v>2.5</v>
      </c>
      <c r="AC232" s="62">
        <f t="shared" si="51"/>
        <v>0</v>
      </c>
    </row>
    <row r="233" spans="1:29" ht="42.95" customHeight="1" x14ac:dyDescent="0.25">
      <c r="A233" s="4" t="s">
        <v>17</v>
      </c>
      <c r="B233" s="7" t="s">
        <v>65</v>
      </c>
      <c r="C233" s="2" t="s">
        <v>1431</v>
      </c>
      <c r="D233" s="7" t="s">
        <v>908</v>
      </c>
      <c r="E233" s="4" t="s">
        <v>778</v>
      </c>
      <c r="F233" s="2">
        <v>399</v>
      </c>
      <c r="G233" s="2" t="s">
        <v>1399</v>
      </c>
      <c r="H233" s="2" t="s">
        <v>1400</v>
      </c>
      <c r="I233" s="4" t="s">
        <v>60</v>
      </c>
      <c r="J233" s="112">
        <f>IF($H233&lt;&gt;"Y",0,ROUND(MIN(Dashboard!$R$24,IF(IFERROR(VLOOKUP($B233,Dashboard!$Q$28:$S$60,2,FALSE),0)&gt;0,IFERROR(VLOOKUP($B233,Dashboard!$Q$28:$S$60,2,FALSE),0),$Z233*IF($U233&lt;&gt;"",ROUND((Dashboard!$R$4/$U233)*VLOOKUP($I233,Dashboard!$Q$9:$R$13,2,FALSE)*IF(ISNUMBER(SEARCH("Duals",$B233)),2,IF(ISNUMBER(SEARCH("Triples",$B233)),3,IF(ISNUMBER(SEARCH("Quads",$B233)),4,1))),2),ROUND(VLOOKUP($I233,Dashboard!$Q$15:$R$20,2,FALSE)*IF($E233="Red",Dashboard!$R$6,IF($E233="Gold",Dashboard!$R$7,Dashboard!$R$5))*IF(ISNUMBER(SEARCH("Duals",$B233)),2,IF(ISNUMBER(SEARCH("Triples",$B233)),3,IF(ISNUMBER(SEARCH("Quads",$B233)),4,1))),2))*IF(IFERROR(VLOOKUP($B233,Dashboard!$Q$28:$S$60,3,FALSE),0)&gt;0,VLOOKUP($B233,Dashboard!$Q$28:$S$60,3,FALSE),1))),0))</f>
        <v>3</v>
      </c>
      <c r="K233" s="2" t="str">
        <f>IF('Base S1'!F33="","",'Base S1'!F33)</f>
        <v>V</v>
      </c>
      <c r="L233" s="2">
        <f t="shared" si="39"/>
        <v>1</v>
      </c>
      <c r="M233" s="2">
        <f t="shared" si="40"/>
        <v>0</v>
      </c>
      <c r="N233" s="2">
        <f t="shared" si="41"/>
        <v>1</v>
      </c>
      <c r="O233" s="2">
        <f t="shared" si="42"/>
        <v>0</v>
      </c>
      <c r="P233" s="112">
        <f t="shared" si="43"/>
        <v>3</v>
      </c>
      <c r="Q233" s="112">
        <f t="shared" si="44"/>
        <v>0</v>
      </c>
      <c r="R233" s="53"/>
      <c r="S233" s="53" t="str">
        <f t="shared" si="45"/>
        <v>Base S1|Compound V Parallel - Season 1|32|Compound V</v>
      </c>
      <c r="T233" s="57" t="str">
        <f>IF($S233="","",IFERROR(VLOOKUP($S233,'Pop Estimates (Non-#d)'!$N$2:$O$500,2,FALSE),""))</f>
        <v/>
      </c>
      <c r="U233" s="57">
        <f t="shared" si="46"/>
        <v>399</v>
      </c>
      <c r="V233" s="53" t="str">
        <f t="shared" si="47"/>
        <v/>
      </c>
      <c r="W233" s="53" t="str">
        <f t="shared" si="48"/>
        <v/>
      </c>
      <c r="X233" s="53" t="str">
        <f t="shared" si="49"/>
        <v/>
      </c>
      <c r="Y233" s="57" t="str">
        <f>IF($X233="","",IFERROR(VLOOKUP($X233,'Char Popularity'!$A$2:$C$500,2,FALSE),""))</f>
        <v/>
      </c>
      <c r="Z233" s="56">
        <f>IF($X233="",1,IFERROR(VLOOKUP($X233,'Char Popularity'!$A$2:$C$500,3,FALSE),1))</f>
        <v>1</v>
      </c>
      <c r="AA233" s="62">
        <f>IF($H233&lt;&gt;"Y",0,(IF($F233&lt;&gt;"",ROUND(Dashboard!$R$4/$F233,1),IF(AND($I233="Base",$E233="Base"),Dashboard!$R$5,IF(AND($I233="Base",$E233="Red"),Dashboard!$R$6,IF(AND($I233="Base",$E233="Gold"),Dashboard!$R$7,VLOOKUP($I233,Dashboard!$Q$16:$R$21,2,FALSE)))))*VLOOKUP($I233,Dashboard!$Q$9:$R$13,2,FALSE)*IF(AND($I233="Auto",$F233="",OR($B233="Autographs Duals",$B233="Autographs Triples",$B233="Autographs Quads",$B233="Autographs Quads (Inscribed)")),IF($B233="Autographs Duals",2,IF($B233="Autographs Triples",3,4)),1)))</f>
        <v>2.5</v>
      </c>
      <c r="AB233" s="62">
        <f t="shared" si="50"/>
        <v>2.5</v>
      </c>
      <c r="AC233" s="62">
        <f t="shared" si="51"/>
        <v>0</v>
      </c>
    </row>
    <row r="234" spans="1:29" ht="42.95" customHeight="1" x14ac:dyDescent="0.25">
      <c r="A234" s="4" t="s">
        <v>17</v>
      </c>
      <c r="B234" s="7" t="s">
        <v>65</v>
      </c>
      <c r="C234" s="2" t="s">
        <v>1432</v>
      </c>
      <c r="D234" s="7" t="s">
        <v>910</v>
      </c>
      <c r="E234" s="4" t="s">
        <v>778</v>
      </c>
      <c r="F234" s="2">
        <v>399</v>
      </c>
      <c r="G234" s="2" t="s">
        <v>1399</v>
      </c>
      <c r="H234" s="2" t="s">
        <v>1400</v>
      </c>
      <c r="I234" s="4" t="s">
        <v>60</v>
      </c>
      <c r="J234" s="112">
        <f>IF($H234&lt;&gt;"Y",0,ROUND(MIN(Dashboard!$R$24,IF(IFERROR(VLOOKUP($B234,Dashboard!$Q$28:$S$60,2,FALSE),0)&gt;0,IFERROR(VLOOKUP($B234,Dashboard!$Q$28:$S$60,2,FALSE),0),$Z234*IF($U234&lt;&gt;"",ROUND((Dashboard!$R$4/$U234)*VLOOKUP($I234,Dashboard!$Q$9:$R$13,2,FALSE)*IF(ISNUMBER(SEARCH("Duals",$B234)),2,IF(ISNUMBER(SEARCH("Triples",$B234)),3,IF(ISNUMBER(SEARCH("Quads",$B234)),4,1))),2),ROUND(VLOOKUP($I234,Dashboard!$Q$15:$R$20,2,FALSE)*IF($E234="Red",Dashboard!$R$6,IF($E234="Gold",Dashboard!$R$7,Dashboard!$R$5))*IF(ISNUMBER(SEARCH("Duals",$B234)),2,IF(ISNUMBER(SEARCH("Triples",$B234)),3,IF(ISNUMBER(SEARCH("Quads",$B234)),4,1))),2))*IF(IFERROR(VLOOKUP($B234,Dashboard!$Q$28:$S$60,3,FALSE),0)&gt;0,VLOOKUP($B234,Dashboard!$Q$28:$S$60,3,FALSE),1))),0))</f>
        <v>3</v>
      </c>
      <c r="K234" s="2" t="str">
        <f>IF('Base S1'!F34="","",'Base S1'!F34)</f>
        <v>V</v>
      </c>
      <c r="L234" s="2">
        <f t="shared" si="39"/>
        <v>1</v>
      </c>
      <c r="M234" s="2">
        <f t="shared" si="40"/>
        <v>0</v>
      </c>
      <c r="N234" s="2">
        <f t="shared" si="41"/>
        <v>1</v>
      </c>
      <c r="O234" s="2">
        <f t="shared" si="42"/>
        <v>0</v>
      </c>
      <c r="P234" s="112">
        <f t="shared" si="43"/>
        <v>3</v>
      </c>
      <c r="Q234" s="112">
        <f t="shared" si="44"/>
        <v>0</v>
      </c>
      <c r="R234" s="53"/>
      <c r="S234" s="53" t="str">
        <f t="shared" si="45"/>
        <v>Base S1|Compound V Parallel - Season 1|33|Compound V</v>
      </c>
      <c r="T234" s="57" t="str">
        <f>IF($S234="","",IFERROR(VLOOKUP($S234,'Pop Estimates (Non-#d)'!$N$2:$O$500,2,FALSE),""))</f>
        <v/>
      </c>
      <c r="U234" s="57">
        <f t="shared" si="46"/>
        <v>399</v>
      </c>
      <c r="V234" s="53" t="str">
        <f t="shared" si="47"/>
        <v/>
      </c>
      <c r="W234" s="53" t="str">
        <f t="shared" si="48"/>
        <v/>
      </c>
      <c r="X234" s="53" t="str">
        <f t="shared" si="49"/>
        <v/>
      </c>
      <c r="Y234" s="57" t="str">
        <f>IF($X234="","",IFERROR(VLOOKUP($X234,'Char Popularity'!$A$2:$C$500,2,FALSE),""))</f>
        <v/>
      </c>
      <c r="Z234" s="56">
        <f>IF($X234="",1,IFERROR(VLOOKUP($X234,'Char Popularity'!$A$2:$C$500,3,FALSE),1))</f>
        <v>1</v>
      </c>
      <c r="AA234" s="62">
        <f>IF($H234&lt;&gt;"Y",0,(IF($F234&lt;&gt;"",ROUND(Dashboard!$R$4/$F234,1),IF(AND($I234="Base",$E234="Base"),Dashboard!$R$5,IF(AND($I234="Base",$E234="Red"),Dashboard!$R$6,IF(AND($I234="Base",$E234="Gold"),Dashboard!$R$7,VLOOKUP($I234,Dashboard!$Q$16:$R$21,2,FALSE)))))*VLOOKUP($I234,Dashboard!$Q$9:$R$13,2,FALSE)*IF(AND($I234="Auto",$F234="",OR($B234="Autographs Duals",$B234="Autographs Triples",$B234="Autographs Quads",$B234="Autographs Quads (Inscribed)")),IF($B234="Autographs Duals",2,IF($B234="Autographs Triples",3,4)),1)))</f>
        <v>2.5</v>
      </c>
      <c r="AB234" s="62">
        <f t="shared" si="50"/>
        <v>2.5</v>
      </c>
      <c r="AC234" s="62">
        <f t="shared" si="51"/>
        <v>0</v>
      </c>
    </row>
    <row r="235" spans="1:29" ht="42.95" customHeight="1" x14ac:dyDescent="0.25">
      <c r="A235" s="4" t="s">
        <v>17</v>
      </c>
      <c r="B235" s="7" t="s">
        <v>65</v>
      </c>
      <c r="C235" s="2" t="s">
        <v>1433</v>
      </c>
      <c r="D235" s="7" t="s">
        <v>912</v>
      </c>
      <c r="E235" s="4" t="s">
        <v>778</v>
      </c>
      <c r="F235" s="2">
        <v>399</v>
      </c>
      <c r="G235" s="2" t="s">
        <v>1399</v>
      </c>
      <c r="H235" s="2" t="s">
        <v>1400</v>
      </c>
      <c r="I235" s="4" t="s">
        <v>60</v>
      </c>
      <c r="J235" s="112">
        <f>IF($H235&lt;&gt;"Y",0,ROUND(MIN(Dashboard!$R$24,IF(IFERROR(VLOOKUP($B235,Dashboard!$Q$28:$S$60,2,FALSE),0)&gt;0,IFERROR(VLOOKUP($B235,Dashboard!$Q$28:$S$60,2,FALSE),0),$Z235*IF($U235&lt;&gt;"",ROUND((Dashboard!$R$4/$U235)*VLOOKUP($I235,Dashboard!$Q$9:$R$13,2,FALSE)*IF(ISNUMBER(SEARCH("Duals",$B235)),2,IF(ISNUMBER(SEARCH("Triples",$B235)),3,IF(ISNUMBER(SEARCH("Quads",$B235)),4,1))),2),ROUND(VLOOKUP($I235,Dashboard!$Q$15:$R$20,2,FALSE)*IF($E235="Red",Dashboard!$R$6,IF($E235="Gold",Dashboard!$R$7,Dashboard!$R$5))*IF(ISNUMBER(SEARCH("Duals",$B235)),2,IF(ISNUMBER(SEARCH("Triples",$B235)),3,IF(ISNUMBER(SEARCH("Quads",$B235)),4,1))),2))*IF(IFERROR(VLOOKUP($B235,Dashboard!$Q$28:$S$60,3,FALSE),0)&gt;0,VLOOKUP($B235,Dashboard!$Q$28:$S$60,3,FALSE),1))),0))</f>
        <v>3</v>
      </c>
      <c r="K235" s="2" t="str">
        <f>IF('Base S1'!F35="","",'Base S1'!F35)</f>
        <v>V</v>
      </c>
      <c r="L235" s="2">
        <f t="shared" si="39"/>
        <v>1</v>
      </c>
      <c r="M235" s="2">
        <f t="shared" si="40"/>
        <v>0</v>
      </c>
      <c r="N235" s="2">
        <f t="shared" si="41"/>
        <v>1</v>
      </c>
      <c r="O235" s="2">
        <f t="shared" si="42"/>
        <v>0</v>
      </c>
      <c r="P235" s="112">
        <f t="shared" si="43"/>
        <v>3</v>
      </c>
      <c r="Q235" s="112">
        <f t="shared" si="44"/>
        <v>0</v>
      </c>
      <c r="R235" s="53"/>
      <c r="S235" s="53" t="str">
        <f t="shared" si="45"/>
        <v>Base S1|Compound V Parallel - Season 1|34|Compound V</v>
      </c>
      <c r="T235" s="57" t="str">
        <f>IF($S235="","",IFERROR(VLOOKUP($S235,'Pop Estimates (Non-#d)'!$N$2:$O$500,2,FALSE),""))</f>
        <v/>
      </c>
      <c r="U235" s="57">
        <f t="shared" si="46"/>
        <v>399</v>
      </c>
      <c r="V235" s="53" t="str">
        <f t="shared" si="47"/>
        <v/>
      </c>
      <c r="W235" s="53" t="str">
        <f t="shared" si="48"/>
        <v/>
      </c>
      <c r="X235" s="53" t="str">
        <f t="shared" si="49"/>
        <v/>
      </c>
      <c r="Y235" s="57" t="str">
        <f>IF($X235="","",IFERROR(VLOOKUP($X235,'Char Popularity'!$A$2:$C$500,2,FALSE),""))</f>
        <v/>
      </c>
      <c r="Z235" s="56">
        <f>IF($X235="",1,IFERROR(VLOOKUP($X235,'Char Popularity'!$A$2:$C$500,3,FALSE),1))</f>
        <v>1</v>
      </c>
      <c r="AA235" s="62">
        <f>IF($H235&lt;&gt;"Y",0,(IF($F235&lt;&gt;"",ROUND(Dashboard!$R$4/$F235,1),IF(AND($I235="Base",$E235="Base"),Dashboard!$R$5,IF(AND($I235="Base",$E235="Red"),Dashboard!$R$6,IF(AND($I235="Base",$E235="Gold"),Dashboard!$R$7,VLOOKUP($I235,Dashboard!$Q$16:$R$21,2,FALSE)))))*VLOOKUP($I235,Dashboard!$Q$9:$R$13,2,FALSE)*IF(AND($I235="Auto",$F235="",OR($B235="Autographs Duals",$B235="Autographs Triples",$B235="Autographs Quads",$B235="Autographs Quads (Inscribed)")),IF($B235="Autographs Duals",2,IF($B235="Autographs Triples",3,4)),1)))</f>
        <v>2.5</v>
      </c>
      <c r="AB235" s="62">
        <f t="shared" si="50"/>
        <v>2.5</v>
      </c>
      <c r="AC235" s="62">
        <f t="shared" si="51"/>
        <v>0</v>
      </c>
    </row>
    <row r="236" spans="1:29" ht="42.95" customHeight="1" x14ac:dyDescent="0.25">
      <c r="A236" s="4" t="s">
        <v>17</v>
      </c>
      <c r="B236" s="7" t="s">
        <v>65</v>
      </c>
      <c r="C236" s="2" t="s">
        <v>1434</v>
      </c>
      <c r="D236" s="7" t="s">
        <v>914</v>
      </c>
      <c r="E236" s="4" t="s">
        <v>778</v>
      </c>
      <c r="F236" s="2">
        <v>399</v>
      </c>
      <c r="G236" s="2" t="s">
        <v>1399</v>
      </c>
      <c r="H236" s="2" t="s">
        <v>1400</v>
      </c>
      <c r="I236" s="4" t="s">
        <v>60</v>
      </c>
      <c r="J236" s="112">
        <f>IF($H236&lt;&gt;"Y",0,ROUND(MIN(Dashboard!$R$24,IF(IFERROR(VLOOKUP($B236,Dashboard!$Q$28:$S$60,2,FALSE),0)&gt;0,IFERROR(VLOOKUP($B236,Dashboard!$Q$28:$S$60,2,FALSE),0),$Z236*IF($U236&lt;&gt;"",ROUND((Dashboard!$R$4/$U236)*VLOOKUP($I236,Dashboard!$Q$9:$R$13,2,FALSE)*IF(ISNUMBER(SEARCH("Duals",$B236)),2,IF(ISNUMBER(SEARCH("Triples",$B236)),3,IF(ISNUMBER(SEARCH("Quads",$B236)),4,1))),2),ROUND(VLOOKUP($I236,Dashboard!$Q$15:$R$20,2,FALSE)*IF($E236="Red",Dashboard!$R$6,IF($E236="Gold",Dashboard!$R$7,Dashboard!$R$5))*IF(ISNUMBER(SEARCH("Duals",$B236)),2,IF(ISNUMBER(SEARCH("Triples",$B236)),3,IF(ISNUMBER(SEARCH("Quads",$B236)),4,1))),2))*IF(IFERROR(VLOOKUP($B236,Dashboard!$Q$28:$S$60,3,FALSE),0)&gt;0,VLOOKUP($B236,Dashboard!$Q$28:$S$60,3,FALSE),1))),0))</f>
        <v>3</v>
      </c>
      <c r="K236" s="2" t="str">
        <f>IF('Base S1'!F36="","",'Base S1'!F36)</f>
        <v>V</v>
      </c>
      <c r="L236" s="2">
        <f t="shared" si="39"/>
        <v>1</v>
      </c>
      <c r="M236" s="2">
        <f t="shared" si="40"/>
        <v>0</v>
      </c>
      <c r="N236" s="2">
        <f t="shared" si="41"/>
        <v>1</v>
      </c>
      <c r="O236" s="2">
        <f t="shared" si="42"/>
        <v>0</v>
      </c>
      <c r="P236" s="112">
        <f t="shared" si="43"/>
        <v>3</v>
      </c>
      <c r="Q236" s="112">
        <f t="shared" si="44"/>
        <v>0</v>
      </c>
      <c r="R236" s="53"/>
      <c r="S236" s="53" t="str">
        <f t="shared" si="45"/>
        <v>Base S1|Compound V Parallel - Season 1|35|Compound V</v>
      </c>
      <c r="T236" s="57" t="str">
        <f>IF($S236="","",IFERROR(VLOOKUP($S236,'Pop Estimates (Non-#d)'!$N$2:$O$500,2,FALSE),""))</f>
        <v/>
      </c>
      <c r="U236" s="57">
        <f t="shared" si="46"/>
        <v>399</v>
      </c>
      <c r="V236" s="53" t="str">
        <f t="shared" si="47"/>
        <v/>
      </c>
      <c r="W236" s="53" t="str">
        <f t="shared" si="48"/>
        <v/>
      </c>
      <c r="X236" s="53" t="str">
        <f t="shared" si="49"/>
        <v/>
      </c>
      <c r="Y236" s="57" t="str">
        <f>IF($X236="","",IFERROR(VLOOKUP($X236,'Char Popularity'!$A$2:$C$500,2,FALSE),""))</f>
        <v/>
      </c>
      <c r="Z236" s="56">
        <f>IF($X236="",1,IFERROR(VLOOKUP($X236,'Char Popularity'!$A$2:$C$500,3,FALSE),1))</f>
        <v>1</v>
      </c>
      <c r="AA236" s="62">
        <f>IF($H236&lt;&gt;"Y",0,(IF($F236&lt;&gt;"",ROUND(Dashboard!$R$4/$F236,1),IF(AND($I236="Base",$E236="Base"),Dashboard!$R$5,IF(AND($I236="Base",$E236="Red"),Dashboard!$R$6,IF(AND($I236="Base",$E236="Gold"),Dashboard!$R$7,VLOOKUP($I236,Dashboard!$Q$16:$R$21,2,FALSE)))))*VLOOKUP($I236,Dashboard!$Q$9:$R$13,2,FALSE)*IF(AND($I236="Auto",$F236="",OR($B236="Autographs Duals",$B236="Autographs Triples",$B236="Autographs Quads",$B236="Autographs Quads (Inscribed)")),IF($B236="Autographs Duals",2,IF($B236="Autographs Triples",3,4)),1)))</f>
        <v>2.5</v>
      </c>
      <c r="AB236" s="62">
        <f t="shared" si="50"/>
        <v>2.5</v>
      </c>
      <c r="AC236" s="62">
        <f t="shared" si="51"/>
        <v>0</v>
      </c>
    </row>
    <row r="237" spans="1:29" ht="42.95" customHeight="1" x14ac:dyDescent="0.25">
      <c r="A237" s="4" t="s">
        <v>17</v>
      </c>
      <c r="B237" s="7" t="s">
        <v>65</v>
      </c>
      <c r="C237" s="2" t="s">
        <v>1435</v>
      </c>
      <c r="D237" s="7" t="s">
        <v>915</v>
      </c>
      <c r="E237" s="4" t="s">
        <v>778</v>
      </c>
      <c r="F237" s="2">
        <v>399</v>
      </c>
      <c r="G237" s="2" t="s">
        <v>1399</v>
      </c>
      <c r="H237" s="2" t="s">
        <v>1400</v>
      </c>
      <c r="I237" s="4" t="s">
        <v>60</v>
      </c>
      <c r="J237" s="112">
        <f>IF($H237&lt;&gt;"Y",0,ROUND(MIN(Dashboard!$R$24,IF(IFERROR(VLOOKUP($B237,Dashboard!$Q$28:$S$60,2,FALSE),0)&gt;0,IFERROR(VLOOKUP($B237,Dashboard!$Q$28:$S$60,2,FALSE),0),$Z237*IF($U237&lt;&gt;"",ROUND((Dashboard!$R$4/$U237)*VLOOKUP($I237,Dashboard!$Q$9:$R$13,2,FALSE)*IF(ISNUMBER(SEARCH("Duals",$B237)),2,IF(ISNUMBER(SEARCH("Triples",$B237)),3,IF(ISNUMBER(SEARCH("Quads",$B237)),4,1))),2),ROUND(VLOOKUP($I237,Dashboard!$Q$15:$R$20,2,FALSE)*IF($E237="Red",Dashboard!$R$6,IF($E237="Gold",Dashboard!$R$7,Dashboard!$R$5))*IF(ISNUMBER(SEARCH("Duals",$B237)),2,IF(ISNUMBER(SEARCH("Triples",$B237)),3,IF(ISNUMBER(SEARCH("Quads",$B237)),4,1))),2))*IF(IFERROR(VLOOKUP($B237,Dashboard!$Q$28:$S$60,3,FALSE),0)&gt;0,VLOOKUP($B237,Dashboard!$Q$28:$S$60,3,FALSE),1))),0))</f>
        <v>3</v>
      </c>
      <c r="K237" s="2" t="str">
        <f>IF('Base S1'!F37="","",'Base S1'!F37)</f>
        <v>V</v>
      </c>
      <c r="L237" s="2">
        <f t="shared" si="39"/>
        <v>1</v>
      </c>
      <c r="M237" s="2">
        <f t="shared" si="40"/>
        <v>0</v>
      </c>
      <c r="N237" s="2">
        <f t="shared" si="41"/>
        <v>1</v>
      </c>
      <c r="O237" s="2">
        <f t="shared" si="42"/>
        <v>0</v>
      </c>
      <c r="P237" s="112">
        <f t="shared" si="43"/>
        <v>3</v>
      </c>
      <c r="Q237" s="112">
        <f t="shared" si="44"/>
        <v>0</v>
      </c>
      <c r="R237" s="53"/>
      <c r="S237" s="53" t="str">
        <f t="shared" si="45"/>
        <v>Base S1|Compound V Parallel - Season 1|36|Compound V</v>
      </c>
      <c r="T237" s="57" t="str">
        <f>IF($S237="","",IFERROR(VLOOKUP($S237,'Pop Estimates (Non-#d)'!$N$2:$O$500,2,FALSE),""))</f>
        <v/>
      </c>
      <c r="U237" s="57">
        <f t="shared" si="46"/>
        <v>399</v>
      </c>
      <c r="V237" s="53" t="str">
        <f t="shared" si="47"/>
        <v/>
      </c>
      <c r="W237" s="53" t="str">
        <f t="shared" si="48"/>
        <v/>
      </c>
      <c r="X237" s="53" t="str">
        <f t="shared" si="49"/>
        <v/>
      </c>
      <c r="Y237" s="57" t="str">
        <f>IF($X237="","",IFERROR(VLOOKUP($X237,'Char Popularity'!$A$2:$C$500,2,FALSE),""))</f>
        <v/>
      </c>
      <c r="Z237" s="56">
        <f>IF($X237="",1,IFERROR(VLOOKUP($X237,'Char Popularity'!$A$2:$C$500,3,FALSE),1))</f>
        <v>1</v>
      </c>
      <c r="AA237" s="62">
        <f>IF($H237&lt;&gt;"Y",0,(IF($F237&lt;&gt;"",ROUND(Dashboard!$R$4/$F237,1),IF(AND($I237="Base",$E237="Base"),Dashboard!$R$5,IF(AND($I237="Base",$E237="Red"),Dashboard!$R$6,IF(AND($I237="Base",$E237="Gold"),Dashboard!$R$7,VLOOKUP($I237,Dashboard!$Q$16:$R$21,2,FALSE)))))*VLOOKUP($I237,Dashboard!$Q$9:$R$13,2,FALSE)*IF(AND($I237="Auto",$F237="",OR($B237="Autographs Duals",$B237="Autographs Triples",$B237="Autographs Quads",$B237="Autographs Quads (Inscribed)")),IF($B237="Autographs Duals",2,IF($B237="Autographs Triples",3,4)),1)))</f>
        <v>2.5</v>
      </c>
      <c r="AB237" s="62">
        <f t="shared" si="50"/>
        <v>2.5</v>
      </c>
      <c r="AC237" s="62">
        <f t="shared" si="51"/>
        <v>0</v>
      </c>
    </row>
    <row r="238" spans="1:29" ht="42.95" customHeight="1" x14ac:dyDescent="0.25">
      <c r="A238" s="4" t="s">
        <v>17</v>
      </c>
      <c r="B238" s="7" t="s">
        <v>65</v>
      </c>
      <c r="C238" s="2" t="s">
        <v>1436</v>
      </c>
      <c r="D238" s="7" t="s">
        <v>917</v>
      </c>
      <c r="E238" s="4" t="s">
        <v>778</v>
      </c>
      <c r="F238" s="2">
        <v>399</v>
      </c>
      <c r="G238" s="2" t="s">
        <v>1399</v>
      </c>
      <c r="H238" s="2" t="s">
        <v>1400</v>
      </c>
      <c r="I238" s="4" t="s">
        <v>60</v>
      </c>
      <c r="J238" s="112">
        <f>IF($H238&lt;&gt;"Y",0,ROUND(MIN(Dashboard!$R$24,IF(IFERROR(VLOOKUP($B238,Dashboard!$Q$28:$S$60,2,FALSE),0)&gt;0,IFERROR(VLOOKUP($B238,Dashboard!$Q$28:$S$60,2,FALSE),0),$Z238*IF($U238&lt;&gt;"",ROUND((Dashboard!$R$4/$U238)*VLOOKUP($I238,Dashboard!$Q$9:$R$13,2,FALSE)*IF(ISNUMBER(SEARCH("Duals",$B238)),2,IF(ISNUMBER(SEARCH("Triples",$B238)),3,IF(ISNUMBER(SEARCH("Quads",$B238)),4,1))),2),ROUND(VLOOKUP($I238,Dashboard!$Q$15:$R$20,2,FALSE)*IF($E238="Red",Dashboard!$R$6,IF($E238="Gold",Dashboard!$R$7,Dashboard!$R$5))*IF(ISNUMBER(SEARCH("Duals",$B238)),2,IF(ISNUMBER(SEARCH("Triples",$B238)),3,IF(ISNUMBER(SEARCH("Quads",$B238)),4,1))),2))*IF(IFERROR(VLOOKUP($B238,Dashboard!$Q$28:$S$60,3,FALSE),0)&gt;0,VLOOKUP($B238,Dashboard!$Q$28:$S$60,3,FALSE),1))),0))</f>
        <v>3</v>
      </c>
      <c r="K238" s="2" t="str">
        <f>IF('Base S1'!F38="","",'Base S1'!F38)</f>
        <v>C</v>
      </c>
      <c r="L238" s="2">
        <f t="shared" si="39"/>
        <v>1</v>
      </c>
      <c r="M238" s="2">
        <f t="shared" si="40"/>
        <v>0</v>
      </c>
      <c r="N238" s="2">
        <f t="shared" si="41"/>
        <v>1</v>
      </c>
      <c r="O238" s="2">
        <f t="shared" si="42"/>
        <v>0</v>
      </c>
      <c r="P238" s="112">
        <f t="shared" si="43"/>
        <v>3</v>
      </c>
      <c r="Q238" s="112">
        <f t="shared" si="44"/>
        <v>0</v>
      </c>
      <c r="R238" s="53"/>
      <c r="S238" s="53" t="str">
        <f t="shared" si="45"/>
        <v>Base S1|Compound V Parallel - Season 1|37|Compound V</v>
      </c>
      <c r="T238" s="57" t="str">
        <f>IF($S238="","",IFERROR(VLOOKUP($S238,'Pop Estimates (Non-#d)'!$N$2:$O$500,2,FALSE),""))</f>
        <v/>
      </c>
      <c r="U238" s="57">
        <f t="shared" si="46"/>
        <v>399</v>
      </c>
      <c r="V238" s="53" t="str">
        <f t="shared" si="47"/>
        <v/>
      </c>
      <c r="W238" s="53" t="str">
        <f t="shared" si="48"/>
        <v/>
      </c>
      <c r="X238" s="53" t="str">
        <f t="shared" si="49"/>
        <v/>
      </c>
      <c r="Y238" s="57" t="str">
        <f>IF($X238="","",IFERROR(VLOOKUP($X238,'Char Popularity'!$A$2:$C$500,2,FALSE),""))</f>
        <v/>
      </c>
      <c r="Z238" s="56">
        <f>IF($X238="",1,IFERROR(VLOOKUP($X238,'Char Popularity'!$A$2:$C$500,3,FALSE),1))</f>
        <v>1</v>
      </c>
      <c r="AA238" s="62">
        <f>IF($H238&lt;&gt;"Y",0,(IF($F238&lt;&gt;"",ROUND(Dashboard!$R$4/$F238,1),IF(AND($I238="Base",$E238="Base"),Dashboard!$R$5,IF(AND($I238="Base",$E238="Red"),Dashboard!$R$6,IF(AND($I238="Base",$E238="Gold"),Dashboard!$R$7,VLOOKUP($I238,Dashboard!$Q$16:$R$21,2,FALSE)))))*VLOOKUP($I238,Dashboard!$Q$9:$R$13,2,FALSE)*IF(AND($I238="Auto",$F238="",OR($B238="Autographs Duals",$B238="Autographs Triples",$B238="Autographs Quads",$B238="Autographs Quads (Inscribed)")),IF($B238="Autographs Duals",2,IF($B238="Autographs Triples",3,4)),1)))</f>
        <v>2.5</v>
      </c>
      <c r="AB238" s="62">
        <f t="shared" si="50"/>
        <v>2.5</v>
      </c>
      <c r="AC238" s="62">
        <f t="shared" si="51"/>
        <v>0</v>
      </c>
    </row>
    <row r="239" spans="1:29" ht="42.95" customHeight="1" x14ac:dyDescent="0.25">
      <c r="A239" s="4" t="s">
        <v>17</v>
      </c>
      <c r="B239" s="7" t="s">
        <v>65</v>
      </c>
      <c r="C239" s="2" t="s">
        <v>1437</v>
      </c>
      <c r="D239" s="7" t="s">
        <v>919</v>
      </c>
      <c r="E239" s="4" t="s">
        <v>778</v>
      </c>
      <c r="F239" s="2">
        <v>399</v>
      </c>
      <c r="G239" s="2" t="s">
        <v>1399</v>
      </c>
      <c r="H239" s="2" t="s">
        <v>1400</v>
      </c>
      <c r="I239" s="4" t="s">
        <v>60</v>
      </c>
      <c r="J239" s="112">
        <f>IF($H239&lt;&gt;"Y",0,ROUND(MIN(Dashboard!$R$24,IF(IFERROR(VLOOKUP($B239,Dashboard!$Q$28:$S$60,2,FALSE),0)&gt;0,IFERROR(VLOOKUP($B239,Dashboard!$Q$28:$S$60,2,FALSE),0),$Z239*IF($U239&lt;&gt;"",ROUND((Dashboard!$R$4/$U239)*VLOOKUP($I239,Dashboard!$Q$9:$R$13,2,FALSE)*IF(ISNUMBER(SEARCH("Duals",$B239)),2,IF(ISNUMBER(SEARCH("Triples",$B239)),3,IF(ISNUMBER(SEARCH("Quads",$B239)),4,1))),2),ROUND(VLOOKUP($I239,Dashboard!$Q$15:$R$20,2,FALSE)*IF($E239="Red",Dashboard!$R$6,IF($E239="Gold",Dashboard!$R$7,Dashboard!$R$5))*IF(ISNUMBER(SEARCH("Duals",$B239)),2,IF(ISNUMBER(SEARCH("Triples",$B239)),3,IF(ISNUMBER(SEARCH("Quads",$B239)),4,1))),2))*IF(IFERROR(VLOOKUP($B239,Dashboard!$Q$28:$S$60,3,FALSE),0)&gt;0,VLOOKUP($B239,Dashboard!$Q$28:$S$60,3,FALSE),1))),0))</f>
        <v>3</v>
      </c>
      <c r="K239" s="2" t="str">
        <f>IF('Base S1'!F39="","",'Base S1'!F39)</f>
        <v>V</v>
      </c>
      <c r="L239" s="2">
        <f t="shared" si="39"/>
        <v>1</v>
      </c>
      <c r="M239" s="2">
        <f t="shared" si="40"/>
        <v>0</v>
      </c>
      <c r="N239" s="2">
        <f t="shared" si="41"/>
        <v>1</v>
      </c>
      <c r="O239" s="2">
        <f t="shared" si="42"/>
        <v>0</v>
      </c>
      <c r="P239" s="112">
        <f t="shared" si="43"/>
        <v>3</v>
      </c>
      <c r="Q239" s="112">
        <f t="shared" si="44"/>
        <v>0</v>
      </c>
      <c r="R239" s="53"/>
      <c r="S239" s="53" t="str">
        <f t="shared" si="45"/>
        <v>Base S1|Compound V Parallel - Season 1|38|Compound V</v>
      </c>
      <c r="T239" s="57" t="str">
        <f>IF($S239="","",IFERROR(VLOOKUP($S239,'Pop Estimates (Non-#d)'!$N$2:$O$500,2,FALSE),""))</f>
        <v/>
      </c>
      <c r="U239" s="57">
        <f t="shared" si="46"/>
        <v>399</v>
      </c>
      <c r="V239" s="53" t="str">
        <f t="shared" si="47"/>
        <v/>
      </c>
      <c r="W239" s="53" t="str">
        <f t="shared" si="48"/>
        <v/>
      </c>
      <c r="X239" s="53" t="str">
        <f t="shared" si="49"/>
        <v/>
      </c>
      <c r="Y239" s="57" t="str">
        <f>IF($X239="","",IFERROR(VLOOKUP($X239,'Char Popularity'!$A$2:$C$500,2,FALSE),""))</f>
        <v/>
      </c>
      <c r="Z239" s="56">
        <f>IF($X239="",1,IFERROR(VLOOKUP($X239,'Char Popularity'!$A$2:$C$500,3,FALSE),1))</f>
        <v>1</v>
      </c>
      <c r="AA239" s="62">
        <f>IF($H239&lt;&gt;"Y",0,(IF($F239&lt;&gt;"",ROUND(Dashboard!$R$4/$F239,1),IF(AND($I239="Base",$E239="Base"),Dashboard!$R$5,IF(AND($I239="Base",$E239="Red"),Dashboard!$R$6,IF(AND($I239="Base",$E239="Gold"),Dashboard!$R$7,VLOOKUP($I239,Dashboard!$Q$16:$R$21,2,FALSE)))))*VLOOKUP($I239,Dashboard!$Q$9:$R$13,2,FALSE)*IF(AND($I239="Auto",$F239="",OR($B239="Autographs Duals",$B239="Autographs Triples",$B239="Autographs Quads",$B239="Autographs Quads (Inscribed)")),IF($B239="Autographs Duals",2,IF($B239="Autographs Triples",3,4)),1)))</f>
        <v>2.5</v>
      </c>
      <c r="AB239" s="62">
        <f t="shared" si="50"/>
        <v>2.5</v>
      </c>
      <c r="AC239" s="62">
        <f t="shared" si="51"/>
        <v>0</v>
      </c>
    </row>
    <row r="240" spans="1:29" ht="42.95" customHeight="1" x14ac:dyDescent="0.25">
      <c r="A240" s="4" t="s">
        <v>17</v>
      </c>
      <c r="B240" s="7" t="s">
        <v>65</v>
      </c>
      <c r="C240" s="2" t="s">
        <v>1438</v>
      </c>
      <c r="D240" s="7" t="s">
        <v>920</v>
      </c>
      <c r="E240" s="4" t="s">
        <v>778</v>
      </c>
      <c r="F240" s="2">
        <v>399</v>
      </c>
      <c r="G240" s="2" t="s">
        <v>1399</v>
      </c>
      <c r="H240" s="2" t="s">
        <v>1400</v>
      </c>
      <c r="I240" s="4" t="s">
        <v>60</v>
      </c>
      <c r="J240" s="112">
        <f>IF($H240&lt;&gt;"Y",0,ROUND(MIN(Dashboard!$R$24,IF(IFERROR(VLOOKUP($B240,Dashboard!$Q$28:$S$60,2,FALSE),0)&gt;0,IFERROR(VLOOKUP($B240,Dashboard!$Q$28:$S$60,2,FALSE),0),$Z240*IF($U240&lt;&gt;"",ROUND((Dashboard!$R$4/$U240)*VLOOKUP($I240,Dashboard!$Q$9:$R$13,2,FALSE)*IF(ISNUMBER(SEARCH("Duals",$B240)),2,IF(ISNUMBER(SEARCH("Triples",$B240)),3,IF(ISNUMBER(SEARCH("Quads",$B240)),4,1))),2),ROUND(VLOOKUP($I240,Dashboard!$Q$15:$R$20,2,FALSE)*IF($E240="Red",Dashboard!$R$6,IF($E240="Gold",Dashboard!$R$7,Dashboard!$R$5))*IF(ISNUMBER(SEARCH("Duals",$B240)),2,IF(ISNUMBER(SEARCH("Triples",$B240)),3,IF(ISNUMBER(SEARCH("Quads",$B240)),4,1))),2))*IF(IFERROR(VLOOKUP($B240,Dashboard!$Q$28:$S$60,3,FALSE),0)&gt;0,VLOOKUP($B240,Dashboard!$Q$28:$S$60,3,FALSE),1))),0))</f>
        <v>3</v>
      </c>
      <c r="K240" s="2" t="str">
        <f>IF('Base S1'!F40="","",'Base S1'!F40)</f>
        <v>C</v>
      </c>
      <c r="L240" s="2">
        <f t="shared" si="39"/>
        <v>1</v>
      </c>
      <c r="M240" s="2">
        <f t="shared" si="40"/>
        <v>0</v>
      </c>
      <c r="N240" s="2">
        <f t="shared" si="41"/>
        <v>1</v>
      </c>
      <c r="O240" s="2">
        <f t="shared" si="42"/>
        <v>0</v>
      </c>
      <c r="P240" s="112">
        <f t="shared" si="43"/>
        <v>3</v>
      </c>
      <c r="Q240" s="112">
        <f t="shared" si="44"/>
        <v>0</v>
      </c>
      <c r="R240" s="53"/>
      <c r="S240" s="53" t="str">
        <f t="shared" si="45"/>
        <v>Base S1|Compound V Parallel - Season 1|39|Compound V</v>
      </c>
      <c r="T240" s="57" t="str">
        <f>IF($S240="","",IFERROR(VLOOKUP($S240,'Pop Estimates (Non-#d)'!$N$2:$O$500,2,FALSE),""))</f>
        <v/>
      </c>
      <c r="U240" s="57">
        <f t="shared" si="46"/>
        <v>399</v>
      </c>
      <c r="V240" s="53" t="str">
        <f t="shared" si="47"/>
        <v/>
      </c>
      <c r="W240" s="53" t="str">
        <f t="shared" si="48"/>
        <v/>
      </c>
      <c r="X240" s="53" t="str">
        <f t="shared" si="49"/>
        <v/>
      </c>
      <c r="Y240" s="57" t="str">
        <f>IF($X240="","",IFERROR(VLOOKUP($X240,'Char Popularity'!$A$2:$C$500,2,FALSE),""))</f>
        <v/>
      </c>
      <c r="Z240" s="56">
        <f>IF($X240="",1,IFERROR(VLOOKUP($X240,'Char Popularity'!$A$2:$C$500,3,FALSE),1))</f>
        <v>1</v>
      </c>
      <c r="AA240" s="62">
        <f>IF($H240&lt;&gt;"Y",0,(IF($F240&lt;&gt;"",ROUND(Dashboard!$R$4/$F240,1),IF(AND($I240="Base",$E240="Base"),Dashboard!$R$5,IF(AND($I240="Base",$E240="Red"),Dashboard!$R$6,IF(AND($I240="Base",$E240="Gold"),Dashboard!$R$7,VLOOKUP($I240,Dashboard!$Q$16:$R$21,2,FALSE)))))*VLOOKUP($I240,Dashboard!$Q$9:$R$13,2,FALSE)*IF(AND($I240="Auto",$F240="",OR($B240="Autographs Duals",$B240="Autographs Triples",$B240="Autographs Quads",$B240="Autographs Quads (Inscribed)")),IF($B240="Autographs Duals",2,IF($B240="Autographs Triples",3,4)),1)))</f>
        <v>2.5</v>
      </c>
      <c r="AB240" s="62">
        <f t="shared" si="50"/>
        <v>2.5</v>
      </c>
      <c r="AC240" s="62">
        <f t="shared" si="51"/>
        <v>0</v>
      </c>
    </row>
    <row r="241" spans="1:29" ht="42.95" customHeight="1" x14ac:dyDescent="0.25">
      <c r="A241" s="4" t="s">
        <v>17</v>
      </c>
      <c r="B241" s="7" t="s">
        <v>65</v>
      </c>
      <c r="C241" s="2" t="s">
        <v>1439</v>
      </c>
      <c r="D241" s="7" t="s">
        <v>922</v>
      </c>
      <c r="E241" s="4" t="s">
        <v>778</v>
      </c>
      <c r="F241" s="2">
        <v>399</v>
      </c>
      <c r="G241" s="2" t="s">
        <v>1399</v>
      </c>
      <c r="H241" s="2" t="s">
        <v>1400</v>
      </c>
      <c r="I241" s="4" t="s">
        <v>60</v>
      </c>
      <c r="J241" s="112">
        <f>IF($H241&lt;&gt;"Y",0,ROUND(MIN(Dashboard!$R$24,IF(IFERROR(VLOOKUP($B241,Dashboard!$Q$28:$S$60,2,FALSE),0)&gt;0,IFERROR(VLOOKUP($B241,Dashboard!$Q$28:$S$60,2,FALSE),0),$Z241*IF($U241&lt;&gt;"",ROUND((Dashboard!$R$4/$U241)*VLOOKUP($I241,Dashboard!$Q$9:$R$13,2,FALSE)*IF(ISNUMBER(SEARCH("Duals",$B241)),2,IF(ISNUMBER(SEARCH("Triples",$B241)),3,IF(ISNUMBER(SEARCH("Quads",$B241)),4,1))),2),ROUND(VLOOKUP($I241,Dashboard!$Q$15:$R$20,2,FALSE)*IF($E241="Red",Dashboard!$R$6,IF($E241="Gold",Dashboard!$R$7,Dashboard!$R$5))*IF(ISNUMBER(SEARCH("Duals",$B241)),2,IF(ISNUMBER(SEARCH("Triples",$B241)),3,IF(ISNUMBER(SEARCH("Quads",$B241)),4,1))),2))*IF(IFERROR(VLOOKUP($B241,Dashboard!$Q$28:$S$60,3,FALSE),0)&gt;0,VLOOKUP($B241,Dashboard!$Q$28:$S$60,3,FALSE),1))),0))</f>
        <v>3</v>
      </c>
      <c r="K241" s="2" t="str">
        <f>IF('Base S1'!F41="","",'Base S1'!F41)</f>
        <v>C</v>
      </c>
      <c r="L241" s="2">
        <f t="shared" si="39"/>
        <v>1</v>
      </c>
      <c r="M241" s="2">
        <f t="shared" si="40"/>
        <v>0</v>
      </c>
      <c r="N241" s="2">
        <f t="shared" si="41"/>
        <v>1</v>
      </c>
      <c r="O241" s="2">
        <f t="shared" si="42"/>
        <v>0</v>
      </c>
      <c r="P241" s="112">
        <f t="shared" si="43"/>
        <v>3</v>
      </c>
      <c r="Q241" s="112">
        <f t="shared" si="44"/>
        <v>0</v>
      </c>
      <c r="R241" s="53"/>
      <c r="S241" s="53" t="str">
        <f t="shared" si="45"/>
        <v>Base S1|Compound V Parallel - Season 1|40|Compound V</v>
      </c>
      <c r="T241" s="57" t="str">
        <f>IF($S241="","",IFERROR(VLOOKUP($S241,'Pop Estimates (Non-#d)'!$N$2:$O$500,2,FALSE),""))</f>
        <v/>
      </c>
      <c r="U241" s="57">
        <f t="shared" si="46"/>
        <v>399</v>
      </c>
      <c r="V241" s="53" t="str">
        <f t="shared" si="47"/>
        <v/>
      </c>
      <c r="W241" s="53" t="str">
        <f t="shared" si="48"/>
        <v/>
      </c>
      <c r="X241" s="53" t="str">
        <f t="shared" si="49"/>
        <v/>
      </c>
      <c r="Y241" s="57" t="str">
        <f>IF($X241="","",IFERROR(VLOOKUP($X241,'Char Popularity'!$A$2:$C$500,2,FALSE),""))</f>
        <v/>
      </c>
      <c r="Z241" s="56">
        <f>IF($X241="",1,IFERROR(VLOOKUP($X241,'Char Popularity'!$A$2:$C$500,3,FALSE),1))</f>
        <v>1</v>
      </c>
      <c r="AA241" s="62">
        <f>IF($H241&lt;&gt;"Y",0,(IF($F241&lt;&gt;"",ROUND(Dashboard!$R$4/$F241,1),IF(AND($I241="Base",$E241="Base"),Dashboard!$R$5,IF(AND($I241="Base",$E241="Red"),Dashboard!$R$6,IF(AND($I241="Base",$E241="Gold"),Dashboard!$R$7,VLOOKUP($I241,Dashboard!$Q$16:$R$21,2,FALSE)))))*VLOOKUP($I241,Dashboard!$Q$9:$R$13,2,FALSE)*IF(AND($I241="Auto",$F241="",OR($B241="Autographs Duals",$B241="Autographs Triples",$B241="Autographs Quads",$B241="Autographs Quads (Inscribed)")),IF($B241="Autographs Duals",2,IF($B241="Autographs Triples",3,4)),1)))</f>
        <v>2.5</v>
      </c>
      <c r="AB241" s="62">
        <f t="shared" si="50"/>
        <v>2.5</v>
      </c>
      <c r="AC241" s="62">
        <f t="shared" si="51"/>
        <v>0</v>
      </c>
    </row>
    <row r="242" spans="1:29" ht="42.95" customHeight="1" x14ac:dyDescent="0.25">
      <c r="A242" s="4" t="s">
        <v>17</v>
      </c>
      <c r="B242" s="7" t="s">
        <v>65</v>
      </c>
      <c r="C242" s="2" t="s">
        <v>1440</v>
      </c>
      <c r="D242" s="7" t="s">
        <v>925</v>
      </c>
      <c r="E242" s="4" t="s">
        <v>778</v>
      </c>
      <c r="F242" s="2">
        <v>399</v>
      </c>
      <c r="G242" s="2" t="s">
        <v>1399</v>
      </c>
      <c r="H242" s="2" t="s">
        <v>1400</v>
      </c>
      <c r="I242" s="4" t="s">
        <v>60</v>
      </c>
      <c r="J242" s="112">
        <f>IF($H242&lt;&gt;"Y",0,ROUND(MIN(Dashboard!$R$24,IF(IFERROR(VLOOKUP($B242,Dashboard!$Q$28:$S$60,2,FALSE),0)&gt;0,IFERROR(VLOOKUP($B242,Dashboard!$Q$28:$S$60,2,FALSE),0),$Z242*IF($U242&lt;&gt;"",ROUND((Dashboard!$R$4/$U242)*VLOOKUP($I242,Dashboard!$Q$9:$R$13,2,FALSE)*IF(ISNUMBER(SEARCH("Duals",$B242)),2,IF(ISNUMBER(SEARCH("Triples",$B242)),3,IF(ISNUMBER(SEARCH("Quads",$B242)),4,1))),2),ROUND(VLOOKUP($I242,Dashboard!$Q$15:$R$20,2,FALSE)*IF($E242="Red",Dashboard!$R$6,IF($E242="Gold",Dashboard!$R$7,Dashboard!$R$5))*IF(ISNUMBER(SEARCH("Duals",$B242)),2,IF(ISNUMBER(SEARCH("Triples",$B242)),3,IF(ISNUMBER(SEARCH("Quads",$B242)),4,1))),2))*IF(IFERROR(VLOOKUP($B242,Dashboard!$Q$28:$S$60,3,FALSE),0)&gt;0,VLOOKUP($B242,Dashboard!$Q$28:$S$60,3,FALSE),1))),0))</f>
        <v>3</v>
      </c>
      <c r="K242" s="2" t="str">
        <f>IF('Base S1'!F42="","",'Base S1'!F42)</f>
        <v>C</v>
      </c>
      <c r="L242" s="2">
        <f t="shared" si="39"/>
        <v>1</v>
      </c>
      <c r="M242" s="2">
        <f t="shared" si="40"/>
        <v>0</v>
      </c>
      <c r="N242" s="2">
        <f t="shared" si="41"/>
        <v>1</v>
      </c>
      <c r="O242" s="2">
        <f t="shared" si="42"/>
        <v>0</v>
      </c>
      <c r="P242" s="112">
        <f t="shared" si="43"/>
        <v>3</v>
      </c>
      <c r="Q242" s="112">
        <f t="shared" si="44"/>
        <v>0</v>
      </c>
      <c r="R242" s="53"/>
      <c r="S242" s="53" t="str">
        <f t="shared" si="45"/>
        <v>Base S1|Compound V Parallel - Season 1|41|Compound V</v>
      </c>
      <c r="T242" s="57" t="str">
        <f>IF($S242="","",IFERROR(VLOOKUP($S242,'Pop Estimates (Non-#d)'!$N$2:$O$500,2,FALSE),""))</f>
        <v/>
      </c>
      <c r="U242" s="57">
        <f t="shared" si="46"/>
        <v>399</v>
      </c>
      <c r="V242" s="53" t="str">
        <f t="shared" si="47"/>
        <v/>
      </c>
      <c r="W242" s="53" t="str">
        <f t="shared" si="48"/>
        <v/>
      </c>
      <c r="X242" s="53" t="str">
        <f t="shared" si="49"/>
        <v/>
      </c>
      <c r="Y242" s="57" t="str">
        <f>IF($X242="","",IFERROR(VLOOKUP($X242,'Char Popularity'!$A$2:$C$500,2,FALSE),""))</f>
        <v/>
      </c>
      <c r="Z242" s="56">
        <f>IF($X242="",1,IFERROR(VLOOKUP($X242,'Char Popularity'!$A$2:$C$500,3,FALSE),1))</f>
        <v>1</v>
      </c>
      <c r="AA242" s="62">
        <f>IF($H242&lt;&gt;"Y",0,(IF($F242&lt;&gt;"",ROUND(Dashboard!$R$4/$F242,1),IF(AND($I242="Base",$E242="Base"),Dashboard!$R$5,IF(AND($I242="Base",$E242="Red"),Dashboard!$R$6,IF(AND($I242="Base",$E242="Gold"),Dashboard!$R$7,VLOOKUP($I242,Dashboard!$Q$16:$R$21,2,FALSE)))))*VLOOKUP($I242,Dashboard!$Q$9:$R$13,2,FALSE)*IF(AND($I242="Auto",$F242="",OR($B242="Autographs Duals",$B242="Autographs Triples",$B242="Autographs Quads",$B242="Autographs Quads (Inscribed)")),IF($B242="Autographs Duals",2,IF($B242="Autographs Triples",3,4)),1)))</f>
        <v>2.5</v>
      </c>
      <c r="AB242" s="62">
        <f t="shared" si="50"/>
        <v>2.5</v>
      </c>
      <c r="AC242" s="62">
        <f t="shared" si="51"/>
        <v>0</v>
      </c>
    </row>
    <row r="243" spans="1:29" ht="42.95" customHeight="1" x14ac:dyDescent="0.25">
      <c r="A243" s="4" t="s">
        <v>17</v>
      </c>
      <c r="B243" s="7" t="s">
        <v>65</v>
      </c>
      <c r="C243" s="2" t="s">
        <v>1441</v>
      </c>
      <c r="D243" s="7" t="s">
        <v>926</v>
      </c>
      <c r="E243" s="4" t="s">
        <v>778</v>
      </c>
      <c r="F243" s="2">
        <v>399</v>
      </c>
      <c r="G243" s="2" t="s">
        <v>1399</v>
      </c>
      <c r="H243" s="2" t="s">
        <v>1400</v>
      </c>
      <c r="I243" s="4" t="s">
        <v>60</v>
      </c>
      <c r="J243" s="112">
        <f>IF($H243&lt;&gt;"Y",0,ROUND(MIN(Dashboard!$R$24,IF(IFERROR(VLOOKUP($B243,Dashboard!$Q$28:$S$60,2,FALSE),0)&gt;0,IFERROR(VLOOKUP($B243,Dashboard!$Q$28:$S$60,2,FALSE),0),$Z243*IF($U243&lt;&gt;"",ROUND((Dashboard!$R$4/$U243)*VLOOKUP($I243,Dashboard!$Q$9:$R$13,2,FALSE)*IF(ISNUMBER(SEARCH("Duals",$B243)),2,IF(ISNUMBER(SEARCH("Triples",$B243)),3,IF(ISNUMBER(SEARCH("Quads",$B243)),4,1))),2),ROUND(VLOOKUP($I243,Dashboard!$Q$15:$R$20,2,FALSE)*IF($E243="Red",Dashboard!$R$6,IF($E243="Gold",Dashboard!$R$7,Dashboard!$R$5))*IF(ISNUMBER(SEARCH("Duals",$B243)),2,IF(ISNUMBER(SEARCH("Triples",$B243)),3,IF(ISNUMBER(SEARCH("Quads",$B243)),4,1))),2))*IF(IFERROR(VLOOKUP($B243,Dashboard!$Q$28:$S$60,3,FALSE),0)&gt;0,VLOOKUP($B243,Dashboard!$Q$28:$S$60,3,FALSE),1))),0))</f>
        <v>3</v>
      </c>
      <c r="K243" s="2" t="str">
        <f>IF('Base S1'!F43="","",'Base S1'!F43)</f>
        <v>C</v>
      </c>
      <c r="L243" s="2">
        <f t="shared" si="39"/>
        <v>1</v>
      </c>
      <c r="M243" s="2">
        <f t="shared" si="40"/>
        <v>0</v>
      </c>
      <c r="N243" s="2">
        <f t="shared" si="41"/>
        <v>1</v>
      </c>
      <c r="O243" s="2">
        <f t="shared" si="42"/>
        <v>0</v>
      </c>
      <c r="P243" s="112">
        <f t="shared" si="43"/>
        <v>3</v>
      </c>
      <c r="Q243" s="112">
        <f t="shared" si="44"/>
        <v>0</v>
      </c>
      <c r="R243" s="53"/>
      <c r="S243" s="53" t="str">
        <f t="shared" si="45"/>
        <v>Base S1|Compound V Parallel - Season 1|42|Compound V</v>
      </c>
      <c r="T243" s="57" t="str">
        <f>IF($S243="","",IFERROR(VLOOKUP($S243,'Pop Estimates (Non-#d)'!$N$2:$O$500,2,FALSE),""))</f>
        <v/>
      </c>
      <c r="U243" s="57">
        <f t="shared" si="46"/>
        <v>399</v>
      </c>
      <c r="V243" s="53" t="str">
        <f t="shared" si="47"/>
        <v/>
      </c>
      <c r="W243" s="53" t="str">
        <f t="shared" si="48"/>
        <v/>
      </c>
      <c r="X243" s="53" t="str">
        <f t="shared" si="49"/>
        <v/>
      </c>
      <c r="Y243" s="57" t="str">
        <f>IF($X243="","",IFERROR(VLOOKUP($X243,'Char Popularity'!$A$2:$C$500,2,FALSE),""))</f>
        <v/>
      </c>
      <c r="Z243" s="56">
        <f>IF($X243="",1,IFERROR(VLOOKUP($X243,'Char Popularity'!$A$2:$C$500,3,FALSE),1))</f>
        <v>1</v>
      </c>
      <c r="AA243" s="62">
        <f>IF($H243&lt;&gt;"Y",0,(IF($F243&lt;&gt;"",ROUND(Dashboard!$R$4/$F243,1),IF(AND($I243="Base",$E243="Base"),Dashboard!$R$5,IF(AND($I243="Base",$E243="Red"),Dashboard!$R$6,IF(AND($I243="Base",$E243="Gold"),Dashboard!$R$7,VLOOKUP($I243,Dashboard!$Q$16:$R$21,2,FALSE)))))*VLOOKUP($I243,Dashboard!$Q$9:$R$13,2,FALSE)*IF(AND($I243="Auto",$F243="",OR($B243="Autographs Duals",$B243="Autographs Triples",$B243="Autographs Quads",$B243="Autographs Quads (Inscribed)")),IF($B243="Autographs Duals",2,IF($B243="Autographs Triples",3,4)),1)))</f>
        <v>2.5</v>
      </c>
      <c r="AB243" s="62">
        <f t="shared" si="50"/>
        <v>2.5</v>
      </c>
      <c r="AC243" s="62">
        <f t="shared" si="51"/>
        <v>0</v>
      </c>
    </row>
    <row r="244" spans="1:29" ht="42.95" customHeight="1" x14ac:dyDescent="0.25">
      <c r="A244" s="4" t="s">
        <v>17</v>
      </c>
      <c r="B244" s="7" t="s">
        <v>65</v>
      </c>
      <c r="C244" s="2" t="s">
        <v>1442</v>
      </c>
      <c r="D244" s="7" t="s">
        <v>928</v>
      </c>
      <c r="E244" s="4" t="s">
        <v>778</v>
      </c>
      <c r="F244" s="2">
        <v>399</v>
      </c>
      <c r="G244" s="2" t="s">
        <v>1399</v>
      </c>
      <c r="H244" s="2" t="s">
        <v>1400</v>
      </c>
      <c r="I244" s="4" t="s">
        <v>60</v>
      </c>
      <c r="J244" s="112">
        <f>IF($H244&lt;&gt;"Y",0,ROUND(MIN(Dashboard!$R$24,IF(IFERROR(VLOOKUP($B244,Dashboard!$Q$28:$S$60,2,FALSE),0)&gt;0,IFERROR(VLOOKUP($B244,Dashboard!$Q$28:$S$60,2,FALSE),0),$Z244*IF($U244&lt;&gt;"",ROUND((Dashboard!$R$4/$U244)*VLOOKUP($I244,Dashboard!$Q$9:$R$13,2,FALSE)*IF(ISNUMBER(SEARCH("Duals",$B244)),2,IF(ISNUMBER(SEARCH("Triples",$B244)),3,IF(ISNUMBER(SEARCH("Quads",$B244)),4,1))),2),ROUND(VLOOKUP($I244,Dashboard!$Q$15:$R$20,2,FALSE)*IF($E244="Red",Dashboard!$R$6,IF($E244="Gold",Dashboard!$R$7,Dashboard!$R$5))*IF(ISNUMBER(SEARCH("Duals",$B244)),2,IF(ISNUMBER(SEARCH("Triples",$B244)),3,IF(ISNUMBER(SEARCH("Quads",$B244)),4,1))),2))*IF(IFERROR(VLOOKUP($B244,Dashboard!$Q$28:$S$60,3,FALSE),0)&gt;0,VLOOKUP($B244,Dashboard!$Q$28:$S$60,3,FALSE),1))),0))</f>
        <v>3</v>
      </c>
      <c r="K244" s="2" t="str">
        <f>IF('Base S1'!F44="","",'Base S1'!F44)</f>
        <v>V</v>
      </c>
      <c r="L244" s="2">
        <f t="shared" si="39"/>
        <v>1</v>
      </c>
      <c r="M244" s="2">
        <f t="shared" si="40"/>
        <v>0</v>
      </c>
      <c r="N244" s="2">
        <f t="shared" si="41"/>
        <v>1</v>
      </c>
      <c r="O244" s="2">
        <f t="shared" si="42"/>
        <v>0</v>
      </c>
      <c r="P244" s="112">
        <f t="shared" si="43"/>
        <v>3</v>
      </c>
      <c r="Q244" s="112">
        <f t="shared" si="44"/>
        <v>0</v>
      </c>
      <c r="R244" s="53"/>
      <c r="S244" s="53" t="str">
        <f t="shared" si="45"/>
        <v>Base S1|Compound V Parallel - Season 1|43|Compound V</v>
      </c>
      <c r="T244" s="57" t="str">
        <f>IF($S244="","",IFERROR(VLOOKUP($S244,'Pop Estimates (Non-#d)'!$N$2:$O$500,2,FALSE),""))</f>
        <v/>
      </c>
      <c r="U244" s="57">
        <f t="shared" si="46"/>
        <v>399</v>
      </c>
      <c r="V244" s="53" t="str">
        <f t="shared" si="47"/>
        <v/>
      </c>
      <c r="W244" s="53" t="str">
        <f t="shared" si="48"/>
        <v/>
      </c>
      <c r="X244" s="53" t="str">
        <f t="shared" si="49"/>
        <v/>
      </c>
      <c r="Y244" s="57" t="str">
        <f>IF($X244="","",IFERROR(VLOOKUP($X244,'Char Popularity'!$A$2:$C$500,2,FALSE),""))</f>
        <v/>
      </c>
      <c r="Z244" s="56">
        <f>IF($X244="",1,IFERROR(VLOOKUP($X244,'Char Popularity'!$A$2:$C$500,3,FALSE),1))</f>
        <v>1</v>
      </c>
      <c r="AA244" s="62">
        <f>IF($H244&lt;&gt;"Y",0,(IF($F244&lt;&gt;"",ROUND(Dashboard!$R$4/$F244,1),IF(AND($I244="Base",$E244="Base"),Dashboard!$R$5,IF(AND($I244="Base",$E244="Red"),Dashboard!$R$6,IF(AND($I244="Base",$E244="Gold"),Dashboard!$R$7,VLOOKUP($I244,Dashboard!$Q$16:$R$21,2,FALSE)))))*VLOOKUP($I244,Dashboard!$Q$9:$R$13,2,FALSE)*IF(AND($I244="Auto",$F244="",OR($B244="Autographs Duals",$B244="Autographs Triples",$B244="Autographs Quads",$B244="Autographs Quads (Inscribed)")),IF($B244="Autographs Duals",2,IF($B244="Autographs Triples",3,4)),1)))</f>
        <v>2.5</v>
      </c>
      <c r="AB244" s="62">
        <f t="shared" si="50"/>
        <v>2.5</v>
      </c>
      <c r="AC244" s="62">
        <f t="shared" si="51"/>
        <v>0</v>
      </c>
    </row>
    <row r="245" spans="1:29" ht="42.95" customHeight="1" x14ac:dyDescent="0.25">
      <c r="A245" s="4" t="s">
        <v>17</v>
      </c>
      <c r="B245" s="7" t="s">
        <v>65</v>
      </c>
      <c r="C245" s="2" t="s">
        <v>1443</v>
      </c>
      <c r="D245" s="7" t="s">
        <v>930</v>
      </c>
      <c r="E245" s="4" t="s">
        <v>778</v>
      </c>
      <c r="F245" s="2">
        <v>399</v>
      </c>
      <c r="G245" s="2" t="s">
        <v>1399</v>
      </c>
      <c r="H245" s="2" t="s">
        <v>1400</v>
      </c>
      <c r="I245" s="4" t="s">
        <v>60</v>
      </c>
      <c r="J245" s="112">
        <f>IF($H245&lt;&gt;"Y",0,ROUND(MIN(Dashboard!$R$24,IF(IFERROR(VLOOKUP($B245,Dashboard!$Q$28:$S$60,2,FALSE),0)&gt;0,IFERROR(VLOOKUP($B245,Dashboard!$Q$28:$S$60,2,FALSE),0),$Z245*IF($U245&lt;&gt;"",ROUND((Dashboard!$R$4/$U245)*VLOOKUP($I245,Dashboard!$Q$9:$R$13,2,FALSE)*IF(ISNUMBER(SEARCH("Duals",$B245)),2,IF(ISNUMBER(SEARCH("Triples",$B245)),3,IF(ISNUMBER(SEARCH("Quads",$B245)),4,1))),2),ROUND(VLOOKUP($I245,Dashboard!$Q$15:$R$20,2,FALSE)*IF($E245="Red",Dashboard!$R$6,IF($E245="Gold",Dashboard!$R$7,Dashboard!$R$5))*IF(ISNUMBER(SEARCH("Duals",$B245)),2,IF(ISNUMBER(SEARCH("Triples",$B245)),3,IF(ISNUMBER(SEARCH("Quads",$B245)),4,1))),2))*IF(IFERROR(VLOOKUP($B245,Dashboard!$Q$28:$S$60,3,FALSE),0)&gt;0,VLOOKUP($B245,Dashboard!$Q$28:$S$60,3,FALSE),1))),0))</f>
        <v>3</v>
      </c>
      <c r="K245" s="2" t="str">
        <f>IF('Base S1'!F45="","",'Base S1'!F45)</f>
        <v>V</v>
      </c>
      <c r="L245" s="2">
        <f t="shared" si="39"/>
        <v>1</v>
      </c>
      <c r="M245" s="2">
        <f t="shared" si="40"/>
        <v>0</v>
      </c>
      <c r="N245" s="2">
        <f t="shared" si="41"/>
        <v>1</v>
      </c>
      <c r="O245" s="2">
        <f t="shared" si="42"/>
        <v>0</v>
      </c>
      <c r="P245" s="112">
        <f t="shared" si="43"/>
        <v>3</v>
      </c>
      <c r="Q245" s="112">
        <f t="shared" si="44"/>
        <v>0</v>
      </c>
      <c r="R245" s="53"/>
      <c r="S245" s="53" t="str">
        <f t="shared" si="45"/>
        <v>Base S1|Compound V Parallel - Season 1|44|Compound V</v>
      </c>
      <c r="T245" s="57" t="str">
        <f>IF($S245="","",IFERROR(VLOOKUP($S245,'Pop Estimates (Non-#d)'!$N$2:$O$500,2,FALSE),""))</f>
        <v/>
      </c>
      <c r="U245" s="57">
        <f t="shared" si="46"/>
        <v>399</v>
      </c>
      <c r="V245" s="53" t="str">
        <f t="shared" si="47"/>
        <v/>
      </c>
      <c r="W245" s="53" t="str">
        <f t="shared" si="48"/>
        <v/>
      </c>
      <c r="X245" s="53" t="str">
        <f t="shared" si="49"/>
        <v/>
      </c>
      <c r="Y245" s="57" t="str">
        <f>IF($X245="","",IFERROR(VLOOKUP($X245,'Char Popularity'!$A$2:$C$500,2,FALSE),""))</f>
        <v/>
      </c>
      <c r="Z245" s="56">
        <f>IF($X245="",1,IFERROR(VLOOKUP($X245,'Char Popularity'!$A$2:$C$500,3,FALSE),1))</f>
        <v>1</v>
      </c>
      <c r="AA245" s="62">
        <f>IF($H245&lt;&gt;"Y",0,(IF($F245&lt;&gt;"",ROUND(Dashboard!$R$4/$F245,1),IF(AND($I245="Base",$E245="Base"),Dashboard!$R$5,IF(AND($I245="Base",$E245="Red"),Dashboard!$R$6,IF(AND($I245="Base",$E245="Gold"),Dashboard!$R$7,VLOOKUP($I245,Dashboard!$Q$16:$R$21,2,FALSE)))))*VLOOKUP($I245,Dashboard!$Q$9:$R$13,2,FALSE)*IF(AND($I245="Auto",$F245="",OR($B245="Autographs Duals",$B245="Autographs Triples",$B245="Autographs Quads",$B245="Autographs Quads (Inscribed)")),IF($B245="Autographs Duals",2,IF($B245="Autographs Triples",3,4)),1)))</f>
        <v>2.5</v>
      </c>
      <c r="AB245" s="62">
        <f t="shared" si="50"/>
        <v>2.5</v>
      </c>
      <c r="AC245" s="62">
        <f t="shared" si="51"/>
        <v>0</v>
      </c>
    </row>
    <row r="246" spans="1:29" ht="42.95" customHeight="1" x14ac:dyDescent="0.25">
      <c r="A246" s="4" t="s">
        <v>17</v>
      </c>
      <c r="B246" s="7" t="s">
        <v>65</v>
      </c>
      <c r="C246" s="2" t="s">
        <v>1444</v>
      </c>
      <c r="D246" s="7" t="s">
        <v>932</v>
      </c>
      <c r="E246" s="4" t="s">
        <v>778</v>
      </c>
      <c r="F246" s="2">
        <v>399</v>
      </c>
      <c r="G246" s="2" t="s">
        <v>1399</v>
      </c>
      <c r="H246" s="2" t="s">
        <v>1400</v>
      </c>
      <c r="I246" s="4" t="s">
        <v>60</v>
      </c>
      <c r="J246" s="112">
        <f>IF($H246&lt;&gt;"Y",0,ROUND(MIN(Dashboard!$R$24,IF(IFERROR(VLOOKUP($B246,Dashboard!$Q$28:$S$60,2,FALSE),0)&gt;0,IFERROR(VLOOKUP($B246,Dashboard!$Q$28:$S$60,2,FALSE),0),$Z246*IF($U246&lt;&gt;"",ROUND((Dashboard!$R$4/$U246)*VLOOKUP($I246,Dashboard!$Q$9:$R$13,2,FALSE)*IF(ISNUMBER(SEARCH("Duals",$B246)),2,IF(ISNUMBER(SEARCH("Triples",$B246)),3,IF(ISNUMBER(SEARCH("Quads",$B246)),4,1))),2),ROUND(VLOOKUP($I246,Dashboard!$Q$15:$R$20,2,FALSE)*IF($E246="Red",Dashboard!$R$6,IF($E246="Gold",Dashboard!$R$7,Dashboard!$R$5))*IF(ISNUMBER(SEARCH("Duals",$B246)),2,IF(ISNUMBER(SEARCH("Triples",$B246)),3,IF(ISNUMBER(SEARCH("Quads",$B246)),4,1))),2))*IF(IFERROR(VLOOKUP($B246,Dashboard!$Q$28:$S$60,3,FALSE),0)&gt;0,VLOOKUP($B246,Dashboard!$Q$28:$S$60,3,FALSE),1))),0))</f>
        <v>3</v>
      </c>
      <c r="K246" s="2" t="str">
        <f>IF('Base S1'!F46="","",'Base S1'!F46)</f>
        <v>V</v>
      </c>
      <c r="L246" s="2">
        <f t="shared" si="39"/>
        <v>1</v>
      </c>
      <c r="M246" s="2">
        <f t="shared" si="40"/>
        <v>0</v>
      </c>
      <c r="N246" s="2">
        <f t="shared" si="41"/>
        <v>1</v>
      </c>
      <c r="O246" s="2">
        <f t="shared" si="42"/>
        <v>0</v>
      </c>
      <c r="P246" s="112">
        <f t="shared" si="43"/>
        <v>3</v>
      </c>
      <c r="Q246" s="112">
        <f t="shared" si="44"/>
        <v>0</v>
      </c>
      <c r="R246" s="53"/>
      <c r="S246" s="53" t="str">
        <f t="shared" si="45"/>
        <v>Base S1|Compound V Parallel - Season 1|45|Compound V</v>
      </c>
      <c r="T246" s="57" t="str">
        <f>IF($S246="","",IFERROR(VLOOKUP($S246,'Pop Estimates (Non-#d)'!$N$2:$O$500,2,FALSE),""))</f>
        <v/>
      </c>
      <c r="U246" s="57">
        <f t="shared" si="46"/>
        <v>399</v>
      </c>
      <c r="V246" s="53" t="str">
        <f t="shared" si="47"/>
        <v/>
      </c>
      <c r="W246" s="53" t="str">
        <f t="shared" si="48"/>
        <v/>
      </c>
      <c r="X246" s="53" t="str">
        <f t="shared" si="49"/>
        <v/>
      </c>
      <c r="Y246" s="57" t="str">
        <f>IF($X246="","",IFERROR(VLOOKUP($X246,'Char Popularity'!$A$2:$C$500,2,FALSE),""))</f>
        <v/>
      </c>
      <c r="Z246" s="56">
        <f>IF($X246="",1,IFERROR(VLOOKUP($X246,'Char Popularity'!$A$2:$C$500,3,FALSE),1))</f>
        <v>1</v>
      </c>
      <c r="AA246" s="62">
        <f>IF($H246&lt;&gt;"Y",0,(IF($F246&lt;&gt;"",ROUND(Dashboard!$R$4/$F246,1),IF(AND($I246="Base",$E246="Base"),Dashboard!$R$5,IF(AND($I246="Base",$E246="Red"),Dashboard!$R$6,IF(AND($I246="Base",$E246="Gold"),Dashboard!$R$7,VLOOKUP($I246,Dashboard!$Q$16:$R$21,2,FALSE)))))*VLOOKUP($I246,Dashboard!$Q$9:$R$13,2,FALSE)*IF(AND($I246="Auto",$F246="",OR($B246="Autographs Duals",$B246="Autographs Triples",$B246="Autographs Quads",$B246="Autographs Quads (Inscribed)")),IF($B246="Autographs Duals",2,IF($B246="Autographs Triples",3,4)),1)))</f>
        <v>2.5</v>
      </c>
      <c r="AB246" s="62">
        <f t="shared" si="50"/>
        <v>2.5</v>
      </c>
      <c r="AC246" s="62">
        <f t="shared" si="51"/>
        <v>0</v>
      </c>
    </row>
    <row r="247" spans="1:29" ht="42.95" customHeight="1" x14ac:dyDescent="0.25">
      <c r="A247" s="4" t="s">
        <v>17</v>
      </c>
      <c r="B247" s="7" t="s">
        <v>65</v>
      </c>
      <c r="C247" s="2" t="s">
        <v>1445</v>
      </c>
      <c r="D247" s="7" t="s">
        <v>934</v>
      </c>
      <c r="E247" s="4" t="s">
        <v>778</v>
      </c>
      <c r="F247" s="2">
        <v>399</v>
      </c>
      <c r="G247" s="2" t="s">
        <v>1399</v>
      </c>
      <c r="H247" s="2" t="s">
        <v>1400</v>
      </c>
      <c r="I247" s="4" t="s">
        <v>60</v>
      </c>
      <c r="J247" s="112">
        <f>IF($H247&lt;&gt;"Y",0,ROUND(MIN(Dashboard!$R$24,IF(IFERROR(VLOOKUP($B247,Dashboard!$Q$28:$S$60,2,FALSE),0)&gt;0,IFERROR(VLOOKUP($B247,Dashboard!$Q$28:$S$60,2,FALSE),0),$Z247*IF($U247&lt;&gt;"",ROUND((Dashboard!$R$4/$U247)*VLOOKUP($I247,Dashboard!$Q$9:$R$13,2,FALSE)*IF(ISNUMBER(SEARCH("Duals",$B247)),2,IF(ISNUMBER(SEARCH("Triples",$B247)),3,IF(ISNUMBER(SEARCH("Quads",$B247)),4,1))),2),ROUND(VLOOKUP($I247,Dashboard!$Q$15:$R$20,2,FALSE)*IF($E247="Red",Dashboard!$R$6,IF($E247="Gold",Dashboard!$R$7,Dashboard!$R$5))*IF(ISNUMBER(SEARCH("Duals",$B247)),2,IF(ISNUMBER(SEARCH("Triples",$B247)),3,IF(ISNUMBER(SEARCH("Quads",$B247)),4,1))),2))*IF(IFERROR(VLOOKUP($B247,Dashboard!$Q$28:$S$60,3,FALSE),0)&gt;0,VLOOKUP($B247,Dashboard!$Q$28:$S$60,3,FALSE),1))),0))</f>
        <v>3</v>
      </c>
      <c r="K247" s="2" t="str">
        <f>IF('Base S1'!F47="","",'Base S1'!F47)</f>
        <v>V</v>
      </c>
      <c r="L247" s="2">
        <f t="shared" si="39"/>
        <v>1</v>
      </c>
      <c r="M247" s="2">
        <f t="shared" si="40"/>
        <v>0</v>
      </c>
      <c r="N247" s="2">
        <f t="shared" si="41"/>
        <v>1</v>
      </c>
      <c r="O247" s="2">
        <f t="shared" si="42"/>
        <v>0</v>
      </c>
      <c r="P247" s="112">
        <f t="shared" si="43"/>
        <v>3</v>
      </c>
      <c r="Q247" s="112">
        <f t="shared" si="44"/>
        <v>0</v>
      </c>
      <c r="R247" s="53"/>
      <c r="S247" s="53" t="str">
        <f t="shared" si="45"/>
        <v>Base S1|Compound V Parallel - Season 1|46|Compound V</v>
      </c>
      <c r="T247" s="57" t="str">
        <f>IF($S247="","",IFERROR(VLOOKUP($S247,'Pop Estimates (Non-#d)'!$N$2:$O$500,2,FALSE),""))</f>
        <v/>
      </c>
      <c r="U247" s="57">
        <f t="shared" si="46"/>
        <v>399</v>
      </c>
      <c r="V247" s="53" t="str">
        <f t="shared" si="47"/>
        <v/>
      </c>
      <c r="W247" s="53" t="str">
        <f t="shared" si="48"/>
        <v/>
      </c>
      <c r="X247" s="53" t="str">
        <f t="shared" si="49"/>
        <v/>
      </c>
      <c r="Y247" s="57" t="str">
        <f>IF($X247="","",IFERROR(VLOOKUP($X247,'Char Popularity'!$A$2:$C$500,2,FALSE),""))</f>
        <v/>
      </c>
      <c r="Z247" s="56">
        <f>IF($X247="",1,IFERROR(VLOOKUP($X247,'Char Popularity'!$A$2:$C$500,3,FALSE),1))</f>
        <v>1</v>
      </c>
      <c r="AA247" s="62">
        <f>IF($H247&lt;&gt;"Y",0,(IF($F247&lt;&gt;"",ROUND(Dashboard!$R$4/$F247,1),IF(AND($I247="Base",$E247="Base"),Dashboard!$R$5,IF(AND($I247="Base",$E247="Red"),Dashboard!$R$6,IF(AND($I247="Base",$E247="Gold"),Dashboard!$R$7,VLOOKUP($I247,Dashboard!$Q$16:$R$21,2,FALSE)))))*VLOOKUP($I247,Dashboard!$Q$9:$R$13,2,FALSE)*IF(AND($I247="Auto",$F247="",OR($B247="Autographs Duals",$B247="Autographs Triples",$B247="Autographs Quads",$B247="Autographs Quads (Inscribed)")),IF($B247="Autographs Duals",2,IF($B247="Autographs Triples",3,4)),1)))</f>
        <v>2.5</v>
      </c>
      <c r="AB247" s="62">
        <f t="shared" si="50"/>
        <v>2.5</v>
      </c>
      <c r="AC247" s="62">
        <f t="shared" si="51"/>
        <v>0</v>
      </c>
    </row>
    <row r="248" spans="1:29" ht="42.95" customHeight="1" x14ac:dyDescent="0.25">
      <c r="A248" s="4" t="s">
        <v>17</v>
      </c>
      <c r="B248" s="7" t="s">
        <v>65</v>
      </c>
      <c r="C248" s="2" t="s">
        <v>1446</v>
      </c>
      <c r="D248" s="7" t="s">
        <v>562</v>
      </c>
      <c r="E248" s="4" t="s">
        <v>778</v>
      </c>
      <c r="F248" s="2">
        <v>399</v>
      </c>
      <c r="G248" s="2" t="s">
        <v>1399</v>
      </c>
      <c r="H248" s="2" t="s">
        <v>1400</v>
      </c>
      <c r="I248" s="4" t="s">
        <v>60</v>
      </c>
      <c r="J248" s="112">
        <f>IF($H248&lt;&gt;"Y",0,ROUND(MIN(Dashboard!$R$24,IF(IFERROR(VLOOKUP($B248,Dashboard!$Q$28:$S$60,2,FALSE),0)&gt;0,IFERROR(VLOOKUP($B248,Dashboard!$Q$28:$S$60,2,FALSE),0),$Z248*IF($U248&lt;&gt;"",ROUND((Dashboard!$R$4/$U248)*VLOOKUP($I248,Dashboard!$Q$9:$R$13,2,FALSE)*IF(ISNUMBER(SEARCH("Duals",$B248)),2,IF(ISNUMBER(SEARCH("Triples",$B248)),3,IF(ISNUMBER(SEARCH("Quads",$B248)),4,1))),2),ROUND(VLOOKUP($I248,Dashboard!$Q$15:$R$20,2,FALSE)*IF($E248="Red",Dashboard!$R$6,IF($E248="Gold",Dashboard!$R$7,Dashboard!$R$5))*IF(ISNUMBER(SEARCH("Duals",$B248)),2,IF(ISNUMBER(SEARCH("Triples",$B248)),3,IF(ISNUMBER(SEARCH("Quads",$B248)),4,1))),2))*IF(IFERROR(VLOOKUP($B248,Dashboard!$Q$28:$S$60,3,FALSE),0)&gt;0,VLOOKUP($B248,Dashboard!$Q$28:$S$60,3,FALSE),1))),0))</f>
        <v>3</v>
      </c>
      <c r="K248" s="2" t="str">
        <f>IF('Base S1'!F48="","",'Base S1'!F48)</f>
        <v>V</v>
      </c>
      <c r="L248" s="2">
        <f t="shared" si="39"/>
        <v>1</v>
      </c>
      <c r="M248" s="2">
        <f t="shared" si="40"/>
        <v>0</v>
      </c>
      <c r="N248" s="2">
        <f t="shared" si="41"/>
        <v>1</v>
      </c>
      <c r="O248" s="2">
        <f t="shared" si="42"/>
        <v>0</v>
      </c>
      <c r="P248" s="112">
        <f t="shared" si="43"/>
        <v>3</v>
      </c>
      <c r="Q248" s="112">
        <f t="shared" si="44"/>
        <v>0</v>
      </c>
      <c r="R248" s="53"/>
      <c r="S248" s="53" t="str">
        <f t="shared" si="45"/>
        <v>Base S1|Compound V Parallel - Season 1|47|Compound V</v>
      </c>
      <c r="T248" s="57" t="str">
        <f>IF($S248="","",IFERROR(VLOOKUP($S248,'Pop Estimates (Non-#d)'!$N$2:$O$500,2,FALSE),""))</f>
        <v/>
      </c>
      <c r="U248" s="57">
        <f t="shared" si="46"/>
        <v>399</v>
      </c>
      <c r="V248" s="53" t="str">
        <f t="shared" si="47"/>
        <v/>
      </c>
      <c r="W248" s="53" t="str">
        <f t="shared" si="48"/>
        <v/>
      </c>
      <c r="X248" s="53" t="str">
        <f t="shared" si="49"/>
        <v/>
      </c>
      <c r="Y248" s="57" t="str">
        <f>IF($X248="","",IFERROR(VLOOKUP($X248,'Char Popularity'!$A$2:$C$500,2,FALSE),""))</f>
        <v/>
      </c>
      <c r="Z248" s="56">
        <f>IF($X248="",1,IFERROR(VLOOKUP($X248,'Char Popularity'!$A$2:$C$500,3,FALSE),1))</f>
        <v>1</v>
      </c>
      <c r="AA248" s="62">
        <f>IF($H248&lt;&gt;"Y",0,(IF($F248&lt;&gt;"",ROUND(Dashboard!$R$4/$F248,1),IF(AND($I248="Base",$E248="Base"),Dashboard!$R$5,IF(AND($I248="Base",$E248="Red"),Dashboard!$R$6,IF(AND($I248="Base",$E248="Gold"),Dashboard!$R$7,VLOOKUP($I248,Dashboard!$Q$16:$R$21,2,FALSE)))))*VLOOKUP($I248,Dashboard!$Q$9:$R$13,2,FALSE)*IF(AND($I248="Auto",$F248="",OR($B248="Autographs Duals",$B248="Autographs Triples",$B248="Autographs Quads",$B248="Autographs Quads (Inscribed)")),IF($B248="Autographs Duals",2,IF($B248="Autographs Triples",3,4)),1)))</f>
        <v>2.5</v>
      </c>
      <c r="AB248" s="62">
        <f t="shared" si="50"/>
        <v>2.5</v>
      </c>
      <c r="AC248" s="62">
        <f t="shared" si="51"/>
        <v>0</v>
      </c>
    </row>
    <row r="249" spans="1:29" ht="42.95" customHeight="1" x14ac:dyDescent="0.25">
      <c r="A249" s="4" t="s">
        <v>17</v>
      </c>
      <c r="B249" s="7" t="s">
        <v>65</v>
      </c>
      <c r="C249" s="2" t="s">
        <v>1447</v>
      </c>
      <c r="D249" s="7" t="s">
        <v>539</v>
      </c>
      <c r="E249" s="4" t="s">
        <v>778</v>
      </c>
      <c r="F249" s="2">
        <v>399</v>
      </c>
      <c r="G249" s="2" t="s">
        <v>1399</v>
      </c>
      <c r="H249" s="2" t="s">
        <v>1400</v>
      </c>
      <c r="I249" s="4" t="s">
        <v>60</v>
      </c>
      <c r="J249" s="112">
        <f>IF($H249&lt;&gt;"Y",0,ROUND(MIN(Dashboard!$R$24,IF(IFERROR(VLOOKUP($B249,Dashboard!$Q$28:$S$60,2,FALSE),0)&gt;0,IFERROR(VLOOKUP($B249,Dashboard!$Q$28:$S$60,2,FALSE),0),$Z249*IF($U249&lt;&gt;"",ROUND((Dashboard!$R$4/$U249)*VLOOKUP($I249,Dashboard!$Q$9:$R$13,2,FALSE)*IF(ISNUMBER(SEARCH("Duals",$B249)),2,IF(ISNUMBER(SEARCH("Triples",$B249)),3,IF(ISNUMBER(SEARCH("Quads",$B249)),4,1))),2),ROUND(VLOOKUP($I249,Dashboard!$Q$15:$R$20,2,FALSE)*IF($E249="Red",Dashboard!$R$6,IF($E249="Gold",Dashboard!$R$7,Dashboard!$R$5))*IF(ISNUMBER(SEARCH("Duals",$B249)),2,IF(ISNUMBER(SEARCH("Triples",$B249)),3,IF(ISNUMBER(SEARCH("Quads",$B249)),4,1))),2))*IF(IFERROR(VLOOKUP($B249,Dashboard!$Q$28:$S$60,3,FALSE),0)&gt;0,VLOOKUP($B249,Dashboard!$Q$28:$S$60,3,FALSE),1))),0))</f>
        <v>3</v>
      </c>
      <c r="K249" s="2" t="str">
        <f>IF('Base S1'!F49="","",'Base S1'!F49)</f>
        <v>V</v>
      </c>
      <c r="L249" s="2">
        <f t="shared" si="39"/>
        <v>1</v>
      </c>
      <c r="M249" s="2">
        <f t="shared" si="40"/>
        <v>0</v>
      </c>
      <c r="N249" s="2">
        <f t="shared" si="41"/>
        <v>1</v>
      </c>
      <c r="O249" s="2">
        <f t="shared" si="42"/>
        <v>0</v>
      </c>
      <c r="P249" s="112">
        <f t="shared" si="43"/>
        <v>3</v>
      </c>
      <c r="Q249" s="112">
        <f t="shared" si="44"/>
        <v>0</v>
      </c>
      <c r="R249" s="53"/>
      <c r="S249" s="53" t="str">
        <f t="shared" si="45"/>
        <v>Base S1|Compound V Parallel - Season 1|48|Compound V</v>
      </c>
      <c r="T249" s="57" t="str">
        <f>IF($S249="","",IFERROR(VLOOKUP($S249,'Pop Estimates (Non-#d)'!$N$2:$O$500,2,FALSE),""))</f>
        <v/>
      </c>
      <c r="U249" s="57">
        <f t="shared" si="46"/>
        <v>399</v>
      </c>
      <c r="V249" s="53" t="str">
        <f t="shared" si="47"/>
        <v/>
      </c>
      <c r="W249" s="53" t="str">
        <f t="shared" si="48"/>
        <v/>
      </c>
      <c r="X249" s="53" t="str">
        <f t="shared" si="49"/>
        <v/>
      </c>
      <c r="Y249" s="57" t="str">
        <f>IF($X249="","",IFERROR(VLOOKUP($X249,'Char Popularity'!$A$2:$C$500,2,FALSE),""))</f>
        <v/>
      </c>
      <c r="Z249" s="56">
        <f>IF($X249="",1,IFERROR(VLOOKUP($X249,'Char Popularity'!$A$2:$C$500,3,FALSE),1))</f>
        <v>1</v>
      </c>
      <c r="AA249" s="62">
        <f>IF($H249&lt;&gt;"Y",0,(IF($F249&lt;&gt;"",ROUND(Dashboard!$R$4/$F249,1),IF(AND($I249="Base",$E249="Base"),Dashboard!$R$5,IF(AND($I249="Base",$E249="Red"),Dashboard!$R$6,IF(AND($I249="Base",$E249="Gold"),Dashboard!$R$7,VLOOKUP($I249,Dashboard!$Q$16:$R$21,2,FALSE)))))*VLOOKUP($I249,Dashboard!$Q$9:$R$13,2,FALSE)*IF(AND($I249="Auto",$F249="",OR($B249="Autographs Duals",$B249="Autographs Triples",$B249="Autographs Quads",$B249="Autographs Quads (Inscribed)")),IF($B249="Autographs Duals",2,IF($B249="Autographs Triples",3,4)),1)))</f>
        <v>2.5</v>
      </c>
      <c r="AB249" s="62">
        <f t="shared" si="50"/>
        <v>2.5</v>
      </c>
      <c r="AC249" s="62">
        <f t="shared" si="51"/>
        <v>0</v>
      </c>
    </row>
    <row r="250" spans="1:29" ht="42.95" customHeight="1" x14ac:dyDescent="0.25">
      <c r="A250" s="4" t="s">
        <v>17</v>
      </c>
      <c r="B250" s="7" t="s">
        <v>65</v>
      </c>
      <c r="C250" s="2" t="s">
        <v>1448</v>
      </c>
      <c r="D250" s="7" t="s">
        <v>938</v>
      </c>
      <c r="E250" s="4" t="s">
        <v>778</v>
      </c>
      <c r="F250" s="2">
        <v>399</v>
      </c>
      <c r="G250" s="2" t="s">
        <v>1399</v>
      </c>
      <c r="H250" s="2" t="s">
        <v>1400</v>
      </c>
      <c r="I250" s="4" t="s">
        <v>60</v>
      </c>
      <c r="J250" s="112">
        <f>IF($H250&lt;&gt;"Y",0,ROUND(MIN(Dashboard!$R$24,IF(IFERROR(VLOOKUP($B250,Dashboard!$Q$28:$S$60,2,FALSE),0)&gt;0,IFERROR(VLOOKUP($B250,Dashboard!$Q$28:$S$60,2,FALSE),0),$Z250*IF($U250&lt;&gt;"",ROUND((Dashboard!$R$4/$U250)*VLOOKUP($I250,Dashboard!$Q$9:$R$13,2,FALSE)*IF(ISNUMBER(SEARCH("Duals",$B250)),2,IF(ISNUMBER(SEARCH("Triples",$B250)),3,IF(ISNUMBER(SEARCH("Quads",$B250)),4,1))),2),ROUND(VLOOKUP($I250,Dashboard!$Q$15:$R$20,2,FALSE)*IF($E250="Red",Dashboard!$R$6,IF($E250="Gold",Dashboard!$R$7,Dashboard!$R$5))*IF(ISNUMBER(SEARCH("Duals",$B250)),2,IF(ISNUMBER(SEARCH("Triples",$B250)),3,IF(ISNUMBER(SEARCH("Quads",$B250)),4,1))),2))*IF(IFERROR(VLOOKUP($B250,Dashboard!$Q$28:$S$60,3,FALSE),0)&gt;0,VLOOKUP($B250,Dashboard!$Q$28:$S$60,3,FALSE),1))),0))</f>
        <v>3</v>
      </c>
      <c r="K250" s="2" t="str">
        <f>IF('Base S1'!F50="","",'Base S1'!F50)</f>
        <v>V</v>
      </c>
      <c r="L250" s="2">
        <f t="shared" si="39"/>
        <v>1</v>
      </c>
      <c r="M250" s="2">
        <f t="shared" si="40"/>
        <v>0</v>
      </c>
      <c r="N250" s="2">
        <f t="shared" si="41"/>
        <v>1</v>
      </c>
      <c r="O250" s="2">
        <f t="shared" si="42"/>
        <v>0</v>
      </c>
      <c r="P250" s="112">
        <f t="shared" si="43"/>
        <v>3</v>
      </c>
      <c r="Q250" s="112">
        <f t="shared" si="44"/>
        <v>0</v>
      </c>
      <c r="R250" s="53"/>
      <c r="S250" s="53" t="str">
        <f t="shared" si="45"/>
        <v>Base S1|Compound V Parallel - Season 1|49|Compound V</v>
      </c>
      <c r="T250" s="57" t="str">
        <f>IF($S250="","",IFERROR(VLOOKUP($S250,'Pop Estimates (Non-#d)'!$N$2:$O$500,2,FALSE),""))</f>
        <v/>
      </c>
      <c r="U250" s="57">
        <f t="shared" si="46"/>
        <v>399</v>
      </c>
      <c r="V250" s="53" t="str">
        <f t="shared" si="47"/>
        <v/>
      </c>
      <c r="W250" s="53" t="str">
        <f t="shared" si="48"/>
        <v/>
      </c>
      <c r="X250" s="53" t="str">
        <f t="shared" si="49"/>
        <v/>
      </c>
      <c r="Y250" s="57" t="str">
        <f>IF($X250="","",IFERROR(VLOOKUP($X250,'Char Popularity'!$A$2:$C$500,2,FALSE),""))</f>
        <v/>
      </c>
      <c r="Z250" s="56">
        <f>IF($X250="",1,IFERROR(VLOOKUP($X250,'Char Popularity'!$A$2:$C$500,3,FALSE),1))</f>
        <v>1</v>
      </c>
      <c r="AA250" s="62">
        <f>IF($H250&lt;&gt;"Y",0,(IF($F250&lt;&gt;"",ROUND(Dashboard!$R$4/$F250,1),IF(AND($I250="Base",$E250="Base"),Dashboard!$R$5,IF(AND($I250="Base",$E250="Red"),Dashboard!$R$6,IF(AND($I250="Base",$E250="Gold"),Dashboard!$R$7,VLOOKUP($I250,Dashboard!$Q$16:$R$21,2,FALSE)))))*VLOOKUP($I250,Dashboard!$Q$9:$R$13,2,FALSE)*IF(AND($I250="Auto",$F250="",OR($B250="Autographs Duals",$B250="Autographs Triples",$B250="Autographs Quads",$B250="Autographs Quads (Inscribed)")),IF($B250="Autographs Duals",2,IF($B250="Autographs Triples",3,4)),1)))</f>
        <v>2.5</v>
      </c>
      <c r="AB250" s="62">
        <f t="shared" si="50"/>
        <v>2.5</v>
      </c>
      <c r="AC250" s="62">
        <f t="shared" si="51"/>
        <v>0</v>
      </c>
    </row>
    <row r="251" spans="1:29" ht="42.95" customHeight="1" x14ac:dyDescent="0.25">
      <c r="A251" s="4" t="s">
        <v>17</v>
      </c>
      <c r="B251" s="7" t="s">
        <v>65</v>
      </c>
      <c r="C251" s="2" t="s">
        <v>1449</v>
      </c>
      <c r="D251" s="7" t="s">
        <v>939</v>
      </c>
      <c r="E251" s="4" t="s">
        <v>778</v>
      </c>
      <c r="F251" s="2">
        <v>399</v>
      </c>
      <c r="G251" s="2" t="s">
        <v>1399</v>
      </c>
      <c r="H251" s="2" t="s">
        <v>1400</v>
      </c>
      <c r="I251" s="4" t="s">
        <v>60</v>
      </c>
      <c r="J251" s="112">
        <f>IF($H251&lt;&gt;"Y",0,ROUND(MIN(Dashboard!$R$24,IF(IFERROR(VLOOKUP($B251,Dashboard!$Q$28:$S$60,2,FALSE),0)&gt;0,IFERROR(VLOOKUP($B251,Dashboard!$Q$28:$S$60,2,FALSE),0),$Z251*IF($U251&lt;&gt;"",ROUND((Dashboard!$R$4/$U251)*VLOOKUP($I251,Dashboard!$Q$9:$R$13,2,FALSE)*IF(ISNUMBER(SEARCH("Duals",$B251)),2,IF(ISNUMBER(SEARCH("Triples",$B251)),3,IF(ISNUMBER(SEARCH("Quads",$B251)),4,1))),2),ROUND(VLOOKUP($I251,Dashboard!$Q$15:$R$20,2,FALSE)*IF($E251="Red",Dashboard!$R$6,IF($E251="Gold",Dashboard!$R$7,Dashboard!$R$5))*IF(ISNUMBER(SEARCH("Duals",$B251)),2,IF(ISNUMBER(SEARCH("Triples",$B251)),3,IF(ISNUMBER(SEARCH("Quads",$B251)),4,1))),2))*IF(IFERROR(VLOOKUP($B251,Dashboard!$Q$28:$S$60,3,FALSE),0)&gt;0,VLOOKUP($B251,Dashboard!$Q$28:$S$60,3,FALSE),1))),0))</f>
        <v>3</v>
      </c>
      <c r="K251" s="2" t="str">
        <f>IF('Base S1'!F51="","",'Base S1'!F51)</f>
        <v>V</v>
      </c>
      <c r="L251" s="2">
        <f t="shared" si="39"/>
        <v>1</v>
      </c>
      <c r="M251" s="2">
        <f t="shared" si="40"/>
        <v>0</v>
      </c>
      <c r="N251" s="2">
        <f t="shared" si="41"/>
        <v>1</v>
      </c>
      <c r="O251" s="2">
        <f t="shared" si="42"/>
        <v>0</v>
      </c>
      <c r="P251" s="112">
        <f t="shared" si="43"/>
        <v>3</v>
      </c>
      <c r="Q251" s="112">
        <f t="shared" si="44"/>
        <v>0</v>
      </c>
      <c r="R251" s="53"/>
      <c r="S251" s="53" t="str">
        <f t="shared" si="45"/>
        <v>Base S1|Compound V Parallel - Season 1|50|Compound V</v>
      </c>
      <c r="T251" s="57" t="str">
        <f>IF($S251="","",IFERROR(VLOOKUP($S251,'Pop Estimates (Non-#d)'!$N$2:$O$500,2,FALSE),""))</f>
        <v/>
      </c>
      <c r="U251" s="57">
        <f t="shared" si="46"/>
        <v>399</v>
      </c>
      <c r="V251" s="53" t="str">
        <f t="shared" si="47"/>
        <v/>
      </c>
      <c r="W251" s="53" t="str">
        <f t="shared" si="48"/>
        <v/>
      </c>
      <c r="X251" s="53" t="str">
        <f t="shared" si="49"/>
        <v/>
      </c>
      <c r="Y251" s="57" t="str">
        <f>IF($X251="","",IFERROR(VLOOKUP($X251,'Char Popularity'!$A$2:$C$500,2,FALSE),""))</f>
        <v/>
      </c>
      <c r="Z251" s="56">
        <f>IF($X251="",1,IFERROR(VLOOKUP($X251,'Char Popularity'!$A$2:$C$500,3,FALSE),1))</f>
        <v>1</v>
      </c>
      <c r="AA251" s="62">
        <f>IF($H251&lt;&gt;"Y",0,(IF($F251&lt;&gt;"",ROUND(Dashboard!$R$4/$F251,1),IF(AND($I251="Base",$E251="Base"),Dashboard!$R$5,IF(AND($I251="Base",$E251="Red"),Dashboard!$R$6,IF(AND($I251="Base",$E251="Gold"),Dashboard!$R$7,VLOOKUP($I251,Dashboard!$Q$16:$R$21,2,FALSE)))))*VLOOKUP($I251,Dashboard!$Q$9:$R$13,2,FALSE)*IF(AND($I251="Auto",$F251="",OR($B251="Autographs Duals",$B251="Autographs Triples",$B251="Autographs Quads",$B251="Autographs Quads (Inscribed)")),IF($B251="Autographs Duals",2,IF($B251="Autographs Triples",3,4)),1)))</f>
        <v>2.5</v>
      </c>
      <c r="AB251" s="62">
        <f t="shared" si="50"/>
        <v>2.5</v>
      </c>
      <c r="AC251" s="62">
        <f t="shared" si="51"/>
        <v>0</v>
      </c>
    </row>
    <row r="252" spans="1:29" ht="42.95" customHeight="1" x14ac:dyDescent="0.25">
      <c r="A252" s="4" t="s">
        <v>17</v>
      </c>
      <c r="B252" s="7" t="s">
        <v>65</v>
      </c>
      <c r="C252" s="2" t="s">
        <v>1450</v>
      </c>
      <c r="D252" s="7" t="s">
        <v>941</v>
      </c>
      <c r="E252" s="4" t="s">
        <v>778</v>
      </c>
      <c r="F252" s="2">
        <v>399</v>
      </c>
      <c r="G252" s="2" t="s">
        <v>1399</v>
      </c>
      <c r="H252" s="2" t="s">
        <v>1400</v>
      </c>
      <c r="I252" s="4" t="s">
        <v>60</v>
      </c>
      <c r="J252" s="112">
        <f>IF($H252&lt;&gt;"Y",0,ROUND(MIN(Dashboard!$R$24,IF(IFERROR(VLOOKUP($B252,Dashboard!$Q$28:$S$60,2,FALSE),0)&gt;0,IFERROR(VLOOKUP($B252,Dashboard!$Q$28:$S$60,2,FALSE),0),$Z252*IF($U252&lt;&gt;"",ROUND((Dashboard!$R$4/$U252)*VLOOKUP($I252,Dashboard!$Q$9:$R$13,2,FALSE)*IF(ISNUMBER(SEARCH("Duals",$B252)),2,IF(ISNUMBER(SEARCH("Triples",$B252)),3,IF(ISNUMBER(SEARCH("Quads",$B252)),4,1))),2),ROUND(VLOOKUP($I252,Dashboard!$Q$15:$R$20,2,FALSE)*IF($E252="Red",Dashboard!$R$6,IF($E252="Gold",Dashboard!$R$7,Dashboard!$R$5))*IF(ISNUMBER(SEARCH("Duals",$B252)),2,IF(ISNUMBER(SEARCH("Triples",$B252)),3,IF(ISNUMBER(SEARCH("Quads",$B252)),4,1))),2))*IF(IFERROR(VLOOKUP($B252,Dashboard!$Q$28:$S$60,3,FALSE),0)&gt;0,VLOOKUP($B252,Dashboard!$Q$28:$S$60,3,FALSE),1))),0))</f>
        <v>3</v>
      </c>
      <c r="K252" s="2" t="str">
        <f>IF('Base S1'!F52="","",'Base S1'!F52)</f>
        <v>V</v>
      </c>
      <c r="L252" s="2">
        <f t="shared" si="39"/>
        <v>1</v>
      </c>
      <c r="M252" s="2">
        <f t="shared" si="40"/>
        <v>0</v>
      </c>
      <c r="N252" s="2">
        <f t="shared" si="41"/>
        <v>1</v>
      </c>
      <c r="O252" s="2">
        <f t="shared" si="42"/>
        <v>0</v>
      </c>
      <c r="P252" s="112">
        <f t="shared" si="43"/>
        <v>3</v>
      </c>
      <c r="Q252" s="112">
        <f t="shared" si="44"/>
        <v>0</v>
      </c>
      <c r="R252" s="53"/>
      <c r="S252" s="53" t="str">
        <f t="shared" si="45"/>
        <v>Base S1|Compound V Parallel - Season 1|51|Compound V</v>
      </c>
      <c r="T252" s="57" t="str">
        <f>IF($S252="","",IFERROR(VLOOKUP($S252,'Pop Estimates (Non-#d)'!$N$2:$O$500,2,FALSE),""))</f>
        <v/>
      </c>
      <c r="U252" s="57">
        <f t="shared" si="46"/>
        <v>399</v>
      </c>
      <c r="V252" s="53" t="str">
        <f t="shared" si="47"/>
        <v/>
      </c>
      <c r="W252" s="53" t="str">
        <f t="shared" si="48"/>
        <v/>
      </c>
      <c r="X252" s="53" t="str">
        <f t="shared" si="49"/>
        <v/>
      </c>
      <c r="Y252" s="57" t="str">
        <f>IF($X252="","",IFERROR(VLOOKUP($X252,'Char Popularity'!$A$2:$C$500,2,FALSE),""))</f>
        <v/>
      </c>
      <c r="Z252" s="56">
        <f>IF($X252="",1,IFERROR(VLOOKUP($X252,'Char Popularity'!$A$2:$C$500,3,FALSE),1))</f>
        <v>1</v>
      </c>
      <c r="AA252" s="62">
        <f>IF($H252&lt;&gt;"Y",0,(IF($F252&lt;&gt;"",ROUND(Dashboard!$R$4/$F252,1),IF(AND($I252="Base",$E252="Base"),Dashboard!$R$5,IF(AND($I252="Base",$E252="Red"),Dashboard!$R$6,IF(AND($I252="Base",$E252="Gold"),Dashboard!$R$7,VLOOKUP($I252,Dashboard!$Q$16:$R$21,2,FALSE)))))*VLOOKUP($I252,Dashboard!$Q$9:$R$13,2,FALSE)*IF(AND($I252="Auto",$F252="",OR($B252="Autographs Duals",$B252="Autographs Triples",$B252="Autographs Quads",$B252="Autographs Quads (Inscribed)")),IF($B252="Autographs Duals",2,IF($B252="Autographs Triples",3,4)),1)))</f>
        <v>2.5</v>
      </c>
      <c r="AB252" s="62">
        <f t="shared" si="50"/>
        <v>2.5</v>
      </c>
      <c r="AC252" s="62">
        <f t="shared" si="51"/>
        <v>0</v>
      </c>
    </row>
    <row r="253" spans="1:29" ht="42.95" customHeight="1" x14ac:dyDescent="0.25">
      <c r="A253" s="4" t="s">
        <v>17</v>
      </c>
      <c r="B253" s="7" t="s">
        <v>65</v>
      </c>
      <c r="C253" s="2" t="s">
        <v>1451</v>
      </c>
      <c r="D253" s="7" t="s">
        <v>944</v>
      </c>
      <c r="E253" s="4" t="s">
        <v>778</v>
      </c>
      <c r="F253" s="2">
        <v>399</v>
      </c>
      <c r="G253" s="2" t="s">
        <v>1399</v>
      </c>
      <c r="H253" s="2" t="s">
        <v>1400</v>
      </c>
      <c r="I253" s="4" t="s">
        <v>60</v>
      </c>
      <c r="J253" s="112">
        <f>IF($H253&lt;&gt;"Y",0,ROUND(MIN(Dashboard!$R$24,IF(IFERROR(VLOOKUP($B253,Dashboard!$Q$28:$S$60,2,FALSE),0)&gt;0,IFERROR(VLOOKUP($B253,Dashboard!$Q$28:$S$60,2,FALSE),0),$Z253*IF($U253&lt;&gt;"",ROUND((Dashboard!$R$4/$U253)*VLOOKUP($I253,Dashboard!$Q$9:$R$13,2,FALSE)*IF(ISNUMBER(SEARCH("Duals",$B253)),2,IF(ISNUMBER(SEARCH("Triples",$B253)),3,IF(ISNUMBER(SEARCH("Quads",$B253)),4,1))),2),ROUND(VLOOKUP($I253,Dashboard!$Q$15:$R$20,2,FALSE)*IF($E253="Red",Dashboard!$R$6,IF($E253="Gold",Dashboard!$R$7,Dashboard!$R$5))*IF(ISNUMBER(SEARCH("Duals",$B253)),2,IF(ISNUMBER(SEARCH("Triples",$B253)),3,IF(ISNUMBER(SEARCH("Quads",$B253)),4,1))),2))*IF(IFERROR(VLOOKUP($B253,Dashboard!$Q$28:$S$60,3,FALSE),0)&gt;0,VLOOKUP($B253,Dashboard!$Q$28:$S$60,3,FALSE),1))),0))</f>
        <v>3</v>
      </c>
      <c r="K253" s="2" t="str">
        <f>IF('Base S1'!F53="","",'Base S1'!F53)</f>
        <v>C</v>
      </c>
      <c r="L253" s="2">
        <f t="shared" si="39"/>
        <v>1</v>
      </c>
      <c r="M253" s="2">
        <f t="shared" si="40"/>
        <v>0</v>
      </c>
      <c r="N253" s="2">
        <f t="shared" si="41"/>
        <v>1</v>
      </c>
      <c r="O253" s="2">
        <f t="shared" si="42"/>
        <v>0</v>
      </c>
      <c r="P253" s="112">
        <f t="shared" si="43"/>
        <v>3</v>
      </c>
      <c r="Q253" s="112">
        <f t="shared" si="44"/>
        <v>0</v>
      </c>
      <c r="R253" s="53"/>
      <c r="S253" s="53" t="str">
        <f t="shared" si="45"/>
        <v>Base S1|Compound V Parallel - Season 1|52|Compound V</v>
      </c>
      <c r="T253" s="57" t="str">
        <f>IF($S253="","",IFERROR(VLOOKUP($S253,'Pop Estimates (Non-#d)'!$N$2:$O$500,2,FALSE),""))</f>
        <v/>
      </c>
      <c r="U253" s="57">
        <f t="shared" si="46"/>
        <v>399</v>
      </c>
      <c r="V253" s="53" t="str">
        <f t="shared" si="47"/>
        <v/>
      </c>
      <c r="W253" s="53" t="str">
        <f t="shared" si="48"/>
        <v/>
      </c>
      <c r="X253" s="53" t="str">
        <f t="shared" si="49"/>
        <v/>
      </c>
      <c r="Y253" s="57" t="str">
        <f>IF($X253="","",IFERROR(VLOOKUP($X253,'Char Popularity'!$A$2:$C$500,2,FALSE),""))</f>
        <v/>
      </c>
      <c r="Z253" s="56">
        <f>IF($X253="",1,IFERROR(VLOOKUP($X253,'Char Popularity'!$A$2:$C$500,3,FALSE),1))</f>
        <v>1</v>
      </c>
      <c r="AA253" s="62">
        <f>IF($H253&lt;&gt;"Y",0,(IF($F253&lt;&gt;"",ROUND(Dashboard!$R$4/$F253,1),IF(AND($I253="Base",$E253="Base"),Dashboard!$R$5,IF(AND($I253="Base",$E253="Red"),Dashboard!$R$6,IF(AND($I253="Base",$E253="Gold"),Dashboard!$R$7,VLOOKUP($I253,Dashboard!$Q$16:$R$21,2,FALSE)))))*VLOOKUP($I253,Dashboard!$Q$9:$R$13,2,FALSE)*IF(AND($I253="Auto",$F253="",OR($B253="Autographs Duals",$B253="Autographs Triples",$B253="Autographs Quads",$B253="Autographs Quads (Inscribed)")),IF($B253="Autographs Duals",2,IF($B253="Autographs Triples",3,4)),1)))</f>
        <v>2.5</v>
      </c>
      <c r="AB253" s="62">
        <f t="shared" si="50"/>
        <v>2.5</v>
      </c>
      <c r="AC253" s="62">
        <f t="shared" si="51"/>
        <v>0</v>
      </c>
    </row>
    <row r="254" spans="1:29" ht="42.95" customHeight="1" x14ac:dyDescent="0.25">
      <c r="A254" s="4" t="s">
        <v>17</v>
      </c>
      <c r="B254" s="7" t="s">
        <v>65</v>
      </c>
      <c r="C254" s="2" t="s">
        <v>1452</v>
      </c>
      <c r="D254" s="7" t="s">
        <v>946</v>
      </c>
      <c r="E254" s="4" t="s">
        <v>778</v>
      </c>
      <c r="F254" s="2">
        <v>399</v>
      </c>
      <c r="G254" s="2" t="s">
        <v>1399</v>
      </c>
      <c r="H254" s="2" t="s">
        <v>1400</v>
      </c>
      <c r="I254" s="4" t="s">
        <v>60</v>
      </c>
      <c r="J254" s="112">
        <f>IF($H254&lt;&gt;"Y",0,ROUND(MIN(Dashboard!$R$24,IF(IFERROR(VLOOKUP($B254,Dashboard!$Q$28:$S$60,2,FALSE),0)&gt;0,IFERROR(VLOOKUP($B254,Dashboard!$Q$28:$S$60,2,FALSE),0),$Z254*IF($U254&lt;&gt;"",ROUND((Dashboard!$R$4/$U254)*VLOOKUP($I254,Dashboard!$Q$9:$R$13,2,FALSE)*IF(ISNUMBER(SEARCH("Duals",$B254)),2,IF(ISNUMBER(SEARCH("Triples",$B254)),3,IF(ISNUMBER(SEARCH("Quads",$B254)),4,1))),2),ROUND(VLOOKUP($I254,Dashboard!$Q$15:$R$20,2,FALSE)*IF($E254="Red",Dashboard!$R$6,IF($E254="Gold",Dashboard!$R$7,Dashboard!$R$5))*IF(ISNUMBER(SEARCH("Duals",$B254)),2,IF(ISNUMBER(SEARCH("Triples",$B254)),3,IF(ISNUMBER(SEARCH("Quads",$B254)),4,1))),2))*IF(IFERROR(VLOOKUP($B254,Dashboard!$Q$28:$S$60,3,FALSE),0)&gt;0,VLOOKUP($B254,Dashboard!$Q$28:$S$60,3,FALSE),1))),0))</f>
        <v>3</v>
      </c>
      <c r="K254" s="2" t="str">
        <f>IF('Base S1'!F54="","",'Base S1'!F54)</f>
        <v>V</v>
      </c>
      <c r="L254" s="2">
        <f t="shared" si="39"/>
        <v>1</v>
      </c>
      <c r="M254" s="2">
        <f t="shared" si="40"/>
        <v>0</v>
      </c>
      <c r="N254" s="2">
        <f t="shared" si="41"/>
        <v>1</v>
      </c>
      <c r="O254" s="2">
        <f t="shared" si="42"/>
        <v>0</v>
      </c>
      <c r="P254" s="112">
        <f t="shared" si="43"/>
        <v>3</v>
      </c>
      <c r="Q254" s="112">
        <f t="shared" si="44"/>
        <v>0</v>
      </c>
      <c r="R254" s="53"/>
      <c r="S254" s="53" t="str">
        <f t="shared" si="45"/>
        <v>Base S1|Compound V Parallel - Season 1|53|Compound V</v>
      </c>
      <c r="T254" s="57" t="str">
        <f>IF($S254="","",IFERROR(VLOOKUP($S254,'Pop Estimates (Non-#d)'!$N$2:$O$500,2,FALSE),""))</f>
        <v/>
      </c>
      <c r="U254" s="57">
        <f t="shared" si="46"/>
        <v>399</v>
      </c>
      <c r="V254" s="53" t="str">
        <f t="shared" si="47"/>
        <v/>
      </c>
      <c r="W254" s="53" t="str">
        <f t="shared" si="48"/>
        <v/>
      </c>
      <c r="X254" s="53" t="str">
        <f t="shared" si="49"/>
        <v/>
      </c>
      <c r="Y254" s="57" t="str">
        <f>IF($X254="","",IFERROR(VLOOKUP($X254,'Char Popularity'!$A$2:$C$500,2,FALSE),""))</f>
        <v/>
      </c>
      <c r="Z254" s="56">
        <f>IF($X254="",1,IFERROR(VLOOKUP($X254,'Char Popularity'!$A$2:$C$500,3,FALSE),1))</f>
        <v>1</v>
      </c>
      <c r="AA254" s="62">
        <f>IF($H254&lt;&gt;"Y",0,(IF($F254&lt;&gt;"",ROUND(Dashboard!$R$4/$F254,1),IF(AND($I254="Base",$E254="Base"),Dashboard!$R$5,IF(AND($I254="Base",$E254="Red"),Dashboard!$R$6,IF(AND($I254="Base",$E254="Gold"),Dashboard!$R$7,VLOOKUP($I254,Dashboard!$Q$16:$R$21,2,FALSE)))))*VLOOKUP($I254,Dashboard!$Q$9:$R$13,2,FALSE)*IF(AND($I254="Auto",$F254="",OR($B254="Autographs Duals",$B254="Autographs Triples",$B254="Autographs Quads",$B254="Autographs Quads (Inscribed)")),IF($B254="Autographs Duals",2,IF($B254="Autographs Triples",3,4)),1)))</f>
        <v>2.5</v>
      </c>
      <c r="AB254" s="62">
        <f t="shared" si="50"/>
        <v>2.5</v>
      </c>
      <c r="AC254" s="62">
        <f t="shared" si="51"/>
        <v>0</v>
      </c>
    </row>
    <row r="255" spans="1:29" ht="42.95" customHeight="1" x14ac:dyDescent="0.25">
      <c r="A255" s="4" t="s">
        <v>17</v>
      </c>
      <c r="B255" s="7" t="s">
        <v>65</v>
      </c>
      <c r="C255" s="2" t="s">
        <v>1453</v>
      </c>
      <c r="D255" s="7" t="s">
        <v>948</v>
      </c>
      <c r="E255" s="4" t="s">
        <v>778</v>
      </c>
      <c r="F255" s="2">
        <v>399</v>
      </c>
      <c r="G255" s="2" t="s">
        <v>1399</v>
      </c>
      <c r="H255" s="2" t="s">
        <v>1400</v>
      </c>
      <c r="I255" s="4" t="s">
        <v>60</v>
      </c>
      <c r="J255" s="112">
        <f>IF($H255&lt;&gt;"Y",0,ROUND(MIN(Dashboard!$R$24,IF(IFERROR(VLOOKUP($B255,Dashboard!$Q$28:$S$60,2,FALSE),0)&gt;0,IFERROR(VLOOKUP($B255,Dashboard!$Q$28:$S$60,2,FALSE),0),$Z255*IF($U255&lt;&gt;"",ROUND((Dashboard!$R$4/$U255)*VLOOKUP($I255,Dashboard!$Q$9:$R$13,2,FALSE)*IF(ISNUMBER(SEARCH("Duals",$B255)),2,IF(ISNUMBER(SEARCH("Triples",$B255)),3,IF(ISNUMBER(SEARCH("Quads",$B255)),4,1))),2),ROUND(VLOOKUP($I255,Dashboard!$Q$15:$R$20,2,FALSE)*IF($E255="Red",Dashboard!$R$6,IF($E255="Gold",Dashboard!$R$7,Dashboard!$R$5))*IF(ISNUMBER(SEARCH("Duals",$B255)),2,IF(ISNUMBER(SEARCH("Triples",$B255)),3,IF(ISNUMBER(SEARCH("Quads",$B255)),4,1))),2))*IF(IFERROR(VLOOKUP($B255,Dashboard!$Q$28:$S$60,3,FALSE),0)&gt;0,VLOOKUP($B255,Dashboard!$Q$28:$S$60,3,FALSE),1))),0))</f>
        <v>3</v>
      </c>
      <c r="K255" s="2" t="str">
        <f>IF('Base S1'!F55="","",'Base S1'!F55)</f>
        <v>C</v>
      </c>
      <c r="L255" s="2">
        <f t="shared" si="39"/>
        <v>1</v>
      </c>
      <c r="M255" s="2">
        <f t="shared" si="40"/>
        <v>0</v>
      </c>
      <c r="N255" s="2">
        <f t="shared" si="41"/>
        <v>1</v>
      </c>
      <c r="O255" s="2">
        <f t="shared" si="42"/>
        <v>0</v>
      </c>
      <c r="P255" s="112">
        <f t="shared" si="43"/>
        <v>3</v>
      </c>
      <c r="Q255" s="112">
        <f t="shared" si="44"/>
        <v>0</v>
      </c>
      <c r="R255" s="53"/>
      <c r="S255" s="53" t="str">
        <f t="shared" si="45"/>
        <v>Base S1|Compound V Parallel - Season 1|54|Compound V</v>
      </c>
      <c r="T255" s="57" t="str">
        <f>IF($S255="","",IFERROR(VLOOKUP($S255,'Pop Estimates (Non-#d)'!$N$2:$O$500,2,FALSE),""))</f>
        <v/>
      </c>
      <c r="U255" s="57">
        <f t="shared" si="46"/>
        <v>399</v>
      </c>
      <c r="V255" s="53" t="str">
        <f t="shared" si="47"/>
        <v/>
      </c>
      <c r="W255" s="53" t="str">
        <f t="shared" si="48"/>
        <v/>
      </c>
      <c r="X255" s="53" t="str">
        <f t="shared" si="49"/>
        <v/>
      </c>
      <c r="Y255" s="57" t="str">
        <f>IF($X255="","",IFERROR(VLOOKUP($X255,'Char Popularity'!$A$2:$C$500,2,FALSE),""))</f>
        <v/>
      </c>
      <c r="Z255" s="56">
        <f>IF($X255="",1,IFERROR(VLOOKUP($X255,'Char Popularity'!$A$2:$C$500,3,FALSE),1))</f>
        <v>1</v>
      </c>
      <c r="AA255" s="62">
        <f>IF($H255&lt;&gt;"Y",0,(IF($F255&lt;&gt;"",ROUND(Dashboard!$R$4/$F255,1),IF(AND($I255="Base",$E255="Base"),Dashboard!$R$5,IF(AND($I255="Base",$E255="Red"),Dashboard!$R$6,IF(AND($I255="Base",$E255="Gold"),Dashboard!$R$7,VLOOKUP($I255,Dashboard!$Q$16:$R$21,2,FALSE)))))*VLOOKUP($I255,Dashboard!$Q$9:$R$13,2,FALSE)*IF(AND($I255="Auto",$F255="",OR($B255="Autographs Duals",$B255="Autographs Triples",$B255="Autographs Quads",$B255="Autographs Quads (Inscribed)")),IF($B255="Autographs Duals",2,IF($B255="Autographs Triples",3,4)),1)))</f>
        <v>2.5</v>
      </c>
      <c r="AB255" s="62">
        <f t="shared" si="50"/>
        <v>2.5</v>
      </c>
      <c r="AC255" s="62">
        <f t="shared" si="51"/>
        <v>0</v>
      </c>
    </row>
    <row r="256" spans="1:29" ht="42.95" customHeight="1" x14ac:dyDescent="0.25">
      <c r="A256" s="4" t="s">
        <v>17</v>
      </c>
      <c r="B256" s="7" t="s">
        <v>65</v>
      </c>
      <c r="C256" s="2" t="s">
        <v>1454</v>
      </c>
      <c r="D256" s="7" t="s">
        <v>950</v>
      </c>
      <c r="E256" s="4" t="s">
        <v>778</v>
      </c>
      <c r="F256" s="2">
        <v>399</v>
      </c>
      <c r="G256" s="2" t="s">
        <v>1399</v>
      </c>
      <c r="H256" s="2" t="s">
        <v>1400</v>
      </c>
      <c r="I256" s="4" t="s">
        <v>60</v>
      </c>
      <c r="J256" s="112">
        <f>IF($H256&lt;&gt;"Y",0,ROUND(MIN(Dashboard!$R$24,IF(IFERROR(VLOOKUP($B256,Dashboard!$Q$28:$S$60,2,FALSE),0)&gt;0,IFERROR(VLOOKUP($B256,Dashboard!$Q$28:$S$60,2,FALSE),0),$Z256*IF($U256&lt;&gt;"",ROUND((Dashboard!$R$4/$U256)*VLOOKUP($I256,Dashboard!$Q$9:$R$13,2,FALSE)*IF(ISNUMBER(SEARCH("Duals",$B256)),2,IF(ISNUMBER(SEARCH("Triples",$B256)),3,IF(ISNUMBER(SEARCH("Quads",$B256)),4,1))),2),ROUND(VLOOKUP($I256,Dashboard!$Q$15:$R$20,2,FALSE)*IF($E256="Red",Dashboard!$R$6,IF($E256="Gold",Dashboard!$R$7,Dashboard!$R$5))*IF(ISNUMBER(SEARCH("Duals",$B256)),2,IF(ISNUMBER(SEARCH("Triples",$B256)),3,IF(ISNUMBER(SEARCH("Quads",$B256)),4,1))),2))*IF(IFERROR(VLOOKUP($B256,Dashboard!$Q$28:$S$60,3,FALSE),0)&gt;0,VLOOKUP($B256,Dashboard!$Q$28:$S$60,3,FALSE),1))),0))</f>
        <v>3</v>
      </c>
      <c r="K256" s="2" t="str">
        <f>IF('Base S1'!F56="","",'Base S1'!F56)</f>
        <v>V</v>
      </c>
      <c r="L256" s="2">
        <f t="shared" si="39"/>
        <v>1</v>
      </c>
      <c r="M256" s="2">
        <f t="shared" si="40"/>
        <v>0</v>
      </c>
      <c r="N256" s="2">
        <f t="shared" si="41"/>
        <v>1</v>
      </c>
      <c r="O256" s="2">
        <f t="shared" si="42"/>
        <v>0</v>
      </c>
      <c r="P256" s="112">
        <f t="shared" si="43"/>
        <v>3</v>
      </c>
      <c r="Q256" s="112">
        <f t="shared" si="44"/>
        <v>0</v>
      </c>
      <c r="R256" s="53"/>
      <c r="S256" s="53" t="str">
        <f t="shared" si="45"/>
        <v>Base S1|Compound V Parallel - Season 1|55|Compound V</v>
      </c>
      <c r="T256" s="57" t="str">
        <f>IF($S256="","",IFERROR(VLOOKUP($S256,'Pop Estimates (Non-#d)'!$N$2:$O$500,2,FALSE),""))</f>
        <v/>
      </c>
      <c r="U256" s="57">
        <f t="shared" si="46"/>
        <v>399</v>
      </c>
      <c r="V256" s="53" t="str">
        <f t="shared" si="47"/>
        <v/>
      </c>
      <c r="W256" s="53" t="str">
        <f t="shared" si="48"/>
        <v/>
      </c>
      <c r="X256" s="53" t="str">
        <f t="shared" si="49"/>
        <v/>
      </c>
      <c r="Y256" s="57" t="str">
        <f>IF($X256="","",IFERROR(VLOOKUP($X256,'Char Popularity'!$A$2:$C$500,2,FALSE),""))</f>
        <v/>
      </c>
      <c r="Z256" s="56">
        <f>IF($X256="",1,IFERROR(VLOOKUP($X256,'Char Popularity'!$A$2:$C$500,3,FALSE),1))</f>
        <v>1</v>
      </c>
      <c r="AA256" s="62">
        <f>IF($H256&lt;&gt;"Y",0,(IF($F256&lt;&gt;"",ROUND(Dashboard!$R$4/$F256,1),IF(AND($I256="Base",$E256="Base"),Dashboard!$R$5,IF(AND($I256="Base",$E256="Red"),Dashboard!$R$6,IF(AND($I256="Base",$E256="Gold"),Dashboard!$R$7,VLOOKUP($I256,Dashboard!$Q$16:$R$21,2,FALSE)))))*VLOOKUP($I256,Dashboard!$Q$9:$R$13,2,FALSE)*IF(AND($I256="Auto",$F256="",OR($B256="Autographs Duals",$B256="Autographs Triples",$B256="Autographs Quads",$B256="Autographs Quads (Inscribed)")),IF($B256="Autographs Duals",2,IF($B256="Autographs Triples",3,4)),1)))</f>
        <v>2.5</v>
      </c>
      <c r="AB256" s="62">
        <f t="shared" si="50"/>
        <v>2.5</v>
      </c>
      <c r="AC256" s="62">
        <f t="shared" si="51"/>
        <v>0</v>
      </c>
    </row>
    <row r="257" spans="1:29" ht="42.95" customHeight="1" x14ac:dyDescent="0.25">
      <c r="A257" s="4" t="s">
        <v>17</v>
      </c>
      <c r="B257" s="7" t="s">
        <v>65</v>
      </c>
      <c r="C257" s="2" t="s">
        <v>1455</v>
      </c>
      <c r="D257" s="7" t="s">
        <v>952</v>
      </c>
      <c r="E257" s="4" t="s">
        <v>778</v>
      </c>
      <c r="F257" s="2">
        <v>399</v>
      </c>
      <c r="G257" s="2" t="s">
        <v>1399</v>
      </c>
      <c r="H257" s="2" t="s">
        <v>1400</v>
      </c>
      <c r="I257" s="4" t="s">
        <v>60</v>
      </c>
      <c r="J257" s="112">
        <f>IF($H257&lt;&gt;"Y",0,ROUND(MIN(Dashboard!$R$24,IF(IFERROR(VLOOKUP($B257,Dashboard!$Q$28:$S$60,2,FALSE),0)&gt;0,IFERROR(VLOOKUP($B257,Dashboard!$Q$28:$S$60,2,FALSE),0),$Z257*IF($U257&lt;&gt;"",ROUND((Dashboard!$R$4/$U257)*VLOOKUP($I257,Dashboard!$Q$9:$R$13,2,FALSE)*IF(ISNUMBER(SEARCH("Duals",$B257)),2,IF(ISNUMBER(SEARCH("Triples",$B257)),3,IF(ISNUMBER(SEARCH("Quads",$B257)),4,1))),2),ROUND(VLOOKUP($I257,Dashboard!$Q$15:$R$20,2,FALSE)*IF($E257="Red",Dashboard!$R$6,IF($E257="Gold",Dashboard!$R$7,Dashboard!$R$5))*IF(ISNUMBER(SEARCH("Duals",$B257)),2,IF(ISNUMBER(SEARCH("Triples",$B257)),3,IF(ISNUMBER(SEARCH("Quads",$B257)),4,1))),2))*IF(IFERROR(VLOOKUP($B257,Dashboard!$Q$28:$S$60,3,FALSE),0)&gt;0,VLOOKUP($B257,Dashboard!$Q$28:$S$60,3,FALSE),1))),0))</f>
        <v>3</v>
      </c>
      <c r="K257" s="2" t="str">
        <f>IF('Base S1'!F57="","",'Base S1'!F57)</f>
        <v>V</v>
      </c>
      <c r="L257" s="2">
        <f t="shared" si="39"/>
        <v>1</v>
      </c>
      <c r="M257" s="2">
        <f t="shared" si="40"/>
        <v>0</v>
      </c>
      <c r="N257" s="2">
        <f t="shared" si="41"/>
        <v>1</v>
      </c>
      <c r="O257" s="2">
        <f t="shared" si="42"/>
        <v>0</v>
      </c>
      <c r="P257" s="112">
        <f t="shared" si="43"/>
        <v>3</v>
      </c>
      <c r="Q257" s="112">
        <f t="shared" si="44"/>
        <v>0</v>
      </c>
      <c r="R257" s="53"/>
      <c r="S257" s="53" t="str">
        <f t="shared" si="45"/>
        <v>Base S1|Compound V Parallel - Season 1|56|Compound V</v>
      </c>
      <c r="T257" s="57" t="str">
        <f>IF($S257="","",IFERROR(VLOOKUP($S257,'Pop Estimates (Non-#d)'!$N$2:$O$500,2,FALSE),""))</f>
        <v/>
      </c>
      <c r="U257" s="57">
        <f t="shared" si="46"/>
        <v>399</v>
      </c>
      <c r="V257" s="53" t="str">
        <f t="shared" si="47"/>
        <v/>
      </c>
      <c r="W257" s="53" t="str">
        <f t="shared" si="48"/>
        <v/>
      </c>
      <c r="X257" s="53" t="str">
        <f t="shared" si="49"/>
        <v/>
      </c>
      <c r="Y257" s="57" t="str">
        <f>IF($X257="","",IFERROR(VLOOKUP($X257,'Char Popularity'!$A$2:$C$500,2,FALSE),""))</f>
        <v/>
      </c>
      <c r="Z257" s="56">
        <f>IF($X257="",1,IFERROR(VLOOKUP($X257,'Char Popularity'!$A$2:$C$500,3,FALSE),1))</f>
        <v>1</v>
      </c>
      <c r="AA257" s="62">
        <f>IF($H257&lt;&gt;"Y",0,(IF($F257&lt;&gt;"",ROUND(Dashboard!$R$4/$F257,1),IF(AND($I257="Base",$E257="Base"),Dashboard!$R$5,IF(AND($I257="Base",$E257="Red"),Dashboard!$R$6,IF(AND($I257="Base",$E257="Gold"),Dashboard!$R$7,VLOOKUP($I257,Dashboard!$Q$16:$R$21,2,FALSE)))))*VLOOKUP($I257,Dashboard!$Q$9:$R$13,2,FALSE)*IF(AND($I257="Auto",$F257="",OR($B257="Autographs Duals",$B257="Autographs Triples",$B257="Autographs Quads",$B257="Autographs Quads (Inscribed)")),IF($B257="Autographs Duals",2,IF($B257="Autographs Triples",3,4)),1)))</f>
        <v>2.5</v>
      </c>
      <c r="AB257" s="62">
        <f t="shared" si="50"/>
        <v>2.5</v>
      </c>
      <c r="AC257" s="62">
        <f t="shared" si="51"/>
        <v>0</v>
      </c>
    </row>
    <row r="258" spans="1:29" ht="42.95" customHeight="1" x14ac:dyDescent="0.25">
      <c r="A258" s="4" t="s">
        <v>17</v>
      </c>
      <c r="B258" s="7" t="s">
        <v>65</v>
      </c>
      <c r="C258" s="2" t="s">
        <v>1456</v>
      </c>
      <c r="D258" s="7" t="s">
        <v>956</v>
      </c>
      <c r="E258" s="4" t="s">
        <v>778</v>
      </c>
      <c r="F258" s="2">
        <v>399</v>
      </c>
      <c r="G258" s="2" t="s">
        <v>1399</v>
      </c>
      <c r="H258" s="2" t="s">
        <v>1400</v>
      </c>
      <c r="I258" s="4" t="s">
        <v>60</v>
      </c>
      <c r="J258" s="112">
        <f>IF($H258&lt;&gt;"Y",0,ROUND(MIN(Dashboard!$R$24,IF(IFERROR(VLOOKUP($B258,Dashboard!$Q$28:$S$60,2,FALSE),0)&gt;0,IFERROR(VLOOKUP($B258,Dashboard!$Q$28:$S$60,2,FALSE),0),$Z258*IF($U258&lt;&gt;"",ROUND((Dashboard!$R$4/$U258)*VLOOKUP($I258,Dashboard!$Q$9:$R$13,2,FALSE)*IF(ISNUMBER(SEARCH("Duals",$B258)),2,IF(ISNUMBER(SEARCH("Triples",$B258)),3,IF(ISNUMBER(SEARCH("Quads",$B258)),4,1))),2),ROUND(VLOOKUP($I258,Dashboard!$Q$15:$R$20,2,FALSE)*IF($E258="Red",Dashboard!$R$6,IF($E258="Gold",Dashboard!$R$7,Dashboard!$R$5))*IF(ISNUMBER(SEARCH("Duals",$B258)),2,IF(ISNUMBER(SEARCH("Triples",$B258)),3,IF(ISNUMBER(SEARCH("Quads",$B258)),4,1))),2))*IF(IFERROR(VLOOKUP($B258,Dashboard!$Q$28:$S$60,3,FALSE),0)&gt;0,VLOOKUP($B258,Dashboard!$Q$28:$S$60,3,FALSE),1))),0))</f>
        <v>3</v>
      </c>
      <c r="K258" s="2" t="str">
        <f>IF('Base S1'!F58="","",'Base S1'!F58)</f>
        <v>C</v>
      </c>
      <c r="L258" s="2">
        <f t="shared" ref="L258:L321" si="52">IF(AND($K258&lt;&gt;"",LEFT($K258,1)&lt;&gt;"Y"),1,0)</f>
        <v>1</v>
      </c>
      <c r="M258" s="2">
        <f t="shared" ref="M258:M321" si="53">IF(LEFT($K258,1)="Y",1,0)</f>
        <v>0</v>
      </c>
      <c r="N258" s="2">
        <f t="shared" ref="N258:N321" si="54">$L258+$M258</f>
        <v>1</v>
      </c>
      <c r="O258" s="2">
        <f t="shared" ref="O258:O321" si="55">IF($H258="Y",1-$N258,0)</f>
        <v>0</v>
      </c>
      <c r="P258" s="112">
        <f t="shared" ref="P258:P321" si="56">IF($L258=1,$J258,0)</f>
        <v>3</v>
      </c>
      <c r="Q258" s="112">
        <f t="shared" ref="Q258:Q321" si="57">IF($M258=1,$J258,0)</f>
        <v>0</v>
      </c>
      <c r="R258" s="53"/>
      <c r="S258" s="53" t="str">
        <f t="shared" ref="S258:S321" si="58">IF($A258="","",$A258&amp;"|"&amp;$B258&amp;"|"&amp;$C258&amp;"|"&amp;$E258)</f>
        <v>Base S1|Compound V Parallel - Season 1|57|Compound V</v>
      </c>
      <c r="T258" s="57" t="str">
        <f>IF($S258="","",IFERROR(VLOOKUP($S258,'Pop Estimates (Non-#d)'!$N$2:$O$500,2,FALSE),""))</f>
        <v/>
      </c>
      <c r="U258" s="57">
        <f t="shared" ref="U258:U321" si="59">IF($A258="","",IF($F258&lt;&gt;"",$F258,$T258))</f>
        <v>399</v>
      </c>
      <c r="V258" s="53" t="str">
        <f t="shared" ref="V258:V321" si="60">IF($A258="","",IF(ISNUMBER(SEARCH(" as ",$D258)),MID($D258,SEARCH(" as ",$D258)+4,255),IF(ISNUMBER(SEARCH("/",$D258)),LEFT($D258,FIND("/",$D258&amp;"/")-1),"")))</f>
        <v/>
      </c>
      <c r="W258" s="53" t="str">
        <f t="shared" ref="W258:W321" si="61">IF($V258="","",TRIM(IFERROR(MID($V258,SEARCH("(", $V258)+1,SEARCH(")",$V258)-SEARCH("(", $V258)-1),$V258)))</f>
        <v/>
      </c>
      <c r="X258" s="53" t="str">
        <f t="shared" ref="X258:X321" si="62">IF($W258="","",TRIM(LEFT($W258&amp;"""",FIND("""",$W258&amp;"""")-1)))</f>
        <v/>
      </c>
      <c r="Y258" s="57" t="str">
        <f>IF($X258="","",IFERROR(VLOOKUP($X258,'Char Popularity'!$A$2:$C$500,2,FALSE),""))</f>
        <v/>
      </c>
      <c r="Z258" s="56">
        <f>IF($X258="",1,IFERROR(VLOOKUP($X258,'Char Popularity'!$A$2:$C$500,3,FALSE),1))</f>
        <v>1</v>
      </c>
      <c r="AA258" s="62">
        <f>IF($H258&lt;&gt;"Y",0,(IF($F258&lt;&gt;"",ROUND(Dashboard!$R$4/$F258,1),IF(AND($I258="Base",$E258="Base"),Dashboard!$R$5,IF(AND($I258="Base",$E258="Red"),Dashboard!$R$6,IF(AND($I258="Base",$E258="Gold"),Dashboard!$R$7,VLOOKUP($I258,Dashboard!$Q$16:$R$21,2,FALSE)))))*VLOOKUP($I258,Dashboard!$Q$9:$R$13,2,FALSE)*IF(AND($I258="Auto",$F258="",OR($B258="Autographs Duals",$B258="Autographs Triples",$B258="Autographs Quads",$B258="Autographs Quads (Inscribed)")),IF($B258="Autographs Duals",2,IF($B258="Autographs Triples",3,4)),1)))</f>
        <v>2.5</v>
      </c>
      <c r="AB258" s="62">
        <f t="shared" ref="AB258:AB321" si="63">IF($L258=1,$AA258,0)</f>
        <v>2.5</v>
      </c>
      <c r="AC258" s="62">
        <f t="shared" ref="AC258:AC321" si="64">IF($M258=1,$AA258,0)</f>
        <v>0</v>
      </c>
    </row>
    <row r="259" spans="1:29" ht="42.95" customHeight="1" x14ac:dyDescent="0.25">
      <c r="A259" s="4" t="s">
        <v>17</v>
      </c>
      <c r="B259" s="7" t="s">
        <v>65</v>
      </c>
      <c r="C259" s="2" t="s">
        <v>1457</v>
      </c>
      <c r="D259" s="7" t="s">
        <v>957</v>
      </c>
      <c r="E259" s="4" t="s">
        <v>778</v>
      </c>
      <c r="F259" s="2">
        <v>399</v>
      </c>
      <c r="G259" s="2" t="s">
        <v>1399</v>
      </c>
      <c r="H259" s="2" t="s">
        <v>1400</v>
      </c>
      <c r="I259" s="4" t="s">
        <v>60</v>
      </c>
      <c r="J259" s="112">
        <f>IF($H259&lt;&gt;"Y",0,ROUND(MIN(Dashboard!$R$24,IF(IFERROR(VLOOKUP($B259,Dashboard!$Q$28:$S$60,2,FALSE),0)&gt;0,IFERROR(VLOOKUP($B259,Dashboard!$Q$28:$S$60,2,FALSE),0),$Z259*IF($U259&lt;&gt;"",ROUND((Dashboard!$R$4/$U259)*VLOOKUP($I259,Dashboard!$Q$9:$R$13,2,FALSE)*IF(ISNUMBER(SEARCH("Duals",$B259)),2,IF(ISNUMBER(SEARCH("Triples",$B259)),3,IF(ISNUMBER(SEARCH("Quads",$B259)),4,1))),2),ROUND(VLOOKUP($I259,Dashboard!$Q$15:$R$20,2,FALSE)*IF($E259="Red",Dashboard!$R$6,IF($E259="Gold",Dashboard!$R$7,Dashboard!$R$5))*IF(ISNUMBER(SEARCH("Duals",$B259)),2,IF(ISNUMBER(SEARCH("Triples",$B259)),3,IF(ISNUMBER(SEARCH("Quads",$B259)),4,1))),2))*IF(IFERROR(VLOOKUP($B259,Dashboard!$Q$28:$S$60,3,FALSE),0)&gt;0,VLOOKUP($B259,Dashboard!$Q$28:$S$60,3,FALSE),1))),0))</f>
        <v>3</v>
      </c>
      <c r="K259" s="2" t="str">
        <f>IF('Base S1'!F59="","",'Base S1'!F59)</f>
        <v>V</v>
      </c>
      <c r="L259" s="2">
        <f t="shared" si="52"/>
        <v>1</v>
      </c>
      <c r="M259" s="2">
        <f t="shared" si="53"/>
        <v>0</v>
      </c>
      <c r="N259" s="2">
        <f t="shared" si="54"/>
        <v>1</v>
      </c>
      <c r="O259" s="2">
        <f t="shared" si="55"/>
        <v>0</v>
      </c>
      <c r="P259" s="112">
        <f t="shared" si="56"/>
        <v>3</v>
      </c>
      <c r="Q259" s="112">
        <f t="shared" si="57"/>
        <v>0</v>
      </c>
      <c r="R259" s="53"/>
      <c r="S259" s="53" t="str">
        <f t="shared" si="58"/>
        <v>Base S1|Compound V Parallel - Season 1|58|Compound V</v>
      </c>
      <c r="T259" s="57" t="str">
        <f>IF($S259="","",IFERROR(VLOOKUP($S259,'Pop Estimates (Non-#d)'!$N$2:$O$500,2,FALSE),""))</f>
        <v/>
      </c>
      <c r="U259" s="57">
        <f t="shared" si="59"/>
        <v>399</v>
      </c>
      <c r="V259" s="53" t="str">
        <f t="shared" si="60"/>
        <v/>
      </c>
      <c r="W259" s="53" t="str">
        <f t="shared" si="61"/>
        <v/>
      </c>
      <c r="X259" s="53" t="str">
        <f t="shared" si="62"/>
        <v/>
      </c>
      <c r="Y259" s="57" t="str">
        <f>IF($X259="","",IFERROR(VLOOKUP($X259,'Char Popularity'!$A$2:$C$500,2,FALSE),""))</f>
        <v/>
      </c>
      <c r="Z259" s="56">
        <f>IF($X259="",1,IFERROR(VLOOKUP($X259,'Char Popularity'!$A$2:$C$500,3,FALSE),1))</f>
        <v>1</v>
      </c>
      <c r="AA259" s="62">
        <f>IF($H259&lt;&gt;"Y",0,(IF($F259&lt;&gt;"",ROUND(Dashboard!$R$4/$F259,1),IF(AND($I259="Base",$E259="Base"),Dashboard!$R$5,IF(AND($I259="Base",$E259="Red"),Dashboard!$R$6,IF(AND($I259="Base",$E259="Gold"),Dashboard!$R$7,VLOOKUP($I259,Dashboard!$Q$16:$R$21,2,FALSE)))))*VLOOKUP($I259,Dashboard!$Q$9:$R$13,2,FALSE)*IF(AND($I259="Auto",$F259="",OR($B259="Autographs Duals",$B259="Autographs Triples",$B259="Autographs Quads",$B259="Autographs Quads (Inscribed)")),IF($B259="Autographs Duals",2,IF($B259="Autographs Triples",3,4)),1)))</f>
        <v>2.5</v>
      </c>
      <c r="AB259" s="62">
        <f t="shared" si="63"/>
        <v>2.5</v>
      </c>
      <c r="AC259" s="62">
        <f t="shared" si="64"/>
        <v>0</v>
      </c>
    </row>
    <row r="260" spans="1:29" ht="42.95" customHeight="1" x14ac:dyDescent="0.25">
      <c r="A260" s="4" t="s">
        <v>17</v>
      </c>
      <c r="B260" s="7" t="s">
        <v>65</v>
      </c>
      <c r="C260" s="2" t="s">
        <v>1458</v>
      </c>
      <c r="D260" s="7" t="s">
        <v>960</v>
      </c>
      <c r="E260" s="4" t="s">
        <v>778</v>
      </c>
      <c r="F260" s="2">
        <v>399</v>
      </c>
      <c r="G260" s="2" t="s">
        <v>1399</v>
      </c>
      <c r="H260" s="2" t="s">
        <v>1400</v>
      </c>
      <c r="I260" s="4" t="s">
        <v>60</v>
      </c>
      <c r="J260" s="112">
        <f>IF($H260&lt;&gt;"Y",0,ROUND(MIN(Dashboard!$R$24,IF(IFERROR(VLOOKUP($B260,Dashboard!$Q$28:$S$60,2,FALSE),0)&gt;0,IFERROR(VLOOKUP($B260,Dashboard!$Q$28:$S$60,2,FALSE),0),$Z260*IF($U260&lt;&gt;"",ROUND((Dashboard!$R$4/$U260)*VLOOKUP($I260,Dashboard!$Q$9:$R$13,2,FALSE)*IF(ISNUMBER(SEARCH("Duals",$B260)),2,IF(ISNUMBER(SEARCH("Triples",$B260)),3,IF(ISNUMBER(SEARCH("Quads",$B260)),4,1))),2),ROUND(VLOOKUP($I260,Dashboard!$Q$15:$R$20,2,FALSE)*IF($E260="Red",Dashboard!$R$6,IF($E260="Gold",Dashboard!$R$7,Dashboard!$R$5))*IF(ISNUMBER(SEARCH("Duals",$B260)),2,IF(ISNUMBER(SEARCH("Triples",$B260)),3,IF(ISNUMBER(SEARCH("Quads",$B260)),4,1))),2))*IF(IFERROR(VLOOKUP($B260,Dashboard!$Q$28:$S$60,3,FALSE),0)&gt;0,VLOOKUP($B260,Dashboard!$Q$28:$S$60,3,FALSE),1))),0))</f>
        <v>3</v>
      </c>
      <c r="K260" s="2" t="str">
        <f>IF('Base S1'!F60="","",'Base S1'!F60)</f>
        <v>V</v>
      </c>
      <c r="L260" s="2">
        <f t="shared" si="52"/>
        <v>1</v>
      </c>
      <c r="M260" s="2">
        <f t="shared" si="53"/>
        <v>0</v>
      </c>
      <c r="N260" s="2">
        <f t="shared" si="54"/>
        <v>1</v>
      </c>
      <c r="O260" s="2">
        <f t="shared" si="55"/>
        <v>0</v>
      </c>
      <c r="P260" s="112">
        <f t="shared" si="56"/>
        <v>3</v>
      </c>
      <c r="Q260" s="112">
        <f t="shared" si="57"/>
        <v>0</v>
      </c>
      <c r="R260" s="53"/>
      <c r="S260" s="53" t="str">
        <f t="shared" si="58"/>
        <v>Base S1|Compound V Parallel - Season 1|59|Compound V</v>
      </c>
      <c r="T260" s="57" t="str">
        <f>IF($S260="","",IFERROR(VLOOKUP($S260,'Pop Estimates (Non-#d)'!$N$2:$O$500,2,FALSE),""))</f>
        <v/>
      </c>
      <c r="U260" s="57">
        <f t="shared" si="59"/>
        <v>399</v>
      </c>
      <c r="V260" s="53" t="str">
        <f t="shared" si="60"/>
        <v/>
      </c>
      <c r="W260" s="53" t="str">
        <f t="shared" si="61"/>
        <v/>
      </c>
      <c r="X260" s="53" t="str">
        <f t="shared" si="62"/>
        <v/>
      </c>
      <c r="Y260" s="57" t="str">
        <f>IF($X260="","",IFERROR(VLOOKUP($X260,'Char Popularity'!$A$2:$C$500,2,FALSE),""))</f>
        <v/>
      </c>
      <c r="Z260" s="56">
        <f>IF($X260="",1,IFERROR(VLOOKUP($X260,'Char Popularity'!$A$2:$C$500,3,FALSE),1))</f>
        <v>1</v>
      </c>
      <c r="AA260" s="62">
        <f>IF($H260&lt;&gt;"Y",0,(IF($F260&lt;&gt;"",ROUND(Dashboard!$R$4/$F260,1),IF(AND($I260="Base",$E260="Base"),Dashboard!$R$5,IF(AND($I260="Base",$E260="Red"),Dashboard!$R$6,IF(AND($I260="Base",$E260="Gold"),Dashboard!$R$7,VLOOKUP($I260,Dashboard!$Q$16:$R$21,2,FALSE)))))*VLOOKUP($I260,Dashboard!$Q$9:$R$13,2,FALSE)*IF(AND($I260="Auto",$F260="",OR($B260="Autographs Duals",$B260="Autographs Triples",$B260="Autographs Quads",$B260="Autographs Quads (Inscribed)")),IF($B260="Autographs Duals",2,IF($B260="Autographs Triples",3,4)),1)))</f>
        <v>2.5</v>
      </c>
      <c r="AB260" s="62">
        <f t="shared" si="63"/>
        <v>2.5</v>
      </c>
      <c r="AC260" s="62">
        <f t="shared" si="64"/>
        <v>0</v>
      </c>
    </row>
    <row r="261" spans="1:29" ht="42.95" customHeight="1" x14ac:dyDescent="0.25">
      <c r="A261" s="4" t="s">
        <v>17</v>
      </c>
      <c r="B261" s="7" t="s">
        <v>65</v>
      </c>
      <c r="C261" s="2" t="s">
        <v>1459</v>
      </c>
      <c r="D261" s="7" t="s">
        <v>961</v>
      </c>
      <c r="E261" s="4" t="s">
        <v>778</v>
      </c>
      <c r="F261" s="2">
        <v>399</v>
      </c>
      <c r="G261" s="2" t="s">
        <v>1399</v>
      </c>
      <c r="H261" s="2" t="s">
        <v>1400</v>
      </c>
      <c r="I261" s="4" t="s">
        <v>60</v>
      </c>
      <c r="J261" s="112">
        <f>IF($H261&lt;&gt;"Y",0,ROUND(MIN(Dashboard!$R$24,IF(IFERROR(VLOOKUP($B261,Dashboard!$Q$28:$S$60,2,FALSE),0)&gt;0,IFERROR(VLOOKUP($B261,Dashboard!$Q$28:$S$60,2,FALSE),0),$Z261*IF($U261&lt;&gt;"",ROUND((Dashboard!$R$4/$U261)*VLOOKUP($I261,Dashboard!$Q$9:$R$13,2,FALSE)*IF(ISNUMBER(SEARCH("Duals",$B261)),2,IF(ISNUMBER(SEARCH("Triples",$B261)),3,IF(ISNUMBER(SEARCH("Quads",$B261)),4,1))),2),ROUND(VLOOKUP($I261,Dashboard!$Q$15:$R$20,2,FALSE)*IF($E261="Red",Dashboard!$R$6,IF($E261="Gold",Dashboard!$R$7,Dashboard!$R$5))*IF(ISNUMBER(SEARCH("Duals",$B261)),2,IF(ISNUMBER(SEARCH("Triples",$B261)),3,IF(ISNUMBER(SEARCH("Quads",$B261)),4,1))),2))*IF(IFERROR(VLOOKUP($B261,Dashboard!$Q$28:$S$60,3,FALSE),0)&gt;0,VLOOKUP($B261,Dashboard!$Q$28:$S$60,3,FALSE),1))),0))</f>
        <v>3</v>
      </c>
      <c r="K261" s="2" t="str">
        <f>IF('Base S1'!F61="","",'Base S1'!F61)</f>
        <v>V</v>
      </c>
      <c r="L261" s="2">
        <f t="shared" si="52"/>
        <v>1</v>
      </c>
      <c r="M261" s="2">
        <f t="shared" si="53"/>
        <v>0</v>
      </c>
      <c r="N261" s="2">
        <f t="shared" si="54"/>
        <v>1</v>
      </c>
      <c r="O261" s="2">
        <f t="shared" si="55"/>
        <v>0</v>
      </c>
      <c r="P261" s="112">
        <f t="shared" si="56"/>
        <v>3</v>
      </c>
      <c r="Q261" s="112">
        <f t="shared" si="57"/>
        <v>0</v>
      </c>
      <c r="R261" s="53"/>
      <c r="S261" s="53" t="str">
        <f t="shared" si="58"/>
        <v>Base S1|Compound V Parallel - Season 1|60|Compound V</v>
      </c>
      <c r="T261" s="57" t="str">
        <f>IF($S261="","",IFERROR(VLOOKUP($S261,'Pop Estimates (Non-#d)'!$N$2:$O$500,2,FALSE),""))</f>
        <v/>
      </c>
      <c r="U261" s="57">
        <f t="shared" si="59"/>
        <v>399</v>
      </c>
      <c r="V261" s="53" t="str">
        <f t="shared" si="60"/>
        <v/>
      </c>
      <c r="W261" s="53" t="str">
        <f t="shared" si="61"/>
        <v/>
      </c>
      <c r="X261" s="53" t="str">
        <f t="shared" si="62"/>
        <v/>
      </c>
      <c r="Y261" s="57" t="str">
        <f>IF($X261="","",IFERROR(VLOOKUP($X261,'Char Popularity'!$A$2:$C$500,2,FALSE),""))</f>
        <v/>
      </c>
      <c r="Z261" s="56">
        <f>IF($X261="",1,IFERROR(VLOOKUP($X261,'Char Popularity'!$A$2:$C$500,3,FALSE),1))</f>
        <v>1</v>
      </c>
      <c r="AA261" s="62">
        <f>IF($H261&lt;&gt;"Y",0,(IF($F261&lt;&gt;"",ROUND(Dashboard!$R$4/$F261,1),IF(AND($I261="Base",$E261="Base"),Dashboard!$R$5,IF(AND($I261="Base",$E261="Red"),Dashboard!$R$6,IF(AND($I261="Base",$E261="Gold"),Dashboard!$R$7,VLOOKUP($I261,Dashboard!$Q$16:$R$21,2,FALSE)))))*VLOOKUP($I261,Dashboard!$Q$9:$R$13,2,FALSE)*IF(AND($I261="Auto",$F261="",OR($B261="Autographs Duals",$B261="Autographs Triples",$B261="Autographs Quads",$B261="Autographs Quads (Inscribed)")),IF($B261="Autographs Duals",2,IF($B261="Autographs Triples",3,4)),1)))</f>
        <v>2.5</v>
      </c>
      <c r="AB261" s="62">
        <f t="shared" si="63"/>
        <v>2.5</v>
      </c>
      <c r="AC261" s="62">
        <f t="shared" si="64"/>
        <v>0</v>
      </c>
    </row>
    <row r="262" spans="1:29" ht="42.95" customHeight="1" x14ac:dyDescent="0.25">
      <c r="A262" s="4" t="s">
        <v>17</v>
      </c>
      <c r="B262" s="7" t="s">
        <v>65</v>
      </c>
      <c r="C262" s="2" t="s">
        <v>1460</v>
      </c>
      <c r="D262" s="7" t="s">
        <v>962</v>
      </c>
      <c r="E262" s="4" t="s">
        <v>778</v>
      </c>
      <c r="F262" s="2">
        <v>399</v>
      </c>
      <c r="G262" s="2" t="s">
        <v>1399</v>
      </c>
      <c r="H262" s="2" t="s">
        <v>1400</v>
      </c>
      <c r="I262" s="4" t="s">
        <v>60</v>
      </c>
      <c r="J262" s="112">
        <f>IF($H262&lt;&gt;"Y",0,ROUND(MIN(Dashboard!$R$24,IF(IFERROR(VLOOKUP($B262,Dashboard!$Q$28:$S$60,2,FALSE),0)&gt;0,IFERROR(VLOOKUP($B262,Dashboard!$Q$28:$S$60,2,FALSE),0),$Z262*IF($U262&lt;&gt;"",ROUND((Dashboard!$R$4/$U262)*VLOOKUP($I262,Dashboard!$Q$9:$R$13,2,FALSE)*IF(ISNUMBER(SEARCH("Duals",$B262)),2,IF(ISNUMBER(SEARCH("Triples",$B262)),3,IF(ISNUMBER(SEARCH("Quads",$B262)),4,1))),2),ROUND(VLOOKUP($I262,Dashboard!$Q$15:$R$20,2,FALSE)*IF($E262="Red",Dashboard!$R$6,IF($E262="Gold",Dashboard!$R$7,Dashboard!$R$5))*IF(ISNUMBER(SEARCH("Duals",$B262)),2,IF(ISNUMBER(SEARCH("Triples",$B262)),3,IF(ISNUMBER(SEARCH("Quads",$B262)),4,1))),2))*IF(IFERROR(VLOOKUP($B262,Dashboard!$Q$28:$S$60,3,FALSE),0)&gt;0,VLOOKUP($B262,Dashboard!$Q$28:$S$60,3,FALSE),1))),0))</f>
        <v>3</v>
      </c>
      <c r="K262" s="2" t="str">
        <f>IF('Base S1'!F62="","",'Base S1'!F62)</f>
        <v>C</v>
      </c>
      <c r="L262" s="2">
        <f t="shared" si="52"/>
        <v>1</v>
      </c>
      <c r="M262" s="2">
        <f t="shared" si="53"/>
        <v>0</v>
      </c>
      <c r="N262" s="2">
        <f t="shared" si="54"/>
        <v>1</v>
      </c>
      <c r="O262" s="2">
        <f t="shared" si="55"/>
        <v>0</v>
      </c>
      <c r="P262" s="112">
        <f t="shared" si="56"/>
        <v>3</v>
      </c>
      <c r="Q262" s="112">
        <f t="shared" si="57"/>
        <v>0</v>
      </c>
      <c r="R262" s="53"/>
      <c r="S262" s="53" t="str">
        <f t="shared" si="58"/>
        <v>Base S1|Compound V Parallel - Season 1|61|Compound V</v>
      </c>
      <c r="T262" s="57" t="str">
        <f>IF($S262="","",IFERROR(VLOOKUP($S262,'Pop Estimates (Non-#d)'!$N$2:$O$500,2,FALSE),""))</f>
        <v/>
      </c>
      <c r="U262" s="57">
        <f t="shared" si="59"/>
        <v>399</v>
      </c>
      <c r="V262" s="53" t="str">
        <f t="shared" si="60"/>
        <v/>
      </c>
      <c r="W262" s="53" t="str">
        <f t="shared" si="61"/>
        <v/>
      </c>
      <c r="X262" s="53" t="str">
        <f t="shared" si="62"/>
        <v/>
      </c>
      <c r="Y262" s="57" t="str">
        <f>IF($X262="","",IFERROR(VLOOKUP($X262,'Char Popularity'!$A$2:$C$500,2,FALSE),""))</f>
        <v/>
      </c>
      <c r="Z262" s="56">
        <f>IF($X262="",1,IFERROR(VLOOKUP($X262,'Char Popularity'!$A$2:$C$500,3,FALSE),1))</f>
        <v>1</v>
      </c>
      <c r="AA262" s="62">
        <f>IF($H262&lt;&gt;"Y",0,(IF($F262&lt;&gt;"",ROUND(Dashboard!$R$4/$F262,1),IF(AND($I262="Base",$E262="Base"),Dashboard!$R$5,IF(AND($I262="Base",$E262="Red"),Dashboard!$R$6,IF(AND($I262="Base",$E262="Gold"),Dashboard!$R$7,VLOOKUP($I262,Dashboard!$Q$16:$R$21,2,FALSE)))))*VLOOKUP($I262,Dashboard!$Q$9:$R$13,2,FALSE)*IF(AND($I262="Auto",$F262="",OR($B262="Autographs Duals",$B262="Autographs Triples",$B262="Autographs Quads",$B262="Autographs Quads (Inscribed)")),IF($B262="Autographs Duals",2,IF($B262="Autographs Triples",3,4)),1)))</f>
        <v>2.5</v>
      </c>
      <c r="AB262" s="62">
        <f t="shared" si="63"/>
        <v>2.5</v>
      </c>
      <c r="AC262" s="62">
        <f t="shared" si="64"/>
        <v>0</v>
      </c>
    </row>
    <row r="263" spans="1:29" ht="42.95" customHeight="1" x14ac:dyDescent="0.25">
      <c r="A263" s="4" t="s">
        <v>17</v>
      </c>
      <c r="B263" s="7" t="s">
        <v>65</v>
      </c>
      <c r="C263" s="2" t="s">
        <v>1461</v>
      </c>
      <c r="D263" s="7" t="s">
        <v>963</v>
      </c>
      <c r="E263" s="4" t="s">
        <v>778</v>
      </c>
      <c r="F263" s="2">
        <v>399</v>
      </c>
      <c r="G263" s="2" t="s">
        <v>1399</v>
      </c>
      <c r="H263" s="2" t="s">
        <v>1400</v>
      </c>
      <c r="I263" s="4" t="s">
        <v>60</v>
      </c>
      <c r="J263" s="112">
        <f>IF($H263&lt;&gt;"Y",0,ROUND(MIN(Dashboard!$R$24,IF(IFERROR(VLOOKUP($B263,Dashboard!$Q$28:$S$60,2,FALSE),0)&gt;0,IFERROR(VLOOKUP($B263,Dashboard!$Q$28:$S$60,2,FALSE),0),$Z263*IF($U263&lt;&gt;"",ROUND((Dashboard!$R$4/$U263)*VLOOKUP($I263,Dashboard!$Q$9:$R$13,2,FALSE)*IF(ISNUMBER(SEARCH("Duals",$B263)),2,IF(ISNUMBER(SEARCH("Triples",$B263)),3,IF(ISNUMBER(SEARCH("Quads",$B263)),4,1))),2),ROUND(VLOOKUP($I263,Dashboard!$Q$15:$R$20,2,FALSE)*IF($E263="Red",Dashboard!$R$6,IF($E263="Gold",Dashboard!$R$7,Dashboard!$R$5))*IF(ISNUMBER(SEARCH("Duals",$B263)),2,IF(ISNUMBER(SEARCH("Triples",$B263)),3,IF(ISNUMBER(SEARCH("Quads",$B263)),4,1))),2))*IF(IFERROR(VLOOKUP($B263,Dashboard!$Q$28:$S$60,3,FALSE),0)&gt;0,VLOOKUP($B263,Dashboard!$Q$28:$S$60,3,FALSE),1))),0))</f>
        <v>3</v>
      </c>
      <c r="K263" s="2" t="str">
        <f>IF('Base S1'!F63="","",'Base S1'!F63)</f>
        <v>C</v>
      </c>
      <c r="L263" s="2">
        <f t="shared" si="52"/>
        <v>1</v>
      </c>
      <c r="M263" s="2">
        <f t="shared" si="53"/>
        <v>0</v>
      </c>
      <c r="N263" s="2">
        <f t="shared" si="54"/>
        <v>1</v>
      </c>
      <c r="O263" s="2">
        <f t="shared" si="55"/>
        <v>0</v>
      </c>
      <c r="P263" s="112">
        <f t="shared" si="56"/>
        <v>3</v>
      </c>
      <c r="Q263" s="112">
        <f t="shared" si="57"/>
        <v>0</v>
      </c>
      <c r="R263" s="53"/>
      <c r="S263" s="53" t="str">
        <f t="shared" si="58"/>
        <v>Base S1|Compound V Parallel - Season 1|62|Compound V</v>
      </c>
      <c r="T263" s="57" t="str">
        <f>IF($S263="","",IFERROR(VLOOKUP($S263,'Pop Estimates (Non-#d)'!$N$2:$O$500,2,FALSE),""))</f>
        <v/>
      </c>
      <c r="U263" s="57">
        <f t="shared" si="59"/>
        <v>399</v>
      </c>
      <c r="V263" s="53" t="str">
        <f t="shared" si="60"/>
        <v/>
      </c>
      <c r="W263" s="53" t="str">
        <f t="shared" si="61"/>
        <v/>
      </c>
      <c r="X263" s="53" t="str">
        <f t="shared" si="62"/>
        <v/>
      </c>
      <c r="Y263" s="57" t="str">
        <f>IF($X263="","",IFERROR(VLOOKUP($X263,'Char Popularity'!$A$2:$C$500,2,FALSE),""))</f>
        <v/>
      </c>
      <c r="Z263" s="56">
        <f>IF($X263="",1,IFERROR(VLOOKUP($X263,'Char Popularity'!$A$2:$C$500,3,FALSE),1))</f>
        <v>1</v>
      </c>
      <c r="AA263" s="62">
        <f>IF($H263&lt;&gt;"Y",0,(IF($F263&lt;&gt;"",ROUND(Dashboard!$R$4/$F263,1),IF(AND($I263="Base",$E263="Base"),Dashboard!$R$5,IF(AND($I263="Base",$E263="Red"),Dashboard!$R$6,IF(AND($I263="Base",$E263="Gold"),Dashboard!$R$7,VLOOKUP($I263,Dashboard!$Q$16:$R$21,2,FALSE)))))*VLOOKUP($I263,Dashboard!$Q$9:$R$13,2,FALSE)*IF(AND($I263="Auto",$F263="",OR($B263="Autographs Duals",$B263="Autographs Triples",$B263="Autographs Quads",$B263="Autographs Quads (Inscribed)")),IF($B263="Autographs Duals",2,IF($B263="Autographs Triples",3,4)),1)))</f>
        <v>2.5</v>
      </c>
      <c r="AB263" s="62">
        <f t="shared" si="63"/>
        <v>2.5</v>
      </c>
      <c r="AC263" s="62">
        <f t="shared" si="64"/>
        <v>0</v>
      </c>
    </row>
    <row r="264" spans="1:29" ht="42.95" customHeight="1" x14ac:dyDescent="0.25">
      <c r="A264" s="4" t="s">
        <v>17</v>
      </c>
      <c r="B264" s="7" t="s">
        <v>65</v>
      </c>
      <c r="C264" s="2" t="s">
        <v>1462</v>
      </c>
      <c r="D264" s="7" t="s">
        <v>966</v>
      </c>
      <c r="E264" s="4" t="s">
        <v>778</v>
      </c>
      <c r="F264" s="2">
        <v>399</v>
      </c>
      <c r="G264" s="2" t="s">
        <v>1399</v>
      </c>
      <c r="H264" s="2" t="s">
        <v>1400</v>
      </c>
      <c r="I264" s="4" t="s">
        <v>60</v>
      </c>
      <c r="J264" s="112">
        <f>IF($H264&lt;&gt;"Y",0,ROUND(MIN(Dashboard!$R$24,IF(IFERROR(VLOOKUP($B264,Dashboard!$Q$28:$S$60,2,FALSE),0)&gt;0,IFERROR(VLOOKUP($B264,Dashboard!$Q$28:$S$60,2,FALSE),0),$Z264*IF($U264&lt;&gt;"",ROUND((Dashboard!$R$4/$U264)*VLOOKUP($I264,Dashboard!$Q$9:$R$13,2,FALSE)*IF(ISNUMBER(SEARCH("Duals",$B264)),2,IF(ISNUMBER(SEARCH("Triples",$B264)),3,IF(ISNUMBER(SEARCH("Quads",$B264)),4,1))),2),ROUND(VLOOKUP($I264,Dashboard!$Q$15:$R$20,2,FALSE)*IF($E264="Red",Dashboard!$R$6,IF($E264="Gold",Dashboard!$R$7,Dashboard!$R$5))*IF(ISNUMBER(SEARCH("Duals",$B264)),2,IF(ISNUMBER(SEARCH("Triples",$B264)),3,IF(ISNUMBER(SEARCH("Quads",$B264)),4,1))),2))*IF(IFERROR(VLOOKUP($B264,Dashboard!$Q$28:$S$60,3,FALSE),0)&gt;0,VLOOKUP($B264,Dashboard!$Q$28:$S$60,3,FALSE),1))),0))</f>
        <v>3</v>
      </c>
      <c r="K264" s="2" t="str">
        <f>IF('Base S1'!F64="","",'Base S1'!F64)</f>
        <v>C</v>
      </c>
      <c r="L264" s="2">
        <f t="shared" si="52"/>
        <v>1</v>
      </c>
      <c r="M264" s="2">
        <f t="shared" si="53"/>
        <v>0</v>
      </c>
      <c r="N264" s="2">
        <f t="shared" si="54"/>
        <v>1</v>
      </c>
      <c r="O264" s="2">
        <f t="shared" si="55"/>
        <v>0</v>
      </c>
      <c r="P264" s="112">
        <f t="shared" si="56"/>
        <v>3</v>
      </c>
      <c r="Q264" s="112">
        <f t="shared" si="57"/>
        <v>0</v>
      </c>
      <c r="R264" s="53"/>
      <c r="S264" s="53" t="str">
        <f t="shared" si="58"/>
        <v>Base S1|Compound V Parallel - Season 1|63|Compound V</v>
      </c>
      <c r="T264" s="57" t="str">
        <f>IF($S264="","",IFERROR(VLOOKUP($S264,'Pop Estimates (Non-#d)'!$N$2:$O$500,2,FALSE),""))</f>
        <v/>
      </c>
      <c r="U264" s="57">
        <f t="shared" si="59"/>
        <v>399</v>
      </c>
      <c r="V264" s="53" t="str">
        <f t="shared" si="60"/>
        <v/>
      </c>
      <c r="W264" s="53" t="str">
        <f t="shared" si="61"/>
        <v/>
      </c>
      <c r="X264" s="53" t="str">
        <f t="shared" si="62"/>
        <v/>
      </c>
      <c r="Y264" s="57" t="str">
        <f>IF($X264="","",IFERROR(VLOOKUP($X264,'Char Popularity'!$A$2:$C$500,2,FALSE),""))</f>
        <v/>
      </c>
      <c r="Z264" s="56">
        <f>IF($X264="",1,IFERROR(VLOOKUP($X264,'Char Popularity'!$A$2:$C$500,3,FALSE),1))</f>
        <v>1</v>
      </c>
      <c r="AA264" s="62">
        <f>IF($H264&lt;&gt;"Y",0,(IF($F264&lt;&gt;"",ROUND(Dashboard!$R$4/$F264,1),IF(AND($I264="Base",$E264="Base"),Dashboard!$R$5,IF(AND($I264="Base",$E264="Red"),Dashboard!$R$6,IF(AND($I264="Base",$E264="Gold"),Dashboard!$R$7,VLOOKUP($I264,Dashboard!$Q$16:$R$21,2,FALSE)))))*VLOOKUP($I264,Dashboard!$Q$9:$R$13,2,FALSE)*IF(AND($I264="Auto",$F264="",OR($B264="Autographs Duals",$B264="Autographs Triples",$B264="Autographs Quads",$B264="Autographs Quads (Inscribed)")),IF($B264="Autographs Duals",2,IF($B264="Autographs Triples",3,4)),1)))</f>
        <v>2.5</v>
      </c>
      <c r="AB264" s="62">
        <f t="shared" si="63"/>
        <v>2.5</v>
      </c>
      <c r="AC264" s="62">
        <f t="shared" si="64"/>
        <v>0</v>
      </c>
    </row>
    <row r="265" spans="1:29" ht="42.95" customHeight="1" x14ac:dyDescent="0.25">
      <c r="A265" s="4" t="s">
        <v>17</v>
      </c>
      <c r="B265" s="7" t="s">
        <v>65</v>
      </c>
      <c r="C265" s="2" t="s">
        <v>1463</v>
      </c>
      <c r="D265" s="7" t="s">
        <v>968</v>
      </c>
      <c r="E265" s="4" t="s">
        <v>778</v>
      </c>
      <c r="F265" s="2">
        <v>399</v>
      </c>
      <c r="G265" s="2" t="s">
        <v>1399</v>
      </c>
      <c r="H265" s="2" t="s">
        <v>1400</v>
      </c>
      <c r="I265" s="4" t="s">
        <v>60</v>
      </c>
      <c r="J265" s="112">
        <f>IF($H265&lt;&gt;"Y",0,ROUND(MIN(Dashboard!$R$24,IF(IFERROR(VLOOKUP($B265,Dashboard!$Q$28:$S$60,2,FALSE),0)&gt;0,IFERROR(VLOOKUP($B265,Dashboard!$Q$28:$S$60,2,FALSE),0),$Z265*IF($U265&lt;&gt;"",ROUND((Dashboard!$R$4/$U265)*VLOOKUP($I265,Dashboard!$Q$9:$R$13,2,FALSE)*IF(ISNUMBER(SEARCH("Duals",$B265)),2,IF(ISNUMBER(SEARCH("Triples",$B265)),3,IF(ISNUMBER(SEARCH("Quads",$B265)),4,1))),2),ROUND(VLOOKUP($I265,Dashboard!$Q$15:$R$20,2,FALSE)*IF($E265="Red",Dashboard!$R$6,IF($E265="Gold",Dashboard!$R$7,Dashboard!$R$5))*IF(ISNUMBER(SEARCH("Duals",$B265)),2,IF(ISNUMBER(SEARCH("Triples",$B265)),3,IF(ISNUMBER(SEARCH("Quads",$B265)),4,1))),2))*IF(IFERROR(VLOOKUP($B265,Dashboard!$Q$28:$S$60,3,FALSE),0)&gt;0,VLOOKUP($B265,Dashboard!$Q$28:$S$60,3,FALSE),1))),0))</f>
        <v>3</v>
      </c>
      <c r="K265" s="2" t="str">
        <f>IF('Base S1'!F65="","",'Base S1'!F65)</f>
        <v>V</v>
      </c>
      <c r="L265" s="2">
        <f t="shared" si="52"/>
        <v>1</v>
      </c>
      <c r="M265" s="2">
        <f t="shared" si="53"/>
        <v>0</v>
      </c>
      <c r="N265" s="2">
        <f t="shared" si="54"/>
        <v>1</v>
      </c>
      <c r="O265" s="2">
        <f t="shared" si="55"/>
        <v>0</v>
      </c>
      <c r="P265" s="112">
        <f t="shared" si="56"/>
        <v>3</v>
      </c>
      <c r="Q265" s="112">
        <f t="shared" si="57"/>
        <v>0</v>
      </c>
      <c r="R265" s="53"/>
      <c r="S265" s="53" t="str">
        <f t="shared" si="58"/>
        <v>Base S1|Compound V Parallel - Season 1|64|Compound V</v>
      </c>
      <c r="T265" s="57" t="str">
        <f>IF($S265="","",IFERROR(VLOOKUP($S265,'Pop Estimates (Non-#d)'!$N$2:$O$500,2,FALSE),""))</f>
        <v/>
      </c>
      <c r="U265" s="57">
        <f t="shared" si="59"/>
        <v>399</v>
      </c>
      <c r="V265" s="53" t="str">
        <f t="shared" si="60"/>
        <v/>
      </c>
      <c r="W265" s="53" t="str">
        <f t="shared" si="61"/>
        <v/>
      </c>
      <c r="X265" s="53" t="str">
        <f t="shared" si="62"/>
        <v/>
      </c>
      <c r="Y265" s="57" t="str">
        <f>IF($X265="","",IFERROR(VLOOKUP($X265,'Char Popularity'!$A$2:$C$500,2,FALSE),""))</f>
        <v/>
      </c>
      <c r="Z265" s="56">
        <f>IF($X265="",1,IFERROR(VLOOKUP($X265,'Char Popularity'!$A$2:$C$500,3,FALSE),1))</f>
        <v>1</v>
      </c>
      <c r="AA265" s="62">
        <f>IF($H265&lt;&gt;"Y",0,(IF($F265&lt;&gt;"",ROUND(Dashboard!$R$4/$F265,1),IF(AND($I265="Base",$E265="Base"),Dashboard!$R$5,IF(AND($I265="Base",$E265="Red"),Dashboard!$R$6,IF(AND($I265="Base",$E265="Gold"),Dashboard!$R$7,VLOOKUP($I265,Dashboard!$Q$16:$R$21,2,FALSE)))))*VLOOKUP($I265,Dashboard!$Q$9:$R$13,2,FALSE)*IF(AND($I265="Auto",$F265="",OR($B265="Autographs Duals",$B265="Autographs Triples",$B265="Autographs Quads",$B265="Autographs Quads (Inscribed)")),IF($B265="Autographs Duals",2,IF($B265="Autographs Triples",3,4)),1)))</f>
        <v>2.5</v>
      </c>
      <c r="AB265" s="62">
        <f t="shared" si="63"/>
        <v>2.5</v>
      </c>
      <c r="AC265" s="62">
        <f t="shared" si="64"/>
        <v>0</v>
      </c>
    </row>
    <row r="266" spans="1:29" ht="42.95" customHeight="1" x14ac:dyDescent="0.25">
      <c r="A266" s="4" t="s">
        <v>17</v>
      </c>
      <c r="B266" s="7" t="s">
        <v>65</v>
      </c>
      <c r="C266" s="2" t="s">
        <v>1464</v>
      </c>
      <c r="D266" s="7" t="s">
        <v>971</v>
      </c>
      <c r="E266" s="4" t="s">
        <v>778</v>
      </c>
      <c r="F266" s="2">
        <v>399</v>
      </c>
      <c r="G266" s="2" t="s">
        <v>1399</v>
      </c>
      <c r="H266" s="2" t="s">
        <v>1400</v>
      </c>
      <c r="I266" s="4" t="s">
        <v>60</v>
      </c>
      <c r="J266" s="112">
        <f>IF($H266&lt;&gt;"Y",0,ROUND(MIN(Dashboard!$R$24,IF(IFERROR(VLOOKUP($B266,Dashboard!$Q$28:$S$60,2,FALSE),0)&gt;0,IFERROR(VLOOKUP($B266,Dashboard!$Q$28:$S$60,2,FALSE),0),$Z266*IF($U266&lt;&gt;"",ROUND((Dashboard!$R$4/$U266)*VLOOKUP($I266,Dashboard!$Q$9:$R$13,2,FALSE)*IF(ISNUMBER(SEARCH("Duals",$B266)),2,IF(ISNUMBER(SEARCH("Triples",$B266)),3,IF(ISNUMBER(SEARCH("Quads",$B266)),4,1))),2),ROUND(VLOOKUP($I266,Dashboard!$Q$15:$R$20,2,FALSE)*IF($E266="Red",Dashboard!$R$6,IF($E266="Gold",Dashboard!$R$7,Dashboard!$R$5))*IF(ISNUMBER(SEARCH("Duals",$B266)),2,IF(ISNUMBER(SEARCH("Triples",$B266)),3,IF(ISNUMBER(SEARCH("Quads",$B266)),4,1))),2))*IF(IFERROR(VLOOKUP($B266,Dashboard!$Q$28:$S$60,3,FALSE),0)&gt;0,VLOOKUP($B266,Dashboard!$Q$28:$S$60,3,FALSE),1))),0))</f>
        <v>3</v>
      </c>
      <c r="K266" s="2" t="str">
        <f>IF('Base S1'!F66="","",'Base S1'!F66)</f>
        <v>V</v>
      </c>
      <c r="L266" s="2">
        <f t="shared" si="52"/>
        <v>1</v>
      </c>
      <c r="M266" s="2">
        <f t="shared" si="53"/>
        <v>0</v>
      </c>
      <c r="N266" s="2">
        <f t="shared" si="54"/>
        <v>1</v>
      </c>
      <c r="O266" s="2">
        <f t="shared" si="55"/>
        <v>0</v>
      </c>
      <c r="P266" s="112">
        <f t="shared" si="56"/>
        <v>3</v>
      </c>
      <c r="Q266" s="112">
        <f t="shared" si="57"/>
        <v>0</v>
      </c>
      <c r="R266" s="53"/>
      <c r="S266" s="53" t="str">
        <f t="shared" si="58"/>
        <v>Base S1|Compound V Parallel - Season 1|65|Compound V</v>
      </c>
      <c r="T266" s="57" t="str">
        <f>IF($S266="","",IFERROR(VLOOKUP($S266,'Pop Estimates (Non-#d)'!$N$2:$O$500,2,FALSE),""))</f>
        <v/>
      </c>
      <c r="U266" s="57">
        <f t="shared" si="59"/>
        <v>399</v>
      </c>
      <c r="V266" s="53" t="str">
        <f t="shared" si="60"/>
        <v/>
      </c>
      <c r="W266" s="53" t="str">
        <f t="shared" si="61"/>
        <v/>
      </c>
      <c r="X266" s="53" t="str">
        <f t="shared" si="62"/>
        <v/>
      </c>
      <c r="Y266" s="57" t="str">
        <f>IF($X266="","",IFERROR(VLOOKUP($X266,'Char Popularity'!$A$2:$C$500,2,FALSE),""))</f>
        <v/>
      </c>
      <c r="Z266" s="56">
        <f>IF($X266="",1,IFERROR(VLOOKUP($X266,'Char Popularity'!$A$2:$C$500,3,FALSE),1))</f>
        <v>1</v>
      </c>
      <c r="AA266" s="62">
        <f>IF($H266&lt;&gt;"Y",0,(IF($F266&lt;&gt;"",ROUND(Dashboard!$R$4/$F266,1),IF(AND($I266="Base",$E266="Base"),Dashboard!$R$5,IF(AND($I266="Base",$E266="Red"),Dashboard!$R$6,IF(AND($I266="Base",$E266="Gold"),Dashboard!$R$7,VLOOKUP($I266,Dashboard!$Q$16:$R$21,2,FALSE)))))*VLOOKUP($I266,Dashboard!$Q$9:$R$13,2,FALSE)*IF(AND($I266="Auto",$F266="",OR($B266="Autographs Duals",$B266="Autographs Triples",$B266="Autographs Quads",$B266="Autographs Quads (Inscribed)")),IF($B266="Autographs Duals",2,IF($B266="Autographs Triples",3,4)),1)))</f>
        <v>2.5</v>
      </c>
      <c r="AB266" s="62">
        <f t="shared" si="63"/>
        <v>2.5</v>
      </c>
      <c r="AC266" s="62">
        <f t="shared" si="64"/>
        <v>0</v>
      </c>
    </row>
    <row r="267" spans="1:29" ht="42.95" customHeight="1" x14ac:dyDescent="0.25">
      <c r="A267" s="4" t="s">
        <v>17</v>
      </c>
      <c r="B267" s="7" t="s">
        <v>65</v>
      </c>
      <c r="C267" s="2" t="s">
        <v>1465</v>
      </c>
      <c r="D267" s="7" t="s">
        <v>973</v>
      </c>
      <c r="E267" s="4" t="s">
        <v>778</v>
      </c>
      <c r="F267" s="2">
        <v>399</v>
      </c>
      <c r="G267" s="2" t="s">
        <v>1399</v>
      </c>
      <c r="H267" s="2" t="s">
        <v>1400</v>
      </c>
      <c r="I267" s="4" t="s">
        <v>60</v>
      </c>
      <c r="J267" s="112">
        <f>IF($H267&lt;&gt;"Y",0,ROUND(MIN(Dashboard!$R$24,IF(IFERROR(VLOOKUP($B267,Dashboard!$Q$28:$S$60,2,FALSE),0)&gt;0,IFERROR(VLOOKUP($B267,Dashboard!$Q$28:$S$60,2,FALSE),0),$Z267*IF($U267&lt;&gt;"",ROUND((Dashboard!$R$4/$U267)*VLOOKUP($I267,Dashboard!$Q$9:$R$13,2,FALSE)*IF(ISNUMBER(SEARCH("Duals",$B267)),2,IF(ISNUMBER(SEARCH("Triples",$B267)),3,IF(ISNUMBER(SEARCH("Quads",$B267)),4,1))),2),ROUND(VLOOKUP($I267,Dashboard!$Q$15:$R$20,2,FALSE)*IF($E267="Red",Dashboard!$R$6,IF($E267="Gold",Dashboard!$R$7,Dashboard!$R$5))*IF(ISNUMBER(SEARCH("Duals",$B267)),2,IF(ISNUMBER(SEARCH("Triples",$B267)),3,IF(ISNUMBER(SEARCH("Quads",$B267)),4,1))),2))*IF(IFERROR(VLOOKUP($B267,Dashboard!$Q$28:$S$60,3,FALSE),0)&gt;0,VLOOKUP($B267,Dashboard!$Q$28:$S$60,3,FALSE),1))),0))</f>
        <v>3</v>
      </c>
      <c r="K267" s="2" t="str">
        <f>IF('Base S1'!F67="","",'Base S1'!F67)</f>
        <v>V</v>
      </c>
      <c r="L267" s="2">
        <f t="shared" si="52"/>
        <v>1</v>
      </c>
      <c r="M267" s="2">
        <f t="shared" si="53"/>
        <v>0</v>
      </c>
      <c r="N267" s="2">
        <f t="shared" si="54"/>
        <v>1</v>
      </c>
      <c r="O267" s="2">
        <f t="shared" si="55"/>
        <v>0</v>
      </c>
      <c r="P267" s="112">
        <f t="shared" si="56"/>
        <v>3</v>
      </c>
      <c r="Q267" s="112">
        <f t="shared" si="57"/>
        <v>0</v>
      </c>
      <c r="R267" s="53"/>
      <c r="S267" s="53" t="str">
        <f t="shared" si="58"/>
        <v>Base S1|Compound V Parallel - Season 1|66|Compound V</v>
      </c>
      <c r="T267" s="57" t="str">
        <f>IF($S267="","",IFERROR(VLOOKUP($S267,'Pop Estimates (Non-#d)'!$N$2:$O$500,2,FALSE),""))</f>
        <v/>
      </c>
      <c r="U267" s="57">
        <f t="shared" si="59"/>
        <v>399</v>
      </c>
      <c r="V267" s="53" t="str">
        <f t="shared" si="60"/>
        <v/>
      </c>
      <c r="W267" s="53" t="str">
        <f t="shared" si="61"/>
        <v/>
      </c>
      <c r="X267" s="53" t="str">
        <f t="shared" si="62"/>
        <v/>
      </c>
      <c r="Y267" s="57" t="str">
        <f>IF($X267="","",IFERROR(VLOOKUP($X267,'Char Popularity'!$A$2:$C$500,2,FALSE),""))</f>
        <v/>
      </c>
      <c r="Z267" s="56">
        <f>IF($X267="",1,IFERROR(VLOOKUP($X267,'Char Popularity'!$A$2:$C$500,3,FALSE),1))</f>
        <v>1</v>
      </c>
      <c r="AA267" s="62">
        <f>IF($H267&lt;&gt;"Y",0,(IF($F267&lt;&gt;"",ROUND(Dashboard!$R$4/$F267,1),IF(AND($I267="Base",$E267="Base"),Dashboard!$R$5,IF(AND($I267="Base",$E267="Red"),Dashboard!$R$6,IF(AND($I267="Base",$E267="Gold"),Dashboard!$R$7,VLOOKUP($I267,Dashboard!$Q$16:$R$21,2,FALSE)))))*VLOOKUP($I267,Dashboard!$Q$9:$R$13,2,FALSE)*IF(AND($I267="Auto",$F267="",OR($B267="Autographs Duals",$B267="Autographs Triples",$B267="Autographs Quads",$B267="Autographs Quads (Inscribed)")),IF($B267="Autographs Duals",2,IF($B267="Autographs Triples",3,4)),1)))</f>
        <v>2.5</v>
      </c>
      <c r="AB267" s="62">
        <f t="shared" si="63"/>
        <v>2.5</v>
      </c>
      <c r="AC267" s="62">
        <f t="shared" si="64"/>
        <v>0</v>
      </c>
    </row>
    <row r="268" spans="1:29" ht="42.95" customHeight="1" x14ac:dyDescent="0.25">
      <c r="A268" s="4" t="s">
        <v>17</v>
      </c>
      <c r="B268" s="7" t="s">
        <v>65</v>
      </c>
      <c r="C268" s="2" t="s">
        <v>1466</v>
      </c>
      <c r="D268" s="7" t="s">
        <v>974</v>
      </c>
      <c r="E268" s="4" t="s">
        <v>778</v>
      </c>
      <c r="F268" s="2">
        <v>399</v>
      </c>
      <c r="G268" s="2" t="s">
        <v>1399</v>
      </c>
      <c r="H268" s="2" t="s">
        <v>1400</v>
      </c>
      <c r="I268" s="4" t="s">
        <v>60</v>
      </c>
      <c r="J268" s="112">
        <f>IF($H268&lt;&gt;"Y",0,ROUND(MIN(Dashboard!$R$24,IF(IFERROR(VLOOKUP($B268,Dashboard!$Q$28:$S$60,2,FALSE),0)&gt;0,IFERROR(VLOOKUP($B268,Dashboard!$Q$28:$S$60,2,FALSE),0),$Z268*IF($U268&lt;&gt;"",ROUND((Dashboard!$R$4/$U268)*VLOOKUP($I268,Dashboard!$Q$9:$R$13,2,FALSE)*IF(ISNUMBER(SEARCH("Duals",$B268)),2,IF(ISNUMBER(SEARCH("Triples",$B268)),3,IF(ISNUMBER(SEARCH("Quads",$B268)),4,1))),2),ROUND(VLOOKUP($I268,Dashboard!$Q$15:$R$20,2,FALSE)*IF($E268="Red",Dashboard!$R$6,IF($E268="Gold",Dashboard!$R$7,Dashboard!$R$5))*IF(ISNUMBER(SEARCH("Duals",$B268)),2,IF(ISNUMBER(SEARCH("Triples",$B268)),3,IF(ISNUMBER(SEARCH("Quads",$B268)),4,1))),2))*IF(IFERROR(VLOOKUP($B268,Dashboard!$Q$28:$S$60,3,FALSE),0)&gt;0,VLOOKUP($B268,Dashboard!$Q$28:$S$60,3,FALSE),1))),0))</f>
        <v>3</v>
      </c>
      <c r="K268" s="2" t="str">
        <f>IF('Base S1'!F68="","",'Base S1'!F68)</f>
        <v>V</v>
      </c>
      <c r="L268" s="2">
        <f t="shared" si="52"/>
        <v>1</v>
      </c>
      <c r="M268" s="2">
        <f t="shared" si="53"/>
        <v>0</v>
      </c>
      <c r="N268" s="2">
        <f t="shared" si="54"/>
        <v>1</v>
      </c>
      <c r="O268" s="2">
        <f t="shared" si="55"/>
        <v>0</v>
      </c>
      <c r="P268" s="112">
        <f t="shared" si="56"/>
        <v>3</v>
      </c>
      <c r="Q268" s="112">
        <f t="shared" si="57"/>
        <v>0</v>
      </c>
      <c r="R268" s="53"/>
      <c r="S268" s="53" t="str">
        <f t="shared" si="58"/>
        <v>Base S1|Compound V Parallel - Season 1|67|Compound V</v>
      </c>
      <c r="T268" s="57" t="str">
        <f>IF($S268="","",IFERROR(VLOOKUP($S268,'Pop Estimates (Non-#d)'!$N$2:$O$500,2,FALSE),""))</f>
        <v/>
      </c>
      <c r="U268" s="57">
        <f t="shared" si="59"/>
        <v>399</v>
      </c>
      <c r="V268" s="53" t="str">
        <f t="shared" si="60"/>
        <v/>
      </c>
      <c r="W268" s="53" t="str">
        <f t="shared" si="61"/>
        <v/>
      </c>
      <c r="X268" s="53" t="str">
        <f t="shared" si="62"/>
        <v/>
      </c>
      <c r="Y268" s="57" t="str">
        <f>IF($X268="","",IFERROR(VLOOKUP($X268,'Char Popularity'!$A$2:$C$500,2,FALSE),""))</f>
        <v/>
      </c>
      <c r="Z268" s="56">
        <f>IF($X268="",1,IFERROR(VLOOKUP($X268,'Char Popularity'!$A$2:$C$500,3,FALSE),1))</f>
        <v>1</v>
      </c>
      <c r="AA268" s="62">
        <f>IF($H268&lt;&gt;"Y",0,(IF($F268&lt;&gt;"",ROUND(Dashboard!$R$4/$F268,1),IF(AND($I268="Base",$E268="Base"),Dashboard!$R$5,IF(AND($I268="Base",$E268="Red"),Dashboard!$R$6,IF(AND($I268="Base",$E268="Gold"),Dashboard!$R$7,VLOOKUP($I268,Dashboard!$Q$16:$R$21,2,FALSE)))))*VLOOKUP($I268,Dashboard!$Q$9:$R$13,2,FALSE)*IF(AND($I268="Auto",$F268="",OR($B268="Autographs Duals",$B268="Autographs Triples",$B268="Autographs Quads",$B268="Autographs Quads (Inscribed)")),IF($B268="Autographs Duals",2,IF($B268="Autographs Triples",3,4)),1)))</f>
        <v>2.5</v>
      </c>
      <c r="AB268" s="62">
        <f t="shared" si="63"/>
        <v>2.5</v>
      </c>
      <c r="AC268" s="62">
        <f t="shared" si="64"/>
        <v>0</v>
      </c>
    </row>
    <row r="269" spans="1:29" ht="42.95" customHeight="1" x14ac:dyDescent="0.25">
      <c r="A269" s="4" t="s">
        <v>17</v>
      </c>
      <c r="B269" s="7" t="s">
        <v>65</v>
      </c>
      <c r="C269" s="2" t="s">
        <v>1467</v>
      </c>
      <c r="D269" s="7" t="s">
        <v>977</v>
      </c>
      <c r="E269" s="4" t="s">
        <v>778</v>
      </c>
      <c r="F269" s="2">
        <v>399</v>
      </c>
      <c r="G269" s="2" t="s">
        <v>1399</v>
      </c>
      <c r="H269" s="2" t="s">
        <v>1400</v>
      </c>
      <c r="I269" s="4" t="s">
        <v>60</v>
      </c>
      <c r="J269" s="112">
        <f>IF($H269&lt;&gt;"Y",0,ROUND(MIN(Dashboard!$R$24,IF(IFERROR(VLOOKUP($B269,Dashboard!$Q$28:$S$60,2,FALSE),0)&gt;0,IFERROR(VLOOKUP($B269,Dashboard!$Q$28:$S$60,2,FALSE),0),$Z269*IF($U269&lt;&gt;"",ROUND((Dashboard!$R$4/$U269)*VLOOKUP($I269,Dashboard!$Q$9:$R$13,2,FALSE)*IF(ISNUMBER(SEARCH("Duals",$B269)),2,IF(ISNUMBER(SEARCH("Triples",$B269)),3,IF(ISNUMBER(SEARCH("Quads",$B269)),4,1))),2),ROUND(VLOOKUP($I269,Dashboard!$Q$15:$R$20,2,FALSE)*IF($E269="Red",Dashboard!$R$6,IF($E269="Gold",Dashboard!$R$7,Dashboard!$R$5))*IF(ISNUMBER(SEARCH("Duals",$B269)),2,IF(ISNUMBER(SEARCH("Triples",$B269)),3,IF(ISNUMBER(SEARCH("Quads",$B269)),4,1))),2))*IF(IFERROR(VLOOKUP($B269,Dashboard!$Q$28:$S$60,3,FALSE),0)&gt;0,VLOOKUP($B269,Dashboard!$Q$28:$S$60,3,FALSE),1))),0))</f>
        <v>3</v>
      </c>
      <c r="K269" s="2" t="str">
        <f>IF('Base S1'!F69="","",'Base S1'!F69)</f>
        <v>C</v>
      </c>
      <c r="L269" s="2">
        <f t="shared" si="52"/>
        <v>1</v>
      </c>
      <c r="M269" s="2">
        <f t="shared" si="53"/>
        <v>0</v>
      </c>
      <c r="N269" s="2">
        <f t="shared" si="54"/>
        <v>1</v>
      </c>
      <c r="O269" s="2">
        <f t="shared" si="55"/>
        <v>0</v>
      </c>
      <c r="P269" s="112">
        <f t="shared" si="56"/>
        <v>3</v>
      </c>
      <c r="Q269" s="112">
        <f t="shared" si="57"/>
        <v>0</v>
      </c>
      <c r="R269" s="53"/>
      <c r="S269" s="53" t="str">
        <f t="shared" si="58"/>
        <v>Base S1|Compound V Parallel - Season 1|68|Compound V</v>
      </c>
      <c r="T269" s="57" t="str">
        <f>IF($S269="","",IFERROR(VLOOKUP($S269,'Pop Estimates (Non-#d)'!$N$2:$O$500,2,FALSE),""))</f>
        <v/>
      </c>
      <c r="U269" s="57">
        <f t="shared" si="59"/>
        <v>399</v>
      </c>
      <c r="V269" s="53" t="str">
        <f t="shared" si="60"/>
        <v/>
      </c>
      <c r="W269" s="53" t="str">
        <f t="shared" si="61"/>
        <v/>
      </c>
      <c r="X269" s="53" t="str">
        <f t="shared" si="62"/>
        <v/>
      </c>
      <c r="Y269" s="57" t="str">
        <f>IF($X269="","",IFERROR(VLOOKUP($X269,'Char Popularity'!$A$2:$C$500,2,FALSE),""))</f>
        <v/>
      </c>
      <c r="Z269" s="56">
        <f>IF($X269="",1,IFERROR(VLOOKUP($X269,'Char Popularity'!$A$2:$C$500,3,FALSE),1))</f>
        <v>1</v>
      </c>
      <c r="AA269" s="62">
        <f>IF($H269&lt;&gt;"Y",0,(IF($F269&lt;&gt;"",ROUND(Dashboard!$R$4/$F269,1),IF(AND($I269="Base",$E269="Base"),Dashboard!$R$5,IF(AND($I269="Base",$E269="Red"),Dashboard!$R$6,IF(AND($I269="Base",$E269="Gold"),Dashboard!$R$7,VLOOKUP($I269,Dashboard!$Q$16:$R$21,2,FALSE)))))*VLOOKUP($I269,Dashboard!$Q$9:$R$13,2,FALSE)*IF(AND($I269="Auto",$F269="",OR($B269="Autographs Duals",$B269="Autographs Triples",$B269="Autographs Quads",$B269="Autographs Quads (Inscribed)")),IF($B269="Autographs Duals",2,IF($B269="Autographs Triples",3,4)),1)))</f>
        <v>2.5</v>
      </c>
      <c r="AB269" s="62">
        <f t="shared" si="63"/>
        <v>2.5</v>
      </c>
      <c r="AC269" s="62">
        <f t="shared" si="64"/>
        <v>0</v>
      </c>
    </row>
    <row r="270" spans="1:29" ht="42.95" customHeight="1" x14ac:dyDescent="0.25">
      <c r="A270" s="4" t="s">
        <v>17</v>
      </c>
      <c r="B270" s="7" t="s">
        <v>65</v>
      </c>
      <c r="C270" s="2" t="s">
        <v>1468</v>
      </c>
      <c r="D270" s="7" t="s">
        <v>979</v>
      </c>
      <c r="E270" s="4" t="s">
        <v>778</v>
      </c>
      <c r="F270" s="2">
        <v>399</v>
      </c>
      <c r="G270" s="2" t="s">
        <v>1399</v>
      </c>
      <c r="H270" s="2" t="s">
        <v>1400</v>
      </c>
      <c r="I270" s="4" t="s">
        <v>60</v>
      </c>
      <c r="J270" s="112">
        <f>IF($H270&lt;&gt;"Y",0,ROUND(MIN(Dashboard!$R$24,IF(IFERROR(VLOOKUP($B270,Dashboard!$Q$28:$S$60,2,FALSE),0)&gt;0,IFERROR(VLOOKUP($B270,Dashboard!$Q$28:$S$60,2,FALSE),0),$Z270*IF($U270&lt;&gt;"",ROUND((Dashboard!$R$4/$U270)*VLOOKUP($I270,Dashboard!$Q$9:$R$13,2,FALSE)*IF(ISNUMBER(SEARCH("Duals",$B270)),2,IF(ISNUMBER(SEARCH("Triples",$B270)),3,IF(ISNUMBER(SEARCH("Quads",$B270)),4,1))),2),ROUND(VLOOKUP($I270,Dashboard!$Q$15:$R$20,2,FALSE)*IF($E270="Red",Dashboard!$R$6,IF($E270="Gold",Dashboard!$R$7,Dashboard!$R$5))*IF(ISNUMBER(SEARCH("Duals",$B270)),2,IF(ISNUMBER(SEARCH("Triples",$B270)),3,IF(ISNUMBER(SEARCH("Quads",$B270)),4,1))),2))*IF(IFERROR(VLOOKUP($B270,Dashboard!$Q$28:$S$60,3,FALSE),0)&gt;0,VLOOKUP($B270,Dashboard!$Q$28:$S$60,3,FALSE),1))),0))</f>
        <v>3</v>
      </c>
      <c r="K270" s="2" t="str">
        <f>IF('Base S1'!F70="","",'Base S1'!F70)</f>
        <v>C</v>
      </c>
      <c r="L270" s="2">
        <f t="shared" si="52"/>
        <v>1</v>
      </c>
      <c r="M270" s="2">
        <f t="shared" si="53"/>
        <v>0</v>
      </c>
      <c r="N270" s="2">
        <f t="shared" si="54"/>
        <v>1</v>
      </c>
      <c r="O270" s="2">
        <f t="shared" si="55"/>
        <v>0</v>
      </c>
      <c r="P270" s="112">
        <f t="shared" si="56"/>
        <v>3</v>
      </c>
      <c r="Q270" s="112">
        <f t="shared" si="57"/>
        <v>0</v>
      </c>
      <c r="R270" s="53"/>
      <c r="S270" s="53" t="str">
        <f t="shared" si="58"/>
        <v>Base S1|Compound V Parallel - Season 1|69|Compound V</v>
      </c>
      <c r="T270" s="57" t="str">
        <f>IF($S270="","",IFERROR(VLOOKUP($S270,'Pop Estimates (Non-#d)'!$N$2:$O$500,2,FALSE),""))</f>
        <v/>
      </c>
      <c r="U270" s="57">
        <f t="shared" si="59"/>
        <v>399</v>
      </c>
      <c r="V270" s="53" t="str">
        <f t="shared" si="60"/>
        <v/>
      </c>
      <c r="W270" s="53" t="str">
        <f t="shared" si="61"/>
        <v/>
      </c>
      <c r="X270" s="53" t="str">
        <f t="shared" si="62"/>
        <v/>
      </c>
      <c r="Y270" s="57" t="str">
        <f>IF($X270="","",IFERROR(VLOOKUP($X270,'Char Popularity'!$A$2:$C$500,2,FALSE),""))</f>
        <v/>
      </c>
      <c r="Z270" s="56">
        <f>IF($X270="",1,IFERROR(VLOOKUP($X270,'Char Popularity'!$A$2:$C$500,3,FALSE),1))</f>
        <v>1</v>
      </c>
      <c r="AA270" s="62">
        <f>IF($H270&lt;&gt;"Y",0,(IF($F270&lt;&gt;"",ROUND(Dashboard!$R$4/$F270,1),IF(AND($I270="Base",$E270="Base"),Dashboard!$R$5,IF(AND($I270="Base",$E270="Red"),Dashboard!$R$6,IF(AND($I270="Base",$E270="Gold"),Dashboard!$R$7,VLOOKUP($I270,Dashboard!$Q$16:$R$21,2,FALSE)))))*VLOOKUP($I270,Dashboard!$Q$9:$R$13,2,FALSE)*IF(AND($I270="Auto",$F270="",OR($B270="Autographs Duals",$B270="Autographs Triples",$B270="Autographs Quads",$B270="Autographs Quads (Inscribed)")),IF($B270="Autographs Duals",2,IF($B270="Autographs Triples",3,4)),1)))</f>
        <v>2.5</v>
      </c>
      <c r="AB270" s="62">
        <f t="shared" si="63"/>
        <v>2.5</v>
      </c>
      <c r="AC270" s="62">
        <f t="shared" si="64"/>
        <v>0</v>
      </c>
    </row>
    <row r="271" spans="1:29" ht="42.95" customHeight="1" x14ac:dyDescent="0.25">
      <c r="A271" s="4" t="s">
        <v>17</v>
      </c>
      <c r="B271" s="7" t="s">
        <v>65</v>
      </c>
      <c r="C271" s="2" t="s">
        <v>1469</v>
      </c>
      <c r="D271" s="7" t="s">
        <v>980</v>
      </c>
      <c r="E271" s="4" t="s">
        <v>778</v>
      </c>
      <c r="F271" s="2">
        <v>399</v>
      </c>
      <c r="G271" s="2" t="s">
        <v>1399</v>
      </c>
      <c r="H271" s="2" t="s">
        <v>1400</v>
      </c>
      <c r="I271" s="4" t="s">
        <v>60</v>
      </c>
      <c r="J271" s="112">
        <f>IF($H271&lt;&gt;"Y",0,ROUND(MIN(Dashboard!$R$24,IF(IFERROR(VLOOKUP($B271,Dashboard!$Q$28:$S$60,2,FALSE),0)&gt;0,IFERROR(VLOOKUP($B271,Dashboard!$Q$28:$S$60,2,FALSE),0),$Z271*IF($U271&lt;&gt;"",ROUND((Dashboard!$R$4/$U271)*VLOOKUP($I271,Dashboard!$Q$9:$R$13,2,FALSE)*IF(ISNUMBER(SEARCH("Duals",$B271)),2,IF(ISNUMBER(SEARCH("Triples",$B271)),3,IF(ISNUMBER(SEARCH("Quads",$B271)),4,1))),2),ROUND(VLOOKUP($I271,Dashboard!$Q$15:$R$20,2,FALSE)*IF($E271="Red",Dashboard!$R$6,IF($E271="Gold",Dashboard!$R$7,Dashboard!$R$5))*IF(ISNUMBER(SEARCH("Duals",$B271)),2,IF(ISNUMBER(SEARCH("Triples",$B271)),3,IF(ISNUMBER(SEARCH("Quads",$B271)),4,1))),2))*IF(IFERROR(VLOOKUP($B271,Dashboard!$Q$28:$S$60,3,FALSE),0)&gt;0,VLOOKUP($B271,Dashboard!$Q$28:$S$60,3,FALSE),1))),0))</f>
        <v>3</v>
      </c>
      <c r="K271" s="2" t="str">
        <f>IF('Base S1'!F71="","",'Base S1'!F71)</f>
        <v>C</v>
      </c>
      <c r="L271" s="2">
        <f t="shared" si="52"/>
        <v>1</v>
      </c>
      <c r="M271" s="2">
        <f t="shared" si="53"/>
        <v>0</v>
      </c>
      <c r="N271" s="2">
        <f t="shared" si="54"/>
        <v>1</v>
      </c>
      <c r="O271" s="2">
        <f t="shared" si="55"/>
        <v>0</v>
      </c>
      <c r="P271" s="112">
        <f t="shared" si="56"/>
        <v>3</v>
      </c>
      <c r="Q271" s="112">
        <f t="shared" si="57"/>
        <v>0</v>
      </c>
      <c r="R271" s="53"/>
      <c r="S271" s="53" t="str">
        <f t="shared" si="58"/>
        <v>Base S1|Compound V Parallel - Season 1|70|Compound V</v>
      </c>
      <c r="T271" s="57" t="str">
        <f>IF($S271="","",IFERROR(VLOOKUP($S271,'Pop Estimates (Non-#d)'!$N$2:$O$500,2,FALSE),""))</f>
        <v/>
      </c>
      <c r="U271" s="57">
        <f t="shared" si="59"/>
        <v>399</v>
      </c>
      <c r="V271" s="53" t="str">
        <f t="shared" si="60"/>
        <v/>
      </c>
      <c r="W271" s="53" t="str">
        <f t="shared" si="61"/>
        <v/>
      </c>
      <c r="X271" s="53" t="str">
        <f t="shared" si="62"/>
        <v/>
      </c>
      <c r="Y271" s="57" t="str">
        <f>IF($X271="","",IFERROR(VLOOKUP($X271,'Char Popularity'!$A$2:$C$500,2,FALSE),""))</f>
        <v/>
      </c>
      <c r="Z271" s="56">
        <f>IF($X271="",1,IFERROR(VLOOKUP($X271,'Char Popularity'!$A$2:$C$500,3,FALSE),1))</f>
        <v>1</v>
      </c>
      <c r="AA271" s="62">
        <f>IF($H271&lt;&gt;"Y",0,(IF($F271&lt;&gt;"",ROUND(Dashboard!$R$4/$F271,1),IF(AND($I271="Base",$E271="Base"),Dashboard!$R$5,IF(AND($I271="Base",$E271="Red"),Dashboard!$R$6,IF(AND($I271="Base",$E271="Gold"),Dashboard!$R$7,VLOOKUP($I271,Dashboard!$Q$16:$R$21,2,FALSE)))))*VLOOKUP($I271,Dashboard!$Q$9:$R$13,2,FALSE)*IF(AND($I271="Auto",$F271="",OR($B271="Autographs Duals",$B271="Autographs Triples",$B271="Autographs Quads",$B271="Autographs Quads (Inscribed)")),IF($B271="Autographs Duals",2,IF($B271="Autographs Triples",3,4)),1)))</f>
        <v>2.5</v>
      </c>
      <c r="AB271" s="62">
        <f t="shared" si="63"/>
        <v>2.5</v>
      </c>
      <c r="AC271" s="62">
        <f t="shared" si="64"/>
        <v>0</v>
      </c>
    </row>
    <row r="272" spans="1:29" ht="42.95" customHeight="1" x14ac:dyDescent="0.25">
      <c r="A272" s="4" t="s">
        <v>17</v>
      </c>
      <c r="B272" s="7" t="s">
        <v>65</v>
      </c>
      <c r="C272" s="2" t="s">
        <v>1470</v>
      </c>
      <c r="D272" s="7" t="s">
        <v>981</v>
      </c>
      <c r="E272" s="4" t="s">
        <v>778</v>
      </c>
      <c r="F272" s="2">
        <v>399</v>
      </c>
      <c r="G272" s="2" t="s">
        <v>1399</v>
      </c>
      <c r="H272" s="2" t="s">
        <v>1400</v>
      </c>
      <c r="I272" s="4" t="s">
        <v>60</v>
      </c>
      <c r="J272" s="112">
        <f>IF($H272&lt;&gt;"Y",0,ROUND(MIN(Dashboard!$R$24,IF(IFERROR(VLOOKUP($B272,Dashboard!$Q$28:$S$60,2,FALSE),0)&gt;0,IFERROR(VLOOKUP($B272,Dashboard!$Q$28:$S$60,2,FALSE),0),$Z272*IF($U272&lt;&gt;"",ROUND((Dashboard!$R$4/$U272)*VLOOKUP($I272,Dashboard!$Q$9:$R$13,2,FALSE)*IF(ISNUMBER(SEARCH("Duals",$B272)),2,IF(ISNUMBER(SEARCH("Triples",$B272)),3,IF(ISNUMBER(SEARCH("Quads",$B272)),4,1))),2),ROUND(VLOOKUP($I272,Dashboard!$Q$15:$R$20,2,FALSE)*IF($E272="Red",Dashboard!$R$6,IF($E272="Gold",Dashboard!$R$7,Dashboard!$R$5))*IF(ISNUMBER(SEARCH("Duals",$B272)),2,IF(ISNUMBER(SEARCH("Triples",$B272)),3,IF(ISNUMBER(SEARCH("Quads",$B272)),4,1))),2))*IF(IFERROR(VLOOKUP($B272,Dashboard!$Q$28:$S$60,3,FALSE),0)&gt;0,VLOOKUP($B272,Dashboard!$Q$28:$S$60,3,FALSE),1))),0))</f>
        <v>3</v>
      </c>
      <c r="K272" s="2" t="str">
        <f>IF('Base S1'!F72="","",'Base S1'!F72)</f>
        <v>V</v>
      </c>
      <c r="L272" s="2">
        <f t="shared" si="52"/>
        <v>1</v>
      </c>
      <c r="M272" s="2">
        <f t="shared" si="53"/>
        <v>0</v>
      </c>
      <c r="N272" s="2">
        <f t="shared" si="54"/>
        <v>1</v>
      </c>
      <c r="O272" s="2">
        <f t="shared" si="55"/>
        <v>0</v>
      </c>
      <c r="P272" s="112">
        <f t="shared" si="56"/>
        <v>3</v>
      </c>
      <c r="Q272" s="112">
        <f t="shared" si="57"/>
        <v>0</v>
      </c>
      <c r="R272" s="53"/>
      <c r="S272" s="53" t="str">
        <f t="shared" si="58"/>
        <v>Base S1|Compound V Parallel - Season 1|71|Compound V</v>
      </c>
      <c r="T272" s="57" t="str">
        <f>IF($S272="","",IFERROR(VLOOKUP($S272,'Pop Estimates (Non-#d)'!$N$2:$O$500,2,FALSE),""))</f>
        <v/>
      </c>
      <c r="U272" s="57">
        <f t="shared" si="59"/>
        <v>399</v>
      </c>
      <c r="V272" s="53" t="str">
        <f t="shared" si="60"/>
        <v/>
      </c>
      <c r="W272" s="53" t="str">
        <f t="shared" si="61"/>
        <v/>
      </c>
      <c r="X272" s="53" t="str">
        <f t="shared" si="62"/>
        <v/>
      </c>
      <c r="Y272" s="57" t="str">
        <f>IF($X272="","",IFERROR(VLOOKUP($X272,'Char Popularity'!$A$2:$C$500,2,FALSE),""))</f>
        <v/>
      </c>
      <c r="Z272" s="56">
        <f>IF($X272="",1,IFERROR(VLOOKUP($X272,'Char Popularity'!$A$2:$C$500,3,FALSE),1))</f>
        <v>1</v>
      </c>
      <c r="AA272" s="62">
        <f>IF($H272&lt;&gt;"Y",0,(IF($F272&lt;&gt;"",ROUND(Dashboard!$R$4/$F272,1),IF(AND($I272="Base",$E272="Base"),Dashboard!$R$5,IF(AND($I272="Base",$E272="Red"),Dashboard!$R$6,IF(AND($I272="Base",$E272="Gold"),Dashboard!$R$7,VLOOKUP($I272,Dashboard!$Q$16:$R$21,2,FALSE)))))*VLOOKUP($I272,Dashboard!$Q$9:$R$13,2,FALSE)*IF(AND($I272="Auto",$F272="",OR($B272="Autographs Duals",$B272="Autographs Triples",$B272="Autographs Quads",$B272="Autographs Quads (Inscribed)")),IF($B272="Autographs Duals",2,IF($B272="Autographs Triples",3,4)),1)))</f>
        <v>2.5</v>
      </c>
      <c r="AB272" s="62">
        <f t="shared" si="63"/>
        <v>2.5</v>
      </c>
      <c r="AC272" s="62">
        <f t="shared" si="64"/>
        <v>0</v>
      </c>
    </row>
    <row r="273" spans="1:29" ht="42.95" customHeight="1" x14ac:dyDescent="0.25">
      <c r="A273" s="4" t="s">
        <v>17</v>
      </c>
      <c r="B273" s="7" t="s">
        <v>65</v>
      </c>
      <c r="C273" s="2" t="s">
        <v>1471</v>
      </c>
      <c r="D273" s="7" t="s">
        <v>983</v>
      </c>
      <c r="E273" s="4" t="s">
        <v>778</v>
      </c>
      <c r="F273" s="2">
        <v>399</v>
      </c>
      <c r="G273" s="2" t="s">
        <v>1399</v>
      </c>
      <c r="H273" s="2" t="s">
        <v>1400</v>
      </c>
      <c r="I273" s="4" t="s">
        <v>60</v>
      </c>
      <c r="J273" s="112">
        <f>IF($H273&lt;&gt;"Y",0,ROUND(MIN(Dashboard!$R$24,IF(IFERROR(VLOOKUP($B273,Dashboard!$Q$28:$S$60,2,FALSE),0)&gt;0,IFERROR(VLOOKUP($B273,Dashboard!$Q$28:$S$60,2,FALSE),0),$Z273*IF($U273&lt;&gt;"",ROUND((Dashboard!$R$4/$U273)*VLOOKUP($I273,Dashboard!$Q$9:$R$13,2,FALSE)*IF(ISNUMBER(SEARCH("Duals",$B273)),2,IF(ISNUMBER(SEARCH("Triples",$B273)),3,IF(ISNUMBER(SEARCH("Quads",$B273)),4,1))),2),ROUND(VLOOKUP($I273,Dashboard!$Q$15:$R$20,2,FALSE)*IF($E273="Red",Dashboard!$R$6,IF($E273="Gold",Dashboard!$R$7,Dashboard!$R$5))*IF(ISNUMBER(SEARCH("Duals",$B273)),2,IF(ISNUMBER(SEARCH("Triples",$B273)),3,IF(ISNUMBER(SEARCH("Quads",$B273)),4,1))),2))*IF(IFERROR(VLOOKUP($B273,Dashboard!$Q$28:$S$60,3,FALSE),0)&gt;0,VLOOKUP($B273,Dashboard!$Q$28:$S$60,3,FALSE),1))),0))</f>
        <v>3</v>
      </c>
      <c r="K273" s="2" t="str">
        <f>IF('Base S1'!F73="","",'Base S1'!F73)</f>
        <v>C</v>
      </c>
      <c r="L273" s="2">
        <f t="shared" si="52"/>
        <v>1</v>
      </c>
      <c r="M273" s="2">
        <f t="shared" si="53"/>
        <v>0</v>
      </c>
      <c r="N273" s="2">
        <f t="shared" si="54"/>
        <v>1</v>
      </c>
      <c r="O273" s="2">
        <f t="shared" si="55"/>
        <v>0</v>
      </c>
      <c r="P273" s="112">
        <f t="shared" si="56"/>
        <v>3</v>
      </c>
      <c r="Q273" s="112">
        <f t="shared" si="57"/>
        <v>0</v>
      </c>
      <c r="R273" s="53"/>
      <c r="S273" s="53" t="str">
        <f t="shared" si="58"/>
        <v>Base S1|Compound V Parallel - Season 1|72|Compound V</v>
      </c>
      <c r="T273" s="57" t="str">
        <f>IF($S273="","",IFERROR(VLOOKUP($S273,'Pop Estimates (Non-#d)'!$N$2:$O$500,2,FALSE),""))</f>
        <v/>
      </c>
      <c r="U273" s="57">
        <f t="shared" si="59"/>
        <v>399</v>
      </c>
      <c r="V273" s="53" t="str">
        <f t="shared" si="60"/>
        <v/>
      </c>
      <c r="W273" s="53" t="str">
        <f t="shared" si="61"/>
        <v/>
      </c>
      <c r="X273" s="53" t="str">
        <f t="shared" si="62"/>
        <v/>
      </c>
      <c r="Y273" s="57" t="str">
        <f>IF($X273="","",IFERROR(VLOOKUP($X273,'Char Popularity'!$A$2:$C$500,2,FALSE),""))</f>
        <v/>
      </c>
      <c r="Z273" s="56">
        <f>IF($X273="",1,IFERROR(VLOOKUP($X273,'Char Popularity'!$A$2:$C$500,3,FALSE),1))</f>
        <v>1</v>
      </c>
      <c r="AA273" s="62">
        <f>IF($H273&lt;&gt;"Y",0,(IF($F273&lt;&gt;"",ROUND(Dashboard!$R$4/$F273,1),IF(AND($I273="Base",$E273="Base"),Dashboard!$R$5,IF(AND($I273="Base",$E273="Red"),Dashboard!$R$6,IF(AND($I273="Base",$E273="Gold"),Dashboard!$R$7,VLOOKUP($I273,Dashboard!$Q$16:$R$21,2,FALSE)))))*VLOOKUP($I273,Dashboard!$Q$9:$R$13,2,FALSE)*IF(AND($I273="Auto",$F273="",OR($B273="Autographs Duals",$B273="Autographs Triples",$B273="Autographs Quads",$B273="Autographs Quads (Inscribed)")),IF($B273="Autographs Duals",2,IF($B273="Autographs Triples",3,4)),1)))</f>
        <v>2.5</v>
      </c>
      <c r="AB273" s="62">
        <f t="shared" si="63"/>
        <v>2.5</v>
      </c>
      <c r="AC273" s="62">
        <f t="shared" si="64"/>
        <v>0</v>
      </c>
    </row>
    <row r="274" spans="1:29" ht="42.95" customHeight="1" x14ac:dyDescent="0.25">
      <c r="A274" s="4" t="s">
        <v>17</v>
      </c>
      <c r="B274" s="7" t="s">
        <v>65</v>
      </c>
      <c r="C274" s="2" t="s">
        <v>1472</v>
      </c>
      <c r="D274" s="7" t="s">
        <v>985</v>
      </c>
      <c r="E274" s="4" t="s">
        <v>778</v>
      </c>
      <c r="F274" s="2">
        <v>399</v>
      </c>
      <c r="G274" s="2" t="s">
        <v>1399</v>
      </c>
      <c r="H274" s="2" t="s">
        <v>1400</v>
      </c>
      <c r="I274" s="4" t="s">
        <v>60</v>
      </c>
      <c r="J274" s="112">
        <f>IF($H274&lt;&gt;"Y",0,ROUND(MIN(Dashboard!$R$24,IF(IFERROR(VLOOKUP($B274,Dashboard!$Q$28:$S$60,2,FALSE),0)&gt;0,IFERROR(VLOOKUP($B274,Dashboard!$Q$28:$S$60,2,FALSE),0),$Z274*IF($U274&lt;&gt;"",ROUND((Dashboard!$R$4/$U274)*VLOOKUP($I274,Dashboard!$Q$9:$R$13,2,FALSE)*IF(ISNUMBER(SEARCH("Duals",$B274)),2,IF(ISNUMBER(SEARCH("Triples",$B274)),3,IF(ISNUMBER(SEARCH("Quads",$B274)),4,1))),2),ROUND(VLOOKUP($I274,Dashboard!$Q$15:$R$20,2,FALSE)*IF($E274="Red",Dashboard!$R$6,IF($E274="Gold",Dashboard!$R$7,Dashboard!$R$5))*IF(ISNUMBER(SEARCH("Duals",$B274)),2,IF(ISNUMBER(SEARCH("Triples",$B274)),3,IF(ISNUMBER(SEARCH("Quads",$B274)),4,1))),2))*IF(IFERROR(VLOOKUP($B274,Dashboard!$Q$28:$S$60,3,FALSE),0)&gt;0,VLOOKUP($B274,Dashboard!$Q$28:$S$60,3,FALSE),1))),0))</f>
        <v>3</v>
      </c>
      <c r="K274" s="2" t="str">
        <f>IF('Base S1'!F74="","",'Base S1'!F74)</f>
        <v>V</v>
      </c>
      <c r="L274" s="2">
        <f t="shared" si="52"/>
        <v>1</v>
      </c>
      <c r="M274" s="2">
        <f t="shared" si="53"/>
        <v>0</v>
      </c>
      <c r="N274" s="2">
        <f t="shared" si="54"/>
        <v>1</v>
      </c>
      <c r="O274" s="2">
        <f t="shared" si="55"/>
        <v>0</v>
      </c>
      <c r="P274" s="112">
        <f t="shared" si="56"/>
        <v>3</v>
      </c>
      <c r="Q274" s="112">
        <f t="shared" si="57"/>
        <v>0</v>
      </c>
      <c r="R274" s="53"/>
      <c r="S274" s="53" t="str">
        <f t="shared" si="58"/>
        <v>Base S1|Compound V Parallel - Season 1|73|Compound V</v>
      </c>
      <c r="T274" s="57" t="str">
        <f>IF($S274="","",IFERROR(VLOOKUP($S274,'Pop Estimates (Non-#d)'!$N$2:$O$500,2,FALSE),""))</f>
        <v/>
      </c>
      <c r="U274" s="57">
        <f t="shared" si="59"/>
        <v>399</v>
      </c>
      <c r="V274" s="53" t="str">
        <f t="shared" si="60"/>
        <v/>
      </c>
      <c r="W274" s="53" t="str">
        <f t="shared" si="61"/>
        <v/>
      </c>
      <c r="X274" s="53" t="str">
        <f t="shared" si="62"/>
        <v/>
      </c>
      <c r="Y274" s="57" t="str">
        <f>IF($X274="","",IFERROR(VLOOKUP($X274,'Char Popularity'!$A$2:$C$500,2,FALSE),""))</f>
        <v/>
      </c>
      <c r="Z274" s="56">
        <f>IF($X274="",1,IFERROR(VLOOKUP($X274,'Char Popularity'!$A$2:$C$500,3,FALSE),1))</f>
        <v>1</v>
      </c>
      <c r="AA274" s="62">
        <f>IF($H274&lt;&gt;"Y",0,(IF($F274&lt;&gt;"",ROUND(Dashboard!$R$4/$F274,1),IF(AND($I274="Base",$E274="Base"),Dashboard!$R$5,IF(AND($I274="Base",$E274="Red"),Dashboard!$R$6,IF(AND($I274="Base",$E274="Gold"),Dashboard!$R$7,VLOOKUP($I274,Dashboard!$Q$16:$R$21,2,FALSE)))))*VLOOKUP($I274,Dashboard!$Q$9:$R$13,2,FALSE)*IF(AND($I274="Auto",$F274="",OR($B274="Autographs Duals",$B274="Autographs Triples",$B274="Autographs Quads",$B274="Autographs Quads (Inscribed)")),IF($B274="Autographs Duals",2,IF($B274="Autographs Triples",3,4)),1)))</f>
        <v>2.5</v>
      </c>
      <c r="AB274" s="62">
        <f t="shared" si="63"/>
        <v>2.5</v>
      </c>
      <c r="AC274" s="62">
        <f t="shared" si="64"/>
        <v>0</v>
      </c>
    </row>
    <row r="275" spans="1:29" ht="42.95" customHeight="1" x14ac:dyDescent="0.25">
      <c r="A275" s="4" t="s">
        <v>17</v>
      </c>
      <c r="B275" s="7" t="s">
        <v>65</v>
      </c>
      <c r="C275" s="2" t="s">
        <v>1473</v>
      </c>
      <c r="D275" s="7" t="s">
        <v>987</v>
      </c>
      <c r="E275" s="4" t="s">
        <v>778</v>
      </c>
      <c r="F275" s="2">
        <v>399</v>
      </c>
      <c r="G275" s="2" t="s">
        <v>1399</v>
      </c>
      <c r="H275" s="2" t="s">
        <v>1400</v>
      </c>
      <c r="I275" s="4" t="s">
        <v>60</v>
      </c>
      <c r="J275" s="112">
        <f>IF($H275&lt;&gt;"Y",0,ROUND(MIN(Dashboard!$R$24,IF(IFERROR(VLOOKUP($B275,Dashboard!$Q$28:$S$60,2,FALSE),0)&gt;0,IFERROR(VLOOKUP($B275,Dashboard!$Q$28:$S$60,2,FALSE),0),$Z275*IF($U275&lt;&gt;"",ROUND((Dashboard!$R$4/$U275)*VLOOKUP($I275,Dashboard!$Q$9:$R$13,2,FALSE)*IF(ISNUMBER(SEARCH("Duals",$B275)),2,IF(ISNUMBER(SEARCH("Triples",$B275)),3,IF(ISNUMBER(SEARCH("Quads",$B275)),4,1))),2),ROUND(VLOOKUP($I275,Dashboard!$Q$15:$R$20,2,FALSE)*IF($E275="Red",Dashboard!$R$6,IF($E275="Gold",Dashboard!$R$7,Dashboard!$R$5))*IF(ISNUMBER(SEARCH("Duals",$B275)),2,IF(ISNUMBER(SEARCH("Triples",$B275)),3,IF(ISNUMBER(SEARCH("Quads",$B275)),4,1))),2))*IF(IFERROR(VLOOKUP($B275,Dashboard!$Q$28:$S$60,3,FALSE),0)&gt;0,VLOOKUP($B275,Dashboard!$Q$28:$S$60,3,FALSE),1))),0))</f>
        <v>3</v>
      </c>
      <c r="K275" s="2" t="str">
        <f>IF('Base S1'!F75="","",'Base S1'!F75)</f>
        <v>C</v>
      </c>
      <c r="L275" s="2">
        <f t="shared" si="52"/>
        <v>1</v>
      </c>
      <c r="M275" s="2">
        <f t="shared" si="53"/>
        <v>0</v>
      </c>
      <c r="N275" s="2">
        <f t="shared" si="54"/>
        <v>1</v>
      </c>
      <c r="O275" s="2">
        <f t="shared" si="55"/>
        <v>0</v>
      </c>
      <c r="P275" s="112">
        <f t="shared" si="56"/>
        <v>3</v>
      </c>
      <c r="Q275" s="112">
        <f t="shared" si="57"/>
        <v>0</v>
      </c>
      <c r="R275" s="53"/>
      <c r="S275" s="53" t="str">
        <f t="shared" si="58"/>
        <v>Base S1|Compound V Parallel - Season 1|74|Compound V</v>
      </c>
      <c r="T275" s="57" t="str">
        <f>IF($S275="","",IFERROR(VLOOKUP($S275,'Pop Estimates (Non-#d)'!$N$2:$O$500,2,FALSE),""))</f>
        <v/>
      </c>
      <c r="U275" s="57">
        <f t="shared" si="59"/>
        <v>399</v>
      </c>
      <c r="V275" s="53" t="str">
        <f t="shared" si="60"/>
        <v/>
      </c>
      <c r="W275" s="53" t="str">
        <f t="shared" si="61"/>
        <v/>
      </c>
      <c r="X275" s="53" t="str">
        <f t="shared" si="62"/>
        <v/>
      </c>
      <c r="Y275" s="57" t="str">
        <f>IF($X275="","",IFERROR(VLOOKUP($X275,'Char Popularity'!$A$2:$C$500,2,FALSE),""))</f>
        <v/>
      </c>
      <c r="Z275" s="56">
        <f>IF($X275="",1,IFERROR(VLOOKUP($X275,'Char Popularity'!$A$2:$C$500,3,FALSE),1))</f>
        <v>1</v>
      </c>
      <c r="AA275" s="62">
        <f>IF($H275&lt;&gt;"Y",0,(IF($F275&lt;&gt;"",ROUND(Dashboard!$R$4/$F275,1),IF(AND($I275="Base",$E275="Base"),Dashboard!$R$5,IF(AND($I275="Base",$E275="Red"),Dashboard!$R$6,IF(AND($I275="Base",$E275="Gold"),Dashboard!$R$7,VLOOKUP($I275,Dashboard!$Q$16:$R$21,2,FALSE)))))*VLOOKUP($I275,Dashboard!$Q$9:$R$13,2,FALSE)*IF(AND($I275="Auto",$F275="",OR($B275="Autographs Duals",$B275="Autographs Triples",$B275="Autographs Quads",$B275="Autographs Quads (Inscribed)")),IF($B275="Autographs Duals",2,IF($B275="Autographs Triples",3,4)),1)))</f>
        <v>2.5</v>
      </c>
      <c r="AB275" s="62">
        <f t="shared" si="63"/>
        <v>2.5</v>
      </c>
      <c r="AC275" s="62">
        <f t="shared" si="64"/>
        <v>0</v>
      </c>
    </row>
    <row r="276" spans="1:29" ht="42.95" customHeight="1" x14ac:dyDescent="0.25">
      <c r="A276" s="4" t="s">
        <v>17</v>
      </c>
      <c r="B276" s="7" t="s">
        <v>65</v>
      </c>
      <c r="C276" s="2" t="s">
        <v>1474</v>
      </c>
      <c r="D276" s="7" t="s">
        <v>989</v>
      </c>
      <c r="E276" s="4" t="s">
        <v>778</v>
      </c>
      <c r="F276" s="2">
        <v>399</v>
      </c>
      <c r="G276" s="2" t="s">
        <v>1399</v>
      </c>
      <c r="H276" s="2" t="s">
        <v>1400</v>
      </c>
      <c r="I276" s="4" t="s">
        <v>60</v>
      </c>
      <c r="J276" s="112">
        <f>IF($H276&lt;&gt;"Y",0,ROUND(MIN(Dashboard!$R$24,IF(IFERROR(VLOOKUP($B276,Dashboard!$Q$28:$S$60,2,FALSE),0)&gt;0,IFERROR(VLOOKUP($B276,Dashboard!$Q$28:$S$60,2,FALSE),0),$Z276*IF($U276&lt;&gt;"",ROUND((Dashboard!$R$4/$U276)*VLOOKUP($I276,Dashboard!$Q$9:$R$13,2,FALSE)*IF(ISNUMBER(SEARCH("Duals",$B276)),2,IF(ISNUMBER(SEARCH("Triples",$B276)),3,IF(ISNUMBER(SEARCH("Quads",$B276)),4,1))),2),ROUND(VLOOKUP($I276,Dashboard!$Q$15:$R$20,2,FALSE)*IF($E276="Red",Dashboard!$R$6,IF($E276="Gold",Dashboard!$R$7,Dashboard!$R$5))*IF(ISNUMBER(SEARCH("Duals",$B276)),2,IF(ISNUMBER(SEARCH("Triples",$B276)),3,IF(ISNUMBER(SEARCH("Quads",$B276)),4,1))),2))*IF(IFERROR(VLOOKUP($B276,Dashboard!$Q$28:$S$60,3,FALSE),0)&gt;0,VLOOKUP($B276,Dashboard!$Q$28:$S$60,3,FALSE),1))),0))</f>
        <v>3</v>
      </c>
      <c r="K276" s="2" t="str">
        <f>IF('Base S1'!F76="","",'Base S1'!F76)</f>
        <v>V</v>
      </c>
      <c r="L276" s="2">
        <f t="shared" si="52"/>
        <v>1</v>
      </c>
      <c r="M276" s="2">
        <f t="shared" si="53"/>
        <v>0</v>
      </c>
      <c r="N276" s="2">
        <f t="shared" si="54"/>
        <v>1</v>
      </c>
      <c r="O276" s="2">
        <f t="shared" si="55"/>
        <v>0</v>
      </c>
      <c r="P276" s="112">
        <f t="shared" si="56"/>
        <v>3</v>
      </c>
      <c r="Q276" s="112">
        <f t="shared" si="57"/>
        <v>0</v>
      </c>
      <c r="R276" s="53"/>
      <c r="S276" s="53" t="str">
        <f t="shared" si="58"/>
        <v>Base S1|Compound V Parallel - Season 1|75|Compound V</v>
      </c>
      <c r="T276" s="57" t="str">
        <f>IF($S276="","",IFERROR(VLOOKUP($S276,'Pop Estimates (Non-#d)'!$N$2:$O$500,2,FALSE),""))</f>
        <v/>
      </c>
      <c r="U276" s="57">
        <f t="shared" si="59"/>
        <v>399</v>
      </c>
      <c r="V276" s="53" t="str">
        <f t="shared" si="60"/>
        <v/>
      </c>
      <c r="W276" s="53" t="str">
        <f t="shared" si="61"/>
        <v/>
      </c>
      <c r="X276" s="53" t="str">
        <f t="shared" si="62"/>
        <v/>
      </c>
      <c r="Y276" s="57" t="str">
        <f>IF($X276="","",IFERROR(VLOOKUP($X276,'Char Popularity'!$A$2:$C$500,2,FALSE),""))</f>
        <v/>
      </c>
      <c r="Z276" s="56">
        <f>IF($X276="",1,IFERROR(VLOOKUP($X276,'Char Popularity'!$A$2:$C$500,3,FALSE),1))</f>
        <v>1</v>
      </c>
      <c r="AA276" s="62">
        <f>IF($H276&lt;&gt;"Y",0,(IF($F276&lt;&gt;"",ROUND(Dashboard!$R$4/$F276,1),IF(AND($I276="Base",$E276="Base"),Dashboard!$R$5,IF(AND($I276="Base",$E276="Red"),Dashboard!$R$6,IF(AND($I276="Base",$E276="Gold"),Dashboard!$R$7,VLOOKUP($I276,Dashboard!$Q$16:$R$21,2,FALSE)))))*VLOOKUP($I276,Dashboard!$Q$9:$R$13,2,FALSE)*IF(AND($I276="Auto",$F276="",OR($B276="Autographs Duals",$B276="Autographs Triples",$B276="Autographs Quads",$B276="Autographs Quads (Inscribed)")),IF($B276="Autographs Duals",2,IF($B276="Autographs Triples",3,4)),1)))</f>
        <v>2.5</v>
      </c>
      <c r="AB276" s="62">
        <f t="shared" si="63"/>
        <v>2.5</v>
      </c>
      <c r="AC276" s="62">
        <f t="shared" si="64"/>
        <v>0</v>
      </c>
    </row>
    <row r="277" spans="1:29" ht="42.95" customHeight="1" x14ac:dyDescent="0.25">
      <c r="A277" s="4" t="s">
        <v>17</v>
      </c>
      <c r="B277" s="7" t="s">
        <v>65</v>
      </c>
      <c r="C277" s="2" t="s">
        <v>1475</v>
      </c>
      <c r="D277" s="7" t="s">
        <v>991</v>
      </c>
      <c r="E277" s="4" t="s">
        <v>778</v>
      </c>
      <c r="F277" s="2">
        <v>399</v>
      </c>
      <c r="G277" s="2" t="s">
        <v>1399</v>
      </c>
      <c r="H277" s="2" t="s">
        <v>1400</v>
      </c>
      <c r="I277" s="4" t="s">
        <v>60</v>
      </c>
      <c r="J277" s="112">
        <f>IF($H277&lt;&gt;"Y",0,ROUND(MIN(Dashboard!$R$24,IF(IFERROR(VLOOKUP($B277,Dashboard!$Q$28:$S$60,2,FALSE),0)&gt;0,IFERROR(VLOOKUP($B277,Dashboard!$Q$28:$S$60,2,FALSE),0),$Z277*IF($U277&lt;&gt;"",ROUND((Dashboard!$R$4/$U277)*VLOOKUP($I277,Dashboard!$Q$9:$R$13,2,FALSE)*IF(ISNUMBER(SEARCH("Duals",$B277)),2,IF(ISNUMBER(SEARCH("Triples",$B277)),3,IF(ISNUMBER(SEARCH("Quads",$B277)),4,1))),2),ROUND(VLOOKUP($I277,Dashboard!$Q$15:$R$20,2,FALSE)*IF($E277="Red",Dashboard!$R$6,IF($E277="Gold",Dashboard!$R$7,Dashboard!$R$5))*IF(ISNUMBER(SEARCH("Duals",$B277)),2,IF(ISNUMBER(SEARCH("Triples",$B277)),3,IF(ISNUMBER(SEARCH("Quads",$B277)),4,1))),2))*IF(IFERROR(VLOOKUP($B277,Dashboard!$Q$28:$S$60,3,FALSE),0)&gt;0,VLOOKUP($B277,Dashboard!$Q$28:$S$60,3,FALSE),1))),0))</f>
        <v>3</v>
      </c>
      <c r="K277" s="2" t="str">
        <f>IF('Base S1'!F77="","",'Base S1'!F77)</f>
        <v>C</v>
      </c>
      <c r="L277" s="2">
        <f t="shared" si="52"/>
        <v>1</v>
      </c>
      <c r="M277" s="2">
        <f t="shared" si="53"/>
        <v>0</v>
      </c>
      <c r="N277" s="2">
        <f t="shared" si="54"/>
        <v>1</v>
      </c>
      <c r="O277" s="2">
        <f t="shared" si="55"/>
        <v>0</v>
      </c>
      <c r="P277" s="112">
        <f t="shared" si="56"/>
        <v>3</v>
      </c>
      <c r="Q277" s="112">
        <f t="shared" si="57"/>
        <v>0</v>
      </c>
      <c r="R277" s="53"/>
      <c r="S277" s="53" t="str">
        <f t="shared" si="58"/>
        <v>Base S1|Compound V Parallel - Season 1|76|Compound V</v>
      </c>
      <c r="T277" s="57" t="str">
        <f>IF($S277="","",IFERROR(VLOOKUP($S277,'Pop Estimates (Non-#d)'!$N$2:$O$500,2,FALSE),""))</f>
        <v/>
      </c>
      <c r="U277" s="57">
        <f t="shared" si="59"/>
        <v>399</v>
      </c>
      <c r="V277" s="53" t="str">
        <f t="shared" si="60"/>
        <v/>
      </c>
      <c r="W277" s="53" t="str">
        <f t="shared" si="61"/>
        <v/>
      </c>
      <c r="X277" s="53" t="str">
        <f t="shared" si="62"/>
        <v/>
      </c>
      <c r="Y277" s="57" t="str">
        <f>IF($X277="","",IFERROR(VLOOKUP($X277,'Char Popularity'!$A$2:$C$500,2,FALSE),""))</f>
        <v/>
      </c>
      <c r="Z277" s="56">
        <f>IF($X277="",1,IFERROR(VLOOKUP($X277,'Char Popularity'!$A$2:$C$500,3,FALSE),1))</f>
        <v>1</v>
      </c>
      <c r="AA277" s="62">
        <f>IF($H277&lt;&gt;"Y",0,(IF($F277&lt;&gt;"",ROUND(Dashboard!$R$4/$F277,1),IF(AND($I277="Base",$E277="Base"),Dashboard!$R$5,IF(AND($I277="Base",$E277="Red"),Dashboard!$R$6,IF(AND($I277="Base",$E277="Gold"),Dashboard!$R$7,VLOOKUP($I277,Dashboard!$Q$16:$R$21,2,FALSE)))))*VLOOKUP($I277,Dashboard!$Q$9:$R$13,2,FALSE)*IF(AND($I277="Auto",$F277="",OR($B277="Autographs Duals",$B277="Autographs Triples",$B277="Autographs Quads",$B277="Autographs Quads (Inscribed)")),IF($B277="Autographs Duals",2,IF($B277="Autographs Triples",3,4)),1)))</f>
        <v>2.5</v>
      </c>
      <c r="AB277" s="62">
        <f t="shared" si="63"/>
        <v>2.5</v>
      </c>
      <c r="AC277" s="62">
        <f t="shared" si="64"/>
        <v>0</v>
      </c>
    </row>
    <row r="278" spans="1:29" ht="42.95" customHeight="1" x14ac:dyDescent="0.25">
      <c r="A278" s="4" t="s">
        <v>17</v>
      </c>
      <c r="B278" s="7" t="s">
        <v>65</v>
      </c>
      <c r="C278" s="2" t="s">
        <v>1476</v>
      </c>
      <c r="D278" s="7" t="s">
        <v>993</v>
      </c>
      <c r="E278" s="4" t="s">
        <v>778</v>
      </c>
      <c r="F278" s="2">
        <v>399</v>
      </c>
      <c r="G278" s="2" t="s">
        <v>1399</v>
      </c>
      <c r="H278" s="2" t="s">
        <v>1400</v>
      </c>
      <c r="I278" s="4" t="s">
        <v>60</v>
      </c>
      <c r="J278" s="112">
        <f>IF($H278&lt;&gt;"Y",0,ROUND(MIN(Dashboard!$R$24,IF(IFERROR(VLOOKUP($B278,Dashboard!$Q$28:$S$60,2,FALSE),0)&gt;0,IFERROR(VLOOKUP($B278,Dashboard!$Q$28:$S$60,2,FALSE),0),$Z278*IF($U278&lt;&gt;"",ROUND((Dashboard!$R$4/$U278)*VLOOKUP($I278,Dashboard!$Q$9:$R$13,2,FALSE)*IF(ISNUMBER(SEARCH("Duals",$B278)),2,IF(ISNUMBER(SEARCH("Triples",$B278)),3,IF(ISNUMBER(SEARCH("Quads",$B278)),4,1))),2),ROUND(VLOOKUP($I278,Dashboard!$Q$15:$R$20,2,FALSE)*IF($E278="Red",Dashboard!$R$6,IF($E278="Gold",Dashboard!$R$7,Dashboard!$R$5))*IF(ISNUMBER(SEARCH("Duals",$B278)),2,IF(ISNUMBER(SEARCH("Triples",$B278)),3,IF(ISNUMBER(SEARCH("Quads",$B278)),4,1))),2))*IF(IFERROR(VLOOKUP($B278,Dashboard!$Q$28:$S$60,3,FALSE),0)&gt;0,VLOOKUP($B278,Dashboard!$Q$28:$S$60,3,FALSE),1))),0))</f>
        <v>3</v>
      </c>
      <c r="K278" s="2" t="str">
        <f>IF('Base S1'!F78="","",'Base S1'!F78)</f>
        <v>V</v>
      </c>
      <c r="L278" s="2">
        <f t="shared" si="52"/>
        <v>1</v>
      </c>
      <c r="M278" s="2">
        <f t="shared" si="53"/>
        <v>0</v>
      </c>
      <c r="N278" s="2">
        <f t="shared" si="54"/>
        <v>1</v>
      </c>
      <c r="O278" s="2">
        <f t="shared" si="55"/>
        <v>0</v>
      </c>
      <c r="P278" s="112">
        <f t="shared" si="56"/>
        <v>3</v>
      </c>
      <c r="Q278" s="112">
        <f t="shared" si="57"/>
        <v>0</v>
      </c>
      <c r="R278" s="53"/>
      <c r="S278" s="53" t="str">
        <f t="shared" si="58"/>
        <v>Base S1|Compound V Parallel - Season 1|77|Compound V</v>
      </c>
      <c r="T278" s="57" t="str">
        <f>IF($S278="","",IFERROR(VLOOKUP($S278,'Pop Estimates (Non-#d)'!$N$2:$O$500,2,FALSE),""))</f>
        <v/>
      </c>
      <c r="U278" s="57">
        <f t="shared" si="59"/>
        <v>399</v>
      </c>
      <c r="V278" s="53" t="str">
        <f t="shared" si="60"/>
        <v/>
      </c>
      <c r="W278" s="53" t="str">
        <f t="shared" si="61"/>
        <v/>
      </c>
      <c r="X278" s="53" t="str">
        <f t="shared" si="62"/>
        <v/>
      </c>
      <c r="Y278" s="57" t="str">
        <f>IF($X278="","",IFERROR(VLOOKUP($X278,'Char Popularity'!$A$2:$C$500,2,FALSE),""))</f>
        <v/>
      </c>
      <c r="Z278" s="56">
        <f>IF($X278="",1,IFERROR(VLOOKUP($X278,'Char Popularity'!$A$2:$C$500,3,FALSE),1))</f>
        <v>1</v>
      </c>
      <c r="AA278" s="62">
        <f>IF($H278&lt;&gt;"Y",0,(IF($F278&lt;&gt;"",ROUND(Dashboard!$R$4/$F278,1),IF(AND($I278="Base",$E278="Base"),Dashboard!$R$5,IF(AND($I278="Base",$E278="Red"),Dashboard!$R$6,IF(AND($I278="Base",$E278="Gold"),Dashboard!$R$7,VLOOKUP($I278,Dashboard!$Q$16:$R$21,2,FALSE)))))*VLOOKUP($I278,Dashboard!$Q$9:$R$13,2,FALSE)*IF(AND($I278="Auto",$F278="",OR($B278="Autographs Duals",$B278="Autographs Triples",$B278="Autographs Quads",$B278="Autographs Quads (Inscribed)")),IF($B278="Autographs Duals",2,IF($B278="Autographs Triples",3,4)),1)))</f>
        <v>2.5</v>
      </c>
      <c r="AB278" s="62">
        <f t="shared" si="63"/>
        <v>2.5</v>
      </c>
      <c r="AC278" s="62">
        <f t="shared" si="64"/>
        <v>0</v>
      </c>
    </row>
    <row r="279" spans="1:29" ht="42.95" customHeight="1" x14ac:dyDescent="0.25">
      <c r="A279" s="4" t="s">
        <v>17</v>
      </c>
      <c r="B279" s="7" t="s">
        <v>65</v>
      </c>
      <c r="C279" s="2" t="s">
        <v>1477</v>
      </c>
      <c r="D279" s="7" t="s">
        <v>995</v>
      </c>
      <c r="E279" s="4" t="s">
        <v>778</v>
      </c>
      <c r="F279" s="2">
        <v>399</v>
      </c>
      <c r="G279" s="2" t="s">
        <v>1399</v>
      </c>
      <c r="H279" s="2" t="s">
        <v>1400</v>
      </c>
      <c r="I279" s="4" t="s">
        <v>60</v>
      </c>
      <c r="J279" s="112">
        <f>IF($H279&lt;&gt;"Y",0,ROUND(MIN(Dashboard!$R$24,IF(IFERROR(VLOOKUP($B279,Dashboard!$Q$28:$S$60,2,FALSE),0)&gt;0,IFERROR(VLOOKUP($B279,Dashboard!$Q$28:$S$60,2,FALSE),0),$Z279*IF($U279&lt;&gt;"",ROUND((Dashboard!$R$4/$U279)*VLOOKUP($I279,Dashboard!$Q$9:$R$13,2,FALSE)*IF(ISNUMBER(SEARCH("Duals",$B279)),2,IF(ISNUMBER(SEARCH("Triples",$B279)),3,IF(ISNUMBER(SEARCH("Quads",$B279)),4,1))),2),ROUND(VLOOKUP($I279,Dashboard!$Q$15:$R$20,2,FALSE)*IF($E279="Red",Dashboard!$R$6,IF($E279="Gold",Dashboard!$R$7,Dashboard!$R$5))*IF(ISNUMBER(SEARCH("Duals",$B279)),2,IF(ISNUMBER(SEARCH("Triples",$B279)),3,IF(ISNUMBER(SEARCH("Quads",$B279)),4,1))),2))*IF(IFERROR(VLOOKUP($B279,Dashboard!$Q$28:$S$60,3,FALSE),0)&gt;0,VLOOKUP($B279,Dashboard!$Q$28:$S$60,3,FALSE),1))),0))</f>
        <v>3</v>
      </c>
      <c r="K279" s="2" t="str">
        <f>IF('Base S1'!F79="","",'Base S1'!F79)</f>
        <v>V</v>
      </c>
      <c r="L279" s="2">
        <f t="shared" si="52"/>
        <v>1</v>
      </c>
      <c r="M279" s="2">
        <f t="shared" si="53"/>
        <v>0</v>
      </c>
      <c r="N279" s="2">
        <f t="shared" si="54"/>
        <v>1</v>
      </c>
      <c r="O279" s="2">
        <f t="shared" si="55"/>
        <v>0</v>
      </c>
      <c r="P279" s="112">
        <f t="shared" si="56"/>
        <v>3</v>
      </c>
      <c r="Q279" s="112">
        <f t="shared" si="57"/>
        <v>0</v>
      </c>
      <c r="R279" s="53"/>
      <c r="S279" s="53" t="str">
        <f t="shared" si="58"/>
        <v>Base S1|Compound V Parallel - Season 1|78|Compound V</v>
      </c>
      <c r="T279" s="57" t="str">
        <f>IF($S279="","",IFERROR(VLOOKUP($S279,'Pop Estimates (Non-#d)'!$N$2:$O$500,2,FALSE),""))</f>
        <v/>
      </c>
      <c r="U279" s="57">
        <f t="shared" si="59"/>
        <v>399</v>
      </c>
      <c r="V279" s="53" t="str">
        <f t="shared" si="60"/>
        <v/>
      </c>
      <c r="W279" s="53" t="str">
        <f t="shared" si="61"/>
        <v/>
      </c>
      <c r="X279" s="53" t="str">
        <f t="shared" si="62"/>
        <v/>
      </c>
      <c r="Y279" s="57" t="str">
        <f>IF($X279="","",IFERROR(VLOOKUP($X279,'Char Popularity'!$A$2:$C$500,2,FALSE),""))</f>
        <v/>
      </c>
      <c r="Z279" s="56">
        <f>IF($X279="",1,IFERROR(VLOOKUP($X279,'Char Popularity'!$A$2:$C$500,3,FALSE),1))</f>
        <v>1</v>
      </c>
      <c r="AA279" s="62">
        <f>IF($H279&lt;&gt;"Y",0,(IF($F279&lt;&gt;"",ROUND(Dashboard!$R$4/$F279,1),IF(AND($I279="Base",$E279="Base"),Dashboard!$R$5,IF(AND($I279="Base",$E279="Red"),Dashboard!$R$6,IF(AND($I279="Base",$E279="Gold"),Dashboard!$R$7,VLOOKUP($I279,Dashboard!$Q$16:$R$21,2,FALSE)))))*VLOOKUP($I279,Dashboard!$Q$9:$R$13,2,FALSE)*IF(AND($I279="Auto",$F279="",OR($B279="Autographs Duals",$B279="Autographs Triples",$B279="Autographs Quads",$B279="Autographs Quads (Inscribed)")),IF($B279="Autographs Duals",2,IF($B279="Autographs Triples",3,4)),1)))</f>
        <v>2.5</v>
      </c>
      <c r="AB279" s="62">
        <f t="shared" si="63"/>
        <v>2.5</v>
      </c>
      <c r="AC279" s="62">
        <f t="shared" si="64"/>
        <v>0</v>
      </c>
    </row>
    <row r="280" spans="1:29" ht="42.95" customHeight="1" x14ac:dyDescent="0.25">
      <c r="A280" s="4" t="s">
        <v>17</v>
      </c>
      <c r="B280" s="7" t="s">
        <v>65</v>
      </c>
      <c r="C280" s="2" t="s">
        <v>1478</v>
      </c>
      <c r="D280" s="7" t="s">
        <v>998</v>
      </c>
      <c r="E280" s="4" t="s">
        <v>778</v>
      </c>
      <c r="F280" s="2">
        <v>399</v>
      </c>
      <c r="G280" s="2" t="s">
        <v>1399</v>
      </c>
      <c r="H280" s="2" t="s">
        <v>1400</v>
      </c>
      <c r="I280" s="4" t="s">
        <v>60</v>
      </c>
      <c r="J280" s="112">
        <f>IF($H280&lt;&gt;"Y",0,ROUND(MIN(Dashboard!$R$24,IF(IFERROR(VLOOKUP($B280,Dashboard!$Q$28:$S$60,2,FALSE),0)&gt;0,IFERROR(VLOOKUP($B280,Dashboard!$Q$28:$S$60,2,FALSE),0),$Z280*IF($U280&lt;&gt;"",ROUND((Dashboard!$R$4/$U280)*VLOOKUP($I280,Dashboard!$Q$9:$R$13,2,FALSE)*IF(ISNUMBER(SEARCH("Duals",$B280)),2,IF(ISNUMBER(SEARCH("Triples",$B280)),3,IF(ISNUMBER(SEARCH("Quads",$B280)),4,1))),2),ROUND(VLOOKUP($I280,Dashboard!$Q$15:$R$20,2,FALSE)*IF($E280="Red",Dashboard!$R$6,IF($E280="Gold",Dashboard!$R$7,Dashboard!$R$5))*IF(ISNUMBER(SEARCH("Duals",$B280)),2,IF(ISNUMBER(SEARCH("Triples",$B280)),3,IF(ISNUMBER(SEARCH("Quads",$B280)),4,1))),2))*IF(IFERROR(VLOOKUP($B280,Dashboard!$Q$28:$S$60,3,FALSE),0)&gt;0,VLOOKUP($B280,Dashboard!$Q$28:$S$60,3,FALSE),1))),0))</f>
        <v>3</v>
      </c>
      <c r="K280" s="2" t="str">
        <f>IF('Base S1'!F80="","",'Base S1'!F80)</f>
        <v>V</v>
      </c>
      <c r="L280" s="2">
        <f t="shared" si="52"/>
        <v>1</v>
      </c>
      <c r="M280" s="2">
        <f t="shared" si="53"/>
        <v>0</v>
      </c>
      <c r="N280" s="2">
        <f t="shared" si="54"/>
        <v>1</v>
      </c>
      <c r="O280" s="2">
        <f t="shared" si="55"/>
        <v>0</v>
      </c>
      <c r="P280" s="112">
        <f t="shared" si="56"/>
        <v>3</v>
      </c>
      <c r="Q280" s="112">
        <f t="shared" si="57"/>
        <v>0</v>
      </c>
      <c r="R280" s="53"/>
      <c r="S280" s="53" t="str">
        <f t="shared" si="58"/>
        <v>Base S1|Compound V Parallel - Season 1|79|Compound V</v>
      </c>
      <c r="T280" s="57" t="str">
        <f>IF($S280="","",IFERROR(VLOOKUP($S280,'Pop Estimates (Non-#d)'!$N$2:$O$500,2,FALSE),""))</f>
        <v/>
      </c>
      <c r="U280" s="57">
        <f t="shared" si="59"/>
        <v>399</v>
      </c>
      <c r="V280" s="53" t="str">
        <f t="shared" si="60"/>
        <v/>
      </c>
      <c r="W280" s="53" t="str">
        <f t="shared" si="61"/>
        <v/>
      </c>
      <c r="X280" s="53" t="str">
        <f t="shared" si="62"/>
        <v/>
      </c>
      <c r="Y280" s="57" t="str">
        <f>IF($X280="","",IFERROR(VLOOKUP($X280,'Char Popularity'!$A$2:$C$500,2,FALSE),""))</f>
        <v/>
      </c>
      <c r="Z280" s="56">
        <f>IF($X280="",1,IFERROR(VLOOKUP($X280,'Char Popularity'!$A$2:$C$500,3,FALSE),1))</f>
        <v>1</v>
      </c>
      <c r="AA280" s="62">
        <f>IF($H280&lt;&gt;"Y",0,(IF($F280&lt;&gt;"",ROUND(Dashboard!$R$4/$F280,1),IF(AND($I280="Base",$E280="Base"),Dashboard!$R$5,IF(AND($I280="Base",$E280="Red"),Dashboard!$R$6,IF(AND($I280="Base",$E280="Gold"),Dashboard!$R$7,VLOOKUP($I280,Dashboard!$Q$16:$R$21,2,FALSE)))))*VLOOKUP($I280,Dashboard!$Q$9:$R$13,2,FALSE)*IF(AND($I280="Auto",$F280="",OR($B280="Autographs Duals",$B280="Autographs Triples",$B280="Autographs Quads",$B280="Autographs Quads (Inscribed)")),IF($B280="Autographs Duals",2,IF($B280="Autographs Triples",3,4)),1)))</f>
        <v>2.5</v>
      </c>
      <c r="AB280" s="62">
        <f t="shared" si="63"/>
        <v>2.5</v>
      </c>
      <c r="AC280" s="62">
        <f t="shared" si="64"/>
        <v>0</v>
      </c>
    </row>
    <row r="281" spans="1:29" ht="42.95" customHeight="1" x14ac:dyDescent="0.25">
      <c r="A281" s="4" t="s">
        <v>17</v>
      </c>
      <c r="B281" s="7" t="s">
        <v>65</v>
      </c>
      <c r="C281" s="2" t="s">
        <v>1479</v>
      </c>
      <c r="D281" s="7" t="s">
        <v>1000</v>
      </c>
      <c r="E281" s="4" t="s">
        <v>778</v>
      </c>
      <c r="F281" s="2">
        <v>399</v>
      </c>
      <c r="G281" s="2" t="s">
        <v>1399</v>
      </c>
      <c r="H281" s="2" t="s">
        <v>1400</v>
      </c>
      <c r="I281" s="4" t="s">
        <v>60</v>
      </c>
      <c r="J281" s="112">
        <f>IF($H281&lt;&gt;"Y",0,ROUND(MIN(Dashboard!$R$24,IF(IFERROR(VLOOKUP($B281,Dashboard!$Q$28:$S$60,2,FALSE),0)&gt;0,IFERROR(VLOOKUP($B281,Dashboard!$Q$28:$S$60,2,FALSE),0),$Z281*IF($U281&lt;&gt;"",ROUND((Dashboard!$R$4/$U281)*VLOOKUP($I281,Dashboard!$Q$9:$R$13,2,FALSE)*IF(ISNUMBER(SEARCH("Duals",$B281)),2,IF(ISNUMBER(SEARCH("Triples",$B281)),3,IF(ISNUMBER(SEARCH("Quads",$B281)),4,1))),2),ROUND(VLOOKUP($I281,Dashboard!$Q$15:$R$20,2,FALSE)*IF($E281="Red",Dashboard!$R$6,IF($E281="Gold",Dashboard!$R$7,Dashboard!$R$5))*IF(ISNUMBER(SEARCH("Duals",$B281)),2,IF(ISNUMBER(SEARCH("Triples",$B281)),3,IF(ISNUMBER(SEARCH("Quads",$B281)),4,1))),2))*IF(IFERROR(VLOOKUP($B281,Dashboard!$Q$28:$S$60,3,FALSE),0)&gt;0,VLOOKUP($B281,Dashboard!$Q$28:$S$60,3,FALSE),1))),0))</f>
        <v>3</v>
      </c>
      <c r="K281" s="2" t="str">
        <f>IF('Base S1'!F81="","",'Base S1'!F81)</f>
        <v>C</v>
      </c>
      <c r="L281" s="2">
        <f t="shared" si="52"/>
        <v>1</v>
      </c>
      <c r="M281" s="2">
        <f t="shared" si="53"/>
        <v>0</v>
      </c>
      <c r="N281" s="2">
        <f t="shared" si="54"/>
        <v>1</v>
      </c>
      <c r="O281" s="2">
        <f t="shared" si="55"/>
        <v>0</v>
      </c>
      <c r="P281" s="112">
        <f t="shared" si="56"/>
        <v>3</v>
      </c>
      <c r="Q281" s="112">
        <f t="shared" si="57"/>
        <v>0</v>
      </c>
      <c r="R281" s="53"/>
      <c r="S281" s="53" t="str">
        <f t="shared" si="58"/>
        <v>Base S1|Compound V Parallel - Season 1|80|Compound V</v>
      </c>
      <c r="T281" s="57" t="str">
        <f>IF($S281="","",IFERROR(VLOOKUP($S281,'Pop Estimates (Non-#d)'!$N$2:$O$500,2,FALSE),""))</f>
        <v/>
      </c>
      <c r="U281" s="57">
        <f t="shared" si="59"/>
        <v>399</v>
      </c>
      <c r="V281" s="53" t="str">
        <f t="shared" si="60"/>
        <v/>
      </c>
      <c r="W281" s="53" t="str">
        <f t="shared" si="61"/>
        <v/>
      </c>
      <c r="X281" s="53" t="str">
        <f t="shared" si="62"/>
        <v/>
      </c>
      <c r="Y281" s="57" t="str">
        <f>IF($X281="","",IFERROR(VLOOKUP($X281,'Char Popularity'!$A$2:$C$500,2,FALSE),""))</f>
        <v/>
      </c>
      <c r="Z281" s="56">
        <f>IF($X281="",1,IFERROR(VLOOKUP($X281,'Char Popularity'!$A$2:$C$500,3,FALSE),1))</f>
        <v>1</v>
      </c>
      <c r="AA281" s="62">
        <f>IF($H281&lt;&gt;"Y",0,(IF($F281&lt;&gt;"",ROUND(Dashboard!$R$4/$F281,1),IF(AND($I281="Base",$E281="Base"),Dashboard!$R$5,IF(AND($I281="Base",$E281="Red"),Dashboard!$R$6,IF(AND($I281="Base",$E281="Gold"),Dashboard!$R$7,VLOOKUP($I281,Dashboard!$Q$16:$R$21,2,FALSE)))))*VLOOKUP($I281,Dashboard!$Q$9:$R$13,2,FALSE)*IF(AND($I281="Auto",$F281="",OR($B281="Autographs Duals",$B281="Autographs Triples",$B281="Autographs Quads",$B281="Autographs Quads (Inscribed)")),IF($B281="Autographs Duals",2,IF($B281="Autographs Triples",3,4)),1)))</f>
        <v>2.5</v>
      </c>
      <c r="AB281" s="62">
        <f t="shared" si="63"/>
        <v>2.5</v>
      </c>
      <c r="AC281" s="62">
        <f t="shared" si="64"/>
        <v>0</v>
      </c>
    </row>
    <row r="282" spans="1:29" ht="42.95" customHeight="1" x14ac:dyDescent="0.25">
      <c r="A282" s="4" t="s">
        <v>17</v>
      </c>
      <c r="B282" s="7" t="s">
        <v>65</v>
      </c>
      <c r="C282" s="2" t="s">
        <v>1480</v>
      </c>
      <c r="D282" s="7" t="s">
        <v>1003</v>
      </c>
      <c r="E282" s="4" t="s">
        <v>778</v>
      </c>
      <c r="F282" s="2">
        <v>399</v>
      </c>
      <c r="G282" s="2" t="s">
        <v>1399</v>
      </c>
      <c r="H282" s="2" t="s">
        <v>1400</v>
      </c>
      <c r="I282" s="4" t="s">
        <v>60</v>
      </c>
      <c r="J282" s="112">
        <f>IF($H282&lt;&gt;"Y",0,ROUND(MIN(Dashboard!$R$24,IF(IFERROR(VLOOKUP($B282,Dashboard!$Q$28:$S$60,2,FALSE),0)&gt;0,IFERROR(VLOOKUP($B282,Dashboard!$Q$28:$S$60,2,FALSE),0),$Z282*IF($U282&lt;&gt;"",ROUND((Dashboard!$R$4/$U282)*VLOOKUP($I282,Dashboard!$Q$9:$R$13,2,FALSE)*IF(ISNUMBER(SEARCH("Duals",$B282)),2,IF(ISNUMBER(SEARCH("Triples",$B282)),3,IF(ISNUMBER(SEARCH("Quads",$B282)),4,1))),2),ROUND(VLOOKUP($I282,Dashboard!$Q$15:$R$20,2,FALSE)*IF($E282="Red",Dashboard!$R$6,IF($E282="Gold",Dashboard!$R$7,Dashboard!$R$5))*IF(ISNUMBER(SEARCH("Duals",$B282)),2,IF(ISNUMBER(SEARCH("Triples",$B282)),3,IF(ISNUMBER(SEARCH("Quads",$B282)),4,1))),2))*IF(IFERROR(VLOOKUP($B282,Dashboard!$Q$28:$S$60,3,FALSE),0)&gt;0,VLOOKUP($B282,Dashboard!$Q$28:$S$60,3,FALSE),1))),0))</f>
        <v>3</v>
      </c>
      <c r="K282" s="2" t="str">
        <f>IF('Base S1'!F82="","",'Base S1'!F82)</f>
        <v>V</v>
      </c>
      <c r="L282" s="2">
        <f t="shared" si="52"/>
        <v>1</v>
      </c>
      <c r="M282" s="2">
        <f t="shared" si="53"/>
        <v>0</v>
      </c>
      <c r="N282" s="2">
        <f t="shared" si="54"/>
        <v>1</v>
      </c>
      <c r="O282" s="2">
        <f t="shared" si="55"/>
        <v>0</v>
      </c>
      <c r="P282" s="112">
        <f t="shared" si="56"/>
        <v>3</v>
      </c>
      <c r="Q282" s="112">
        <f t="shared" si="57"/>
        <v>0</v>
      </c>
      <c r="R282" s="53"/>
      <c r="S282" s="53" t="str">
        <f t="shared" si="58"/>
        <v>Base S1|Compound V Parallel - Season 1|81|Compound V</v>
      </c>
      <c r="T282" s="57" t="str">
        <f>IF($S282="","",IFERROR(VLOOKUP($S282,'Pop Estimates (Non-#d)'!$N$2:$O$500,2,FALSE),""))</f>
        <v/>
      </c>
      <c r="U282" s="57">
        <f t="shared" si="59"/>
        <v>399</v>
      </c>
      <c r="V282" s="53" t="str">
        <f t="shared" si="60"/>
        <v/>
      </c>
      <c r="W282" s="53" t="str">
        <f t="shared" si="61"/>
        <v/>
      </c>
      <c r="X282" s="53" t="str">
        <f t="shared" si="62"/>
        <v/>
      </c>
      <c r="Y282" s="57" t="str">
        <f>IF($X282="","",IFERROR(VLOOKUP($X282,'Char Popularity'!$A$2:$C$500,2,FALSE),""))</f>
        <v/>
      </c>
      <c r="Z282" s="56">
        <f>IF($X282="",1,IFERROR(VLOOKUP($X282,'Char Popularity'!$A$2:$C$500,3,FALSE),1))</f>
        <v>1</v>
      </c>
      <c r="AA282" s="62">
        <f>IF($H282&lt;&gt;"Y",0,(IF($F282&lt;&gt;"",ROUND(Dashboard!$R$4/$F282,1),IF(AND($I282="Base",$E282="Base"),Dashboard!$R$5,IF(AND($I282="Base",$E282="Red"),Dashboard!$R$6,IF(AND($I282="Base",$E282="Gold"),Dashboard!$R$7,VLOOKUP($I282,Dashboard!$Q$16:$R$21,2,FALSE)))))*VLOOKUP($I282,Dashboard!$Q$9:$R$13,2,FALSE)*IF(AND($I282="Auto",$F282="",OR($B282="Autographs Duals",$B282="Autographs Triples",$B282="Autographs Quads",$B282="Autographs Quads (Inscribed)")),IF($B282="Autographs Duals",2,IF($B282="Autographs Triples",3,4)),1)))</f>
        <v>2.5</v>
      </c>
      <c r="AB282" s="62">
        <f t="shared" si="63"/>
        <v>2.5</v>
      </c>
      <c r="AC282" s="62">
        <f t="shared" si="64"/>
        <v>0</v>
      </c>
    </row>
    <row r="283" spans="1:29" ht="42.95" customHeight="1" x14ac:dyDescent="0.25">
      <c r="A283" s="4" t="s">
        <v>17</v>
      </c>
      <c r="B283" s="7" t="s">
        <v>65</v>
      </c>
      <c r="C283" s="2" t="s">
        <v>1481</v>
      </c>
      <c r="D283" s="7" t="s">
        <v>1005</v>
      </c>
      <c r="E283" s="4" t="s">
        <v>778</v>
      </c>
      <c r="F283" s="2">
        <v>399</v>
      </c>
      <c r="G283" s="2" t="s">
        <v>1399</v>
      </c>
      <c r="H283" s="2" t="s">
        <v>1400</v>
      </c>
      <c r="I283" s="4" t="s">
        <v>60</v>
      </c>
      <c r="J283" s="112">
        <f>IF($H283&lt;&gt;"Y",0,ROUND(MIN(Dashboard!$R$24,IF(IFERROR(VLOOKUP($B283,Dashboard!$Q$28:$S$60,2,FALSE),0)&gt;0,IFERROR(VLOOKUP($B283,Dashboard!$Q$28:$S$60,2,FALSE),0),$Z283*IF($U283&lt;&gt;"",ROUND((Dashboard!$R$4/$U283)*VLOOKUP($I283,Dashboard!$Q$9:$R$13,2,FALSE)*IF(ISNUMBER(SEARCH("Duals",$B283)),2,IF(ISNUMBER(SEARCH("Triples",$B283)),3,IF(ISNUMBER(SEARCH("Quads",$B283)),4,1))),2),ROUND(VLOOKUP($I283,Dashboard!$Q$15:$R$20,2,FALSE)*IF($E283="Red",Dashboard!$R$6,IF($E283="Gold",Dashboard!$R$7,Dashboard!$R$5))*IF(ISNUMBER(SEARCH("Duals",$B283)),2,IF(ISNUMBER(SEARCH("Triples",$B283)),3,IF(ISNUMBER(SEARCH("Quads",$B283)),4,1))),2))*IF(IFERROR(VLOOKUP($B283,Dashboard!$Q$28:$S$60,3,FALSE),0)&gt;0,VLOOKUP($B283,Dashboard!$Q$28:$S$60,3,FALSE),1))),0))</f>
        <v>3</v>
      </c>
      <c r="K283" s="2" t="str">
        <f>IF('Base S1'!F83="","",'Base S1'!F83)</f>
        <v>V</v>
      </c>
      <c r="L283" s="2">
        <f t="shared" si="52"/>
        <v>1</v>
      </c>
      <c r="M283" s="2">
        <f t="shared" si="53"/>
        <v>0</v>
      </c>
      <c r="N283" s="2">
        <f t="shared" si="54"/>
        <v>1</v>
      </c>
      <c r="O283" s="2">
        <f t="shared" si="55"/>
        <v>0</v>
      </c>
      <c r="P283" s="112">
        <f t="shared" si="56"/>
        <v>3</v>
      </c>
      <c r="Q283" s="112">
        <f t="shared" si="57"/>
        <v>0</v>
      </c>
      <c r="R283" s="53"/>
      <c r="S283" s="53" t="str">
        <f t="shared" si="58"/>
        <v>Base S1|Compound V Parallel - Season 1|82|Compound V</v>
      </c>
      <c r="T283" s="57" t="str">
        <f>IF($S283="","",IFERROR(VLOOKUP($S283,'Pop Estimates (Non-#d)'!$N$2:$O$500,2,FALSE),""))</f>
        <v/>
      </c>
      <c r="U283" s="57">
        <f t="shared" si="59"/>
        <v>399</v>
      </c>
      <c r="V283" s="53" t="str">
        <f t="shared" si="60"/>
        <v/>
      </c>
      <c r="W283" s="53" t="str">
        <f t="shared" si="61"/>
        <v/>
      </c>
      <c r="X283" s="53" t="str">
        <f t="shared" si="62"/>
        <v/>
      </c>
      <c r="Y283" s="57" t="str">
        <f>IF($X283="","",IFERROR(VLOOKUP($X283,'Char Popularity'!$A$2:$C$500,2,FALSE),""))</f>
        <v/>
      </c>
      <c r="Z283" s="56">
        <f>IF($X283="",1,IFERROR(VLOOKUP($X283,'Char Popularity'!$A$2:$C$500,3,FALSE),1))</f>
        <v>1</v>
      </c>
      <c r="AA283" s="62">
        <f>IF($H283&lt;&gt;"Y",0,(IF($F283&lt;&gt;"",ROUND(Dashboard!$R$4/$F283,1),IF(AND($I283="Base",$E283="Base"),Dashboard!$R$5,IF(AND($I283="Base",$E283="Red"),Dashboard!$R$6,IF(AND($I283="Base",$E283="Gold"),Dashboard!$R$7,VLOOKUP($I283,Dashboard!$Q$16:$R$21,2,FALSE)))))*VLOOKUP($I283,Dashboard!$Q$9:$R$13,2,FALSE)*IF(AND($I283="Auto",$F283="",OR($B283="Autographs Duals",$B283="Autographs Triples",$B283="Autographs Quads",$B283="Autographs Quads (Inscribed)")),IF($B283="Autographs Duals",2,IF($B283="Autographs Triples",3,4)),1)))</f>
        <v>2.5</v>
      </c>
      <c r="AB283" s="62">
        <f t="shared" si="63"/>
        <v>2.5</v>
      </c>
      <c r="AC283" s="62">
        <f t="shared" si="64"/>
        <v>0</v>
      </c>
    </row>
    <row r="284" spans="1:29" ht="42.95" customHeight="1" x14ac:dyDescent="0.25">
      <c r="A284" s="4" t="s">
        <v>17</v>
      </c>
      <c r="B284" s="7" t="s">
        <v>65</v>
      </c>
      <c r="C284" s="2" t="s">
        <v>1482</v>
      </c>
      <c r="D284" s="7" t="s">
        <v>1008</v>
      </c>
      <c r="E284" s="4" t="s">
        <v>778</v>
      </c>
      <c r="F284" s="2">
        <v>399</v>
      </c>
      <c r="G284" s="2" t="s">
        <v>1399</v>
      </c>
      <c r="H284" s="2" t="s">
        <v>1400</v>
      </c>
      <c r="I284" s="4" t="s">
        <v>60</v>
      </c>
      <c r="J284" s="112">
        <f>IF($H284&lt;&gt;"Y",0,ROUND(MIN(Dashboard!$R$24,IF(IFERROR(VLOOKUP($B284,Dashboard!$Q$28:$S$60,2,FALSE),0)&gt;0,IFERROR(VLOOKUP($B284,Dashboard!$Q$28:$S$60,2,FALSE),0),$Z284*IF($U284&lt;&gt;"",ROUND((Dashboard!$R$4/$U284)*VLOOKUP($I284,Dashboard!$Q$9:$R$13,2,FALSE)*IF(ISNUMBER(SEARCH("Duals",$B284)),2,IF(ISNUMBER(SEARCH("Triples",$B284)),3,IF(ISNUMBER(SEARCH("Quads",$B284)),4,1))),2),ROUND(VLOOKUP($I284,Dashboard!$Q$15:$R$20,2,FALSE)*IF($E284="Red",Dashboard!$R$6,IF($E284="Gold",Dashboard!$R$7,Dashboard!$R$5))*IF(ISNUMBER(SEARCH("Duals",$B284)),2,IF(ISNUMBER(SEARCH("Triples",$B284)),3,IF(ISNUMBER(SEARCH("Quads",$B284)),4,1))),2))*IF(IFERROR(VLOOKUP($B284,Dashboard!$Q$28:$S$60,3,FALSE),0)&gt;0,VLOOKUP($B284,Dashboard!$Q$28:$S$60,3,FALSE),1))),0))</f>
        <v>3</v>
      </c>
      <c r="K284" s="2" t="str">
        <f>IF('Base S1'!F84="","",'Base S1'!F84)</f>
        <v>C</v>
      </c>
      <c r="L284" s="2">
        <f t="shared" si="52"/>
        <v>1</v>
      </c>
      <c r="M284" s="2">
        <f t="shared" si="53"/>
        <v>0</v>
      </c>
      <c r="N284" s="2">
        <f t="shared" si="54"/>
        <v>1</v>
      </c>
      <c r="O284" s="2">
        <f t="shared" si="55"/>
        <v>0</v>
      </c>
      <c r="P284" s="112">
        <f t="shared" si="56"/>
        <v>3</v>
      </c>
      <c r="Q284" s="112">
        <f t="shared" si="57"/>
        <v>0</v>
      </c>
      <c r="R284" s="53"/>
      <c r="S284" s="53" t="str">
        <f t="shared" si="58"/>
        <v>Base S1|Compound V Parallel - Season 1|83|Compound V</v>
      </c>
      <c r="T284" s="57" t="str">
        <f>IF($S284="","",IFERROR(VLOOKUP($S284,'Pop Estimates (Non-#d)'!$N$2:$O$500,2,FALSE),""))</f>
        <v/>
      </c>
      <c r="U284" s="57">
        <f t="shared" si="59"/>
        <v>399</v>
      </c>
      <c r="V284" s="53" t="str">
        <f t="shared" si="60"/>
        <v/>
      </c>
      <c r="W284" s="53" t="str">
        <f t="shared" si="61"/>
        <v/>
      </c>
      <c r="X284" s="53" t="str">
        <f t="shared" si="62"/>
        <v/>
      </c>
      <c r="Y284" s="57" t="str">
        <f>IF($X284="","",IFERROR(VLOOKUP($X284,'Char Popularity'!$A$2:$C$500,2,FALSE),""))</f>
        <v/>
      </c>
      <c r="Z284" s="56">
        <f>IF($X284="",1,IFERROR(VLOOKUP($X284,'Char Popularity'!$A$2:$C$500,3,FALSE),1))</f>
        <v>1</v>
      </c>
      <c r="AA284" s="62">
        <f>IF($H284&lt;&gt;"Y",0,(IF($F284&lt;&gt;"",ROUND(Dashboard!$R$4/$F284,1),IF(AND($I284="Base",$E284="Base"),Dashboard!$R$5,IF(AND($I284="Base",$E284="Red"),Dashboard!$R$6,IF(AND($I284="Base",$E284="Gold"),Dashboard!$R$7,VLOOKUP($I284,Dashboard!$Q$16:$R$21,2,FALSE)))))*VLOOKUP($I284,Dashboard!$Q$9:$R$13,2,FALSE)*IF(AND($I284="Auto",$F284="",OR($B284="Autographs Duals",$B284="Autographs Triples",$B284="Autographs Quads",$B284="Autographs Quads (Inscribed)")),IF($B284="Autographs Duals",2,IF($B284="Autographs Triples",3,4)),1)))</f>
        <v>2.5</v>
      </c>
      <c r="AB284" s="62">
        <f t="shared" si="63"/>
        <v>2.5</v>
      </c>
      <c r="AC284" s="62">
        <f t="shared" si="64"/>
        <v>0</v>
      </c>
    </row>
    <row r="285" spans="1:29" ht="42.95" customHeight="1" x14ac:dyDescent="0.25">
      <c r="A285" s="4" t="s">
        <v>17</v>
      </c>
      <c r="B285" s="7" t="s">
        <v>65</v>
      </c>
      <c r="C285" s="2" t="s">
        <v>1483</v>
      </c>
      <c r="D285" s="7" t="s">
        <v>1010</v>
      </c>
      <c r="E285" s="4" t="s">
        <v>778</v>
      </c>
      <c r="F285" s="2">
        <v>399</v>
      </c>
      <c r="G285" s="2" t="s">
        <v>1399</v>
      </c>
      <c r="H285" s="2" t="s">
        <v>1400</v>
      </c>
      <c r="I285" s="4" t="s">
        <v>60</v>
      </c>
      <c r="J285" s="112">
        <f>IF($H285&lt;&gt;"Y",0,ROUND(MIN(Dashboard!$R$24,IF(IFERROR(VLOOKUP($B285,Dashboard!$Q$28:$S$60,2,FALSE),0)&gt;0,IFERROR(VLOOKUP($B285,Dashboard!$Q$28:$S$60,2,FALSE),0),$Z285*IF($U285&lt;&gt;"",ROUND((Dashboard!$R$4/$U285)*VLOOKUP($I285,Dashboard!$Q$9:$R$13,2,FALSE)*IF(ISNUMBER(SEARCH("Duals",$B285)),2,IF(ISNUMBER(SEARCH("Triples",$B285)),3,IF(ISNUMBER(SEARCH("Quads",$B285)),4,1))),2),ROUND(VLOOKUP($I285,Dashboard!$Q$15:$R$20,2,FALSE)*IF($E285="Red",Dashboard!$R$6,IF($E285="Gold",Dashboard!$R$7,Dashboard!$R$5))*IF(ISNUMBER(SEARCH("Duals",$B285)),2,IF(ISNUMBER(SEARCH("Triples",$B285)),3,IF(ISNUMBER(SEARCH("Quads",$B285)),4,1))),2))*IF(IFERROR(VLOOKUP($B285,Dashboard!$Q$28:$S$60,3,FALSE),0)&gt;0,VLOOKUP($B285,Dashboard!$Q$28:$S$60,3,FALSE),1))),0))</f>
        <v>3</v>
      </c>
      <c r="K285" s="2" t="str">
        <f>IF('Base S1'!F85="","",'Base S1'!F85)</f>
        <v>C</v>
      </c>
      <c r="L285" s="2">
        <f t="shared" si="52"/>
        <v>1</v>
      </c>
      <c r="M285" s="2">
        <f t="shared" si="53"/>
        <v>0</v>
      </c>
      <c r="N285" s="2">
        <f t="shared" si="54"/>
        <v>1</v>
      </c>
      <c r="O285" s="2">
        <f t="shared" si="55"/>
        <v>0</v>
      </c>
      <c r="P285" s="112">
        <f t="shared" si="56"/>
        <v>3</v>
      </c>
      <c r="Q285" s="112">
        <f t="shared" si="57"/>
        <v>0</v>
      </c>
      <c r="R285" s="53"/>
      <c r="S285" s="53" t="str">
        <f t="shared" si="58"/>
        <v>Base S1|Compound V Parallel - Season 1|84|Compound V</v>
      </c>
      <c r="T285" s="57" t="str">
        <f>IF($S285="","",IFERROR(VLOOKUP($S285,'Pop Estimates (Non-#d)'!$N$2:$O$500,2,FALSE),""))</f>
        <v/>
      </c>
      <c r="U285" s="57">
        <f t="shared" si="59"/>
        <v>399</v>
      </c>
      <c r="V285" s="53" t="str">
        <f t="shared" si="60"/>
        <v/>
      </c>
      <c r="W285" s="53" t="str">
        <f t="shared" si="61"/>
        <v/>
      </c>
      <c r="X285" s="53" t="str">
        <f t="shared" si="62"/>
        <v/>
      </c>
      <c r="Y285" s="57" t="str">
        <f>IF($X285="","",IFERROR(VLOOKUP($X285,'Char Popularity'!$A$2:$C$500,2,FALSE),""))</f>
        <v/>
      </c>
      <c r="Z285" s="56">
        <f>IF($X285="",1,IFERROR(VLOOKUP($X285,'Char Popularity'!$A$2:$C$500,3,FALSE),1))</f>
        <v>1</v>
      </c>
      <c r="AA285" s="62">
        <f>IF($H285&lt;&gt;"Y",0,(IF($F285&lt;&gt;"",ROUND(Dashboard!$R$4/$F285,1),IF(AND($I285="Base",$E285="Base"),Dashboard!$R$5,IF(AND($I285="Base",$E285="Red"),Dashboard!$R$6,IF(AND($I285="Base",$E285="Gold"),Dashboard!$R$7,VLOOKUP($I285,Dashboard!$Q$16:$R$21,2,FALSE)))))*VLOOKUP($I285,Dashboard!$Q$9:$R$13,2,FALSE)*IF(AND($I285="Auto",$F285="",OR($B285="Autographs Duals",$B285="Autographs Triples",$B285="Autographs Quads",$B285="Autographs Quads (Inscribed)")),IF($B285="Autographs Duals",2,IF($B285="Autographs Triples",3,4)),1)))</f>
        <v>2.5</v>
      </c>
      <c r="AB285" s="62">
        <f t="shared" si="63"/>
        <v>2.5</v>
      </c>
      <c r="AC285" s="62">
        <f t="shared" si="64"/>
        <v>0</v>
      </c>
    </row>
    <row r="286" spans="1:29" ht="42.95" customHeight="1" x14ac:dyDescent="0.25">
      <c r="A286" s="4" t="s">
        <v>17</v>
      </c>
      <c r="B286" s="7" t="s">
        <v>65</v>
      </c>
      <c r="C286" s="2" t="s">
        <v>1484</v>
      </c>
      <c r="D286" s="7" t="s">
        <v>1012</v>
      </c>
      <c r="E286" s="4" t="s">
        <v>778</v>
      </c>
      <c r="F286" s="2">
        <v>399</v>
      </c>
      <c r="G286" s="2" t="s">
        <v>1399</v>
      </c>
      <c r="H286" s="2" t="s">
        <v>1400</v>
      </c>
      <c r="I286" s="4" t="s">
        <v>60</v>
      </c>
      <c r="J286" s="112">
        <f>IF($H286&lt;&gt;"Y",0,ROUND(MIN(Dashboard!$R$24,IF(IFERROR(VLOOKUP($B286,Dashboard!$Q$28:$S$60,2,FALSE),0)&gt;0,IFERROR(VLOOKUP($B286,Dashboard!$Q$28:$S$60,2,FALSE),0),$Z286*IF($U286&lt;&gt;"",ROUND((Dashboard!$R$4/$U286)*VLOOKUP($I286,Dashboard!$Q$9:$R$13,2,FALSE)*IF(ISNUMBER(SEARCH("Duals",$B286)),2,IF(ISNUMBER(SEARCH("Triples",$B286)),3,IF(ISNUMBER(SEARCH("Quads",$B286)),4,1))),2),ROUND(VLOOKUP($I286,Dashboard!$Q$15:$R$20,2,FALSE)*IF($E286="Red",Dashboard!$R$6,IF($E286="Gold",Dashboard!$R$7,Dashboard!$R$5))*IF(ISNUMBER(SEARCH("Duals",$B286)),2,IF(ISNUMBER(SEARCH("Triples",$B286)),3,IF(ISNUMBER(SEARCH("Quads",$B286)),4,1))),2))*IF(IFERROR(VLOOKUP($B286,Dashboard!$Q$28:$S$60,3,FALSE),0)&gt;0,VLOOKUP($B286,Dashboard!$Q$28:$S$60,3,FALSE),1))),0))</f>
        <v>3</v>
      </c>
      <c r="K286" s="2" t="str">
        <f>IF('Base S1'!F86="","",'Base S1'!F86)</f>
        <v>C</v>
      </c>
      <c r="L286" s="2">
        <f t="shared" si="52"/>
        <v>1</v>
      </c>
      <c r="M286" s="2">
        <f t="shared" si="53"/>
        <v>0</v>
      </c>
      <c r="N286" s="2">
        <f t="shared" si="54"/>
        <v>1</v>
      </c>
      <c r="O286" s="2">
        <f t="shared" si="55"/>
        <v>0</v>
      </c>
      <c r="P286" s="112">
        <f t="shared" si="56"/>
        <v>3</v>
      </c>
      <c r="Q286" s="112">
        <f t="shared" si="57"/>
        <v>0</v>
      </c>
      <c r="R286" s="53"/>
      <c r="S286" s="53" t="str">
        <f t="shared" si="58"/>
        <v>Base S1|Compound V Parallel - Season 1|85|Compound V</v>
      </c>
      <c r="T286" s="57" t="str">
        <f>IF($S286="","",IFERROR(VLOOKUP($S286,'Pop Estimates (Non-#d)'!$N$2:$O$500,2,FALSE),""))</f>
        <v/>
      </c>
      <c r="U286" s="57">
        <f t="shared" si="59"/>
        <v>399</v>
      </c>
      <c r="V286" s="53" t="str">
        <f t="shared" si="60"/>
        <v/>
      </c>
      <c r="W286" s="53" t="str">
        <f t="shared" si="61"/>
        <v/>
      </c>
      <c r="X286" s="53" t="str">
        <f t="shared" si="62"/>
        <v/>
      </c>
      <c r="Y286" s="57" t="str">
        <f>IF($X286="","",IFERROR(VLOOKUP($X286,'Char Popularity'!$A$2:$C$500,2,FALSE),""))</f>
        <v/>
      </c>
      <c r="Z286" s="56">
        <f>IF($X286="",1,IFERROR(VLOOKUP($X286,'Char Popularity'!$A$2:$C$500,3,FALSE),1))</f>
        <v>1</v>
      </c>
      <c r="AA286" s="62">
        <f>IF($H286&lt;&gt;"Y",0,(IF($F286&lt;&gt;"",ROUND(Dashboard!$R$4/$F286,1),IF(AND($I286="Base",$E286="Base"),Dashboard!$R$5,IF(AND($I286="Base",$E286="Red"),Dashboard!$R$6,IF(AND($I286="Base",$E286="Gold"),Dashboard!$R$7,VLOOKUP($I286,Dashboard!$Q$16:$R$21,2,FALSE)))))*VLOOKUP($I286,Dashboard!$Q$9:$R$13,2,FALSE)*IF(AND($I286="Auto",$F286="",OR($B286="Autographs Duals",$B286="Autographs Triples",$B286="Autographs Quads",$B286="Autographs Quads (Inscribed)")),IF($B286="Autographs Duals",2,IF($B286="Autographs Triples",3,4)),1)))</f>
        <v>2.5</v>
      </c>
      <c r="AB286" s="62">
        <f t="shared" si="63"/>
        <v>2.5</v>
      </c>
      <c r="AC286" s="62">
        <f t="shared" si="64"/>
        <v>0</v>
      </c>
    </row>
    <row r="287" spans="1:29" ht="42.95" customHeight="1" x14ac:dyDescent="0.25">
      <c r="A287" s="4" t="s">
        <v>17</v>
      </c>
      <c r="B287" s="7" t="s">
        <v>65</v>
      </c>
      <c r="C287" s="2" t="s">
        <v>1485</v>
      </c>
      <c r="D287" s="7" t="s">
        <v>1013</v>
      </c>
      <c r="E287" s="4" t="s">
        <v>778</v>
      </c>
      <c r="F287" s="2">
        <v>399</v>
      </c>
      <c r="G287" s="2" t="s">
        <v>1399</v>
      </c>
      <c r="H287" s="2" t="s">
        <v>1400</v>
      </c>
      <c r="I287" s="4" t="s">
        <v>60</v>
      </c>
      <c r="J287" s="112">
        <f>IF($H287&lt;&gt;"Y",0,ROUND(MIN(Dashboard!$R$24,IF(IFERROR(VLOOKUP($B287,Dashboard!$Q$28:$S$60,2,FALSE),0)&gt;0,IFERROR(VLOOKUP($B287,Dashboard!$Q$28:$S$60,2,FALSE),0),$Z287*IF($U287&lt;&gt;"",ROUND((Dashboard!$R$4/$U287)*VLOOKUP($I287,Dashboard!$Q$9:$R$13,2,FALSE)*IF(ISNUMBER(SEARCH("Duals",$B287)),2,IF(ISNUMBER(SEARCH("Triples",$B287)),3,IF(ISNUMBER(SEARCH("Quads",$B287)),4,1))),2),ROUND(VLOOKUP($I287,Dashboard!$Q$15:$R$20,2,FALSE)*IF($E287="Red",Dashboard!$R$6,IF($E287="Gold",Dashboard!$R$7,Dashboard!$R$5))*IF(ISNUMBER(SEARCH("Duals",$B287)),2,IF(ISNUMBER(SEARCH("Triples",$B287)),3,IF(ISNUMBER(SEARCH("Quads",$B287)),4,1))),2))*IF(IFERROR(VLOOKUP($B287,Dashboard!$Q$28:$S$60,3,FALSE),0)&gt;0,VLOOKUP($B287,Dashboard!$Q$28:$S$60,3,FALSE),1))),0))</f>
        <v>3</v>
      </c>
      <c r="K287" s="2" t="str">
        <f>IF('Base S1'!F87="","",'Base S1'!F87)</f>
        <v>V</v>
      </c>
      <c r="L287" s="2">
        <f t="shared" si="52"/>
        <v>1</v>
      </c>
      <c r="M287" s="2">
        <f t="shared" si="53"/>
        <v>0</v>
      </c>
      <c r="N287" s="2">
        <f t="shared" si="54"/>
        <v>1</v>
      </c>
      <c r="O287" s="2">
        <f t="shared" si="55"/>
        <v>0</v>
      </c>
      <c r="P287" s="112">
        <f t="shared" si="56"/>
        <v>3</v>
      </c>
      <c r="Q287" s="112">
        <f t="shared" si="57"/>
        <v>0</v>
      </c>
      <c r="R287" s="53"/>
      <c r="S287" s="53" t="str">
        <f t="shared" si="58"/>
        <v>Base S1|Compound V Parallel - Season 1|86|Compound V</v>
      </c>
      <c r="T287" s="57" t="str">
        <f>IF($S287="","",IFERROR(VLOOKUP($S287,'Pop Estimates (Non-#d)'!$N$2:$O$500,2,FALSE),""))</f>
        <v/>
      </c>
      <c r="U287" s="57">
        <f t="shared" si="59"/>
        <v>399</v>
      </c>
      <c r="V287" s="53" t="str">
        <f t="shared" si="60"/>
        <v/>
      </c>
      <c r="W287" s="53" t="str">
        <f t="shared" si="61"/>
        <v/>
      </c>
      <c r="X287" s="53" t="str">
        <f t="shared" si="62"/>
        <v/>
      </c>
      <c r="Y287" s="57" t="str">
        <f>IF($X287="","",IFERROR(VLOOKUP($X287,'Char Popularity'!$A$2:$C$500,2,FALSE),""))</f>
        <v/>
      </c>
      <c r="Z287" s="56">
        <f>IF($X287="",1,IFERROR(VLOOKUP($X287,'Char Popularity'!$A$2:$C$500,3,FALSE),1))</f>
        <v>1</v>
      </c>
      <c r="AA287" s="62">
        <f>IF($H287&lt;&gt;"Y",0,(IF($F287&lt;&gt;"",ROUND(Dashboard!$R$4/$F287,1),IF(AND($I287="Base",$E287="Base"),Dashboard!$R$5,IF(AND($I287="Base",$E287="Red"),Dashboard!$R$6,IF(AND($I287="Base",$E287="Gold"),Dashboard!$R$7,VLOOKUP($I287,Dashboard!$Q$16:$R$21,2,FALSE)))))*VLOOKUP($I287,Dashboard!$Q$9:$R$13,2,FALSE)*IF(AND($I287="Auto",$F287="",OR($B287="Autographs Duals",$B287="Autographs Triples",$B287="Autographs Quads",$B287="Autographs Quads (Inscribed)")),IF($B287="Autographs Duals",2,IF($B287="Autographs Triples",3,4)),1)))</f>
        <v>2.5</v>
      </c>
      <c r="AB287" s="62">
        <f t="shared" si="63"/>
        <v>2.5</v>
      </c>
      <c r="AC287" s="62">
        <f t="shared" si="64"/>
        <v>0</v>
      </c>
    </row>
    <row r="288" spans="1:29" ht="42.95" customHeight="1" x14ac:dyDescent="0.25">
      <c r="A288" s="4" t="s">
        <v>17</v>
      </c>
      <c r="B288" s="7" t="s">
        <v>65</v>
      </c>
      <c r="C288" s="2" t="s">
        <v>1486</v>
      </c>
      <c r="D288" s="7" t="s">
        <v>1015</v>
      </c>
      <c r="E288" s="4" t="s">
        <v>778</v>
      </c>
      <c r="F288" s="2">
        <v>399</v>
      </c>
      <c r="G288" s="2" t="s">
        <v>1399</v>
      </c>
      <c r="H288" s="2" t="s">
        <v>1400</v>
      </c>
      <c r="I288" s="4" t="s">
        <v>60</v>
      </c>
      <c r="J288" s="112">
        <f>IF($H288&lt;&gt;"Y",0,ROUND(MIN(Dashboard!$R$24,IF(IFERROR(VLOOKUP($B288,Dashboard!$Q$28:$S$60,2,FALSE),0)&gt;0,IFERROR(VLOOKUP($B288,Dashboard!$Q$28:$S$60,2,FALSE),0),$Z288*IF($U288&lt;&gt;"",ROUND((Dashboard!$R$4/$U288)*VLOOKUP($I288,Dashboard!$Q$9:$R$13,2,FALSE)*IF(ISNUMBER(SEARCH("Duals",$B288)),2,IF(ISNUMBER(SEARCH("Triples",$B288)),3,IF(ISNUMBER(SEARCH("Quads",$B288)),4,1))),2),ROUND(VLOOKUP($I288,Dashboard!$Q$15:$R$20,2,FALSE)*IF($E288="Red",Dashboard!$R$6,IF($E288="Gold",Dashboard!$R$7,Dashboard!$R$5))*IF(ISNUMBER(SEARCH("Duals",$B288)),2,IF(ISNUMBER(SEARCH("Triples",$B288)),3,IF(ISNUMBER(SEARCH("Quads",$B288)),4,1))),2))*IF(IFERROR(VLOOKUP($B288,Dashboard!$Q$28:$S$60,3,FALSE),0)&gt;0,VLOOKUP($B288,Dashboard!$Q$28:$S$60,3,FALSE),1))),0))</f>
        <v>3</v>
      </c>
      <c r="K288" s="2" t="str">
        <f>IF('Base S1'!F88="","",'Base S1'!F88)</f>
        <v>V</v>
      </c>
      <c r="L288" s="2">
        <f t="shared" si="52"/>
        <v>1</v>
      </c>
      <c r="M288" s="2">
        <f t="shared" si="53"/>
        <v>0</v>
      </c>
      <c r="N288" s="2">
        <f t="shared" si="54"/>
        <v>1</v>
      </c>
      <c r="O288" s="2">
        <f t="shared" si="55"/>
        <v>0</v>
      </c>
      <c r="P288" s="112">
        <f t="shared" si="56"/>
        <v>3</v>
      </c>
      <c r="Q288" s="112">
        <f t="shared" si="57"/>
        <v>0</v>
      </c>
      <c r="R288" s="53"/>
      <c r="S288" s="53" t="str">
        <f t="shared" si="58"/>
        <v>Base S1|Compound V Parallel - Season 1|87|Compound V</v>
      </c>
      <c r="T288" s="57" t="str">
        <f>IF($S288="","",IFERROR(VLOOKUP($S288,'Pop Estimates (Non-#d)'!$N$2:$O$500,2,FALSE),""))</f>
        <v/>
      </c>
      <c r="U288" s="57">
        <f t="shared" si="59"/>
        <v>399</v>
      </c>
      <c r="V288" s="53" t="str">
        <f t="shared" si="60"/>
        <v/>
      </c>
      <c r="W288" s="53" t="str">
        <f t="shared" si="61"/>
        <v/>
      </c>
      <c r="X288" s="53" t="str">
        <f t="shared" si="62"/>
        <v/>
      </c>
      <c r="Y288" s="57" t="str">
        <f>IF($X288="","",IFERROR(VLOOKUP($X288,'Char Popularity'!$A$2:$C$500,2,FALSE),""))</f>
        <v/>
      </c>
      <c r="Z288" s="56">
        <f>IF($X288="",1,IFERROR(VLOOKUP($X288,'Char Popularity'!$A$2:$C$500,3,FALSE),1))</f>
        <v>1</v>
      </c>
      <c r="AA288" s="62">
        <f>IF($H288&lt;&gt;"Y",0,(IF($F288&lt;&gt;"",ROUND(Dashboard!$R$4/$F288,1),IF(AND($I288="Base",$E288="Base"),Dashboard!$R$5,IF(AND($I288="Base",$E288="Red"),Dashboard!$R$6,IF(AND($I288="Base",$E288="Gold"),Dashboard!$R$7,VLOOKUP($I288,Dashboard!$Q$16:$R$21,2,FALSE)))))*VLOOKUP($I288,Dashboard!$Q$9:$R$13,2,FALSE)*IF(AND($I288="Auto",$F288="",OR($B288="Autographs Duals",$B288="Autographs Triples",$B288="Autographs Quads",$B288="Autographs Quads (Inscribed)")),IF($B288="Autographs Duals",2,IF($B288="Autographs Triples",3,4)),1)))</f>
        <v>2.5</v>
      </c>
      <c r="AB288" s="62">
        <f t="shared" si="63"/>
        <v>2.5</v>
      </c>
      <c r="AC288" s="62">
        <f t="shared" si="64"/>
        <v>0</v>
      </c>
    </row>
    <row r="289" spans="1:29" ht="42.95" customHeight="1" x14ac:dyDescent="0.25">
      <c r="A289" s="4" t="s">
        <v>17</v>
      </c>
      <c r="B289" s="7" t="s">
        <v>65</v>
      </c>
      <c r="C289" s="2" t="s">
        <v>1487</v>
      </c>
      <c r="D289" s="7" t="s">
        <v>1018</v>
      </c>
      <c r="E289" s="4" t="s">
        <v>778</v>
      </c>
      <c r="F289" s="2">
        <v>399</v>
      </c>
      <c r="G289" s="2" t="s">
        <v>1399</v>
      </c>
      <c r="H289" s="2" t="s">
        <v>1400</v>
      </c>
      <c r="I289" s="4" t="s">
        <v>60</v>
      </c>
      <c r="J289" s="112">
        <f>IF($H289&lt;&gt;"Y",0,ROUND(MIN(Dashboard!$R$24,IF(IFERROR(VLOOKUP($B289,Dashboard!$Q$28:$S$60,2,FALSE),0)&gt;0,IFERROR(VLOOKUP($B289,Dashboard!$Q$28:$S$60,2,FALSE),0),$Z289*IF($U289&lt;&gt;"",ROUND((Dashboard!$R$4/$U289)*VLOOKUP($I289,Dashboard!$Q$9:$R$13,2,FALSE)*IF(ISNUMBER(SEARCH("Duals",$B289)),2,IF(ISNUMBER(SEARCH("Triples",$B289)),3,IF(ISNUMBER(SEARCH("Quads",$B289)),4,1))),2),ROUND(VLOOKUP($I289,Dashboard!$Q$15:$R$20,2,FALSE)*IF($E289="Red",Dashboard!$R$6,IF($E289="Gold",Dashboard!$R$7,Dashboard!$R$5))*IF(ISNUMBER(SEARCH("Duals",$B289)),2,IF(ISNUMBER(SEARCH("Triples",$B289)),3,IF(ISNUMBER(SEARCH("Quads",$B289)),4,1))),2))*IF(IFERROR(VLOOKUP($B289,Dashboard!$Q$28:$S$60,3,FALSE),0)&gt;0,VLOOKUP($B289,Dashboard!$Q$28:$S$60,3,FALSE),1))),0))</f>
        <v>3</v>
      </c>
      <c r="K289" s="2" t="str">
        <f>IF('Base S1'!F89="","",'Base S1'!F89)</f>
        <v>C</v>
      </c>
      <c r="L289" s="2">
        <f t="shared" si="52"/>
        <v>1</v>
      </c>
      <c r="M289" s="2">
        <f t="shared" si="53"/>
        <v>0</v>
      </c>
      <c r="N289" s="2">
        <f t="shared" si="54"/>
        <v>1</v>
      </c>
      <c r="O289" s="2">
        <f t="shared" si="55"/>
        <v>0</v>
      </c>
      <c r="P289" s="112">
        <f t="shared" si="56"/>
        <v>3</v>
      </c>
      <c r="Q289" s="112">
        <f t="shared" si="57"/>
        <v>0</v>
      </c>
      <c r="R289" s="53"/>
      <c r="S289" s="53" t="str">
        <f t="shared" si="58"/>
        <v>Base S1|Compound V Parallel - Season 1|88|Compound V</v>
      </c>
      <c r="T289" s="57" t="str">
        <f>IF($S289="","",IFERROR(VLOOKUP($S289,'Pop Estimates (Non-#d)'!$N$2:$O$500,2,FALSE),""))</f>
        <v/>
      </c>
      <c r="U289" s="57">
        <f t="shared" si="59"/>
        <v>399</v>
      </c>
      <c r="V289" s="53" t="str">
        <f t="shared" si="60"/>
        <v/>
      </c>
      <c r="W289" s="53" t="str">
        <f t="shared" si="61"/>
        <v/>
      </c>
      <c r="X289" s="53" t="str">
        <f t="shared" si="62"/>
        <v/>
      </c>
      <c r="Y289" s="57" t="str">
        <f>IF($X289="","",IFERROR(VLOOKUP($X289,'Char Popularity'!$A$2:$C$500,2,FALSE),""))</f>
        <v/>
      </c>
      <c r="Z289" s="56">
        <f>IF($X289="",1,IFERROR(VLOOKUP($X289,'Char Popularity'!$A$2:$C$500,3,FALSE),1))</f>
        <v>1</v>
      </c>
      <c r="AA289" s="62">
        <f>IF($H289&lt;&gt;"Y",0,(IF($F289&lt;&gt;"",ROUND(Dashboard!$R$4/$F289,1),IF(AND($I289="Base",$E289="Base"),Dashboard!$R$5,IF(AND($I289="Base",$E289="Red"),Dashboard!$R$6,IF(AND($I289="Base",$E289="Gold"),Dashboard!$R$7,VLOOKUP($I289,Dashboard!$Q$16:$R$21,2,FALSE)))))*VLOOKUP($I289,Dashboard!$Q$9:$R$13,2,FALSE)*IF(AND($I289="Auto",$F289="",OR($B289="Autographs Duals",$B289="Autographs Triples",$B289="Autographs Quads",$B289="Autographs Quads (Inscribed)")),IF($B289="Autographs Duals",2,IF($B289="Autographs Triples",3,4)),1)))</f>
        <v>2.5</v>
      </c>
      <c r="AB289" s="62">
        <f t="shared" si="63"/>
        <v>2.5</v>
      </c>
      <c r="AC289" s="62">
        <f t="shared" si="64"/>
        <v>0</v>
      </c>
    </row>
    <row r="290" spans="1:29" ht="42.95" customHeight="1" x14ac:dyDescent="0.25">
      <c r="A290" s="4" t="s">
        <v>17</v>
      </c>
      <c r="B290" s="7" t="s">
        <v>65</v>
      </c>
      <c r="C290" s="2" t="s">
        <v>1488</v>
      </c>
      <c r="D290" s="7" t="s">
        <v>1021</v>
      </c>
      <c r="E290" s="4" t="s">
        <v>778</v>
      </c>
      <c r="F290" s="2">
        <v>399</v>
      </c>
      <c r="G290" s="2" t="s">
        <v>1399</v>
      </c>
      <c r="H290" s="2" t="s">
        <v>1400</v>
      </c>
      <c r="I290" s="4" t="s">
        <v>60</v>
      </c>
      <c r="J290" s="112">
        <f>IF($H290&lt;&gt;"Y",0,ROUND(MIN(Dashboard!$R$24,IF(IFERROR(VLOOKUP($B290,Dashboard!$Q$28:$S$60,2,FALSE),0)&gt;0,IFERROR(VLOOKUP($B290,Dashboard!$Q$28:$S$60,2,FALSE),0),$Z290*IF($U290&lt;&gt;"",ROUND((Dashboard!$R$4/$U290)*VLOOKUP($I290,Dashboard!$Q$9:$R$13,2,FALSE)*IF(ISNUMBER(SEARCH("Duals",$B290)),2,IF(ISNUMBER(SEARCH("Triples",$B290)),3,IF(ISNUMBER(SEARCH("Quads",$B290)),4,1))),2),ROUND(VLOOKUP($I290,Dashboard!$Q$15:$R$20,2,FALSE)*IF($E290="Red",Dashboard!$R$6,IF($E290="Gold",Dashboard!$R$7,Dashboard!$R$5))*IF(ISNUMBER(SEARCH("Duals",$B290)),2,IF(ISNUMBER(SEARCH("Triples",$B290)),3,IF(ISNUMBER(SEARCH("Quads",$B290)),4,1))),2))*IF(IFERROR(VLOOKUP($B290,Dashboard!$Q$28:$S$60,3,FALSE),0)&gt;0,VLOOKUP($B290,Dashboard!$Q$28:$S$60,3,FALSE),1))),0))</f>
        <v>3</v>
      </c>
      <c r="K290" s="2" t="str">
        <f>IF('Base S1'!F90="","",'Base S1'!F90)</f>
        <v>V</v>
      </c>
      <c r="L290" s="2">
        <f t="shared" si="52"/>
        <v>1</v>
      </c>
      <c r="M290" s="2">
        <f t="shared" si="53"/>
        <v>0</v>
      </c>
      <c r="N290" s="2">
        <f t="shared" si="54"/>
        <v>1</v>
      </c>
      <c r="O290" s="2">
        <f t="shared" si="55"/>
        <v>0</v>
      </c>
      <c r="P290" s="112">
        <f t="shared" si="56"/>
        <v>3</v>
      </c>
      <c r="Q290" s="112">
        <f t="shared" si="57"/>
        <v>0</v>
      </c>
      <c r="R290" s="53"/>
      <c r="S290" s="53" t="str">
        <f t="shared" si="58"/>
        <v>Base S1|Compound V Parallel - Season 1|89|Compound V</v>
      </c>
      <c r="T290" s="57" t="str">
        <f>IF($S290="","",IFERROR(VLOOKUP($S290,'Pop Estimates (Non-#d)'!$N$2:$O$500,2,FALSE),""))</f>
        <v/>
      </c>
      <c r="U290" s="57">
        <f t="shared" si="59"/>
        <v>399</v>
      </c>
      <c r="V290" s="53" t="str">
        <f t="shared" si="60"/>
        <v/>
      </c>
      <c r="W290" s="53" t="str">
        <f t="shared" si="61"/>
        <v/>
      </c>
      <c r="X290" s="53" t="str">
        <f t="shared" si="62"/>
        <v/>
      </c>
      <c r="Y290" s="57" t="str">
        <f>IF($X290="","",IFERROR(VLOOKUP($X290,'Char Popularity'!$A$2:$C$500,2,FALSE),""))</f>
        <v/>
      </c>
      <c r="Z290" s="56">
        <f>IF($X290="",1,IFERROR(VLOOKUP($X290,'Char Popularity'!$A$2:$C$500,3,FALSE),1))</f>
        <v>1</v>
      </c>
      <c r="AA290" s="62">
        <f>IF($H290&lt;&gt;"Y",0,(IF($F290&lt;&gt;"",ROUND(Dashboard!$R$4/$F290,1),IF(AND($I290="Base",$E290="Base"),Dashboard!$R$5,IF(AND($I290="Base",$E290="Red"),Dashboard!$R$6,IF(AND($I290="Base",$E290="Gold"),Dashboard!$R$7,VLOOKUP($I290,Dashboard!$Q$16:$R$21,2,FALSE)))))*VLOOKUP($I290,Dashboard!$Q$9:$R$13,2,FALSE)*IF(AND($I290="Auto",$F290="",OR($B290="Autographs Duals",$B290="Autographs Triples",$B290="Autographs Quads",$B290="Autographs Quads (Inscribed)")),IF($B290="Autographs Duals",2,IF($B290="Autographs Triples",3,4)),1)))</f>
        <v>2.5</v>
      </c>
      <c r="AB290" s="62">
        <f t="shared" si="63"/>
        <v>2.5</v>
      </c>
      <c r="AC290" s="62">
        <f t="shared" si="64"/>
        <v>0</v>
      </c>
    </row>
    <row r="291" spans="1:29" ht="42.95" customHeight="1" x14ac:dyDescent="0.25">
      <c r="A291" s="4" t="s">
        <v>17</v>
      </c>
      <c r="B291" s="7" t="s">
        <v>65</v>
      </c>
      <c r="C291" s="2" t="s">
        <v>1489</v>
      </c>
      <c r="D291" s="7" t="s">
        <v>1023</v>
      </c>
      <c r="E291" s="4" t="s">
        <v>778</v>
      </c>
      <c r="F291" s="2">
        <v>399</v>
      </c>
      <c r="G291" s="2" t="s">
        <v>1399</v>
      </c>
      <c r="H291" s="2" t="s">
        <v>1400</v>
      </c>
      <c r="I291" s="4" t="s">
        <v>60</v>
      </c>
      <c r="J291" s="112">
        <f>IF($H291&lt;&gt;"Y",0,ROUND(MIN(Dashboard!$R$24,IF(IFERROR(VLOOKUP($B291,Dashboard!$Q$28:$S$60,2,FALSE),0)&gt;0,IFERROR(VLOOKUP($B291,Dashboard!$Q$28:$S$60,2,FALSE),0),$Z291*IF($U291&lt;&gt;"",ROUND((Dashboard!$R$4/$U291)*VLOOKUP($I291,Dashboard!$Q$9:$R$13,2,FALSE)*IF(ISNUMBER(SEARCH("Duals",$B291)),2,IF(ISNUMBER(SEARCH("Triples",$B291)),3,IF(ISNUMBER(SEARCH("Quads",$B291)),4,1))),2),ROUND(VLOOKUP($I291,Dashboard!$Q$15:$R$20,2,FALSE)*IF($E291="Red",Dashboard!$R$6,IF($E291="Gold",Dashboard!$R$7,Dashboard!$R$5))*IF(ISNUMBER(SEARCH("Duals",$B291)),2,IF(ISNUMBER(SEARCH("Triples",$B291)),3,IF(ISNUMBER(SEARCH("Quads",$B291)),4,1))),2))*IF(IFERROR(VLOOKUP($B291,Dashboard!$Q$28:$S$60,3,FALSE),0)&gt;0,VLOOKUP($B291,Dashboard!$Q$28:$S$60,3,FALSE),1))),0))</f>
        <v>3</v>
      </c>
      <c r="K291" s="2" t="str">
        <f>IF('Base S1'!F91="","",'Base S1'!F91)</f>
        <v>V</v>
      </c>
      <c r="L291" s="2">
        <f t="shared" si="52"/>
        <v>1</v>
      </c>
      <c r="M291" s="2">
        <f t="shared" si="53"/>
        <v>0</v>
      </c>
      <c r="N291" s="2">
        <f t="shared" si="54"/>
        <v>1</v>
      </c>
      <c r="O291" s="2">
        <f t="shared" si="55"/>
        <v>0</v>
      </c>
      <c r="P291" s="112">
        <f t="shared" si="56"/>
        <v>3</v>
      </c>
      <c r="Q291" s="112">
        <f t="shared" si="57"/>
        <v>0</v>
      </c>
      <c r="R291" s="53"/>
      <c r="S291" s="53" t="str">
        <f t="shared" si="58"/>
        <v>Base S1|Compound V Parallel - Season 1|90|Compound V</v>
      </c>
      <c r="T291" s="57" t="str">
        <f>IF($S291="","",IFERROR(VLOOKUP($S291,'Pop Estimates (Non-#d)'!$N$2:$O$500,2,FALSE),""))</f>
        <v/>
      </c>
      <c r="U291" s="57">
        <f t="shared" si="59"/>
        <v>399</v>
      </c>
      <c r="V291" s="53" t="str">
        <f t="shared" si="60"/>
        <v/>
      </c>
      <c r="W291" s="53" t="str">
        <f t="shared" si="61"/>
        <v/>
      </c>
      <c r="X291" s="53" t="str">
        <f t="shared" si="62"/>
        <v/>
      </c>
      <c r="Y291" s="57" t="str">
        <f>IF($X291="","",IFERROR(VLOOKUP($X291,'Char Popularity'!$A$2:$C$500,2,FALSE),""))</f>
        <v/>
      </c>
      <c r="Z291" s="56">
        <f>IF($X291="",1,IFERROR(VLOOKUP($X291,'Char Popularity'!$A$2:$C$500,3,FALSE),1))</f>
        <v>1</v>
      </c>
      <c r="AA291" s="62">
        <f>IF($H291&lt;&gt;"Y",0,(IF($F291&lt;&gt;"",ROUND(Dashboard!$R$4/$F291,1),IF(AND($I291="Base",$E291="Base"),Dashboard!$R$5,IF(AND($I291="Base",$E291="Red"),Dashboard!$R$6,IF(AND($I291="Base",$E291="Gold"),Dashboard!$R$7,VLOOKUP($I291,Dashboard!$Q$16:$R$21,2,FALSE)))))*VLOOKUP($I291,Dashboard!$Q$9:$R$13,2,FALSE)*IF(AND($I291="Auto",$F291="",OR($B291="Autographs Duals",$B291="Autographs Triples",$B291="Autographs Quads",$B291="Autographs Quads (Inscribed)")),IF($B291="Autographs Duals",2,IF($B291="Autographs Triples",3,4)),1)))</f>
        <v>2.5</v>
      </c>
      <c r="AB291" s="62">
        <f t="shared" si="63"/>
        <v>2.5</v>
      </c>
      <c r="AC291" s="62">
        <f t="shared" si="64"/>
        <v>0</v>
      </c>
    </row>
    <row r="292" spans="1:29" ht="42.95" customHeight="1" x14ac:dyDescent="0.25">
      <c r="A292" s="4" t="s">
        <v>17</v>
      </c>
      <c r="B292" s="7" t="s">
        <v>65</v>
      </c>
      <c r="C292" s="2" t="s">
        <v>1490</v>
      </c>
      <c r="D292" s="7" t="s">
        <v>1025</v>
      </c>
      <c r="E292" s="4" t="s">
        <v>778</v>
      </c>
      <c r="F292" s="2">
        <v>399</v>
      </c>
      <c r="G292" s="2" t="s">
        <v>1399</v>
      </c>
      <c r="H292" s="2" t="s">
        <v>1400</v>
      </c>
      <c r="I292" s="4" t="s">
        <v>60</v>
      </c>
      <c r="J292" s="112">
        <f>IF($H292&lt;&gt;"Y",0,ROUND(MIN(Dashboard!$R$24,IF(IFERROR(VLOOKUP($B292,Dashboard!$Q$28:$S$60,2,FALSE),0)&gt;0,IFERROR(VLOOKUP($B292,Dashboard!$Q$28:$S$60,2,FALSE),0),$Z292*IF($U292&lt;&gt;"",ROUND((Dashboard!$R$4/$U292)*VLOOKUP($I292,Dashboard!$Q$9:$R$13,2,FALSE)*IF(ISNUMBER(SEARCH("Duals",$B292)),2,IF(ISNUMBER(SEARCH("Triples",$B292)),3,IF(ISNUMBER(SEARCH("Quads",$B292)),4,1))),2),ROUND(VLOOKUP($I292,Dashboard!$Q$15:$R$20,2,FALSE)*IF($E292="Red",Dashboard!$R$6,IF($E292="Gold",Dashboard!$R$7,Dashboard!$R$5))*IF(ISNUMBER(SEARCH("Duals",$B292)),2,IF(ISNUMBER(SEARCH("Triples",$B292)),3,IF(ISNUMBER(SEARCH("Quads",$B292)),4,1))),2))*IF(IFERROR(VLOOKUP($B292,Dashboard!$Q$28:$S$60,3,FALSE),0)&gt;0,VLOOKUP($B292,Dashboard!$Q$28:$S$60,3,FALSE),1))),0))</f>
        <v>3</v>
      </c>
      <c r="K292" s="2" t="str">
        <f>IF('Base S1'!F92="","",'Base S1'!F92)</f>
        <v>C</v>
      </c>
      <c r="L292" s="2">
        <f t="shared" si="52"/>
        <v>1</v>
      </c>
      <c r="M292" s="2">
        <f t="shared" si="53"/>
        <v>0</v>
      </c>
      <c r="N292" s="2">
        <f t="shared" si="54"/>
        <v>1</v>
      </c>
      <c r="O292" s="2">
        <f t="shared" si="55"/>
        <v>0</v>
      </c>
      <c r="P292" s="112">
        <f t="shared" si="56"/>
        <v>3</v>
      </c>
      <c r="Q292" s="112">
        <f t="shared" si="57"/>
        <v>0</v>
      </c>
      <c r="R292" s="53"/>
      <c r="S292" s="53" t="str">
        <f t="shared" si="58"/>
        <v>Base S1|Compound V Parallel - Season 1|91|Compound V</v>
      </c>
      <c r="T292" s="57" t="str">
        <f>IF($S292="","",IFERROR(VLOOKUP($S292,'Pop Estimates (Non-#d)'!$N$2:$O$500,2,FALSE),""))</f>
        <v/>
      </c>
      <c r="U292" s="57">
        <f t="shared" si="59"/>
        <v>399</v>
      </c>
      <c r="V292" s="53" t="str">
        <f t="shared" si="60"/>
        <v/>
      </c>
      <c r="W292" s="53" t="str">
        <f t="shared" si="61"/>
        <v/>
      </c>
      <c r="X292" s="53" t="str">
        <f t="shared" si="62"/>
        <v/>
      </c>
      <c r="Y292" s="57" t="str">
        <f>IF($X292="","",IFERROR(VLOOKUP($X292,'Char Popularity'!$A$2:$C$500,2,FALSE),""))</f>
        <v/>
      </c>
      <c r="Z292" s="56">
        <f>IF($X292="",1,IFERROR(VLOOKUP($X292,'Char Popularity'!$A$2:$C$500,3,FALSE),1))</f>
        <v>1</v>
      </c>
      <c r="AA292" s="62">
        <f>IF($H292&lt;&gt;"Y",0,(IF($F292&lt;&gt;"",ROUND(Dashboard!$R$4/$F292,1),IF(AND($I292="Base",$E292="Base"),Dashboard!$R$5,IF(AND($I292="Base",$E292="Red"),Dashboard!$R$6,IF(AND($I292="Base",$E292="Gold"),Dashboard!$R$7,VLOOKUP($I292,Dashboard!$Q$16:$R$21,2,FALSE)))))*VLOOKUP($I292,Dashboard!$Q$9:$R$13,2,FALSE)*IF(AND($I292="Auto",$F292="",OR($B292="Autographs Duals",$B292="Autographs Triples",$B292="Autographs Quads",$B292="Autographs Quads (Inscribed)")),IF($B292="Autographs Duals",2,IF($B292="Autographs Triples",3,4)),1)))</f>
        <v>2.5</v>
      </c>
      <c r="AB292" s="62">
        <f t="shared" si="63"/>
        <v>2.5</v>
      </c>
      <c r="AC292" s="62">
        <f t="shared" si="64"/>
        <v>0</v>
      </c>
    </row>
    <row r="293" spans="1:29" ht="42.95" customHeight="1" x14ac:dyDescent="0.25">
      <c r="A293" s="4" t="s">
        <v>17</v>
      </c>
      <c r="B293" s="7" t="s">
        <v>65</v>
      </c>
      <c r="C293" s="2" t="s">
        <v>1491</v>
      </c>
      <c r="D293" s="7" t="s">
        <v>1027</v>
      </c>
      <c r="E293" s="4" t="s">
        <v>778</v>
      </c>
      <c r="F293" s="2">
        <v>399</v>
      </c>
      <c r="G293" s="2" t="s">
        <v>1399</v>
      </c>
      <c r="H293" s="2" t="s">
        <v>1400</v>
      </c>
      <c r="I293" s="4" t="s">
        <v>60</v>
      </c>
      <c r="J293" s="112">
        <f>IF($H293&lt;&gt;"Y",0,ROUND(MIN(Dashboard!$R$24,IF(IFERROR(VLOOKUP($B293,Dashboard!$Q$28:$S$60,2,FALSE),0)&gt;0,IFERROR(VLOOKUP($B293,Dashboard!$Q$28:$S$60,2,FALSE),0),$Z293*IF($U293&lt;&gt;"",ROUND((Dashboard!$R$4/$U293)*VLOOKUP($I293,Dashboard!$Q$9:$R$13,2,FALSE)*IF(ISNUMBER(SEARCH("Duals",$B293)),2,IF(ISNUMBER(SEARCH("Triples",$B293)),3,IF(ISNUMBER(SEARCH("Quads",$B293)),4,1))),2),ROUND(VLOOKUP($I293,Dashboard!$Q$15:$R$20,2,FALSE)*IF($E293="Red",Dashboard!$R$6,IF($E293="Gold",Dashboard!$R$7,Dashboard!$R$5))*IF(ISNUMBER(SEARCH("Duals",$B293)),2,IF(ISNUMBER(SEARCH("Triples",$B293)),3,IF(ISNUMBER(SEARCH("Quads",$B293)),4,1))),2))*IF(IFERROR(VLOOKUP($B293,Dashboard!$Q$28:$S$60,3,FALSE),0)&gt;0,VLOOKUP($B293,Dashboard!$Q$28:$S$60,3,FALSE),1))),0))</f>
        <v>3</v>
      </c>
      <c r="K293" s="2" t="str">
        <f>IF('Base S1'!F93="","",'Base S1'!F93)</f>
        <v>C</v>
      </c>
      <c r="L293" s="2">
        <f t="shared" si="52"/>
        <v>1</v>
      </c>
      <c r="M293" s="2">
        <f t="shared" si="53"/>
        <v>0</v>
      </c>
      <c r="N293" s="2">
        <f t="shared" si="54"/>
        <v>1</v>
      </c>
      <c r="O293" s="2">
        <f t="shared" si="55"/>
        <v>0</v>
      </c>
      <c r="P293" s="112">
        <f t="shared" si="56"/>
        <v>3</v>
      </c>
      <c r="Q293" s="112">
        <f t="shared" si="57"/>
        <v>0</v>
      </c>
      <c r="R293" s="53"/>
      <c r="S293" s="53" t="str">
        <f t="shared" si="58"/>
        <v>Base S1|Compound V Parallel - Season 1|92|Compound V</v>
      </c>
      <c r="T293" s="57" t="str">
        <f>IF($S293="","",IFERROR(VLOOKUP($S293,'Pop Estimates (Non-#d)'!$N$2:$O$500,2,FALSE),""))</f>
        <v/>
      </c>
      <c r="U293" s="57">
        <f t="shared" si="59"/>
        <v>399</v>
      </c>
      <c r="V293" s="53" t="str">
        <f t="shared" si="60"/>
        <v/>
      </c>
      <c r="W293" s="53" t="str">
        <f t="shared" si="61"/>
        <v/>
      </c>
      <c r="X293" s="53" t="str">
        <f t="shared" si="62"/>
        <v/>
      </c>
      <c r="Y293" s="57" t="str">
        <f>IF($X293="","",IFERROR(VLOOKUP($X293,'Char Popularity'!$A$2:$C$500,2,FALSE),""))</f>
        <v/>
      </c>
      <c r="Z293" s="56">
        <f>IF($X293="",1,IFERROR(VLOOKUP($X293,'Char Popularity'!$A$2:$C$500,3,FALSE),1))</f>
        <v>1</v>
      </c>
      <c r="AA293" s="62">
        <f>IF($H293&lt;&gt;"Y",0,(IF($F293&lt;&gt;"",ROUND(Dashboard!$R$4/$F293,1),IF(AND($I293="Base",$E293="Base"),Dashboard!$R$5,IF(AND($I293="Base",$E293="Red"),Dashboard!$R$6,IF(AND($I293="Base",$E293="Gold"),Dashboard!$R$7,VLOOKUP($I293,Dashboard!$Q$16:$R$21,2,FALSE)))))*VLOOKUP($I293,Dashboard!$Q$9:$R$13,2,FALSE)*IF(AND($I293="Auto",$F293="",OR($B293="Autographs Duals",$B293="Autographs Triples",$B293="Autographs Quads",$B293="Autographs Quads (Inscribed)")),IF($B293="Autographs Duals",2,IF($B293="Autographs Triples",3,4)),1)))</f>
        <v>2.5</v>
      </c>
      <c r="AB293" s="62">
        <f t="shared" si="63"/>
        <v>2.5</v>
      </c>
      <c r="AC293" s="62">
        <f t="shared" si="64"/>
        <v>0</v>
      </c>
    </row>
    <row r="294" spans="1:29" ht="42.95" customHeight="1" x14ac:dyDescent="0.25">
      <c r="A294" s="4" t="s">
        <v>17</v>
      </c>
      <c r="B294" s="7" t="s">
        <v>65</v>
      </c>
      <c r="C294" s="2" t="s">
        <v>1492</v>
      </c>
      <c r="D294" s="7" t="s">
        <v>1029</v>
      </c>
      <c r="E294" s="4" t="s">
        <v>778</v>
      </c>
      <c r="F294" s="2">
        <v>399</v>
      </c>
      <c r="G294" s="2" t="s">
        <v>1399</v>
      </c>
      <c r="H294" s="2" t="s">
        <v>1400</v>
      </c>
      <c r="I294" s="4" t="s">
        <v>60</v>
      </c>
      <c r="J294" s="112">
        <f>IF($H294&lt;&gt;"Y",0,ROUND(MIN(Dashboard!$R$24,IF(IFERROR(VLOOKUP($B294,Dashboard!$Q$28:$S$60,2,FALSE),0)&gt;0,IFERROR(VLOOKUP($B294,Dashboard!$Q$28:$S$60,2,FALSE),0),$Z294*IF($U294&lt;&gt;"",ROUND((Dashboard!$R$4/$U294)*VLOOKUP($I294,Dashboard!$Q$9:$R$13,2,FALSE)*IF(ISNUMBER(SEARCH("Duals",$B294)),2,IF(ISNUMBER(SEARCH("Triples",$B294)),3,IF(ISNUMBER(SEARCH("Quads",$B294)),4,1))),2),ROUND(VLOOKUP($I294,Dashboard!$Q$15:$R$20,2,FALSE)*IF($E294="Red",Dashboard!$R$6,IF($E294="Gold",Dashboard!$R$7,Dashboard!$R$5))*IF(ISNUMBER(SEARCH("Duals",$B294)),2,IF(ISNUMBER(SEARCH("Triples",$B294)),3,IF(ISNUMBER(SEARCH("Quads",$B294)),4,1))),2))*IF(IFERROR(VLOOKUP($B294,Dashboard!$Q$28:$S$60,3,FALSE),0)&gt;0,VLOOKUP($B294,Dashboard!$Q$28:$S$60,3,FALSE),1))),0))</f>
        <v>3</v>
      </c>
      <c r="K294" s="2" t="str">
        <f>IF('Base S1'!F94="","",'Base S1'!F94)</f>
        <v>V</v>
      </c>
      <c r="L294" s="2">
        <f t="shared" si="52"/>
        <v>1</v>
      </c>
      <c r="M294" s="2">
        <f t="shared" si="53"/>
        <v>0</v>
      </c>
      <c r="N294" s="2">
        <f t="shared" si="54"/>
        <v>1</v>
      </c>
      <c r="O294" s="2">
        <f t="shared" si="55"/>
        <v>0</v>
      </c>
      <c r="P294" s="112">
        <f t="shared" si="56"/>
        <v>3</v>
      </c>
      <c r="Q294" s="112">
        <f t="shared" si="57"/>
        <v>0</v>
      </c>
      <c r="R294" s="53"/>
      <c r="S294" s="53" t="str">
        <f t="shared" si="58"/>
        <v>Base S1|Compound V Parallel - Season 1|93|Compound V</v>
      </c>
      <c r="T294" s="57" t="str">
        <f>IF($S294="","",IFERROR(VLOOKUP($S294,'Pop Estimates (Non-#d)'!$N$2:$O$500,2,FALSE),""))</f>
        <v/>
      </c>
      <c r="U294" s="57">
        <f t="shared" si="59"/>
        <v>399</v>
      </c>
      <c r="V294" s="53" t="str">
        <f t="shared" si="60"/>
        <v/>
      </c>
      <c r="W294" s="53" t="str">
        <f t="shared" si="61"/>
        <v/>
      </c>
      <c r="X294" s="53" t="str">
        <f t="shared" si="62"/>
        <v/>
      </c>
      <c r="Y294" s="57" t="str">
        <f>IF($X294="","",IFERROR(VLOOKUP($X294,'Char Popularity'!$A$2:$C$500,2,FALSE),""))</f>
        <v/>
      </c>
      <c r="Z294" s="56">
        <f>IF($X294="",1,IFERROR(VLOOKUP($X294,'Char Popularity'!$A$2:$C$500,3,FALSE),1))</f>
        <v>1</v>
      </c>
      <c r="AA294" s="62">
        <f>IF($H294&lt;&gt;"Y",0,(IF($F294&lt;&gt;"",ROUND(Dashboard!$R$4/$F294,1),IF(AND($I294="Base",$E294="Base"),Dashboard!$R$5,IF(AND($I294="Base",$E294="Red"),Dashboard!$R$6,IF(AND($I294="Base",$E294="Gold"),Dashboard!$R$7,VLOOKUP($I294,Dashboard!$Q$16:$R$21,2,FALSE)))))*VLOOKUP($I294,Dashboard!$Q$9:$R$13,2,FALSE)*IF(AND($I294="Auto",$F294="",OR($B294="Autographs Duals",$B294="Autographs Triples",$B294="Autographs Quads",$B294="Autographs Quads (Inscribed)")),IF($B294="Autographs Duals",2,IF($B294="Autographs Triples",3,4)),1)))</f>
        <v>2.5</v>
      </c>
      <c r="AB294" s="62">
        <f t="shared" si="63"/>
        <v>2.5</v>
      </c>
      <c r="AC294" s="62">
        <f t="shared" si="64"/>
        <v>0</v>
      </c>
    </row>
    <row r="295" spans="1:29" ht="42.95" customHeight="1" x14ac:dyDescent="0.25">
      <c r="A295" s="4" t="s">
        <v>17</v>
      </c>
      <c r="B295" s="7" t="s">
        <v>65</v>
      </c>
      <c r="C295" s="2" t="s">
        <v>1493</v>
      </c>
      <c r="D295" s="7" t="s">
        <v>1031</v>
      </c>
      <c r="E295" s="4" t="s">
        <v>778</v>
      </c>
      <c r="F295" s="2">
        <v>399</v>
      </c>
      <c r="G295" s="2" t="s">
        <v>1399</v>
      </c>
      <c r="H295" s="2" t="s">
        <v>1400</v>
      </c>
      <c r="I295" s="4" t="s">
        <v>60</v>
      </c>
      <c r="J295" s="112">
        <f>IF($H295&lt;&gt;"Y",0,ROUND(MIN(Dashboard!$R$24,IF(IFERROR(VLOOKUP($B295,Dashboard!$Q$28:$S$60,2,FALSE),0)&gt;0,IFERROR(VLOOKUP($B295,Dashboard!$Q$28:$S$60,2,FALSE),0),$Z295*IF($U295&lt;&gt;"",ROUND((Dashboard!$R$4/$U295)*VLOOKUP($I295,Dashboard!$Q$9:$R$13,2,FALSE)*IF(ISNUMBER(SEARCH("Duals",$B295)),2,IF(ISNUMBER(SEARCH("Triples",$B295)),3,IF(ISNUMBER(SEARCH("Quads",$B295)),4,1))),2),ROUND(VLOOKUP($I295,Dashboard!$Q$15:$R$20,2,FALSE)*IF($E295="Red",Dashboard!$R$6,IF($E295="Gold",Dashboard!$R$7,Dashboard!$R$5))*IF(ISNUMBER(SEARCH("Duals",$B295)),2,IF(ISNUMBER(SEARCH("Triples",$B295)),3,IF(ISNUMBER(SEARCH("Quads",$B295)),4,1))),2))*IF(IFERROR(VLOOKUP($B295,Dashboard!$Q$28:$S$60,3,FALSE),0)&gt;0,VLOOKUP($B295,Dashboard!$Q$28:$S$60,3,FALSE),1))),0))</f>
        <v>3</v>
      </c>
      <c r="K295" s="2" t="str">
        <f>IF('Base S1'!F95="","",'Base S1'!F95)</f>
        <v>V</v>
      </c>
      <c r="L295" s="2">
        <f t="shared" si="52"/>
        <v>1</v>
      </c>
      <c r="M295" s="2">
        <f t="shared" si="53"/>
        <v>0</v>
      </c>
      <c r="N295" s="2">
        <f t="shared" si="54"/>
        <v>1</v>
      </c>
      <c r="O295" s="2">
        <f t="shared" si="55"/>
        <v>0</v>
      </c>
      <c r="P295" s="112">
        <f t="shared" si="56"/>
        <v>3</v>
      </c>
      <c r="Q295" s="112">
        <f t="shared" si="57"/>
        <v>0</v>
      </c>
      <c r="R295" s="53"/>
      <c r="S295" s="53" t="str">
        <f t="shared" si="58"/>
        <v>Base S1|Compound V Parallel - Season 1|94|Compound V</v>
      </c>
      <c r="T295" s="57" t="str">
        <f>IF($S295="","",IFERROR(VLOOKUP($S295,'Pop Estimates (Non-#d)'!$N$2:$O$500,2,FALSE),""))</f>
        <v/>
      </c>
      <c r="U295" s="57">
        <f t="shared" si="59"/>
        <v>399</v>
      </c>
      <c r="V295" s="53" t="str">
        <f t="shared" si="60"/>
        <v/>
      </c>
      <c r="W295" s="53" t="str">
        <f t="shared" si="61"/>
        <v/>
      </c>
      <c r="X295" s="53" t="str">
        <f t="shared" si="62"/>
        <v/>
      </c>
      <c r="Y295" s="57" t="str">
        <f>IF($X295="","",IFERROR(VLOOKUP($X295,'Char Popularity'!$A$2:$C$500,2,FALSE),""))</f>
        <v/>
      </c>
      <c r="Z295" s="56">
        <f>IF($X295="",1,IFERROR(VLOOKUP($X295,'Char Popularity'!$A$2:$C$500,3,FALSE),1))</f>
        <v>1</v>
      </c>
      <c r="AA295" s="62">
        <f>IF($H295&lt;&gt;"Y",0,(IF($F295&lt;&gt;"",ROUND(Dashboard!$R$4/$F295,1),IF(AND($I295="Base",$E295="Base"),Dashboard!$R$5,IF(AND($I295="Base",$E295="Red"),Dashboard!$R$6,IF(AND($I295="Base",$E295="Gold"),Dashboard!$R$7,VLOOKUP($I295,Dashboard!$Q$16:$R$21,2,FALSE)))))*VLOOKUP($I295,Dashboard!$Q$9:$R$13,2,FALSE)*IF(AND($I295="Auto",$F295="",OR($B295="Autographs Duals",$B295="Autographs Triples",$B295="Autographs Quads",$B295="Autographs Quads (Inscribed)")),IF($B295="Autographs Duals",2,IF($B295="Autographs Triples",3,4)),1)))</f>
        <v>2.5</v>
      </c>
      <c r="AB295" s="62">
        <f t="shared" si="63"/>
        <v>2.5</v>
      </c>
      <c r="AC295" s="62">
        <f t="shared" si="64"/>
        <v>0</v>
      </c>
    </row>
    <row r="296" spans="1:29" ht="42.95" customHeight="1" x14ac:dyDescent="0.25">
      <c r="A296" s="4" t="s">
        <v>17</v>
      </c>
      <c r="B296" s="7" t="s">
        <v>65</v>
      </c>
      <c r="C296" s="2" t="s">
        <v>1494</v>
      </c>
      <c r="D296" s="7" t="s">
        <v>1032</v>
      </c>
      <c r="E296" s="4" t="s">
        <v>778</v>
      </c>
      <c r="F296" s="2">
        <v>399</v>
      </c>
      <c r="G296" s="2" t="s">
        <v>1399</v>
      </c>
      <c r="H296" s="2" t="s">
        <v>1400</v>
      </c>
      <c r="I296" s="4" t="s">
        <v>60</v>
      </c>
      <c r="J296" s="112">
        <f>IF($H296&lt;&gt;"Y",0,ROUND(MIN(Dashboard!$R$24,IF(IFERROR(VLOOKUP($B296,Dashboard!$Q$28:$S$60,2,FALSE),0)&gt;0,IFERROR(VLOOKUP($B296,Dashboard!$Q$28:$S$60,2,FALSE),0),$Z296*IF($U296&lt;&gt;"",ROUND((Dashboard!$R$4/$U296)*VLOOKUP($I296,Dashboard!$Q$9:$R$13,2,FALSE)*IF(ISNUMBER(SEARCH("Duals",$B296)),2,IF(ISNUMBER(SEARCH("Triples",$B296)),3,IF(ISNUMBER(SEARCH("Quads",$B296)),4,1))),2),ROUND(VLOOKUP($I296,Dashboard!$Q$15:$R$20,2,FALSE)*IF($E296="Red",Dashboard!$R$6,IF($E296="Gold",Dashboard!$R$7,Dashboard!$R$5))*IF(ISNUMBER(SEARCH("Duals",$B296)),2,IF(ISNUMBER(SEARCH("Triples",$B296)),3,IF(ISNUMBER(SEARCH("Quads",$B296)),4,1))),2))*IF(IFERROR(VLOOKUP($B296,Dashboard!$Q$28:$S$60,3,FALSE),0)&gt;0,VLOOKUP($B296,Dashboard!$Q$28:$S$60,3,FALSE),1))),0))</f>
        <v>3</v>
      </c>
      <c r="K296" s="2" t="str">
        <f>IF('Base S1'!F96="","",'Base S1'!F96)</f>
        <v>V</v>
      </c>
      <c r="L296" s="2">
        <f t="shared" si="52"/>
        <v>1</v>
      </c>
      <c r="M296" s="2">
        <f t="shared" si="53"/>
        <v>0</v>
      </c>
      <c r="N296" s="2">
        <f t="shared" si="54"/>
        <v>1</v>
      </c>
      <c r="O296" s="2">
        <f t="shared" si="55"/>
        <v>0</v>
      </c>
      <c r="P296" s="112">
        <f t="shared" si="56"/>
        <v>3</v>
      </c>
      <c r="Q296" s="112">
        <f t="shared" si="57"/>
        <v>0</v>
      </c>
      <c r="R296" s="53"/>
      <c r="S296" s="53" t="str">
        <f t="shared" si="58"/>
        <v>Base S1|Compound V Parallel - Season 1|95|Compound V</v>
      </c>
      <c r="T296" s="57" t="str">
        <f>IF($S296="","",IFERROR(VLOOKUP($S296,'Pop Estimates (Non-#d)'!$N$2:$O$500,2,FALSE),""))</f>
        <v/>
      </c>
      <c r="U296" s="57">
        <f t="shared" si="59"/>
        <v>399</v>
      </c>
      <c r="V296" s="53" t="str">
        <f t="shared" si="60"/>
        <v/>
      </c>
      <c r="W296" s="53" t="str">
        <f t="shared" si="61"/>
        <v/>
      </c>
      <c r="X296" s="53" t="str">
        <f t="shared" si="62"/>
        <v/>
      </c>
      <c r="Y296" s="57" t="str">
        <f>IF($X296="","",IFERROR(VLOOKUP($X296,'Char Popularity'!$A$2:$C$500,2,FALSE),""))</f>
        <v/>
      </c>
      <c r="Z296" s="56">
        <f>IF($X296="",1,IFERROR(VLOOKUP($X296,'Char Popularity'!$A$2:$C$500,3,FALSE),1))</f>
        <v>1</v>
      </c>
      <c r="AA296" s="62">
        <f>IF($H296&lt;&gt;"Y",0,(IF($F296&lt;&gt;"",ROUND(Dashboard!$R$4/$F296,1),IF(AND($I296="Base",$E296="Base"),Dashboard!$R$5,IF(AND($I296="Base",$E296="Red"),Dashboard!$R$6,IF(AND($I296="Base",$E296="Gold"),Dashboard!$R$7,VLOOKUP($I296,Dashboard!$Q$16:$R$21,2,FALSE)))))*VLOOKUP($I296,Dashboard!$Q$9:$R$13,2,FALSE)*IF(AND($I296="Auto",$F296="",OR($B296="Autographs Duals",$B296="Autographs Triples",$B296="Autographs Quads",$B296="Autographs Quads (Inscribed)")),IF($B296="Autographs Duals",2,IF($B296="Autographs Triples",3,4)),1)))</f>
        <v>2.5</v>
      </c>
      <c r="AB296" s="62">
        <f t="shared" si="63"/>
        <v>2.5</v>
      </c>
      <c r="AC296" s="62">
        <f t="shared" si="64"/>
        <v>0</v>
      </c>
    </row>
    <row r="297" spans="1:29" ht="42.95" customHeight="1" x14ac:dyDescent="0.25">
      <c r="A297" s="4" t="s">
        <v>17</v>
      </c>
      <c r="B297" s="7" t="s">
        <v>65</v>
      </c>
      <c r="C297" s="2" t="s">
        <v>1495</v>
      </c>
      <c r="D297" s="7" t="s">
        <v>1034</v>
      </c>
      <c r="E297" s="4" t="s">
        <v>778</v>
      </c>
      <c r="F297" s="2">
        <v>399</v>
      </c>
      <c r="G297" s="2" t="s">
        <v>1399</v>
      </c>
      <c r="H297" s="2" t="s">
        <v>1400</v>
      </c>
      <c r="I297" s="4" t="s">
        <v>60</v>
      </c>
      <c r="J297" s="112">
        <f>IF($H297&lt;&gt;"Y",0,ROUND(MIN(Dashboard!$R$24,IF(IFERROR(VLOOKUP($B297,Dashboard!$Q$28:$S$60,2,FALSE),0)&gt;0,IFERROR(VLOOKUP($B297,Dashboard!$Q$28:$S$60,2,FALSE),0),$Z297*IF($U297&lt;&gt;"",ROUND((Dashboard!$R$4/$U297)*VLOOKUP($I297,Dashboard!$Q$9:$R$13,2,FALSE)*IF(ISNUMBER(SEARCH("Duals",$B297)),2,IF(ISNUMBER(SEARCH("Triples",$B297)),3,IF(ISNUMBER(SEARCH("Quads",$B297)),4,1))),2),ROUND(VLOOKUP($I297,Dashboard!$Q$15:$R$20,2,FALSE)*IF($E297="Red",Dashboard!$R$6,IF($E297="Gold",Dashboard!$R$7,Dashboard!$R$5))*IF(ISNUMBER(SEARCH("Duals",$B297)),2,IF(ISNUMBER(SEARCH("Triples",$B297)),3,IF(ISNUMBER(SEARCH("Quads",$B297)),4,1))),2))*IF(IFERROR(VLOOKUP($B297,Dashboard!$Q$28:$S$60,3,FALSE),0)&gt;0,VLOOKUP($B297,Dashboard!$Q$28:$S$60,3,FALSE),1))),0))</f>
        <v>3</v>
      </c>
      <c r="K297" s="2" t="str">
        <f>IF('Base S1'!F97="","",'Base S1'!F97)</f>
        <v>C</v>
      </c>
      <c r="L297" s="2">
        <f t="shared" si="52"/>
        <v>1</v>
      </c>
      <c r="M297" s="2">
        <f t="shared" si="53"/>
        <v>0</v>
      </c>
      <c r="N297" s="2">
        <f t="shared" si="54"/>
        <v>1</v>
      </c>
      <c r="O297" s="2">
        <f t="shared" si="55"/>
        <v>0</v>
      </c>
      <c r="P297" s="112">
        <f t="shared" si="56"/>
        <v>3</v>
      </c>
      <c r="Q297" s="112">
        <f t="shared" si="57"/>
        <v>0</v>
      </c>
      <c r="R297" s="53"/>
      <c r="S297" s="53" t="str">
        <f t="shared" si="58"/>
        <v>Base S1|Compound V Parallel - Season 1|96|Compound V</v>
      </c>
      <c r="T297" s="57" t="str">
        <f>IF($S297="","",IFERROR(VLOOKUP($S297,'Pop Estimates (Non-#d)'!$N$2:$O$500,2,FALSE),""))</f>
        <v/>
      </c>
      <c r="U297" s="57">
        <f t="shared" si="59"/>
        <v>399</v>
      </c>
      <c r="V297" s="53" t="str">
        <f t="shared" si="60"/>
        <v/>
      </c>
      <c r="W297" s="53" t="str">
        <f t="shared" si="61"/>
        <v/>
      </c>
      <c r="X297" s="53" t="str">
        <f t="shared" si="62"/>
        <v/>
      </c>
      <c r="Y297" s="57" t="str">
        <f>IF($X297="","",IFERROR(VLOOKUP($X297,'Char Popularity'!$A$2:$C$500,2,FALSE),""))</f>
        <v/>
      </c>
      <c r="Z297" s="56">
        <f>IF($X297="",1,IFERROR(VLOOKUP($X297,'Char Popularity'!$A$2:$C$500,3,FALSE),1))</f>
        <v>1</v>
      </c>
      <c r="AA297" s="62">
        <f>IF($H297&lt;&gt;"Y",0,(IF($F297&lt;&gt;"",ROUND(Dashboard!$R$4/$F297,1),IF(AND($I297="Base",$E297="Base"),Dashboard!$R$5,IF(AND($I297="Base",$E297="Red"),Dashboard!$R$6,IF(AND($I297="Base",$E297="Gold"),Dashboard!$R$7,VLOOKUP($I297,Dashboard!$Q$16:$R$21,2,FALSE)))))*VLOOKUP($I297,Dashboard!$Q$9:$R$13,2,FALSE)*IF(AND($I297="Auto",$F297="",OR($B297="Autographs Duals",$B297="Autographs Triples",$B297="Autographs Quads",$B297="Autographs Quads (Inscribed)")),IF($B297="Autographs Duals",2,IF($B297="Autographs Triples",3,4)),1)))</f>
        <v>2.5</v>
      </c>
      <c r="AB297" s="62">
        <f t="shared" si="63"/>
        <v>2.5</v>
      </c>
      <c r="AC297" s="62">
        <f t="shared" si="64"/>
        <v>0</v>
      </c>
    </row>
    <row r="298" spans="1:29" ht="42.95" customHeight="1" x14ac:dyDescent="0.25">
      <c r="A298" s="4" t="s">
        <v>17</v>
      </c>
      <c r="B298" s="7" t="s">
        <v>65</v>
      </c>
      <c r="C298" s="2" t="s">
        <v>1496</v>
      </c>
      <c r="D298" s="7" t="s">
        <v>1036</v>
      </c>
      <c r="E298" s="4" t="s">
        <v>778</v>
      </c>
      <c r="F298" s="2">
        <v>399</v>
      </c>
      <c r="G298" s="2" t="s">
        <v>1399</v>
      </c>
      <c r="H298" s="2" t="s">
        <v>1400</v>
      </c>
      <c r="I298" s="4" t="s">
        <v>60</v>
      </c>
      <c r="J298" s="112">
        <f>IF($H298&lt;&gt;"Y",0,ROUND(MIN(Dashboard!$R$24,IF(IFERROR(VLOOKUP($B298,Dashboard!$Q$28:$S$60,2,FALSE),0)&gt;0,IFERROR(VLOOKUP($B298,Dashboard!$Q$28:$S$60,2,FALSE),0),$Z298*IF($U298&lt;&gt;"",ROUND((Dashboard!$R$4/$U298)*VLOOKUP($I298,Dashboard!$Q$9:$R$13,2,FALSE)*IF(ISNUMBER(SEARCH("Duals",$B298)),2,IF(ISNUMBER(SEARCH("Triples",$B298)),3,IF(ISNUMBER(SEARCH("Quads",$B298)),4,1))),2),ROUND(VLOOKUP($I298,Dashboard!$Q$15:$R$20,2,FALSE)*IF($E298="Red",Dashboard!$R$6,IF($E298="Gold",Dashboard!$R$7,Dashboard!$R$5))*IF(ISNUMBER(SEARCH("Duals",$B298)),2,IF(ISNUMBER(SEARCH("Triples",$B298)),3,IF(ISNUMBER(SEARCH("Quads",$B298)),4,1))),2))*IF(IFERROR(VLOOKUP($B298,Dashboard!$Q$28:$S$60,3,FALSE),0)&gt;0,VLOOKUP($B298,Dashboard!$Q$28:$S$60,3,FALSE),1))),0))</f>
        <v>3</v>
      </c>
      <c r="K298" s="2" t="str">
        <f>IF('Base S1'!F98="","",'Base S1'!F98)</f>
        <v>V</v>
      </c>
      <c r="L298" s="2">
        <f t="shared" si="52"/>
        <v>1</v>
      </c>
      <c r="M298" s="2">
        <f t="shared" si="53"/>
        <v>0</v>
      </c>
      <c r="N298" s="2">
        <f t="shared" si="54"/>
        <v>1</v>
      </c>
      <c r="O298" s="2">
        <f t="shared" si="55"/>
        <v>0</v>
      </c>
      <c r="P298" s="112">
        <f t="shared" si="56"/>
        <v>3</v>
      </c>
      <c r="Q298" s="112">
        <f t="shared" si="57"/>
        <v>0</v>
      </c>
      <c r="R298" s="53"/>
      <c r="S298" s="53" t="str">
        <f t="shared" si="58"/>
        <v>Base S1|Compound V Parallel - Season 1|97|Compound V</v>
      </c>
      <c r="T298" s="57" t="str">
        <f>IF($S298="","",IFERROR(VLOOKUP($S298,'Pop Estimates (Non-#d)'!$N$2:$O$500,2,FALSE),""))</f>
        <v/>
      </c>
      <c r="U298" s="57">
        <f t="shared" si="59"/>
        <v>399</v>
      </c>
      <c r="V298" s="53" t="str">
        <f t="shared" si="60"/>
        <v/>
      </c>
      <c r="W298" s="53" t="str">
        <f t="shared" si="61"/>
        <v/>
      </c>
      <c r="X298" s="53" t="str">
        <f t="shared" si="62"/>
        <v/>
      </c>
      <c r="Y298" s="57" t="str">
        <f>IF($X298="","",IFERROR(VLOOKUP($X298,'Char Popularity'!$A$2:$C$500,2,FALSE),""))</f>
        <v/>
      </c>
      <c r="Z298" s="56">
        <f>IF($X298="",1,IFERROR(VLOOKUP($X298,'Char Popularity'!$A$2:$C$500,3,FALSE),1))</f>
        <v>1</v>
      </c>
      <c r="AA298" s="62">
        <f>IF($H298&lt;&gt;"Y",0,(IF($F298&lt;&gt;"",ROUND(Dashboard!$R$4/$F298,1),IF(AND($I298="Base",$E298="Base"),Dashboard!$R$5,IF(AND($I298="Base",$E298="Red"),Dashboard!$R$6,IF(AND($I298="Base",$E298="Gold"),Dashboard!$R$7,VLOOKUP($I298,Dashboard!$Q$16:$R$21,2,FALSE)))))*VLOOKUP($I298,Dashboard!$Q$9:$R$13,2,FALSE)*IF(AND($I298="Auto",$F298="",OR($B298="Autographs Duals",$B298="Autographs Triples",$B298="Autographs Quads",$B298="Autographs Quads (Inscribed)")),IF($B298="Autographs Duals",2,IF($B298="Autographs Triples",3,4)),1)))</f>
        <v>2.5</v>
      </c>
      <c r="AB298" s="62">
        <f t="shared" si="63"/>
        <v>2.5</v>
      </c>
      <c r="AC298" s="62">
        <f t="shared" si="64"/>
        <v>0</v>
      </c>
    </row>
    <row r="299" spans="1:29" ht="42.95" customHeight="1" x14ac:dyDescent="0.25">
      <c r="A299" s="4" t="s">
        <v>17</v>
      </c>
      <c r="B299" s="7" t="s">
        <v>65</v>
      </c>
      <c r="C299" s="2" t="s">
        <v>1497</v>
      </c>
      <c r="D299" s="7" t="s">
        <v>1037</v>
      </c>
      <c r="E299" s="4" t="s">
        <v>778</v>
      </c>
      <c r="F299" s="2">
        <v>399</v>
      </c>
      <c r="G299" s="2" t="s">
        <v>1399</v>
      </c>
      <c r="H299" s="2" t="s">
        <v>1400</v>
      </c>
      <c r="I299" s="4" t="s">
        <v>60</v>
      </c>
      <c r="J299" s="112">
        <f>IF($H299&lt;&gt;"Y",0,ROUND(MIN(Dashboard!$R$24,IF(IFERROR(VLOOKUP($B299,Dashboard!$Q$28:$S$60,2,FALSE),0)&gt;0,IFERROR(VLOOKUP($B299,Dashboard!$Q$28:$S$60,2,FALSE),0),$Z299*IF($U299&lt;&gt;"",ROUND((Dashboard!$R$4/$U299)*VLOOKUP($I299,Dashboard!$Q$9:$R$13,2,FALSE)*IF(ISNUMBER(SEARCH("Duals",$B299)),2,IF(ISNUMBER(SEARCH("Triples",$B299)),3,IF(ISNUMBER(SEARCH("Quads",$B299)),4,1))),2),ROUND(VLOOKUP($I299,Dashboard!$Q$15:$R$20,2,FALSE)*IF($E299="Red",Dashboard!$R$6,IF($E299="Gold",Dashboard!$R$7,Dashboard!$R$5))*IF(ISNUMBER(SEARCH("Duals",$B299)),2,IF(ISNUMBER(SEARCH("Triples",$B299)),3,IF(ISNUMBER(SEARCH("Quads",$B299)),4,1))),2))*IF(IFERROR(VLOOKUP($B299,Dashboard!$Q$28:$S$60,3,FALSE),0)&gt;0,VLOOKUP($B299,Dashboard!$Q$28:$S$60,3,FALSE),1))),0))</f>
        <v>3</v>
      </c>
      <c r="K299" s="2" t="str">
        <f>IF('Base S1'!F99="","",'Base S1'!F99)</f>
        <v>C</v>
      </c>
      <c r="L299" s="2">
        <f t="shared" si="52"/>
        <v>1</v>
      </c>
      <c r="M299" s="2">
        <f t="shared" si="53"/>
        <v>0</v>
      </c>
      <c r="N299" s="2">
        <f t="shared" si="54"/>
        <v>1</v>
      </c>
      <c r="O299" s="2">
        <f t="shared" si="55"/>
        <v>0</v>
      </c>
      <c r="P299" s="112">
        <f t="shared" si="56"/>
        <v>3</v>
      </c>
      <c r="Q299" s="112">
        <f t="shared" si="57"/>
        <v>0</v>
      </c>
      <c r="R299" s="53"/>
      <c r="S299" s="53" t="str">
        <f t="shared" si="58"/>
        <v>Base S1|Compound V Parallel - Season 1|98|Compound V</v>
      </c>
      <c r="T299" s="57" t="str">
        <f>IF($S299="","",IFERROR(VLOOKUP($S299,'Pop Estimates (Non-#d)'!$N$2:$O$500,2,FALSE),""))</f>
        <v/>
      </c>
      <c r="U299" s="57">
        <f t="shared" si="59"/>
        <v>399</v>
      </c>
      <c r="V299" s="53" t="str">
        <f t="shared" si="60"/>
        <v/>
      </c>
      <c r="W299" s="53" t="str">
        <f t="shared" si="61"/>
        <v/>
      </c>
      <c r="X299" s="53" t="str">
        <f t="shared" si="62"/>
        <v/>
      </c>
      <c r="Y299" s="57" t="str">
        <f>IF($X299="","",IFERROR(VLOOKUP($X299,'Char Popularity'!$A$2:$C$500,2,FALSE),""))</f>
        <v/>
      </c>
      <c r="Z299" s="56">
        <f>IF($X299="",1,IFERROR(VLOOKUP($X299,'Char Popularity'!$A$2:$C$500,3,FALSE),1))</f>
        <v>1</v>
      </c>
      <c r="AA299" s="62">
        <f>IF($H299&lt;&gt;"Y",0,(IF($F299&lt;&gt;"",ROUND(Dashboard!$R$4/$F299,1),IF(AND($I299="Base",$E299="Base"),Dashboard!$R$5,IF(AND($I299="Base",$E299="Red"),Dashboard!$R$6,IF(AND($I299="Base",$E299="Gold"),Dashboard!$R$7,VLOOKUP($I299,Dashboard!$Q$16:$R$21,2,FALSE)))))*VLOOKUP($I299,Dashboard!$Q$9:$R$13,2,FALSE)*IF(AND($I299="Auto",$F299="",OR($B299="Autographs Duals",$B299="Autographs Triples",$B299="Autographs Quads",$B299="Autographs Quads (Inscribed)")),IF($B299="Autographs Duals",2,IF($B299="Autographs Triples",3,4)),1)))</f>
        <v>2.5</v>
      </c>
      <c r="AB299" s="62">
        <f t="shared" si="63"/>
        <v>2.5</v>
      </c>
      <c r="AC299" s="62">
        <f t="shared" si="64"/>
        <v>0</v>
      </c>
    </row>
    <row r="300" spans="1:29" ht="42.95" customHeight="1" x14ac:dyDescent="0.25">
      <c r="A300" s="4" t="s">
        <v>17</v>
      </c>
      <c r="B300" s="7" t="s">
        <v>65</v>
      </c>
      <c r="C300" s="2" t="s">
        <v>1498</v>
      </c>
      <c r="D300" s="7" t="s">
        <v>1039</v>
      </c>
      <c r="E300" s="4" t="s">
        <v>778</v>
      </c>
      <c r="F300" s="2">
        <v>399</v>
      </c>
      <c r="G300" s="2" t="s">
        <v>1399</v>
      </c>
      <c r="H300" s="2" t="s">
        <v>1400</v>
      </c>
      <c r="I300" s="4" t="s">
        <v>60</v>
      </c>
      <c r="J300" s="112">
        <f>IF($H300&lt;&gt;"Y",0,ROUND(MIN(Dashboard!$R$24,IF(IFERROR(VLOOKUP($B300,Dashboard!$Q$28:$S$60,2,FALSE),0)&gt;0,IFERROR(VLOOKUP($B300,Dashboard!$Q$28:$S$60,2,FALSE),0),$Z300*IF($U300&lt;&gt;"",ROUND((Dashboard!$R$4/$U300)*VLOOKUP($I300,Dashboard!$Q$9:$R$13,2,FALSE)*IF(ISNUMBER(SEARCH("Duals",$B300)),2,IF(ISNUMBER(SEARCH("Triples",$B300)),3,IF(ISNUMBER(SEARCH("Quads",$B300)),4,1))),2),ROUND(VLOOKUP($I300,Dashboard!$Q$15:$R$20,2,FALSE)*IF($E300="Red",Dashboard!$R$6,IF($E300="Gold",Dashboard!$R$7,Dashboard!$R$5))*IF(ISNUMBER(SEARCH("Duals",$B300)),2,IF(ISNUMBER(SEARCH("Triples",$B300)),3,IF(ISNUMBER(SEARCH("Quads",$B300)),4,1))),2))*IF(IFERROR(VLOOKUP($B300,Dashboard!$Q$28:$S$60,3,FALSE),0)&gt;0,VLOOKUP($B300,Dashboard!$Q$28:$S$60,3,FALSE),1))),0))</f>
        <v>3</v>
      </c>
      <c r="K300" s="2" t="str">
        <f>IF('Base S1'!F100="","",'Base S1'!F100)</f>
        <v>C</v>
      </c>
      <c r="L300" s="2">
        <f t="shared" si="52"/>
        <v>1</v>
      </c>
      <c r="M300" s="2">
        <f t="shared" si="53"/>
        <v>0</v>
      </c>
      <c r="N300" s="2">
        <f t="shared" si="54"/>
        <v>1</v>
      </c>
      <c r="O300" s="2">
        <f t="shared" si="55"/>
        <v>0</v>
      </c>
      <c r="P300" s="112">
        <f t="shared" si="56"/>
        <v>3</v>
      </c>
      <c r="Q300" s="112">
        <f t="shared" si="57"/>
        <v>0</v>
      </c>
      <c r="R300" s="53"/>
      <c r="S300" s="53" t="str">
        <f t="shared" si="58"/>
        <v>Base S1|Compound V Parallel - Season 1|99|Compound V</v>
      </c>
      <c r="T300" s="57" t="str">
        <f>IF($S300="","",IFERROR(VLOOKUP($S300,'Pop Estimates (Non-#d)'!$N$2:$O$500,2,FALSE),""))</f>
        <v/>
      </c>
      <c r="U300" s="57">
        <f t="shared" si="59"/>
        <v>399</v>
      </c>
      <c r="V300" s="53" t="str">
        <f t="shared" si="60"/>
        <v/>
      </c>
      <c r="W300" s="53" t="str">
        <f t="shared" si="61"/>
        <v/>
      </c>
      <c r="X300" s="53" t="str">
        <f t="shared" si="62"/>
        <v/>
      </c>
      <c r="Y300" s="57" t="str">
        <f>IF($X300="","",IFERROR(VLOOKUP($X300,'Char Popularity'!$A$2:$C$500,2,FALSE),""))</f>
        <v/>
      </c>
      <c r="Z300" s="56">
        <f>IF($X300="",1,IFERROR(VLOOKUP($X300,'Char Popularity'!$A$2:$C$500,3,FALSE),1))</f>
        <v>1</v>
      </c>
      <c r="AA300" s="62">
        <f>IF($H300&lt;&gt;"Y",0,(IF($F300&lt;&gt;"",ROUND(Dashboard!$R$4/$F300,1),IF(AND($I300="Base",$E300="Base"),Dashboard!$R$5,IF(AND($I300="Base",$E300="Red"),Dashboard!$R$6,IF(AND($I300="Base",$E300="Gold"),Dashboard!$R$7,VLOOKUP($I300,Dashboard!$Q$16:$R$21,2,FALSE)))))*VLOOKUP($I300,Dashboard!$Q$9:$R$13,2,FALSE)*IF(AND($I300="Auto",$F300="",OR($B300="Autographs Duals",$B300="Autographs Triples",$B300="Autographs Quads",$B300="Autographs Quads (Inscribed)")),IF($B300="Autographs Duals",2,IF($B300="Autographs Triples",3,4)),1)))</f>
        <v>2.5</v>
      </c>
      <c r="AB300" s="62">
        <f t="shared" si="63"/>
        <v>2.5</v>
      </c>
      <c r="AC300" s="62">
        <f t="shared" si="64"/>
        <v>0</v>
      </c>
    </row>
    <row r="301" spans="1:29" ht="42.95" customHeight="1" x14ac:dyDescent="0.25">
      <c r="A301" s="4" t="s">
        <v>17</v>
      </c>
      <c r="B301" s="7" t="s">
        <v>65</v>
      </c>
      <c r="C301" s="2" t="s">
        <v>1499</v>
      </c>
      <c r="D301" s="7" t="s">
        <v>1041</v>
      </c>
      <c r="E301" s="4" t="s">
        <v>778</v>
      </c>
      <c r="F301" s="2">
        <v>399</v>
      </c>
      <c r="G301" s="2" t="s">
        <v>1399</v>
      </c>
      <c r="H301" s="2" t="s">
        <v>1400</v>
      </c>
      <c r="I301" s="4" t="s">
        <v>60</v>
      </c>
      <c r="J301" s="112">
        <f>IF($H301&lt;&gt;"Y",0,ROUND(MIN(Dashboard!$R$24,IF(IFERROR(VLOOKUP($B301,Dashboard!$Q$28:$S$60,2,FALSE),0)&gt;0,IFERROR(VLOOKUP($B301,Dashboard!$Q$28:$S$60,2,FALSE),0),$Z301*IF($U301&lt;&gt;"",ROUND((Dashboard!$R$4/$U301)*VLOOKUP($I301,Dashboard!$Q$9:$R$13,2,FALSE)*IF(ISNUMBER(SEARCH("Duals",$B301)),2,IF(ISNUMBER(SEARCH("Triples",$B301)),3,IF(ISNUMBER(SEARCH("Quads",$B301)),4,1))),2),ROUND(VLOOKUP($I301,Dashboard!$Q$15:$R$20,2,FALSE)*IF($E301="Red",Dashboard!$R$6,IF($E301="Gold",Dashboard!$R$7,Dashboard!$R$5))*IF(ISNUMBER(SEARCH("Duals",$B301)),2,IF(ISNUMBER(SEARCH("Triples",$B301)),3,IF(ISNUMBER(SEARCH("Quads",$B301)),4,1))),2))*IF(IFERROR(VLOOKUP($B301,Dashboard!$Q$28:$S$60,3,FALSE),0)&gt;0,VLOOKUP($B301,Dashboard!$Q$28:$S$60,3,FALSE),1))),0))</f>
        <v>3</v>
      </c>
      <c r="K301" s="2" t="str">
        <f>IF('Base S1'!F101="","",'Base S1'!F101)</f>
        <v>C</v>
      </c>
      <c r="L301" s="2">
        <f t="shared" si="52"/>
        <v>1</v>
      </c>
      <c r="M301" s="2">
        <f t="shared" si="53"/>
        <v>0</v>
      </c>
      <c r="N301" s="2">
        <f t="shared" si="54"/>
        <v>1</v>
      </c>
      <c r="O301" s="2">
        <f t="shared" si="55"/>
        <v>0</v>
      </c>
      <c r="P301" s="112">
        <f t="shared" si="56"/>
        <v>3</v>
      </c>
      <c r="Q301" s="112">
        <f t="shared" si="57"/>
        <v>0</v>
      </c>
      <c r="R301" s="53"/>
      <c r="S301" s="53" t="str">
        <f t="shared" si="58"/>
        <v>Base S1|Compound V Parallel - Season 1|100|Compound V</v>
      </c>
      <c r="T301" s="57" t="str">
        <f>IF($S301="","",IFERROR(VLOOKUP($S301,'Pop Estimates (Non-#d)'!$N$2:$O$500,2,FALSE),""))</f>
        <v/>
      </c>
      <c r="U301" s="57">
        <f t="shared" si="59"/>
        <v>399</v>
      </c>
      <c r="V301" s="53" t="str">
        <f t="shared" si="60"/>
        <v/>
      </c>
      <c r="W301" s="53" t="str">
        <f t="shared" si="61"/>
        <v/>
      </c>
      <c r="X301" s="53" t="str">
        <f t="shared" si="62"/>
        <v/>
      </c>
      <c r="Y301" s="57" t="str">
        <f>IF($X301="","",IFERROR(VLOOKUP($X301,'Char Popularity'!$A$2:$C$500,2,FALSE),""))</f>
        <v/>
      </c>
      <c r="Z301" s="56">
        <f>IF($X301="",1,IFERROR(VLOOKUP($X301,'Char Popularity'!$A$2:$C$500,3,FALSE),1))</f>
        <v>1</v>
      </c>
      <c r="AA301" s="62">
        <f>IF($H301&lt;&gt;"Y",0,(IF($F301&lt;&gt;"",ROUND(Dashboard!$R$4/$F301,1),IF(AND($I301="Base",$E301="Base"),Dashboard!$R$5,IF(AND($I301="Base",$E301="Red"),Dashboard!$R$6,IF(AND($I301="Base",$E301="Gold"),Dashboard!$R$7,VLOOKUP($I301,Dashboard!$Q$16:$R$21,2,FALSE)))))*VLOOKUP($I301,Dashboard!$Q$9:$R$13,2,FALSE)*IF(AND($I301="Auto",$F301="",OR($B301="Autographs Duals",$B301="Autographs Triples",$B301="Autographs Quads",$B301="Autographs Quads (Inscribed)")),IF($B301="Autographs Duals",2,IF($B301="Autographs Triples",3,4)),1)))</f>
        <v>2.5</v>
      </c>
      <c r="AB301" s="62">
        <f t="shared" si="63"/>
        <v>2.5</v>
      </c>
      <c r="AC301" s="62">
        <f t="shared" si="64"/>
        <v>0</v>
      </c>
    </row>
    <row r="302" spans="1:29" ht="28.7" customHeight="1" x14ac:dyDescent="0.25">
      <c r="A302" s="4" t="s">
        <v>17</v>
      </c>
      <c r="B302" s="7" t="s">
        <v>69</v>
      </c>
      <c r="C302" s="2" t="s">
        <v>1398</v>
      </c>
      <c r="D302" s="7" t="s">
        <v>830</v>
      </c>
      <c r="E302" s="4" t="s">
        <v>779</v>
      </c>
      <c r="F302" s="2">
        <v>82</v>
      </c>
      <c r="G302" s="2" t="s">
        <v>1399</v>
      </c>
      <c r="H302" s="2" t="s">
        <v>1400</v>
      </c>
      <c r="I302" s="4" t="s">
        <v>60</v>
      </c>
      <c r="J302" s="112">
        <f>IF($H302&lt;&gt;"Y",0,ROUND(MIN(Dashboard!$R$24,IF(IFERROR(VLOOKUP($B302,Dashboard!$Q$28:$S$60,2,FALSE),0)&gt;0,IFERROR(VLOOKUP($B302,Dashboard!$Q$28:$S$60,2,FALSE),0),$Z302*IF($U302&lt;&gt;"",ROUND((Dashboard!$R$4/$U302)*VLOOKUP($I302,Dashboard!$Q$9:$R$13,2,FALSE)*IF(ISNUMBER(SEARCH("Duals",$B302)),2,IF(ISNUMBER(SEARCH("Triples",$B302)),3,IF(ISNUMBER(SEARCH("Quads",$B302)),4,1))),2),ROUND(VLOOKUP($I302,Dashboard!$Q$15:$R$20,2,FALSE)*IF($E302="Red",Dashboard!$R$6,IF($E302="Gold",Dashboard!$R$7,Dashboard!$R$5))*IF(ISNUMBER(SEARCH("Duals",$B302)),2,IF(ISNUMBER(SEARCH("Triples",$B302)),3,IF(ISNUMBER(SEARCH("Quads",$B302)),4,1))),2))*IF(IFERROR(VLOOKUP($B302,Dashboard!$Q$28:$S$60,3,FALSE),0)&gt;0,VLOOKUP($B302,Dashboard!$Q$28:$S$60,3,FALSE),1))),0))</f>
        <v>12</v>
      </c>
      <c r="K302" s="2" t="str">
        <f>IF('Base S1'!G2="","",'Base S1'!G2)</f>
        <v xml:space="preserve"> V 68/82</v>
      </c>
      <c r="L302" s="2">
        <f t="shared" si="52"/>
        <v>1</v>
      </c>
      <c r="M302" s="2">
        <f t="shared" si="53"/>
        <v>0</v>
      </c>
      <c r="N302" s="2">
        <f t="shared" si="54"/>
        <v>1</v>
      </c>
      <c r="O302" s="2">
        <f t="shared" si="55"/>
        <v>0</v>
      </c>
      <c r="P302" s="112">
        <f t="shared" si="56"/>
        <v>12</v>
      </c>
      <c r="Q302" s="112">
        <f t="shared" si="57"/>
        <v>0</v>
      </c>
      <c r="R302" s="53"/>
      <c r="S302" s="53" t="str">
        <f t="shared" si="58"/>
        <v>Base S1|Floor 82 Parallel - Season 1|1|Floor 82</v>
      </c>
      <c r="T302" s="57" t="str">
        <f>IF($S302="","",IFERROR(VLOOKUP($S302,'Pop Estimates (Non-#d)'!$N$2:$O$500,2,FALSE),""))</f>
        <v/>
      </c>
      <c r="U302" s="57">
        <f t="shared" si="59"/>
        <v>82</v>
      </c>
      <c r="V302" s="53" t="str">
        <f t="shared" si="60"/>
        <v/>
      </c>
      <c r="W302" s="53" t="str">
        <f t="shared" si="61"/>
        <v/>
      </c>
      <c r="X302" s="53" t="str">
        <f t="shared" si="62"/>
        <v/>
      </c>
      <c r="Y302" s="57" t="str">
        <f>IF($X302="","",IFERROR(VLOOKUP($X302,'Char Popularity'!$A$2:$C$500,2,FALSE),""))</f>
        <v/>
      </c>
      <c r="Z302" s="56">
        <f>IF($X302="",1,IFERROR(VLOOKUP($X302,'Char Popularity'!$A$2:$C$500,3,FALSE),1))</f>
        <v>1</v>
      </c>
      <c r="AA302" s="62">
        <f>IF($H302&lt;&gt;"Y",0,(IF($F302&lt;&gt;"",ROUND(Dashboard!$R$4/$F302,1),IF(AND($I302="Base",$E302="Base"),Dashboard!$R$5,IF(AND($I302="Base",$E302="Red"),Dashboard!$R$6,IF(AND($I302="Base",$E302="Gold"),Dashboard!$R$7,VLOOKUP($I302,Dashboard!$Q$16:$R$21,2,FALSE)))))*VLOOKUP($I302,Dashboard!$Q$9:$R$13,2,FALSE)*IF(AND($I302="Auto",$F302="",OR($B302="Autographs Duals",$B302="Autographs Triples",$B302="Autographs Quads",$B302="Autographs Quads (Inscribed)")),IF($B302="Autographs Duals",2,IF($B302="Autographs Triples",3,4)),1)))</f>
        <v>12.2</v>
      </c>
      <c r="AB302" s="62">
        <f t="shared" si="63"/>
        <v>12.2</v>
      </c>
      <c r="AC302" s="62">
        <f t="shared" si="64"/>
        <v>0</v>
      </c>
    </row>
    <row r="303" spans="1:29" ht="28.7" customHeight="1" x14ac:dyDescent="0.25">
      <c r="A303" s="4" t="s">
        <v>17</v>
      </c>
      <c r="B303" s="7" t="s">
        <v>69</v>
      </c>
      <c r="C303" s="2" t="s">
        <v>1401</v>
      </c>
      <c r="D303" s="7" t="s">
        <v>834</v>
      </c>
      <c r="E303" s="4" t="s">
        <v>779</v>
      </c>
      <c r="F303" s="2">
        <v>82</v>
      </c>
      <c r="G303" s="2" t="s">
        <v>1399</v>
      </c>
      <c r="H303" s="2" t="s">
        <v>1400</v>
      </c>
      <c r="I303" s="4" t="s">
        <v>60</v>
      </c>
      <c r="J303" s="112">
        <f>IF($H303&lt;&gt;"Y",0,ROUND(MIN(Dashboard!$R$24,IF(IFERROR(VLOOKUP($B303,Dashboard!$Q$28:$S$60,2,FALSE),0)&gt;0,IFERROR(VLOOKUP($B303,Dashboard!$Q$28:$S$60,2,FALSE),0),$Z303*IF($U303&lt;&gt;"",ROUND((Dashboard!$R$4/$U303)*VLOOKUP($I303,Dashboard!$Q$9:$R$13,2,FALSE)*IF(ISNUMBER(SEARCH("Duals",$B303)),2,IF(ISNUMBER(SEARCH("Triples",$B303)),3,IF(ISNUMBER(SEARCH("Quads",$B303)),4,1))),2),ROUND(VLOOKUP($I303,Dashboard!$Q$15:$R$20,2,FALSE)*IF($E303="Red",Dashboard!$R$6,IF($E303="Gold",Dashboard!$R$7,Dashboard!$R$5))*IF(ISNUMBER(SEARCH("Duals",$B303)),2,IF(ISNUMBER(SEARCH("Triples",$B303)),3,IF(ISNUMBER(SEARCH("Quads",$B303)),4,1))),2))*IF(IFERROR(VLOOKUP($B303,Dashboard!$Q$28:$S$60,3,FALSE),0)&gt;0,VLOOKUP($B303,Dashboard!$Q$28:$S$60,3,FALSE),1))),0))</f>
        <v>12</v>
      </c>
      <c r="K303" s="2" t="str">
        <f>IF('Base S1'!G3="","",'Base S1'!G3)</f>
        <v>V 66/82</v>
      </c>
      <c r="L303" s="2">
        <f t="shared" si="52"/>
        <v>1</v>
      </c>
      <c r="M303" s="2">
        <f t="shared" si="53"/>
        <v>0</v>
      </c>
      <c r="N303" s="2">
        <f t="shared" si="54"/>
        <v>1</v>
      </c>
      <c r="O303" s="2">
        <f t="shared" si="55"/>
        <v>0</v>
      </c>
      <c r="P303" s="112">
        <f t="shared" si="56"/>
        <v>12</v>
      </c>
      <c r="Q303" s="112">
        <f t="shared" si="57"/>
        <v>0</v>
      </c>
      <c r="R303" s="53"/>
      <c r="S303" s="53" t="str">
        <f t="shared" si="58"/>
        <v>Base S1|Floor 82 Parallel - Season 1|2|Floor 82</v>
      </c>
      <c r="T303" s="57" t="str">
        <f>IF($S303="","",IFERROR(VLOOKUP($S303,'Pop Estimates (Non-#d)'!$N$2:$O$500,2,FALSE),""))</f>
        <v/>
      </c>
      <c r="U303" s="57">
        <f t="shared" si="59"/>
        <v>82</v>
      </c>
      <c r="V303" s="53" t="str">
        <f t="shared" si="60"/>
        <v/>
      </c>
      <c r="W303" s="53" t="str">
        <f t="shared" si="61"/>
        <v/>
      </c>
      <c r="X303" s="53" t="str">
        <f t="shared" si="62"/>
        <v/>
      </c>
      <c r="Y303" s="57" t="str">
        <f>IF($X303="","",IFERROR(VLOOKUP($X303,'Char Popularity'!$A$2:$C$500,2,FALSE),""))</f>
        <v/>
      </c>
      <c r="Z303" s="56">
        <f>IF($X303="",1,IFERROR(VLOOKUP($X303,'Char Popularity'!$A$2:$C$500,3,FALSE),1))</f>
        <v>1</v>
      </c>
      <c r="AA303" s="62">
        <f>IF($H303&lt;&gt;"Y",0,(IF($F303&lt;&gt;"",ROUND(Dashboard!$R$4/$F303,1),IF(AND($I303="Base",$E303="Base"),Dashboard!$R$5,IF(AND($I303="Base",$E303="Red"),Dashboard!$R$6,IF(AND($I303="Base",$E303="Gold"),Dashboard!$R$7,VLOOKUP($I303,Dashboard!$Q$16:$R$21,2,FALSE)))))*VLOOKUP($I303,Dashboard!$Q$9:$R$13,2,FALSE)*IF(AND($I303="Auto",$F303="",OR($B303="Autographs Duals",$B303="Autographs Triples",$B303="Autographs Quads",$B303="Autographs Quads (Inscribed)")),IF($B303="Autographs Duals",2,IF($B303="Autographs Triples",3,4)),1)))</f>
        <v>12.2</v>
      </c>
      <c r="AB303" s="62">
        <f t="shared" si="63"/>
        <v>12.2</v>
      </c>
      <c r="AC303" s="62">
        <f t="shared" si="64"/>
        <v>0</v>
      </c>
    </row>
    <row r="304" spans="1:29" ht="28.7" customHeight="1" x14ac:dyDescent="0.25">
      <c r="A304" s="4" t="s">
        <v>17</v>
      </c>
      <c r="B304" s="7" t="s">
        <v>69</v>
      </c>
      <c r="C304" s="2" t="s">
        <v>1402</v>
      </c>
      <c r="D304" s="7" t="s">
        <v>837</v>
      </c>
      <c r="E304" s="4" t="s">
        <v>779</v>
      </c>
      <c r="F304" s="2">
        <v>82</v>
      </c>
      <c r="G304" s="2" t="s">
        <v>1399</v>
      </c>
      <c r="H304" s="2" t="s">
        <v>1400</v>
      </c>
      <c r="I304" s="4" t="s">
        <v>60</v>
      </c>
      <c r="J304" s="112">
        <f>IF($H304&lt;&gt;"Y",0,ROUND(MIN(Dashboard!$R$24,IF(IFERROR(VLOOKUP($B304,Dashboard!$Q$28:$S$60,2,FALSE),0)&gt;0,IFERROR(VLOOKUP($B304,Dashboard!$Q$28:$S$60,2,FALSE),0),$Z304*IF($U304&lt;&gt;"",ROUND((Dashboard!$R$4/$U304)*VLOOKUP($I304,Dashboard!$Q$9:$R$13,2,FALSE)*IF(ISNUMBER(SEARCH("Duals",$B304)),2,IF(ISNUMBER(SEARCH("Triples",$B304)),3,IF(ISNUMBER(SEARCH("Quads",$B304)),4,1))),2),ROUND(VLOOKUP($I304,Dashboard!$Q$15:$R$20,2,FALSE)*IF($E304="Red",Dashboard!$R$6,IF($E304="Gold",Dashboard!$R$7,Dashboard!$R$5))*IF(ISNUMBER(SEARCH("Duals",$B304)),2,IF(ISNUMBER(SEARCH("Triples",$B304)),3,IF(ISNUMBER(SEARCH("Quads",$B304)),4,1))),2))*IF(IFERROR(VLOOKUP($B304,Dashboard!$Q$28:$S$60,3,FALSE),0)&gt;0,VLOOKUP($B304,Dashboard!$Q$28:$S$60,3,FALSE),1))),0))</f>
        <v>12</v>
      </c>
      <c r="K304" s="2" t="str">
        <f>IF('Base S1'!G4="","",'Base S1'!G4)</f>
        <v>C 54/82</v>
      </c>
      <c r="L304" s="2">
        <f t="shared" si="52"/>
        <v>1</v>
      </c>
      <c r="M304" s="2">
        <f t="shared" si="53"/>
        <v>0</v>
      </c>
      <c r="N304" s="2">
        <f t="shared" si="54"/>
        <v>1</v>
      </c>
      <c r="O304" s="2">
        <f t="shared" si="55"/>
        <v>0</v>
      </c>
      <c r="P304" s="112">
        <f t="shared" si="56"/>
        <v>12</v>
      </c>
      <c r="Q304" s="112">
        <f t="shared" si="57"/>
        <v>0</v>
      </c>
      <c r="R304" s="53"/>
      <c r="S304" s="53" t="str">
        <f t="shared" si="58"/>
        <v>Base S1|Floor 82 Parallel - Season 1|3|Floor 82</v>
      </c>
      <c r="T304" s="57" t="str">
        <f>IF($S304="","",IFERROR(VLOOKUP($S304,'Pop Estimates (Non-#d)'!$N$2:$O$500,2,FALSE),""))</f>
        <v/>
      </c>
      <c r="U304" s="57">
        <f t="shared" si="59"/>
        <v>82</v>
      </c>
      <c r="V304" s="53" t="str">
        <f t="shared" si="60"/>
        <v/>
      </c>
      <c r="W304" s="53" t="str">
        <f t="shared" si="61"/>
        <v/>
      </c>
      <c r="X304" s="53" t="str">
        <f t="shared" si="62"/>
        <v/>
      </c>
      <c r="Y304" s="57" t="str">
        <f>IF($X304="","",IFERROR(VLOOKUP($X304,'Char Popularity'!$A$2:$C$500,2,FALSE),""))</f>
        <v/>
      </c>
      <c r="Z304" s="56">
        <f>IF($X304="",1,IFERROR(VLOOKUP($X304,'Char Popularity'!$A$2:$C$500,3,FALSE),1))</f>
        <v>1</v>
      </c>
      <c r="AA304" s="62">
        <f>IF($H304&lt;&gt;"Y",0,(IF($F304&lt;&gt;"",ROUND(Dashboard!$R$4/$F304,1),IF(AND($I304="Base",$E304="Base"),Dashboard!$R$5,IF(AND($I304="Base",$E304="Red"),Dashboard!$R$6,IF(AND($I304="Base",$E304="Gold"),Dashboard!$R$7,VLOOKUP($I304,Dashboard!$Q$16:$R$21,2,FALSE)))))*VLOOKUP($I304,Dashboard!$Q$9:$R$13,2,FALSE)*IF(AND($I304="Auto",$F304="",OR($B304="Autographs Duals",$B304="Autographs Triples",$B304="Autographs Quads",$B304="Autographs Quads (Inscribed)")),IF($B304="Autographs Duals",2,IF($B304="Autographs Triples",3,4)),1)))</f>
        <v>12.2</v>
      </c>
      <c r="AB304" s="62">
        <f t="shared" si="63"/>
        <v>12.2</v>
      </c>
      <c r="AC304" s="62">
        <f t="shared" si="64"/>
        <v>0</v>
      </c>
    </row>
    <row r="305" spans="1:29" ht="28.7" customHeight="1" x14ac:dyDescent="0.25">
      <c r="A305" s="4" t="s">
        <v>17</v>
      </c>
      <c r="B305" s="7" t="s">
        <v>69</v>
      </c>
      <c r="C305" s="2" t="s">
        <v>1403</v>
      </c>
      <c r="D305" s="7" t="s">
        <v>839</v>
      </c>
      <c r="E305" s="4" t="s">
        <v>779</v>
      </c>
      <c r="F305" s="2">
        <v>82</v>
      </c>
      <c r="G305" s="2" t="s">
        <v>1399</v>
      </c>
      <c r="H305" s="2" t="s">
        <v>1400</v>
      </c>
      <c r="I305" s="4" t="s">
        <v>60</v>
      </c>
      <c r="J305" s="112">
        <f>IF($H305&lt;&gt;"Y",0,ROUND(MIN(Dashboard!$R$24,IF(IFERROR(VLOOKUP($B305,Dashboard!$Q$28:$S$60,2,FALSE),0)&gt;0,IFERROR(VLOOKUP($B305,Dashboard!$Q$28:$S$60,2,FALSE),0),$Z305*IF($U305&lt;&gt;"",ROUND((Dashboard!$R$4/$U305)*VLOOKUP($I305,Dashboard!$Q$9:$R$13,2,FALSE)*IF(ISNUMBER(SEARCH("Duals",$B305)),2,IF(ISNUMBER(SEARCH("Triples",$B305)),3,IF(ISNUMBER(SEARCH("Quads",$B305)),4,1))),2),ROUND(VLOOKUP($I305,Dashboard!$Q$15:$R$20,2,FALSE)*IF($E305="Red",Dashboard!$R$6,IF($E305="Gold",Dashboard!$R$7,Dashboard!$R$5))*IF(ISNUMBER(SEARCH("Duals",$B305)),2,IF(ISNUMBER(SEARCH("Triples",$B305)),3,IF(ISNUMBER(SEARCH("Quads",$B305)),4,1))),2))*IF(IFERROR(VLOOKUP($B305,Dashboard!$Q$28:$S$60,3,FALSE),0)&gt;0,VLOOKUP($B305,Dashboard!$Q$28:$S$60,3,FALSE),1))),0))</f>
        <v>12</v>
      </c>
      <c r="K305" s="2" t="str">
        <f>IF('Base S1'!G5="","",'Base S1'!G5)</f>
        <v>C 18/82</v>
      </c>
      <c r="L305" s="2">
        <f t="shared" si="52"/>
        <v>1</v>
      </c>
      <c r="M305" s="2">
        <f t="shared" si="53"/>
        <v>0</v>
      </c>
      <c r="N305" s="2">
        <f t="shared" si="54"/>
        <v>1</v>
      </c>
      <c r="O305" s="2">
        <f t="shared" si="55"/>
        <v>0</v>
      </c>
      <c r="P305" s="112">
        <f t="shared" si="56"/>
        <v>12</v>
      </c>
      <c r="Q305" s="112">
        <f t="shared" si="57"/>
        <v>0</v>
      </c>
      <c r="R305" s="53"/>
      <c r="S305" s="53" t="str">
        <f t="shared" si="58"/>
        <v>Base S1|Floor 82 Parallel - Season 1|4|Floor 82</v>
      </c>
      <c r="T305" s="57" t="str">
        <f>IF($S305="","",IFERROR(VLOOKUP($S305,'Pop Estimates (Non-#d)'!$N$2:$O$500,2,FALSE),""))</f>
        <v/>
      </c>
      <c r="U305" s="57">
        <f t="shared" si="59"/>
        <v>82</v>
      </c>
      <c r="V305" s="53" t="str">
        <f t="shared" si="60"/>
        <v/>
      </c>
      <c r="W305" s="53" t="str">
        <f t="shared" si="61"/>
        <v/>
      </c>
      <c r="X305" s="53" t="str">
        <f t="shared" si="62"/>
        <v/>
      </c>
      <c r="Y305" s="57" t="str">
        <f>IF($X305="","",IFERROR(VLOOKUP($X305,'Char Popularity'!$A$2:$C$500,2,FALSE),""))</f>
        <v/>
      </c>
      <c r="Z305" s="56">
        <f>IF($X305="",1,IFERROR(VLOOKUP($X305,'Char Popularity'!$A$2:$C$500,3,FALSE),1))</f>
        <v>1</v>
      </c>
      <c r="AA305" s="62">
        <f>IF($H305&lt;&gt;"Y",0,(IF($F305&lt;&gt;"",ROUND(Dashboard!$R$4/$F305,1),IF(AND($I305="Base",$E305="Base"),Dashboard!$R$5,IF(AND($I305="Base",$E305="Red"),Dashboard!$R$6,IF(AND($I305="Base",$E305="Gold"),Dashboard!$R$7,VLOOKUP($I305,Dashboard!$Q$16:$R$21,2,FALSE)))))*VLOOKUP($I305,Dashboard!$Q$9:$R$13,2,FALSE)*IF(AND($I305="Auto",$F305="",OR($B305="Autographs Duals",$B305="Autographs Triples",$B305="Autographs Quads",$B305="Autographs Quads (Inscribed)")),IF($B305="Autographs Duals",2,IF($B305="Autographs Triples",3,4)),1)))</f>
        <v>12.2</v>
      </c>
      <c r="AB305" s="62">
        <f t="shared" si="63"/>
        <v>12.2</v>
      </c>
      <c r="AC305" s="62">
        <f t="shared" si="64"/>
        <v>0</v>
      </c>
    </row>
    <row r="306" spans="1:29" ht="28.7" customHeight="1" x14ac:dyDescent="0.25">
      <c r="A306" s="4" t="s">
        <v>17</v>
      </c>
      <c r="B306" s="7" t="s">
        <v>69</v>
      </c>
      <c r="C306" s="2" t="s">
        <v>1404</v>
      </c>
      <c r="D306" s="7" t="s">
        <v>841</v>
      </c>
      <c r="E306" s="4" t="s">
        <v>779</v>
      </c>
      <c r="F306" s="2">
        <v>82</v>
      </c>
      <c r="G306" s="2" t="s">
        <v>1399</v>
      </c>
      <c r="H306" s="2" t="s">
        <v>1400</v>
      </c>
      <c r="I306" s="4" t="s">
        <v>60</v>
      </c>
      <c r="J306" s="112">
        <f>IF($H306&lt;&gt;"Y",0,ROUND(MIN(Dashboard!$R$24,IF(IFERROR(VLOOKUP($B306,Dashboard!$Q$28:$S$60,2,FALSE),0)&gt;0,IFERROR(VLOOKUP($B306,Dashboard!$Q$28:$S$60,2,FALSE),0),$Z306*IF($U306&lt;&gt;"",ROUND((Dashboard!$R$4/$U306)*VLOOKUP($I306,Dashboard!$Q$9:$R$13,2,FALSE)*IF(ISNUMBER(SEARCH("Duals",$B306)),2,IF(ISNUMBER(SEARCH("Triples",$B306)),3,IF(ISNUMBER(SEARCH("Quads",$B306)),4,1))),2),ROUND(VLOOKUP($I306,Dashboard!$Q$15:$R$20,2,FALSE)*IF($E306="Red",Dashboard!$R$6,IF($E306="Gold",Dashboard!$R$7,Dashboard!$R$5))*IF(ISNUMBER(SEARCH("Duals",$B306)),2,IF(ISNUMBER(SEARCH("Triples",$B306)),3,IF(ISNUMBER(SEARCH("Quads",$B306)),4,1))),2))*IF(IFERROR(VLOOKUP($B306,Dashboard!$Q$28:$S$60,3,FALSE),0)&gt;0,VLOOKUP($B306,Dashboard!$Q$28:$S$60,3,FALSE),1))),0))</f>
        <v>12</v>
      </c>
      <c r="K306" s="2" t="str">
        <f>IF('Base S1'!G6="","",'Base S1'!G6)</f>
        <v>C 47/82</v>
      </c>
      <c r="L306" s="2">
        <f t="shared" si="52"/>
        <v>1</v>
      </c>
      <c r="M306" s="2">
        <f t="shared" si="53"/>
        <v>0</v>
      </c>
      <c r="N306" s="2">
        <f t="shared" si="54"/>
        <v>1</v>
      </c>
      <c r="O306" s="2">
        <f t="shared" si="55"/>
        <v>0</v>
      </c>
      <c r="P306" s="112">
        <f t="shared" si="56"/>
        <v>12</v>
      </c>
      <c r="Q306" s="112">
        <f t="shared" si="57"/>
        <v>0</v>
      </c>
      <c r="R306" s="53"/>
      <c r="S306" s="53" t="str">
        <f t="shared" si="58"/>
        <v>Base S1|Floor 82 Parallel - Season 1|5|Floor 82</v>
      </c>
      <c r="T306" s="57" t="str">
        <f>IF($S306="","",IFERROR(VLOOKUP($S306,'Pop Estimates (Non-#d)'!$N$2:$O$500,2,FALSE),""))</f>
        <v/>
      </c>
      <c r="U306" s="57">
        <f t="shared" si="59"/>
        <v>82</v>
      </c>
      <c r="V306" s="53" t="str">
        <f t="shared" si="60"/>
        <v/>
      </c>
      <c r="W306" s="53" t="str">
        <f t="shared" si="61"/>
        <v/>
      </c>
      <c r="X306" s="53" t="str">
        <f t="shared" si="62"/>
        <v/>
      </c>
      <c r="Y306" s="57" t="str">
        <f>IF($X306="","",IFERROR(VLOOKUP($X306,'Char Popularity'!$A$2:$C$500,2,FALSE),""))</f>
        <v/>
      </c>
      <c r="Z306" s="56">
        <f>IF($X306="",1,IFERROR(VLOOKUP($X306,'Char Popularity'!$A$2:$C$500,3,FALSE),1))</f>
        <v>1</v>
      </c>
      <c r="AA306" s="62">
        <f>IF($H306&lt;&gt;"Y",0,(IF($F306&lt;&gt;"",ROUND(Dashboard!$R$4/$F306,1),IF(AND($I306="Base",$E306="Base"),Dashboard!$R$5,IF(AND($I306="Base",$E306="Red"),Dashboard!$R$6,IF(AND($I306="Base",$E306="Gold"),Dashboard!$R$7,VLOOKUP($I306,Dashboard!$Q$16:$R$21,2,FALSE)))))*VLOOKUP($I306,Dashboard!$Q$9:$R$13,2,FALSE)*IF(AND($I306="Auto",$F306="",OR($B306="Autographs Duals",$B306="Autographs Triples",$B306="Autographs Quads",$B306="Autographs Quads (Inscribed)")),IF($B306="Autographs Duals",2,IF($B306="Autographs Triples",3,4)),1)))</f>
        <v>12.2</v>
      </c>
      <c r="AB306" s="62">
        <f t="shared" si="63"/>
        <v>12.2</v>
      </c>
      <c r="AC306" s="62">
        <f t="shared" si="64"/>
        <v>0</v>
      </c>
    </row>
    <row r="307" spans="1:29" ht="28.7" customHeight="1" x14ac:dyDescent="0.25">
      <c r="A307" s="4" t="s">
        <v>17</v>
      </c>
      <c r="B307" s="7" t="s">
        <v>69</v>
      </c>
      <c r="C307" s="2" t="s">
        <v>1405</v>
      </c>
      <c r="D307" s="7" t="s">
        <v>843</v>
      </c>
      <c r="E307" s="4" t="s">
        <v>779</v>
      </c>
      <c r="F307" s="2">
        <v>82</v>
      </c>
      <c r="G307" s="2" t="s">
        <v>1399</v>
      </c>
      <c r="H307" s="2" t="s">
        <v>1400</v>
      </c>
      <c r="I307" s="4" t="s">
        <v>60</v>
      </c>
      <c r="J307" s="112">
        <f>IF($H307&lt;&gt;"Y",0,ROUND(MIN(Dashboard!$R$24,IF(IFERROR(VLOOKUP($B307,Dashboard!$Q$28:$S$60,2,FALSE),0)&gt;0,IFERROR(VLOOKUP($B307,Dashboard!$Q$28:$S$60,2,FALSE),0),$Z307*IF($U307&lt;&gt;"",ROUND((Dashboard!$R$4/$U307)*VLOOKUP($I307,Dashboard!$Q$9:$R$13,2,FALSE)*IF(ISNUMBER(SEARCH("Duals",$B307)),2,IF(ISNUMBER(SEARCH("Triples",$B307)),3,IF(ISNUMBER(SEARCH("Quads",$B307)),4,1))),2),ROUND(VLOOKUP($I307,Dashboard!$Q$15:$R$20,2,FALSE)*IF($E307="Red",Dashboard!$R$6,IF($E307="Gold",Dashboard!$R$7,Dashboard!$R$5))*IF(ISNUMBER(SEARCH("Duals",$B307)),2,IF(ISNUMBER(SEARCH("Triples",$B307)),3,IF(ISNUMBER(SEARCH("Quads",$B307)),4,1))),2))*IF(IFERROR(VLOOKUP($B307,Dashboard!$Q$28:$S$60,3,FALSE),0)&gt;0,VLOOKUP($B307,Dashboard!$Q$28:$S$60,3,FALSE),1))),0))</f>
        <v>12</v>
      </c>
      <c r="K307" s="2" t="str">
        <f>IF('Base S1'!G7="","",'Base S1'!G7)</f>
        <v>C 73/82</v>
      </c>
      <c r="L307" s="2">
        <f t="shared" si="52"/>
        <v>1</v>
      </c>
      <c r="M307" s="2">
        <f t="shared" si="53"/>
        <v>0</v>
      </c>
      <c r="N307" s="2">
        <f t="shared" si="54"/>
        <v>1</v>
      </c>
      <c r="O307" s="2">
        <f t="shared" si="55"/>
        <v>0</v>
      </c>
      <c r="P307" s="112">
        <f t="shared" si="56"/>
        <v>12</v>
      </c>
      <c r="Q307" s="112">
        <f t="shared" si="57"/>
        <v>0</v>
      </c>
      <c r="R307" s="53"/>
      <c r="S307" s="53" t="str">
        <f t="shared" si="58"/>
        <v>Base S1|Floor 82 Parallel - Season 1|6|Floor 82</v>
      </c>
      <c r="T307" s="57" t="str">
        <f>IF($S307="","",IFERROR(VLOOKUP($S307,'Pop Estimates (Non-#d)'!$N$2:$O$500,2,FALSE),""))</f>
        <v/>
      </c>
      <c r="U307" s="57">
        <f t="shared" si="59"/>
        <v>82</v>
      </c>
      <c r="V307" s="53" t="str">
        <f t="shared" si="60"/>
        <v/>
      </c>
      <c r="W307" s="53" t="str">
        <f t="shared" si="61"/>
        <v/>
      </c>
      <c r="X307" s="53" t="str">
        <f t="shared" si="62"/>
        <v/>
      </c>
      <c r="Y307" s="57" t="str">
        <f>IF($X307="","",IFERROR(VLOOKUP($X307,'Char Popularity'!$A$2:$C$500,2,FALSE),""))</f>
        <v/>
      </c>
      <c r="Z307" s="56">
        <f>IF($X307="",1,IFERROR(VLOOKUP($X307,'Char Popularity'!$A$2:$C$500,3,FALSE),1))</f>
        <v>1</v>
      </c>
      <c r="AA307" s="62">
        <f>IF($H307&lt;&gt;"Y",0,(IF($F307&lt;&gt;"",ROUND(Dashboard!$R$4/$F307,1),IF(AND($I307="Base",$E307="Base"),Dashboard!$R$5,IF(AND($I307="Base",$E307="Red"),Dashboard!$R$6,IF(AND($I307="Base",$E307="Gold"),Dashboard!$R$7,VLOOKUP($I307,Dashboard!$Q$16:$R$21,2,FALSE)))))*VLOOKUP($I307,Dashboard!$Q$9:$R$13,2,FALSE)*IF(AND($I307="Auto",$F307="",OR($B307="Autographs Duals",$B307="Autographs Triples",$B307="Autographs Quads",$B307="Autographs Quads (Inscribed)")),IF($B307="Autographs Duals",2,IF($B307="Autographs Triples",3,4)),1)))</f>
        <v>12.2</v>
      </c>
      <c r="AB307" s="62">
        <f t="shared" si="63"/>
        <v>12.2</v>
      </c>
      <c r="AC307" s="62">
        <f t="shared" si="64"/>
        <v>0</v>
      </c>
    </row>
    <row r="308" spans="1:29" ht="28.7" customHeight="1" x14ac:dyDescent="0.25">
      <c r="A308" s="4" t="s">
        <v>17</v>
      </c>
      <c r="B308" s="7" t="s">
        <v>69</v>
      </c>
      <c r="C308" s="2" t="s">
        <v>1406</v>
      </c>
      <c r="D308" s="7" t="s">
        <v>845</v>
      </c>
      <c r="E308" s="4" t="s">
        <v>779</v>
      </c>
      <c r="F308" s="2">
        <v>82</v>
      </c>
      <c r="G308" s="2" t="s">
        <v>1399</v>
      </c>
      <c r="H308" s="2" t="s">
        <v>1400</v>
      </c>
      <c r="I308" s="4" t="s">
        <v>60</v>
      </c>
      <c r="J308" s="112">
        <f>IF($H308&lt;&gt;"Y",0,ROUND(MIN(Dashboard!$R$24,IF(IFERROR(VLOOKUP($B308,Dashboard!$Q$28:$S$60,2,FALSE),0)&gt;0,IFERROR(VLOOKUP($B308,Dashboard!$Q$28:$S$60,2,FALSE),0),$Z308*IF($U308&lt;&gt;"",ROUND((Dashboard!$R$4/$U308)*VLOOKUP($I308,Dashboard!$Q$9:$R$13,2,FALSE)*IF(ISNUMBER(SEARCH("Duals",$B308)),2,IF(ISNUMBER(SEARCH("Triples",$B308)),3,IF(ISNUMBER(SEARCH("Quads",$B308)),4,1))),2),ROUND(VLOOKUP($I308,Dashboard!$Q$15:$R$20,2,FALSE)*IF($E308="Red",Dashboard!$R$6,IF($E308="Gold",Dashboard!$R$7,Dashboard!$R$5))*IF(ISNUMBER(SEARCH("Duals",$B308)),2,IF(ISNUMBER(SEARCH("Triples",$B308)),3,IF(ISNUMBER(SEARCH("Quads",$B308)),4,1))),2))*IF(IFERROR(VLOOKUP($B308,Dashboard!$Q$28:$S$60,3,FALSE),0)&gt;0,VLOOKUP($B308,Dashboard!$Q$28:$S$60,3,FALSE),1))),0))</f>
        <v>12</v>
      </c>
      <c r="K308" s="2" t="str">
        <f>IF('Base S1'!G8="","",'Base S1'!G8)</f>
        <v>C 74/82</v>
      </c>
      <c r="L308" s="2">
        <f t="shared" si="52"/>
        <v>1</v>
      </c>
      <c r="M308" s="2">
        <f t="shared" si="53"/>
        <v>0</v>
      </c>
      <c r="N308" s="2">
        <f t="shared" si="54"/>
        <v>1</v>
      </c>
      <c r="O308" s="2">
        <f t="shared" si="55"/>
        <v>0</v>
      </c>
      <c r="P308" s="112">
        <f t="shared" si="56"/>
        <v>12</v>
      </c>
      <c r="Q308" s="112">
        <f t="shared" si="57"/>
        <v>0</v>
      </c>
      <c r="R308" s="53"/>
      <c r="S308" s="53" t="str">
        <f t="shared" si="58"/>
        <v>Base S1|Floor 82 Parallel - Season 1|7|Floor 82</v>
      </c>
      <c r="T308" s="57" t="str">
        <f>IF($S308="","",IFERROR(VLOOKUP($S308,'Pop Estimates (Non-#d)'!$N$2:$O$500,2,FALSE),""))</f>
        <v/>
      </c>
      <c r="U308" s="57">
        <f t="shared" si="59"/>
        <v>82</v>
      </c>
      <c r="V308" s="53" t="str">
        <f t="shared" si="60"/>
        <v/>
      </c>
      <c r="W308" s="53" t="str">
        <f t="shared" si="61"/>
        <v/>
      </c>
      <c r="X308" s="53" t="str">
        <f t="shared" si="62"/>
        <v/>
      </c>
      <c r="Y308" s="57" t="str">
        <f>IF($X308="","",IFERROR(VLOOKUP($X308,'Char Popularity'!$A$2:$C$500,2,FALSE),""))</f>
        <v/>
      </c>
      <c r="Z308" s="56">
        <f>IF($X308="",1,IFERROR(VLOOKUP($X308,'Char Popularity'!$A$2:$C$500,3,FALSE),1))</f>
        <v>1</v>
      </c>
      <c r="AA308" s="62">
        <f>IF($H308&lt;&gt;"Y",0,(IF($F308&lt;&gt;"",ROUND(Dashboard!$R$4/$F308,1),IF(AND($I308="Base",$E308="Base"),Dashboard!$R$5,IF(AND($I308="Base",$E308="Red"),Dashboard!$R$6,IF(AND($I308="Base",$E308="Gold"),Dashboard!$R$7,VLOOKUP($I308,Dashboard!$Q$16:$R$21,2,FALSE)))))*VLOOKUP($I308,Dashboard!$Q$9:$R$13,2,FALSE)*IF(AND($I308="Auto",$F308="",OR($B308="Autographs Duals",$B308="Autographs Triples",$B308="Autographs Quads",$B308="Autographs Quads (Inscribed)")),IF($B308="Autographs Duals",2,IF($B308="Autographs Triples",3,4)),1)))</f>
        <v>12.2</v>
      </c>
      <c r="AB308" s="62">
        <f t="shared" si="63"/>
        <v>12.2</v>
      </c>
      <c r="AC308" s="62">
        <f t="shared" si="64"/>
        <v>0</v>
      </c>
    </row>
    <row r="309" spans="1:29" ht="28.7" customHeight="1" x14ac:dyDescent="0.25">
      <c r="A309" s="4" t="s">
        <v>17</v>
      </c>
      <c r="B309" s="7" t="s">
        <v>69</v>
      </c>
      <c r="C309" s="2" t="s">
        <v>1407</v>
      </c>
      <c r="D309" s="7" t="s">
        <v>848</v>
      </c>
      <c r="E309" s="4" t="s">
        <v>779</v>
      </c>
      <c r="F309" s="2">
        <v>82</v>
      </c>
      <c r="G309" s="2" t="s">
        <v>1399</v>
      </c>
      <c r="H309" s="2" t="s">
        <v>1400</v>
      </c>
      <c r="I309" s="4" t="s">
        <v>60</v>
      </c>
      <c r="J309" s="112">
        <f>IF($H309&lt;&gt;"Y",0,ROUND(MIN(Dashboard!$R$24,IF(IFERROR(VLOOKUP($B309,Dashboard!$Q$28:$S$60,2,FALSE),0)&gt;0,IFERROR(VLOOKUP($B309,Dashboard!$Q$28:$S$60,2,FALSE),0),$Z309*IF($U309&lt;&gt;"",ROUND((Dashboard!$R$4/$U309)*VLOOKUP($I309,Dashboard!$Q$9:$R$13,2,FALSE)*IF(ISNUMBER(SEARCH("Duals",$B309)),2,IF(ISNUMBER(SEARCH("Triples",$B309)),3,IF(ISNUMBER(SEARCH("Quads",$B309)),4,1))),2),ROUND(VLOOKUP($I309,Dashboard!$Q$15:$R$20,2,FALSE)*IF($E309="Red",Dashboard!$R$6,IF($E309="Gold",Dashboard!$R$7,Dashboard!$R$5))*IF(ISNUMBER(SEARCH("Duals",$B309)),2,IF(ISNUMBER(SEARCH("Triples",$B309)),3,IF(ISNUMBER(SEARCH("Quads",$B309)),4,1))),2))*IF(IFERROR(VLOOKUP($B309,Dashboard!$Q$28:$S$60,3,FALSE),0)&gt;0,VLOOKUP($B309,Dashboard!$Q$28:$S$60,3,FALSE),1))),0))</f>
        <v>12</v>
      </c>
      <c r="K309" s="2" t="str">
        <f>IF('Base S1'!G9="","",'Base S1'!G9)</f>
        <v>C 22/82</v>
      </c>
      <c r="L309" s="2">
        <f t="shared" si="52"/>
        <v>1</v>
      </c>
      <c r="M309" s="2">
        <f t="shared" si="53"/>
        <v>0</v>
      </c>
      <c r="N309" s="2">
        <f t="shared" si="54"/>
        <v>1</v>
      </c>
      <c r="O309" s="2">
        <f t="shared" si="55"/>
        <v>0</v>
      </c>
      <c r="P309" s="112">
        <f t="shared" si="56"/>
        <v>12</v>
      </c>
      <c r="Q309" s="112">
        <f t="shared" si="57"/>
        <v>0</v>
      </c>
      <c r="R309" s="53"/>
      <c r="S309" s="53" t="str">
        <f t="shared" si="58"/>
        <v>Base S1|Floor 82 Parallel - Season 1|8|Floor 82</v>
      </c>
      <c r="T309" s="57" t="str">
        <f>IF($S309="","",IFERROR(VLOOKUP($S309,'Pop Estimates (Non-#d)'!$N$2:$O$500,2,FALSE),""))</f>
        <v/>
      </c>
      <c r="U309" s="57">
        <f t="shared" si="59"/>
        <v>82</v>
      </c>
      <c r="V309" s="53" t="str">
        <f t="shared" si="60"/>
        <v/>
      </c>
      <c r="W309" s="53" t="str">
        <f t="shared" si="61"/>
        <v/>
      </c>
      <c r="X309" s="53" t="str">
        <f t="shared" si="62"/>
        <v/>
      </c>
      <c r="Y309" s="57" t="str">
        <f>IF($X309="","",IFERROR(VLOOKUP($X309,'Char Popularity'!$A$2:$C$500,2,FALSE),""))</f>
        <v/>
      </c>
      <c r="Z309" s="56">
        <f>IF($X309="",1,IFERROR(VLOOKUP($X309,'Char Popularity'!$A$2:$C$500,3,FALSE),1))</f>
        <v>1</v>
      </c>
      <c r="AA309" s="62">
        <f>IF($H309&lt;&gt;"Y",0,(IF($F309&lt;&gt;"",ROUND(Dashboard!$R$4/$F309,1),IF(AND($I309="Base",$E309="Base"),Dashboard!$R$5,IF(AND($I309="Base",$E309="Red"),Dashboard!$R$6,IF(AND($I309="Base",$E309="Gold"),Dashboard!$R$7,VLOOKUP($I309,Dashboard!$Q$16:$R$21,2,FALSE)))))*VLOOKUP($I309,Dashboard!$Q$9:$R$13,2,FALSE)*IF(AND($I309="Auto",$F309="",OR($B309="Autographs Duals",$B309="Autographs Triples",$B309="Autographs Quads",$B309="Autographs Quads (Inscribed)")),IF($B309="Autographs Duals",2,IF($B309="Autographs Triples",3,4)),1)))</f>
        <v>12.2</v>
      </c>
      <c r="AB309" s="62">
        <f t="shared" si="63"/>
        <v>12.2</v>
      </c>
      <c r="AC309" s="62">
        <f t="shared" si="64"/>
        <v>0</v>
      </c>
    </row>
    <row r="310" spans="1:29" ht="28.7" customHeight="1" x14ac:dyDescent="0.25">
      <c r="A310" s="4" t="s">
        <v>17</v>
      </c>
      <c r="B310" s="7" t="s">
        <v>69</v>
      </c>
      <c r="C310" s="2" t="s">
        <v>1408</v>
      </c>
      <c r="D310" s="7" t="s">
        <v>850</v>
      </c>
      <c r="E310" s="4" t="s">
        <v>779</v>
      </c>
      <c r="F310" s="2">
        <v>82</v>
      </c>
      <c r="G310" s="2" t="s">
        <v>1399</v>
      </c>
      <c r="H310" s="2" t="s">
        <v>1400</v>
      </c>
      <c r="I310" s="4" t="s">
        <v>60</v>
      </c>
      <c r="J310" s="112">
        <f>IF($H310&lt;&gt;"Y",0,ROUND(MIN(Dashboard!$R$24,IF(IFERROR(VLOOKUP($B310,Dashboard!$Q$28:$S$60,2,FALSE),0)&gt;0,IFERROR(VLOOKUP($B310,Dashboard!$Q$28:$S$60,2,FALSE),0),$Z310*IF($U310&lt;&gt;"",ROUND((Dashboard!$R$4/$U310)*VLOOKUP($I310,Dashboard!$Q$9:$R$13,2,FALSE)*IF(ISNUMBER(SEARCH("Duals",$B310)),2,IF(ISNUMBER(SEARCH("Triples",$B310)),3,IF(ISNUMBER(SEARCH("Quads",$B310)),4,1))),2),ROUND(VLOOKUP($I310,Dashboard!$Q$15:$R$20,2,FALSE)*IF($E310="Red",Dashboard!$R$6,IF($E310="Gold",Dashboard!$R$7,Dashboard!$R$5))*IF(ISNUMBER(SEARCH("Duals",$B310)),2,IF(ISNUMBER(SEARCH("Triples",$B310)),3,IF(ISNUMBER(SEARCH("Quads",$B310)),4,1))),2))*IF(IFERROR(VLOOKUP($B310,Dashboard!$Q$28:$S$60,3,FALSE),0)&gt;0,VLOOKUP($B310,Dashboard!$Q$28:$S$60,3,FALSE),1))),0))</f>
        <v>12</v>
      </c>
      <c r="K310" s="2" t="str">
        <f>IF('Base S1'!G10="","",'Base S1'!G10)</f>
        <v>C 32/82</v>
      </c>
      <c r="L310" s="2">
        <f t="shared" si="52"/>
        <v>1</v>
      </c>
      <c r="M310" s="2">
        <f t="shared" si="53"/>
        <v>0</v>
      </c>
      <c r="N310" s="2">
        <f t="shared" si="54"/>
        <v>1</v>
      </c>
      <c r="O310" s="2">
        <f t="shared" si="55"/>
        <v>0</v>
      </c>
      <c r="P310" s="112">
        <f t="shared" si="56"/>
        <v>12</v>
      </c>
      <c r="Q310" s="112">
        <f t="shared" si="57"/>
        <v>0</v>
      </c>
      <c r="R310" s="53"/>
      <c r="S310" s="53" t="str">
        <f t="shared" si="58"/>
        <v>Base S1|Floor 82 Parallel - Season 1|9|Floor 82</v>
      </c>
      <c r="T310" s="57" t="str">
        <f>IF($S310="","",IFERROR(VLOOKUP($S310,'Pop Estimates (Non-#d)'!$N$2:$O$500,2,FALSE),""))</f>
        <v/>
      </c>
      <c r="U310" s="57">
        <f t="shared" si="59"/>
        <v>82</v>
      </c>
      <c r="V310" s="53" t="str">
        <f t="shared" si="60"/>
        <v/>
      </c>
      <c r="W310" s="53" t="str">
        <f t="shared" si="61"/>
        <v/>
      </c>
      <c r="X310" s="53" t="str">
        <f t="shared" si="62"/>
        <v/>
      </c>
      <c r="Y310" s="57" t="str">
        <f>IF($X310="","",IFERROR(VLOOKUP($X310,'Char Popularity'!$A$2:$C$500,2,FALSE),""))</f>
        <v/>
      </c>
      <c r="Z310" s="56">
        <f>IF($X310="",1,IFERROR(VLOOKUP($X310,'Char Popularity'!$A$2:$C$500,3,FALSE),1))</f>
        <v>1</v>
      </c>
      <c r="AA310" s="62">
        <f>IF($H310&lt;&gt;"Y",0,(IF($F310&lt;&gt;"",ROUND(Dashboard!$R$4/$F310,1),IF(AND($I310="Base",$E310="Base"),Dashboard!$R$5,IF(AND($I310="Base",$E310="Red"),Dashboard!$R$6,IF(AND($I310="Base",$E310="Gold"),Dashboard!$R$7,VLOOKUP($I310,Dashboard!$Q$16:$R$21,2,FALSE)))))*VLOOKUP($I310,Dashboard!$Q$9:$R$13,2,FALSE)*IF(AND($I310="Auto",$F310="",OR($B310="Autographs Duals",$B310="Autographs Triples",$B310="Autographs Quads",$B310="Autographs Quads (Inscribed)")),IF($B310="Autographs Duals",2,IF($B310="Autographs Triples",3,4)),1)))</f>
        <v>12.2</v>
      </c>
      <c r="AB310" s="62">
        <f t="shared" si="63"/>
        <v>12.2</v>
      </c>
      <c r="AC310" s="62">
        <f t="shared" si="64"/>
        <v>0</v>
      </c>
    </row>
    <row r="311" spans="1:29" ht="28.7" customHeight="1" x14ac:dyDescent="0.25">
      <c r="A311" s="4" t="s">
        <v>17</v>
      </c>
      <c r="B311" s="7" t="s">
        <v>69</v>
      </c>
      <c r="C311" s="2" t="s">
        <v>1409</v>
      </c>
      <c r="D311" s="7" t="s">
        <v>853</v>
      </c>
      <c r="E311" s="4" t="s">
        <v>779</v>
      </c>
      <c r="F311" s="2">
        <v>82</v>
      </c>
      <c r="G311" s="2" t="s">
        <v>1399</v>
      </c>
      <c r="H311" s="2" t="s">
        <v>1400</v>
      </c>
      <c r="I311" s="4" t="s">
        <v>60</v>
      </c>
      <c r="J311" s="112">
        <f>IF($H311&lt;&gt;"Y",0,ROUND(MIN(Dashboard!$R$24,IF(IFERROR(VLOOKUP($B311,Dashboard!$Q$28:$S$60,2,FALSE),0)&gt;0,IFERROR(VLOOKUP($B311,Dashboard!$Q$28:$S$60,2,FALSE),0),$Z311*IF($U311&lt;&gt;"",ROUND((Dashboard!$R$4/$U311)*VLOOKUP($I311,Dashboard!$Q$9:$R$13,2,FALSE)*IF(ISNUMBER(SEARCH("Duals",$B311)),2,IF(ISNUMBER(SEARCH("Triples",$B311)),3,IF(ISNUMBER(SEARCH("Quads",$B311)),4,1))),2),ROUND(VLOOKUP($I311,Dashboard!$Q$15:$R$20,2,FALSE)*IF($E311="Red",Dashboard!$R$6,IF($E311="Gold",Dashboard!$R$7,Dashboard!$R$5))*IF(ISNUMBER(SEARCH("Duals",$B311)),2,IF(ISNUMBER(SEARCH("Triples",$B311)),3,IF(ISNUMBER(SEARCH("Quads",$B311)),4,1))),2))*IF(IFERROR(VLOOKUP($B311,Dashboard!$Q$28:$S$60,3,FALSE),0)&gt;0,VLOOKUP($B311,Dashboard!$Q$28:$S$60,3,FALSE),1))),0))</f>
        <v>12</v>
      </c>
      <c r="K311" s="2" t="str">
        <f>IF('Base S1'!G11="","",'Base S1'!G11)</f>
        <v>V 43/82</v>
      </c>
      <c r="L311" s="2">
        <f t="shared" si="52"/>
        <v>1</v>
      </c>
      <c r="M311" s="2">
        <f t="shared" si="53"/>
        <v>0</v>
      </c>
      <c r="N311" s="2">
        <f t="shared" si="54"/>
        <v>1</v>
      </c>
      <c r="O311" s="2">
        <f t="shared" si="55"/>
        <v>0</v>
      </c>
      <c r="P311" s="112">
        <f t="shared" si="56"/>
        <v>12</v>
      </c>
      <c r="Q311" s="112">
        <f t="shared" si="57"/>
        <v>0</v>
      </c>
      <c r="R311" s="53"/>
      <c r="S311" s="53" t="str">
        <f t="shared" si="58"/>
        <v>Base S1|Floor 82 Parallel - Season 1|10|Floor 82</v>
      </c>
      <c r="T311" s="57" t="str">
        <f>IF($S311="","",IFERROR(VLOOKUP($S311,'Pop Estimates (Non-#d)'!$N$2:$O$500,2,FALSE),""))</f>
        <v/>
      </c>
      <c r="U311" s="57">
        <f t="shared" si="59"/>
        <v>82</v>
      </c>
      <c r="V311" s="53" t="str">
        <f t="shared" si="60"/>
        <v/>
      </c>
      <c r="W311" s="53" t="str">
        <f t="shared" si="61"/>
        <v/>
      </c>
      <c r="X311" s="53" t="str">
        <f t="shared" si="62"/>
        <v/>
      </c>
      <c r="Y311" s="57" t="str">
        <f>IF($X311="","",IFERROR(VLOOKUP($X311,'Char Popularity'!$A$2:$C$500,2,FALSE),""))</f>
        <v/>
      </c>
      <c r="Z311" s="56">
        <f>IF($X311="",1,IFERROR(VLOOKUP($X311,'Char Popularity'!$A$2:$C$500,3,FALSE),1))</f>
        <v>1</v>
      </c>
      <c r="AA311" s="62">
        <f>IF($H311&lt;&gt;"Y",0,(IF($F311&lt;&gt;"",ROUND(Dashboard!$R$4/$F311,1),IF(AND($I311="Base",$E311="Base"),Dashboard!$R$5,IF(AND($I311="Base",$E311="Red"),Dashboard!$R$6,IF(AND($I311="Base",$E311="Gold"),Dashboard!$R$7,VLOOKUP($I311,Dashboard!$Q$16:$R$21,2,FALSE)))))*VLOOKUP($I311,Dashboard!$Q$9:$R$13,2,FALSE)*IF(AND($I311="Auto",$F311="",OR($B311="Autographs Duals",$B311="Autographs Triples",$B311="Autographs Quads",$B311="Autographs Quads (Inscribed)")),IF($B311="Autographs Duals",2,IF($B311="Autographs Triples",3,4)),1)))</f>
        <v>12.2</v>
      </c>
      <c r="AB311" s="62">
        <f t="shared" si="63"/>
        <v>12.2</v>
      </c>
      <c r="AC311" s="62">
        <f t="shared" si="64"/>
        <v>0</v>
      </c>
    </row>
    <row r="312" spans="1:29" ht="28.7" customHeight="1" x14ac:dyDescent="0.25">
      <c r="A312" s="4" t="s">
        <v>17</v>
      </c>
      <c r="B312" s="7" t="s">
        <v>69</v>
      </c>
      <c r="C312" s="2" t="s">
        <v>1410</v>
      </c>
      <c r="D312" s="7" t="s">
        <v>856</v>
      </c>
      <c r="E312" s="4" t="s">
        <v>779</v>
      </c>
      <c r="F312" s="2">
        <v>82</v>
      </c>
      <c r="G312" s="2" t="s">
        <v>1399</v>
      </c>
      <c r="H312" s="2" t="s">
        <v>1400</v>
      </c>
      <c r="I312" s="4" t="s">
        <v>60</v>
      </c>
      <c r="J312" s="112">
        <f>IF($H312&lt;&gt;"Y",0,ROUND(MIN(Dashboard!$R$24,IF(IFERROR(VLOOKUP($B312,Dashboard!$Q$28:$S$60,2,FALSE),0)&gt;0,IFERROR(VLOOKUP($B312,Dashboard!$Q$28:$S$60,2,FALSE),0),$Z312*IF($U312&lt;&gt;"",ROUND((Dashboard!$R$4/$U312)*VLOOKUP($I312,Dashboard!$Q$9:$R$13,2,FALSE)*IF(ISNUMBER(SEARCH("Duals",$B312)),2,IF(ISNUMBER(SEARCH("Triples",$B312)),3,IF(ISNUMBER(SEARCH("Quads",$B312)),4,1))),2),ROUND(VLOOKUP($I312,Dashboard!$Q$15:$R$20,2,FALSE)*IF($E312="Red",Dashboard!$R$6,IF($E312="Gold",Dashboard!$R$7,Dashboard!$R$5))*IF(ISNUMBER(SEARCH("Duals",$B312)),2,IF(ISNUMBER(SEARCH("Triples",$B312)),3,IF(ISNUMBER(SEARCH("Quads",$B312)),4,1))),2))*IF(IFERROR(VLOOKUP($B312,Dashboard!$Q$28:$S$60,3,FALSE),0)&gt;0,VLOOKUP($B312,Dashboard!$Q$28:$S$60,3,FALSE),1))),0))</f>
        <v>12</v>
      </c>
      <c r="K312" s="2" t="str">
        <f>IF('Base S1'!G12="","",'Base S1'!G12)</f>
        <v>C '01/82</v>
      </c>
      <c r="L312" s="2">
        <f t="shared" si="52"/>
        <v>1</v>
      </c>
      <c r="M312" s="2">
        <f t="shared" si="53"/>
        <v>0</v>
      </c>
      <c r="N312" s="2">
        <f t="shared" si="54"/>
        <v>1</v>
      </c>
      <c r="O312" s="2">
        <f t="shared" si="55"/>
        <v>0</v>
      </c>
      <c r="P312" s="112">
        <f t="shared" si="56"/>
        <v>12</v>
      </c>
      <c r="Q312" s="112">
        <f t="shared" si="57"/>
        <v>0</v>
      </c>
      <c r="R312" s="53"/>
      <c r="S312" s="53" t="str">
        <f t="shared" si="58"/>
        <v>Base S1|Floor 82 Parallel - Season 1|11|Floor 82</v>
      </c>
      <c r="T312" s="57" t="str">
        <f>IF($S312="","",IFERROR(VLOOKUP($S312,'Pop Estimates (Non-#d)'!$N$2:$O$500,2,FALSE),""))</f>
        <v/>
      </c>
      <c r="U312" s="57">
        <f t="shared" si="59"/>
        <v>82</v>
      </c>
      <c r="V312" s="53" t="str">
        <f t="shared" si="60"/>
        <v/>
      </c>
      <c r="W312" s="53" t="str">
        <f t="shared" si="61"/>
        <v/>
      </c>
      <c r="X312" s="53" t="str">
        <f t="shared" si="62"/>
        <v/>
      </c>
      <c r="Y312" s="57" t="str">
        <f>IF($X312="","",IFERROR(VLOOKUP($X312,'Char Popularity'!$A$2:$C$500,2,FALSE),""))</f>
        <v/>
      </c>
      <c r="Z312" s="56">
        <f>IF($X312="",1,IFERROR(VLOOKUP($X312,'Char Popularity'!$A$2:$C$500,3,FALSE),1))</f>
        <v>1</v>
      </c>
      <c r="AA312" s="62">
        <f>IF($H312&lt;&gt;"Y",0,(IF($F312&lt;&gt;"",ROUND(Dashboard!$R$4/$F312,1),IF(AND($I312="Base",$E312="Base"),Dashboard!$R$5,IF(AND($I312="Base",$E312="Red"),Dashboard!$R$6,IF(AND($I312="Base",$E312="Gold"),Dashboard!$R$7,VLOOKUP($I312,Dashboard!$Q$16:$R$21,2,FALSE)))))*VLOOKUP($I312,Dashboard!$Q$9:$R$13,2,FALSE)*IF(AND($I312="Auto",$F312="",OR($B312="Autographs Duals",$B312="Autographs Triples",$B312="Autographs Quads",$B312="Autographs Quads (Inscribed)")),IF($B312="Autographs Duals",2,IF($B312="Autographs Triples",3,4)),1)))</f>
        <v>12.2</v>
      </c>
      <c r="AB312" s="62">
        <f t="shared" si="63"/>
        <v>12.2</v>
      </c>
      <c r="AC312" s="62">
        <f t="shared" si="64"/>
        <v>0</v>
      </c>
    </row>
    <row r="313" spans="1:29" ht="28.7" customHeight="1" x14ac:dyDescent="0.25">
      <c r="A313" s="4" t="s">
        <v>17</v>
      </c>
      <c r="B313" s="7" t="s">
        <v>69</v>
      </c>
      <c r="C313" s="2" t="s">
        <v>1411</v>
      </c>
      <c r="D313" s="7" t="s">
        <v>858</v>
      </c>
      <c r="E313" s="4" t="s">
        <v>779</v>
      </c>
      <c r="F313" s="2">
        <v>82</v>
      </c>
      <c r="G313" s="2" t="s">
        <v>1399</v>
      </c>
      <c r="H313" s="2" t="s">
        <v>1400</v>
      </c>
      <c r="I313" s="4" t="s">
        <v>60</v>
      </c>
      <c r="J313" s="112">
        <f>IF($H313&lt;&gt;"Y",0,ROUND(MIN(Dashboard!$R$24,IF(IFERROR(VLOOKUP($B313,Dashboard!$Q$28:$S$60,2,FALSE),0)&gt;0,IFERROR(VLOOKUP($B313,Dashboard!$Q$28:$S$60,2,FALSE),0),$Z313*IF($U313&lt;&gt;"",ROUND((Dashboard!$R$4/$U313)*VLOOKUP($I313,Dashboard!$Q$9:$R$13,2,FALSE)*IF(ISNUMBER(SEARCH("Duals",$B313)),2,IF(ISNUMBER(SEARCH("Triples",$B313)),3,IF(ISNUMBER(SEARCH("Quads",$B313)),4,1))),2),ROUND(VLOOKUP($I313,Dashboard!$Q$15:$R$20,2,FALSE)*IF($E313="Red",Dashboard!$R$6,IF($E313="Gold",Dashboard!$R$7,Dashboard!$R$5))*IF(ISNUMBER(SEARCH("Duals",$B313)),2,IF(ISNUMBER(SEARCH("Triples",$B313)),3,IF(ISNUMBER(SEARCH("Quads",$B313)),4,1))),2))*IF(IFERROR(VLOOKUP($B313,Dashboard!$Q$28:$S$60,3,FALSE),0)&gt;0,VLOOKUP($B313,Dashboard!$Q$28:$S$60,3,FALSE),1))),0))</f>
        <v>12</v>
      </c>
      <c r="K313" s="2" t="str">
        <f>IF('Base S1'!G13="","",'Base S1'!G13)</f>
        <v>C 71/82</v>
      </c>
      <c r="L313" s="2">
        <f t="shared" si="52"/>
        <v>1</v>
      </c>
      <c r="M313" s="2">
        <f t="shared" si="53"/>
        <v>0</v>
      </c>
      <c r="N313" s="2">
        <f t="shared" si="54"/>
        <v>1</v>
      </c>
      <c r="O313" s="2">
        <f t="shared" si="55"/>
        <v>0</v>
      </c>
      <c r="P313" s="112">
        <f t="shared" si="56"/>
        <v>12</v>
      </c>
      <c r="Q313" s="112">
        <f t="shared" si="57"/>
        <v>0</v>
      </c>
      <c r="R313" s="53"/>
      <c r="S313" s="53" t="str">
        <f t="shared" si="58"/>
        <v>Base S1|Floor 82 Parallel - Season 1|12|Floor 82</v>
      </c>
      <c r="T313" s="57" t="str">
        <f>IF($S313="","",IFERROR(VLOOKUP($S313,'Pop Estimates (Non-#d)'!$N$2:$O$500,2,FALSE),""))</f>
        <v/>
      </c>
      <c r="U313" s="57">
        <f t="shared" si="59"/>
        <v>82</v>
      </c>
      <c r="V313" s="53" t="str">
        <f t="shared" si="60"/>
        <v/>
      </c>
      <c r="W313" s="53" t="str">
        <f t="shared" si="61"/>
        <v/>
      </c>
      <c r="X313" s="53" t="str">
        <f t="shared" si="62"/>
        <v/>
      </c>
      <c r="Y313" s="57" t="str">
        <f>IF($X313="","",IFERROR(VLOOKUP($X313,'Char Popularity'!$A$2:$C$500,2,FALSE),""))</f>
        <v/>
      </c>
      <c r="Z313" s="56">
        <f>IF($X313="",1,IFERROR(VLOOKUP($X313,'Char Popularity'!$A$2:$C$500,3,FALSE),1))</f>
        <v>1</v>
      </c>
      <c r="AA313" s="62">
        <f>IF($H313&lt;&gt;"Y",0,(IF($F313&lt;&gt;"",ROUND(Dashboard!$R$4/$F313,1),IF(AND($I313="Base",$E313="Base"),Dashboard!$R$5,IF(AND($I313="Base",$E313="Red"),Dashboard!$R$6,IF(AND($I313="Base",$E313="Gold"),Dashboard!$R$7,VLOOKUP($I313,Dashboard!$Q$16:$R$21,2,FALSE)))))*VLOOKUP($I313,Dashboard!$Q$9:$R$13,2,FALSE)*IF(AND($I313="Auto",$F313="",OR($B313="Autographs Duals",$B313="Autographs Triples",$B313="Autographs Quads",$B313="Autographs Quads (Inscribed)")),IF($B313="Autographs Duals",2,IF($B313="Autographs Triples",3,4)),1)))</f>
        <v>12.2</v>
      </c>
      <c r="AB313" s="62">
        <f t="shared" si="63"/>
        <v>12.2</v>
      </c>
      <c r="AC313" s="62">
        <f t="shared" si="64"/>
        <v>0</v>
      </c>
    </row>
    <row r="314" spans="1:29" ht="28.7" customHeight="1" x14ac:dyDescent="0.25">
      <c r="A314" s="4" t="s">
        <v>17</v>
      </c>
      <c r="B314" s="7" t="s">
        <v>69</v>
      </c>
      <c r="C314" s="2" t="s">
        <v>1412</v>
      </c>
      <c r="D314" s="7" t="s">
        <v>861</v>
      </c>
      <c r="E314" s="4" t="s">
        <v>779</v>
      </c>
      <c r="F314" s="2">
        <v>82</v>
      </c>
      <c r="G314" s="2" t="s">
        <v>1399</v>
      </c>
      <c r="H314" s="2" t="s">
        <v>1400</v>
      </c>
      <c r="I314" s="4" t="s">
        <v>60</v>
      </c>
      <c r="J314" s="112">
        <f>IF($H314&lt;&gt;"Y",0,ROUND(MIN(Dashboard!$R$24,IF(IFERROR(VLOOKUP($B314,Dashboard!$Q$28:$S$60,2,FALSE),0)&gt;0,IFERROR(VLOOKUP($B314,Dashboard!$Q$28:$S$60,2,FALSE),0),$Z314*IF($U314&lt;&gt;"",ROUND((Dashboard!$R$4/$U314)*VLOOKUP($I314,Dashboard!$Q$9:$R$13,2,FALSE)*IF(ISNUMBER(SEARCH("Duals",$B314)),2,IF(ISNUMBER(SEARCH("Triples",$B314)),3,IF(ISNUMBER(SEARCH("Quads",$B314)),4,1))),2),ROUND(VLOOKUP($I314,Dashboard!$Q$15:$R$20,2,FALSE)*IF($E314="Red",Dashboard!$R$6,IF($E314="Gold",Dashboard!$R$7,Dashboard!$R$5))*IF(ISNUMBER(SEARCH("Duals",$B314)),2,IF(ISNUMBER(SEARCH("Triples",$B314)),3,IF(ISNUMBER(SEARCH("Quads",$B314)),4,1))),2))*IF(IFERROR(VLOOKUP($B314,Dashboard!$Q$28:$S$60,3,FALSE),0)&gt;0,VLOOKUP($B314,Dashboard!$Q$28:$S$60,3,FALSE),1))),0))</f>
        <v>12</v>
      </c>
      <c r="K314" s="2" t="str">
        <f>IF('Base S1'!G14="","",'Base S1'!G14)</f>
        <v>C 02/82</v>
      </c>
      <c r="L314" s="2">
        <f t="shared" si="52"/>
        <v>1</v>
      </c>
      <c r="M314" s="2">
        <f t="shared" si="53"/>
        <v>0</v>
      </c>
      <c r="N314" s="2">
        <f t="shared" si="54"/>
        <v>1</v>
      </c>
      <c r="O314" s="2">
        <f t="shared" si="55"/>
        <v>0</v>
      </c>
      <c r="P314" s="112">
        <f t="shared" si="56"/>
        <v>12</v>
      </c>
      <c r="Q314" s="112">
        <f t="shared" si="57"/>
        <v>0</v>
      </c>
      <c r="R314" s="53"/>
      <c r="S314" s="53" t="str">
        <f t="shared" si="58"/>
        <v>Base S1|Floor 82 Parallel - Season 1|13|Floor 82</v>
      </c>
      <c r="T314" s="57" t="str">
        <f>IF($S314="","",IFERROR(VLOOKUP($S314,'Pop Estimates (Non-#d)'!$N$2:$O$500,2,FALSE),""))</f>
        <v/>
      </c>
      <c r="U314" s="57">
        <f t="shared" si="59"/>
        <v>82</v>
      </c>
      <c r="V314" s="53" t="str">
        <f t="shared" si="60"/>
        <v/>
      </c>
      <c r="W314" s="53" t="str">
        <f t="shared" si="61"/>
        <v/>
      </c>
      <c r="X314" s="53" t="str">
        <f t="shared" si="62"/>
        <v/>
      </c>
      <c r="Y314" s="57" t="str">
        <f>IF($X314="","",IFERROR(VLOOKUP($X314,'Char Popularity'!$A$2:$C$500,2,FALSE),""))</f>
        <v/>
      </c>
      <c r="Z314" s="56">
        <f>IF($X314="",1,IFERROR(VLOOKUP($X314,'Char Popularity'!$A$2:$C$500,3,FALSE),1))</f>
        <v>1</v>
      </c>
      <c r="AA314" s="62">
        <f>IF($H314&lt;&gt;"Y",0,(IF($F314&lt;&gt;"",ROUND(Dashboard!$R$4/$F314,1),IF(AND($I314="Base",$E314="Base"),Dashboard!$R$5,IF(AND($I314="Base",$E314="Red"),Dashboard!$R$6,IF(AND($I314="Base",$E314="Gold"),Dashboard!$R$7,VLOOKUP($I314,Dashboard!$Q$16:$R$21,2,FALSE)))))*VLOOKUP($I314,Dashboard!$Q$9:$R$13,2,FALSE)*IF(AND($I314="Auto",$F314="",OR($B314="Autographs Duals",$B314="Autographs Triples",$B314="Autographs Quads",$B314="Autographs Quads (Inscribed)")),IF($B314="Autographs Duals",2,IF($B314="Autographs Triples",3,4)),1)))</f>
        <v>12.2</v>
      </c>
      <c r="AB314" s="62">
        <f t="shared" si="63"/>
        <v>12.2</v>
      </c>
      <c r="AC314" s="62">
        <f t="shared" si="64"/>
        <v>0</v>
      </c>
    </row>
    <row r="315" spans="1:29" ht="28.7" customHeight="1" x14ac:dyDescent="0.25">
      <c r="A315" s="4" t="s">
        <v>17</v>
      </c>
      <c r="B315" s="7" t="s">
        <v>69</v>
      </c>
      <c r="C315" s="2" t="s">
        <v>1413</v>
      </c>
      <c r="D315" s="7" t="s">
        <v>863</v>
      </c>
      <c r="E315" s="4" t="s">
        <v>779</v>
      </c>
      <c r="F315" s="2">
        <v>82</v>
      </c>
      <c r="G315" s="2" t="s">
        <v>1399</v>
      </c>
      <c r="H315" s="2" t="s">
        <v>1400</v>
      </c>
      <c r="I315" s="4" t="s">
        <v>60</v>
      </c>
      <c r="J315" s="112">
        <f>IF($H315&lt;&gt;"Y",0,ROUND(MIN(Dashboard!$R$24,IF(IFERROR(VLOOKUP($B315,Dashboard!$Q$28:$S$60,2,FALSE),0)&gt;0,IFERROR(VLOOKUP($B315,Dashboard!$Q$28:$S$60,2,FALSE),0),$Z315*IF($U315&lt;&gt;"",ROUND((Dashboard!$R$4/$U315)*VLOOKUP($I315,Dashboard!$Q$9:$R$13,2,FALSE)*IF(ISNUMBER(SEARCH("Duals",$B315)),2,IF(ISNUMBER(SEARCH("Triples",$B315)),3,IF(ISNUMBER(SEARCH("Quads",$B315)),4,1))),2),ROUND(VLOOKUP($I315,Dashboard!$Q$15:$R$20,2,FALSE)*IF($E315="Red",Dashboard!$R$6,IF($E315="Gold",Dashboard!$R$7,Dashboard!$R$5))*IF(ISNUMBER(SEARCH("Duals",$B315)),2,IF(ISNUMBER(SEARCH("Triples",$B315)),3,IF(ISNUMBER(SEARCH("Quads",$B315)),4,1))),2))*IF(IFERROR(VLOOKUP($B315,Dashboard!$Q$28:$S$60,3,FALSE),0)&gt;0,VLOOKUP($B315,Dashboard!$Q$28:$S$60,3,FALSE),1))),0))</f>
        <v>12</v>
      </c>
      <c r="K315" s="2" t="str">
        <f>IF('Base S1'!G15="","",'Base S1'!G15)</f>
        <v>C 53/82</v>
      </c>
      <c r="L315" s="2">
        <f t="shared" si="52"/>
        <v>1</v>
      </c>
      <c r="M315" s="2">
        <f t="shared" si="53"/>
        <v>0</v>
      </c>
      <c r="N315" s="2">
        <f t="shared" si="54"/>
        <v>1</v>
      </c>
      <c r="O315" s="2">
        <f t="shared" si="55"/>
        <v>0</v>
      </c>
      <c r="P315" s="112">
        <f t="shared" si="56"/>
        <v>12</v>
      </c>
      <c r="Q315" s="112">
        <f t="shared" si="57"/>
        <v>0</v>
      </c>
      <c r="R315" s="53"/>
      <c r="S315" s="53" t="str">
        <f t="shared" si="58"/>
        <v>Base S1|Floor 82 Parallel - Season 1|14|Floor 82</v>
      </c>
      <c r="T315" s="57" t="str">
        <f>IF($S315="","",IFERROR(VLOOKUP($S315,'Pop Estimates (Non-#d)'!$N$2:$O$500,2,FALSE),""))</f>
        <v/>
      </c>
      <c r="U315" s="57">
        <f t="shared" si="59"/>
        <v>82</v>
      </c>
      <c r="V315" s="53" t="str">
        <f t="shared" si="60"/>
        <v/>
      </c>
      <c r="W315" s="53" t="str">
        <f t="shared" si="61"/>
        <v/>
      </c>
      <c r="X315" s="53" t="str">
        <f t="shared" si="62"/>
        <v/>
      </c>
      <c r="Y315" s="57" t="str">
        <f>IF($X315="","",IFERROR(VLOOKUP($X315,'Char Popularity'!$A$2:$C$500,2,FALSE),""))</f>
        <v/>
      </c>
      <c r="Z315" s="56">
        <f>IF($X315="",1,IFERROR(VLOOKUP($X315,'Char Popularity'!$A$2:$C$500,3,FALSE),1))</f>
        <v>1</v>
      </c>
      <c r="AA315" s="62">
        <f>IF($H315&lt;&gt;"Y",0,(IF($F315&lt;&gt;"",ROUND(Dashboard!$R$4/$F315,1),IF(AND($I315="Base",$E315="Base"),Dashboard!$R$5,IF(AND($I315="Base",$E315="Red"),Dashboard!$R$6,IF(AND($I315="Base",$E315="Gold"),Dashboard!$R$7,VLOOKUP($I315,Dashboard!$Q$16:$R$21,2,FALSE)))))*VLOOKUP($I315,Dashboard!$Q$9:$R$13,2,FALSE)*IF(AND($I315="Auto",$F315="",OR($B315="Autographs Duals",$B315="Autographs Triples",$B315="Autographs Quads",$B315="Autographs Quads (Inscribed)")),IF($B315="Autographs Duals",2,IF($B315="Autographs Triples",3,4)),1)))</f>
        <v>12.2</v>
      </c>
      <c r="AB315" s="62">
        <f t="shared" si="63"/>
        <v>12.2</v>
      </c>
      <c r="AC315" s="62">
        <f t="shared" si="64"/>
        <v>0</v>
      </c>
    </row>
    <row r="316" spans="1:29" ht="28.7" customHeight="1" x14ac:dyDescent="0.25">
      <c r="A316" s="4" t="s">
        <v>17</v>
      </c>
      <c r="B316" s="7" t="s">
        <v>69</v>
      </c>
      <c r="C316" s="2" t="s">
        <v>1414</v>
      </c>
      <c r="D316" s="7" t="s">
        <v>866</v>
      </c>
      <c r="E316" s="4" t="s">
        <v>779</v>
      </c>
      <c r="F316" s="2">
        <v>82</v>
      </c>
      <c r="G316" s="2" t="s">
        <v>1399</v>
      </c>
      <c r="H316" s="2" t="s">
        <v>1400</v>
      </c>
      <c r="I316" s="4" t="s">
        <v>60</v>
      </c>
      <c r="J316" s="112">
        <f>IF($H316&lt;&gt;"Y",0,ROUND(MIN(Dashboard!$R$24,IF(IFERROR(VLOOKUP($B316,Dashboard!$Q$28:$S$60,2,FALSE),0)&gt;0,IFERROR(VLOOKUP($B316,Dashboard!$Q$28:$S$60,2,FALSE),0),$Z316*IF($U316&lt;&gt;"",ROUND((Dashboard!$R$4/$U316)*VLOOKUP($I316,Dashboard!$Q$9:$R$13,2,FALSE)*IF(ISNUMBER(SEARCH("Duals",$B316)),2,IF(ISNUMBER(SEARCH("Triples",$B316)),3,IF(ISNUMBER(SEARCH("Quads",$B316)),4,1))),2),ROUND(VLOOKUP($I316,Dashboard!$Q$15:$R$20,2,FALSE)*IF($E316="Red",Dashboard!$R$6,IF($E316="Gold",Dashboard!$R$7,Dashboard!$R$5))*IF(ISNUMBER(SEARCH("Duals",$B316)),2,IF(ISNUMBER(SEARCH("Triples",$B316)),3,IF(ISNUMBER(SEARCH("Quads",$B316)),4,1))),2))*IF(IFERROR(VLOOKUP($B316,Dashboard!$Q$28:$S$60,3,FALSE),0)&gt;0,VLOOKUP($B316,Dashboard!$Q$28:$S$60,3,FALSE),1))),0))</f>
        <v>12</v>
      </c>
      <c r="K316" s="2" t="str">
        <f>IF('Base S1'!G16="","",'Base S1'!G16)</f>
        <v>V 51/82</v>
      </c>
      <c r="L316" s="2">
        <f t="shared" si="52"/>
        <v>1</v>
      </c>
      <c r="M316" s="2">
        <f t="shared" si="53"/>
        <v>0</v>
      </c>
      <c r="N316" s="2">
        <f t="shared" si="54"/>
        <v>1</v>
      </c>
      <c r="O316" s="2">
        <f t="shared" si="55"/>
        <v>0</v>
      </c>
      <c r="P316" s="112">
        <f t="shared" si="56"/>
        <v>12</v>
      </c>
      <c r="Q316" s="112">
        <f t="shared" si="57"/>
        <v>0</v>
      </c>
      <c r="R316" s="53"/>
      <c r="S316" s="53" t="str">
        <f t="shared" si="58"/>
        <v>Base S1|Floor 82 Parallel - Season 1|15|Floor 82</v>
      </c>
      <c r="T316" s="57" t="str">
        <f>IF($S316="","",IFERROR(VLOOKUP($S316,'Pop Estimates (Non-#d)'!$N$2:$O$500,2,FALSE),""))</f>
        <v/>
      </c>
      <c r="U316" s="57">
        <f t="shared" si="59"/>
        <v>82</v>
      </c>
      <c r="V316" s="53" t="str">
        <f t="shared" si="60"/>
        <v/>
      </c>
      <c r="W316" s="53" t="str">
        <f t="shared" si="61"/>
        <v/>
      </c>
      <c r="X316" s="53" t="str">
        <f t="shared" si="62"/>
        <v/>
      </c>
      <c r="Y316" s="57" t="str">
        <f>IF($X316="","",IFERROR(VLOOKUP($X316,'Char Popularity'!$A$2:$C$500,2,FALSE),""))</f>
        <v/>
      </c>
      <c r="Z316" s="56">
        <f>IF($X316="",1,IFERROR(VLOOKUP($X316,'Char Popularity'!$A$2:$C$500,3,FALSE),1))</f>
        <v>1</v>
      </c>
      <c r="AA316" s="62">
        <f>IF($H316&lt;&gt;"Y",0,(IF($F316&lt;&gt;"",ROUND(Dashboard!$R$4/$F316,1),IF(AND($I316="Base",$E316="Base"),Dashboard!$R$5,IF(AND($I316="Base",$E316="Red"),Dashboard!$R$6,IF(AND($I316="Base",$E316="Gold"),Dashboard!$R$7,VLOOKUP($I316,Dashboard!$Q$16:$R$21,2,FALSE)))))*VLOOKUP($I316,Dashboard!$Q$9:$R$13,2,FALSE)*IF(AND($I316="Auto",$F316="",OR($B316="Autographs Duals",$B316="Autographs Triples",$B316="Autographs Quads",$B316="Autographs Quads (Inscribed)")),IF($B316="Autographs Duals",2,IF($B316="Autographs Triples",3,4)),1)))</f>
        <v>12.2</v>
      </c>
      <c r="AB316" s="62">
        <f t="shared" si="63"/>
        <v>12.2</v>
      </c>
      <c r="AC316" s="62">
        <f t="shared" si="64"/>
        <v>0</v>
      </c>
    </row>
    <row r="317" spans="1:29" ht="28.7" customHeight="1" x14ac:dyDescent="0.25">
      <c r="A317" s="4" t="s">
        <v>17</v>
      </c>
      <c r="B317" s="7" t="s">
        <v>69</v>
      </c>
      <c r="C317" s="2" t="s">
        <v>1415</v>
      </c>
      <c r="D317" s="7" t="s">
        <v>869</v>
      </c>
      <c r="E317" s="4" t="s">
        <v>779</v>
      </c>
      <c r="F317" s="2">
        <v>82</v>
      </c>
      <c r="G317" s="2" t="s">
        <v>1399</v>
      </c>
      <c r="H317" s="2" t="s">
        <v>1400</v>
      </c>
      <c r="I317" s="4" t="s">
        <v>60</v>
      </c>
      <c r="J317" s="112">
        <f>IF($H317&lt;&gt;"Y",0,ROUND(MIN(Dashboard!$R$24,IF(IFERROR(VLOOKUP($B317,Dashboard!$Q$28:$S$60,2,FALSE),0)&gt;0,IFERROR(VLOOKUP($B317,Dashboard!$Q$28:$S$60,2,FALSE),0),$Z317*IF($U317&lt;&gt;"",ROUND((Dashboard!$R$4/$U317)*VLOOKUP($I317,Dashboard!$Q$9:$R$13,2,FALSE)*IF(ISNUMBER(SEARCH("Duals",$B317)),2,IF(ISNUMBER(SEARCH("Triples",$B317)),3,IF(ISNUMBER(SEARCH("Quads",$B317)),4,1))),2),ROUND(VLOOKUP($I317,Dashboard!$Q$15:$R$20,2,FALSE)*IF($E317="Red",Dashboard!$R$6,IF($E317="Gold",Dashboard!$R$7,Dashboard!$R$5))*IF(ISNUMBER(SEARCH("Duals",$B317)),2,IF(ISNUMBER(SEARCH("Triples",$B317)),3,IF(ISNUMBER(SEARCH("Quads",$B317)),4,1))),2))*IF(IFERROR(VLOOKUP($B317,Dashboard!$Q$28:$S$60,3,FALSE),0)&gt;0,VLOOKUP($B317,Dashboard!$Q$28:$S$60,3,FALSE),1))),0))</f>
        <v>12</v>
      </c>
      <c r="K317" s="2" t="str">
        <f>IF('Base S1'!G17="","",'Base S1'!G17)</f>
        <v>C 76/82</v>
      </c>
      <c r="L317" s="2">
        <f t="shared" si="52"/>
        <v>1</v>
      </c>
      <c r="M317" s="2">
        <f t="shared" si="53"/>
        <v>0</v>
      </c>
      <c r="N317" s="2">
        <f t="shared" si="54"/>
        <v>1</v>
      </c>
      <c r="O317" s="2">
        <f t="shared" si="55"/>
        <v>0</v>
      </c>
      <c r="P317" s="112">
        <f t="shared" si="56"/>
        <v>12</v>
      </c>
      <c r="Q317" s="112">
        <f t="shared" si="57"/>
        <v>0</v>
      </c>
      <c r="R317" s="53"/>
      <c r="S317" s="53" t="str">
        <f t="shared" si="58"/>
        <v>Base S1|Floor 82 Parallel - Season 1|16|Floor 82</v>
      </c>
      <c r="T317" s="57" t="str">
        <f>IF($S317="","",IFERROR(VLOOKUP($S317,'Pop Estimates (Non-#d)'!$N$2:$O$500,2,FALSE),""))</f>
        <v/>
      </c>
      <c r="U317" s="57">
        <f t="shared" si="59"/>
        <v>82</v>
      </c>
      <c r="V317" s="53" t="str">
        <f t="shared" si="60"/>
        <v/>
      </c>
      <c r="W317" s="53" t="str">
        <f t="shared" si="61"/>
        <v/>
      </c>
      <c r="X317" s="53" t="str">
        <f t="shared" si="62"/>
        <v/>
      </c>
      <c r="Y317" s="57" t="str">
        <f>IF($X317="","",IFERROR(VLOOKUP($X317,'Char Popularity'!$A$2:$C$500,2,FALSE),""))</f>
        <v/>
      </c>
      <c r="Z317" s="56">
        <f>IF($X317="",1,IFERROR(VLOOKUP($X317,'Char Popularity'!$A$2:$C$500,3,FALSE),1))</f>
        <v>1</v>
      </c>
      <c r="AA317" s="62">
        <f>IF($H317&lt;&gt;"Y",0,(IF($F317&lt;&gt;"",ROUND(Dashboard!$R$4/$F317,1),IF(AND($I317="Base",$E317="Base"),Dashboard!$R$5,IF(AND($I317="Base",$E317="Red"),Dashboard!$R$6,IF(AND($I317="Base",$E317="Gold"),Dashboard!$R$7,VLOOKUP($I317,Dashboard!$Q$16:$R$21,2,FALSE)))))*VLOOKUP($I317,Dashboard!$Q$9:$R$13,2,FALSE)*IF(AND($I317="Auto",$F317="",OR($B317="Autographs Duals",$B317="Autographs Triples",$B317="Autographs Quads",$B317="Autographs Quads (Inscribed)")),IF($B317="Autographs Duals",2,IF($B317="Autographs Triples",3,4)),1)))</f>
        <v>12.2</v>
      </c>
      <c r="AB317" s="62">
        <f t="shared" si="63"/>
        <v>12.2</v>
      </c>
      <c r="AC317" s="62">
        <f t="shared" si="64"/>
        <v>0</v>
      </c>
    </row>
    <row r="318" spans="1:29" ht="28.7" customHeight="1" x14ac:dyDescent="0.25">
      <c r="A318" s="4" t="s">
        <v>17</v>
      </c>
      <c r="B318" s="7" t="s">
        <v>69</v>
      </c>
      <c r="C318" s="2" t="s">
        <v>1416</v>
      </c>
      <c r="D318" s="7" t="s">
        <v>874</v>
      </c>
      <c r="E318" s="4" t="s">
        <v>779</v>
      </c>
      <c r="F318" s="2">
        <v>82</v>
      </c>
      <c r="G318" s="2" t="s">
        <v>1399</v>
      </c>
      <c r="H318" s="2" t="s">
        <v>1400</v>
      </c>
      <c r="I318" s="4" t="s">
        <v>60</v>
      </c>
      <c r="J318" s="112">
        <f>IF($H318&lt;&gt;"Y",0,ROUND(MIN(Dashboard!$R$24,IF(IFERROR(VLOOKUP($B318,Dashboard!$Q$28:$S$60,2,FALSE),0)&gt;0,IFERROR(VLOOKUP($B318,Dashboard!$Q$28:$S$60,2,FALSE),0),$Z318*IF($U318&lt;&gt;"",ROUND((Dashboard!$R$4/$U318)*VLOOKUP($I318,Dashboard!$Q$9:$R$13,2,FALSE)*IF(ISNUMBER(SEARCH("Duals",$B318)),2,IF(ISNUMBER(SEARCH("Triples",$B318)),3,IF(ISNUMBER(SEARCH("Quads",$B318)),4,1))),2),ROUND(VLOOKUP($I318,Dashboard!$Q$15:$R$20,2,FALSE)*IF($E318="Red",Dashboard!$R$6,IF($E318="Gold",Dashboard!$R$7,Dashboard!$R$5))*IF(ISNUMBER(SEARCH("Duals",$B318)),2,IF(ISNUMBER(SEARCH("Triples",$B318)),3,IF(ISNUMBER(SEARCH("Quads",$B318)),4,1))),2))*IF(IFERROR(VLOOKUP($B318,Dashboard!$Q$28:$S$60,3,FALSE),0)&gt;0,VLOOKUP($B318,Dashboard!$Q$28:$S$60,3,FALSE),1))),0))</f>
        <v>12</v>
      </c>
      <c r="K318" s="2" t="str">
        <f>IF('Base S1'!G18="","",'Base S1'!G18)</f>
        <v>C 58/82</v>
      </c>
      <c r="L318" s="2">
        <f t="shared" si="52"/>
        <v>1</v>
      </c>
      <c r="M318" s="2">
        <f t="shared" si="53"/>
        <v>0</v>
      </c>
      <c r="N318" s="2">
        <f t="shared" si="54"/>
        <v>1</v>
      </c>
      <c r="O318" s="2">
        <f t="shared" si="55"/>
        <v>0</v>
      </c>
      <c r="P318" s="112">
        <f t="shared" si="56"/>
        <v>12</v>
      </c>
      <c r="Q318" s="112">
        <f t="shared" si="57"/>
        <v>0</v>
      </c>
      <c r="R318" s="53"/>
      <c r="S318" s="53" t="str">
        <f t="shared" si="58"/>
        <v>Base S1|Floor 82 Parallel - Season 1|17|Floor 82</v>
      </c>
      <c r="T318" s="57" t="str">
        <f>IF($S318="","",IFERROR(VLOOKUP($S318,'Pop Estimates (Non-#d)'!$N$2:$O$500,2,FALSE),""))</f>
        <v/>
      </c>
      <c r="U318" s="57">
        <f t="shared" si="59"/>
        <v>82</v>
      </c>
      <c r="V318" s="53" t="str">
        <f t="shared" si="60"/>
        <v/>
      </c>
      <c r="W318" s="53" t="str">
        <f t="shared" si="61"/>
        <v/>
      </c>
      <c r="X318" s="53" t="str">
        <f t="shared" si="62"/>
        <v/>
      </c>
      <c r="Y318" s="57" t="str">
        <f>IF($X318="","",IFERROR(VLOOKUP($X318,'Char Popularity'!$A$2:$C$500,2,FALSE),""))</f>
        <v/>
      </c>
      <c r="Z318" s="56">
        <f>IF($X318="",1,IFERROR(VLOOKUP($X318,'Char Popularity'!$A$2:$C$500,3,FALSE),1))</f>
        <v>1</v>
      </c>
      <c r="AA318" s="62">
        <f>IF($H318&lt;&gt;"Y",0,(IF($F318&lt;&gt;"",ROUND(Dashboard!$R$4/$F318,1),IF(AND($I318="Base",$E318="Base"),Dashboard!$R$5,IF(AND($I318="Base",$E318="Red"),Dashboard!$R$6,IF(AND($I318="Base",$E318="Gold"),Dashboard!$R$7,VLOOKUP($I318,Dashboard!$Q$16:$R$21,2,FALSE)))))*VLOOKUP($I318,Dashboard!$Q$9:$R$13,2,FALSE)*IF(AND($I318="Auto",$F318="",OR($B318="Autographs Duals",$B318="Autographs Triples",$B318="Autographs Quads",$B318="Autographs Quads (Inscribed)")),IF($B318="Autographs Duals",2,IF($B318="Autographs Triples",3,4)),1)))</f>
        <v>12.2</v>
      </c>
      <c r="AB318" s="62">
        <f t="shared" si="63"/>
        <v>12.2</v>
      </c>
      <c r="AC318" s="62">
        <f t="shared" si="64"/>
        <v>0</v>
      </c>
    </row>
    <row r="319" spans="1:29" ht="28.7" customHeight="1" x14ac:dyDescent="0.25">
      <c r="A319" s="4" t="s">
        <v>17</v>
      </c>
      <c r="B319" s="7" t="s">
        <v>69</v>
      </c>
      <c r="C319" s="2" t="s">
        <v>1417</v>
      </c>
      <c r="D319" s="7" t="s">
        <v>877</v>
      </c>
      <c r="E319" s="4" t="s">
        <v>779</v>
      </c>
      <c r="F319" s="2">
        <v>82</v>
      </c>
      <c r="G319" s="2" t="s">
        <v>1399</v>
      </c>
      <c r="H319" s="2" t="s">
        <v>1400</v>
      </c>
      <c r="I319" s="4" t="s">
        <v>60</v>
      </c>
      <c r="J319" s="112">
        <f>IF($H319&lt;&gt;"Y",0,ROUND(MIN(Dashboard!$R$24,IF(IFERROR(VLOOKUP($B319,Dashboard!$Q$28:$S$60,2,FALSE),0)&gt;0,IFERROR(VLOOKUP($B319,Dashboard!$Q$28:$S$60,2,FALSE),0),$Z319*IF($U319&lt;&gt;"",ROUND((Dashboard!$R$4/$U319)*VLOOKUP($I319,Dashboard!$Q$9:$R$13,2,FALSE)*IF(ISNUMBER(SEARCH("Duals",$B319)),2,IF(ISNUMBER(SEARCH("Triples",$B319)),3,IF(ISNUMBER(SEARCH("Quads",$B319)),4,1))),2),ROUND(VLOOKUP($I319,Dashboard!$Q$15:$R$20,2,FALSE)*IF($E319="Red",Dashboard!$R$6,IF($E319="Gold",Dashboard!$R$7,Dashboard!$R$5))*IF(ISNUMBER(SEARCH("Duals",$B319)),2,IF(ISNUMBER(SEARCH("Triples",$B319)),3,IF(ISNUMBER(SEARCH("Quads",$B319)),4,1))),2))*IF(IFERROR(VLOOKUP($B319,Dashboard!$Q$28:$S$60,3,FALSE),0)&gt;0,VLOOKUP($B319,Dashboard!$Q$28:$S$60,3,FALSE),1))),0))</f>
        <v>12</v>
      </c>
      <c r="K319" s="2" t="str">
        <f>IF('Base S1'!G19="","",'Base S1'!G19)</f>
        <v>C '02/82</v>
      </c>
      <c r="L319" s="2">
        <f t="shared" si="52"/>
        <v>1</v>
      </c>
      <c r="M319" s="2">
        <f t="shared" si="53"/>
        <v>0</v>
      </c>
      <c r="N319" s="2">
        <f t="shared" si="54"/>
        <v>1</v>
      </c>
      <c r="O319" s="2">
        <f t="shared" si="55"/>
        <v>0</v>
      </c>
      <c r="P319" s="112">
        <f t="shared" si="56"/>
        <v>12</v>
      </c>
      <c r="Q319" s="112">
        <f t="shared" si="57"/>
        <v>0</v>
      </c>
      <c r="R319" s="53"/>
      <c r="S319" s="53" t="str">
        <f t="shared" si="58"/>
        <v>Base S1|Floor 82 Parallel - Season 1|18|Floor 82</v>
      </c>
      <c r="T319" s="57" t="str">
        <f>IF($S319="","",IFERROR(VLOOKUP($S319,'Pop Estimates (Non-#d)'!$N$2:$O$500,2,FALSE),""))</f>
        <v/>
      </c>
      <c r="U319" s="57">
        <f t="shared" si="59"/>
        <v>82</v>
      </c>
      <c r="V319" s="53" t="str">
        <f t="shared" si="60"/>
        <v/>
      </c>
      <c r="W319" s="53" t="str">
        <f t="shared" si="61"/>
        <v/>
      </c>
      <c r="X319" s="53" t="str">
        <f t="shared" si="62"/>
        <v/>
      </c>
      <c r="Y319" s="57" t="str">
        <f>IF($X319="","",IFERROR(VLOOKUP($X319,'Char Popularity'!$A$2:$C$500,2,FALSE),""))</f>
        <v/>
      </c>
      <c r="Z319" s="56">
        <f>IF($X319="",1,IFERROR(VLOOKUP($X319,'Char Popularity'!$A$2:$C$500,3,FALSE),1))</f>
        <v>1</v>
      </c>
      <c r="AA319" s="62">
        <f>IF($H319&lt;&gt;"Y",0,(IF($F319&lt;&gt;"",ROUND(Dashboard!$R$4/$F319,1),IF(AND($I319="Base",$E319="Base"),Dashboard!$R$5,IF(AND($I319="Base",$E319="Red"),Dashboard!$R$6,IF(AND($I319="Base",$E319="Gold"),Dashboard!$R$7,VLOOKUP($I319,Dashboard!$Q$16:$R$21,2,FALSE)))))*VLOOKUP($I319,Dashboard!$Q$9:$R$13,2,FALSE)*IF(AND($I319="Auto",$F319="",OR($B319="Autographs Duals",$B319="Autographs Triples",$B319="Autographs Quads",$B319="Autographs Quads (Inscribed)")),IF($B319="Autographs Duals",2,IF($B319="Autographs Triples",3,4)),1)))</f>
        <v>12.2</v>
      </c>
      <c r="AB319" s="62">
        <f t="shared" si="63"/>
        <v>12.2</v>
      </c>
      <c r="AC319" s="62">
        <f t="shared" si="64"/>
        <v>0</v>
      </c>
    </row>
    <row r="320" spans="1:29" ht="28.7" customHeight="1" x14ac:dyDescent="0.25">
      <c r="A320" s="4" t="s">
        <v>17</v>
      </c>
      <c r="B320" s="7" t="s">
        <v>69</v>
      </c>
      <c r="C320" s="2" t="s">
        <v>1418</v>
      </c>
      <c r="D320" s="7" t="s">
        <v>879</v>
      </c>
      <c r="E320" s="4" t="s">
        <v>779</v>
      </c>
      <c r="F320" s="2">
        <v>82</v>
      </c>
      <c r="G320" s="2" t="s">
        <v>1399</v>
      </c>
      <c r="H320" s="2" t="s">
        <v>1400</v>
      </c>
      <c r="I320" s="4" t="s">
        <v>60</v>
      </c>
      <c r="J320" s="112">
        <f>IF($H320&lt;&gt;"Y",0,ROUND(MIN(Dashboard!$R$24,IF(IFERROR(VLOOKUP($B320,Dashboard!$Q$28:$S$60,2,FALSE),0)&gt;0,IFERROR(VLOOKUP($B320,Dashboard!$Q$28:$S$60,2,FALSE),0),$Z320*IF($U320&lt;&gt;"",ROUND((Dashboard!$R$4/$U320)*VLOOKUP($I320,Dashboard!$Q$9:$R$13,2,FALSE)*IF(ISNUMBER(SEARCH("Duals",$B320)),2,IF(ISNUMBER(SEARCH("Triples",$B320)),3,IF(ISNUMBER(SEARCH("Quads",$B320)),4,1))),2),ROUND(VLOOKUP($I320,Dashboard!$Q$15:$R$20,2,FALSE)*IF($E320="Red",Dashboard!$R$6,IF($E320="Gold",Dashboard!$R$7,Dashboard!$R$5))*IF(ISNUMBER(SEARCH("Duals",$B320)),2,IF(ISNUMBER(SEARCH("Triples",$B320)),3,IF(ISNUMBER(SEARCH("Quads",$B320)),4,1))),2))*IF(IFERROR(VLOOKUP($B320,Dashboard!$Q$28:$S$60,3,FALSE),0)&gt;0,VLOOKUP($B320,Dashboard!$Q$28:$S$60,3,FALSE),1))),0))</f>
        <v>12</v>
      </c>
      <c r="K320" s="2" t="str">
        <f>IF('Base S1'!G20="","",'Base S1'!G20)</f>
        <v>V 57/82</v>
      </c>
      <c r="L320" s="2">
        <f t="shared" si="52"/>
        <v>1</v>
      </c>
      <c r="M320" s="2">
        <f t="shared" si="53"/>
        <v>0</v>
      </c>
      <c r="N320" s="2">
        <f t="shared" si="54"/>
        <v>1</v>
      </c>
      <c r="O320" s="2">
        <f t="shared" si="55"/>
        <v>0</v>
      </c>
      <c r="P320" s="112">
        <f t="shared" si="56"/>
        <v>12</v>
      </c>
      <c r="Q320" s="112">
        <f t="shared" si="57"/>
        <v>0</v>
      </c>
      <c r="R320" s="53"/>
      <c r="S320" s="53" t="str">
        <f t="shared" si="58"/>
        <v>Base S1|Floor 82 Parallel - Season 1|19|Floor 82</v>
      </c>
      <c r="T320" s="57" t="str">
        <f>IF($S320="","",IFERROR(VLOOKUP($S320,'Pop Estimates (Non-#d)'!$N$2:$O$500,2,FALSE),""))</f>
        <v/>
      </c>
      <c r="U320" s="57">
        <f t="shared" si="59"/>
        <v>82</v>
      </c>
      <c r="V320" s="53" t="str">
        <f t="shared" si="60"/>
        <v/>
      </c>
      <c r="W320" s="53" t="str">
        <f t="shared" si="61"/>
        <v/>
      </c>
      <c r="X320" s="53" t="str">
        <f t="shared" si="62"/>
        <v/>
      </c>
      <c r="Y320" s="57" t="str">
        <f>IF($X320="","",IFERROR(VLOOKUP($X320,'Char Popularity'!$A$2:$C$500,2,FALSE),""))</f>
        <v/>
      </c>
      <c r="Z320" s="56">
        <f>IF($X320="",1,IFERROR(VLOOKUP($X320,'Char Popularity'!$A$2:$C$500,3,FALSE),1))</f>
        <v>1</v>
      </c>
      <c r="AA320" s="62">
        <f>IF($H320&lt;&gt;"Y",0,(IF($F320&lt;&gt;"",ROUND(Dashboard!$R$4/$F320,1),IF(AND($I320="Base",$E320="Base"),Dashboard!$R$5,IF(AND($I320="Base",$E320="Red"),Dashboard!$R$6,IF(AND($I320="Base",$E320="Gold"),Dashboard!$R$7,VLOOKUP($I320,Dashboard!$Q$16:$R$21,2,FALSE)))))*VLOOKUP($I320,Dashboard!$Q$9:$R$13,2,FALSE)*IF(AND($I320="Auto",$F320="",OR($B320="Autographs Duals",$B320="Autographs Triples",$B320="Autographs Quads",$B320="Autographs Quads (Inscribed)")),IF($B320="Autographs Duals",2,IF($B320="Autographs Triples",3,4)),1)))</f>
        <v>12.2</v>
      </c>
      <c r="AB320" s="62">
        <f t="shared" si="63"/>
        <v>12.2</v>
      </c>
      <c r="AC320" s="62">
        <f t="shared" si="64"/>
        <v>0</v>
      </c>
    </row>
    <row r="321" spans="1:29" ht="28.7" customHeight="1" x14ac:dyDescent="0.25">
      <c r="A321" s="4" t="s">
        <v>17</v>
      </c>
      <c r="B321" s="7" t="s">
        <v>69</v>
      </c>
      <c r="C321" s="2" t="s">
        <v>1419</v>
      </c>
      <c r="D321" s="7" t="s">
        <v>881</v>
      </c>
      <c r="E321" s="4" t="s">
        <v>779</v>
      </c>
      <c r="F321" s="2">
        <v>82</v>
      </c>
      <c r="G321" s="2" t="s">
        <v>1399</v>
      </c>
      <c r="H321" s="2" t="s">
        <v>1400</v>
      </c>
      <c r="I321" s="4" t="s">
        <v>60</v>
      </c>
      <c r="J321" s="112">
        <f>IF($H321&lt;&gt;"Y",0,ROUND(MIN(Dashboard!$R$24,IF(IFERROR(VLOOKUP($B321,Dashboard!$Q$28:$S$60,2,FALSE),0)&gt;0,IFERROR(VLOOKUP($B321,Dashboard!$Q$28:$S$60,2,FALSE),0),$Z321*IF($U321&lt;&gt;"",ROUND((Dashboard!$R$4/$U321)*VLOOKUP($I321,Dashboard!$Q$9:$R$13,2,FALSE)*IF(ISNUMBER(SEARCH("Duals",$B321)),2,IF(ISNUMBER(SEARCH("Triples",$B321)),3,IF(ISNUMBER(SEARCH("Quads",$B321)),4,1))),2),ROUND(VLOOKUP($I321,Dashboard!$Q$15:$R$20,2,FALSE)*IF($E321="Red",Dashboard!$R$6,IF($E321="Gold",Dashboard!$R$7,Dashboard!$R$5))*IF(ISNUMBER(SEARCH("Duals",$B321)),2,IF(ISNUMBER(SEARCH("Triples",$B321)),3,IF(ISNUMBER(SEARCH("Quads",$B321)),4,1))),2))*IF(IFERROR(VLOOKUP($B321,Dashboard!$Q$28:$S$60,3,FALSE),0)&gt;0,VLOOKUP($B321,Dashboard!$Q$28:$S$60,3,FALSE),1))),0))</f>
        <v>12</v>
      </c>
      <c r="K321" s="2" t="str">
        <f>IF('Base S1'!G21="","",'Base S1'!G21)</f>
        <v>V 21/82</v>
      </c>
      <c r="L321" s="2">
        <f t="shared" si="52"/>
        <v>1</v>
      </c>
      <c r="M321" s="2">
        <f t="shared" si="53"/>
        <v>0</v>
      </c>
      <c r="N321" s="2">
        <f t="shared" si="54"/>
        <v>1</v>
      </c>
      <c r="O321" s="2">
        <f t="shared" si="55"/>
        <v>0</v>
      </c>
      <c r="P321" s="112">
        <f t="shared" si="56"/>
        <v>12</v>
      </c>
      <c r="Q321" s="112">
        <f t="shared" si="57"/>
        <v>0</v>
      </c>
      <c r="R321" s="53"/>
      <c r="S321" s="53" t="str">
        <f t="shared" si="58"/>
        <v>Base S1|Floor 82 Parallel - Season 1|20|Floor 82</v>
      </c>
      <c r="T321" s="57" t="str">
        <f>IF($S321="","",IFERROR(VLOOKUP($S321,'Pop Estimates (Non-#d)'!$N$2:$O$500,2,FALSE),""))</f>
        <v/>
      </c>
      <c r="U321" s="57">
        <f t="shared" si="59"/>
        <v>82</v>
      </c>
      <c r="V321" s="53" t="str">
        <f t="shared" si="60"/>
        <v/>
      </c>
      <c r="W321" s="53" t="str">
        <f t="shared" si="61"/>
        <v/>
      </c>
      <c r="X321" s="53" t="str">
        <f t="shared" si="62"/>
        <v/>
      </c>
      <c r="Y321" s="57" t="str">
        <f>IF($X321="","",IFERROR(VLOOKUP($X321,'Char Popularity'!$A$2:$C$500,2,FALSE),""))</f>
        <v/>
      </c>
      <c r="Z321" s="56">
        <f>IF($X321="",1,IFERROR(VLOOKUP($X321,'Char Popularity'!$A$2:$C$500,3,FALSE),1))</f>
        <v>1</v>
      </c>
      <c r="AA321" s="62">
        <f>IF($H321&lt;&gt;"Y",0,(IF($F321&lt;&gt;"",ROUND(Dashboard!$R$4/$F321,1),IF(AND($I321="Base",$E321="Base"),Dashboard!$R$5,IF(AND($I321="Base",$E321="Red"),Dashboard!$R$6,IF(AND($I321="Base",$E321="Gold"),Dashboard!$R$7,VLOOKUP($I321,Dashboard!$Q$16:$R$21,2,FALSE)))))*VLOOKUP($I321,Dashboard!$Q$9:$R$13,2,FALSE)*IF(AND($I321="Auto",$F321="",OR($B321="Autographs Duals",$B321="Autographs Triples",$B321="Autographs Quads",$B321="Autographs Quads (Inscribed)")),IF($B321="Autographs Duals",2,IF($B321="Autographs Triples",3,4)),1)))</f>
        <v>12.2</v>
      </c>
      <c r="AB321" s="62">
        <f t="shared" si="63"/>
        <v>12.2</v>
      </c>
      <c r="AC321" s="62">
        <f t="shared" si="64"/>
        <v>0</v>
      </c>
    </row>
    <row r="322" spans="1:29" ht="28.7" customHeight="1" x14ac:dyDescent="0.25">
      <c r="A322" s="4" t="s">
        <v>17</v>
      </c>
      <c r="B322" s="7" t="s">
        <v>69</v>
      </c>
      <c r="C322" s="2" t="s">
        <v>1420</v>
      </c>
      <c r="D322" s="7" t="s">
        <v>883</v>
      </c>
      <c r="E322" s="4" t="s">
        <v>779</v>
      </c>
      <c r="F322" s="2">
        <v>82</v>
      </c>
      <c r="G322" s="2" t="s">
        <v>1399</v>
      </c>
      <c r="H322" s="2" t="s">
        <v>1400</v>
      </c>
      <c r="I322" s="4" t="s">
        <v>60</v>
      </c>
      <c r="J322" s="112">
        <f>IF($H322&lt;&gt;"Y",0,ROUND(MIN(Dashboard!$R$24,IF(IFERROR(VLOOKUP($B322,Dashboard!$Q$28:$S$60,2,FALSE),0)&gt;0,IFERROR(VLOOKUP($B322,Dashboard!$Q$28:$S$60,2,FALSE),0),$Z322*IF($U322&lt;&gt;"",ROUND((Dashboard!$R$4/$U322)*VLOOKUP($I322,Dashboard!$Q$9:$R$13,2,FALSE)*IF(ISNUMBER(SEARCH("Duals",$B322)),2,IF(ISNUMBER(SEARCH("Triples",$B322)),3,IF(ISNUMBER(SEARCH("Quads",$B322)),4,1))),2),ROUND(VLOOKUP($I322,Dashboard!$Q$15:$R$20,2,FALSE)*IF($E322="Red",Dashboard!$R$6,IF($E322="Gold",Dashboard!$R$7,Dashboard!$R$5))*IF(ISNUMBER(SEARCH("Duals",$B322)),2,IF(ISNUMBER(SEARCH("Triples",$B322)),3,IF(ISNUMBER(SEARCH("Quads",$B322)),4,1))),2))*IF(IFERROR(VLOOKUP($B322,Dashboard!$Q$28:$S$60,3,FALSE),0)&gt;0,VLOOKUP($B322,Dashboard!$Q$28:$S$60,3,FALSE),1))),0))</f>
        <v>12</v>
      </c>
      <c r="K322" s="2" t="str">
        <f>IF('Base S1'!G22="","",'Base S1'!G22)</f>
        <v>C 33/82</v>
      </c>
      <c r="L322" s="2">
        <f t="shared" ref="L322:L385" si="65">IF(AND($K322&lt;&gt;"",LEFT($K322,1)&lt;&gt;"Y"),1,0)</f>
        <v>1</v>
      </c>
      <c r="M322" s="2">
        <f t="shared" ref="M322:M385" si="66">IF(LEFT($K322,1)="Y",1,0)</f>
        <v>0</v>
      </c>
      <c r="N322" s="2">
        <f t="shared" ref="N322:N385" si="67">$L322+$M322</f>
        <v>1</v>
      </c>
      <c r="O322" s="2">
        <f t="shared" ref="O322:O385" si="68">IF($H322="Y",1-$N322,0)</f>
        <v>0</v>
      </c>
      <c r="P322" s="112">
        <f t="shared" ref="P322:P385" si="69">IF($L322=1,$J322,0)</f>
        <v>12</v>
      </c>
      <c r="Q322" s="112">
        <f t="shared" ref="Q322:Q385" si="70">IF($M322=1,$J322,0)</f>
        <v>0</v>
      </c>
      <c r="R322" s="53"/>
      <c r="S322" s="53" t="str">
        <f t="shared" ref="S322:S385" si="71">IF($A322="","",$A322&amp;"|"&amp;$B322&amp;"|"&amp;$C322&amp;"|"&amp;$E322)</f>
        <v>Base S1|Floor 82 Parallel - Season 1|21|Floor 82</v>
      </c>
      <c r="T322" s="57" t="str">
        <f>IF($S322="","",IFERROR(VLOOKUP($S322,'Pop Estimates (Non-#d)'!$N$2:$O$500,2,FALSE),""))</f>
        <v/>
      </c>
      <c r="U322" s="57">
        <f t="shared" ref="U322:U385" si="72">IF($A322="","",IF($F322&lt;&gt;"",$F322,$T322))</f>
        <v>82</v>
      </c>
      <c r="V322" s="53" t="str">
        <f t="shared" ref="V322:V385" si="73">IF($A322="","",IF(ISNUMBER(SEARCH(" as ",$D322)),MID($D322,SEARCH(" as ",$D322)+4,255),IF(ISNUMBER(SEARCH("/",$D322)),LEFT($D322,FIND("/",$D322&amp;"/")-1),"")))</f>
        <v/>
      </c>
      <c r="W322" s="53" t="str">
        <f t="shared" ref="W322:W385" si="74">IF($V322="","",TRIM(IFERROR(MID($V322,SEARCH("(", $V322)+1,SEARCH(")",$V322)-SEARCH("(", $V322)-1),$V322)))</f>
        <v/>
      </c>
      <c r="X322" s="53" t="str">
        <f t="shared" ref="X322:X385" si="75">IF($W322="","",TRIM(LEFT($W322&amp;"""",FIND("""",$W322&amp;"""")-1)))</f>
        <v/>
      </c>
      <c r="Y322" s="57" t="str">
        <f>IF($X322="","",IFERROR(VLOOKUP($X322,'Char Popularity'!$A$2:$C$500,2,FALSE),""))</f>
        <v/>
      </c>
      <c r="Z322" s="56">
        <f>IF($X322="",1,IFERROR(VLOOKUP($X322,'Char Popularity'!$A$2:$C$500,3,FALSE),1))</f>
        <v>1</v>
      </c>
      <c r="AA322" s="62">
        <f>IF($H322&lt;&gt;"Y",0,(IF($F322&lt;&gt;"",ROUND(Dashboard!$R$4/$F322,1),IF(AND($I322="Base",$E322="Base"),Dashboard!$R$5,IF(AND($I322="Base",$E322="Red"),Dashboard!$R$6,IF(AND($I322="Base",$E322="Gold"),Dashboard!$R$7,VLOOKUP($I322,Dashboard!$Q$16:$R$21,2,FALSE)))))*VLOOKUP($I322,Dashboard!$Q$9:$R$13,2,FALSE)*IF(AND($I322="Auto",$F322="",OR($B322="Autographs Duals",$B322="Autographs Triples",$B322="Autographs Quads",$B322="Autographs Quads (Inscribed)")),IF($B322="Autographs Duals",2,IF($B322="Autographs Triples",3,4)),1)))</f>
        <v>12.2</v>
      </c>
      <c r="AB322" s="62">
        <f t="shared" ref="AB322:AB385" si="76">IF($L322=1,$AA322,0)</f>
        <v>12.2</v>
      </c>
      <c r="AC322" s="62">
        <f t="shared" ref="AC322:AC385" si="77">IF($M322=1,$AA322,0)</f>
        <v>0</v>
      </c>
    </row>
    <row r="323" spans="1:29" ht="28.7" customHeight="1" x14ac:dyDescent="0.25">
      <c r="A323" s="4" t="s">
        <v>17</v>
      </c>
      <c r="B323" s="7" t="s">
        <v>69</v>
      </c>
      <c r="C323" s="2" t="s">
        <v>1421</v>
      </c>
      <c r="D323" s="7" t="s">
        <v>885</v>
      </c>
      <c r="E323" s="4" t="s">
        <v>779</v>
      </c>
      <c r="F323" s="2">
        <v>82</v>
      </c>
      <c r="G323" s="2" t="s">
        <v>1399</v>
      </c>
      <c r="H323" s="2" t="s">
        <v>1400</v>
      </c>
      <c r="I323" s="4" t="s">
        <v>60</v>
      </c>
      <c r="J323" s="112">
        <f>IF($H323&lt;&gt;"Y",0,ROUND(MIN(Dashboard!$R$24,IF(IFERROR(VLOOKUP($B323,Dashboard!$Q$28:$S$60,2,FALSE),0)&gt;0,IFERROR(VLOOKUP($B323,Dashboard!$Q$28:$S$60,2,FALSE),0),$Z323*IF($U323&lt;&gt;"",ROUND((Dashboard!$R$4/$U323)*VLOOKUP($I323,Dashboard!$Q$9:$R$13,2,FALSE)*IF(ISNUMBER(SEARCH("Duals",$B323)),2,IF(ISNUMBER(SEARCH("Triples",$B323)),3,IF(ISNUMBER(SEARCH("Quads",$B323)),4,1))),2),ROUND(VLOOKUP($I323,Dashboard!$Q$15:$R$20,2,FALSE)*IF($E323="Red",Dashboard!$R$6,IF($E323="Gold",Dashboard!$R$7,Dashboard!$R$5))*IF(ISNUMBER(SEARCH("Duals",$B323)),2,IF(ISNUMBER(SEARCH("Triples",$B323)),3,IF(ISNUMBER(SEARCH("Quads",$B323)),4,1))),2))*IF(IFERROR(VLOOKUP($B323,Dashboard!$Q$28:$S$60,3,FALSE),0)&gt;0,VLOOKUP($B323,Dashboard!$Q$28:$S$60,3,FALSE),1))),0))</f>
        <v>12</v>
      </c>
      <c r="K323" s="2" t="str">
        <f>IF('Base S1'!G23="","",'Base S1'!G23)</f>
        <v>C '08/82</v>
      </c>
      <c r="L323" s="2">
        <f t="shared" si="65"/>
        <v>1</v>
      </c>
      <c r="M323" s="2">
        <f t="shared" si="66"/>
        <v>0</v>
      </c>
      <c r="N323" s="2">
        <f t="shared" si="67"/>
        <v>1</v>
      </c>
      <c r="O323" s="2">
        <f t="shared" si="68"/>
        <v>0</v>
      </c>
      <c r="P323" s="112">
        <f t="shared" si="69"/>
        <v>12</v>
      </c>
      <c r="Q323" s="112">
        <f t="shared" si="70"/>
        <v>0</v>
      </c>
      <c r="R323" s="53"/>
      <c r="S323" s="53" t="str">
        <f t="shared" si="71"/>
        <v>Base S1|Floor 82 Parallel - Season 1|22|Floor 82</v>
      </c>
      <c r="T323" s="57" t="str">
        <f>IF($S323="","",IFERROR(VLOOKUP($S323,'Pop Estimates (Non-#d)'!$N$2:$O$500,2,FALSE),""))</f>
        <v/>
      </c>
      <c r="U323" s="57">
        <f t="shared" si="72"/>
        <v>82</v>
      </c>
      <c r="V323" s="53" t="str">
        <f t="shared" si="73"/>
        <v/>
      </c>
      <c r="W323" s="53" t="str">
        <f t="shared" si="74"/>
        <v/>
      </c>
      <c r="X323" s="53" t="str">
        <f t="shared" si="75"/>
        <v/>
      </c>
      <c r="Y323" s="57" t="str">
        <f>IF($X323="","",IFERROR(VLOOKUP($X323,'Char Popularity'!$A$2:$C$500,2,FALSE),""))</f>
        <v/>
      </c>
      <c r="Z323" s="56">
        <f>IF($X323="",1,IFERROR(VLOOKUP($X323,'Char Popularity'!$A$2:$C$500,3,FALSE),1))</f>
        <v>1</v>
      </c>
      <c r="AA323" s="62">
        <f>IF($H323&lt;&gt;"Y",0,(IF($F323&lt;&gt;"",ROUND(Dashboard!$R$4/$F323,1),IF(AND($I323="Base",$E323="Base"),Dashboard!$R$5,IF(AND($I323="Base",$E323="Red"),Dashboard!$R$6,IF(AND($I323="Base",$E323="Gold"),Dashboard!$R$7,VLOOKUP($I323,Dashboard!$Q$16:$R$21,2,FALSE)))))*VLOOKUP($I323,Dashboard!$Q$9:$R$13,2,FALSE)*IF(AND($I323="Auto",$F323="",OR($B323="Autographs Duals",$B323="Autographs Triples",$B323="Autographs Quads",$B323="Autographs Quads (Inscribed)")),IF($B323="Autographs Duals",2,IF($B323="Autographs Triples",3,4)),1)))</f>
        <v>12.2</v>
      </c>
      <c r="AB323" s="62">
        <f t="shared" si="76"/>
        <v>12.2</v>
      </c>
      <c r="AC323" s="62">
        <f t="shared" si="77"/>
        <v>0</v>
      </c>
    </row>
    <row r="324" spans="1:29" ht="28.7" customHeight="1" x14ac:dyDescent="0.25">
      <c r="A324" s="4" t="s">
        <v>17</v>
      </c>
      <c r="B324" s="7" t="s">
        <v>69</v>
      </c>
      <c r="C324" s="2" t="s">
        <v>1422</v>
      </c>
      <c r="D324" s="7" t="s">
        <v>888</v>
      </c>
      <c r="E324" s="4" t="s">
        <v>779</v>
      </c>
      <c r="F324" s="2">
        <v>82</v>
      </c>
      <c r="G324" s="2" t="s">
        <v>1399</v>
      </c>
      <c r="H324" s="2" t="s">
        <v>1400</v>
      </c>
      <c r="I324" s="4" t="s">
        <v>60</v>
      </c>
      <c r="J324" s="112">
        <f>IF($H324&lt;&gt;"Y",0,ROUND(MIN(Dashboard!$R$24,IF(IFERROR(VLOOKUP($B324,Dashboard!$Q$28:$S$60,2,FALSE),0)&gt;0,IFERROR(VLOOKUP($B324,Dashboard!$Q$28:$S$60,2,FALSE),0),$Z324*IF($U324&lt;&gt;"",ROUND((Dashboard!$R$4/$U324)*VLOOKUP($I324,Dashboard!$Q$9:$R$13,2,FALSE)*IF(ISNUMBER(SEARCH("Duals",$B324)),2,IF(ISNUMBER(SEARCH("Triples",$B324)),3,IF(ISNUMBER(SEARCH("Quads",$B324)),4,1))),2),ROUND(VLOOKUP($I324,Dashboard!$Q$15:$R$20,2,FALSE)*IF($E324="Red",Dashboard!$R$6,IF($E324="Gold",Dashboard!$R$7,Dashboard!$R$5))*IF(ISNUMBER(SEARCH("Duals",$B324)),2,IF(ISNUMBER(SEARCH("Triples",$B324)),3,IF(ISNUMBER(SEARCH("Quads",$B324)),4,1))),2))*IF(IFERROR(VLOOKUP($B324,Dashboard!$Q$28:$S$60,3,FALSE),0)&gt;0,VLOOKUP($B324,Dashboard!$Q$28:$S$60,3,FALSE),1))),0))</f>
        <v>12</v>
      </c>
      <c r="K324" s="2" t="str">
        <f>IF('Base S1'!G24="","",'Base S1'!G24)</f>
        <v>C 52/82</v>
      </c>
      <c r="L324" s="2">
        <f t="shared" si="65"/>
        <v>1</v>
      </c>
      <c r="M324" s="2">
        <f t="shared" si="66"/>
        <v>0</v>
      </c>
      <c r="N324" s="2">
        <f t="shared" si="67"/>
        <v>1</v>
      </c>
      <c r="O324" s="2">
        <f t="shared" si="68"/>
        <v>0</v>
      </c>
      <c r="P324" s="112">
        <f t="shared" si="69"/>
        <v>12</v>
      </c>
      <c r="Q324" s="112">
        <f t="shared" si="70"/>
        <v>0</v>
      </c>
      <c r="R324" s="53"/>
      <c r="S324" s="53" t="str">
        <f t="shared" si="71"/>
        <v>Base S1|Floor 82 Parallel - Season 1|23|Floor 82</v>
      </c>
      <c r="T324" s="57" t="str">
        <f>IF($S324="","",IFERROR(VLOOKUP($S324,'Pop Estimates (Non-#d)'!$N$2:$O$500,2,FALSE),""))</f>
        <v/>
      </c>
      <c r="U324" s="57">
        <f t="shared" si="72"/>
        <v>82</v>
      </c>
      <c r="V324" s="53" t="str">
        <f t="shared" si="73"/>
        <v/>
      </c>
      <c r="W324" s="53" t="str">
        <f t="shared" si="74"/>
        <v/>
      </c>
      <c r="X324" s="53" t="str">
        <f t="shared" si="75"/>
        <v/>
      </c>
      <c r="Y324" s="57" t="str">
        <f>IF($X324="","",IFERROR(VLOOKUP($X324,'Char Popularity'!$A$2:$C$500,2,FALSE),""))</f>
        <v/>
      </c>
      <c r="Z324" s="56">
        <f>IF($X324="",1,IFERROR(VLOOKUP($X324,'Char Popularity'!$A$2:$C$500,3,FALSE),1))</f>
        <v>1</v>
      </c>
      <c r="AA324" s="62">
        <f>IF($H324&lt;&gt;"Y",0,(IF($F324&lt;&gt;"",ROUND(Dashboard!$R$4/$F324,1),IF(AND($I324="Base",$E324="Base"),Dashboard!$R$5,IF(AND($I324="Base",$E324="Red"),Dashboard!$R$6,IF(AND($I324="Base",$E324="Gold"),Dashboard!$R$7,VLOOKUP($I324,Dashboard!$Q$16:$R$21,2,FALSE)))))*VLOOKUP($I324,Dashboard!$Q$9:$R$13,2,FALSE)*IF(AND($I324="Auto",$F324="",OR($B324="Autographs Duals",$B324="Autographs Triples",$B324="Autographs Quads",$B324="Autographs Quads (Inscribed)")),IF($B324="Autographs Duals",2,IF($B324="Autographs Triples",3,4)),1)))</f>
        <v>12.2</v>
      </c>
      <c r="AB324" s="62">
        <f t="shared" si="76"/>
        <v>12.2</v>
      </c>
      <c r="AC324" s="62">
        <f t="shared" si="77"/>
        <v>0</v>
      </c>
    </row>
    <row r="325" spans="1:29" ht="28.7" customHeight="1" x14ac:dyDescent="0.25">
      <c r="A325" s="4" t="s">
        <v>17</v>
      </c>
      <c r="B325" s="7" t="s">
        <v>69</v>
      </c>
      <c r="C325" s="2" t="s">
        <v>1423</v>
      </c>
      <c r="D325" s="7" t="s">
        <v>890</v>
      </c>
      <c r="E325" s="4" t="s">
        <v>779</v>
      </c>
      <c r="F325" s="2">
        <v>82</v>
      </c>
      <c r="G325" s="2" t="s">
        <v>1399</v>
      </c>
      <c r="H325" s="2" t="s">
        <v>1400</v>
      </c>
      <c r="I325" s="4" t="s">
        <v>60</v>
      </c>
      <c r="J325" s="112">
        <f>IF($H325&lt;&gt;"Y",0,ROUND(MIN(Dashboard!$R$24,IF(IFERROR(VLOOKUP($B325,Dashboard!$Q$28:$S$60,2,FALSE),0)&gt;0,IFERROR(VLOOKUP($B325,Dashboard!$Q$28:$S$60,2,FALSE),0),$Z325*IF($U325&lt;&gt;"",ROUND((Dashboard!$R$4/$U325)*VLOOKUP($I325,Dashboard!$Q$9:$R$13,2,FALSE)*IF(ISNUMBER(SEARCH("Duals",$B325)),2,IF(ISNUMBER(SEARCH("Triples",$B325)),3,IF(ISNUMBER(SEARCH("Quads",$B325)),4,1))),2),ROUND(VLOOKUP($I325,Dashboard!$Q$15:$R$20,2,FALSE)*IF($E325="Red",Dashboard!$R$6,IF($E325="Gold",Dashboard!$R$7,Dashboard!$R$5))*IF(ISNUMBER(SEARCH("Duals",$B325)),2,IF(ISNUMBER(SEARCH("Triples",$B325)),3,IF(ISNUMBER(SEARCH("Quads",$B325)),4,1))),2))*IF(IFERROR(VLOOKUP($B325,Dashboard!$Q$28:$S$60,3,FALSE),0)&gt;0,VLOOKUP($B325,Dashboard!$Q$28:$S$60,3,FALSE),1))),0))</f>
        <v>12</v>
      </c>
      <c r="K325" s="2" t="str">
        <f>IF('Base S1'!G25="","",'Base S1'!G25)</f>
        <v>C 25/82</v>
      </c>
      <c r="L325" s="2">
        <f t="shared" si="65"/>
        <v>1</v>
      </c>
      <c r="M325" s="2">
        <f t="shared" si="66"/>
        <v>0</v>
      </c>
      <c r="N325" s="2">
        <f t="shared" si="67"/>
        <v>1</v>
      </c>
      <c r="O325" s="2">
        <f t="shared" si="68"/>
        <v>0</v>
      </c>
      <c r="P325" s="112">
        <f t="shared" si="69"/>
        <v>12</v>
      </c>
      <c r="Q325" s="112">
        <f t="shared" si="70"/>
        <v>0</v>
      </c>
      <c r="R325" s="53"/>
      <c r="S325" s="53" t="str">
        <f t="shared" si="71"/>
        <v>Base S1|Floor 82 Parallel - Season 1|24|Floor 82</v>
      </c>
      <c r="T325" s="57" t="str">
        <f>IF($S325="","",IFERROR(VLOOKUP($S325,'Pop Estimates (Non-#d)'!$N$2:$O$500,2,FALSE),""))</f>
        <v/>
      </c>
      <c r="U325" s="57">
        <f t="shared" si="72"/>
        <v>82</v>
      </c>
      <c r="V325" s="53" t="str">
        <f t="shared" si="73"/>
        <v/>
      </c>
      <c r="W325" s="53" t="str">
        <f t="shared" si="74"/>
        <v/>
      </c>
      <c r="X325" s="53" t="str">
        <f t="shared" si="75"/>
        <v/>
      </c>
      <c r="Y325" s="57" t="str">
        <f>IF($X325="","",IFERROR(VLOOKUP($X325,'Char Popularity'!$A$2:$C$500,2,FALSE),""))</f>
        <v/>
      </c>
      <c r="Z325" s="56">
        <f>IF($X325="",1,IFERROR(VLOOKUP($X325,'Char Popularity'!$A$2:$C$500,3,FALSE),1))</f>
        <v>1</v>
      </c>
      <c r="AA325" s="62">
        <f>IF($H325&lt;&gt;"Y",0,(IF($F325&lt;&gt;"",ROUND(Dashboard!$R$4/$F325,1),IF(AND($I325="Base",$E325="Base"),Dashboard!$R$5,IF(AND($I325="Base",$E325="Red"),Dashboard!$R$6,IF(AND($I325="Base",$E325="Gold"),Dashboard!$R$7,VLOOKUP($I325,Dashboard!$Q$16:$R$21,2,FALSE)))))*VLOOKUP($I325,Dashboard!$Q$9:$R$13,2,FALSE)*IF(AND($I325="Auto",$F325="",OR($B325="Autographs Duals",$B325="Autographs Triples",$B325="Autographs Quads",$B325="Autographs Quads (Inscribed)")),IF($B325="Autographs Duals",2,IF($B325="Autographs Triples",3,4)),1)))</f>
        <v>12.2</v>
      </c>
      <c r="AB325" s="62">
        <f t="shared" si="76"/>
        <v>12.2</v>
      </c>
      <c r="AC325" s="62">
        <f t="shared" si="77"/>
        <v>0</v>
      </c>
    </row>
    <row r="326" spans="1:29" ht="28.7" customHeight="1" x14ac:dyDescent="0.25">
      <c r="A326" s="4" t="s">
        <v>17</v>
      </c>
      <c r="B326" s="7" t="s">
        <v>69</v>
      </c>
      <c r="C326" s="2" t="s">
        <v>1424</v>
      </c>
      <c r="D326" s="7" t="s">
        <v>892</v>
      </c>
      <c r="E326" s="4" t="s">
        <v>779</v>
      </c>
      <c r="F326" s="2">
        <v>82</v>
      </c>
      <c r="G326" s="2" t="s">
        <v>1399</v>
      </c>
      <c r="H326" s="2" t="s">
        <v>1400</v>
      </c>
      <c r="I326" s="4" t="s">
        <v>60</v>
      </c>
      <c r="J326" s="112">
        <f>IF($H326&lt;&gt;"Y",0,ROUND(MIN(Dashboard!$R$24,IF(IFERROR(VLOOKUP($B326,Dashboard!$Q$28:$S$60,2,FALSE),0)&gt;0,IFERROR(VLOOKUP($B326,Dashboard!$Q$28:$S$60,2,FALSE),0),$Z326*IF($U326&lt;&gt;"",ROUND((Dashboard!$R$4/$U326)*VLOOKUP($I326,Dashboard!$Q$9:$R$13,2,FALSE)*IF(ISNUMBER(SEARCH("Duals",$B326)),2,IF(ISNUMBER(SEARCH("Triples",$B326)),3,IF(ISNUMBER(SEARCH("Quads",$B326)),4,1))),2),ROUND(VLOOKUP($I326,Dashboard!$Q$15:$R$20,2,FALSE)*IF($E326="Red",Dashboard!$R$6,IF($E326="Gold",Dashboard!$R$7,Dashboard!$R$5))*IF(ISNUMBER(SEARCH("Duals",$B326)),2,IF(ISNUMBER(SEARCH("Triples",$B326)),3,IF(ISNUMBER(SEARCH("Quads",$B326)),4,1))),2))*IF(IFERROR(VLOOKUP($B326,Dashboard!$Q$28:$S$60,3,FALSE),0)&gt;0,VLOOKUP($B326,Dashboard!$Q$28:$S$60,3,FALSE),1))),0))</f>
        <v>12</v>
      </c>
      <c r="K326" s="2" t="str">
        <f>IF('Base S1'!G26="","",'Base S1'!G26)</f>
        <v>C 39/82</v>
      </c>
      <c r="L326" s="2">
        <f t="shared" si="65"/>
        <v>1</v>
      </c>
      <c r="M326" s="2">
        <f t="shared" si="66"/>
        <v>0</v>
      </c>
      <c r="N326" s="2">
        <f t="shared" si="67"/>
        <v>1</v>
      </c>
      <c r="O326" s="2">
        <f t="shared" si="68"/>
        <v>0</v>
      </c>
      <c r="P326" s="112">
        <f t="shared" si="69"/>
        <v>12</v>
      </c>
      <c r="Q326" s="112">
        <f t="shared" si="70"/>
        <v>0</v>
      </c>
      <c r="R326" s="53"/>
      <c r="S326" s="53" t="str">
        <f t="shared" si="71"/>
        <v>Base S1|Floor 82 Parallel - Season 1|25|Floor 82</v>
      </c>
      <c r="T326" s="57" t="str">
        <f>IF($S326="","",IFERROR(VLOOKUP($S326,'Pop Estimates (Non-#d)'!$N$2:$O$500,2,FALSE),""))</f>
        <v/>
      </c>
      <c r="U326" s="57">
        <f t="shared" si="72"/>
        <v>82</v>
      </c>
      <c r="V326" s="53" t="str">
        <f t="shared" si="73"/>
        <v/>
      </c>
      <c r="W326" s="53" t="str">
        <f t="shared" si="74"/>
        <v/>
      </c>
      <c r="X326" s="53" t="str">
        <f t="shared" si="75"/>
        <v/>
      </c>
      <c r="Y326" s="57" t="str">
        <f>IF($X326="","",IFERROR(VLOOKUP($X326,'Char Popularity'!$A$2:$C$500,2,FALSE),""))</f>
        <v/>
      </c>
      <c r="Z326" s="56">
        <f>IF($X326="",1,IFERROR(VLOOKUP($X326,'Char Popularity'!$A$2:$C$500,3,FALSE),1))</f>
        <v>1</v>
      </c>
      <c r="AA326" s="62">
        <f>IF($H326&lt;&gt;"Y",0,(IF($F326&lt;&gt;"",ROUND(Dashboard!$R$4/$F326,1),IF(AND($I326="Base",$E326="Base"),Dashboard!$R$5,IF(AND($I326="Base",$E326="Red"),Dashboard!$R$6,IF(AND($I326="Base",$E326="Gold"),Dashboard!$R$7,VLOOKUP($I326,Dashboard!$Q$16:$R$21,2,FALSE)))))*VLOOKUP($I326,Dashboard!$Q$9:$R$13,2,FALSE)*IF(AND($I326="Auto",$F326="",OR($B326="Autographs Duals",$B326="Autographs Triples",$B326="Autographs Quads",$B326="Autographs Quads (Inscribed)")),IF($B326="Autographs Duals",2,IF($B326="Autographs Triples",3,4)),1)))</f>
        <v>12.2</v>
      </c>
      <c r="AB326" s="62">
        <f t="shared" si="76"/>
        <v>12.2</v>
      </c>
      <c r="AC326" s="62">
        <f t="shared" si="77"/>
        <v>0</v>
      </c>
    </row>
    <row r="327" spans="1:29" ht="28.7" customHeight="1" x14ac:dyDescent="0.25">
      <c r="A327" s="4" t="s">
        <v>17</v>
      </c>
      <c r="B327" s="7" t="s">
        <v>69</v>
      </c>
      <c r="C327" s="2" t="s">
        <v>1425</v>
      </c>
      <c r="D327" s="7" t="s">
        <v>895</v>
      </c>
      <c r="E327" s="4" t="s">
        <v>779</v>
      </c>
      <c r="F327" s="2">
        <v>82</v>
      </c>
      <c r="G327" s="2" t="s">
        <v>1399</v>
      </c>
      <c r="H327" s="2" t="s">
        <v>1400</v>
      </c>
      <c r="I327" s="4" t="s">
        <v>60</v>
      </c>
      <c r="J327" s="112">
        <f>IF($H327&lt;&gt;"Y",0,ROUND(MIN(Dashboard!$R$24,IF(IFERROR(VLOOKUP($B327,Dashboard!$Q$28:$S$60,2,FALSE),0)&gt;0,IFERROR(VLOOKUP($B327,Dashboard!$Q$28:$S$60,2,FALSE),0),$Z327*IF($U327&lt;&gt;"",ROUND((Dashboard!$R$4/$U327)*VLOOKUP($I327,Dashboard!$Q$9:$R$13,2,FALSE)*IF(ISNUMBER(SEARCH("Duals",$B327)),2,IF(ISNUMBER(SEARCH("Triples",$B327)),3,IF(ISNUMBER(SEARCH("Quads",$B327)),4,1))),2),ROUND(VLOOKUP($I327,Dashboard!$Q$15:$R$20,2,FALSE)*IF($E327="Red",Dashboard!$R$6,IF($E327="Gold",Dashboard!$R$7,Dashboard!$R$5))*IF(ISNUMBER(SEARCH("Duals",$B327)),2,IF(ISNUMBER(SEARCH("Triples",$B327)),3,IF(ISNUMBER(SEARCH("Quads",$B327)),4,1))),2))*IF(IFERROR(VLOOKUP($B327,Dashboard!$Q$28:$S$60,3,FALSE),0)&gt;0,VLOOKUP($B327,Dashboard!$Q$28:$S$60,3,FALSE),1))),0))</f>
        <v>12</v>
      </c>
      <c r="K327" s="2" t="str">
        <f>IF('Base S1'!G27="","",'Base S1'!G27)</f>
        <v>C  55/82</v>
      </c>
      <c r="L327" s="2">
        <f t="shared" si="65"/>
        <v>1</v>
      </c>
      <c r="M327" s="2">
        <f t="shared" si="66"/>
        <v>0</v>
      </c>
      <c r="N327" s="2">
        <f t="shared" si="67"/>
        <v>1</v>
      </c>
      <c r="O327" s="2">
        <f t="shared" si="68"/>
        <v>0</v>
      </c>
      <c r="P327" s="112">
        <f t="shared" si="69"/>
        <v>12</v>
      </c>
      <c r="Q327" s="112">
        <f t="shared" si="70"/>
        <v>0</v>
      </c>
      <c r="R327" s="53"/>
      <c r="S327" s="53" t="str">
        <f t="shared" si="71"/>
        <v>Base S1|Floor 82 Parallel - Season 1|26|Floor 82</v>
      </c>
      <c r="T327" s="57" t="str">
        <f>IF($S327="","",IFERROR(VLOOKUP($S327,'Pop Estimates (Non-#d)'!$N$2:$O$500,2,FALSE),""))</f>
        <v/>
      </c>
      <c r="U327" s="57">
        <f t="shared" si="72"/>
        <v>82</v>
      </c>
      <c r="V327" s="53" t="str">
        <f t="shared" si="73"/>
        <v/>
      </c>
      <c r="W327" s="53" t="str">
        <f t="shared" si="74"/>
        <v/>
      </c>
      <c r="X327" s="53" t="str">
        <f t="shared" si="75"/>
        <v/>
      </c>
      <c r="Y327" s="57" t="str">
        <f>IF($X327="","",IFERROR(VLOOKUP($X327,'Char Popularity'!$A$2:$C$500,2,FALSE),""))</f>
        <v/>
      </c>
      <c r="Z327" s="56">
        <f>IF($X327="",1,IFERROR(VLOOKUP($X327,'Char Popularity'!$A$2:$C$500,3,FALSE),1))</f>
        <v>1</v>
      </c>
      <c r="AA327" s="62">
        <f>IF($H327&lt;&gt;"Y",0,(IF($F327&lt;&gt;"",ROUND(Dashboard!$R$4/$F327,1),IF(AND($I327="Base",$E327="Base"),Dashboard!$R$5,IF(AND($I327="Base",$E327="Red"),Dashboard!$R$6,IF(AND($I327="Base",$E327="Gold"),Dashboard!$R$7,VLOOKUP($I327,Dashboard!$Q$16:$R$21,2,FALSE)))))*VLOOKUP($I327,Dashboard!$Q$9:$R$13,2,FALSE)*IF(AND($I327="Auto",$F327="",OR($B327="Autographs Duals",$B327="Autographs Triples",$B327="Autographs Quads",$B327="Autographs Quads (Inscribed)")),IF($B327="Autographs Duals",2,IF($B327="Autographs Triples",3,4)),1)))</f>
        <v>12.2</v>
      </c>
      <c r="AB327" s="62">
        <f t="shared" si="76"/>
        <v>12.2</v>
      </c>
      <c r="AC327" s="62">
        <f t="shared" si="77"/>
        <v>0</v>
      </c>
    </row>
    <row r="328" spans="1:29" ht="28.7" customHeight="1" x14ac:dyDescent="0.25">
      <c r="A328" s="4" t="s">
        <v>17</v>
      </c>
      <c r="B328" s="7" t="s">
        <v>69</v>
      </c>
      <c r="C328" s="2" t="s">
        <v>1426</v>
      </c>
      <c r="D328" s="7" t="s">
        <v>897</v>
      </c>
      <c r="E328" s="4" t="s">
        <v>779</v>
      </c>
      <c r="F328" s="2">
        <v>82</v>
      </c>
      <c r="G328" s="2" t="s">
        <v>1399</v>
      </c>
      <c r="H328" s="2" t="s">
        <v>1400</v>
      </c>
      <c r="I328" s="4" t="s">
        <v>60</v>
      </c>
      <c r="J328" s="112">
        <f>IF($H328&lt;&gt;"Y",0,ROUND(MIN(Dashboard!$R$24,IF(IFERROR(VLOOKUP($B328,Dashboard!$Q$28:$S$60,2,FALSE),0)&gt;0,IFERROR(VLOOKUP($B328,Dashboard!$Q$28:$S$60,2,FALSE),0),$Z328*IF($U328&lt;&gt;"",ROUND((Dashboard!$R$4/$U328)*VLOOKUP($I328,Dashboard!$Q$9:$R$13,2,FALSE)*IF(ISNUMBER(SEARCH("Duals",$B328)),2,IF(ISNUMBER(SEARCH("Triples",$B328)),3,IF(ISNUMBER(SEARCH("Quads",$B328)),4,1))),2),ROUND(VLOOKUP($I328,Dashboard!$Q$15:$R$20,2,FALSE)*IF($E328="Red",Dashboard!$R$6,IF($E328="Gold",Dashboard!$R$7,Dashboard!$R$5))*IF(ISNUMBER(SEARCH("Duals",$B328)),2,IF(ISNUMBER(SEARCH("Triples",$B328)),3,IF(ISNUMBER(SEARCH("Quads",$B328)),4,1))),2))*IF(IFERROR(VLOOKUP($B328,Dashboard!$Q$28:$S$60,3,FALSE),0)&gt;0,VLOOKUP($B328,Dashboard!$Q$28:$S$60,3,FALSE),1))),0))</f>
        <v>12</v>
      </c>
      <c r="K328" s="2" t="str">
        <f>IF('Base S1'!G28="","",'Base S1'!G28)</f>
        <v>C 09/82</v>
      </c>
      <c r="L328" s="2">
        <f t="shared" si="65"/>
        <v>1</v>
      </c>
      <c r="M328" s="2">
        <f t="shared" si="66"/>
        <v>0</v>
      </c>
      <c r="N328" s="2">
        <f t="shared" si="67"/>
        <v>1</v>
      </c>
      <c r="O328" s="2">
        <f t="shared" si="68"/>
        <v>0</v>
      </c>
      <c r="P328" s="112">
        <f t="shared" si="69"/>
        <v>12</v>
      </c>
      <c r="Q328" s="112">
        <f t="shared" si="70"/>
        <v>0</v>
      </c>
      <c r="R328" s="53"/>
      <c r="S328" s="53" t="str">
        <f t="shared" si="71"/>
        <v>Base S1|Floor 82 Parallel - Season 1|27|Floor 82</v>
      </c>
      <c r="T328" s="57" t="str">
        <f>IF($S328="","",IFERROR(VLOOKUP($S328,'Pop Estimates (Non-#d)'!$N$2:$O$500,2,FALSE),""))</f>
        <v/>
      </c>
      <c r="U328" s="57">
        <f t="shared" si="72"/>
        <v>82</v>
      </c>
      <c r="V328" s="53" t="str">
        <f t="shared" si="73"/>
        <v/>
      </c>
      <c r="W328" s="53" t="str">
        <f t="shared" si="74"/>
        <v/>
      </c>
      <c r="X328" s="53" t="str">
        <f t="shared" si="75"/>
        <v/>
      </c>
      <c r="Y328" s="57" t="str">
        <f>IF($X328="","",IFERROR(VLOOKUP($X328,'Char Popularity'!$A$2:$C$500,2,FALSE),""))</f>
        <v/>
      </c>
      <c r="Z328" s="56">
        <f>IF($X328="",1,IFERROR(VLOOKUP($X328,'Char Popularity'!$A$2:$C$500,3,FALSE),1))</f>
        <v>1</v>
      </c>
      <c r="AA328" s="62">
        <f>IF($H328&lt;&gt;"Y",0,(IF($F328&lt;&gt;"",ROUND(Dashboard!$R$4/$F328,1),IF(AND($I328="Base",$E328="Base"),Dashboard!$R$5,IF(AND($I328="Base",$E328="Red"),Dashboard!$R$6,IF(AND($I328="Base",$E328="Gold"),Dashboard!$R$7,VLOOKUP($I328,Dashboard!$Q$16:$R$21,2,FALSE)))))*VLOOKUP($I328,Dashboard!$Q$9:$R$13,2,FALSE)*IF(AND($I328="Auto",$F328="",OR($B328="Autographs Duals",$B328="Autographs Triples",$B328="Autographs Quads",$B328="Autographs Quads (Inscribed)")),IF($B328="Autographs Duals",2,IF($B328="Autographs Triples",3,4)),1)))</f>
        <v>12.2</v>
      </c>
      <c r="AB328" s="62">
        <f t="shared" si="76"/>
        <v>12.2</v>
      </c>
      <c r="AC328" s="62">
        <f t="shared" si="77"/>
        <v>0</v>
      </c>
    </row>
    <row r="329" spans="1:29" ht="28.7" customHeight="1" x14ac:dyDescent="0.25">
      <c r="A329" s="4" t="s">
        <v>17</v>
      </c>
      <c r="B329" s="7" t="s">
        <v>69</v>
      </c>
      <c r="C329" s="2" t="s">
        <v>1427</v>
      </c>
      <c r="D329" s="7" t="s">
        <v>900</v>
      </c>
      <c r="E329" s="4" t="s">
        <v>779</v>
      </c>
      <c r="F329" s="2">
        <v>82</v>
      </c>
      <c r="G329" s="2" t="s">
        <v>1399</v>
      </c>
      <c r="H329" s="2" t="s">
        <v>1400</v>
      </c>
      <c r="I329" s="4" t="s">
        <v>60</v>
      </c>
      <c r="J329" s="112">
        <f>IF($H329&lt;&gt;"Y",0,ROUND(MIN(Dashboard!$R$24,IF(IFERROR(VLOOKUP($B329,Dashboard!$Q$28:$S$60,2,FALSE),0)&gt;0,IFERROR(VLOOKUP($B329,Dashboard!$Q$28:$S$60,2,FALSE),0),$Z329*IF($U329&lt;&gt;"",ROUND((Dashboard!$R$4/$U329)*VLOOKUP($I329,Dashboard!$Q$9:$R$13,2,FALSE)*IF(ISNUMBER(SEARCH("Duals",$B329)),2,IF(ISNUMBER(SEARCH("Triples",$B329)),3,IF(ISNUMBER(SEARCH("Quads",$B329)),4,1))),2),ROUND(VLOOKUP($I329,Dashboard!$Q$15:$R$20,2,FALSE)*IF($E329="Red",Dashboard!$R$6,IF($E329="Gold",Dashboard!$R$7,Dashboard!$R$5))*IF(ISNUMBER(SEARCH("Duals",$B329)),2,IF(ISNUMBER(SEARCH("Triples",$B329)),3,IF(ISNUMBER(SEARCH("Quads",$B329)),4,1))),2))*IF(IFERROR(VLOOKUP($B329,Dashboard!$Q$28:$S$60,3,FALSE),0)&gt;0,VLOOKUP($B329,Dashboard!$Q$28:$S$60,3,FALSE),1))),0))</f>
        <v>12</v>
      </c>
      <c r="K329" s="2" t="str">
        <f>IF('Base S1'!G29="","",'Base S1'!G29)</f>
        <v>V 66/82</v>
      </c>
      <c r="L329" s="2">
        <f t="shared" si="65"/>
        <v>1</v>
      </c>
      <c r="M329" s="2">
        <f t="shared" si="66"/>
        <v>0</v>
      </c>
      <c r="N329" s="2">
        <f t="shared" si="67"/>
        <v>1</v>
      </c>
      <c r="O329" s="2">
        <f t="shared" si="68"/>
        <v>0</v>
      </c>
      <c r="P329" s="112">
        <f t="shared" si="69"/>
        <v>12</v>
      </c>
      <c r="Q329" s="112">
        <f t="shared" si="70"/>
        <v>0</v>
      </c>
      <c r="R329" s="53"/>
      <c r="S329" s="53" t="str">
        <f t="shared" si="71"/>
        <v>Base S1|Floor 82 Parallel - Season 1|28|Floor 82</v>
      </c>
      <c r="T329" s="57" t="str">
        <f>IF($S329="","",IFERROR(VLOOKUP($S329,'Pop Estimates (Non-#d)'!$N$2:$O$500,2,FALSE),""))</f>
        <v/>
      </c>
      <c r="U329" s="57">
        <f t="shared" si="72"/>
        <v>82</v>
      </c>
      <c r="V329" s="53" t="str">
        <f t="shared" si="73"/>
        <v/>
      </c>
      <c r="W329" s="53" t="str">
        <f t="shared" si="74"/>
        <v/>
      </c>
      <c r="X329" s="53" t="str">
        <f t="shared" si="75"/>
        <v/>
      </c>
      <c r="Y329" s="57" t="str">
        <f>IF($X329="","",IFERROR(VLOOKUP($X329,'Char Popularity'!$A$2:$C$500,2,FALSE),""))</f>
        <v/>
      </c>
      <c r="Z329" s="56">
        <f>IF($X329="",1,IFERROR(VLOOKUP($X329,'Char Popularity'!$A$2:$C$500,3,FALSE),1))</f>
        <v>1</v>
      </c>
      <c r="AA329" s="62">
        <f>IF($H329&lt;&gt;"Y",0,(IF($F329&lt;&gt;"",ROUND(Dashboard!$R$4/$F329,1),IF(AND($I329="Base",$E329="Base"),Dashboard!$R$5,IF(AND($I329="Base",$E329="Red"),Dashboard!$R$6,IF(AND($I329="Base",$E329="Gold"),Dashboard!$R$7,VLOOKUP($I329,Dashboard!$Q$16:$R$21,2,FALSE)))))*VLOOKUP($I329,Dashboard!$Q$9:$R$13,2,FALSE)*IF(AND($I329="Auto",$F329="",OR($B329="Autographs Duals",$B329="Autographs Triples",$B329="Autographs Quads",$B329="Autographs Quads (Inscribed)")),IF($B329="Autographs Duals",2,IF($B329="Autographs Triples",3,4)),1)))</f>
        <v>12.2</v>
      </c>
      <c r="AB329" s="62">
        <f t="shared" si="76"/>
        <v>12.2</v>
      </c>
      <c r="AC329" s="62">
        <f t="shared" si="77"/>
        <v>0</v>
      </c>
    </row>
    <row r="330" spans="1:29" ht="28.7" customHeight="1" x14ac:dyDescent="0.25">
      <c r="A330" s="4" t="s">
        <v>17</v>
      </c>
      <c r="B330" s="7" t="s">
        <v>69</v>
      </c>
      <c r="C330" s="2" t="s">
        <v>1428</v>
      </c>
      <c r="D330" s="7" t="s">
        <v>902</v>
      </c>
      <c r="E330" s="4" t="s">
        <v>779</v>
      </c>
      <c r="F330" s="2">
        <v>82</v>
      </c>
      <c r="G330" s="2" t="s">
        <v>1399</v>
      </c>
      <c r="H330" s="2" t="s">
        <v>1400</v>
      </c>
      <c r="I330" s="4" t="s">
        <v>60</v>
      </c>
      <c r="J330" s="112">
        <f>IF($H330&lt;&gt;"Y",0,ROUND(MIN(Dashboard!$R$24,IF(IFERROR(VLOOKUP($B330,Dashboard!$Q$28:$S$60,2,FALSE),0)&gt;0,IFERROR(VLOOKUP($B330,Dashboard!$Q$28:$S$60,2,FALSE),0),$Z330*IF($U330&lt;&gt;"",ROUND((Dashboard!$R$4/$U330)*VLOOKUP($I330,Dashboard!$Q$9:$R$13,2,FALSE)*IF(ISNUMBER(SEARCH("Duals",$B330)),2,IF(ISNUMBER(SEARCH("Triples",$B330)),3,IF(ISNUMBER(SEARCH("Quads",$B330)),4,1))),2),ROUND(VLOOKUP($I330,Dashboard!$Q$15:$R$20,2,FALSE)*IF($E330="Red",Dashboard!$R$6,IF($E330="Gold",Dashboard!$R$7,Dashboard!$R$5))*IF(ISNUMBER(SEARCH("Duals",$B330)),2,IF(ISNUMBER(SEARCH("Triples",$B330)),3,IF(ISNUMBER(SEARCH("Quads",$B330)),4,1))),2))*IF(IFERROR(VLOOKUP($B330,Dashboard!$Q$28:$S$60,3,FALSE),0)&gt;0,VLOOKUP($B330,Dashboard!$Q$28:$S$60,3,FALSE),1))),0))</f>
        <v>12</v>
      </c>
      <c r="K330" s="2" t="str">
        <f>IF('Base S1'!G30="","",'Base S1'!G30)</f>
        <v>C 12/82</v>
      </c>
      <c r="L330" s="2">
        <f t="shared" si="65"/>
        <v>1</v>
      </c>
      <c r="M330" s="2">
        <f t="shared" si="66"/>
        <v>0</v>
      </c>
      <c r="N330" s="2">
        <f t="shared" si="67"/>
        <v>1</v>
      </c>
      <c r="O330" s="2">
        <f t="shared" si="68"/>
        <v>0</v>
      </c>
      <c r="P330" s="112">
        <f t="shared" si="69"/>
        <v>12</v>
      </c>
      <c r="Q330" s="112">
        <f t="shared" si="70"/>
        <v>0</v>
      </c>
      <c r="R330" s="53"/>
      <c r="S330" s="53" t="str">
        <f t="shared" si="71"/>
        <v>Base S1|Floor 82 Parallel - Season 1|29|Floor 82</v>
      </c>
      <c r="T330" s="57" t="str">
        <f>IF($S330="","",IFERROR(VLOOKUP($S330,'Pop Estimates (Non-#d)'!$N$2:$O$500,2,FALSE),""))</f>
        <v/>
      </c>
      <c r="U330" s="57">
        <f t="shared" si="72"/>
        <v>82</v>
      </c>
      <c r="V330" s="53" t="str">
        <f t="shared" si="73"/>
        <v/>
      </c>
      <c r="W330" s="53" t="str">
        <f t="shared" si="74"/>
        <v/>
      </c>
      <c r="X330" s="53" t="str">
        <f t="shared" si="75"/>
        <v/>
      </c>
      <c r="Y330" s="57" t="str">
        <f>IF($X330="","",IFERROR(VLOOKUP($X330,'Char Popularity'!$A$2:$C$500,2,FALSE),""))</f>
        <v/>
      </c>
      <c r="Z330" s="56">
        <f>IF($X330="",1,IFERROR(VLOOKUP($X330,'Char Popularity'!$A$2:$C$500,3,FALSE),1))</f>
        <v>1</v>
      </c>
      <c r="AA330" s="62">
        <f>IF($H330&lt;&gt;"Y",0,(IF($F330&lt;&gt;"",ROUND(Dashboard!$R$4/$F330,1),IF(AND($I330="Base",$E330="Base"),Dashboard!$R$5,IF(AND($I330="Base",$E330="Red"),Dashboard!$R$6,IF(AND($I330="Base",$E330="Gold"),Dashboard!$R$7,VLOOKUP($I330,Dashboard!$Q$16:$R$21,2,FALSE)))))*VLOOKUP($I330,Dashboard!$Q$9:$R$13,2,FALSE)*IF(AND($I330="Auto",$F330="",OR($B330="Autographs Duals",$B330="Autographs Triples",$B330="Autographs Quads",$B330="Autographs Quads (Inscribed)")),IF($B330="Autographs Duals",2,IF($B330="Autographs Triples",3,4)),1)))</f>
        <v>12.2</v>
      </c>
      <c r="AB330" s="62">
        <f t="shared" si="76"/>
        <v>12.2</v>
      </c>
      <c r="AC330" s="62">
        <f t="shared" si="77"/>
        <v>0</v>
      </c>
    </row>
    <row r="331" spans="1:29" ht="28.7" customHeight="1" x14ac:dyDescent="0.25">
      <c r="A331" s="4" t="s">
        <v>17</v>
      </c>
      <c r="B331" s="7" t="s">
        <v>69</v>
      </c>
      <c r="C331" s="2" t="s">
        <v>1429</v>
      </c>
      <c r="D331" s="7" t="s">
        <v>904</v>
      </c>
      <c r="E331" s="4" t="s">
        <v>779</v>
      </c>
      <c r="F331" s="2">
        <v>82</v>
      </c>
      <c r="G331" s="2" t="s">
        <v>1399</v>
      </c>
      <c r="H331" s="2" t="s">
        <v>1400</v>
      </c>
      <c r="I331" s="4" t="s">
        <v>60</v>
      </c>
      <c r="J331" s="112">
        <f>IF($H331&lt;&gt;"Y",0,ROUND(MIN(Dashboard!$R$24,IF(IFERROR(VLOOKUP($B331,Dashboard!$Q$28:$S$60,2,FALSE),0)&gt;0,IFERROR(VLOOKUP($B331,Dashboard!$Q$28:$S$60,2,FALSE),0),$Z331*IF($U331&lt;&gt;"",ROUND((Dashboard!$R$4/$U331)*VLOOKUP($I331,Dashboard!$Q$9:$R$13,2,FALSE)*IF(ISNUMBER(SEARCH("Duals",$B331)),2,IF(ISNUMBER(SEARCH("Triples",$B331)),3,IF(ISNUMBER(SEARCH("Quads",$B331)),4,1))),2),ROUND(VLOOKUP($I331,Dashboard!$Q$15:$R$20,2,FALSE)*IF($E331="Red",Dashboard!$R$6,IF($E331="Gold",Dashboard!$R$7,Dashboard!$R$5))*IF(ISNUMBER(SEARCH("Duals",$B331)),2,IF(ISNUMBER(SEARCH("Triples",$B331)),3,IF(ISNUMBER(SEARCH("Quads",$B331)),4,1))),2))*IF(IFERROR(VLOOKUP($B331,Dashboard!$Q$28:$S$60,3,FALSE),0)&gt;0,VLOOKUP($B331,Dashboard!$Q$28:$S$60,3,FALSE),1))),0))</f>
        <v>12</v>
      </c>
      <c r="K331" s="2" t="str">
        <f>IF('Base S1'!G31="","",'Base S1'!G31)</f>
        <v>C 33/82</v>
      </c>
      <c r="L331" s="2">
        <f t="shared" si="65"/>
        <v>1</v>
      </c>
      <c r="M331" s="2">
        <f t="shared" si="66"/>
        <v>0</v>
      </c>
      <c r="N331" s="2">
        <f t="shared" si="67"/>
        <v>1</v>
      </c>
      <c r="O331" s="2">
        <f t="shared" si="68"/>
        <v>0</v>
      </c>
      <c r="P331" s="112">
        <f t="shared" si="69"/>
        <v>12</v>
      </c>
      <c r="Q331" s="112">
        <f t="shared" si="70"/>
        <v>0</v>
      </c>
      <c r="R331" s="53"/>
      <c r="S331" s="53" t="str">
        <f t="shared" si="71"/>
        <v>Base S1|Floor 82 Parallel - Season 1|30|Floor 82</v>
      </c>
      <c r="T331" s="57" t="str">
        <f>IF($S331="","",IFERROR(VLOOKUP($S331,'Pop Estimates (Non-#d)'!$N$2:$O$500,2,FALSE),""))</f>
        <v/>
      </c>
      <c r="U331" s="57">
        <f t="shared" si="72"/>
        <v>82</v>
      </c>
      <c r="V331" s="53" t="str">
        <f t="shared" si="73"/>
        <v/>
      </c>
      <c r="W331" s="53" t="str">
        <f t="shared" si="74"/>
        <v/>
      </c>
      <c r="X331" s="53" t="str">
        <f t="shared" si="75"/>
        <v/>
      </c>
      <c r="Y331" s="57" t="str">
        <f>IF($X331="","",IFERROR(VLOOKUP($X331,'Char Popularity'!$A$2:$C$500,2,FALSE),""))</f>
        <v/>
      </c>
      <c r="Z331" s="56">
        <f>IF($X331="",1,IFERROR(VLOOKUP($X331,'Char Popularity'!$A$2:$C$500,3,FALSE),1))</f>
        <v>1</v>
      </c>
      <c r="AA331" s="62">
        <f>IF($H331&lt;&gt;"Y",0,(IF($F331&lt;&gt;"",ROUND(Dashboard!$R$4/$F331,1),IF(AND($I331="Base",$E331="Base"),Dashboard!$R$5,IF(AND($I331="Base",$E331="Red"),Dashboard!$R$6,IF(AND($I331="Base",$E331="Gold"),Dashboard!$R$7,VLOOKUP($I331,Dashboard!$Q$16:$R$21,2,FALSE)))))*VLOOKUP($I331,Dashboard!$Q$9:$R$13,2,FALSE)*IF(AND($I331="Auto",$F331="",OR($B331="Autographs Duals",$B331="Autographs Triples",$B331="Autographs Quads",$B331="Autographs Quads (Inscribed)")),IF($B331="Autographs Duals",2,IF($B331="Autographs Triples",3,4)),1)))</f>
        <v>12.2</v>
      </c>
      <c r="AB331" s="62">
        <f t="shared" si="76"/>
        <v>12.2</v>
      </c>
      <c r="AC331" s="62">
        <f t="shared" si="77"/>
        <v>0</v>
      </c>
    </row>
    <row r="332" spans="1:29" ht="28.7" customHeight="1" x14ac:dyDescent="0.25">
      <c r="A332" s="4" t="s">
        <v>17</v>
      </c>
      <c r="B332" s="7" t="s">
        <v>69</v>
      </c>
      <c r="C332" s="2" t="s">
        <v>1430</v>
      </c>
      <c r="D332" s="7" t="s">
        <v>906</v>
      </c>
      <c r="E332" s="4" t="s">
        <v>779</v>
      </c>
      <c r="F332" s="2">
        <v>82</v>
      </c>
      <c r="G332" s="2" t="s">
        <v>1399</v>
      </c>
      <c r="H332" s="2" t="s">
        <v>1400</v>
      </c>
      <c r="I332" s="4" t="s">
        <v>60</v>
      </c>
      <c r="J332" s="112">
        <f>IF($H332&lt;&gt;"Y",0,ROUND(MIN(Dashboard!$R$24,IF(IFERROR(VLOOKUP($B332,Dashboard!$Q$28:$S$60,2,FALSE),0)&gt;0,IFERROR(VLOOKUP($B332,Dashboard!$Q$28:$S$60,2,FALSE),0),$Z332*IF($U332&lt;&gt;"",ROUND((Dashboard!$R$4/$U332)*VLOOKUP($I332,Dashboard!$Q$9:$R$13,2,FALSE)*IF(ISNUMBER(SEARCH("Duals",$B332)),2,IF(ISNUMBER(SEARCH("Triples",$B332)),3,IF(ISNUMBER(SEARCH("Quads",$B332)),4,1))),2),ROUND(VLOOKUP($I332,Dashboard!$Q$15:$R$20,2,FALSE)*IF($E332="Red",Dashboard!$R$6,IF($E332="Gold",Dashboard!$R$7,Dashboard!$R$5))*IF(ISNUMBER(SEARCH("Duals",$B332)),2,IF(ISNUMBER(SEARCH("Triples",$B332)),3,IF(ISNUMBER(SEARCH("Quads",$B332)),4,1))),2))*IF(IFERROR(VLOOKUP($B332,Dashboard!$Q$28:$S$60,3,FALSE),0)&gt;0,VLOOKUP($B332,Dashboard!$Q$28:$S$60,3,FALSE),1))),0))</f>
        <v>12</v>
      </c>
      <c r="K332" s="2" t="str">
        <f>IF('Base S1'!G32="","",'Base S1'!G32)</f>
        <v>C '76/82</v>
      </c>
      <c r="L332" s="2">
        <f t="shared" si="65"/>
        <v>1</v>
      </c>
      <c r="M332" s="2">
        <f t="shared" si="66"/>
        <v>0</v>
      </c>
      <c r="N332" s="2">
        <f t="shared" si="67"/>
        <v>1</v>
      </c>
      <c r="O332" s="2">
        <f t="shared" si="68"/>
        <v>0</v>
      </c>
      <c r="P332" s="112">
        <f t="shared" si="69"/>
        <v>12</v>
      </c>
      <c r="Q332" s="112">
        <f t="shared" si="70"/>
        <v>0</v>
      </c>
      <c r="R332" s="53"/>
      <c r="S332" s="53" t="str">
        <f t="shared" si="71"/>
        <v>Base S1|Floor 82 Parallel - Season 1|31|Floor 82</v>
      </c>
      <c r="T332" s="57" t="str">
        <f>IF($S332="","",IFERROR(VLOOKUP($S332,'Pop Estimates (Non-#d)'!$N$2:$O$500,2,FALSE),""))</f>
        <v/>
      </c>
      <c r="U332" s="57">
        <f t="shared" si="72"/>
        <v>82</v>
      </c>
      <c r="V332" s="53" t="str">
        <f t="shared" si="73"/>
        <v/>
      </c>
      <c r="W332" s="53" t="str">
        <f t="shared" si="74"/>
        <v/>
      </c>
      <c r="X332" s="53" t="str">
        <f t="shared" si="75"/>
        <v/>
      </c>
      <c r="Y332" s="57" t="str">
        <f>IF($X332="","",IFERROR(VLOOKUP($X332,'Char Popularity'!$A$2:$C$500,2,FALSE),""))</f>
        <v/>
      </c>
      <c r="Z332" s="56">
        <f>IF($X332="",1,IFERROR(VLOOKUP($X332,'Char Popularity'!$A$2:$C$500,3,FALSE),1))</f>
        <v>1</v>
      </c>
      <c r="AA332" s="62">
        <f>IF($H332&lt;&gt;"Y",0,(IF($F332&lt;&gt;"",ROUND(Dashboard!$R$4/$F332,1),IF(AND($I332="Base",$E332="Base"),Dashboard!$R$5,IF(AND($I332="Base",$E332="Red"),Dashboard!$R$6,IF(AND($I332="Base",$E332="Gold"),Dashboard!$R$7,VLOOKUP($I332,Dashboard!$Q$16:$R$21,2,FALSE)))))*VLOOKUP($I332,Dashboard!$Q$9:$R$13,2,FALSE)*IF(AND($I332="Auto",$F332="",OR($B332="Autographs Duals",$B332="Autographs Triples",$B332="Autographs Quads",$B332="Autographs Quads (Inscribed)")),IF($B332="Autographs Duals",2,IF($B332="Autographs Triples",3,4)),1)))</f>
        <v>12.2</v>
      </c>
      <c r="AB332" s="62">
        <f t="shared" si="76"/>
        <v>12.2</v>
      </c>
      <c r="AC332" s="62">
        <f t="shared" si="77"/>
        <v>0</v>
      </c>
    </row>
    <row r="333" spans="1:29" ht="28.7" customHeight="1" x14ac:dyDescent="0.25">
      <c r="A333" s="4" t="s">
        <v>17</v>
      </c>
      <c r="B333" s="7" t="s">
        <v>69</v>
      </c>
      <c r="C333" s="2" t="s">
        <v>1431</v>
      </c>
      <c r="D333" s="7" t="s">
        <v>908</v>
      </c>
      <c r="E333" s="4" t="s">
        <v>779</v>
      </c>
      <c r="F333" s="2">
        <v>82</v>
      </c>
      <c r="G333" s="2" t="s">
        <v>1399</v>
      </c>
      <c r="H333" s="2" t="s">
        <v>1400</v>
      </c>
      <c r="I333" s="4" t="s">
        <v>60</v>
      </c>
      <c r="J333" s="112">
        <f>IF($H333&lt;&gt;"Y",0,ROUND(MIN(Dashboard!$R$24,IF(IFERROR(VLOOKUP($B333,Dashboard!$Q$28:$S$60,2,FALSE),0)&gt;0,IFERROR(VLOOKUP($B333,Dashboard!$Q$28:$S$60,2,FALSE),0),$Z333*IF($U333&lt;&gt;"",ROUND((Dashboard!$R$4/$U333)*VLOOKUP($I333,Dashboard!$Q$9:$R$13,2,FALSE)*IF(ISNUMBER(SEARCH("Duals",$B333)),2,IF(ISNUMBER(SEARCH("Triples",$B333)),3,IF(ISNUMBER(SEARCH("Quads",$B333)),4,1))),2),ROUND(VLOOKUP($I333,Dashboard!$Q$15:$R$20,2,FALSE)*IF($E333="Red",Dashboard!$R$6,IF($E333="Gold",Dashboard!$R$7,Dashboard!$R$5))*IF(ISNUMBER(SEARCH("Duals",$B333)),2,IF(ISNUMBER(SEARCH("Triples",$B333)),3,IF(ISNUMBER(SEARCH("Quads",$B333)),4,1))),2))*IF(IFERROR(VLOOKUP($B333,Dashboard!$Q$28:$S$60,3,FALSE),0)&gt;0,VLOOKUP($B333,Dashboard!$Q$28:$S$60,3,FALSE),1))),0))</f>
        <v>12</v>
      </c>
      <c r="K333" s="2" t="str">
        <f>IF('Base S1'!G33="","",'Base S1'!G33)</f>
        <v>V 73/82</v>
      </c>
      <c r="L333" s="2">
        <f t="shared" si="65"/>
        <v>1</v>
      </c>
      <c r="M333" s="2">
        <f t="shared" si="66"/>
        <v>0</v>
      </c>
      <c r="N333" s="2">
        <f t="shared" si="67"/>
        <v>1</v>
      </c>
      <c r="O333" s="2">
        <f t="shared" si="68"/>
        <v>0</v>
      </c>
      <c r="P333" s="112">
        <f t="shared" si="69"/>
        <v>12</v>
      </c>
      <c r="Q333" s="112">
        <f t="shared" si="70"/>
        <v>0</v>
      </c>
      <c r="R333" s="53"/>
      <c r="S333" s="53" t="str">
        <f t="shared" si="71"/>
        <v>Base S1|Floor 82 Parallel - Season 1|32|Floor 82</v>
      </c>
      <c r="T333" s="57" t="str">
        <f>IF($S333="","",IFERROR(VLOOKUP($S333,'Pop Estimates (Non-#d)'!$N$2:$O$500,2,FALSE),""))</f>
        <v/>
      </c>
      <c r="U333" s="57">
        <f t="shared" si="72"/>
        <v>82</v>
      </c>
      <c r="V333" s="53" t="str">
        <f t="shared" si="73"/>
        <v/>
      </c>
      <c r="W333" s="53" t="str">
        <f t="shared" si="74"/>
        <v/>
      </c>
      <c r="X333" s="53" t="str">
        <f t="shared" si="75"/>
        <v/>
      </c>
      <c r="Y333" s="57" t="str">
        <f>IF($X333="","",IFERROR(VLOOKUP($X333,'Char Popularity'!$A$2:$C$500,2,FALSE),""))</f>
        <v/>
      </c>
      <c r="Z333" s="56">
        <f>IF($X333="",1,IFERROR(VLOOKUP($X333,'Char Popularity'!$A$2:$C$500,3,FALSE),1))</f>
        <v>1</v>
      </c>
      <c r="AA333" s="62">
        <f>IF($H333&lt;&gt;"Y",0,(IF($F333&lt;&gt;"",ROUND(Dashboard!$R$4/$F333,1),IF(AND($I333="Base",$E333="Base"),Dashboard!$R$5,IF(AND($I333="Base",$E333="Red"),Dashboard!$R$6,IF(AND($I333="Base",$E333="Gold"),Dashboard!$R$7,VLOOKUP($I333,Dashboard!$Q$16:$R$21,2,FALSE)))))*VLOOKUP($I333,Dashboard!$Q$9:$R$13,2,FALSE)*IF(AND($I333="Auto",$F333="",OR($B333="Autographs Duals",$B333="Autographs Triples",$B333="Autographs Quads",$B333="Autographs Quads (Inscribed)")),IF($B333="Autographs Duals",2,IF($B333="Autographs Triples",3,4)),1)))</f>
        <v>12.2</v>
      </c>
      <c r="AB333" s="62">
        <f t="shared" si="76"/>
        <v>12.2</v>
      </c>
      <c r="AC333" s="62">
        <f t="shared" si="77"/>
        <v>0</v>
      </c>
    </row>
    <row r="334" spans="1:29" ht="28.7" customHeight="1" x14ac:dyDescent="0.25">
      <c r="A334" s="4" t="s">
        <v>17</v>
      </c>
      <c r="B334" s="7" t="s">
        <v>69</v>
      </c>
      <c r="C334" s="2" t="s">
        <v>1432</v>
      </c>
      <c r="D334" s="7" t="s">
        <v>910</v>
      </c>
      <c r="E334" s="4" t="s">
        <v>779</v>
      </c>
      <c r="F334" s="2">
        <v>82</v>
      </c>
      <c r="G334" s="2" t="s">
        <v>1399</v>
      </c>
      <c r="H334" s="2" t="s">
        <v>1400</v>
      </c>
      <c r="I334" s="4" t="s">
        <v>60</v>
      </c>
      <c r="J334" s="112">
        <f>IF($H334&lt;&gt;"Y",0,ROUND(MIN(Dashboard!$R$24,IF(IFERROR(VLOOKUP($B334,Dashboard!$Q$28:$S$60,2,FALSE),0)&gt;0,IFERROR(VLOOKUP($B334,Dashboard!$Q$28:$S$60,2,FALSE),0),$Z334*IF($U334&lt;&gt;"",ROUND((Dashboard!$R$4/$U334)*VLOOKUP($I334,Dashboard!$Q$9:$R$13,2,FALSE)*IF(ISNUMBER(SEARCH("Duals",$B334)),2,IF(ISNUMBER(SEARCH("Triples",$B334)),3,IF(ISNUMBER(SEARCH("Quads",$B334)),4,1))),2),ROUND(VLOOKUP($I334,Dashboard!$Q$15:$R$20,2,FALSE)*IF($E334="Red",Dashboard!$R$6,IF($E334="Gold",Dashboard!$R$7,Dashboard!$R$5))*IF(ISNUMBER(SEARCH("Duals",$B334)),2,IF(ISNUMBER(SEARCH("Triples",$B334)),3,IF(ISNUMBER(SEARCH("Quads",$B334)),4,1))),2))*IF(IFERROR(VLOOKUP($B334,Dashboard!$Q$28:$S$60,3,FALSE),0)&gt;0,VLOOKUP($B334,Dashboard!$Q$28:$S$60,3,FALSE),1))),0))</f>
        <v>12</v>
      </c>
      <c r="K334" s="2" t="str">
        <f>IF('Base S1'!G34="","",'Base S1'!G34)</f>
        <v>V 79/82</v>
      </c>
      <c r="L334" s="2">
        <f t="shared" si="65"/>
        <v>1</v>
      </c>
      <c r="M334" s="2">
        <f t="shared" si="66"/>
        <v>0</v>
      </c>
      <c r="N334" s="2">
        <f t="shared" si="67"/>
        <v>1</v>
      </c>
      <c r="O334" s="2">
        <f t="shared" si="68"/>
        <v>0</v>
      </c>
      <c r="P334" s="112">
        <f t="shared" si="69"/>
        <v>12</v>
      </c>
      <c r="Q334" s="112">
        <f t="shared" si="70"/>
        <v>0</v>
      </c>
      <c r="R334" s="53"/>
      <c r="S334" s="53" t="str">
        <f t="shared" si="71"/>
        <v>Base S1|Floor 82 Parallel - Season 1|33|Floor 82</v>
      </c>
      <c r="T334" s="57" t="str">
        <f>IF($S334="","",IFERROR(VLOOKUP($S334,'Pop Estimates (Non-#d)'!$N$2:$O$500,2,FALSE),""))</f>
        <v/>
      </c>
      <c r="U334" s="57">
        <f t="shared" si="72"/>
        <v>82</v>
      </c>
      <c r="V334" s="53" t="str">
        <f t="shared" si="73"/>
        <v/>
      </c>
      <c r="W334" s="53" t="str">
        <f t="shared" si="74"/>
        <v/>
      </c>
      <c r="X334" s="53" t="str">
        <f t="shared" si="75"/>
        <v/>
      </c>
      <c r="Y334" s="57" t="str">
        <f>IF($X334="","",IFERROR(VLOOKUP($X334,'Char Popularity'!$A$2:$C$500,2,FALSE),""))</f>
        <v/>
      </c>
      <c r="Z334" s="56">
        <f>IF($X334="",1,IFERROR(VLOOKUP($X334,'Char Popularity'!$A$2:$C$500,3,FALSE),1))</f>
        <v>1</v>
      </c>
      <c r="AA334" s="62">
        <f>IF($H334&lt;&gt;"Y",0,(IF($F334&lt;&gt;"",ROUND(Dashboard!$R$4/$F334,1),IF(AND($I334="Base",$E334="Base"),Dashboard!$R$5,IF(AND($I334="Base",$E334="Red"),Dashboard!$R$6,IF(AND($I334="Base",$E334="Gold"),Dashboard!$R$7,VLOOKUP($I334,Dashboard!$Q$16:$R$21,2,FALSE)))))*VLOOKUP($I334,Dashboard!$Q$9:$R$13,2,FALSE)*IF(AND($I334="Auto",$F334="",OR($B334="Autographs Duals",$B334="Autographs Triples",$B334="Autographs Quads",$B334="Autographs Quads (Inscribed)")),IF($B334="Autographs Duals",2,IF($B334="Autographs Triples",3,4)),1)))</f>
        <v>12.2</v>
      </c>
      <c r="AB334" s="62">
        <f t="shared" si="76"/>
        <v>12.2</v>
      </c>
      <c r="AC334" s="62">
        <f t="shared" si="77"/>
        <v>0</v>
      </c>
    </row>
    <row r="335" spans="1:29" ht="28.7" customHeight="1" x14ac:dyDescent="0.25">
      <c r="A335" s="4" t="s">
        <v>17</v>
      </c>
      <c r="B335" s="7" t="s">
        <v>69</v>
      </c>
      <c r="C335" s="2" t="s">
        <v>1433</v>
      </c>
      <c r="D335" s="7" t="s">
        <v>912</v>
      </c>
      <c r="E335" s="4" t="s">
        <v>779</v>
      </c>
      <c r="F335" s="2">
        <v>82</v>
      </c>
      <c r="G335" s="2" t="s">
        <v>1399</v>
      </c>
      <c r="H335" s="2" t="s">
        <v>1400</v>
      </c>
      <c r="I335" s="4" t="s">
        <v>60</v>
      </c>
      <c r="J335" s="112">
        <f>IF($H335&lt;&gt;"Y",0,ROUND(MIN(Dashboard!$R$24,IF(IFERROR(VLOOKUP($B335,Dashboard!$Q$28:$S$60,2,FALSE),0)&gt;0,IFERROR(VLOOKUP($B335,Dashboard!$Q$28:$S$60,2,FALSE),0),$Z335*IF($U335&lt;&gt;"",ROUND((Dashboard!$R$4/$U335)*VLOOKUP($I335,Dashboard!$Q$9:$R$13,2,FALSE)*IF(ISNUMBER(SEARCH("Duals",$B335)),2,IF(ISNUMBER(SEARCH("Triples",$B335)),3,IF(ISNUMBER(SEARCH("Quads",$B335)),4,1))),2),ROUND(VLOOKUP($I335,Dashboard!$Q$15:$R$20,2,FALSE)*IF($E335="Red",Dashboard!$R$6,IF($E335="Gold",Dashboard!$R$7,Dashboard!$R$5))*IF(ISNUMBER(SEARCH("Duals",$B335)),2,IF(ISNUMBER(SEARCH("Triples",$B335)),3,IF(ISNUMBER(SEARCH("Quads",$B335)),4,1))),2))*IF(IFERROR(VLOOKUP($B335,Dashboard!$Q$28:$S$60,3,FALSE),0)&gt;0,VLOOKUP($B335,Dashboard!$Q$28:$S$60,3,FALSE),1))),0))</f>
        <v>12</v>
      </c>
      <c r="K335" s="2" t="str">
        <f>IF('Base S1'!G35="","",'Base S1'!G35)</f>
        <v>C 42/82</v>
      </c>
      <c r="L335" s="2">
        <f t="shared" si="65"/>
        <v>1</v>
      </c>
      <c r="M335" s="2">
        <f t="shared" si="66"/>
        <v>0</v>
      </c>
      <c r="N335" s="2">
        <f t="shared" si="67"/>
        <v>1</v>
      </c>
      <c r="O335" s="2">
        <f t="shared" si="68"/>
        <v>0</v>
      </c>
      <c r="P335" s="112">
        <f t="shared" si="69"/>
        <v>12</v>
      </c>
      <c r="Q335" s="112">
        <f t="shared" si="70"/>
        <v>0</v>
      </c>
      <c r="R335" s="53"/>
      <c r="S335" s="53" t="str">
        <f t="shared" si="71"/>
        <v>Base S1|Floor 82 Parallel - Season 1|34|Floor 82</v>
      </c>
      <c r="T335" s="57" t="str">
        <f>IF($S335="","",IFERROR(VLOOKUP($S335,'Pop Estimates (Non-#d)'!$N$2:$O$500,2,FALSE),""))</f>
        <v/>
      </c>
      <c r="U335" s="57">
        <f t="shared" si="72"/>
        <v>82</v>
      </c>
      <c r="V335" s="53" t="str">
        <f t="shared" si="73"/>
        <v/>
      </c>
      <c r="W335" s="53" t="str">
        <f t="shared" si="74"/>
        <v/>
      </c>
      <c r="X335" s="53" t="str">
        <f t="shared" si="75"/>
        <v/>
      </c>
      <c r="Y335" s="57" t="str">
        <f>IF($X335="","",IFERROR(VLOOKUP($X335,'Char Popularity'!$A$2:$C$500,2,FALSE),""))</f>
        <v/>
      </c>
      <c r="Z335" s="56">
        <f>IF($X335="",1,IFERROR(VLOOKUP($X335,'Char Popularity'!$A$2:$C$500,3,FALSE),1))</f>
        <v>1</v>
      </c>
      <c r="AA335" s="62">
        <f>IF($H335&lt;&gt;"Y",0,(IF($F335&lt;&gt;"",ROUND(Dashboard!$R$4/$F335,1),IF(AND($I335="Base",$E335="Base"),Dashboard!$R$5,IF(AND($I335="Base",$E335="Red"),Dashboard!$R$6,IF(AND($I335="Base",$E335="Gold"),Dashboard!$R$7,VLOOKUP($I335,Dashboard!$Q$16:$R$21,2,FALSE)))))*VLOOKUP($I335,Dashboard!$Q$9:$R$13,2,FALSE)*IF(AND($I335="Auto",$F335="",OR($B335="Autographs Duals",$B335="Autographs Triples",$B335="Autographs Quads",$B335="Autographs Quads (Inscribed)")),IF($B335="Autographs Duals",2,IF($B335="Autographs Triples",3,4)),1)))</f>
        <v>12.2</v>
      </c>
      <c r="AB335" s="62">
        <f t="shared" si="76"/>
        <v>12.2</v>
      </c>
      <c r="AC335" s="62">
        <f t="shared" si="77"/>
        <v>0</v>
      </c>
    </row>
    <row r="336" spans="1:29" ht="28.7" customHeight="1" x14ac:dyDescent="0.25">
      <c r="A336" s="4" t="s">
        <v>17</v>
      </c>
      <c r="B336" s="7" t="s">
        <v>69</v>
      </c>
      <c r="C336" s="2" t="s">
        <v>1434</v>
      </c>
      <c r="D336" s="7" t="s">
        <v>914</v>
      </c>
      <c r="E336" s="4" t="s">
        <v>779</v>
      </c>
      <c r="F336" s="2">
        <v>82</v>
      </c>
      <c r="G336" s="2" t="s">
        <v>1399</v>
      </c>
      <c r="H336" s="2" t="s">
        <v>1400</v>
      </c>
      <c r="I336" s="4" t="s">
        <v>60</v>
      </c>
      <c r="J336" s="112">
        <f>IF($H336&lt;&gt;"Y",0,ROUND(MIN(Dashboard!$R$24,IF(IFERROR(VLOOKUP($B336,Dashboard!$Q$28:$S$60,2,FALSE),0)&gt;0,IFERROR(VLOOKUP($B336,Dashboard!$Q$28:$S$60,2,FALSE),0),$Z336*IF($U336&lt;&gt;"",ROUND((Dashboard!$R$4/$U336)*VLOOKUP($I336,Dashboard!$Q$9:$R$13,2,FALSE)*IF(ISNUMBER(SEARCH("Duals",$B336)),2,IF(ISNUMBER(SEARCH("Triples",$B336)),3,IF(ISNUMBER(SEARCH("Quads",$B336)),4,1))),2),ROUND(VLOOKUP($I336,Dashboard!$Q$15:$R$20,2,FALSE)*IF($E336="Red",Dashboard!$R$6,IF($E336="Gold",Dashboard!$R$7,Dashboard!$R$5))*IF(ISNUMBER(SEARCH("Duals",$B336)),2,IF(ISNUMBER(SEARCH("Triples",$B336)),3,IF(ISNUMBER(SEARCH("Quads",$B336)),4,1))),2))*IF(IFERROR(VLOOKUP($B336,Dashboard!$Q$28:$S$60,3,FALSE),0)&gt;0,VLOOKUP($B336,Dashboard!$Q$28:$S$60,3,FALSE),1))),0))</f>
        <v>12</v>
      </c>
      <c r="K336" s="2" t="str">
        <f>IF('Base S1'!G36="","",'Base S1'!G36)</f>
        <v>C 33/82</v>
      </c>
      <c r="L336" s="2">
        <f t="shared" si="65"/>
        <v>1</v>
      </c>
      <c r="M336" s="2">
        <f t="shared" si="66"/>
        <v>0</v>
      </c>
      <c r="N336" s="2">
        <f t="shared" si="67"/>
        <v>1</v>
      </c>
      <c r="O336" s="2">
        <f t="shared" si="68"/>
        <v>0</v>
      </c>
      <c r="P336" s="112">
        <f t="shared" si="69"/>
        <v>12</v>
      </c>
      <c r="Q336" s="112">
        <f t="shared" si="70"/>
        <v>0</v>
      </c>
      <c r="R336" s="53"/>
      <c r="S336" s="53" t="str">
        <f t="shared" si="71"/>
        <v>Base S1|Floor 82 Parallel - Season 1|35|Floor 82</v>
      </c>
      <c r="T336" s="57" t="str">
        <f>IF($S336="","",IFERROR(VLOOKUP($S336,'Pop Estimates (Non-#d)'!$N$2:$O$500,2,FALSE),""))</f>
        <v/>
      </c>
      <c r="U336" s="57">
        <f t="shared" si="72"/>
        <v>82</v>
      </c>
      <c r="V336" s="53" t="str">
        <f t="shared" si="73"/>
        <v/>
      </c>
      <c r="W336" s="53" t="str">
        <f t="shared" si="74"/>
        <v/>
      </c>
      <c r="X336" s="53" t="str">
        <f t="shared" si="75"/>
        <v/>
      </c>
      <c r="Y336" s="57" t="str">
        <f>IF($X336="","",IFERROR(VLOOKUP($X336,'Char Popularity'!$A$2:$C$500,2,FALSE),""))</f>
        <v/>
      </c>
      <c r="Z336" s="56">
        <f>IF($X336="",1,IFERROR(VLOOKUP($X336,'Char Popularity'!$A$2:$C$500,3,FALSE),1))</f>
        <v>1</v>
      </c>
      <c r="AA336" s="62">
        <f>IF($H336&lt;&gt;"Y",0,(IF($F336&lt;&gt;"",ROUND(Dashboard!$R$4/$F336,1),IF(AND($I336="Base",$E336="Base"),Dashboard!$R$5,IF(AND($I336="Base",$E336="Red"),Dashboard!$R$6,IF(AND($I336="Base",$E336="Gold"),Dashboard!$R$7,VLOOKUP($I336,Dashboard!$Q$16:$R$21,2,FALSE)))))*VLOOKUP($I336,Dashboard!$Q$9:$R$13,2,FALSE)*IF(AND($I336="Auto",$F336="",OR($B336="Autographs Duals",$B336="Autographs Triples",$B336="Autographs Quads",$B336="Autographs Quads (Inscribed)")),IF($B336="Autographs Duals",2,IF($B336="Autographs Triples",3,4)),1)))</f>
        <v>12.2</v>
      </c>
      <c r="AB336" s="62">
        <f t="shared" si="76"/>
        <v>12.2</v>
      </c>
      <c r="AC336" s="62">
        <f t="shared" si="77"/>
        <v>0</v>
      </c>
    </row>
    <row r="337" spans="1:29" ht="28.7" customHeight="1" x14ac:dyDescent="0.25">
      <c r="A337" s="4" t="s">
        <v>17</v>
      </c>
      <c r="B337" s="7" t="s">
        <v>69</v>
      </c>
      <c r="C337" s="2" t="s">
        <v>1435</v>
      </c>
      <c r="D337" s="7" t="s">
        <v>915</v>
      </c>
      <c r="E337" s="4" t="s">
        <v>779</v>
      </c>
      <c r="F337" s="2">
        <v>82</v>
      </c>
      <c r="G337" s="2" t="s">
        <v>1399</v>
      </c>
      <c r="H337" s="2" t="s">
        <v>1400</v>
      </c>
      <c r="I337" s="4" t="s">
        <v>60</v>
      </c>
      <c r="J337" s="112">
        <f>IF($H337&lt;&gt;"Y",0,ROUND(MIN(Dashboard!$R$24,IF(IFERROR(VLOOKUP($B337,Dashboard!$Q$28:$S$60,2,FALSE),0)&gt;0,IFERROR(VLOOKUP($B337,Dashboard!$Q$28:$S$60,2,FALSE),0),$Z337*IF($U337&lt;&gt;"",ROUND((Dashboard!$R$4/$U337)*VLOOKUP($I337,Dashboard!$Q$9:$R$13,2,FALSE)*IF(ISNUMBER(SEARCH("Duals",$B337)),2,IF(ISNUMBER(SEARCH("Triples",$B337)),3,IF(ISNUMBER(SEARCH("Quads",$B337)),4,1))),2),ROUND(VLOOKUP($I337,Dashboard!$Q$15:$R$20,2,FALSE)*IF($E337="Red",Dashboard!$R$6,IF($E337="Gold",Dashboard!$R$7,Dashboard!$R$5))*IF(ISNUMBER(SEARCH("Duals",$B337)),2,IF(ISNUMBER(SEARCH("Triples",$B337)),3,IF(ISNUMBER(SEARCH("Quads",$B337)),4,1))),2))*IF(IFERROR(VLOOKUP($B337,Dashboard!$Q$28:$S$60,3,FALSE),0)&gt;0,VLOOKUP($B337,Dashboard!$Q$28:$S$60,3,FALSE),1))),0))</f>
        <v>12</v>
      </c>
      <c r="K337" s="2" t="str">
        <f>IF('Base S1'!G37="","",'Base S1'!G37)</f>
        <v>C 82/82</v>
      </c>
      <c r="L337" s="2">
        <f t="shared" si="65"/>
        <v>1</v>
      </c>
      <c r="M337" s="2">
        <f t="shared" si="66"/>
        <v>0</v>
      </c>
      <c r="N337" s="2">
        <f t="shared" si="67"/>
        <v>1</v>
      </c>
      <c r="O337" s="2">
        <f t="shared" si="68"/>
        <v>0</v>
      </c>
      <c r="P337" s="112">
        <f t="shared" si="69"/>
        <v>12</v>
      </c>
      <c r="Q337" s="112">
        <f t="shared" si="70"/>
        <v>0</v>
      </c>
      <c r="R337" s="53"/>
      <c r="S337" s="53" t="str">
        <f t="shared" si="71"/>
        <v>Base S1|Floor 82 Parallel - Season 1|36|Floor 82</v>
      </c>
      <c r="T337" s="57" t="str">
        <f>IF($S337="","",IFERROR(VLOOKUP($S337,'Pop Estimates (Non-#d)'!$N$2:$O$500,2,FALSE),""))</f>
        <v/>
      </c>
      <c r="U337" s="57">
        <f t="shared" si="72"/>
        <v>82</v>
      </c>
      <c r="V337" s="53" t="str">
        <f t="shared" si="73"/>
        <v/>
      </c>
      <c r="W337" s="53" t="str">
        <f t="shared" si="74"/>
        <v/>
      </c>
      <c r="X337" s="53" t="str">
        <f t="shared" si="75"/>
        <v/>
      </c>
      <c r="Y337" s="57" t="str">
        <f>IF($X337="","",IFERROR(VLOOKUP($X337,'Char Popularity'!$A$2:$C$500,2,FALSE),""))</f>
        <v/>
      </c>
      <c r="Z337" s="56">
        <f>IF($X337="",1,IFERROR(VLOOKUP($X337,'Char Popularity'!$A$2:$C$500,3,FALSE),1))</f>
        <v>1</v>
      </c>
      <c r="AA337" s="62">
        <f>IF($H337&lt;&gt;"Y",0,(IF($F337&lt;&gt;"",ROUND(Dashboard!$R$4/$F337,1),IF(AND($I337="Base",$E337="Base"),Dashboard!$R$5,IF(AND($I337="Base",$E337="Red"),Dashboard!$R$6,IF(AND($I337="Base",$E337="Gold"),Dashboard!$R$7,VLOOKUP($I337,Dashboard!$Q$16:$R$21,2,FALSE)))))*VLOOKUP($I337,Dashboard!$Q$9:$R$13,2,FALSE)*IF(AND($I337="Auto",$F337="",OR($B337="Autographs Duals",$B337="Autographs Triples",$B337="Autographs Quads",$B337="Autographs Quads (Inscribed)")),IF($B337="Autographs Duals",2,IF($B337="Autographs Triples",3,4)),1)))</f>
        <v>12.2</v>
      </c>
      <c r="AB337" s="62">
        <f t="shared" si="76"/>
        <v>12.2</v>
      </c>
      <c r="AC337" s="62">
        <f t="shared" si="77"/>
        <v>0</v>
      </c>
    </row>
    <row r="338" spans="1:29" ht="28.7" customHeight="1" x14ac:dyDescent="0.25">
      <c r="A338" s="4" t="s">
        <v>17</v>
      </c>
      <c r="B338" s="7" t="s">
        <v>69</v>
      </c>
      <c r="C338" s="2" t="s">
        <v>1436</v>
      </c>
      <c r="D338" s="7" t="s">
        <v>917</v>
      </c>
      <c r="E338" s="4" t="s">
        <v>779</v>
      </c>
      <c r="F338" s="2">
        <v>82</v>
      </c>
      <c r="G338" s="2" t="s">
        <v>1399</v>
      </c>
      <c r="H338" s="2" t="s">
        <v>1400</v>
      </c>
      <c r="I338" s="4" t="s">
        <v>60</v>
      </c>
      <c r="J338" s="112">
        <f>IF($H338&lt;&gt;"Y",0,ROUND(MIN(Dashboard!$R$24,IF(IFERROR(VLOOKUP($B338,Dashboard!$Q$28:$S$60,2,FALSE),0)&gt;0,IFERROR(VLOOKUP($B338,Dashboard!$Q$28:$S$60,2,FALSE),0),$Z338*IF($U338&lt;&gt;"",ROUND((Dashboard!$R$4/$U338)*VLOOKUP($I338,Dashboard!$Q$9:$R$13,2,FALSE)*IF(ISNUMBER(SEARCH("Duals",$B338)),2,IF(ISNUMBER(SEARCH("Triples",$B338)),3,IF(ISNUMBER(SEARCH("Quads",$B338)),4,1))),2),ROUND(VLOOKUP($I338,Dashboard!$Q$15:$R$20,2,FALSE)*IF($E338="Red",Dashboard!$R$6,IF($E338="Gold",Dashboard!$R$7,Dashboard!$R$5))*IF(ISNUMBER(SEARCH("Duals",$B338)),2,IF(ISNUMBER(SEARCH("Triples",$B338)),3,IF(ISNUMBER(SEARCH("Quads",$B338)),4,1))),2))*IF(IFERROR(VLOOKUP($B338,Dashboard!$Q$28:$S$60,3,FALSE),0)&gt;0,VLOOKUP($B338,Dashboard!$Q$28:$S$60,3,FALSE),1))),0))</f>
        <v>12</v>
      </c>
      <c r="K338" s="2" t="str">
        <f>IF('Base S1'!G38="","",'Base S1'!G38)</f>
        <v>V 50/82</v>
      </c>
      <c r="L338" s="2">
        <f t="shared" si="65"/>
        <v>1</v>
      </c>
      <c r="M338" s="2">
        <f t="shared" si="66"/>
        <v>0</v>
      </c>
      <c r="N338" s="2">
        <f t="shared" si="67"/>
        <v>1</v>
      </c>
      <c r="O338" s="2">
        <f t="shared" si="68"/>
        <v>0</v>
      </c>
      <c r="P338" s="112">
        <f t="shared" si="69"/>
        <v>12</v>
      </c>
      <c r="Q338" s="112">
        <f t="shared" si="70"/>
        <v>0</v>
      </c>
      <c r="R338" s="53"/>
      <c r="S338" s="53" t="str">
        <f t="shared" si="71"/>
        <v>Base S1|Floor 82 Parallel - Season 1|37|Floor 82</v>
      </c>
      <c r="T338" s="57" t="str">
        <f>IF($S338="","",IFERROR(VLOOKUP($S338,'Pop Estimates (Non-#d)'!$N$2:$O$500,2,FALSE),""))</f>
        <v/>
      </c>
      <c r="U338" s="57">
        <f t="shared" si="72"/>
        <v>82</v>
      </c>
      <c r="V338" s="53" t="str">
        <f t="shared" si="73"/>
        <v/>
      </c>
      <c r="W338" s="53" t="str">
        <f t="shared" si="74"/>
        <v/>
      </c>
      <c r="X338" s="53" t="str">
        <f t="shared" si="75"/>
        <v/>
      </c>
      <c r="Y338" s="57" t="str">
        <f>IF($X338="","",IFERROR(VLOOKUP($X338,'Char Popularity'!$A$2:$C$500,2,FALSE),""))</f>
        <v/>
      </c>
      <c r="Z338" s="56">
        <f>IF($X338="",1,IFERROR(VLOOKUP($X338,'Char Popularity'!$A$2:$C$500,3,FALSE),1))</f>
        <v>1</v>
      </c>
      <c r="AA338" s="62">
        <f>IF($H338&lt;&gt;"Y",0,(IF($F338&lt;&gt;"",ROUND(Dashboard!$R$4/$F338,1),IF(AND($I338="Base",$E338="Base"),Dashboard!$R$5,IF(AND($I338="Base",$E338="Red"),Dashboard!$R$6,IF(AND($I338="Base",$E338="Gold"),Dashboard!$R$7,VLOOKUP($I338,Dashboard!$Q$16:$R$21,2,FALSE)))))*VLOOKUP($I338,Dashboard!$Q$9:$R$13,2,FALSE)*IF(AND($I338="Auto",$F338="",OR($B338="Autographs Duals",$B338="Autographs Triples",$B338="Autographs Quads",$B338="Autographs Quads (Inscribed)")),IF($B338="Autographs Duals",2,IF($B338="Autographs Triples",3,4)),1)))</f>
        <v>12.2</v>
      </c>
      <c r="AB338" s="62">
        <f t="shared" si="76"/>
        <v>12.2</v>
      </c>
      <c r="AC338" s="62">
        <f t="shared" si="77"/>
        <v>0</v>
      </c>
    </row>
    <row r="339" spans="1:29" ht="28.7" customHeight="1" x14ac:dyDescent="0.25">
      <c r="A339" s="4" t="s">
        <v>17</v>
      </c>
      <c r="B339" s="7" t="s">
        <v>69</v>
      </c>
      <c r="C339" s="2" t="s">
        <v>1437</v>
      </c>
      <c r="D339" s="7" t="s">
        <v>919</v>
      </c>
      <c r="E339" s="4" t="s">
        <v>779</v>
      </c>
      <c r="F339" s="2">
        <v>82</v>
      </c>
      <c r="G339" s="2" t="s">
        <v>1399</v>
      </c>
      <c r="H339" s="2" t="s">
        <v>1400</v>
      </c>
      <c r="I339" s="4" t="s">
        <v>60</v>
      </c>
      <c r="J339" s="112">
        <f>IF($H339&lt;&gt;"Y",0,ROUND(MIN(Dashboard!$R$24,IF(IFERROR(VLOOKUP($B339,Dashboard!$Q$28:$S$60,2,FALSE),0)&gt;0,IFERROR(VLOOKUP($B339,Dashboard!$Q$28:$S$60,2,FALSE),0),$Z339*IF($U339&lt;&gt;"",ROUND((Dashboard!$R$4/$U339)*VLOOKUP($I339,Dashboard!$Q$9:$R$13,2,FALSE)*IF(ISNUMBER(SEARCH("Duals",$B339)),2,IF(ISNUMBER(SEARCH("Triples",$B339)),3,IF(ISNUMBER(SEARCH("Quads",$B339)),4,1))),2),ROUND(VLOOKUP($I339,Dashboard!$Q$15:$R$20,2,FALSE)*IF($E339="Red",Dashboard!$R$6,IF($E339="Gold",Dashboard!$R$7,Dashboard!$R$5))*IF(ISNUMBER(SEARCH("Duals",$B339)),2,IF(ISNUMBER(SEARCH("Triples",$B339)),3,IF(ISNUMBER(SEARCH("Quads",$B339)),4,1))),2))*IF(IFERROR(VLOOKUP($B339,Dashboard!$Q$28:$S$60,3,FALSE),0)&gt;0,VLOOKUP($B339,Dashboard!$Q$28:$S$60,3,FALSE),1))),0))</f>
        <v>12</v>
      </c>
      <c r="K339" s="2" t="str">
        <f>IF('Base S1'!G39="","",'Base S1'!G39)</f>
        <v>C 32/82</v>
      </c>
      <c r="L339" s="2">
        <f t="shared" si="65"/>
        <v>1</v>
      </c>
      <c r="M339" s="2">
        <f t="shared" si="66"/>
        <v>0</v>
      </c>
      <c r="N339" s="2">
        <f t="shared" si="67"/>
        <v>1</v>
      </c>
      <c r="O339" s="2">
        <f t="shared" si="68"/>
        <v>0</v>
      </c>
      <c r="P339" s="112">
        <f t="shared" si="69"/>
        <v>12</v>
      </c>
      <c r="Q339" s="112">
        <f t="shared" si="70"/>
        <v>0</v>
      </c>
      <c r="R339" s="53"/>
      <c r="S339" s="53" t="str">
        <f t="shared" si="71"/>
        <v>Base S1|Floor 82 Parallel - Season 1|38|Floor 82</v>
      </c>
      <c r="T339" s="57" t="str">
        <f>IF($S339="","",IFERROR(VLOOKUP($S339,'Pop Estimates (Non-#d)'!$N$2:$O$500,2,FALSE),""))</f>
        <v/>
      </c>
      <c r="U339" s="57">
        <f t="shared" si="72"/>
        <v>82</v>
      </c>
      <c r="V339" s="53" t="str">
        <f t="shared" si="73"/>
        <v/>
      </c>
      <c r="W339" s="53" t="str">
        <f t="shared" si="74"/>
        <v/>
      </c>
      <c r="X339" s="53" t="str">
        <f t="shared" si="75"/>
        <v/>
      </c>
      <c r="Y339" s="57" t="str">
        <f>IF($X339="","",IFERROR(VLOOKUP($X339,'Char Popularity'!$A$2:$C$500,2,FALSE),""))</f>
        <v/>
      </c>
      <c r="Z339" s="56">
        <f>IF($X339="",1,IFERROR(VLOOKUP($X339,'Char Popularity'!$A$2:$C$500,3,FALSE),1))</f>
        <v>1</v>
      </c>
      <c r="AA339" s="62">
        <f>IF($H339&lt;&gt;"Y",0,(IF($F339&lt;&gt;"",ROUND(Dashboard!$R$4/$F339,1),IF(AND($I339="Base",$E339="Base"),Dashboard!$R$5,IF(AND($I339="Base",$E339="Red"),Dashboard!$R$6,IF(AND($I339="Base",$E339="Gold"),Dashboard!$R$7,VLOOKUP($I339,Dashboard!$Q$16:$R$21,2,FALSE)))))*VLOOKUP($I339,Dashboard!$Q$9:$R$13,2,FALSE)*IF(AND($I339="Auto",$F339="",OR($B339="Autographs Duals",$B339="Autographs Triples",$B339="Autographs Quads",$B339="Autographs Quads (Inscribed)")),IF($B339="Autographs Duals",2,IF($B339="Autographs Triples",3,4)),1)))</f>
        <v>12.2</v>
      </c>
      <c r="AB339" s="62">
        <f t="shared" si="76"/>
        <v>12.2</v>
      </c>
      <c r="AC339" s="62">
        <f t="shared" si="77"/>
        <v>0</v>
      </c>
    </row>
    <row r="340" spans="1:29" ht="28.7" customHeight="1" x14ac:dyDescent="0.25">
      <c r="A340" s="4" t="s">
        <v>17</v>
      </c>
      <c r="B340" s="7" t="s">
        <v>69</v>
      </c>
      <c r="C340" s="2" t="s">
        <v>1438</v>
      </c>
      <c r="D340" s="7" t="s">
        <v>920</v>
      </c>
      <c r="E340" s="4" t="s">
        <v>779</v>
      </c>
      <c r="F340" s="2">
        <v>82</v>
      </c>
      <c r="G340" s="2" t="s">
        <v>1399</v>
      </c>
      <c r="H340" s="2" t="s">
        <v>1400</v>
      </c>
      <c r="I340" s="4" t="s">
        <v>60</v>
      </c>
      <c r="J340" s="112">
        <f>IF($H340&lt;&gt;"Y",0,ROUND(MIN(Dashboard!$R$24,IF(IFERROR(VLOOKUP($B340,Dashboard!$Q$28:$S$60,2,FALSE),0)&gt;0,IFERROR(VLOOKUP($B340,Dashboard!$Q$28:$S$60,2,FALSE),0),$Z340*IF($U340&lt;&gt;"",ROUND((Dashboard!$R$4/$U340)*VLOOKUP($I340,Dashboard!$Q$9:$R$13,2,FALSE)*IF(ISNUMBER(SEARCH("Duals",$B340)),2,IF(ISNUMBER(SEARCH("Triples",$B340)),3,IF(ISNUMBER(SEARCH("Quads",$B340)),4,1))),2),ROUND(VLOOKUP($I340,Dashboard!$Q$15:$R$20,2,FALSE)*IF($E340="Red",Dashboard!$R$6,IF($E340="Gold",Dashboard!$R$7,Dashboard!$R$5))*IF(ISNUMBER(SEARCH("Duals",$B340)),2,IF(ISNUMBER(SEARCH("Triples",$B340)),3,IF(ISNUMBER(SEARCH("Quads",$B340)),4,1))),2))*IF(IFERROR(VLOOKUP($B340,Dashboard!$Q$28:$S$60,3,FALSE),0)&gt;0,VLOOKUP($B340,Dashboard!$Q$28:$S$60,3,FALSE),1))),0))</f>
        <v>12</v>
      </c>
      <c r="K340" s="2" t="str">
        <f>IF('Base S1'!G40="","",'Base S1'!G40)</f>
        <v>V 13/82</v>
      </c>
      <c r="L340" s="2">
        <f t="shared" si="65"/>
        <v>1</v>
      </c>
      <c r="M340" s="2">
        <f t="shared" si="66"/>
        <v>0</v>
      </c>
      <c r="N340" s="2">
        <f t="shared" si="67"/>
        <v>1</v>
      </c>
      <c r="O340" s="2">
        <f t="shared" si="68"/>
        <v>0</v>
      </c>
      <c r="P340" s="112">
        <f t="shared" si="69"/>
        <v>12</v>
      </c>
      <c r="Q340" s="112">
        <f t="shared" si="70"/>
        <v>0</v>
      </c>
      <c r="R340" s="53"/>
      <c r="S340" s="53" t="str">
        <f t="shared" si="71"/>
        <v>Base S1|Floor 82 Parallel - Season 1|39|Floor 82</v>
      </c>
      <c r="T340" s="57" t="str">
        <f>IF($S340="","",IFERROR(VLOOKUP($S340,'Pop Estimates (Non-#d)'!$N$2:$O$500,2,FALSE),""))</f>
        <v/>
      </c>
      <c r="U340" s="57">
        <f t="shared" si="72"/>
        <v>82</v>
      </c>
      <c r="V340" s="53" t="str">
        <f t="shared" si="73"/>
        <v/>
      </c>
      <c r="W340" s="53" t="str">
        <f t="shared" si="74"/>
        <v/>
      </c>
      <c r="X340" s="53" t="str">
        <f t="shared" si="75"/>
        <v/>
      </c>
      <c r="Y340" s="57" t="str">
        <f>IF($X340="","",IFERROR(VLOOKUP($X340,'Char Popularity'!$A$2:$C$500,2,FALSE),""))</f>
        <v/>
      </c>
      <c r="Z340" s="56">
        <f>IF($X340="",1,IFERROR(VLOOKUP($X340,'Char Popularity'!$A$2:$C$500,3,FALSE),1))</f>
        <v>1</v>
      </c>
      <c r="AA340" s="62">
        <f>IF($H340&lt;&gt;"Y",0,(IF($F340&lt;&gt;"",ROUND(Dashboard!$R$4/$F340,1),IF(AND($I340="Base",$E340="Base"),Dashboard!$R$5,IF(AND($I340="Base",$E340="Red"),Dashboard!$R$6,IF(AND($I340="Base",$E340="Gold"),Dashboard!$R$7,VLOOKUP($I340,Dashboard!$Q$16:$R$21,2,FALSE)))))*VLOOKUP($I340,Dashboard!$Q$9:$R$13,2,FALSE)*IF(AND($I340="Auto",$F340="",OR($B340="Autographs Duals",$B340="Autographs Triples",$B340="Autographs Quads",$B340="Autographs Quads (Inscribed)")),IF($B340="Autographs Duals",2,IF($B340="Autographs Triples",3,4)),1)))</f>
        <v>12.2</v>
      </c>
      <c r="AB340" s="62">
        <f t="shared" si="76"/>
        <v>12.2</v>
      </c>
      <c r="AC340" s="62">
        <f t="shared" si="77"/>
        <v>0</v>
      </c>
    </row>
    <row r="341" spans="1:29" ht="28.7" customHeight="1" x14ac:dyDescent="0.25">
      <c r="A341" s="4" t="s">
        <v>17</v>
      </c>
      <c r="B341" s="7" t="s">
        <v>69</v>
      </c>
      <c r="C341" s="2" t="s">
        <v>1439</v>
      </c>
      <c r="D341" s="7" t="s">
        <v>922</v>
      </c>
      <c r="E341" s="4" t="s">
        <v>779</v>
      </c>
      <c r="F341" s="2">
        <v>82</v>
      </c>
      <c r="G341" s="2" t="s">
        <v>1399</v>
      </c>
      <c r="H341" s="2" t="s">
        <v>1400</v>
      </c>
      <c r="I341" s="4" t="s">
        <v>60</v>
      </c>
      <c r="J341" s="112">
        <f>IF($H341&lt;&gt;"Y",0,ROUND(MIN(Dashboard!$R$24,IF(IFERROR(VLOOKUP($B341,Dashboard!$Q$28:$S$60,2,FALSE),0)&gt;0,IFERROR(VLOOKUP($B341,Dashboard!$Q$28:$S$60,2,FALSE),0),$Z341*IF($U341&lt;&gt;"",ROUND((Dashboard!$R$4/$U341)*VLOOKUP($I341,Dashboard!$Q$9:$R$13,2,FALSE)*IF(ISNUMBER(SEARCH("Duals",$B341)),2,IF(ISNUMBER(SEARCH("Triples",$B341)),3,IF(ISNUMBER(SEARCH("Quads",$B341)),4,1))),2),ROUND(VLOOKUP($I341,Dashboard!$Q$15:$R$20,2,FALSE)*IF($E341="Red",Dashboard!$R$6,IF($E341="Gold",Dashboard!$R$7,Dashboard!$R$5))*IF(ISNUMBER(SEARCH("Duals",$B341)),2,IF(ISNUMBER(SEARCH("Triples",$B341)),3,IF(ISNUMBER(SEARCH("Quads",$B341)),4,1))),2))*IF(IFERROR(VLOOKUP($B341,Dashboard!$Q$28:$S$60,3,FALSE),0)&gt;0,VLOOKUP($B341,Dashboard!$Q$28:$S$60,3,FALSE),1))),0))</f>
        <v>12</v>
      </c>
      <c r="K341" s="2" t="str">
        <f>IF('Base S1'!G41="","",'Base S1'!G41)</f>
        <v>C 71/82</v>
      </c>
      <c r="L341" s="2">
        <f t="shared" si="65"/>
        <v>1</v>
      </c>
      <c r="M341" s="2">
        <f t="shared" si="66"/>
        <v>0</v>
      </c>
      <c r="N341" s="2">
        <f t="shared" si="67"/>
        <v>1</v>
      </c>
      <c r="O341" s="2">
        <f t="shared" si="68"/>
        <v>0</v>
      </c>
      <c r="P341" s="112">
        <f t="shared" si="69"/>
        <v>12</v>
      </c>
      <c r="Q341" s="112">
        <f t="shared" si="70"/>
        <v>0</v>
      </c>
      <c r="R341" s="53"/>
      <c r="S341" s="53" t="str">
        <f t="shared" si="71"/>
        <v>Base S1|Floor 82 Parallel - Season 1|40|Floor 82</v>
      </c>
      <c r="T341" s="57" t="str">
        <f>IF($S341="","",IFERROR(VLOOKUP($S341,'Pop Estimates (Non-#d)'!$N$2:$O$500,2,FALSE),""))</f>
        <v/>
      </c>
      <c r="U341" s="57">
        <f t="shared" si="72"/>
        <v>82</v>
      </c>
      <c r="V341" s="53" t="str">
        <f t="shared" si="73"/>
        <v/>
      </c>
      <c r="W341" s="53" t="str">
        <f t="shared" si="74"/>
        <v/>
      </c>
      <c r="X341" s="53" t="str">
        <f t="shared" si="75"/>
        <v/>
      </c>
      <c r="Y341" s="57" t="str">
        <f>IF($X341="","",IFERROR(VLOOKUP($X341,'Char Popularity'!$A$2:$C$500,2,FALSE),""))</f>
        <v/>
      </c>
      <c r="Z341" s="56">
        <f>IF($X341="",1,IFERROR(VLOOKUP($X341,'Char Popularity'!$A$2:$C$500,3,FALSE),1))</f>
        <v>1</v>
      </c>
      <c r="AA341" s="62">
        <f>IF($H341&lt;&gt;"Y",0,(IF($F341&lt;&gt;"",ROUND(Dashboard!$R$4/$F341,1),IF(AND($I341="Base",$E341="Base"),Dashboard!$R$5,IF(AND($I341="Base",$E341="Red"),Dashboard!$R$6,IF(AND($I341="Base",$E341="Gold"),Dashboard!$R$7,VLOOKUP($I341,Dashboard!$Q$16:$R$21,2,FALSE)))))*VLOOKUP($I341,Dashboard!$Q$9:$R$13,2,FALSE)*IF(AND($I341="Auto",$F341="",OR($B341="Autographs Duals",$B341="Autographs Triples",$B341="Autographs Quads",$B341="Autographs Quads (Inscribed)")),IF($B341="Autographs Duals",2,IF($B341="Autographs Triples",3,4)),1)))</f>
        <v>12.2</v>
      </c>
      <c r="AB341" s="62">
        <f t="shared" si="76"/>
        <v>12.2</v>
      </c>
      <c r="AC341" s="62">
        <f t="shared" si="77"/>
        <v>0</v>
      </c>
    </row>
    <row r="342" spans="1:29" ht="28.7" customHeight="1" x14ac:dyDescent="0.25">
      <c r="A342" s="4" t="s">
        <v>17</v>
      </c>
      <c r="B342" s="7" t="s">
        <v>69</v>
      </c>
      <c r="C342" s="2" t="s">
        <v>1440</v>
      </c>
      <c r="D342" s="7" t="s">
        <v>925</v>
      </c>
      <c r="E342" s="4" t="s">
        <v>779</v>
      </c>
      <c r="F342" s="2">
        <v>82</v>
      </c>
      <c r="G342" s="2" t="s">
        <v>1399</v>
      </c>
      <c r="H342" s="2" t="s">
        <v>1400</v>
      </c>
      <c r="I342" s="4" t="s">
        <v>60</v>
      </c>
      <c r="J342" s="112">
        <f>IF($H342&lt;&gt;"Y",0,ROUND(MIN(Dashboard!$R$24,IF(IFERROR(VLOOKUP($B342,Dashboard!$Q$28:$S$60,2,FALSE),0)&gt;0,IFERROR(VLOOKUP($B342,Dashboard!$Q$28:$S$60,2,FALSE),0),$Z342*IF($U342&lt;&gt;"",ROUND((Dashboard!$R$4/$U342)*VLOOKUP($I342,Dashboard!$Q$9:$R$13,2,FALSE)*IF(ISNUMBER(SEARCH("Duals",$B342)),2,IF(ISNUMBER(SEARCH("Triples",$B342)),3,IF(ISNUMBER(SEARCH("Quads",$B342)),4,1))),2),ROUND(VLOOKUP($I342,Dashboard!$Q$15:$R$20,2,FALSE)*IF($E342="Red",Dashboard!$R$6,IF($E342="Gold",Dashboard!$R$7,Dashboard!$R$5))*IF(ISNUMBER(SEARCH("Duals",$B342)),2,IF(ISNUMBER(SEARCH("Triples",$B342)),3,IF(ISNUMBER(SEARCH("Quads",$B342)),4,1))),2))*IF(IFERROR(VLOOKUP($B342,Dashboard!$Q$28:$S$60,3,FALSE),0)&gt;0,VLOOKUP($B342,Dashboard!$Q$28:$S$60,3,FALSE),1))),0))</f>
        <v>12</v>
      </c>
      <c r="K342" s="2" t="str">
        <f>IF('Base S1'!G42="","",'Base S1'!G42)</f>
        <v>C 32/82</v>
      </c>
      <c r="L342" s="2">
        <f t="shared" si="65"/>
        <v>1</v>
      </c>
      <c r="M342" s="2">
        <f t="shared" si="66"/>
        <v>0</v>
      </c>
      <c r="N342" s="2">
        <f t="shared" si="67"/>
        <v>1</v>
      </c>
      <c r="O342" s="2">
        <f t="shared" si="68"/>
        <v>0</v>
      </c>
      <c r="P342" s="112">
        <f t="shared" si="69"/>
        <v>12</v>
      </c>
      <c r="Q342" s="112">
        <f t="shared" si="70"/>
        <v>0</v>
      </c>
      <c r="R342" s="53"/>
      <c r="S342" s="53" t="str">
        <f t="shared" si="71"/>
        <v>Base S1|Floor 82 Parallel - Season 1|41|Floor 82</v>
      </c>
      <c r="T342" s="57" t="str">
        <f>IF($S342="","",IFERROR(VLOOKUP($S342,'Pop Estimates (Non-#d)'!$N$2:$O$500,2,FALSE),""))</f>
        <v/>
      </c>
      <c r="U342" s="57">
        <f t="shared" si="72"/>
        <v>82</v>
      </c>
      <c r="V342" s="53" t="str">
        <f t="shared" si="73"/>
        <v/>
      </c>
      <c r="W342" s="53" t="str">
        <f t="shared" si="74"/>
        <v/>
      </c>
      <c r="X342" s="53" t="str">
        <f t="shared" si="75"/>
        <v/>
      </c>
      <c r="Y342" s="57" t="str">
        <f>IF($X342="","",IFERROR(VLOOKUP($X342,'Char Popularity'!$A$2:$C$500,2,FALSE),""))</f>
        <v/>
      </c>
      <c r="Z342" s="56">
        <f>IF($X342="",1,IFERROR(VLOOKUP($X342,'Char Popularity'!$A$2:$C$500,3,FALSE),1))</f>
        <v>1</v>
      </c>
      <c r="AA342" s="62">
        <f>IF($H342&lt;&gt;"Y",0,(IF($F342&lt;&gt;"",ROUND(Dashboard!$R$4/$F342,1),IF(AND($I342="Base",$E342="Base"),Dashboard!$R$5,IF(AND($I342="Base",$E342="Red"),Dashboard!$R$6,IF(AND($I342="Base",$E342="Gold"),Dashboard!$R$7,VLOOKUP($I342,Dashboard!$Q$16:$R$21,2,FALSE)))))*VLOOKUP($I342,Dashboard!$Q$9:$R$13,2,FALSE)*IF(AND($I342="Auto",$F342="",OR($B342="Autographs Duals",$B342="Autographs Triples",$B342="Autographs Quads",$B342="Autographs Quads (Inscribed)")),IF($B342="Autographs Duals",2,IF($B342="Autographs Triples",3,4)),1)))</f>
        <v>12.2</v>
      </c>
      <c r="AB342" s="62">
        <f t="shared" si="76"/>
        <v>12.2</v>
      </c>
      <c r="AC342" s="62">
        <f t="shared" si="77"/>
        <v>0</v>
      </c>
    </row>
    <row r="343" spans="1:29" ht="28.7" customHeight="1" x14ac:dyDescent="0.25">
      <c r="A343" s="4" t="s">
        <v>17</v>
      </c>
      <c r="B343" s="7" t="s">
        <v>69</v>
      </c>
      <c r="C343" s="2" t="s">
        <v>1441</v>
      </c>
      <c r="D343" s="7" t="s">
        <v>926</v>
      </c>
      <c r="E343" s="4" t="s">
        <v>779</v>
      </c>
      <c r="F343" s="2">
        <v>82</v>
      </c>
      <c r="G343" s="2" t="s">
        <v>1399</v>
      </c>
      <c r="H343" s="2" t="s">
        <v>1400</v>
      </c>
      <c r="I343" s="4" t="s">
        <v>60</v>
      </c>
      <c r="J343" s="112">
        <f>IF($H343&lt;&gt;"Y",0,ROUND(MIN(Dashboard!$R$24,IF(IFERROR(VLOOKUP($B343,Dashboard!$Q$28:$S$60,2,FALSE),0)&gt;0,IFERROR(VLOOKUP($B343,Dashboard!$Q$28:$S$60,2,FALSE),0),$Z343*IF($U343&lt;&gt;"",ROUND((Dashboard!$R$4/$U343)*VLOOKUP($I343,Dashboard!$Q$9:$R$13,2,FALSE)*IF(ISNUMBER(SEARCH("Duals",$B343)),2,IF(ISNUMBER(SEARCH("Triples",$B343)),3,IF(ISNUMBER(SEARCH("Quads",$B343)),4,1))),2),ROUND(VLOOKUP($I343,Dashboard!$Q$15:$R$20,2,FALSE)*IF($E343="Red",Dashboard!$R$6,IF($E343="Gold",Dashboard!$R$7,Dashboard!$R$5))*IF(ISNUMBER(SEARCH("Duals",$B343)),2,IF(ISNUMBER(SEARCH("Triples",$B343)),3,IF(ISNUMBER(SEARCH("Quads",$B343)),4,1))),2))*IF(IFERROR(VLOOKUP($B343,Dashboard!$Q$28:$S$60,3,FALSE),0)&gt;0,VLOOKUP($B343,Dashboard!$Q$28:$S$60,3,FALSE),1))),0))</f>
        <v>12</v>
      </c>
      <c r="K343" s="2" t="str">
        <f>IF('Base S1'!G43="","",'Base S1'!G43)</f>
        <v>C 16/82</v>
      </c>
      <c r="L343" s="2">
        <f t="shared" si="65"/>
        <v>1</v>
      </c>
      <c r="M343" s="2">
        <f t="shared" si="66"/>
        <v>0</v>
      </c>
      <c r="N343" s="2">
        <f t="shared" si="67"/>
        <v>1</v>
      </c>
      <c r="O343" s="2">
        <f t="shared" si="68"/>
        <v>0</v>
      </c>
      <c r="P343" s="112">
        <f t="shared" si="69"/>
        <v>12</v>
      </c>
      <c r="Q343" s="112">
        <f t="shared" si="70"/>
        <v>0</v>
      </c>
      <c r="R343" s="53"/>
      <c r="S343" s="53" t="str">
        <f t="shared" si="71"/>
        <v>Base S1|Floor 82 Parallel - Season 1|42|Floor 82</v>
      </c>
      <c r="T343" s="57" t="str">
        <f>IF($S343="","",IFERROR(VLOOKUP($S343,'Pop Estimates (Non-#d)'!$N$2:$O$500,2,FALSE),""))</f>
        <v/>
      </c>
      <c r="U343" s="57">
        <f t="shared" si="72"/>
        <v>82</v>
      </c>
      <c r="V343" s="53" t="str">
        <f t="shared" si="73"/>
        <v/>
      </c>
      <c r="W343" s="53" t="str">
        <f t="shared" si="74"/>
        <v/>
      </c>
      <c r="X343" s="53" t="str">
        <f t="shared" si="75"/>
        <v/>
      </c>
      <c r="Y343" s="57" t="str">
        <f>IF($X343="","",IFERROR(VLOOKUP($X343,'Char Popularity'!$A$2:$C$500,2,FALSE),""))</f>
        <v/>
      </c>
      <c r="Z343" s="56">
        <f>IF($X343="",1,IFERROR(VLOOKUP($X343,'Char Popularity'!$A$2:$C$500,3,FALSE),1))</f>
        <v>1</v>
      </c>
      <c r="AA343" s="62">
        <f>IF($H343&lt;&gt;"Y",0,(IF($F343&lt;&gt;"",ROUND(Dashboard!$R$4/$F343,1),IF(AND($I343="Base",$E343="Base"),Dashboard!$R$5,IF(AND($I343="Base",$E343="Red"),Dashboard!$R$6,IF(AND($I343="Base",$E343="Gold"),Dashboard!$R$7,VLOOKUP($I343,Dashboard!$Q$16:$R$21,2,FALSE)))))*VLOOKUP($I343,Dashboard!$Q$9:$R$13,2,FALSE)*IF(AND($I343="Auto",$F343="",OR($B343="Autographs Duals",$B343="Autographs Triples",$B343="Autographs Quads",$B343="Autographs Quads (Inscribed)")),IF($B343="Autographs Duals",2,IF($B343="Autographs Triples",3,4)),1)))</f>
        <v>12.2</v>
      </c>
      <c r="AB343" s="62">
        <f t="shared" si="76"/>
        <v>12.2</v>
      </c>
      <c r="AC343" s="62">
        <f t="shared" si="77"/>
        <v>0</v>
      </c>
    </row>
    <row r="344" spans="1:29" ht="28.7" customHeight="1" x14ac:dyDescent="0.25">
      <c r="A344" s="4" t="s">
        <v>17</v>
      </c>
      <c r="B344" s="7" t="s">
        <v>69</v>
      </c>
      <c r="C344" s="2" t="s">
        <v>1442</v>
      </c>
      <c r="D344" s="7" t="s">
        <v>928</v>
      </c>
      <c r="E344" s="4" t="s">
        <v>779</v>
      </c>
      <c r="F344" s="2">
        <v>82</v>
      </c>
      <c r="G344" s="2" t="s">
        <v>1399</v>
      </c>
      <c r="H344" s="2" t="s">
        <v>1400</v>
      </c>
      <c r="I344" s="4" t="s">
        <v>60</v>
      </c>
      <c r="J344" s="112">
        <f>IF($H344&lt;&gt;"Y",0,ROUND(MIN(Dashboard!$R$24,IF(IFERROR(VLOOKUP($B344,Dashboard!$Q$28:$S$60,2,FALSE),0)&gt;0,IFERROR(VLOOKUP($B344,Dashboard!$Q$28:$S$60,2,FALSE),0),$Z344*IF($U344&lt;&gt;"",ROUND((Dashboard!$R$4/$U344)*VLOOKUP($I344,Dashboard!$Q$9:$R$13,2,FALSE)*IF(ISNUMBER(SEARCH("Duals",$B344)),2,IF(ISNUMBER(SEARCH("Triples",$B344)),3,IF(ISNUMBER(SEARCH("Quads",$B344)),4,1))),2),ROUND(VLOOKUP($I344,Dashboard!$Q$15:$R$20,2,FALSE)*IF($E344="Red",Dashboard!$R$6,IF($E344="Gold",Dashboard!$R$7,Dashboard!$R$5))*IF(ISNUMBER(SEARCH("Duals",$B344)),2,IF(ISNUMBER(SEARCH("Triples",$B344)),3,IF(ISNUMBER(SEARCH("Quads",$B344)),4,1))),2))*IF(IFERROR(VLOOKUP($B344,Dashboard!$Q$28:$S$60,3,FALSE),0)&gt;0,VLOOKUP($B344,Dashboard!$Q$28:$S$60,3,FALSE),1))),0))</f>
        <v>12</v>
      </c>
      <c r="K344" s="2" t="str">
        <f>IF('Base S1'!G44="","",'Base S1'!G44)</f>
        <v>C 66/82</v>
      </c>
      <c r="L344" s="2">
        <f t="shared" si="65"/>
        <v>1</v>
      </c>
      <c r="M344" s="2">
        <f t="shared" si="66"/>
        <v>0</v>
      </c>
      <c r="N344" s="2">
        <f t="shared" si="67"/>
        <v>1</v>
      </c>
      <c r="O344" s="2">
        <f t="shared" si="68"/>
        <v>0</v>
      </c>
      <c r="P344" s="112">
        <f t="shared" si="69"/>
        <v>12</v>
      </c>
      <c r="Q344" s="112">
        <f t="shared" si="70"/>
        <v>0</v>
      </c>
      <c r="R344" s="53"/>
      <c r="S344" s="53" t="str">
        <f t="shared" si="71"/>
        <v>Base S1|Floor 82 Parallel - Season 1|43|Floor 82</v>
      </c>
      <c r="T344" s="57" t="str">
        <f>IF($S344="","",IFERROR(VLOOKUP($S344,'Pop Estimates (Non-#d)'!$N$2:$O$500,2,FALSE),""))</f>
        <v/>
      </c>
      <c r="U344" s="57">
        <f t="shared" si="72"/>
        <v>82</v>
      </c>
      <c r="V344" s="53" t="str">
        <f t="shared" si="73"/>
        <v/>
      </c>
      <c r="W344" s="53" t="str">
        <f t="shared" si="74"/>
        <v/>
      </c>
      <c r="X344" s="53" t="str">
        <f t="shared" si="75"/>
        <v/>
      </c>
      <c r="Y344" s="57" t="str">
        <f>IF($X344="","",IFERROR(VLOOKUP($X344,'Char Popularity'!$A$2:$C$500,2,FALSE),""))</f>
        <v/>
      </c>
      <c r="Z344" s="56">
        <f>IF($X344="",1,IFERROR(VLOOKUP($X344,'Char Popularity'!$A$2:$C$500,3,FALSE),1))</f>
        <v>1</v>
      </c>
      <c r="AA344" s="62">
        <f>IF($H344&lt;&gt;"Y",0,(IF($F344&lt;&gt;"",ROUND(Dashboard!$R$4/$F344,1),IF(AND($I344="Base",$E344="Base"),Dashboard!$R$5,IF(AND($I344="Base",$E344="Red"),Dashboard!$R$6,IF(AND($I344="Base",$E344="Gold"),Dashboard!$R$7,VLOOKUP($I344,Dashboard!$Q$16:$R$21,2,FALSE)))))*VLOOKUP($I344,Dashboard!$Q$9:$R$13,2,FALSE)*IF(AND($I344="Auto",$F344="",OR($B344="Autographs Duals",$B344="Autographs Triples",$B344="Autographs Quads",$B344="Autographs Quads (Inscribed)")),IF($B344="Autographs Duals",2,IF($B344="Autographs Triples",3,4)),1)))</f>
        <v>12.2</v>
      </c>
      <c r="AB344" s="62">
        <f t="shared" si="76"/>
        <v>12.2</v>
      </c>
      <c r="AC344" s="62">
        <f t="shared" si="77"/>
        <v>0</v>
      </c>
    </row>
    <row r="345" spans="1:29" ht="28.7" customHeight="1" x14ac:dyDescent="0.25">
      <c r="A345" s="4" t="s">
        <v>17</v>
      </c>
      <c r="B345" s="7" t="s">
        <v>69</v>
      </c>
      <c r="C345" s="2" t="s">
        <v>1443</v>
      </c>
      <c r="D345" s="7" t="s">
        <v>930</v>
      </c>
      <c r="E345" s="4" t="s">
        <v>779</v>
      </c>
      <c r="F345" s="2">
        <v>82</v>
      </c>
      <c r="G345" s="2" t="s">
        <v>1399</v>
      </c>
      <c r="H345" s="2" t="s">
        <v>1400</v>
      </c>
      <c r="I345" s="4" t="s">
        <v>60</v>
      </c>
      <c r="J345" s="112">
        <f>IF($H345&lt;&gt;"Y",0,ROUND(MIN(Dashboard!$R$24,IF(IFERROR(VLOOKUP($B345,Dashboard!$Q$28:$S$60,2,FALSE),0)&gt;0,IFERROR(VLOOKUP($B345,Dashboard!$Q$28:$S$60,2,FALSE),0),$Z345*IF($U345&lt;&gt;"",ROUND((Dashboard!$R$4/$U345)*VLOOKUP($I345,Dashboard!$Q$9:$R$13,2,FALSE)*IF(ISNUMBER(SEARCH("Duals",$B345)),2,IF(ISNUMBER(SEARCH("Triples",$B345)),3,IF(ISNUMBER(SEARCH("Quads",$B345)),4,1))),2),ROUND(VLOOKUP($I345,Dashboard!$Q$15:$R$20,2,FALSE)*IF($E345="Red",Dashboard!$R$6,IF($E345="Gold",Dashboard!$R$7,Dashboard!$R$5))*IF(ISNUMBER(SEARCH("Duals",$B345)),2,IF(ISNUMBER(SEARCH("Triples",$B345)),3,IF(ISNUMBER(SEARCH("Quads",$B345)),4,1))),2))*IF(IFERROR(VLOOKUP($B345,Dashboard!$Q$28:$S$60,3,FALSE),0)&gt;0,VLOOKUP($B345,Dashboard!$Q$28:$S$60,3,FALSE),1))),0))</f>
        <v>12</v>
      </c>
      <c r="K345" s="2" t="str">
        <f>IF('Base S1'!G45="","",'Base S1'!G45)</f>
        <v>C '07/82</v>
      </c>
      <c r="L345" s="2">
        <f t="shared" si="65"/>
        <v>1</v>
      </c>
      <c r="M345" s="2">
        <f t="shared" si="66"/>
        <v>0</v>
      </c>
      <c r="N345" s="2">
        <f t="shared" si="67"/>
        <v>1</v>
      </c>
      <c r="O345" s="2">
        <f t="shared" si="68"/>
        <v>0</v>
      </c>
      <c r="P345" s="112">
        <f t="shared" si="69"/>
        <v>12</v>
      </c>
      <c r="Q345" s="112">
        <f t="shared" si="70"/>
        <v>0</v>
      </c>
      <c r="R345" s="53"/>
      <c r="S345" s="53" t="str">
        <f t="shared" si="71"/>
        <v>Base S1|Floor 82 Parallel - Season 1|44|Floor 82</v>
      </c>
      <c r="T345" s="57" t="str">
        <f>IF($S345="","",IFERROR(VLOOKUP($S345,'Pop Estimates (Non-#d)'!$N$2:$O$500,2,FALSE),""))</f>
        <v/>
      </c>
      <c r="U345" s="57">
        <f t="shared" si="72"/>
        <v>82</v>
      </c>
      <c r="V345" s="53" t="str">
        <f t="shared" si="73"/>
        <v/>
      </c>
      <c r="W345" s="53" t="str">
        <f t="shared" si="74"/>
        <v/>
      </c>
      <c r="X345" s="53" t="str">
        <f t="shared" si="75"/>
        <v/>
      </c>
      <c r="Y345" s="57" t="str">
        <f>IF($X345="","",IFERROR(VLOOKUP($X345,'Char Popularity'!$A$2:$C$500,2,FALSE),""))</f>
        <v/>
      </c>
      <c r="Z345" s="56">
        <f>IF($X345="",1,IFERROR(VLOOKUP($X345,'Char Popularity'!$A$2:$C$500,3,FALSE),1))</f>
        <v>1</v>
      </c>
      <c r="AA345" s="62">
        <f>IF($H345&lt;&gt;"Y",0,(IF($F345&lt;&gt;"",ROUND(Dashboard!$R$4/$F345,1),IF(AND($I345="Base",$E345="Base"),Dashboard!$R$5,IF(AND($I345="Base",$E345="Red"),Dashboard!$R$6,IF(AND($I345="Base",$E345="Gold"),Dashboard!$R$7,VLOOKUP($I345,Dashboard!$Q$16:$R$21,2,FALSE)))))*VLOOKUP($I345,Dashboard!$Q$9:$R$13,2,FALSE)*IF(AND($I345="Auto",$F345="",OR($B345="Autographs Duals",$B345="Autographs Triples",$B345="Autographs Quads",$B345="Autographs Quads (Inscribed)")),IF($B345="Autographs Duals",2,IF($B345="Autographs Triples",3,4)),1)))</f>
        <v>12.2</v>
      </c>
      <c r="AB345" s="62">
        <f t="shared" si="76"/>
        <v>12.2</v>
      </c>
      <c r="AC345" s="62">
        <f t="shared" si="77"/>
        <v>0</v>
      </c>
    </row>
    <row r="346" spans="1:29" ht="28.7" customHeight="1" x14ac:dyDescent="0.25">
      <c r="A346" s="4" t="s">
        <v>17</v>
      </c>
      <c r="B346" s="7" t="s">
        <v>69</v>
      </c>
      <c r="C346" s="2" t="s">
        <v>1444</v>
      </c>
      <c r="D346" s="7" t="s">
        <v>932</v>
      </c>
      <c r="E346" s="4" t="s">
        <v>779</v>
      </c>
      <c r="F346" s="2">
        <v>82</v>
      </c>
      <c r="G346" s="2" t="s">
        <v>1399</v>
      </c>
      <c r="H346" s="2" t="s">
        <v>1400</v>
      </c>
      <c r="I346" s="4" t="s">
        <v>60</v>
      </c>
      <c r="J346" s="112">
        <f>IF($H346&lt;&gt;"Y",0,ROUND(MIN(Dashboard!$R$24,IF(IFERROR(VLOOKUP($B346,Dashboard!$Q$28:$S$60,2,FALSE),0)&gt;0,IFERROR(VLOOKUP($B346,Dashboard!$Q$28:$S$60,2,FALSE),0),$Z346*IF($U346&lt;&gt;"",ROUND((Dashboard!$R$4/$U346)*VLOOKUP($I346,Dashboard!$Q$9:$R$13,2,FALSE)*IF(ISNUMBER(SEARCH("Duals",$B346)),2,IF(ISNUMBER(SEARCH("Triples",$B346)),3,IF(ISNUMBER(SEARCH("Quads",$B346)),4,1))),2),ROUND(VLOOKUP($I346,Dashboard!$Q$15:$R$20,2,FALSE)*IF($E346="Red",Dashboard!$R$6,IF($E346="Gold",Dashboard!$R$7,Dashboard!$R$5))*IF(ISNUMBER(SEARCH("Duals",$B346)),2,IF(ISNUMBER(SEARCH("Triples",$B346)),3,IF(ISNUMBER(SEARCH("Quads",$B346)),4,1))),2))*IF(IFERROR(VLOOKUP($B346,Dashboard!$Q$28:$S$60,3,FALSE),0)&gt;0,VLOOKUP($B346,Dashboard!$Q$28:$S$60,3,FALSE),1))),0))</f>
        <v>12</v>
      </c>
      <c r="K346" s="2" t="str">
        <f>IF('Base S1'!G46="","",'Base S1'!G46)</f>
        <v>C 09/82</v>
      </c>
      <c r="L346" s="2">
        <f t="shared" si="65"/>
        <v>1</v>
      </c>
      <c r="M346" s="2">
        <f t="shared" si="66"/>
        <v>0</v>
      </c>
      <c r="N346" s="2">
        <f t="shared" si="67"/>
        <v>1</v>
      </c>
      <c r="O346" s="2">
        <f t="shared" si="68"/>
        <v>0</v>
      </c>
      <c r="P346" s="112">
        <f t="shared" si="69"/>
        <v>12</v>
      </c>
      <c r="Q346" s="112">
        <f t="shared" si="70"/>
        <v>0</v>
      </c>
      <c r="R346" s="53"/>
      <c r="S346" s="53" t="str">
        <f t="shared" si="71"/>
        <v>Base S1|Floor 82 Parallel - Season 1|45|Floor 82</v>
      </c>
      <c r="T346" s="57" t="str">
        <f>IF($S346="","",IFERROR(VLOOKUP($S346,'Pop Estimates (Non-#d)'!$N$2:$O$500,2,FALSE),""))</f>
        <v/>
      </c>
      <c r="U346" s="57">
        <f t="shared" si="72"/>
        <v>82</v>
      </c>
      <c r="V346" s="53" t="str">
        <f t="shared" si="73"/>
        <v/>
      </c>
      <c r="W346" s="53" t="str">
        <f t="shared" si="74"/>
        <v/>
      </c>
      <c r="X346" s="53" t="str">
        <f t="shared" si="75"/>
        <v/>
      </c>
      <c r="Y346" s="57" t="str">
        <f>IF($X346="","",IFERROR(VLOOKUP($X346,'Char Popularity'!$A$2:$C$500,2,FALSE),""))</f>
        <v/>
      </c>
      <c r="Z346" s="56">
        <f>IF($X346="",1,IFERROR(VLOOKUP($X346,'Char Popularity'!$A$2:$C$500,3,FALSE),1))</f>
        <v>1</v>
      </c>
      <c r="AA346" s="62">
        <f>IF($H346&lt;&gt;"Y",0,(IF($F346&lt;&gt;"",ROUND(Dashboard!$R$4/$F346,1),IF(AND($I346="Base",$E346="Base"),Dashboard!$R$5,IF(AND($I346="Base",$E346="Red"),Dashboard!$R$6,IF(AND($I346="Base",$E346="Gold"),Dashboard!$R$7,VLOOKUP($I346,Dashboard!$Q$16:$R$21,2,FALSE)))))*VLOOKUP($I346,Dashboard!$Q$9:$R$13,2,FALSE)*IF(AND($I346="Auto",$F346="",OR($B346="Autographs Duals",$B346="Autographs Triples",$B346="Autographs Quads",$B346="Autographs Quads (Inscribed)")),IF($B346="Autographs Duals",2,IF($B346="Autographs Triples",3,4)),1)))</f>
        <v>12.2</v>
      </c>
      <c r="AB346" s="62">
        <f t="shared" si="76"/>
        <v>12.2</v>
      </c>
      <c r="AC346" s="62">
        <f t="shared" si="77"/>
        <v>0</v>
      </c>
    </row>
    <row r="347" spans="1:29" ht="28.7" customHeight="1" x14ac:dyDescent="0.25">
      <c r="A347" s="4" t="s">
        <v>17</v>
      </c>
      <c r="B347" s="7" t="s">
        <v>69</v>
      </c>
      <c r="C347" s="2" t="s">
        <v>1445</v>
      </c>
      <c r="D347" s="7" t="s">
        <v>934</v>
      </c>
      <c r="E347" s="4" t="s">
        <v>779</v>
      </c>
      <c r="F347" s="2">
        <v>82</v>
      </c>
      <c r="G347" s="2" t="s">
        <v>1399</v>
      </c>
      <c r="H347" s="2" t="s">
        <v>1400</v>
      </c>
      <c r="I347" s="4" t="s">
        <v>60</v>
      </c>
      <c r="J347" s="112">
        <f>IF($H347&lt;&gt;"Y",0,ROUND(MIN(Dashboard!$R$24,IF(IFERROR(VLOOKUP($B347,Dashboard!$Q$28:$S$60,2,FALSE),0)&gt;0,IFERROR(VLOOKUP($B347,Dashboard!$Q$28:$S$60,2,FALSE),0),$Z347*IF($U347&lt;&gt;"",ROUND((Dashboard!$R$4/$U347)*VLOOKUP($I347,Dashboard!$Q$9:$R$13,2,FALSE)*IF(ISNUMBER(SEARCH("Duals",$B347)),2,IF(ISNUMBER(SEARCH("Triples",$B347)),3,IF(ISNUMBER(SEARCH("Quads",$B347)),4,1))),2),ROUND(VLOOKUP($I347,Dashboard!$Q$15:$R$20,2,FALSE)*IF($E347="Red",Dashboard!$R$6,IF($E347="Gold",Dashboard!$R$7,Dashboard!$R$5))*IF(ISNUMBER(SEARCH("Duals",$B347)),2,IF(ISNUMBER(SEARCH("Triples",$B347)),3,IF(ISNUMBER(SEARCH("Quads",$B347)),4,1))),2))*IF(IFERROR(VLOOKUP($B347,Dashboard!$Q$28:$S$60,3,FALSE),0)&gt;0,VLOOKUP($B347,Dashboard!$Q$28:$S$60,3,FALSE),1))),0))</f>
        <v>12</v>
      </c>
      <c r="K347" s="2" t="str">
        <f>IF('Base S1'!G47="","",'Base S1'!G47)</f>
        <v>V 53/82</v>
      </c>
      <c r="L347" s="2">
        <f t="shared" si="65"/>
        <v>1</v>
      </c>
      <c r="M347" s="2">
        <f t="shared" si="66"/>
        <v>0</v>
      </c>
      <c r="N347" s="2">
        <f t="shared" si="67"/>
        <v>1</v>
      </c>
      <c r="O347" s="2">
        <f t="shared" si="68"/>
        <v>0</v>
      </c>
      <c r="P347" s="112">
        <f t="shared" si="69"/>
        <v>12</v>
      </c>
      <c r="Q347" s="112">
        <f t="shared" si="70"/>
        <v>0</v>
      </c>
      <c r="R347" s="53"/>
      <c r="S347" s="53" t="str">
        <f t="shared" si="71"/>
        <v>Base S1|Floor 82 Parallel - Season 1|46|Floor 82</v>
      </c>
      <c r="T347" s="57" t="str">
        <f>IF($S347="","",IFERROR(VLOOKUP($S347,'Pop Estimates (Non-#d)'!$N$2:$O$500,2,FALSE),""))</f>
        <v/>
      </c>
      <c r="U347" s="57">
        <f t="shared" si="72"/>
        <v>82</v>
      </c>
      <c r="V347" s="53" t="str">
        <f t="shared" si="73"/>
        <v/>
      </c>
      <c r="W347" s="53" t="str">
        <f t="shared" si="74"/>
        <v/>
      </c>
      <c r="X347" s="53" t="str">
        <f t="shared" si="75"/>
        <v/>
      </c>
      <c r="Y347" s="57" t="str">
        <f>IF($X347="","",IFERROR(VLOOKUP($X347,'Char Popularity'!$A$2:$C$500,2,FALSE),""))</f>
        <v/>
      </c>
      <c r="Z347" s="56">
        <f>IF($X347="",1,IFERROR(VLOOKUP($X347,'Char Popularity'!$A$2:$C$500,3,FALSE),1))</f>
        <v>1</v>
      </c>
      <c r="AA347" s="62">
        <f>IF($H347&lt;&gt;"Y",0,(IF($F347&lt;&gt;"",ROUND(Dashboard!$R$4/$F347,1),IF(AND($I347="Base",$E347="Base"),Dashboard!$R$5,IF(AND($I347="Base",$E347="Red"),Dashboard!$R$6,IF(AND($I347="Base",$E347="Gold"),Dashboard!$R$7,VLOOKUP($I347,Dashboard!$Q$16:$R$21,2,FALSE)))))*VLOOKUP($I347,Dashboard!$Q$9:$R$13,2,FALSE)*IF(AND($I347="Auto",$F347="",OR($B347="Autographs Duals",$B347="Autographs Triples",$B347="Autographs Quads",$B347="Autographs Quads (Inscribed)")),IF($B347="Autographs Duals",2,IF($B347="Autographs Triples",3,4)),1)))</f>
        <v>12.2</v>
      </c>
      <c r="AB347" s="62">
        <f t="shared" si="76"/>
        <v>12.2</v>
      </c>
      <c r="AC347" s="62">
        <f t="shared" si="77"/>
        <v>0</v>
      </c>
    </row>
    <row r="348" spans="1:29" ht="28.7" customHeight="1" x14ac:dyDescent="0.25">
      <c r="A348" s="4" t="s">
        <v>17</v>
      </c>
      <c r="B348" s="7" t="s">
        <v>69</v>
      </c>
      <c r="C348" s="2" t="s">
        <v>1446</v>
      </c>
      <c r="D348" s="7" t="s">
        <v>562</v>
      </c>
      <c r="E348" s="4" t="s">
        <v>779</v>
      </c>
      <c r="F348" s="2">
        <v>82</v>
      </c>
      <c r="G348" s="2" t="s">
        <v>1399</v>
      </c>
      <c r="H348" s="2" t="s">
        <v>1400</v>
      </c>
      <c r="I348" s="4" t="s">
        <v>60</v>
      </c>
      <c r="J348" s="112">
        <f>IF($H348&lt;&gt;"Y",0,ROUND(MIN(Dashboard!$R$24,IF(IFERROR(VLOOKUP($B348,Dashboard!$Q$28:$S$60,2,FALSE),0)&gt;0,IFERROR(VLOOKUP($B348,Dashboard!$Q$28:$S$60,2,FALSE),0),$Z348*IF($U348&lt;&gt;"",ROUND((Dashboard!$R$4/$U348)*VLOOKUP($I348,Dashboard!$Q$9:$R$13,2,FALSE)*IF(ISNUMBER(SEARCH("Duals",$B348)),2,IF(ISNUMBER(SEARCH("Triples",$B348)),3,IF(ISNUMBER(SEARCH("Quads",$B348)),4,1))),2),ROUND(VLOOKUP($I348,Dashboard!$Q$15:$R$20,2,FALSE)*IF($E348="Red",Dashboard!$R$6,IF($E348="Gold",Dashboard!$R$7,Dashboard!$R$5))*IF(ISNUMBER(SEARCH("Duals",$B348)),2,IF(ISNUMBER(SEARCH("Triples",$B348)),3,IF(ISNUMBER(SEARCH("Quads",$B348)),4,1))),2))*IF(IFERROR(VLOOKUP($B348,Dashboard!$Q$28:$S$60,3,FALSE),0)&gt;0,VLOOKUP($B348,Dashboard!$Q$28:$S$60,3,FALSE),1))),0))</f>
        <v>12</v>
      </c>
      <c r="K348" s="2" t="str">
        <f>IF('Base S1'!G48="","",'Base S1'!G48)</f>
        <v>C '01/82</v>
      </c>
      <c r="L348" s="2">
        <f t="shared" si="65"/>
        <v>1</v>
      </c>
      <c r="M348" s="2">
        <f t="shared" si="66"/>
        <v>0</v>
      </c>
      <c r="N348" s="2">
        <f t="shared" si="67"/>
        <v>1</v>
      </c>
      <c r="O348" s="2">
        <f t="shared" si="68"/>
        <v>0</v>
      </c>
      <c r="P348" s="112">
        <f t="shared" si="69"/>
        <v>12</v>
      </c>
      <c r="Q348" s="112">
        <f t="shared" si="70"/>
        <v>0</v>
      </c>
      <c r="R348" s="53"/>
      <c r="S348" s="53" t="str">
        <f t="shared" si="71"/>
        <v>Base S1|Floor 82 Parallel - Season 1|47|Floor 82</v>
      </c>
      <c r="T348" s="57" t="str">
        <f>IF($S348="","",IFERROR(VLOOKUP($S348,'Pop Estimates (Non-#d)'!$N$2:$O$500,2,FALSE),""))</f>
        <v/>
      </c>
      <c r="U348" s="57">
        <f t="shared" si="72"/>
        <v>82</v>
      </c>
      <c r="V348" s="53" t="str">
        <f t="shared" si="73"/>
        <v/>
      </c>
      <c r="W348" s="53" t="str">
        <f t="shared" si="74"/>
        <v/>
      </c>
      <c r="X348" s="53" t="str">
        <f t="shared" si="75"/>
        <v/>
      </c>
      <c r="Y348" s="57" t="str">
        <f>IF($X348="","",IFERROR(VLOOKUP($X348,'Char Popularity'!$A$2:$C$500,2,FALSE),""))</f>
        <v/>
      </c>
      <c r="Z348" s="56">
        <f>IF($X348="",1,IFERROR(VLOOKUP($X348,'Char Popularity'!$A$2:$C$500,3,FALSE),1))</f>
        <v>1</v>
      </c>
      <c r="AA348" s="62">
        <f>IF($H348&lt;&gt;"Y",0,(IF($F348&lt;&gt;"",ROUND(Dashboard!$R$4/$F348,1),IF(AND($I348="Base",$E348="Base"),Dashboard!$R$5,IF(AND($I348="Base",$E348="Red"),Dashboard!$R$6,IF(AND($I348="Base",$E348="Gold"),Dashboard!$R$7,VLOOKUP($I348,Dashboard!$Q$16:$R$21,2,FALSE)))))*VLOOKUP($I348,Dashboard!$Q$9:$R$13,2,FALSE)*IF(AND($I348="Auto",$F348="",OR($B348="Autographs Duals",$B348="Autographs Triples",$B348="Autographs Quads",$B348="Autographs Quads (Inscribed)")),IF($B348="Autographs Duals",2,IF($B348="Autographs Triples",3,4)),1)))</f>
        <v>12.2</v>
      </c>
      <c r="AB348" s="62">
        <f t="shared" si="76"/>
        <v>12.2</v>
      </c>
      <c r="AC348" s="62">
        <f t="shared" si="77"/>
        <v>0</v>
      </c>
    </row>
    <row r="349" spans="1:29" ht="28.7" customHeight="1" x14ac:dyDescent="0.25">
      <c r="A349" s="4" t="s">
        <v>17</v>
      </c>
      <c r="B349" s="7" t="s">
        <v>69</v>
      </c>
      <c r="C349" s="2" t="s">
        <v>1447</v>
      </c>
      <c r="D349" s="7" t="s">
        <v>539</v>
      </c>
      <c r="E349" s="4" t="s">
        <v>779</v>
      </c>
      <c r="F349" s="2">
        <v>82</v>
      </c>
      <c r="G349" s="2" t="s">
        <v>1399</v>
      </c>
      <c r="H349" s="2" t="s">
        <v>1400</v>
      </c>
      <c r="I349" s="4" t="s">
        <v>60</v>
      </c>
      <c r="J349" s="112">
        <f>IF($H349&lt;&gt;"Y",0,ROUND(MIN(Dashboard!$R$24,IF(IFERROR(VLOOKUP($B349,Dashboard!$Q$28:$S$60,2,FALSE),0)&gt;0,IFERROR(VLOOKUP($B349,Dashboard!$Q$28:$S$60,2,FALSE),0),$Z349*IF($U349&lt;&gt;"",ROUND((Dashboard!$R$4/$U349)*VLOOKUP($I349,Dashboard!$Q$9:$R$13,2,FALSE)*IF(ISNUMBER(SEARCH("Duals",$B349)),2,IF(ISNUMBER(SEARCH("Triples",$B349)),3,IF(ISNUMBER(SEARCH("Quads",$B349)),4,1))),2),ROUND(VLOOKUP($I349,Dashboard!$Q$15:$R$20,2,FALSE)*IF($E349="Red",Dashboard!$R$6,IF($E349="Gold",Dashboard!$R$7,Dashboard!$R$5))*IF(ISNUMBER(SEARCH("Duals",$B349)),2,IF(ISNUMBER(SEARCH("Triples",$B349)),3,IF(ISNUMBER(SEARCH("Quads",$B349)),4,1))),2))*IF(IFERROR(VLOOKUP($B349,Dashboard!$Q$28:$S$60,3,FALSE),0)&gt;0,VLOOKUP($B349,Dashboard!$Q$28:$S$60,3,FALSE),1))),0))</f>
        <v>12</v>
      </c>
      <c r="K349" s="2" t="str">
        <f>IF('Base S1'!G49="","",'Base S1'!G49)</f>
        <v>V 75/82</v>
      </c>
      <c r="L349" s="2">
        <f t="shared" si="65"/>
        <v>1</v>
      </c>
      <c r="M349" s="2">
        <f t="shared" si="66"/>
        <v>0</v>
      </c>
      <c r="N349" s="2">
        <f t="shared" si="67"/>
        <v>1</v>
      </c>
      <c r="O349" s="2">
        <f t="shared" si="68"/>
        <v>0</v>
      </c>
      <c r="P349" s="112">
        <f t="shared" si="69"/>
        <v>12</v>
      </c>
      <c r="Q349" s="112">
        <f t="shared" si="70"/>
        <v>0</v>
      </c>
      <c r="R349" s="53"/>
      <c r="S349" s="53" t="str">
        <f t="shared" si="71"/>
        <v>Base S1|Floor 82 Parallel - Season 1|48|Floor 82</v>
      </c>
      <c r="T349" s="57" t="str">
        <f>IF($S349="","",IFERROR(VLOOKUP($S349,'Pop Estimates (Non-#d)'!$N$2:$O$500,2,FALSE),""))</f>
        <v/>
      </c>
      <c r="U349" s="57">
        <f t="shared" si="72"/>
        <v>82</v>
      </c>
      <c r="V349" s="53" t="str">
        <f t="shared" si="73"/>
        <v/>
      </c>
      <c r="W349" s="53" t="str">
        <f t="shared" si="74"/>
        <v/>
      </c>
      <c r="X349" s="53" t="str">
        <f t="shared" si="75"/>
        <v/>
      </c>
      <c r="Y349" s="57" t="str">
        <f>IF($X349="","",IFERROR(VLOOKUP($X349,'Char Popularity'!$A$2:$C$500,2,FALSE),""))</f>
        <v/>
      </c>
      <c r="Z349" s="56">
        <f>IF($X349="",1,IFERROR(VLOOKUP($X349,'Char Popularity'!$A$2:$C$500,3,FALSE),1))</f>
        <v>1</v>
      </c>
      <c r="AA349" s="62">
        <f>IF($H349&lt;&gt;"Y",0,(IF($F349&lt;&gt;"",ROUND(Dashboard!$R$4/$F349,1),IF(AND($I349="Base",$E349="Base"),Dashboard!$R$5,IF(AND($I349="Base",$E349="Red"),Dashboard!$R$6,IF(AND($I349="Base",$E349="Gold"),Dashboard!$R$7,VLOOKUP($I349,Dashboard!$Q$16:$R$21,2,FALSE)))))*VLOOKUP($I349,Dashboard!$Q$9:$R$13,2,FALSE)*IF(AND($I349="Auto",$F349="",OR($B349="Autographs Duals",$B349="Autographs Triples",$B349="Autographs Quads",$B349="Autographs Quads (Inscribed)")),IF($B349="Autographs Duals",2,IF($B349="Autographs Triples",3,4)),1)))</f>
        <v>12.2</v>
      </c>
      <c r="AB349" s="62">
        <f t="shared" si="76"/>
        <v>12.2</v>
      </c>
      <c r="AC349" s="62">
        <f t="shared" si="77"/>
        <v>0</v>
      </c>
    </row>
    <row r="350" spans="1:29" ht="28.7" customHeight="1" x14ac:dyDescent="0.25">
      <c r="A350" s="4" t="s">
        <v>17</v>
      </c>
      <c r="B350" s="7" t="s">
        <v>69</v>
      </c>
      <c r="C350" s="2" t="s">
        <v>1448</v>
      </c>
      <c r="D350" s="7" t="s">
        <v>938</v>
      </c>
      <c r="E350" s="4" t="s">
        <v>779</v>
      </c>
      <c r="F350" s="2">
        <v>82</v>
      </c>
      <c r="G350" s="2" t="s">
        <v>1399</v>
      </c>
      <c r="H350" s="2" t="s">
        <v>1400</v>
      </c>
      <c r="I350" s="4" t="s">
        <v>60</v>
      </c>
      <c r="J350" s="112">
        <f>IF($H350&lt;&gt;"Y",0,ROUND(MIN(Dashboard!$R$24,IF(IFERROR(VLOOKUP($B350,Dashboard!$Q$28:$S$60,2,FALSE),0)&gt;0,IFERROR(VLOOKUP($B350,Dashboard!$Q$28:$S$60,2,FALSE),0),$Z350*IF($U350&lt;&gt;"",ROUND((Dashboard!$R$4/$U350)*VLOOKUP($I350,Dashboard!$Q$9:$R$13,2,FALSE)*IF(ISNUMBER(SEARCH("Duals",$B350)),2,IF(ISNUMBER(SEARCH("Triples",$B350)),3,IF(ISNUMBER(SEARCH("Quads",$B350)),4,1))),2),ROUND(VLOOKUP($I350,Dashboard!$Q$15:$R$20,2,FALSE)*IF($E350="Red",Dashboard!$R$6,IF($E350="Gold",Dashboard!$R$7,Dashboard!$R$5))*IF(ISNUMBER(SEARCH("Duals",$B350)),2,IF(ISNUMBER(SEARCH("Triples",$B350)),3,IF(ISNUMBER(SEARCH("Quads",$B350)),4,1))),2))*IF(IFERROR(VLOOKUP($B350,Dashboard!$Q$28:$S$60,3,FALSE),0)&gt;0,VLOOKUP($B350,Dashboard!$Q$28:$S$60,3,FALSE),1))),0))</f>
        <v>12</v>
      </c>
      <c r="K350" s="2" t="str">
        <f>IF('Base S1'!G50="","",'Base S1'!G50)</f>
        <v>C 02/82</v>
      </c>
      <c r="L350" s="2">
        <f t="shared" si="65"/>
        <v>1</v>
      </c>
      <c r="M350" s="2">
        <f t="shared" si="66"/>
        <v>0</v>
      </c>
      <c r="N350" s="2">
        <f t="shared" si="67"/>
        <v>1</v>
      </c>
      <c r="O350" s="2">
        <f t="shared" si="68"/>
        <v>0</v>
      </c>
      <c r="P350" s="112">
        <f t="shared" si="69"/>
        <v>12</v>
      </c>
      <c r="Q350" s="112">
        <f t="shared" si="70"/>
        <v>0</v>
      </c>
      <c r="R350" s="53"/>
      <c r="S350" s="53" t="str">
        <f t="shared" si="71"/>
        <v>Base S1|Floor 82 Parallel - Season 1|49|Floor 82</v>
      </c>
      <c r="T350" s="57" t="str">
        <f>IF($S350="","",IFERROR(VLOOKUP($S350,'Pop Estimates (Non-#d)'!$N$2:$O$500,2,FALSE),""))</f>
        <v/>
      </c>
      <c r="U350" s="57">
        <f t="shared" si="72"/>
        <v>82</v>
      </c>
      <c r="V350" s="53" t="str">
        <f t="shared" si="73"/>
        <v/>
      </c>
      <c r="W350" s="53" t="str">
        <f t="shared" si="74"/>
        <v/>
      </c>
      <c r="X350" s="53" t="str">
        <f t="shared" si="75"/>
        <v/>
      </c>
      <c r="Y350" s="57" t="str">
        <f>IF($X350="","",IFERROR(VLOOKUP($X350,'Char Popularity'!$A$2:$C$500,2,FALSE),""))</f>
        <v/>
      </c>
      <c r="Z350" s="56">
        <f>IF($X350="",1,IFERROR(VLOOKUP($X350,'Char Popularity'!$A$2:$C$500,3,FALSE),1))</f>
        <v>1</v>
      </c>
      <c r="AA350" s="62">
        <f>IF($H350&lt;&gt;"Y",0,(IF($F350&lt;&gt;"",ROUND(Dashboard!$R$4/$F350,1),IF(AND($I350="Base",$E350="Base"),Dashboard!$R$5,IF(AND($I350="Base",$E350="Red"),Dashboard!$R$6,IF(AND($I350="Base",$E350="Gold"),Dashboard!$R$7,VLOOKUP($I350,Dashboard!$Q$16:$R$21,2,FALSE)))))*VLOOKUP($I350,Dashboard!$Q$9:$R$13,2,FALSE)*IF(AND($I350="Auto",$F350="",OR($B350="Autographs Duals",$B350="Autographs Triples",$B350="Autographs Quads",$B350="Autographs Quads (Inscribed)")),IF($B350="Autographs Duals",2,IF($B350="Autographs Triples",3,4)),1)))</f>
        <v>12.2</v>
      </c>
      <c r="AB350" s="62">
        <f t="shared" si="76"/>
        <v>12.2</v>
      </c>
      <c r="AC350" s="62">
        <f t="shared" si="77"/>
        <v>0</v>
      </c>
    </row>
    <row r="351" spans="1:29" ht="28.7" customHeight="1" x14ac:dyDescent="0.25">
      <c r="A351" s="4" t="s">
        <v>17</v>
      </c>
      <c r="B351" s="7" t="s">
        <v>69</v>
      </c>
      <c r="C351" s="2" t="s">
        <v>1449</v>
      </c>
      <c r="D351" s="7" t="s">
        <v>939</v>
      </c>
      <c r="E351" s="4" t="s">
        <v>779</v>
      </c>
      <c r="F351" s="2">
        <v>82</v>
      </c>
      <c r="G351" s="2" t="s">
        <v>1399</v>
      </c>
      <c r="H351" s="2" t="s">
        <v>1400</v>
      </c>
      <c r="I351" s="4" t="s">
        <v>60</v>
      </c>
      <c r="J351" s="112">
        <f>IF($H351&lt;&gt;"Y",0,ROUND(MIN(Dashboard!$R$24,IF(IFERROR(VLOOKUP($B351,Dashboard!$Q$28:$S$60,2,FALSE),0)&gt;0,IFERROR(VLOOKUP($B351,Dashboard!$Q$28:$S$60,2,FALSE),0),$Z351*IF($U351&lt;&gt;"",ROUND((Dashboard!$R$4/$U351)*VLOOKUP($I351,Dashboard!$Q$9:$R$13,2,FALSE)*IF(ISNUMBER(SEARCH("Duals",$B351)),2,IF(ISNUMBER(SEARCH("Triples",$B351)),3,IF(ISNUMBER(SEARCH("Quads",$B351)),4,1))),2),ROUND(VLOOKUP($I351,Dashboard!$Q$15:$R$20,2,FALSE)*IF($E351="Red",Dashboard!$R$6,IF($E351="Gold",Dashboard!$R$7,Dashboard!$R$5))*IF(ISNUMBER(SEARCH("Duals",$B351)),2,IF(ISNUMBER(SEARCH("Triples",$B351)),3,IF(ISNUMBER(SEARCH("Quads",$B351)),4,1))),2))*IF(IFERROR(VLOOKUP($B351,Dashboard!$Q$28:$S$60,3,FALSE),0)&gt;0,VLOOKUP($B351,Dashboard!$Q$28:$S$60,3,FALSE),1))),0))</f>
        <v>12</v>
      </c>
      <c r="K351" s="2" t="str">
        <f>IF('Base S1'!G51="","",'Base S1'!G51)</f>
        <v>V '09/82</v>
      </c>
      <c r="L351" s="2">
        <f t="shared" si="65"/>
        <v>1</v>
      </c>
      <c r="M351" s="2">
        <f t="shared" si="66"/>
        <v>0</v>
      </c>
      <c r="N351" s="2">
        <f t="shared" si="67"/>
        <v>1</v>
      </c>
      <c r="O351" s="2">
        <f t="shared" si="68"/>
        <v>0</v>
      </c>
      <c r="P351" s="112">
        <f t="shared" si="69"/>
        <v>12</v>
      </c>
      <c r="Q351" s="112">
        <f t="shared" si="70"/>
        <v>0</v>
      </c>
      <c r="R351" s="53"/>
      <c r="S351" s="53" t="str">
        <f t="shared" si="71"/>
        <v>Base S1|Floor 82 Parallel - Season 1|50|Floor 82</v>
      </c>
      <c r="T351" s="57" t="str">
        <f>IF($S351="","",IFERROR(VLOOKUP($S351,'Pop Estimates (Non-#d)'!$N$2:$O$500,2,FALSE),""))</f>
        <v/>
      </c>
      <c r="U351" s="57">
        <f t="shared" si="72"/>
        <v>82</v>
      </c>
      <c r="V351" s="53" t="str">
        <f t="shared" si="73"/>
        <v/>
      </c>
      <c r="W351" s="53" t="str">
        <f t="shared" si="74"/>
        <v/>
      </c>
      <c r="X351" s="53" t="str">
        <f t="shared" si="75"/>
        <v/>
      </c>
      <c r="Y351" s="57" t="str">
        <f>IF($X351="","",IFERROR(VLOOKUP($X351,'Char Popularity'!$A$2:$C$500,2,FALSE),""))</f>
        <v/>
      </c>
      <c r="Z351" s="56">
        <f>IF($X351="",1,IFERROR(VLOOKUP($X351,'Char Popularity'!$A$2:$C$500,3,FALSE),1))</f>
        <v>1</v>
      </c>
      <c r="AA351" s="62">
        <f>IF($H351&lt;&gt;"Y",0,(IF($F351&lt;&gt;"",ROUND(Dashboard!$R$4/$F351,1),IF(AND($I351="Base",$E351="Base"),Dashboard!$R$5,IF(AND($I351="Base",$E351="Red"),Dashboard!$R$6,IF(AND($I351="Base",$E351="Gold"),Dashboard!$R$7,VLOOKUP($I351,Dashboard!$Q$16:$R$21,2,FALSE)))))*VLOOKUP($I351,Dashboard!$Q$9:$R$13,2,FALSE)*IF(AND($I351="Auto",$F351="",OR($B351="Autographs Duals",$B351="Autographs Triples",$B351="Autographs Quads",$B351="Autographs Quads (Inscribed)")),IF($B351="Autographs Duals",2,IF($B351="Autographs Triples",3,4)),1)))</f>
        <v>12.2</v>
      </c>
      <c r="AB351" s="62">
        <f t="shared" si="76"/>
        <v>12.2</v>
      </c>
      <c r="AC351" s="62">
        <f t="shared" si="77"/>
        <v>0</v>
      </c>
    </row>
    <row r="352" spans="1:29" ht="28.7" customHeight="1" x14ac:dyDescent="0.25">
      <c r="A352" s="4" t="s">
        <v>17</v>
      </c>
      <c r="B352" s="7" t="s">
        <v>69</v>
      </c>
      <c r="C352" s="2" t="s">
        <v>1450</v>
      </c>
      <c r="D352" s="7" t="s">
        <v>941</v>
      </c>
      <c r="E352" s="4" t="s">
        <v>779</v>
      </c>
      <c r="F352" s="2">
        <v>82</v>
      </c>
      <c r="G352" s="2" t="s">
        <v>1399</v>
      </c>
      <c r="H352" s="2" t="s">
        <v>1400</v>
      </c>
      <c r="I352" s="4" t="s">
        <v>60</v>
      </c>
      <c r="J352" s="112">
        <f>IF($H352&lt;&gt;"Y",0,ROUND(MIN(Dashboard!$R$24,IF(IFERROR(VLOOKUP($B352,Dashboard!$Q$28:$S$60,2,FALSE),0)&gt;0,IFERROR(VLOOKUP($B352,Dashboard!$Q$28:$S$60,2,FALSE),0),$Z352*IF($U352&lt;&gt;"",ROUND((Dashboard!$R$4/$U352)*VLOOKUP($I352,Dashboard!$Q$9:$R$13,2,FALSE)*IF(ISNUMBER(SEARCH("Duals",$B352)),2,IF(ISNUMBER(SEARCH("Triples",$B352)),3,IF(ISNUMBER(SEARCH("Quads",$B352)),4,1))),2),ROUND(VLOOKUP($I352,Dashboard!$Q$15:$R$20,2,FALSE)*IF($E352="Red",Dashboard!$R$6,IF($E352="Gold",Dashboard!$R$7,Dashboard!$R$5))*IF(ISNUMBER(SEARCH("Duals",$B352)),2,IF(ISNUMBER(SEARCH("Triples",$B352)),3,IF(ISNUMBER(SEARCH("Quads",$B352)),4,1))),2))*IF(IFERROR(VLOOKUP($B352,Dashboard!$Q$28:$S$60,3,FALSE),0)&gt;0,VLOOKUP($B352,Dashboard!$Q$28:$S$60,3,FALSE),1))),0))</f>
        <v>12</v>
      </c>
      <c r="K352" s="2" t="str">
        <f>IF('Base S1'!G52="","",'Base S1'!G52)</f>
        <v>C '36/82</v>
      </c>
      <c r="L352" s="2">
        <f t="shared" si="65"/>
        <v>1</v>
      </c>
      <c r="M352" s="2">
        <f t="shared" si="66"/>
        <v>0</v>
      </c>
      <c r="N352" s="2">
        <f t="shared" si="67"/>
        <v>1</v>
      </c>
      <c r="O352" s="2">
        <f t="shared" si="68"/>
        <v>0</v>
      </c>
      <c r="P352" s="112">
        <f t="shared" si="69"/>
        <v>12</v>
      </c>
      <c r="Q352" s="112">
        <f t="shared" si="70"/>
        <v>0</v>
      </c>
      <c r="R352" s="53"/>
      <c r="S352" s="53" t="str">
        <f t="shared" si="71"/>
        <v>Base S1|Floor 82 Parallel - Season 1|51|Floor 82</v>
      </c>
      <c r="T352" s="57" t="str">
        <f>IF($S352="","",IFERROR(VLOOKUP($S352,'Pop Estimates (Non-#d)'!$N$2:$O$500,2,FALSE),""))</f>
        <v/>
      </c>
      <c r="U352" s="57">
        <f t="shared" si="72"/>
        <v>82</v>
      </c>
      <c r="V352" s="53" t="str">
        <f t="shared" si="73"/>
        <v/>
      </c>
      <c r="W352" s="53" t="str">
        <f t="shared" si="74"/>
        <v/>
      </c>
      <c r="X352" s="53" t="str">
        <f t="shared" si="75"/>
        <v/>
      </c>
      <c r="Y352" s="57" t="str">
        <f>IF($X352="","",IFERROR(VLOOKUP($X352,'Char Popularity'!$A$2:$C$500,2,FALSE),""))</f>
        <v/>
      </c>
      <c r="Z352" s="56">
        <f>IF($X352="",1,IFERROR(VLOOKUP($X352,'Char Popularity'!$A$2:$C$500,3,FALSE),1))</f>
        <v>1</v>
      </c>
      <c r="AA352" s="62">
        <f>IF($H352&lt;&gt;"Y",0,(IF($F352&lt;&gt;"",ROUND(Dashboard!$R$4/$F352,1),IF(AND($I352="Base",$E352="Base"),Dashboard!$R$5,IF(AND($I352="Base",$E352="Red"),Dashboard!$R$6,IF(AND($I352="Base",$E352="Gold"),Dashboard!$R$7,VLOOKUP($I352,Dashboard!$Q$16:$R$21,2,FALSE)))))*VLOOKUP($I352,Dashboard!$Q$9:$R$13,2,FALSE)*IF(AND($I352="Auto",$F352="",OR($B352="Autographs Duals",$B352="Autographs Triples",$B352="Autographs Quads",$B352="Autographs Quads (Inscribed)")),IF($B352="Autographs Duals",2,IF($B352="Autographs Triples",3,4)),1)))</f>
        <v>12.2</v>
      </c>
      <c r="AB352" s="62">
        <f t="shared" si="76"/>
        <v>12.2</v>
      </c>
      <c r="AC352" s="62">
        <f t="shared" si="77"/>
        <v>0</v>
      </c>
    </row>
    <row r="353" spans="1:29" ht="28.7" customHeight="1" x14ac:dyDescent="0.25">
      <c r="A353" s="4" t="s">
        <v>17</v>
      </c>
      <c r="B353" s="7" t="s">
        <v>69</v>
      </c>
      <c r="C353" s="2" t="s">
        <v>1451</v>
      </c>
      <c r="D353" s="7" t="s">
        <v>944</v>
      </c>
      <c r="E353" s="4" t="s">
        <v>779</v>
      </c>
      <c r="F353" s="2">
        <v>82</v>
      </c>
      <c r="G353" s="2" t="s">
        <v>1399</v>
      </c>
      <c r="H353" s="2" t="s">
        <v>1400</v>
      </c>
      <c r="I353" s="4" t="s">
        <v>60</v>
      </c>
      <c r="J353" s="112">
        <f>IF($H353&lt;&gt;"Y",0,ROUND(MIN(Dashboard!$R$24,IF(IFERROR(VLOOKUP($B353,Dashboard!$Q$28:$S$60,2,FALSE),0)&gt;0,IFERROR(VLOOKUP($B353,Dashboard!$Q$28:$S$60,2,FALSE),0),$Z353*IF($U353&lt;&gt;"",ROUND((Dashboard!$R$4/$U353)*VLOOKUP($I353,Dashboard!$Q$9:$R$13,2,FALSE)*IF(ISNUMBER(SEARCH("Duals",$B353)),2,IF(ISNUMBER(SEARCH("Triples",$B353)),3,IF(ISNUMBER(SEARCH("Quads",$B353)),4,1))),2),ROUND(VLOOKUP($I353,Dashboard!$Q$15:$R$20,2,FALSE)*IF($E353="Red",Dashboard!$R$6,IF($E353="Gold",Dashboard!$R$7,Dashboard!$R$5))*IF(ISNUMBER(SEARCH("Duals",$B353)),2,IF(ISNUMBER(SEARCH("Triples",$B353)),3,IF(ISNUMBER(SEARCH("Quads",$B353)),4,1))),2))*IF(IFERROR(VLOOKUP($B353,Dashboard!$Q$28:$S$60,3,FALSE),0)&gt;0,VLOOKUP($B353,Dashboard!$Q$28:$S$60,3,FALSE),1))),0))</f>
        <v>12</v>
      </c>
      <c r="K353" s="2" t="str">
        <f>IF('Base S1'!G53="","",'Base S1'!G53)</f>
        <v>C 60/82</v>
      </c>
      <c r="L353" s="2">
        <f t="shared" si="65"/>
        <v>1</v>
      </c>
      <c r="M353" s="2">
        <f t="shared" si="66"/>
        <v>0</v>
      </c>
      <c r="N353" s="2">
        <f t="shared" si="67"/>
        <v>1</v>
      </c>
      <c r="O353" s="2">
        <f t="shared" si="68"/>
        <v>0</v>
      </c>
      <c r="P353" s="112">
        <f t="shared" si="69"/>
        <v>12</v>
      </c>
      <c r="Q353" s="112">
        <f t="shared" si="70"/>
        <v>0</v>
      </c>
      <c r="R353" s="53"/>
      <c r="S353" s="53" t="str">
        <f t="shared" si="71"/>
        <v>Base S1|Floor 82 Parallel - Season 1|52|Floor 82</v>
      </c>
      <c r="T353" s="57" t="str">
        <f>IF($S353="","",IFERROR(VLOOKUP($S353,'Pop Estimates (Non-#d)'!$N$2:$O$500,2,FALSE),""))</f>
        <v/>
      </c>
      <c r="U353" s="57">
        <f t="shared" si="72"/>
        <v>82</v>
      </c>
      <c r="V353" s="53" t="str">
        <f t="shared" si="73"/>
        <v/>
      </c>
      <c r="W353" s="53" t="str">
        <f t="shared" si="74"/>
        <v/>
      </c>
      <c r="X353" s="53" t="str">
        <f t="shared" si="75"/>
        <v/>
      </c>
      <c r="Y353" s="57" t="str">
        <f>IF($X353="","",IFERROR(VLOOKUP($X353,'Char Popularity'!$A$2:$C$500,2,FALSE),""))</f>
        <v/>
      </c>
      <c r="Z353" s="56">
        <f>IF($X353="",1,IFERROR(VLOOKUP($X353,'Char Popularity'!$A$2:$C$500,3,FALSE),1))</f>
        <v>1</v>
      </c>
      <c r="AA353" s="62">
        <f>IF($H353&lt;&gt;"Y",0,(IF($F353&lt;&gt;"",ROUND(Dashboard!$R$4/$F353,1),IF(AND($I353="Base",$E353="Base"),Dashboard!$R$5,IF(AND($I353="Base",$E353="Red"),Dashboard!$R$6,IF(AND($I353="Base",$E353="Gold"),Dashboard!$R$7,VLOOKUP($I353,Dashboard!$Q$16:$R$21,2,FALSE)))))*VLOOKUP($I353,Dashboard!$Q$9:$R$13,2,FALSE)*IF(AND($I353="Auto",$F353="",OR($B353="Autographs Duals",$B353="Autographs Triples",$B353="Autographs Quads",$B353="Autographs Quads (Inscribed)")),IF($B353="Autographs Duals",2,IF($B353="Autographs Triples",3,4)),1)))</f>
        <v>12.2</v>
      </c>
      <c r="AB353" s="62">
        <f t="shared" si="76"/>
        <v>12.2</v>
      </c>
      <c r="AC353" s="62">
        <f t="shared" si="77"/>
        <v>0</v>
      </c>
    </row>
    <row r="354" spans="1:29" ht="28.7" customHeight="1" x14ac:dyDescent="0.25">
      <c r="A354" s="4" t="s">
        <v>17</v>
      </c>
      <c r="B354" s="7" t="s">
        <v>69</v>
      </c>
      <c r="C354" s="2" t="s">
        <v>1452</v>
      </c>
      <c r="D354" s="7" t="s">
        <v>946</v>
      </c>
      <c r="E354" s="4" t="s">
        <v>779</v>
      </c>
      <c r="F354" s="2">
        <v>82</v>
      </c>
      <c r="G354" s="2" t="s">
        <v>1399</v>
      </c>
      <c r="H354" s="2" t="s">
        <v>1400</v>
      </c>
      <c r="I354" s="4" t="s">
        <v>60</v>
      </c>
      <c r="J354" s="112">
        <f>IF($H354&lt;&gt;"Y",0,ROUND(MIN(Dashboard!$R$24,IF(IFERROR(VLOOKUP($B354,Dashboard!$Q$28:$S$60,2,FALSE),0)&gt;0,IFERROR(VLOOKUP($B354,Dashboard!$Q$28:$S$60,2,FALSE),0),$Z354*IF($U354&lt;&gt;"",ROUND((Dashboard!$R$4/$U354)*VLOOKUP($I354,Dashboard!$Q$9:$R$13,2,FALSE)*IF(ISNUMBER(SEARCH("Duals",$B354)),2,IF(ISNUMBER(SEARCH("Triples",$B354)),3,IF(ISNUMBER(SEARCH("Quads",$B354)),4,1))),2),ROUND(VLOOKUP($I354,Dashboard!$Q$15:$R$20,2,FALSE)*IF($E354="Red",Dashboard!$R$6,IF($E354="Gold",Dashboard!$R$7,Dashboard!$R$5))*IF(ISNUMBER(SEARCH("Duals",$B354)),2,IF(ISNUMBER(SEARCH("Triples",$B354)),3,IF(ISNUMBER(SEARCH("Quads",$B354)),4,1))),2))*IF(IFERROR(VLOOKUP($B354,Dashboard!$Q$28:$S$60,3,FALSE),0)&gt;0,VLOOKUP($B354,Dashboard!$Q$28:$S$60,3,FALSE),1))),0))</f>
        <v>12</v>
      </c>
      <c r="K354" s="2" t="str">
        <f>IF('Base S1'!G54="","",'Base S1'!G54)</f>
        <v>C 54/82</v>
      </c>
      <c r="L354" s="2">
        <f t="shared" si="65"/>
        <v>1</v>
      </c>
      <c r="M354" s="2">
        <f t="shared" si="66"/>
        <v>0</v>
      </c>
      <c r="N354" s="2">
        <f t="shared" si="67"/>
        <v>1</v>
      </c>
      <c r="O354" s="2">
        <f t="shared" si="68"/>
        <v>0</v>
      </c>
      <c r="P354" s="112">
        <f t="shared" si="69"/>
        <v>12</v>
      </c>
      <c r="Q354" s="112">
        <f t="shared" si="70"/>
        <v>0</v>
      </c>
      <c r="R354" s="53"/>
      <c r="S354" s="53" t="str">
        <f t="shared" si="71"/>
        <v>Base S1|Floor 82 Parallel - Season 1|53|Floor 82</v>
      </c>
      <c r="T354" s="57" t="str">
        <f>IF($S354="","",IFERROR(VLOOKUP($S354,'Pop Estimates (Non-#d)'!$N$2:$O$500,2,FALSE),""))</f>
        <v/>
      </c>
      <c r="U354" s="57">
        <f t="shared" si="72"/>
        <v>82</v>
      </c>
      <c r="V354" s="53" t="str">
        <f t="shared" si="73"/>
        <v/>
      </c>
      <c r="W354" s="53" t="str">
        <f t="shared" si="74"/>
        <v/>
      </c>
      <c r="X354" s="53" t="str">
        <f t="shared" si="75"/>
        <v/>
      </c>
      <c r="Y354" s="57" t="str">
        <f>IF($X354="","",IFERROR(VLOOKUP($X354,'Char Popularity'!$A$2:$C$500,2,FALSE),""))</f>
        <v/>
      </c>
      <c r="Z354" s="56">
        <f>IF($X354="",1,IFERROR(VLOOKUP($X354,'Char Popularity'!$A$2:$C$500,3,FALSE),1))</f>
        <v>1</v>
      </c>
      <c r="AA354" s="62">
        <f>IF($H354&lt;&gt;"Y",0,(IF($F354&lt;&gt;"",ROUND(Dashboard!$R$4/$F354,1),IF(AND($I354="Base",$E354="Base"),Dashboard!$R$5,IF(AND($I354="Base",$E354="Red"),Dashboard!$R$6,IF(AND($I354="Base",$E354="Gold"),Dashboard!$R$7,VLOOKUP($I354,Dashboard!$Q$16:$R$21,2,FALSE)))))*VLOOKUP($I354,Dashboard!$Q$9:$R$13,2,FALSE)*IF(AND($I354="Auto",$F354="",OR($B354="Autographs Duals",$B354="Autographs Triples",$B354="Autographs Quads",$B354="Autographs Quads (Inscribed)")),IF($B354="Autographs Duals",2,IF($B354="Autographs Triples",3,4)),1)))</f>
        <v>12.2</v>
      </c>
      <c r="AB354" s="62">
        <f t="shared" si="76"/>
        <v>12.2</v>
      </c>
      <c r="AC354" s="62">
        <f t="shared" si="77"/>
        <v>0</v>
      </c>
    </row>
    <row r="355" spans="1:29" ht="28.7" customHeight="1" x14ac:dyDescent="0.25">
      <c r="A355" s="4" t="s">
        <v>17</v>
      </c>
      <c r="B355" s="7" t="s">
        <v>69</v>
      </c>
      <c r="C355" s="2" t="s">
        <v>1453</v>
      </c>
      <c r="D355" s="7" t="s">
        <v>948</v>
      </c>
      <c r="E355" s="4" t="s">
        <v>779</v>
      </c>
      <c r="F355" s="2">
        <v>82</v>
      </c>
      <c r="G355" s="2" t="s">
        <v>1399</v>
      </c>
      <c r="H355" s="2" t="s">
        <v>1400</v>
      </c>
      <c r="I355" s="4" t="s">
        <v>60</v>
      </c>
      <c r="J355" s="112">
        <f>IF($H355&lt;&gt;"Y",0,ROUND(MIN(Dashboard!$R$24,IF(IFERROR(VLOOKUP($B355,Dashboard!$Q$28:$S$60,2,FALSE),0)&gt;0,IFERROR(VLOOKUP($B355,Dashboard!$Q$28:$S$60,2,FALSE),0),$Z355*IF($U355&lt;&gt;"",ROUND((Dashboard!$R$4/$U355)*VLOOKUP($I355,Dashboard!$Q$9:$R$13,2,FALSE)*IF(ISNUMBER(SEARCH("Duals",$B355)),2,IF(ISNUMBER(SEARCH("Triples",$B355)),3,IF(ISNUMBER(SEARCH("Quads",$B355)),4,1))),2),ROUND(VLOOKUP($I355,Dashboard!$Q$15:$R$20,2,FALSE)*IF($E355="Red",Dashboard!$R$6,IF($E355="Gold",Dashboard!$R$7,Dashboard!$R$5))*IF(ISNUMBER(SEARCH("Duals",$B355)),2,IF(ISNUMBER(SEARCH("Triples",$B355)),3,IF(ISNUMBER(SEARCH("Quads",$B355)),4,1))),2))*IF(IFERROR(VLOOKUP($B355,Dashboard!$Q$28:$S$60,3,FALSE),0)&gt;0,VLOOKUP($B355,Dashboard!$Q$28:$S$60,3,FALSE),1))),0))</f>
        <v>12</v>
      </c>
      <c r="K355" s="2" t="str">
        <f>IF('Base S1'!G55="","",'Base S1'!G55)</f>
        <v>C 50/82</v>
      </c>
      <c r="L355" s="2">
        <f t="shared" si="65"/>
        <v>1</v>
      </c>
      <c r="M355" s="2">
        <f t="shared" si="66"/>
        <v>0</v>
      </c>
      <c r="N355" s="2">
        <f t="shared" si="67"/>
        <v>1</v>
      </c>
      <c r="O355" s="2">
        <f t="shared" si="68"/>
        <v>0</v>
      </c>
      <c r="P355" s="112">
        <f t="shared" si="69"/>
        <v>12</v>
      </c>
      <c r="Q355" s="112">
        <f t="shared" si="70"/>
        <v>0</v>
      </c>
      <c r="R355" s="53"/>
      <c r="S355" s="53" t="str">
        <f t="shared" si="71"/>
        <v>Base S1|Floor 82 Parallel - Season 1|54|Floor 82</v>
      </c>
      <c r="T355" s="57" t="str">
        <f>IF($S355="","",IFERROR(VLOOKUP($S355,'Pop Estimates (Non-#d)'!$N$2:$O$500,2,FALSE),""))</f>
        <v/>
      </c>
      <c r="U355" s="57">
        <f t="shared" si="72"/>
        <v>82</v>
      </c>
      <c r="V355" s="53" t="str">
        <f t="shared" si="73"/>
        <v/>
      </c>
      <c r="W355" s="53" t="str">
        <f t="shared" si="74"/>
        <v/>
      </c>
      <c r="X355" s="53" t="str">
        <f t="shared" si="75"/>
        <v/>
      </c>
      <c r="Y355" s="57" t="str">
        <f>IF($X355="","",IFERROR(VLOOKUP($X355,'Char Popularity'!$A$2:$C$500,2,FALSE),""))</f>
        <v/>
      </c>
      <c r="Z355" s="56">
        <f>IF($X355="",1,IFERROR(VLOOKUP($X355,'Char Popularity'!$A$2:$C$500,3,FALSE),1))</f>
        <v>1</v>
      </c>
      <c r="AA355" s="62">
        <f>IF($H355&lt;&gt;"Y",0,(IF($F355&lt;&gt;"",ROUND(Dashboard!$R$4/$F355,1),IF(AND($I355="Base",$E355="Base"),Dashboard!$R$5,IF(AND($I355="Base",$E355="Red"),Dashboard!$R$6,IF(AND($I355="Base",$E355="Gold"),Dashboard!$R$7,VLOOKUP($I355,Dashboard!$Q$16:$R$21,2,FALSE)))))*VLOOKUP($I355,Dashboard!$Q$9:$R$13,2,FALSE)*IF(AND($I355="Auto",$F355="",OR($B355="Autographs Duals",$B355="Autographs Triples",$B355="Autographs Quads",$B355="Autographs Quads (Inscribed)")),IF($B355="Autographs Duals",2,IF($B355="Autographs Triples",3,4)),1)))</f>
        <v>12.2</v>
      </c>
      <c r="AB355" s="62">
        <f t="shared" si="76"/>
        <v>12.2</v>
      </c>
      <c r="AC355" s="62">
        <f t="shared" si="77"/>
        <v>0</v>
      </c>
    </row>
    <row r="356" spans="1:29" ht="28.7" customHeight="1" x14ac:dyDescent="0.25">
      <c r="A356" s="4" t="s">
        <v>17</v>
      </c>
      <c r="B356" s="7" t="s">
        <v>69</v>
      </c>
      <c r="C356" s="2" t="s">
        <v>1454</v>
      </c>
      <c r="D356" s="7" t="s">
        <v>950</v>
      </c>
      <c r="E356" s="4" t="s">
        <v>779</v>
      </c>
      <c r="F356" s="2">
        <v>82</v>
      </c>
      <c r="G356" s="2" t="s">
        <v>1399</v>
      </c>
      <c r="H356" s="2" t="s">
        <v>1400</v>
      </c>
      <c r="I356" s="4" t="s">
        <v>60</v>
      </c>
      <c r="J356" s="112">
        <f>IF($H356&lt;&gt;"Y",0,ROUND(MIN(Dashboard!$R$24,IF(IFERROR(VLOOKUP($B356,Dashboard!$Q$28:$S$60,2,FALSE),0)&gt;0,IFERROR(VLOOKUP($B356,Dashboard!$Q$28:$S$60,2,FALSE),0),$Z356*IF($U356&lt;&gt;"",ROUND((Dashboard!$R$4/$U356)*VLOOKUP($I356,Dashboard!$Q$9:$R$13,2,FALSE)*IF(ISNUMBER(SEARCH("Duals",$B356)),2,IF(ISNUMBER(SEARCH("Triples",$B356)),3,IF(ISNUMBER(SEARCH("Quads",$B356)),4,1))),2),ROUND(VLOOKUP($I356,Dashboard!$Q$15:$R$20,2,FALSE)*IF($E356="Red",Dashboard!$R$6,IF($E356="Gold",Dashboard!$R$7,Dashboard!$R$5))*IF(ISNUMBER(SEARCH("Duals",$B356)),2,IF(ISNUMBER(SEARCH("Triples",$B356)),3,IF(ISNUMBER(SEARCH("Quads",$B356)),4,1))),2))*IF(IFERROR(VLOOKUP($B356,Dashboard!$Q$28:$S$60,3,FALSE),0)&gt;0,VLOOKUP($B356,Dashboard!$Q$28:$S$60,3,FALSE),1))),0))</f>
        <v>12</v>
      </c>
      <c r="K356" s="2" t="str">
        <f>IF('Base S1'!G56="","",'Base S1'!G56)</f>
        <v>V 04/82</v>
      </c>
      <c r="L356" s="2">
        <f t="shared" si="65"/>
        <v>1</v>
      </c>
      <c r="M356" s="2">
        <f t="shared" si="66"/>
        <v>0</v>
      </c>
      <c r="N356" s="2">
        <f t="shared" si="67"/>
        <v>1</v>
      </c>
      <c r="O356" s="2">
        <f t="shared" si="68"/>
        <v>0</v>
      </c>
      <c r="P356" s="112">
        <f t="shared" si="69"/>
        <v>12</v>
      </c>
      <c r="Q356" s="112">
        <f t="shared" si="70"/>
        <v>0</v>
      </c>
      <c r="R356" s="53"/>
      <c r="S356" s="53" t="str">
        <f t="shared" si="71"/>
        <v>Base S1|Floor 82 Parallel - Season 1|55|Floor 82</v>
      </c>
      <c r="T356" s="57" t="str">
        <f>IF($S356="","",IFERROR(VLOOKUP($S356,'Pop Estimates (Non-#d)'!$N$2:$O$500,2,FALSE),""))</f>
        <v/>
      </c>
      <c r="U356" s="57">
        <f t="shared" si="72"/>
        <v>82</v>
      </c>
      <c r="V356" s="53" t="str">
        <f t="shared" si="73"/>
        <v/>
      </c>
      <c r="W356" s="53" t="str">
        <f t="shared" si="74"/>
        <v/>
      </c>
      <c r="X356" s="53" t="str">
        <f t="shared" si="75"/>
        <v/>
      </c>
      <c r="Y356" s="57" t="str">
        <f>IF($X356="","",IFERROR(VLOOKUP($X356,'Char Popularity'!$A$2:$C$500,2,FALSE),""))</f>
        <v/>
      </c>
      <c r="Z356" s="56">
        <f>IF($X356="",1,IFERROR(VLOOKUP($X356,'Char Popularity'!$A$2:$C$500,3,FALSE),1))</f>
        <v>1</v>
      </c>
      <c r="AA356" s="62">
        <f>IF($H356&lt;&gt;"Y",0,(IF($F356&lt;&gt;"",ROUND(Dashboard!$R$4/$F356,1),IF(AND($I356="Base",$E356="Base"),Dashboard!$R$5,IF(AND($I356="Base",$E356="Red"),Dashboard!$R$6,IF(AND($I356="Base",$E356="Gold"),Dashboard!$R$7,VLOOKUP($I356,Dashboard!$Q$16:$R$21,2,FALSE)))))*VLOOKUP($I356,Dashboard!$Q$9:$R$13,2,FALSE)*IF(AND($I356="Auto",$F356="",OR($B356="Autographs Duals",$B356="Autographs Triples",$B356="Autographs Quads",$B356="Autographs Quads (Inscribed)")),IF($B356="Autographs Duals",2,IF($B356="Autographs Triples",3,4)),1)))</f>
        <v>12.2</v>
      </c>
      <c r="AB356" s="62">
        <f t="shared" si="76"/>
        <v>12.2</v>
      </c>
      <c r="AC356" s="62">
        <f t="shared" si="77"/>
        <v>0</v>
      </c>
    </row>
    <row r="357" spans="1:29" ht="28.7" customHeight="1" x14ac:dyDescent="0.25">
      <c r="A357" s="4" t="s">
        <v>17</v>
      </c>
      <c r="B357" s="7" t="s">
        <v>69</v>
      </c>
      <c r="C357" s="2" t="s">
        <v>1455</v>
      </c>
      <c r="D357" s="7" t="s">
        <v>952</v>
      </c>
      <c r="E357" s="4" t="s">
        <v>779</v>
      </c>
      <c r="F357" s="2">
        <v>82</v>
      </c>
      <c r="G357" s="2" t="s">
        <v>1399</v>
      </c>
      <c r="H357" s="2" t="s">
        <v>1400</v>
      </c>
      <c r="I357" s="4" t="s">
        <v>60</v>
      </c>
      <c r="J357" s="112">
        <f>IF($H357&lt;&gt;"Y",0,ROUND(MIN(Dashboard!$R$24,IF(IFERROR(VLOOKUP($B357,Dashboard!$Q$28:$S$60,2,FALSE),0)&gt;0,IFERROR(VLOOKUP($B357,Dashboard!$Q$28:$S$60,2,FALSE),0),$Z357*IF($U357&lt;&gt;"",ROUND((Dashboard!$R$4/$U357)*VLOOKUP($I357,Dashboard!$Q$9:$R$13,2,FALSE)*IF(ISNUMBER(SEARCH("Duals",$B357)),2,IF(ISNUMBER(SEARCH("Triples",$B357)),3,IF(ISNUMBER(SEARCH("Quads",$B357)),4,1))),2),ROUND(VLOOKUP($I357,Dashboard!$Q$15:$R$20,2,FALSE)*IF($E357="Red",Dashboard!$R$6,IF($E357="Gold",Dashboard!$R$7,Dashboard!$R$5))*IF(ISNUMBER(SEARCH("Duals",$B357)),2,IF(ISNUMBER(SEARCH("Triples",$B357)),3,IF(ISNUMBER(SEARCH("Quads",$B357)),4,1))),2))*IF(IFERROR(VLOOKUP($B357,Dashboard!$Q$28:$S$60,3,FALSE),0)&gt;0,VLOOKUP($B357,Dashboard!$Q$28:$S$60,3,FALSE),1))),0))</f>
        <v>12</v>
      </c>
      <c r="K357" s="2" t="str">
        <f>IF('Base S1'!G57="","",'Base S1'!G57)</f>
        <v>C 61/82</v>
      </c>
      <c r="L357" s="2">
        <f t="shared" si="65"/>
        <v>1</v>
      </c>
      <c r="M357" s="2">
        <f t="shared" si="66"/>
        <v>0</v>
      </c>
      <c r="N357" s="2">
        <f t="shared" si="67"/>
        <v>1</v>
      </c>
      <c r="O357" s="2">
        <f t="shared" si="68"/>
        <v>0</v>
      </c>
      <c r="P357" s="112">
        <f t="shared" si="69"/>
        <v>12</v>
      </c>
      <c r="Q357" s="112">
        <f t="shared" si="70"/>
        <v>0</v>
      </c>
      <c r="R357" s="53"/>
      <c r="S357" s="53" t="str">
        <f t="shared" si="71"/>
        <v>Base S1|Floor 82 Parallel - Season 1|56|Floor 82</v>
      </c>
      <c r="T357" s="57" t="str">
        <f>IF($S357="","",IFERROR(VLOOKUP($S357,'Pop Estimates (Non-#d)'!$N$2:$O$500,2,FALSE),""))</f>
        <v/>
      </c>
      <c r="U357" s="57">
        <f t="shared" si="72"/>
        <v>82</v>
      </c>
      <c r="V357" s="53" t="str">
        <f t="shared" si="73"/>
        <v/>
      </c>
      <c r="W357" s="53" t="str">
        <f t="shared" si="74"/>
        <v/>
      </c>
      <c r="X357" s="53" t="str">
        <f t="shared" si="75"/>
        <v/>
      </c>
      <c r="Y357" s="57" t="str">
        <f>IF($X357="","",IFERROR(VLOOKUP($X357,'Char Popularity'!$A$2:$C$500,2,FALSE),""))</f>
        <v/>
      </c>
      <c r="Z357" s="56">
        <f>IF($X357="",1,IFERROR(VLOOKUP($X357,'Char Popularity'!$A$2:$C$500,3,FALSE),1))</f>
        <v>1</v>
      </c>
      <c r="AA357" s="62">
        <f>IF($H357&lt;&gt;"Y",0,(IF($F357&lt;&gt;"",ROUND(Dashboard!$R$4/$F357,1),IF(AND($I357="Base",$E357="Base"),Dashboard!$R$5,IF(AND($I357="Base",$E357="Red"),Dashboard!$R$6,IF(AND($I357="Base",$E357="Gold"),Dashboard!$R$7,VLOOKUP($I357,Dashboard!$Q$16:$R$21,2,FALSE)))))*VLOOKUP($I357,Dashboard!$Q$9:$R$13,2,FALSE)*IF(AND($I357="Auto",$F357="",OR($B357="Autographs Duals",$B357="Autographs Triples",$B357="Autographs Quads",$B357="Autographs Quads (Inscribed)")),IF($B357="Autographs Duals",2,IF($B357="Autographs Triples",3,4)),1)))</f>
        <v>12.2</v>
      </c>
      <c r="AB357" s="62">
        <f t="shared" si="76"/>
        <v>12.2</v>
      </c>
      <c r="AC357" s="62">
        <f t="shared" si="77"/>
        <v>0</v>
      </c>
    </row>
    <row r="358" spans="1:29" ht="28.7" customHeight="1" x14ac:dyDescent="0.25">
      <c r="A358" s="4" t="s">
        <v>17</v>
      </c>
      <c r="B358" s="7" t="s">
        <v>69</v>
      </c>
      <c r="C358" s="2" t="s">
        <v>1456</v>
      </c>
      <c r="D358" s="7" t="s">
        <v>956</v>
      </c>
      <c r="E358" s="4" t="s">
        <v>779</v>
      </c>
      <c r="F358" s="2">
        <v>82</v>
      </c>
      <c r="G358" s="2" t="s">
        <v>1399</v>
      </c>
      <c r="H358" s="2" t="s">
        <v>1400</v>
      </c>
      <c r="I358" s="4" t="s">
        <v>60</v>
      </c>
      <c r="J358" s="112">
        <f>IF($H358&lt;&gt;"Y",0,ROUND(MIN(Dashboard!$R$24,IF(IFERROR(VLOOKUP($B358,Dashboard!$Q$28:$S$60,2,FALSE),0)&gt;0,IFERROR(VLOOKUP($B358,Dashboard!$Q$28:$S$60,2,FALSE),0),$Z358*IF($U358&lt;&gt;"",ROUND((Dashboard!$R$4/$U358)*VLOOKUP($I358,Dashboard!$Q$9:$R$13,2,FALSE)*IF(ISNUMBER(SEARCH("Duals",$B358)),2,IF(ISNUMBER(SEARCH("Triples",$B358)),3,IF(ISNUMBER(SEARCH("Quads",$B358)),4,1))),2),ROUND(VLOOKUP($I358,Dashboard!$Q$15:$R$20,2,FALSE)*IF($E358="Red",Dashboard!$R$6,IF($E358="Gold",Dashboard!$R$7,Dashboard!$R$5))*IF(ISNUMBER(SEARCH("Duals",$B358)),2,IF(ISNUMBER(SEARCH("Triples",$B358)),3,IF(ISNUMBER(SEARCH("Quads",$B358)),4,1))),2))*IF(IFERROR(VLOOKUP($B358,Dashboard!$Q$28:$S$60,3,FALSE),0)&gt;0,VLOOKUP($B358,Dashboard!$Q$28:$S$60,3,FALSE),1))),0))</f>
        <v>12</v>
      </c>
      <c r="K358" s="2" t="str">
        <f>IF('Base S1'!G58="","",'Base S1'!G58)</f>
        <v>C 47/82</v>
      </c>
      <c r="L358" s="2">
        <f t="shared" si="65"/>
        <v>1</v>
      </c>
      <c r="M358" s="2">
        <f t="shared" si="66"/>
        <v>0</v>
      </c>
      <c r="N358" s="2">
        <f t="shared" si="67"/>
        <v>1</v>
      </c>
      <c r="O358" s="2">
        <f t="shared" si="68"/>
        <v>0</v>
      </c>
      <c r="P358" s="112">
        <f t="shared" si="69"/>
        <v>12</v>
      </c>
      <c r="Q358" s="112">
        <f t="shared" si="70"/>
        <v>0</v>
      </c>
      <c r="R358" s="53"/>
      <c r="S358" s="53" t="str">
        <f t="shared" si="71"/>
        <v>Base S1|Floor 82 Parallel - Season 1|57|Floor 82</v>
      </c>
      <c r="T358" s="57" t="str">
        <f>IF($S358="","",IFERROR(VLOOKUP($S358,'Pop Estimates (Non-#d)'!$N$2:$O$500,2,FALSE),""))</f>
        <v/>
      </c>
      <c r="U358" s="57">
        <f t="shared" si="72"/>
        <v>82</v>
      </c>
      <c r="V358" s="53" t="str">
        <f t="shared" si="73"/>
        <v/>
      </c>
      <c r="W358" s="53" t="str">
        <f t="shared" si="74"/>
        <v/>
      </c>
      <c r="X358" s="53" t="str">
        <f t="shared" si="75"/>
        <v/>
      </c>
      <c r="Y358" s="57" t="str">
        <f>IF($X358="","",IFERROR(VLOOKUP($X358,'Char Popularity'!$A$2:$C$500,2,FALSE),""))</f>
        <v/>
      </c>
      <c r="Z358" s="56">
        <f>IF($X358="",1,IFERROR(VLOOKUP($X358,'Char Popularity'!$A$2:$C$500,3,FALSE),1))</f>
        <v>1</v>
      </c>
      <c r="AA358" s="62">
        <f>IF($H358&lt;&gt;"Y",0,(IF($F358&lt;&gt;"",ROUND(Dashboard!$R$4/$F358,1),IF(AND($I358="Base",$E358="Base"),Dashboard!$R$5,IF(AND($I358="Base",$E358="Red"),Dashboard!$R$6,IF(AND($I358="Base",$E358="Gold"),Dashboard!$R$7,VLOOKUP($I358,Dashboard!$Q$16:$R$21,2,FALSE)))))*VLOOKUP($I358,Dashboard!$Q$9:$R$13,2,FALSE)*IF(AND($I358="Auto",$F358="",OR($B358="Autographs Duals",$B358="Autographs Triples",$B358="Autographs Quads",$B358="Autographs Quads (Inscribed)")),IF($B358="Autographs Duals",2,IF($B358="Autographs Triples",3,4)),1)))</f>
        <v>12.2</v>
      </c>
      <c r="AB358" s="62">
        <f t="shared" si="76"/>
        <v>12.2</v>
      </c>
      <c r="AC358" s="62">
        <f t="shared" si="77"/>
        <v>0</v>
      </c>
    </row>
    <row r="359" spans="1:29" ht="28.7" customHeight="1" x14ac:dyDescent="0.25">
      <c r="A359" s="4" t="s">
        <v>17</v>
      </c>
      <c r="B359" s="7" t="s">
        <v>69</v>
      </c>
      <c r="C359" s="2" t="s">
        <v>1457</v>
      </c>
      <c r="D359" s="7" t="s">
        <v>957</v>
      </c>
      <c r="E359" s="4" t="s">
        <v>779</v>
      </c>
      <c r="F359" s="2">
        <v>82</v>
      </c>
      <c r="G359" s="2" t="s">
        <v>1399</v>
      </c>
      <c r="H359" s="2" t="s">
        <v>1400</v>
      </c>
      <c r="I359" s="4" t="s">
        <v>60</v>
      </c>
      <c r="J359" s="112">
        <f>IF($H359&lt;&gt;"Y",0,ROUND(MIN(Dashboard!$R$24,IF(IFERROR(VLOOKUP($B359,Dashboard!$Q$28:$S$60,2,FALSE),0)&gt;0,IFERROR(VLOOKUP($B359,Dashboard!$Q$28:$S$60,2,FALSE),0),$Z359*IF($U359&lt;&gt;"",ROUND((Dashboard!$R$4/$U359)*VLOOKUP($I359,Dashboard!$Q$9:$R$13,2,FALSE)*IF(ISNUMBER(SEARCH("Duals",$B359)),2,IF(ISNUMBER(SEARCH("Triples",$B359)),3,IF(ISNUMBER(SEARCH("Quads",$B359)),4,1))),2),ROUND(VLOOKUP($I359,Dashboard!$Q$15:$R$20,2,FALSE)*IF($E359="Red",Dashboard!$R$6,IF($E359="Gold",Dashboard!$R$7,Dashboard!$R$5))*IF(ISNUMBER(SEARCH("Duals",$B359)),2,IF(ISNUMBER(SEARCH("Triples",$B359)),3,IF(ISNUMBER(SEARCH("Quads",$B359)),4,1))),2))*IF(IFERROR(VLOOKUP($B359,Dashboard!$Q$28:$S$60,3,FALSE),0)&gt;0,VLOOKUP($B359,Dashboard!$Q$28:$S$60,3,FALSE),1))),0))</f>
        <v>12</v>
      </c>
      <c r="K359" s="2" t="str">
        <f>IF('Base S1'!G59="","",'Base S1'!G59)</f>
        <v>V 64/82</v>
      </c>
      <c r="L359" s="2">
        <f t="shared" si="65"/>
        <v>1</v>
      </c>
      <c r="M359" s="2">
        <f t="shared" si="66"/>
        <v>0</v>
      </c>
      <c r="N359" s="2">
        <f t="shared" si="67"/>
        <v>1</v>
      </c>
      <c r="O359" s="2">
        <f t="shared" si="68"/>
        <v>0</v>
      </c>
      <c r="P359" s="112">
        <f t="shared" si="69"/>
        <v>12</v>
      </c>
      <c r="Q359" s="112">
        <f t="shared" si="70"/>
        <v>0</v>
      </c>
      <c r="R359" s="53"/>
      <c r="S359" s="53" t="str">
        <f t="shared" si="71"/>
        <v>Base S1|Floor 82 Parallel - Season 1|58|Floor 82</v>
      </c>
      <c r="T359" s="57" t="str">
        <f>IF($S359="","",IFERROR(VLOOKUP($S359,'Pop Estimates (Non-#d)'!$N$2:$O$500,2,FALSE),""))</f>
        <v/>
      </c>
      <c r="U359" s="57">
        <f t="shared" si="72"/>
        <v>82</v>
      </c>
      <c r="V359" s="53" t="str">
        <f t="shared" si="73"/>
        <v/>
      </c>
      <c r="W359" s="53" t="str">
        <f t="shared" si="74"/>
        <v/>
      </c>
      <c r="X359" s="53" t="str">
        <f t="shared" si="75"/>
        <v/>
      </c>
      <c r="Y359" s="57" t="str">
        <f>IF($X359="","",IFERROR(VLOOKUP($X359,'Char Popularity'!$A$2:$C$500,2,FALSE),""))</f>
        <v/>
      </c>
      <c r="Z359" s="56">
        <f>IF($X359="",1,IFERROR(VLOOKUP($X359,'Char Popularity'!$A$2:$C$500,3,FALSE),1))</f>
        <v>1</v>
      </c>
      <c r="AA359" s="62">
        <f>IF($H359&lt;&gt;"Y",0,(IF($F359&lt;&gt;"",ROUND(Dashboard!$R$4/$F359,1),IF(AND($I359="Base",$E359="Base"),Dashboard!$R$5,IF(AND($I359="Base",$E359="Red"),Dashboard!$R$6,IF(AND($I359="Base",$E359="Gold"),Dashboard!$R$7,VLOOKUP($I359,Dashboard!$Q$16:$R$21,2,FALSE)))))*VLOOKUP($I359,Dashboard!$Q$9:$R$13,2,FALSE)*IF(AND($I359="Auto",$F359="",OR($B359="Autographs Duals",$B359="Autographs Triples",$B359="Autographs Quads",$B359="Autographs Quads (Inscribed)")),IF($B359="Autographs Duals",2,IF($B359="Autographs Triples",3,4)),1)))</f>
        <v>12.2</v>
      </c>
      <c r="AB359" s="62">
        <f t="shared" si="76"/>
        <v>12.2</v>
      </c>
      <c r="AC359" s="62">
        <f t="shared" si="77"/>
        <v>0</v>
      </c>
    </row>
    <row r="360" spans="1:29" ht="28.7" customHeight="1" x14ac:dyDescent="0.25">
      <c r="A360" s="4" t="s">
        <v>17</v>
      </c>
      <c r="B360" s="7" t="s">
        <v>69</v>
      </c>
      <c r="C360" s="2" t="s">
        <v>1458</v>
      </c>
      <c r="D360" s="7" t="s">
        <v>960</v>
      </c>
      <c r="E360" s="4" t="s">
        <v>779</v>
      </c>
      <c r="F360" s="2">
        <v>82</v>
      </c>
      <c r="G360" s="2" t="s">
        <v>1399</v>
      </c>
      <c r="H360" s="2" t="s">
        <v>1400</v>
      </c>
      <c r="I360" s="4" t="s">
        <v>60</v>
      </c>
      <c r="J360" s="112">
        <f>IF($H360&lt;&gt;"Y",0,ROUND(MIN(Dashboard!$R$24,IF(IFERROR(VLOOKUP($B360,Dashboard!$Q$28:$S$60,2,FALSE),0)&gt;0,IFERROR(VLOOKUP($B360,Dashboard!$Q$28:$S$60,2,FALSE),0),$Z360*IF($U360&lt;&gt;"",ROUND((Dashboard!$R$4/$U360)*VLOOKUP($I360,Dashboard!$Q$9:$R$13,2,FALSE)*IF(ISNUMBER(SEARCH("Duals",$B360)),2,IF(ISNUMBER(SEARCH("Triples",$B360)),3,IF(ISNUMBER(SEARCH("Quads",$B360)),4,1))),2),ROUND(VLOOKUP($I360,Dashboard!$Q$15:$R$20,2,FALSE)*IF($E360="Red",Dashboard!$R$6,IF($E360="Gold",Dashboard!$R$7,Dashboard!$R$5))*IF(ISNUMBER(SEARCH("Duals",$B360)),2,IF(ISNUMBER(SEARCH("Triples",$B360)),3,IF(ISNUMBER(SEARCH("Quads",$B360)),4,1))),2))*IF(IFERROR(VLOOKUP($B360,Dashboard!$Q$28:$S$60,3,FALSE),0)&gt;0,VLOOKUP($B360,Dashboard!$Q$28:$S$60,3,FALSE),1))),0))</f>
        <v>12</v>
      </c>
      <c r="K360" s="2" t="str">
        <f>IF('Base S1'!G60="","",'Base S1'!G60)</f>
        <v>C 50/82</v>
      </c>
      <c r="L360" s="2">
        <f t="shared" si="65"/>
        <v>1</v>
      </c>
      <c r="M360" s="2">
        <f t="shared" si="66"/>
        <v>0</v>
      </c>
      <c r="N360" s="2">
        <f t="shared" si="67"/>
        <v>1</v>
      </c>
      <c r="O360" s="2">
        <f t="shared" si="68"/>
        <v>0</v>
      </c>
      <c r="P360" s="112">
        <f t="shared" si="69"/>
        <v>12</v>
      </c>
      <c r="Q360" s="112">
        <f t="shared" si="70"/>
        <v>0</v>
      </c>
      <c r="R360" s="53"/>
      <c r="S360" s="53" t="str">
        <f t="shared" si="71"/>
        <v>Base S1|Floor 82 Parallel - Season 1|59|Floor 82</v>
      </c>
      <c r="T360" s="57" t="str">
        <f>IF($S360="","",IFERROR(VLOOKUP($S360,'Pop Estimates (Non-#d)'!$N$2:$O$500,2,FALSE),""))</f>
        <v/>
      </c>
      <c r="U360" s="57">
        <f t="shared" si="72"/>
        <v>82</v>
      </c>
      <c r="V360" s="53" t="str">
        <f t="shared" si="73"/>
        <v/>
      </c>
      <c r="W360" s="53" t="str">
        <f t="shared" si="74"/>
        <v/>
      </c>
      <c r="X360" s="53" t="str">
        <f t="shared" si="75"/>
        <v/>
      </c>
      <c r="Y360" s="57" t="str">
        <f>IF($X360="","",IFERROR(VLOOKUP($X360,'Char Popularity'!$A$2:$C$500,2,FALSE),""))</f>
        <v/>
      </c>
      <c r="Z360" s="56">
        <f>IF($X360="",1,IFERROR(VLOOKUP($X360,'Char Popularity'!$A$2:$C$500,3,FALSE),1))</f>
        <v>1</v>
      </c>
      <c r="AA360" s="62">
        <f>IF($H360&lt;&gt;"Y",0,(IF($F360&lt;&gt;"",ROUND(Dashboard!$R$4/$F360,1),IF(AND($I360="Base",$E360="Base"),Dashboard!$R$5,IF(AND($I360="Base",$E360="Red"),Dashboard!$R$6,IF(AND($I360="Base",$E360="Gold"),Dashboard!$R$7,VLOOKUP($I360,Dashboard!$Q$16:$R$21,2,FALSE)))))*VLOOKUP($I360,Dashboard!$Q$9:$R$13,2,FALSE)*IF(AND($I360="Auto",$F360="",OR($B360="Autographs Duals",$B360="Autographs Triples",$B360="Autographs Quads",$B360="Autographs Quads (Inscribed)")),IF($B360="Autographs Duals",2,IF($B360="Autographs Triples",3,4)),1)))</f>
        <v>12.2</v>
      </c>
      <c r="AB360" s="62">
        <f t="shared" si="76"/>
        <v>12.2</v>
      </c>
      <c r="AC360" s="62">
        <f t="shared" si="77"/>
        <v>0</v>
      </c>
    </row>
    <row r="361" spans="1:29" ht="28.7" customHeight="1" x14ac:dyDescent="0.25">
      <c r="A361" s="4" t="s">
        <v>17</v>
      </c>
      <c r="B361" s="7" t="s">
        <v>69</v>
      </c>
      <c r="C361" s="2" t="s">
        <v>1459</v>
      </c>
      <c r="D361" s="7" t="s">
        <v>961</v>
      </c>
      <c r="E361" s="4" t="s">
        <v>779</v>
      </c>
      <c r="F361" s="2">
        <v>82</v>
      </c>
      <c r="G361" s="2" t="s">
        <v>1399</v>
      </c>
      <c r="H361" s="2" t="s">
        <v>1400</v>
      </c>
      <c r="I361" s="4" t="s">
        <v>60</v>
      </c>
      <c r="J361" s="112">
        <f>IF($H361&lt;&gt;"Y",0,ROUND(MIN(Dashboard!$R$24,IF(IFERROR(VLOOKUP($B361,Dashboard!$Q$28:$S$60,2,FALSE),0)&gt;0,IFERROR(VLOOKUP($B361,Dashboard!$Q$28:$S$60,2,FALSE),0),$Z361*IF($U361&lt;&gt;"",ROUND((Dashboard!$R$4/$U361)*VLOOKUP($I361,Dashboard!$Q$9:$R$13,2,FALSE)*IF(ISNUMBER(SEARCH("Duals",$B361)),2,IF(ISNUMBER(SEARCH("Triples",$B361)),3,IF(ISNUMBER(SEARCH("Quads",$B361)),4,1))),2),ROUND(VLOOKUP($I361,Dashboard!$Q$15:$R$20,2,FALSE)*IF($E361="Red",Dashboard!$R$6,IF($E361="Gold",Dashboard!$R$7,Dashboard!$R$5))*IF(ISNUMBER(SEARCH("Duals",$B361)),2,IF(ISNUMBER(SEARCH("Triples",$B361)),3,IF(ISNUMBER(SEARCH("Quads",$B361)),4,1))),2))*IF(IFERROR(VLOOKUP($B361,Dashboard!$Q$28:$S$60,3,FALSE),0)&gt;0,VLOOKUP($B361,Dashboard!$Q$28:$S$60,3,FALSE),1))),0))</f>
        <v>12</v>
      </c>
      <c r="K361" s="2" t="str">
        <f>IF('Base S1'!G61="","",'Base S1'!G61)</f>
        <v>C 76/82</v>
      </c>
      <c r="L361" s="2">
        <f t="shared" si="65"/>
        <v>1</v>
      </c>
      <c r="M361" s="2">
        <f t="shared" si="66"/>
        <v>0</v>
      </c>
      <c r="N361" s="2">
        <f t="shared" si="67"/>
        <v>1</v>
      </c>
      <c r="O361" s="2">
        <f t="shared" si="68"/>
        <v>0</v>
      </c>
      <c r="P361" s="112">
        <f t="shared" si="69"/>
        <v>12</v>
      </c>
      <c r="Q361" s="112">
        <f t="shared" si="70"/>
        <v>0</v>
      </c>
      <c r="R361" s="53"/>
      <c r="S361" s="53" t="str">
        <f t="shared" si="71"/>
        <v>Base S1|Floor 82 Parallel - Season 1|60|Floor 82</v>
      </c>
      <c r="T361" s="57" t="str">
        <f>IF($S361="","",IFERROR(VLOOKUP($S361,'Pop Estimates (Non-#d)'!$N$2:$O$500,2,FALSE),""))</f>
        <v/>
      </c>
      <c r="U361" s="57">
        <f t="shared" si="72"/>
        <v>82</v>
      </c>
      <c r="V361" s="53" t="str">
        <f t="shared" si="73"/>
        <v/>
      </c>
      <c r="W361" s="53" t="str">
        <f t="shared" si="74"/>
        <v/>
      </c>
      <c r="X361" s="53" t="str">
        <f t="shared" si="75"/>
        <v/>
      </c>
      <c r="Y361" s="57" t="str">
        <f>IF($X361="","",IFERROR(VLOOKUP($X361,'Char Popularity'!$A$2:$C$500,2,FALSE),""))</f>
        <v/>
      </c>
      <c r="Z361" s="56">
        <f>IF($X361="",1,IFERROR(VLOOKUP($X361,'Char Popularity'!$A$2:$C$500,3,FALSE),1))</f>
        <v>1</v>
      </c>
      <c r="AA361" s="62">
        <f>IF($H361&lt;&gt;"Y",0,(IF($F361&lt;&gt;"",ROUND(Dashboard!$R$4/$F361,1),IF(AND($I361="Base",$E361="Base"),Dashboard!$R$5,IF(AND($I361="Base",$E361="Red"),Dashboard!$R$6,IF(AND($I361="Base",$E361="Gold"),Dashboard!$R$7,VLOOKUP($I361,Dashboard!$Q$16:$R$21,2,FALSE)))))*VLOOKUP($I361,Dashboard!$Q$9:$R$13,2,FALSE)*IF(AND($I361="Auto",$F361="",OR($B361="Autographs Duals",$B361="Autographs Triples",$B361="Autographs Quads",$B361="Autographs Quads (Inscribed)")),IF($B361="Autographs Duals",2,IF($B361="Autographs Triples",3,4)),1)))</f>
        <v>12.2</v>
      </c>
      <c r="AB361" s="62">
        <f t="shared" si="76"/>
        <v>12.2</v>
      </c>
      <c r="AC361" s="62">
        <f t="shared" si="77"/>
        <v>0</v>
      </c>
    </row>
    <row r="362" spans="1:29" ht="28.7" customHeight="1" x14ac:dyDescent="0.25">
      <c r="A362" s="4" t="s">
        <v>17</v>
      </c>
      <c r="B362" s="7" t="s">
        <v>69</v>
      </c>
      <c r="C362" s="2" t="s">
        <v>1460</v>
      </c>
      <c r="D362" s="7" t="s">
        <v>962</v>
      </c>
      <c r="E362" s="4" t="s">
        <v>779</v>
      </c>
      <c r="F362" s="2">
        <v>82</v>
      </c>
      <c r="G362" s="2" t="s">
        <v>1399</v>
      </c>
      <c r="H362" s="2" t="s">
        <v>1400</v>
      </c>
      <c r="I362" s="4" t="s">
        <v>60</v>
      </c>
      <c r="J362" s="112">
        <f>IF($H362&lt;&gt;"Y",0,ROUND(MIN(Dashboard!$R$24,IF(IFERROR(VLOOKUP($B362,Dashboard!$Q$28:$S$60,2,FALSE),0)&gt;0,IFERROR(VLOOKUP($B362,Dashboard!$Q$28:$S$60,2,FALSE),0),$Z362*IF($U362&lt;&gt;"",ROUND((Dashboard!$R$4/$U362)*VLOOKUP($I362,Dashboard!$Q$9:$R$13,2,FALSE)*IF(ISNUMBER(SEARCH("Duals",$B362)),2,IF(ISNUMBER(SEARCH("Triples",$B362)),3,IF(ISNUMBER(SEARCH("Quads",$B362)),4,1))),2),ROUND(VLOOKUP($I362,Dashboard!$Q$15:$R$20,2,FALSE)*IF($E362="Red",Dashboard!$R$6,IF($E362="Gold",Dashboard!$R$7,Dashboard!$R$5))*IF(ISNUMBER(SEARCH("Duals",$B362)),2,IF(ISNUMBER(SEARCH("Triples",$B362)),3,IF(ISNUMBER(SEARCH("Quads",$B362)),4,1))),2))*IF(IFERROR(VLOOKUP($B362,Dashboard!$Q$28:$S$60,3,FALSE),0)&gt;0,VLOOKUP($B362,Dashboard!$Q$28:$S$60,3,FALSE),1))),0))</f>
        <v>12</v>
      </c>
      <c r="K362" s="2" t="str">
        <f>IF('Base S1'!G62="","",'Base S1'!G62)</f>
        <v>C 18/82</v>
      </c>
      <c r="L362" s="2">
        <f t="shared" si="65"/>
        <v>1</v>
      </c>
      <c r="M362" s="2">
        <f t="shared" si="66"/>
        <v>0</v>
      </c>
      <c r="N362" s="2">
        <f t="shared" si="67"/>
        <v>1</v>
      </c>
      <c r="O362" s="2">
        <f t="shared" si="68"/>
        <v>0</v>
      </c>
      <c r="P362" s="112">
        <f t="shared" si="69"/>
        <v>12</v>
      </c>
      <c r="Q362" s="112">
        <f t="shared" si="70"/>
        <v>0</v>
      </c>
      <c r="R362" s="53"/>
      <c r="S362" s="53" t="str">
        <f t="shared" si="71"/>
        <v>Base S1|Floor 82 Parallel - Season 1|61|Floor 82</v>
      </c>
      <c r="T362" s="57" t="str">
        <f>IF($S362="","",IFERROR(VLOOKUP($S362,'Pop Estimates (Non-#d)'!$N$2:$O$500,2,FALSE),""))</f>
        <v/>
      </c>
      <c r="U362" s="57">
        <f t="shared" si="72"/>
        <v>82</v>
      </c>
      <c r="V362" s="53" t="str">
        <f t="shared" si="73"/>
        <v/>
      </c>
      <c r="W362" s="53" t="str">
        <f t="shared" si="74"/>
        <v/>
      </c>
      <c r="X362" s="53" t="str">
        <f t="shared" si="75"/>
        <v/>
      </c>
      <c r="Y362" s="57" t="str">
        <f>IF($X362="","",IFERROR(VLOOKUP($X362,'Char Popularity'!$A$2:$C$500,2,FALSE),""))</f>
        <v/>
      </c>
      <c r="Z362" s="56">
        <f>IF($X362="",1,IFERROR(VLOOKUP($X362,'Char Popularity'!$A$2:$C$500,3,FALSE),1))</f>
        <v>1</v>
      </c>
      <c r="AA362" s="62">
        <f>IF($H362&lt;&gt;"Y",0,(IF($F362&lt;&gt;"",ROUND(Dashboard!$R$4/$F362,1),IF(AND($I362="Base",$E362="Base"),Dashboard!$R$5,IF(AND($I362="Base",$E362="Red"),Dashboard!$R$6,IF(AND($I362="Base",$E362="Gold"),Dashboard!$R$7,VLOOKUP($I362,Dashboard!$Q$16:$R$21,2,FALSE)))))*VLOOKUP($I362,Dashboard!$Q$9:$R$13,2,FALSE)*IF(AND($I362="Auto",$F362="",OR($B362="Autographs Duals",$B362="Autographs Triples",$B362="Autographs Quads",$B362="Autographs Quads (Inscribed)")),IF($B362="Autographs Duals",2,IF($B362="Autographs Triples",3,4)),1)))</f>
        <v>12.2</v>
      </c>
      <c r="AB362" s="62">
        <f t="shared" si="76"/>
        <v>12.2</v>
      </c>
      <c r="AC362" s="62">
        <f t="shared" si="77"/>
        <v>0</v>
      </c>
    </row>
    <row r="363" spans="1:29" ht="28.7" customHeight="1" x14ac:dyDescent="0.25">
      <c r="A363" s="4" t="s">
        <v>17</v>
      </c>
      <c r="B363" s="7" t="s">
        <v>69</v>
      </c>
      <c r="C363" s="2" t="s">
        <v>1461</v>
      </c>
      <c r="D363" s="7" t="s">
        <v>963</v>
      </c>
      <c r="E363" s="4" t="s">
        <v>779</v>
      </c>
      <c r="F363" s="2">
        <v>82</v>
      </c>
      <c r="G363" s="2" t="s">
        <v>1399</v>
      </c>
      <c r="H363" s="2" t="s">
        <v>1400</v>
      </c>
      <c r="I363" s="4" t="s">
        <v>60</v>
      </c>
      <c r="J363" s="112">
        <f>IF($H363&lt;&gt;"Y",0,ROUND(MIN(Dashboard!$R$24,IF(IFERROR(VLOOKUP($B363,Dashboard!$Q$28:$S$60,2,FALSE),0)&gt;0,IFERROR(VLOOKUP($B363,Dashboard!$Q$28:$S$60,2,FALSE),0),$Z363*IF($U363&lt;&gt;"",ROUND((Dashboard!$R$4/$U363)*VLOOKUP($I363,Dashboard!$Q$9:$R$13,2,FALSE)*IF(ISNUMBER(SEARCH("Duals",$B363)),2,IF(ISNUMBER(SEARCH("Triples",$B363)),3,IF(ISNUMBER(SEARCH("Quads",$B363)),4,1))),2),ROUND(VLOOKUP($I363,Dashboard!$Q$15:$R$20,2,FALSE)*IF($E363="Red",Dashboard!$R$6,IF($E363="Gold",Dashboard!$R$7,Dashboard!$R$5))*IF(ISNUMBER(SEARCH("Duals",$B363)),2,IF(ISNUMBER(SEARCH("Triples",$B363)),3,IF(ISNUMBER(SEARCH("Quads",$B363)),4,1))),2))*IF(IFERROR(VLOOKUP($B363,Dashboard!$Q$28:$S$60,3,FALSE),0)&gt;0,VLOOKUP($B363,Dashboard!$Q$28:$S$60,3,FALSE),1))),0))</f>
        <v>12</v>
      </c>
      <c r="K363" s="2" t="str">
        <f>IF('Base S1'!G63="","",'Base S1'!G63)</f>
        <v>V 20/82</v>
      </c>
      <c r="L363" s="2">
        <f t="shared" si="65"/>
        <v>1</v>
      </c>
      <c r="M363" s="2">
        <f t="shared" si="66"/>
        <v>0</v>
      </c>
      <c r="N363" s="2">
        <f t="shared" si="67"/>
        <v>1</v>
      </c>
      <c r="O363" s="2">
        <f t="shared" si="68"/>
        <v>0</v>
      </c>
      <c r="P363" s="112">
        <f t="shared" si="69"/>
        <v>12</v>
      </c>
      <c r="Q363" s="112">
        <f t="shared" si="70"/>
        <v>0</v>
      </c>
      <c r="R363" s="53"/>
      <c r="S363" s="53" t="str">
        <f t="shared" si="71"/>
        <v>Base S1|Floor 82 Parallel - Season 1|62|Floor 82</v>
      </c>
      <c r="T363" s="57" t="str">
        <f>IF($S363="","",IFERROR(VLOOKUP($S363,'Pop Estimates (Non-#d)'!$N$2:$O$500,2,FALSE),""))</f>
        <v/>
      </c>
      <c r="U363" s="57">
        <f t="shared" si="72"/>
        <v>82</v>
      </c>
      <c r="V363" s="53" t="str">
        <f t="shared" si="73"/>
        <v/>
      </c>
      <c r="W363" s="53" t="str">
        <f t="shared" si="74"/>
        <v/>
      </c>
      <c r="X363" s="53" t="str">
        <f t="shared" si="75"/>
        <v/>
      </c>
      <c r="Y363" s="57" t="str">
        <f>IF($X363="","",IFERROR(VLOOKUP($X363,'Char Popularity'!$A$2:$C$500,2,FALSE),""))</f>
        <v/>
      </c>
      <c r="Z363" s="56">
        <f>IF($X363="",1,IFERROR(VLOOKUP($X363,'Char Popularity'!$A$2:$C$500,3,FALSE),1))</f>
        <v>1</v>
      </c>
      <c r="AA363" s="62">
        <f>IF($H363&lt;&gt;"Y",0,(IF($F363&lt;&gt;"",ROUND(Dashboard!$R$4/$F363,1),IF(AND($I363="Base",$E363="Base"),Dashboard!$R$5,IF(AND($I363="Base",$E363="Red"),Dashboard!$R$6,IF(AND($I363="Base",$E363="Gold"),Dashboard!$R$7,VLOOKUP($I363,Dashboard!$Q$16:$R$21,2,FALSE)))))*VLOOKUP($I363,Dashboard!$Q$9:$R$13,2,FALSE)*IF(AND($I363="Auto",$F363="",OR($B363="Autographs Duals",$B363="Autographs Triples",$B363="Autographs Quads",$B363="Autographs Quads (Inscribed)")),IF($B363="Autographs Duals",2,IF($B363="Autographs Triples",3,4)),1)))</f>
        <v>12.2</v>
      </c>
      <c r="AB363" s="62">
        <f t="shared" si="76"/>
        <v>12.2</v>
      </c>
      <c r="AC363" s="62">
        <f t="shared" si="77"/>
        <v>0</v>
      </c>
    </row>
    <row r="364" spans="1:29" ht="28.7" customHeight="1" x14ac:dyDescent="0.25">
      <c r="A364" s="4" t="s">
        <v>17</v>
      </c>
      <c r="B364" s="7" t="s">
        <v>69</v>
      </c>
      <c r="C364" s="2" t="s">
        <v>1462</v>
      </c>
      <c r="D364" s="7" t="s">
        <v>966</v>
      </c>
      <c r="E364" s="4" t="s">
        <v>779</v>
      </c>
      <c r="F364" s="2">
        <v>82</v>
      </c>
      <c r="G364" s="2" t="s">
        <v>1399</v>
      </c>
      <c r="H364" s="2" t="s">
        <v>1400</v>
      </c>
      <c r="I364" s="4" t="s">
        <v>60</v>
      </c>
      <c r="J364" s="112">
        <f>IF($H364&lt;&gt;"Y",0,ROUND(MIN(Dashboard!$R$24,IF(IFERROR(VLOOKUP($B364,Dashboard!$Q$28:$S$60,2,FALSE),0)&gt;0,IFERROR(VLOOKUP($B364,Dashboard!$Q$28:$S$60,2,FALSE),0),$Z364*IF($U364&lt;&gt;"",ROUND((Dashboard!$R$4/$U364)*VLOOKUP($I364,Dashboard!$Q$9:$R$13,2,FALSE)*IF(ISNUMBER(SEARCH("Duals",$B364)),2,IF(ISNUMBER(SEARCH("Triples",$B364)),3,IF(ISNUMBER(SEARCH("Quads",$B364)),4,1))),2),ROUND(VLOOKUP($I364,Dashboard!$Q$15:$R$20,2,FALSE)*IF($E364="Red",Dashboard!$R$6,IF($E364="Gold",Dashboard!$R$7,Dashboard!$R$5))*IF(ISNUMBER(SEARCH("Duals",$B364)),2,IF(ISNUMBER(SEARCH("Triples",$B364)),3,IF(ISNUMBER(SEARCH("Quads",$B364)),4,1))),2))*IF(IFERROR(VLOOKUP($B364,Dashboard!$Q$28:$S$60,3,FALSE),0)&gt;0,VLOOKUP($B364,Dashboard!$Q$28:$S$60,3,FALSE),1))),0))</f>
        <v>12</v>
      </c>
      <c r="K364" s="2" t="str">
        <f>IF('Base S1'!G64="","",'Base S1'!G64)</f>
        <v>V 46/82</v>
      </c>
      <c r="L364" s="2">
        <f t="shared" si="65"/>
        <v>1</v>
      </c>
      <c r="M364" s="2">
        <f t="shared" si="66"/>
        <v>0</v>
      </c>
      <c r="N364" s="2">
        <f t="shared" si="67"/>
        <v>1</v>
      </c>
      <c r="O364" s="2">
        <f t="shared" si="68"/>
        <v>0</v>
      </c>
      <c r="P364" s="112">
        <f t="shared" si="69"/>
        <v>12</v>
      </c>
      <c r="Q364" s="112">
        <f t="shared" si="70"/>
        <v>0</v>
      </c>
      <c r="R364" s="53"/>
      <c r="S364" s="53" t="str">
        <f t="shared" si="71"/>
        <v>Base S1|Floor 82 Parallel - Season 1|63|Floor 82</v>
      </c>
      <c r="T364" s="57" t="str">
        <f>IF($S364="","",IFERROR(VLOOKUP($S364,'Pop Estimates (Non-#d)'!$N$2:$O$500,2,FALSE),""))</f>
        <v/>
      </c>
      <c r="U364" s="57">
        <f t="shared" si="72"/>
        <v>82</v>
      </c>
      <c r="V364" s="53" t="str">
        <f t="shared" si="73"/>
        <v/>
      </c>
      <c r="W364" s="53" t="str">
        <f t="shared" si="74"/>
        <v/>
      </c>
      <c r="X364" s="53" t="str">
        <f t="shared" si="75"/>
        <v/>
      </c>
      <c r="Y364" s="57" t="str">
        <f>IF($X364="","",IFERROR(VLOOKUP($X364,'Char Popularity'!$A$2:$C$500,2,FALSE),""))</f>
        <v/>
      </c>
      <c r="Z364" s="56">
        <f>IF($X364="",1,IFERROR(VLOOKUP($X364,'Char Popularity'!$A$2:$C$500,3,FALSE),1))</f>
        <v>1</v>
      </c>
      <c r="AA364" s="62">
        <f>IF($H364&lt;&gt;"Y",0,(IF($F364&lt;&gt;"",ROUND(Dashboard!$R$4/$F364,1),IF(AND($I364="Base",$E364="Base"),Dashboard!$R$5,IF(AND($I364="Base",$E364="Red"),Dashboard!$R$6,IF(AND($I364="Base",$E364="Gold"),Dashboard!$R$7,VLOOKUP($I364,Dashboard!$Q$16:$R$21,2,FALSE)))))*VLOOKUP($I364,Dashboard!$Q$9:$R$13,2,FALSE)*IF(AND($I364="Auto",$F364="",OR($B364="Autographs Duals",$B364="Autographs Triples",$B364="Autographs Quads",$B364="Autographs Quads (Inscribed)")),IF($B364="Autographs Duals",2,IF($B364="Autographs Triples",3,4)),1)))</f>
        <v>12.2</v>
      </c>
      <c r="AB364" s="62">
        <f t="shared" si="76"/>
        <v>12.2</v>
      </c>
      <c r="AC364" s="62">
        <f t="shared" si="77"/>
        <v>0</v>
      </c>
    </row>
    <row r="365" spans="1:29" ht="28.7" customHeight="1" x14ac:dyDescent="0.25">
      <c r="A365" s="4" t="s">
        <v>17</v>
      </c>
      <c r="B365" s="7" t="s">
        <v>69</v>
      </c>
      <c r="C365" s="2" t="s">
        <v>1463</v>
      </c>
      <c r="D365" s="7" t="s">
        <v>968</v>
      </c>
      <c r="E365" s="4" t="s">
        <v>779</v>
      </c>
      <c r="F365" s="2">
        <v>82</v>
      </c>
      <c r="G365" s="2" t="s">
        <v>1399</v>
      </c>
      <c r="H365" s="2" t="s">
        <v>1400</v>
      </c>
      <c r="I365" s="4" t="s">
        <v>60</v>
      </c>
      <c r="J365" s="112">
        <f>IF($H365&lt;&gt;"Y",0,ROUND(MIN(Dashboard!$R$24,IF(IFERROR(VLOOKUP($B365,Dashboard!$Q$28:$S$60,2,FALSE),0)&gt;0,IFERROR(VLOOKUP($B365,Dashboard!$Q$28:$S$60,2,FALSE),0),$Z365*IF($U365&lt;&gt;"",ROUND((Dashboard!$R$4/$U365)*VLOOKUP($I365,Dashboard!$Q$9:$R$13,2,FALSE)*IF(ISNUMBER(SEARCH("Duals",$B365)),2,IF(ISNUMBER(SEARCH("Triples",$B365)),3,IF(ISNUMBER(SEARCH("Quads",$B365)),4,1))),2),ROUND(VLOOKUP($I365,Dashboard!$Q$15:$R$20,2,FALSE)*IF($E365="Red",Dashboard!$R$6,IF($E365="Gold",Dashboard!$R$7,Dashboard!$R$5))*IF(ISNUMBER(SEARCH("Duals",$B365)),2,IF(ISNUMBER(SEARCH("Triples",$B365)),3,IF(ISNUMBER(SEARCH("Quads",$B365)),4,1))),2))*IF(IFERROR(VLOOKUP($B365,Dashboard!$Q$28:$S$60,3,FALSE),0)&gt;0,VLOOKUP($B365,Dashboard!$Q$28:$S$60,3,FALSE),1))),0))</f>
        <v>12</v>
      </c>
      <c r="K365" s="2" t="str">
        <f>IF('Base S1'!G65="","",'Base S1'!G65)</f>
        <v>C 26/82</v>
      </c>
      <c r="L365" s="2">
        <f t="shared" si="65"/>
        <v>1</v>
      </c>
      <c r="M365" s="2">
        <f t="shared" si="66"/>
        <v>0</v>
      </c>
      <c r="N365" s="2">
        <f t="shared" si="67"/>
        <v>1</v>
      </c>
      <c r="O365" s="2">
        <f t="shared" si="68"/>
        <v>0</v>
      </c>
      <c r="P365" s="112">
        <f t="shared" si="69"/>
        <v>12</v>
      </c>
      <c r="Q365" s="112">
        <f t="shared" si="70"/>
        <v>0</v>
      </c>
      <c r="R365" s="53"/>
      <c r="S365" s="53" t="str">
        <f t="shared" si="71"/>
        <v>Base S1|Floor 82 Parallel - Season 1|64|Floor 82</v>
      </c>
      <c r="T365" s="57" t="str">
        <f>IF($S365="","",IFERROR(VLOOKUP($S365,'Pop Estimates (Non-#d)'!$N$2:$O$500,2,FALSE),""))</f>
        <v/>
      </c>
      <c r="U365" s="57">
        <f t="shared" si="72"/>
        <v>82</v>
      </c>
      <c r="V365" s="53" t="str">
        <f t="shared" si="73"/>
        <v/>
      </c>
      <c r="W365" s="53" t="str">
        <f t="shared" si="74"/>
        <v/>
      </c>
      <c r="X365" s="53" t="str">
        <f t="shared" si="75"/>
        <v/>
      </c>
      <c r="Y365" s="57" t="str">
        <f>IF($X365="","",IFERROR(VLOOKUP($X365,'Char Popularity'!$A$2:$C$500,2,FALSE),""))</f>
        <v/>
      </c>
      <c r="Z365" s="56">
        <f>IF($X365="",1,IFERROR(VLOOKUP($X365,'Char Popularity'!$A$2:$C$500,3,FALSE),1))</f>
        <v>1</v>
      </c>
      <c r="AA365" s="62">
        <f>IF($H365&lt;&gt;"Y",0,(IF($F365&lt;&gt;"",ROUND(Dashboard!$R$4/$F365,1),IF(AND($I365="Base",$E365="Base"),Dashboard!$R$5,IF(AND($I365="Base",$E365="Red"),Dashboard!$R$6,IF(AND($I365="Base",$E365="Gold"),Dashboard!$R$7,VLOOKUP($I365,Dashboard!$Q$16:$R$21,2,FALSE)))))*VLOOKUP($I365,Dashboard!$Q$9:$R$13,2,FALSE)*IF(AND($I365="Auto",$F365="",OR($B365="Autographs Duals",$B365="Autographs Triples",$B365="Autographs Quads",$B365="Autographs Quads (Inscribed)")),IF($B365="Autographs Duals",2,IF($B365="Autographs Triples",3,4)),1)))</f>
        <v>12.2</v>
      </c>
      <c r="AB365" s="62">
        <f t="shared" si="76"/>
        <v>12.2</v>
      </c>
      <c r="AC365" s="62">
        <f t="shared" si="77"/>
        <v>0</v>
      </c>
    </row>
    <row r="366" spans="1:29" ht="28.7" customHeight="1" x14ac:dyDescent="0.25">
      <c r="A366" s="4" t="s">
        <v>17</v>
      </c>
      <c r="B366" s="7" t="s">
        <v>69</v>
      </c>
      <c r="C366" s="2" t="s">
        <v>1464</v>
      </c>
      <c r="D366" s="7" t="s">
        <v>971</v>
      </c>
      <c r="E366" s="4" t="s">
        <v>779</v>
      </c>
      <c r="F366" s="2">
        <v>82</v>
      </c>
      <c r="G366" s="2" t="s">
        <v>1399</v>
      </c>
      <c r="H366" s="2" t="s">
        <v>1400</v>
      </c>
      <c r="I366" s="4" t="s">
        <v>60</v>
      </c>
      <c r="J366" s="112">
        <f>IF($H366&lt;&gt;"Y",0,ROUND(MIN(Dashboard!$R$24,IF(IFERROR(VLOOKUP($B366,Dashboard!$Q$28:$S$60,2,FALSE),0)&gt;0,IFERROR(VLOOKUP($B366,Dashboard!$Q$28:$S$60,2,FALSE),0),$Z366*IF($U366&lt;&gt;"",ROUND((Dashboard!$R$4/$U366)*VLOOKUP($I366,Dashboard!$Q$9:$R$13,2,FALSE)*IF(ISNUMBER(SEARCH("Duals",$B366)),2,IF(ISNUMBER(SEARCH("Triples",$B366)),3,IF(ISNUMBER(SEARCH("Quads",$B366)),4,1))),2),ROUND(VLOOKUP($I366,Dashboard!$Q$15:$R$20,2,FALSE)*IF($E366="Red",Dashboard!$R$6,IF($E366="Gold",Dashboard!$R$7,Dashboard!$R$5))*IF(ISNUMBER(SEARCH("Duals",$B366)),2,IF(ISNUMBER(SEARCH("Triples",$B366)),3,IF(ISNUMBER(SEARCH("Quads",$B366)),4,1))),2))*IF(IFERROR(VLOOKUP($B366,Dashboard!$Q$28:$S$60,3,FALSE),0)&gt;0,VLOOKUP($B366,Dashboard!$Q$28:$S$60,3,FALSE),1))),0))</f>
        <v>12</v>
      </c>
      <c r="K366" s="2" t="str">
        <f>IF('Base S1'!G66="","",'Base S1'!G66)</f>
        <v>C 18/82</v>
      </c>
      <c r="L366" s="2">
        <f t="shared" si="65"/>
        <v>1</v>
      </c>
      <c r="M366" s="2">
        <f t="shared" si="66"/>
        <v>0</v>
      </c>
      <c r="N366" s="2">
        <f t="shared" si="67"/>
        <v>1</v>
      </c>
      <c r="O366" s="2">
        <f t="shared" si="68"/>
        <v>0</v>
      </c>
      <c r="P366" s="112">
        <f t="shared" si="69"/>
        <v>12</v>
      </c>
      <c r="Q366" s="112">
        <f t="shared" si="70"/>
        <v>0</v>
      </c>
      <c r="R366" s="53"/>
      <c r="S366" s="53" t="str">
        <f t="shared" si="71"/>
        <v>Base S1|Floor 82 Parallel - Season 1|65|Floor 82</v>
      </c>
      <c r="T366" s="57" t="str">
        <f>IF($S366="","",IFERROR(VLOOKUP($S366,'Pop Estimates (Non-#d)'!$N$2:$O$500,2,FALSE),""))</f>
        <v/>
      </c>
      <c r="U366" s="57">
        <f t="shared" si="72"/>
        <v>82</v>
      </c>
      <c r="V366" s="53" t="str">
        <f t="shared" si="73"/>
        <v/>
      </c>
      <c r="W366" s="53" t="str">
        <f t="shared" si="74"/>
        <v/>
      </c>
      <c r="X366" s="53" t="str">
        <f t="shared" si="75"/>
        <v/>
      </c>
      <c r="Y366" s="57" t="str">
        <f>IF($X366="","",IFERROR(VLOOKUP($X366,'Char Popularity'!$A$2:$C$500,2,FALSE),""))</f>
        <v/>
      </c>
      <c r="Z366" s="56">
        <f>IF($X366="",1,IFERROR(VLOOKUP($X366,'Char Popularity'!$A$2:$C$500,3,FALSE),1))</f>
        <v>1</v>
      </c>
      <c r="AA366" s="62">
        <f>IF($H366&lt;&gt;"Y",0,(IF($F366&lt;&gt;"",ROUND(Dashboard!$R$4/$F366,1),IF(AND($I366="Base",$E366="Base"),Dashboard!$R$5,IF(AND($I366="Base",$E366="Red"),Dashboard!$R$6,IF(AND($I366="Base",$E366="Gold"),Dashboard!$R$7,VLOOKUP($I366,Dashboard!$Q$16:$R$21,2,FALSE)))))*VLOOKUP($I366,Dashboard!$Q$9:$R$13,2,FALSE)*IF(AND($I366="Auto",$F366="",OR($B366="Autographs Duals",$B366="Autographs Triples",$B366="Autographs Quads",$B366="Autographs Quads (Inscribed)")),IF($B366="Autographs Duals",2,IF($B366="Autographs Triples",3,4)),1)))</f>
        <v>12.2</v>
      </c>
      <c r="AB366" s="62">
        <f t="shared" si="76"/>
        <v>12.2</v>
      </c>
      <c r="AC366" s="62">
        <f t="shared" si="77"/>
        <v>0</v>
      </c>
    </row>
    <row r="367" spans="1:29" ht="28.7" customHeight="1" x14ac:dyDescent="0.25">
      <c r="A367" s="4" t="s">
        <v>17</v>
      </c>
      <c r="B367" s="7" t="s">
        <v>69</v>
      </c>
      <c r="C367" s="2" t="s">
        <v>1465</v>
      </c>
      <c r="D367" s="7" t="s">
        <v>973</v>
      </c>
      <c r="E367" s="4" t="s">
        <v>779</v>
      </c>
      <c r="F367" s="2">
        <v>82</v>
      </c>
      <c r="G367" s="2" t="s">
        <v>1399</v>
      </c>
      <c r="H367" s="2" t="s">
        <v>1400</v>
      </c>
      <c r="I367" s="4" t="s">
        <v>60</v>
      </c>
      <c r="J367" s="112">
        <f>IF($H367&lt;&gt;"Y",0,ROUND(MIN(Dashboard!$R$24,IF(IFERROR(VLOOKUP($B367,Dashboard!$Q$28:$S$60,2,FALSE),0)&gt;0,IFERROR(VLOOKUP($B367,Dashboard!$Q$28:$S$60,2,FALSE),0),$Z367*IF($U367&lt;&gt;"",ROUND((Dashboard!$R$4/$U367)*VLOOKUP($I367,Dashboard!$Q$9:$R$13,2,FALSE)*IF(ISNUMBER(SEARCH("Duals",$B367)),2,IF(ISNUMBER(SEARCH("Triples",$B367)),3,IF(ISNUMBER(SEARCH("Quads",$B367)),4,1))),2),ROUND(VLOOKUP($I367,Dashboard!$Q$15:$R$20,2,FALSE)*IF($E367="Red",Dashboard!$R$6,IF($E367="Gold",Dashboard!$R$7,Dashboard!$R$5))*IF(ISNUMBER(SEARCH("Duals",$B367)),2,IF(ISNUMBER(SEARCH("Triples",$B367)),3,IF(ISNUMBER(SEARCH("Quads",$B367)),4,1))),2))*IF(IFERROR(VLOOKUP($B367,Dashboard!$Q$28:$S$60,3,FALSE),0)&gt;0,VLOOKUP($B367,Dashboard!$Q$28:$S$60,3,FALSE),1))),0))</f>
        <v>12</v>
      </c>
      <c r="K367" s="2" t="str">
        <f>IF('Base S1'!G67="","",'Base S1'!G67)</f>
        <v>V 64/82</v>
      </c>
      <c r="L367" s="2">
        <f t="shared" si="65"/>
        <v>1</v>
      </c>
      <c r="M367" s="2">
        <f t="shared" si="66"/>
        <v>0</v>
      </c>
      <c r="N367" s="2">
        <f t="shared" si="67"/>
        <v>1</v>
      </c>
      <c r="O367" s="2">
        <f t="shared" si="68"/>
        <v>0</v>
      </c>
      <c r="P367" s="112">
        <f t="shared" si="69"/>
        <v>12</v>
      </c>
      <c r="Q367" s="112">
        <f t="shared" si="70"/>
        <v>0</v>
      </c>
      <c r="R367" s="53"/>
      <c r="S367" s="53" t="str">
        <f t="shared" si="71"/>
        <v>Base S1|Floor 82 Parallel - Season 1|66|Floor 82</v>
      </c>
      <c r="T367" s="57" t="str">
        <f>IF($S367="","",IFERROR(VLOOKUP($S367,'Pop Estimates (Non-#d)'!$N$2:$O$500,2,FALSE),""))</f>
        <v/>
      </c>
      <c r="U367" s="57">
        <f t="shared" si="72"/>
        <v>82</v>
      </c>
      <c r="V367" s="53" t="str">
        <f t="shared" si="73"/>
        <v/>
      </c>
      <c r="W367" s="53" t="str">
        <f t="shared" si="74"/>
        <v/>
      </c>
      <c r="X367" s="53" t="str">
        <f t="shared" si="75"/>
        <v/>
      </c>
      <c r="Y367" s="57" t="str">
        <f>IF($X367="","",IFERROR(VLOOKUP($X367,'Char Popularity'!$A$2:$C$500,2,FALSE),""))</f>
        <v/>
      </c>
      <c r="Z367" s="56">
        <f>IF($X367="",1,IFERROR(VLOOKUP($X367,'Char Popularity'!$A$2:$C$500,3,FALSE),1))</f>
        <v>1</v>
      </c>
      <c r="AA367" s="62">
        <f>IF($H367&lt;&gt;"Y",0,(IF($F367&lt;&gt;"",ROUND(Dashboard!$R$4/$F367,1),IF(AND($I367="Base",$E367="Base"),Dashboard!$R$5,IF(AND($I367="Base",$E367="Red"),Dashboard!$R$6,IF(AND($I367="Base",$E367="Gold"),Dashboard!$R$7,VLOOKUP($I367,Dashboard!$Q$16:$R$21,2,FALSE)))))*VLOOKUP($I367,Dashboard!$Q$9:$R$13,2,FALSE)*IF(AND($I367="Auto",$F367="",OR($B367="Autographs Duals",$B367="Autographs Triples",$B367="Autographs Quads",$B367="Autographs Quads (Inscribed)")),IF($B367="Autographs Duals",2,IF($B367="Autographs Triples",3,4)),1)))</f>
        <v>12.2</v>
      </c>
      <c r="AB367" s="62">
        <f t="shared" si="76"/>
        <v>12.2</v>
      </c>
      <c r="AC367" s="62">
        <f t="shared" si="77"/>
        <v>0</v>
      </c>
    </row>
    <row r="368" spans="1:29" ht="28.7" customHeight="1" x14ac:dyDescent="0.25">
      <c r="A368" s="4" t="s">
        <v>17</v>
      </c>
      <c r="B368" s="7" t="s">
        <v>69</v>
      </c>
      <c r="C368" s="2" t="s">
        <v>1466</v>
      </c>
      <c r="D368" s="7" t="s">
        <v>974</v>
      </c>
      <c r="E368" s="4" t="s">
        <v>779</v>
      </c>
      <c r="F368" s="2">
        <v>82</v>
      </c>
      <c r="G368" s="2" t="s">
        <v>1399</v>
      </c>
      <c r="H368" s="2" t="s">
        <v>1400</v>
      </c>
      <c r="I368" s="4" t="s">
        <v>60</v>
      </c>
      <c r="J368" s="112">
        <f>IF($H368&lt;&gt;"Y",0,ROUND(MIN(Dashboard!$R$24,IF(IFERROR(VLOOKUP($B368,Dashboard!$Q$28:$S$60,2,FALSE),0)&gt;0,IFERROR(VLOOKUP($B368,Dashboard!$Q$28:$S$60,2,FALSE),0),$Z368*IF($U368&lt;&gt;"",ROUND((Dashboard!$R$4/$U368)*VLOOKUP($I368,Dashboard!$Q$9:$R$13,2,FALSE)*IF(ISNUMBER(SEARCH("Duals",$B368)),2,IF(ISNUMBER(SEARCH("Triples",$B368)),3,IF(ISNUMBER(SEARCH("Quads",$B368)),4,1))),2),ROUND(VLOOKUP($I368,Dashboard!$Q$15:$R$20,2,FALSE)*IF($E368="Red",Dashboard!$R$6,IF($E368="Gold",Dashboard!$R$7,Dashboard!$R$5))*IF(ISNUMBER(SEARCH("Duals",$B368)),2,IF(ISNUMBER(SEARCH("Triples",$B368)),3,IF(ISNUMBER(SEARCH("Quads",$B368)),4,1))),2))*IF(IFERROR(VLOOKUP($B368,Dashboard!$Q$28:$S$60,3,FALSE),0)&gt;0,VLOOKUP($B368,Dashboard!$Q$28:$S$60,3,FALSE),1))),0))</f>
        <v>12</v>
      </c>
      <c r="K368" s="2" t="str">
        <f>IF('Base S1'!G68="","",'Base S1'!G68)</f>
        <v>C 31/82</v>
      </c>
      <c r="L368" s="2">
        <f t="shared" si="65"/>
        <v>1</v>
      </c>
      <c r="M368" s="2">
        <f t="shared" si="66"/>
        <v>0</v>
      </c>
      <c r="N368" s="2">
        <f t="shared" si="67"/>
        <v>1</v>
      </c>
      <c r="O368" s="2">
        <f t="shared" si="68"/>
        <v>0</v>
      </c>
      <c r="P368" s="112">
        <f t="shared" si="69"/>
        <v>12</v>
      </c>
      <c r="Q368" s="112">
        <f t="shared" si="70"/>
        <v>0</v>
      </c>
      <c r="R368" s="53"/>
      <c r="S368" s="53" t="str">
        <f t="shared" si="71"/>
        <v>Base S1|Floor 82 Parallel - Season 1|67|Floor 82</v>
      </c>
      <c r="T368" s="57" t="str">
        <f>IF($S368="","",IFERROR(VLOOKUP($S368,'Pop Estimates (Non-#d)'!$N$2:$O$500,2,FALSE),""))</f>
        <v/>
      </c>
      <c r="U368" s="57">
        <f t="shared" si="72"/>
        <v>82</v>
      </c>
      <c r="V368" s="53" t="str">
        <f t="shared" si="73"/>
        <v/>
      </c>
      <c r="W368" s="53" t="str">
        <f t="shared" si="74"/>
        <v/>
      </c>
      <c r="X368" s="53" t="str">
        <f t="shared" si="75"/>
        <v/>
      </c>
      <c r="Y368" s="57" t="str">
        <f>IF($X368="","",IFERROR(VLOOKUP($X368,'Char Popularity'!$A$2:$C$500,2,FALSE),""))</f>
        <v/>
      </c>
      <c r="Z368" s="56">
        <f>IF($X368="",1,IFERROR(VLOOKUP($X368,'Char Popularity'!$A$2:$C$500,3,FALSE),1))</f>
        <v>1</v>
      </c>
      <c r="AA368" s="62">
        <f>IF($H368&lt;&gt;"Y",0,(IF($F368&lt;&gt;"",ROUND(Dashboard!$R$4/$F368,1),IF(AND($I368="Base",$E368="Base"),Dashboard!$R$5,IF(AND($I368="Base",$E368="Red"),Dashboard!$R$6,IF(AND($I368="Base",$E368="Gold"),Dashboard!$R$7,VLOOKUP($I368,Dashboard!$Q$16:$R$21,2,FALSE)))))*VLOOKUP($I368,Dashboard!$Q$9:$R$13,2,FALSE)*IF(AND($I368="Auto",$F368="",OR($B368="Autographs Duals",$B368="Autographs Triples",$B368="Autographs Quads",$B368="Autographs Quads (Inscribed)")),IF($B368="Autographs Duals",2,IF($B368="Autographs Triples",3,4)),1)))</f>
        <v>12.2</v>
      </c>
      <c r="AB368" s="62">
        <f t="shared" si="76"/>
        <v>12.2</v>
      </c>
      <c r="AC368" s="62">
        <f t="shared" si="77"/>
        <v>0</v>
      </c>
    </row>
    <row r="369" spans="1:29" ht="28.7" customHeight="1" x14ac:dyDescent="0.25">
      <c r="A369" s="4" t="s">
        <v>17</v>
      </c>
      <c r="B369" s="7" t="s">
        <v>69</v>
      </c>
      <c r="C369" s="2" t="s">
        <v>1467</v>
      </c>
      <c r="D369" s="7" t="s">
        <v>977</v>
      </c>
      <c r="E369" s="4" t="s">
        <v>779</v>
      </c>
      <c r="F369" s="2">
        <v>82</v>
      </c>
      <c r="G369" s="2" t="s">
        <v>1399</v>
      </c>
      <c r="H369" s="2" t="s">
        <v>1400</v>
      </c>
      <c r="I369" s="4" t="s">
        <v>60</v>
      </c>
      <c r="J369" s="112">
        <f>IF($H369&lt;&gt;"Y",0,ROUND(MIN(Dashboard!$R$24,IF(IFERROR(VLOOKUP($B369,Dashboard!$Q$28:$S$60,2,FALSE),0)&gt;0,IFERROR(VLOOKUP($B369,Dashboard!$Q$28:$S$60,2,FALSE),0),$Z369*IF($U369&lt;&gt;"",ROUND((Dashboard!$R$4/$U369)*VLOOKUP($I369,Dashboard!$Q$9:$R$13,2,FALSE)*IF(ISNUMBER(SEARCH("Duals",$B369)),2,IF(ISNUMBER(SEARCH("Triples",$B369)),3,IF(ISNUMBER(SEARCH("Quads",$B369)),4,1))),2),ROUND(VLOOKUP($I369,Dashboard!$Q$15:$R$20,2,FALSE)*IF($E369="Red",Dashboard!$R$6,IF($E369="Gold",Dashboard!$R$7,Dashboard!$R$5))*IF(ISNUMBER(SEARCH("Duals",$B369)),2,IF(ISNUMBER(SEARCH("Triples",$B369)),3,IF(ISNUMBER(SEARCH("Quads",$B369)),4,1))),2))*IF(IFERROR(VLOOKUP($B369,Dashboard!$Q$28:$S$60,3,FALSE),0)&gt;0,VLOOKUP($B369,Dashboard!$Q$28:$S$60,3,FALSE),1))),0))</f>
        <v>12</v>
      </c>
      <c r="K369" s="2" t="str">
        <f>IF('Base S1'!G69="","",'Base S1'!G69)</f>
        <v>C 78/82</v>
      </c>
      <c r="L369" s="2">
        <f t="shared" si="65"/>
        <v>1</v>
      </c>
      <c r="M369" s="2">
        <f t="shared" si="66"/>
        <v>0</v>
      </c>
      <c r="N369" s="2">
        <f t="shared" si="67"/>
        <v>1</v>
      </c>
      <c r="O369" s="2">
        <f t="shared" si="68"/>
        <v>0</v>
      </c>
      <c r="P369" s="112">
        <f t="shared" si="69"/>
        <v>12</v>
      </c>
      <c r="Q369" s="112">
        <f t="shared" si="70"/>
        <v>0</v>
      </c>
      <c r="R369" s="53"/>
      <c r="S369" s="53" t="str">
        <f t="shared" si="71"/>
        <v>Base S1|Floor 82 Parallel - Season 1|68|Floor 82</v>
      </c>
      <c r="T369" s="57" t="str">
        <f>IF($S369="","",IFERROR(VLOOKUP($S369,'Pop Estimates (Non-#d)'!$N$2:$O$500,2,FALSE),""))</f>
        <v/>
      </c>
      <c r="U369" s="57">
        <f t="shared" si="72"/>
        <v>82</v>
      </c>
      <c r="V369" s="53" t="str">
        <f t="shared" si="73"/>
        <v/>
      </c>
      <c r="W369" s="53" t="str">
        <f t="shared" si="74"/>
        <v/>
      </c>
      <c r="X369" s="53" t="str">
        <f t="shared" si="75"/>
        <v/>
      </c>
      <c r="Y369" s="57" t="str">
        <f>IF($X369="","",IFERROR(VLOOKUP($X369,'Char Popularity'!$A$2:$C$500,2,FALSE),""))</f>
        <v/>
      </c>
      <c r="Z369" s="56">
        <f>IF($X369="",1,IFERROR(VLOOKUP($X369,'Char Popularity'!$A$2:$C$500,3,FALSE),1))</f>
        <v>1</v>
      </c>
      <c r="AA369" s="62">
        <f>IF($H369&lt;&gt;"Y",0,(IF($F369&lt;&gt;"",ROUND(Dashboard!$R$4/$F369,1),IF(AND($I369="Base",$E369="Base"),Dashboard!$R$5,IF(AND($I369="Base",$E369="Red"),Dashboard!$R$6,IF(AND($I369="Base",$E369="Gold"),Dashboard!$R$7,VLOOKUP($I369,Dashboard!$Q$16:$R$21,2,FALSE)))))*VLOOKUP($I369,Dashboard!$Q$9:$R$13,2,FALSE)*IF(AND($I369="Auto",$F369="",OR($B369="Autographs Duals",$B369="Autographs Triples",$B369="Autographs Quads",$B369="Autographs Quads (Inscribed)")),IF($B369="Autographs Duals",2,IF($B369="Autographs Triples",3,4)),1)))</f>
        <v>12.2</v>
      </c>
      <c r="AB369" s="62">
        <f t="shared" si="76"/>
        <v>12.2</v>
      </c>
      <c r="AC369" s="62">
        <f t="shared" si="77"/>
        <v>0</v>
      </c>
    </row>
    <row r="370" spans="1:29" ht="28.7" customHeight="1" x14ac:dyDescent="0.25">
      <c r="A370" s="4" t="s">
        <v>17</v>
      </c>
      <c r="B370" s="7" t="s">
        <v>69</v>
      </c>
      <c r="C370" s="2" t="s">
        <v>1468</v>
      </c>
      <c r="D370" s="7" t="s">
        <v>979</v>
      </c>
      <c r="E370" s="4" t="s">
        <v>779</v>
      </c>
      <c r="F370" s="2">
        <v>82</v>
      </c>
      <c r="G370" s="2" t="s">
        <v>1399</v>
      </c>
      <c r="H370" s="2" t="s">
        <v>1400</v>
      </c>
      <c r="I370" s="4" t="s">
        <v>60</v>
      </c>
      <c r="J370" s="112">
        <f>IF($H370&lt;&gt;"Y",0,ROUND(MIN(Dashboard!$R$24,IF(IFERROR(VLOOKUP($B370,Dashboard!$Q$28:$S$60,2,FALSE),0)&gt;0,IFERROR(VLOOKUP($B370,Dashboard!$Q$28:$S$60,2,FALSE),0),$Z370*IF($U370&lt;&gt;"",ROUND((Dashboard!$R$4/$U370)*VLOOKUP($I370,Dashboard!$Q$9:$R$13,2,FALSE)*IF(ISNUMBER(SEARCH("Duals",$B370)),2,IF(ISNUMBER(SEARCH("Triples",$B370)),3,IF(ISNUMBER(SEARCH("Quads",$B370)),4,1))),2),ROUND(VLOOKUP($I370,Dashboard!$Q$15:$R$20,2,FALSE)*IF($E370="Red",Dashboard!$R$6,IF($E370="Gold",Dashboard!$R$7,Dashboard!$R$5))*IF(ISNUMBER(SEARCH("Duals",$B370)),2,IF(ISNUMBER(SEARCH("Triples",$B370)),3,IF(ISNUMBER(SEARCH("Quads",$B370)),4,1))),2))*IF(IFERROR(VLOOKUP($B370,Dashboard!$Q$28:$S$60,3,FALSE),0)&gt;0,VLOOKUP($B370,Dashboard!$Q$28:$S$60,3,FALSE),1))),0))</f>
        <v>12</v>
      </c>
      <c r="K370" s="2" t="str">
        <f>IF('Base S1'!G70="","",'Base S1'!G70)</f>
        <v>C 71/82</v>
      </c>
      <c r="L370" s="2">
        <f t="shared" si="65"/>
        <v>1</v>
      </c>
      <c r="M370" s="2">
        <f t="shared" si="66"/>
        <v>0</v>
      </c>
      <c r="N370" s="2">
        <f t="shared" si="67"/>
        <v>1</v>
      </c>
      <c r="O370" s="2">
        <f t="shared" si="68"/>
        <v>0</v>
      </c>
      <c r="P370" s="112">
        <f t="shared" si="69"/>
        <v>12</v>
      </c>
      <c r="Q370" s="112">
        <f t="shared" si="70"/>
        <v>0</v>
      </c>
      <c r="R370" s="53"/>
      <c r="S370" s="53" t="str">
        <f t="shared" si="71"/>
        <v>Base S1|Floor 82 Parallel - Season 1|69|Floor 82</v>
      </c>
      <c r="T370" s="57" t="str">
        <f>IF($S370="","",IFERROR(VLOOKUP($S370,'Pop Estimates (Non-#d)'!$N$2:$O$500,2,FALSE),""))</f>
        <v/>
      </c>
      <c r="U370" s="57">
        <f t="shared" si="72"/>
        <v>82</v>
      </c>
      <c r="V370" s="53" t="str">
        <f t="shared" si="73"/>
        <v/>
      </c>
      <c r="W370" s="53" t="str">
        <f t="shared" si="74"/>
        <v/>
      </c>
      <c r="X370" s="53" t="str">
        <f t="shared" si="75"/>
        <v/>
      </c>
      <c r="Y370" s="57" t="str">
        <f>IF($X370="","",IFERROR(VLOOKUP($X370,'Char Popularity'!$A$2:$C$500,2,FALSE),""))</f>
        <v/>
      </c>
      <c r="Z370" s="56">
        <f>IF($X370="",1,IFERROR(VLOOKUP($X370,'Char Popularity'!$A$2:$C$500,3,FALSE),1))</f>
        <v>1</v>
      </c>
      <c r="AA370" s="62">
        <f>IF($H370&lt;&gt;"Y",0,(IF($F370&lt;&gt;"",ROUND(Dashboard!$R$4/$F370,1),IF(AND($I370="Base",$E370="Base"),Dashboard!$R$5,IF(AND($I370="Base",$E370="Red"),Dashboard!$R$6,IF(AND($I370="Base",$E370="Gold"),Dashboard!$R$7,VLOOKUP($I370,Dashboard!$Q$16:$R$21,2,FALSE)))))*VLOOKUP($I370,Dashboard!$Q$9:$R$13,2,FALSE)*IF(AND($I370="Auto",$F370="",OR($B370="Autographs Duals",$B370="Autographs Triples",$B370="Autographs Quads",$B370="Autographs Quads (Inscribed)")),IF($B370="Autographs Duals",2,IF($B370="Autographs Triples",3,4)),1)))</f>
        <v>12.2</v>
      </c>
      <c r="AB370" s="62">
        <f t="shared" si="76"/>
        <v>12.2</v>
      </c>
      <c r="AC370" s="62">
        <f t="shared" si="77"/>
        <v>0</v>
      </c>
    </row>
    <row r="371" spans="1:29" ht="28.7" customHeight="1" x14ac:dyDescent="0.25">
      <c r="A371" s="4" t="s">
        <v>17</v>
      </c>
      <c r="B371" s="7" t="s">
        <v>69</v>
      </c>
      <c r="C371" s="2" t="s">
        <v>1469</v>
      </c>
      <c r="D371" s="7" t="s">
        <v>980</v>
      </c>
      <c r="E371" s="4" t="s">
        <v>779</v>
      </c>
      <c r="F371" s="2">
        <v>82</v>
      </c>
      <c r="G371" s="2" t="s">
        <v>1399</v>
      </c>
      <c r="H371" s="2" t="s">
        <v>1400</v>
      </c>
      <c r="I371" s="4" t="s">
        <v>60</v>
      </c>
      <c r="J371" s="112">
        <f>IF($H371&lt;&gt;"Y",0,ROUND(MIN(Dashboard!$R$24,IF(IFERROR(VLOOKUP($B371,Dashboard!$Q$28:$S$60,2,FALSE),0)&gt;0,IFERROR(VLOOKUP($B371,Dashboard!$Q$28:$S$60,2,FALSE),0),$Z371*IF($U371&lt;&gt;"",ROUND((Dashboard!$R$4/$U371)*VLOOKUP($I371,Dashboard!$Q$9:$R$13,2,FALSE)*IF(ISNUMBER(SEARCH("Duals",$B371)),2,IF(ISNUMBER(SEARCH("Triples",$B371)),3,IF(ISNUMBER(SEARCH("Quads",$B371)),4,1))),2),ROUND(VLOOKUP($I371,Dashboard!$Q$15:$R$20,2,FALSE)*IF($E371="Red",Dashboard!$R$6,IF($E371="Gold",Dashboard!$R$7,Dashboard!$R$5))*IF(ISNUMBER(SEARCH("Duals",$B371)),2,IF(ISNUMBER(SEARCH("Triples",$B371)),3,IF(ISNUMBER(SEARCH("Quads",$B371)),4,1))),2))*IF(IFERROR(VLOOKUP($B371,Dashboard!$Q$28:$S$60,3,FALSE),0)&gt;0,VLOOKUP($B371,Dashboard!$Q$28:$S$60,3,FALSE),1))),0))</f>
        <v>12</v>
      </c>
      <c r="K371" s="2" t="str">
        <f>IF('Base S1'!G71="","",'Base S1'!G71)</f>
        <v>C 33/82</v>
      </c>
      <c r="L371" s="2">
        <f t="shared" si="65"/>
        <v>1</v>
      </c>
      <c r="M371" s="2">
        <f t="shared" si="66"/>
        <v>0</v>
      </c>
      <c r="N371" s="2">
        <f t="shared" si="67"/>
        <v>1</v>
      </c>
      <c r="O371" s="2">
        <f t="shared" si="68"/>
        <v>0</v>
      </c>
      <c r="P371" s="112">
        <f t="shared" si="69"/>
        <v>12</v>
      </c>
      <c r="Q371" s="112">
        <f t="shared" si="70"/>
        <v>0</v>
      </c>
      <c r="R371" s="53"/>
      <c r="S371" s="53" t="str">
        <f t="shared" si="71"/>
        <v>Base S1|Floor 82 Parallel - Season 1|70|Floor 82</v>
      </c>
      <c r="T371" s="57" t="str">
        <f>IF($S371="","",IFERROR(VLOOKUP($S371,'Pop Estimates (Non-#d)'!$N$2:$O$500,2,FALSE),""))</f>
        <v/>
      </c>
      <c r="U371" s="57">
        <f t="shared" si="72"/>
        <v>82</v>
      </c>
      <c r="V371" s="53" t="str">
        <f t="shared" si="73"/>
        <v/>
      </c>
      <c r="W371" s="53" t="str">
        <f t="shared" si="74"/>
        <v/>
      </c>
      <c r="X371" s="53" t="str">
        <f t="shared" si="75"/>
        <v/>
      </c>
      <c r="Y371" s="57" t="str">
        <f>IF($X371="","",IFERROR(VLOOKUP($X371,'Char Popularity'!$A$2:$C$500,2,FALSE),""))</f>
        <v/>
      </c>
      <c r="Z371" s="56">
        <f>IF($X371="",1,IFERROR(VLOOKUP($X371,'Char Popularity'!$A$2:$C$500,3,FALSE),1))</f>
        <v>1</v>
      </c>
      <c r="AA371" s="62">
        <f>IF($H371&lt;&gt;"Y",0,(IF($F371&lt;&gt;"",ROUND(Dashboard!$R$4/$F371,1),IF(AND($I371="Base",$E371="Base"),Dashboard!$R$5,IF(AND($I371="Base",$E371="Red"),Dashboard!$R$6,IF(AND($I371="Base",$E371="Gold"),Dashboard!$R$7,VLOOKUP($I371,Dashboard!$Q$16:$R$21,2,FALSE)))))*VLOOKUP($I371,Dashboard!$Q$9:$R$13,2,FALSE)*IF(AND($I371="Auto",$F371="",OR($B371="Autographs Duals",$B371="Autographs Triples",$B371="Autographs Quads",$B371="Autographs Quads (Inscribed)")),IF($B371="Autographs Duals",2,IF($B371="Autographs Triples",3,4)),1)))</f>
        <v>12.2</v>
      </c>
      <c r="AB371" s="62">
        <f t="shared" si="76"/>
        <v>12.2</v>
      </c>
      <c r="AC371" s="62">
        <f t="shared" si="77"/>
        <v>0</v>
      </c>
    </row>
    <row r="372" spans="1:29" ht="28.7" customHeight="1" x14ac:dyDescent="0.25">
      <c r="A372" s="4" t="s">
        <v>17</v>
      </c>
      <c r="B372" s="7" t="s">
        <v>69</v>
      </c>
      <c r="C372" s="2" t="s">
        <v>1470</v>
      </c>
      <c r="D372" s="7" t="s">
        <v>981</v>
      </c>
      <c r="E372" s="4" t="s">
        <v>779</v>
      </c>
      <c r="F372" s="2">
        <v>82</v>
      </c>
      <c r="G372" s="2" t="s">
        <v>1399</v>
      </c>
      <c r="H372" s="2" t="s">
        <v>1400</v>
      </c>
      <c r="I372" s="4" t="s">
        <v>60</v>
      </c>
      <c r="J372" s="112">
        <f>IF($H372&lt;&gt;"Y",0,ROUND(MIN(Dashboard!$R$24,IF(IFERROR(VLOOKUP($B372,Dashboard!$Q$28:$S$60,2,FALSE),0)&gt;0,IFERROR(VLOOKUP($B372,Dashboard!$Q$28:$S$60,2,FALSE),0),$Z372*IF($U372&lt;&gt;"",ROUND((Dashboard!$R$4/$U372)*VLOOKUP($I372,Dashboard!$Q$9:$R$13,2,FALSE)*IF(ISNUMBER(SEARCH("Duals",$B372)),2,IF(ISNUMBER(SEARCH("Triples",$B372)),3,IF(ISNUMBER(SEARCH("Quads",$B372)),4,1))),2),ROUND(VLOOKUP($I372,Dashboard!$Q$15:$R$20,2,FALSE)*IF($E372="Red",Dashboard!$R$6,IF($E372="Gold",Dashboard!$R$7,Dashboard!$R$5))*IF(ISNUMBER(SEARCH("Duals",$B372)),2,IF(ISNUMBER(SEARCH("Triples",$B372)),3,IF(ISNUMBER(SEARCH("Quads",$B372)),4,1))),2))*IF(IFERROR(VLOOKUP($B372,Dashboard!$Q$28:$S$60,3,FALSE),0)&gt;0,VLOOKUP($B372,Dashboard!$Q$28:$S$60,3,FALSE),1))),0))</f>
        <v>12</v>
      </c>
      <c r="K372" s="2" t="str">
        <f>IF('Base S1'!G72="","",'Base S1'!G72)</f>
        <v>C 76/82</v>
      </c>
      <c r="L372" s="2">
        <f t="shared" si="65"/>
        <v>1</v>
      </c>
      <c r="M372" s="2">
        <f t="shared" si="66"/>
        <v>0</v>
      </c>
      <c r="N372" s="2">
        <f t="shared" si="67"/>
        <v>1</v>
      </c>
      <c r="O372" s="2">
        <f t="shared" si="68"/>
        <v>0</v>
      </c>
      <c r="P372" s="112">
        <f t="shared" si="69"/>
        <v>12</v>
      </c>
      <c r="Q372" s="112">
        <f t="shared" si="70"/>
        <v>0</v>
      </c>
      <c r="R372" s="53"/>
      <c r="S372" s="53" t="str">
        <f t="shared" si="71"/>
        <v>Base S1|Floor 82 Parallel - Season 1|71|Floor 82</v>
      </c>
      <c r="T372" s="57" t="str">
        <f>IF($S372="","",IFERROR(VLOOKUP($S372,'Pop Estimates (Non-#d)'!$N$2:$O$500,2,FALSE),""))</f>
        <v/>
      </c>
      <c r="U372" s="57">
        <f t="shared" si="72"/>
        <v>82</v>
      </c>
      <c r="V372" s="53" t="str">
        <f t="shared" si="73"/>
        <v/>
      </c>
      <c r="W372" s="53" t="str">
        <f t="shared" si="74"/>
        <v/>
      </c>
      <c r="X372" s="53" t="str">
        <f t="shared" si="75"/>
        <v/>
      </c>
      <c r="Y372" s="57" t="str">
        <f>IF($X372="","",IFERROR(VLOOKUP($X372,'Char Popularity'!$A$2:$C$500,2,FALSE),""))</f>
        <v/>
      </c>
      <c r="Z372" s="56">
        <f>IF($X372="",1,IFERROR(VLOOKUP($X372,'Char Popularity'!$A$2:$C$500,3,FALSE),1))</f>
        <v>1</v>
      </c>
      <c r="AA372" s="62">
        <f>IF($H372&lt;&gt;"Y",0,(IF($F372&lt;&gt;"",ROUND(Dashboard!$R$4/$F372,1),IF(AND($I372="Base",$E372="Base"),Dashboard!$R$5,IF(AND($I372="Base",$E372="Red"),Dashboard!$R$6,IF(AND($I372="Base",$E372="Gold"),Dashboard!$R$7,VLOOKUP($I372,Dashboard!$Q$16:$R$21,2,FALSE)))))*VLOOKUP($I372,Dashboard!$Q$9:$R$13,2,FALSE)*IF(AND($I372="Auto",$F372="",OR($B372="Autographs Duals",$B372="Autographs Triples",$B372="Autographs Quads",$B372="Autographs Quads (Inscribed)")),IF($B372="Autographs Duals",2,IF($B372="Autographs Triples",3,4)),1)))</f>
        <v>12.2</v>
      </c>
      <c r="AB372" s="62">
        <f t="shared" si="76"/>
        <v>12.2</v>
      </c>
      <c r="AC372" s="62">
        <f t="shared" si="77"/>
        <v>0</v>
      </c>
    </row>
    <row r="373" spans="1:29" ht="28.7" customHeight="1" x14ac:dyDescent="0.25">
      <c r="A373" s="4" t="s">
        <v>17</v>
      </c>
      <c r="B373" s="7" t="s">
        <v>69</v>
      </c>
      <c r="C373" s="2" t="s">
        <v>1471</v>
      </c>
      <c r="D373" s="7" t="s">
        <v>983</v>
      </c>
      <c r="E373" s="4" t="s">
        <v>779</v>
      </c>
      <c r="F373" s="2">
        <v>82</v>
      </c>
      <c r="G373" s="2" t="s">
        <v>1399</v>
      </c>
      <c r="H373" s="2" t="s">
        <v>1400</v>
      </c>
      <c r="I373" s="4" t="s">
        <v>60</v>
      </c>
      <c r="J373" s="112">
        <f>IF($H373&lt;&gt;"Y",0,ROUND(MIN(Dashboard!$R$24,IF(IFERROR(VLOOKUP($B373,Dashboard!$Q$28:$S$60,2,FALSE),0)&gt;0,IFERROR(VLOOKUP($B373,Dashboard!$Q$28:$S$60,2,FALSE),0),$Z373*IF($U373&lt;&gt;"",ROUND((Dashboard!$R$4/$U373)*VLOOKUP($I373,Dashboard!$Q$9:$R$13,2,FALSE)*IF(ISNUMBER(SEARCH("Duals",$B373)),2,IF(ISNUMBER(SEARCH("Triples",$B373)),3,IF(ISNUMBER(SEARCH("Quads",$B373)),4,1))),2),ROUND(VLOOKUP($I373,Dashboard!$Q$15:$R$20,2,FALSE)*IF($E373="Red",Dashboard!$R$6,IF($E373="Gold",Dashboard!$R$7,Dashboard!$R$5))*IF(ISNUMBER(SEARCH("Duals",$B373)),2,IF(ISNUMBER(SEARCH("Triples",$B373)),3,IF(ISNUMBER(SEARCH("Quads",$B373)),4,1))),2))*IF(IFERROR(VLOOKUP($B373,Dashboard!$Q$28:$S$60,3,FALSE),0)&gt;0,VLOOKUP($B373,Dashboard!$Q$28:$S$60,3,FALSE),1))),0))</f>
        <v>12</v>
      </c>
      <c r="K373" s="2" t="str">
        <f>IF('Base S1'!G73="","",'Base S1'!G73)</f>
        <v>C 38/82</v>
      </c>
      <c r="L373" s="2">
        <f t="shared" si="65"/>
        <v>1</v>
      </c>
      <c r="M373" s="2">
        <f t="shared" si="66"/>
        <v>0</v>
      </c>
      <c r="N373" s="2">
        <f t="shared" si="67"/>
        <v>1</v>
      </c>
      <c r="O373" s="2">
        <f t="shared" si="68"/>
        <v>0</v>
      </c>
      <c r="P373" s="112">
        <f t="shared" si="69"/>
        <v>12</v>
      </c>
      <c r="Q373" s="112">
        <f t="shared" si="70"/>
        <v>0</v>
      </c>
      <c r="R373" s="53"/>
      <c r="S373" s="53" t="str">
        <f t="shared" si="71"/>
        <v>Base S1|Floor 82 Parallel - Season 1|72|Floor 82</v>
      </c>
      <c r="T373" s="57" t="str">
        <f>IF($S373="","",IFERROR(VLOOKUP($S373,'Pop Estimates (Non-#d)'!$N$2:$O$500,2,FALSE),""))</f>
        <v/>
      </c>
      <c r="U373" s="57">
        <f t="shared" si="72"/>
        <v>82</v>
      </c>
      <c r="V373" s="53" t="str">
        <f t="shared" si="73"/>
        <v/>
      </c>
      <c r="W373" s="53" t="str">
        <f t="shared" si="74"/>
        <v/>
      </c>
      <c r="X373" s="53" t="str">
        <f t="shared" si="75"/>
        <v/>
      </c>
      <c r="Y373" s="57" t="str">
        <f>IF($X373="","",IFERROR(VLOOKUP($X373,'Char Popularity'!$A$2:$C$500,2,FALSE),""))</f>
        <v/>
      </c>
      <c r="Z373" s="56">
        <f>IF($X373="",1,IFERROR(VLOOKUP($X373,'Char Popularity'!$A$2:$C$500,3,FALSE),1))</f>
        <v>1</v>
      </c>
      <c r="AA373" s="62">
        <f>IF($H373&lt;&gt;"Y",0,(IF($F373&lt;&gt;"",ROUND(Dashboard!$R$4/$F373,1),IF(AND($I373="Base",$E373="Base"),Dashboard!$R$5,IF(AND($I373="Base",$E373="Red"),Dashboard!$R$6,IF(AND($I373="Base",$E373="Gold"),Dashboard!$R$7,VLOOKUP($I373,Dashboard!$Q$16:$R$21,2,FALSE)))))*VLOOKUP($I373,Dashboard!$Q$9:$R$13,2,FALSE)*IF(AND($I373="Auto",$F373="",OR($B373="Autographs Duals",$B373="Autographs Triples",$B373="Autographs Quads",$B373="Autographs Quads (Inscribed)")),IF($B373="Autographs Duals",2,IF($B373="Autographs Triples",3,4)),1)))</f>
        <v>12.2</v>
      </c>
      <c r="AB373" s="62">
        <f t="shared" si="76"/>
        <v>12.2</v>
      </c>
      <c r="AC373" s="62">
        <f t="shared" si="77"/>
        <v>0</v>
      </c>
    </row>
    <row r="374" spans="1:29" ht="28.7" customHeight="1" x14ac:dyDescent="0.25">
      <c r="A374" s="4" t="s">
        <v>17</v>
      </c>
      <c r="B374" s="7" t="s">
        <v>69</v>
      </c>
      <c r="C374" s="2" t="s">
        <v>1472</v>
      </c>
      <c r="D374" s="7" t="s">
        <v>985</v>
      </c>
      <c r="E374" s="4" t="s">
        <v>779</v>
      </c>
      <c r="F374" s="2">
        <v>82</v>
      </c>
      <c r="G374" s="2" t="s">
        <v>1399</v>
      </c>
      <c r="H374" s="2" t="s">
        <v>1400</v>
      </c>
      <c r="I374" s="4" t="s">
        <v>60</v>
      </c>
      <c r="J374" s="112">
        <f>IF($H374&lt;&gt;"Y",0,ROUND(MIN(Dashboard!$R$24,IF(IFERROR(VLOOKUP($B374,Dashboard!$Q$28:$S$60,2,FALSE),0)&gt;0,IFERROR(VLOOKUP($B374,Dashboard!$Q$28:$S$60,2,FALSE),0),$Z374*IF($U374&lt;&gt;"",ROUND((Dashboard!$R$4/$U374)*VLOOKUP($I374,Dashboard!$Q$9:$R$13,2,FALSE)*IF(ISNUMBER(SEARCH("Duals",$B374)),2,IF(ISNUMBER(SEARCH("Triples",$B374)),3,IF(ISNUMBER(SEARCH("Quads",$B374)),4,1))),2),ROUND(VLOOKUP($I374,Dashboard!$Q$15:$R$20,2,FALSE)*IF($E374="Red",Dashboard!$R$6,IF($E374="Gold",Dashboard!$R$7,Dashboard!$R$5))*IF(ISNUMBER(SEARCH("Duals",$B374)),2,IF(ISNUMBER(SEARCH("Triples",$B374)),3,IF(ISNUMBER(SEARCH("Quads",$B374)),4,1))),2))*IF(IFERROR(VLOOKUP($B374,Dashboard!$Q$28:$S$60,3,FALSE),0)&gt;0,VLOOKUP($B374,Dashboard!$Q$28:$S$60,3,FALSE),1))),0))</f>
        <v>12</v>
      </c>
      <c r="K374" s="2" t="str">
        <f>IF('Base S1'!G74="","",'Base S1'!G74)</f>
        <v>V 33/82</v>
      </c>
      <c r="L374" s="2">
        <f t="shared" si="65"/>
        <v>1</v>
      </c>
      <c r="M374" s="2">
        <f t="shared" si="66"/>
        <v>0</v>
      </c>
      <c r="N374" s="2">
        <f t="shared" si="67"/>
        <v>1</v>
      </c>
      <c r="O374" s="2">
        <f t="shared" si="68"/>
        <v>0</v>
      </c>
      <c r="P374" s="112">
        <f t="shared" si="69"/>
        <v>12</v>
      </c>
      <c r="Q374" s="112">
        <f t="shared" si="70"/>
        <v>0</v>
      </c>
      <c r="R374" s="53"/>
      <c r="S374" s="53" t="str">
        <f t="shared" si="71"/>
        <v>Base S1|Floor 82 Parallel - Season 1|73|Floor 82</v>
      </c>
      <c r="T374" s="57" t="str">
        <f>IF($S374="","",IFERROR(VLOOKUP($S374,'Pop Estimates (Non-#d)'!$N$2:$O$500,2,FALSE),""))</f>
        <v/>
      </c>
      <c r="U374" s="57">
        <f t="shared" si="72"/>
        <v>82</v>
      </c>
      <c r="V374" s="53" t="str">
        <f t="shared" si="73"/>
        <v/>
      </c>
      <c r="W374" s="53" t="str">
        <f t="shared" si="74"/>
        <v/>
      </c>
      <c r="X374" s="53" t="str">
        <f t="shared" si="75"/>
        <v/>
      </c>
      <c r="Y374" s="57" t="str">
        <f>IF($X374="","",IFERROR(VLOOKUP($X374,'Char Popularity'!$A$2:$C$500,2,FALSE),""))</f>
        <v/>
      </c>
      <c r="Z374" s="56">
        <f>IF($X374="",1,IFERROR(VLOOKUP($X374,'Char Popularity'!$A$2:$C$500,3,FALSE),1))</f>
        <v>1</v>
      </c>
      <c r="AA374" s="62">
        <f>IF($H374&lt;&gt;"Y",0,(IF($F374&lt;&gt;"",ROUND(Dashboard!$R$4/$F374,1),IF(AND($I374="Base",$E374="Base"),Dashboard!$R$5,IF(AND($I374="Base",$E374="Red"),Dashboard!$R$6,IF(AND($I374="Base",$E374="Gold"),Dashboard!$R$7,VLOOKUP($I374,Dashboard!$Q$16:$R$21,2,FALSE)))))*VLOOKUP($I374,Dashboard!$Q$9:$R$13,2,FALSE)*IF(AND($I374="Auto",$F374="",OR($B374="Autographs Duals",$B374="Autographs Triples",$B374="Autographs Quads",$B374="Autographs Quads (Inscribed)")),IF($B374="Autographs Duals",2,IF($B374="Autographs Triples",3,4)),1)))</f>
        <v>12.2</v>
      </c>
      <c r="AB374" s="62">
        <f t="shared" si="76"/>
        <v>12.2</v>
      </c>
      <c r="AC374" s="62">
        <f t="shared" si="77"/>
        <v>0</v>
      </c>
    </row>
    <row r="375" spans="1:29" ht="28.7" customHeight="1" x14ac:dyDescent="0.25">
      <c r="A375" s="4" t="s">
        <v>17</v>
      </c>
      <c r="B375" s="7" t="s">
        <v>69</v>
      </c>
      <c r="C375" s="2" t="s">
        <v>1473</v>
      </c>
      <c r="D375" s="7" t="s">
        <v>987</v>
      </c>
      <c r="E375" s="4" t="s">
        <v>779</v>
      </c>
      <c r="F375" s="2">
        <v>82</v>
      </c>
      <c r="G375" s="2" t="s">
        <v>1399</v>
      </c>
      <c r="H375" s="2" t="s">
        <v>1400</v>
      </c>
      <c r="I375" s="4" t="s">
        <v>60</v>
      </c>
      <c r="J375" s="112">
        <f>IF($H375&lt;&gt;"Y",0,ROUND(MIN(Dashboard!$R$24,IF(IFERROR(VLOOKUP($B375,Dashboard!$Q$28:$S$60,2,FALSE),0)&gt;0,IFERROR(VLOOKUP($B375,Dashboard!$Q$28:$S$60,2,FALSE),0),$Z375*IF($U375&lt;&gt;"",ROUND((Dashboard!$R$4/$U375)*VLOOKUP($I375,Dashboard!$Q$9:$R$13,2,FALSE)*IF(ISNUMBER(SEARCH("Duals",$B375)),2,IF(ISNUMBER(SEARCH("Triples",$B375)),3,IF(ISNUMBER(SEARCH("Quads",$B375)),4,1))),2),ROUND(VLOOKUP($I375,Dashboard!$Q$15:$R$20,2,FALSE)*IF($E375="Red",Dashboard!$R$6,IF($E375="Gold",Dashboard!$R$7,Dashboard!$R$5))*IF(ISNUMBER(SEARCH("Duals",$B375)),2,IF(ISNUMBER(SEARCH("Triples",$B375)),3,IF(ISNUMBER(SEARCH("Quads",$B375)),4,1))),2))*IF(IFERROR(VLOOKUP($B375,Dashboard!$Q$28:$S$60,3,FALSE),0)&gt;0,VLOOKUP($B375,Dashboard!$Q$28:$S$60,3,FALSE),1))),0))</f>
        <v>12</v>
      </c>
      <c r="K375" s="2" t="str">
        <f>IF('Base S1'!G75="","",'Base S1'!G75)</f>
        <v>C 78/82</v>
      </c>
      <c r="L375" s="2">
        <f t="shared" si="65"/>
        <v>1</v>
      </c>
      <c r="M375" s="2">
        <f t="shared" si="66"/>
        <v>0</v>
      </c>
      <c r="N375" s="2">
        <f t="shared" si="67"/>
        <v>1</v>
      </c>
      <c r="O375" s="2">
        <f t="shared" si="68"/>
        <v>0</v>
      </c>
      <c r="P375" s="112">
        <f t="shared" si="69"/>
        <v>12</v>
      </c>
      <c r="Q375" s="112">
        <f t="shared" si="70"/>
        <v>0</v>
      </c>
      <c r="R375" s="53"/>
      <c r="S375" s="53" t="str">
        <f t="shared" si="71"/>
        <v>Base S1|Floor 82 Parallel - Season 1|74|Floor 82</v>
      </c>
      <c r="T375" s="57" t="str">
        <f>IF($S375="","",IFERROR(VLOOKUP($S375,'Pop Estimates (Non-#d)'!$N$2:$O$500,2,FALSE),""))</f>
        <v/>
      </c>
      <c r="U375" s="57">
        <f t="shared" si="72"/>
        <v>82</v>
      </c>
      <c r="V375" s="53" t="str">
        <f t="shared" si="73"/>
        <v/>
      </c>
      <c r="W375" s="53" t="str">
        <f t="shared" si="74"/>
        <v/>
      </c>
      <c r="X375" s="53" t="str">
        <f t="shared" si="75"/>
        <v/>
      </c>
      <c r="Y375" s="57" t="str">
        <f>IF($X375="","",IFERROR(VLOOKUP($X375,'Char Popularity'!$A$2:$C$500,2,FALSE),""))</f>
        <v/>
      </c>
      <c r="Z375" s="56">
        <f>IF($X375="",1,IFERROR(VLOOKUP($X375,'Char Popularity'!$A$2:$C$500,3,FALSE),1))</f>
        <v>1</v>
      </c>
      <c r="AA375" s="62">
        <f>IF($H375&lt;&gt;"Y",0,(IF($F375&lt;&gt;"",ROUND(Dashboard!$R$4/$F375,1),IF(AND($I375="Base",$E375="Base"),Dashboard!$R$5,IF(AND($I375="Base",$E375="Red"),Dashboard!$R$6,IF(AND($I375="Base",$E375="Gold"),Dashboard!$R$7,VLOOKUP($I375,Dashboard!$Q$16:$R$21,2,FALSE)))))*VLOOKUP($I375,Dashboard!$Q$9:$R$13,2,FALSE)*IF(AND($I375="Auto",$F375="",OR($B375="Autographs Duals",$B375="Autographs Triples",$B375="Autographs Quads",$B375="Autographs Quads (Inscribed)")),IF($B375="Autographs Duals",2,IF($B375="Autographs Triples",3,4)),1)))</f>
        <v>12.2</v>
      </c>
      <c r="AB375" s="62">
        <f t="shared" si="76"/>
        <v>12.2</v>
      </c>
      <c r="AC375" s="62">
        <f t="shared" si="77"/>
        <v>0</v>
      </c>
    </row>
    <row r="376" spans="1:29" ht="28.7" customHeight="1" x14ac:dyDescent="0.25">
      <c r="A376" s="4" t="s">
        <v>17</v>
      </c>
      <c r="B376" s="7" t="s">
        <v>69</v>
      </c>
      <c r="C376" s="2" t="s">
        <v>1474</v>
      </c>
      <c r="D376" s="7" t="s">
        <v>989</v>
      </c>
      <c r="E376" s="4" t="s">
        <v>779</v>
      </c>
      <c r="F376" s="2">
        <v>82</v>
      </c>
      <c r="G376" s="2" t="s">
        <v>1399</v>
      </c>
      <c r="H376" s="2" t="s">
        <v>1400</v>
      </c>
      <c r="I376" s="4" t="s">
        <v>60</v>
      </c>
      <c r="J376" s="112">
        <f>IF($H376&lt;&gt;"Y",0,ROUND(MIN(Dashboard!$R$24,IF(IFERROR(VLOOKUP($B376,Dashboard!$Q$28:$S$60,2,FALSE),0)&gt;0,IFERROR(VLOOKUP($B376,Dashboard!$Q$28:$S$60,2,FALSE),0),$Z376*IF($U376&lt;&gt;"",ROUND((Dashboard!$R$4/$U376)*VLOOKUP($I376,Dashboard!$Q$9:$R$13,2,FALSE)*IF(ISNUMBER(SEARCH("Duals",$B376)),2,IF(ISNUMBER(SEARCH("Triples",$B376)),3,IF(ISNUMBER(SEARCH("Quads",$B376)),4,1))),2),ROUND(VLOOKUP($I376,Dashboard!$Q$15:$R$20,2,FALSE)*IF($E376="Red",Dashboard!$R$6,IF($E376="Gold",Dashboard!$R$7,Dashboard!$R$5))*IF(ISNUMBER(SEARCH("Duals",$B376)),2,IF(ISNUMBER(SEARCH("Triples",$B376)),3,IF(ISNUMBER(SEARCH("Quads",$B376)),4,1))),2))*IF(IFERROR(VLOOKUP($B376,Dashboard!$Q$28:$S$60,3,FALSE),0)&gt;0,VLOOKUP($B376,Dashboard!$Q$28:$S$60,3,FALSE),1))),0))</f>
        <v>12</v>
      </c>
      <c r="K376" s="2" t="str">
        <f>IF('Base S1'!G76="","",'Base S1'!G76)</f>
        <v>C '12/82</v>
      </c>
      <c r="L376" s="2">
        <f t="shared" si="65"/>
        <v>1</v>
      </c>
      <c r="M376" s="2">
        <f t="shared" si="66"/>
        <v>0</v>
      </c>
      <c r="N376" s="2">
        <f t="shared" si="67"/>
        <v>1</v>
      </c>
      <c r="O376" s="2">
        <f t="shared" si="68"/>
        <v>0</v>
      </c>
      <c r="P376" s="112">
        <f t="shared" si="69"/>
        <v>12</v>
      </c>
      <c r="Q376" s="112">
        <f t="shared" si="70"/>
        <v>0</v>
      </c>
      <c r="R376" s="53"/>
      <c r="S376" s="53" t="str">
        <f t="shared" si="71"/>
        <v>Base S1|Floor 82 Parallel - Season 1|75|Floor 82</v>
      </c>
      <c r="T376" s="57" t="str">
        <f>IF($S376="","",IFERROR(VLOOKUP($S376,'Pop Estimates (Non-#d)'!$N$2:$O$500,2,FALSE),""))</f>
        <v/>
      </c>
      <c r="U376" s="57">
        <f t="shared" si="72"/>
        <v>82</v>
      </c>
      <c r="V376" s="53" t="str">
        <f t="shared" si="73"/>
        <v/>
      </c>
      <c r="W376" s="53" t="str">
        <f t="shared" si="74"/>
        <v/>
      </c>
      <c r="X376" s="53" t="str">
        <f t="shared" si="75"/>
        <v/>
      </c>
      <c r="Y376" s="57" t="str">
        <f>IF($X376="","",IFERROR(VLOOKUP($X376,'Char Popularity'!$A$2:$C$500,2,FALSE),""))</f>
        <v/>
      </c>
      <c r="Z376" s="56">
        <f>IF($X376="",1,IFERROR(VLOOKUP($X376,'Char Popularity'!$A$2:$C$500,3,FALSE),1))</f>
        <v>1</v>
      </c>
      <c r="AA376" s="62">
        <f>IF($H376&lt;&gt;"Y",0,(IF($F376&lt;&gt;"",ROUND(Dashboard!$R$4/$F376,1),IF(AND($I376="Base",$E376="Base"),Dashboard!$R$5,IF(AND($I376="Base",$E376="Red"),Dashboard!$R$6,IF(AND($I376="Base",$E376="Gold"),Dashboard!$R$7,VLOOKUP($I376,Dashboard!$Q$16:$R$21,2,FALSE)))))*VLOOKUP($I376,Dashboard!$Q$9:$R$13,2,FALSE)*IF(AND($I376="Auto",$F376="",OR($B376="Autographs Duals",$B376="Autographs Triples",$B376="Autographs Quads",$B376="Autographs Quads (Inscribed)")),IF($B376="Autographs Duals",2,IF($B376="Autographs Triples",3,4)),1)))</f>
        <v>12.2</v>
      </c>
      <c r="AB376" s="62">
        <f t="shared" si="76"/>
        <v>12.2</v>
      </c>
      <c r="AC376" s="62">
        <f t="shared" si="77"/>
        <v>0</v>
      </c>
    </row>
    <row r="377" spans="1:29" ht="28.7" customHeight="1" x14ac:dyDescent="0.25">
      <c r="A377" s="4" t="s">
        <v>17</v>
      </c>
      <c r="B377" s="7" t="s">
        <v>69</v>
      </c>
      <c r="C377" s="2" t="s">
        <v>1475</v>
      </c>
      <c r="D377" s="7" t="s">
        <v>991</v>
      </c>
      <c r="E377" s="4" t="s">
        <v>779</v>
      </c>
      <c r="F377" s="2">
        <v>82</v>
      </c>
      <c r="G377" s="2" t="s">
        <v>1399</v>
      </c>
      <c r="H377" s="2" t="s">
        <v>1400</v>
      </c>
      <c r="I377" s="4" t="s">
        <v>60</v>
      </c>
      <c r="J377" s="112">
        <f>IF($H377&lt;&gt;"Y",0,ROUND(MIN(Dashboard!$R$24,IF(IFERROR(VLOOKUP($B377,Dashboard!$Q$28:$S$60,2,FALSE),0)&gt;0,IFERROR(VLOOKUP($B377,Dashboard!$Q$28:$S$60,2,FALSE),0),$Z377*IF($U377&lt;&gt;"",ROUND((Dashboard!$R$4/$U377)*VLOOKUP($I377,Dashboard!$Q$9:$R$13,2,FALSE)*IF(ISNUMBER(SEARCH("Duals",$B377)),2,IF(ISNUMBER(SEARCH("Triples",$B377)),3,IF(ISNUMBER(SEARCH("Quads",$B377)),4,1))),2),ROUND(VLOOKUP($I377,Dashboard!$Q$15:$R$20,2,FALSE)*IF($E377="Red",Dashboard!$R$6,IF($E377="Gold",Dashboard!$R$7,Dashboard!$R$5))*IF(ISNUMBER(SEARCH("Duals",$B377)),2,IF(ISNUMBER(SEARCH("Triples",$B377)),3,IF(ISNUMBER(SEARCH("Quads",$B377)),4,1))),2))*IF(IFERROR(VLOOKUP($B377,Dashboard!$Q$28:$S$60,3,FALSE),0)&gt;0,VLOOKUP($B377,Dashboard!$Q$28:$S$60,3,FALSE),1))),0))</f>
        <v>12</v>
      </c>
      <c r="K377" s="2" t="str">
        <f>IF('Base S1'!G77="","",'Base S1'!G77)</f>
        <v>C 28/82</v>
      </c>
      <c r="L377" s="2">
        <f t="shared" si="65"/>
        <v>1</v>
      </c>
      <c r="M377" s="2">
        <f t="shared" si="66"/>
        <v>0</v>
      </c>
      <c r="N377" s="2">
        <f t="shared" si="67"/>
        <v>1</v>
      </c>
      <c r="O377" s="2">
        <f t="shared" si="68"/>
        <v>0</v>
      </c>
      <c r="P377" s="112">
        <f t="shared" si="69"/>
        <v>12</v>
      </c>
      <c r="Q377" s="112">
        <f t="shared" si="70"/>
        <v>0</v>
      </c>
      <c r="R377" s="53"/>
      <c r="S377" s="53" t="str">
        <f t="shared" si="71"/>
        <v>Base S1|Floor 82 Parallel - Season 1|76|Floor 82</v>
      </c>
      <c r="T377" s="57" t="str">
        <f>IF($S377="","",IFERROR(VLOOKUP($S377,'Pop Estimates (Non-#d)'!$N$2:$O$500,2,FALSE),""))</f>
        <v/>
      </c>
      <c r="U377" s="57">
        <f t="shared" si="72"/>
        <v>82</v>
      </c>
      <c r="V377" s="53" t="str">
        <f t="shared" si="73"/>
        <v/>
      </c>
      <c r="W377" s="53" t="str">
        <f t="shared" si="74"/>
        <v/>
      </c>
      <c r="X377" s="53" t="str">
        <f t="shared" si="75"/>
        <v/>
      </c>
      <c r="Y377" s="57" t="str">
        <f>IF($X377="","",IFERROR(VLOOKUP($X377,'Char Popularity'!$A$2:$C$500,2,FALSE),""))</f>
        <v/>
      </c>
      <c r="Z377" s="56">
        <f>IF($X377="",1,IFERROR(VLOOKUP($X377,'Char Popularity'!$A$2:$C$500,3,FALSE),1))</f>
        <v>1</v>
      </c>
      <c r="AA377" s="62">
        <f>IF($H377&lt;&gt;"Y",0,(IF($F377&lt;&gt;"",ROUND(Dashboard!$R$4/$F377,1),IF(AND($I377="Base",$E377="Base"),Dashboard!$R$5,IF(AND($I377="Base",$E377="Red"),Dashboard!$R$6,IF(AND($I377="Base",$E377="Gold"),Dashboard!$R$7,VLOOKUP($I377,Dashboard!$Q$16:$R$21,2,FALSE)))))*VLOOKUP($I377,Dashboard!$Q$9:$R$13,2,FALSE)*IF(AND($I377="Auto",$F377="",OR($B377="Autographs Duals",$B377="Autographs Triples",$B377="Autographs Quads",$B377="Autographs Quads (Inscribed)")),IF($B377="Autographs Duals",2,IF($B377="Autographs Triples",3,4)),1)))</f>
        <v>12.2</v>
      </c>
      <c r="AB377" s="62">
        <f t="shared" si="76"/>
        <v>12.2</v>
      </c>
      <c r="AC377" s="62">
        <f t="shared" si="77"/>
        <v>0</v>
      </c>
    </row>
    <row r="378" spans="1:29" ht="28.7" customHeight="1" x14ac:dyDescent="0.25">
      <c r="A378" s="4" t="s">
        <v>17</v>
      </c>
      <c r="B378" s="7" t="s">
        <v>69</v>
      </c>
      <c r="C378" s="2" t="s">
        <v>1476</v>
      </c>
      <c r="D378" s="7" t="s">
        <v>993</v>
      </c>
      <c r="E378" s="4" t="s">
        <v>779</v>
      </c>
      <c r="F378" s="2">
        <v>82</v>
      </c>
      <c r="G378" s="2" t="s">
        <v>1399</v>
      </c>
      <c r="H378" s="2" t="s">
        <v>1400</v>
      </c>
      <c r="I378" s="4" t="s">
        <v>60</v>
      </c>
      <c r="J378" s="112">
        <f>IF($H378&lt;&gt;"Y",0,ROUND(MIN(Dashboard!$R$24,IF(IFERROR(VLOOKUP($B378,Dashboard!$Q$28:$S$60,2,FALSE),0)&gt;0,IFERROR(VLOOKUP($B378,Dashboard!$Q$28:$S$60,2,FALSE),0),$Z378*IF($U378&lt;&gt;"",ROUND((Dashboard!$R$4/$U378)*VLOOKUP($I378,Dashboard!$Q$9:$R$13,2,FALSE)*IF(ISNUMBER(SEARCH("Duals",$B378)),2,IF(ISNUMBER(SEARCH("Triples",$B378)),3,IF(ISNUMBER(SEARCH("Quads",$B378)),4,1))),2),ROUND(VLOOKUP($I378,Dashboard!$Q$15:$R$20,2,FALSE)*IF($E378="Red",Dashboard!$R$6,IF($E378="Gold",Dashboard!$R$7,Dashboard!$R$5))*IF(ISNUMBER(SEARCH("Duals",$B378)),2,IF(ISNUMBER(SEARCH("Triples",$B378)),3,IF(ISNUMBER(SEARCH("Quads",$B378)),4,1))),2))*IF(IFERROR(VLOOKUP($B378,Dashboard!$Q$28:$S$60,3,FALSE),0)&gt;0,VLOOKUP($B378,Dashboard!$Q$28:$S$60,3,FALSE),1))),0))</f>
        <v>12</v>
      </c>
      <c r="K378" s="2" t="str">
        <f>IF('Base S1'!G78="","",'Base S1'!G78)</f>
        <v>V 09/82</v>
      </c>
      <c r="L378" s="2">
        <f t="shared" si="65"/>
        <v>1</v>
      </c>
      <c r="M378" s="2">
        <f t="shared" si="66"/>
        <v>0</v>
      </c>
      <c r="N378" s="2">
        <f t="shared" si="67"/>
        <v>1</v>
      </c>
      <c r="O378" s="2">
        <f t="shared" si="68"/>
        <v>0</v>
      </c>
      <c r="P378" s="112">
        <f t="shared" si="69"/>
        <v>12</v>
      </c>
      <c r="Q378" s="112">
        <f t="shared" si="70"/>
        <v>0</v>
      </c>
      <c r="R378" s="53"/>
      <c r="S378" s="53" t="str">
        <f t="shared" si="71"/>
        <v>Base S1|Floor 82 Parallel - Season 1|77|Floor 82</v>
      </c>
      <c r="T378" s="57" t="str">
        <f>IF($S378="","",IFERROR(VLOOKUP($S378,'Pop Estimates (Non-#d)'!$N$2:$O$500,2,FALSE),""))</f>
        <v/>
      </c>
      <c r="U378" s="57">
        <f t="shared" si="72"/>
        <v>82</v>
      </c>
      <c r="V378" s="53" t="str">
        <f t="shared" si="73"/>
        <v/>
      </c>
      <c r="W378" s="53" t="str">
        <f t="shared" si="74"/>
        <v/>
      </c>
      <c r="X378" s="53" t="str">
        <f t="shared" si="75"/>
        <v/>
      </c>
      <c r="Y378" s="57" t="str">
        <f>IF($X378="","",IFERROR(VLOOKUP($X378,'Char Popularity'!$A$2:$C$500,2,FALSE),""))</f>
        <v/>
      </c>
      <c r="Z378" s="56">
        <f>IF($X378="",1,IFERROR(VLOOKUP($X378,'Char Popularity'!$A$2:$C$500,3,FALSE),1))</f>
        <v>1</v>
      </c>
      <c r="AA378" s="62">
        <f>IF($H378&lt;&gt;"Y",0,(IF($F378&lt;&gt;"",ROUND(Dashboard!$R$4/$F378,1),IF(AND($I378="Base",$E378="Base"),Dashboard!$R$5,IF(AND($I378="Base",$E378="Red"),Dashboard!$R$6,IF(AND($I378="Base",$E378="Gold"),Dashboard!$R$7,VLOOKUP($I378,Dashboard!$Q$16:$R$21,2,FALSE)))))*VLOOKUP($I378,Dashboard!$Q$9:$R$13,2,FALSE)*IF(AND($I378="Auto",$F378="",OR($B378="Autographs Duals",$B378="Autographs Triples",$B378="Autographs Quads",$B378="Autographs Quads (Inscribed)")),IF($B378="Autographs Duals",2,IF($B378="Autographs Triples",3,4)),1)))</f>
        <v>12.2</v>
      </c>
      <c r="AB378" s="62">
        <f t="shared" si="76"/>
        <v>12.2</v>
      </c>
      <c r="AC378" s="62">
        <f t="shared" si="77"/>
        <v>0</v>
      </c>
    </row>
    <row r="379" spans="1:29" ht="28.7" customHeight="1" x14ac:dyDescent="0.25">
      <c r="A379" s="4" t="s">
        <v>17</v>
      </c>
      <c r="B379" s="7" t="s">
        <v>69</v>
      </c>
      <c r="C379" s="2" t="s">
        <v>1477</v>
      </c>
      <c r="D379" s="7" t="s">
        <v>995</v>
      </c>
      <c r="E379" s="4" t="s">
        <v>779</v>
      </c>
      <c r="F379" s="2">
        <v>82</v>
      </c>
      <c r="G379" s="2" t="s">
        <v>1399</v>
      </c>
      <c r="H379" s="2" t="s">
        <v>1400</v>
      </c>
      <c r="I379" s="4" t="s">
        <v>60</v>
      </c>
      <c r="J379" s="112">
        <f>IF($H379&lt;&gt;"Y",0,ROUND(MIN(Dashboard!$R$24,IF(IFERROR(VLOOKUP($B379,Dashboard!$Q$28:$S$60,2,FALSE),0)&gt;0,IFERROR(VLOOKUP($B379,Dashboard!$Q$28:$S$60,2,FALSE),0),$Z379*IF($U379&lt;&gt;"",ROUND((Dashboard!$R$4/$U379)*VLOOKUP($I379,Dashboard!$Q$9:$R$13,2,FALSE)*IF(ISNUMBER(SEARCH("Duals",$B379)),2,IF(ISNUMBER(SEARCH("Triples",$B379)),3,IF(ISNUMBER(SEARCH("Quads",$B379)),4,1))),2),ROUND(VLOOKUP($I379,Dashboard!$Q$15:$R$20,2,FALSE)*IF($E379="Red",Dashboard!$R$6,IF($E379="Gold",Dashboard!$R$7,Dashboard!$R$5))*IF(ISNUMBER(SEARCH("Duals",$B379)),2,IF(ISNUMBER(SEARCH("Triples",$B379)),3,IF(ISNUMBER(SEARCH("Quads",$B379)),4,1))),2))*IF(IFERROR(VLOOKUP($B379,Dashboard!$Q$28:$S$60,3,FALSE),0)&gt;0,VLOOKUP($B379,Dashboard!$Q$28:$S$60,3,FALSE),1))),0))</f>
        <v>12</v>
      </c>
      <c r="K379" s="2" t="str">
        <f>IF('Base S1'!G79="","",'Base S1'!G79)</f>
        <v>V 07/82</v>
      </c>
      <c r="L379" s="2">
        <f t="shared" si="65"/>
        <v>1</v>
      </c>
      <c r="M379" s="2">
        <f t="shared" si="66"/>
        <v>0</v>
      </c>
      <c r="N379" s="2">
        <f t="shared" si="67"/>
        <v>1</v>
      </c>
      <c r="O379" s="2">
        <f t="shared" si="68"/>
        <v>0</v>
      </c>
      <c r="P379" s="112">
        <f t="shared" si="69"/>
        <v>12</v>
      </c>
      <c r="Q379" s="112">
        <f t="shared" si="70"/>
        <v>0</v>
      </c>
      <c r="R379" s="53"/>
      <c r="S379" s="53" t="str">
        <f t="shared" si="71"/>
        <v>Base S1|Floor 82 Parallel - Season 1|78|Floor 82</v>
      </c>
      <c r="T379" s="57" t="str">
        <f>IF($S379="","",IFERROR(VLOOKUP($S379,'Pop Estimates (Non-#d)'!$N$2:$O$500,2,FALSE),""))</f>
        <v/>
      </c>
      <c r="U379" s="57">
        <f t="shared" si="72"/>
        <v>82</v>
      </c>
      <c r="V379" s="53" t="str">
        <f t="shared" si="73"/>
        <v/>
      </c>
      <c r="W379" s="53" t="str">
        <f t="shared" si="74"/>
        <v/>
      </c>
      <c r="X379" s="53" t="str">
        <f t="shared" si="75"/>
        <v/>
      </c>
      <c r="Y379" s="57" t="str">
        <f>IF($X379="","",IFERROR(VLOOKUP($X379,'Char Popularity'!$A$2:$C$500,2,FALSE),""))</f>
        <v/>
      </c>
      <c r="Z379" s="56">
        <f>IF($X379="",1,IFERROR(VLOOKUP($X379,'Char Popularity'!$A$2:$C$500,3,FALSE),1))</f>
        <v>1</v>
      </c>
      <c r="AA379" s="62">
        <f>IF($H379&lt;&gt;"Y",0,(IF($F379&lt;&gt;"",ROUND(Dashboard!$R$4/$F379,1),IF(AND($I379="Base",$E379="Base"),Dashboard!$R$5,IF(AND($I379="Base",$E379="Red"),Dashboard!$R$6,IF(AND($I379="Base",$E379="Gold"),Dashboard!$R$7,VLOOKUP($I379,Dashboard!$Q$16:$R$21,2,FALSE)))))*VLOOKUP($I379,Dashboard!$Q$9:$R$13,2,FALSE)*IF(AND($I379="Auto",$F379="",OR($B379="Autographs Duals",$B379="Autographs Triples",$B379="Autographs Quads",$B379="Autographs Quads (Inscribed)")),IF($B379="Autographs Duals",2,IF($B379="Autographs Triples",3,4)),1)))</f>
        <v>12.2</v>
      </c>
      <c r="AB379" s="62">
        <f t="shared" si="76"/>
        <v>12.2</v>
      </c>
      <c r="AC379" s="62">
        <f t="shared" si="77"/>
        <v>0</v>
      </c>
    </row>
    <row r="380" spans="1:29" ht="28.7" customHeight="1" x14ac:dyDescent="0.25">
      <c r="A380" s="4" t="s">
        <v>17</v>
      </c>
      <c r="B380" s="7" t="s">
        <v>69</v>
      </c>
      <c r="C380" s="2" t="s">
        <v>1478</v>
      </c>
      <c r="D380" s="7" t="s">
        <v>998</v>
      </c>
      <c r="E380" s="4" t="s">
        <v>779</v>
      </c>
      <c r="F380" s="2">
        <v>82</v>
      </c>
      <c r="G380" s="2" t="s">
        <v>1399</v>
      </c>
      <c r="H380" s="2" t="s">
        <v>1400</v>
      </c>
      <c r="I380" s="4" t="s">
        <v>60</v>
      </c>
      <c r="J380" s="112">
        <f>IF($H380&lt;&gt;"Y",0,ROUND(MIN(Dashboard!$R$24,IF(IFERROR(VLOOKUP($B380,Dashboard!$Q$28:$S$60,2,FALSE),0)&gt;0,IFERROR(VLOOKUP($B380,Dashboard!$Q$28:$S$60,2,FALSE),0),$Z380*IF($U380&lt;&gt;"",ROUND((Dashboard!$R$4/$U380)*VLOOKUP($I380,Dashboard!$Q$9:$R$13,2,FALSE)*IF(ISNUMBER(SEARCH("Duals",$B380)),2,IF(ISNUMBER(SEARCH("Triples",$B380)),3,IF(ISNUMBER(SEARCH("Quads",$B380)),4,1))),2),ROUND(VLOOKUP($I380,Dashboard!$Q$15:$R$20,2,FALSE)*IF($E380="Red",Dashboard!$R$6,IF($E380="Gold",Dashboard!$R$7,Dashboard!$R$5))*IF(ISNUMBER(SEARCH("Duals",$B380)),2,IF(ISNUMBER(SEARCH("Triples",$B380)),3,IF(ISNUMBER(SEARCH("Quads",$B380)),4,1))),2))*IF(IFERROR(VLOOKUP($B380,Dashboard!$Q$28:$S$60,3,FALSE),0)&gt;0,VLOOKUP($B380,Dashboard!$Q$28:$S$60,3,FALSE),1))),0))</f>
        <v>12</v>
      </c>
      <c r="K380" s="2" t="str">
        <f>IF('Base S1'!G80="","",'Base S1'!G80)</f>
        <v>V 26/82</v>
      </c>
      <c r="L380" s="2">
        <f t="shared" si="65"/>
        <v>1</v>
      </c>
      <c r="M380" s="2">
        <f t="shared" si="66"/>
        <v>0</v>
      </c>
      <c r="N380" s="2">
        <f t="shared" si="67"/>
        <v>1</v>
      </c>
      <c r="O380" s="2">
        <f t="shared" si="68"/>
        <v>0</v>
      </c>
      <c r="P380" s="112">
        <f t="shared" si="69"/>
        <v>12</v>
      </c>
      <c r="Q380" s="112">
        <f t="shared" si="70"/>
        <v>0</v>
      </c>
      <c r="R380" s="53"/>
      <c r="S380" s="53" t="str">
        <f t="shared" si="71"/>
        <v>Base S1|Floor 82 Parallel - Season 1|79|Floor 82</v>
      </c>
      <c r="T380" s="57" t="str">
        <f>IF($S380="","",IFERROR(VLOOKUP($S380,'Pop Estimates (Non-#d)'!$N$2:$O$500,2,FALSE),""))</f>
        <v/>
      </c>
      <c r="U380" s="57">
        <f t="shared" si="72"/>
        <v>82</v>
      </c>
      <c r="V380" s="53" t="str">
        <f t="shared" si="73"/>
        <v/>
      </c>
      <c r="W380" s="53" t="str">
        <f t="shared" si="74"/>
        <v/>
      </c>
      <c r="X380" s="53" t="str">
        <f t="shared" si="75"/>
        <v/>
      </c>
      <c r="Y380" s="57" t="str">
        <f>IF($X380="","",IFERROR(VLOOKUP($X380,'Char Popularity'!$A$2:$C$500,2,FALSE),""))</f>
        <v/>
      </c>
      <c r="Z380" s="56">
        <f>IF($X380="",1,IFERROR(VLOOKUP($X380,'Char Popularity'!$A$2:$C$500,3,FALSE),1))</f>
        <v>1</v>
      </c>
      <c r="AA380" s="62">
        <f>IF($H380&lt;&gt;"Y",0,(IF($F380&lt;&gt;"",ROUND(Dashboard!$R$4/$F380,1),IF(AND($I380="Base",$E380="Base"),Dashboard!$R$5,IF(AND($I380="Base",$E380="Red"),Dashboard!$R$6,IF(AND($I380="Base",$E380="Gold"),Dashboard!$R$7,VLOOKUP($I380,Dashboard!$Q$16:$R$21,2,FALSE)))))*VLOOKUP($I380,Dashboard!$Q$9:$R$13,2,FALSE)*IF(AND($I380="Auto",$F380="",OR($B380="Autographs Duals",$B380="Autographs Triples",$B380="Autographs Quads",$B380="Autographs Quads (Inscribed)")),IF($B380="Autographs Duals",2,IF($B380="Autographs Triples",3,4)),1)))</f>
        <v>12.2</v>
      </c>
      <c r="AB380" s="62">
        <f t="shared" si="76"/>
        <v>12.2</v>
      </c>
      <c r="AC380" s="62">
        <f t="shared" si="77"/>
        <v>0</v>
      </c>
    </row>
    <row r="381" spans="1:29" ht="28.7" customHeight="1" x14ac:dyDescent="0.25">
      <c r="A381" s="4" t="s">
        <v>17</v>
      </c>
      <c r="B381" s="7" t="s">
        <v>69</v>
      </c>
      <c r="C381" s="2" t="s">
        <v>1479</v>
      </c>
      <c r="D381" s="7" t="s">
        <v>1000</v>
      </c>
      <c r="E381" s="4" t="s">
        <v>779</v>
      </c>
      <c r="F381" s="2">
        <v>82</v>
      </c>
      <c r="G381" s="2" t="s">
        <v>1399</v>
      </c>
      <c r="H381" s="2" t="s">
        <v>1400</v>
      </c>
      <c r="I381" s="4" t="s">
        <v>60</v>
      </c>
      <c r="J381" s="112">
        <f>IF($H381&lt;&gt;"Y",0,ROUND(MIN(Dashboard!$R$24,IF(IFERROR(VLOOKUP($B381,Dashboard!$Q$28:$S$60,2,FALSE),0)&gt;0,IFERROR(VLOOKUP($B381,Dashboard!$Q$28:$S$60,2,FALSE),0),$Z381*IF($U381&lt;&gt;"",ROUND((Dashboard!$R$4/$U381)*VLOOKUP($I381,Dashboard!$Q$9:$R$13,2,FALSE)*IF(ISNUMBER(SEARCH("Duals",$B381)),2,IF(ISNUMBER(SEARCH("Triples",$B381)),3,IF(ISNUMBER(SEARCH("Quads",$B381)),4,1))),2),ROUND(VLOOKUP($I381,Dashboard!$Q$15:$R$20,2,FALSE)*IF($E381="Red",Dashboard!$R$6,IF($E381="Gold",Dashboard!$R$7,Dashboard!$R$5))*IF(ISNUMBER(SEARCH("Duals",$B381)),2,IF(ISNUMBER(SEARCH("Triples",$B381)),3,IF(ISNUMBER(SEARCH("Quads",$B381)),4,1))),2))*IF(IFERROR(VLOOKUP($B381,Dashboard!$Q$28:$S$60,3,FALSE),0)&gt;0,VLOOKUP($B381,Dashboard!$Q$28:$S$60,3,FALSE),1))),0))</f>
        <v>12</v>
      </c>
      <c r="K381" s="2" t="str">
        <f>IF('Base S1'!G81="","",'Base S1'!G81)</f>
        <v>V 69/82</v>
      </c>
      <c r="L381" s="2">
        <f t="shared" si="65"/>
        <v>1</v>
      </c>
      <c r="M381" s="2">
        <f t="shared" si="66"/>
        <v>0</v>
      </c>
      <c r="N381" s="2">
        <f t="shared" si="67"/>
        <v>1</v>
      </c>
      <c r="O381" s="2">
        <f t="shared" si="68"/>
        <v>0</v>
      </c>
      <c r="P381" s="112">
        <f t="shared" si="69"/>
        <v>12</v>
      </c>
      <c r="Q381" s="112">
        <f t="shared" si="70"/>
        <v>0</v>
      </c>
      <c r="R381" s="53"/>
      <c r="S381" s="53" t="str">
        <f t="shared" si="71"/>
        <v>Base S1|Floor 82 Parallel - Season 1|80|Floor 82</v>
      </c>
      <c r="T381" s="57" t="str">
        <f>IF($S381="","",IFERROR(VLOOKUP($S381,'Pop Estimates (Non-#d)'!$N$2:$O$500,2,FALSE),""))</f>
        <v/>
      </c>
      <c r="U381" s="57">
        <f t="shared" si="72"/>
        <v>82</v>
      </c>
      <c r="V381" s="53" t="str">
        <f t="shared" si="73"/>
        <v/>
      </c>
      <c r="W381" s="53" t="str">
        <f t="shared" si="74"/>
        <v/>
      </c>
      <c r="X381" s="53" t="str">
        <f t="shared" si="75"/>
        <v/>
      </c>
      <c r="Y381" s="57" t="str">
        <f>IF($X381="","",IFERROR(VLOOKUP($X381,'Char Popularity'!$A$2:$C$500,2,FALSE),""))</f>
        <v/>
      </c>
      <c r="Z381" s="56">
        <f>IF($X381="",1,IFERROR(VLOOKUP($X381,'Char Popularity'!$A$2:$C$500,3,FALSE),1))</f>
        <v>1</v>
      </c>
      <c r="AA381" s="62">
        <f>IF($H381&lt;&gt;"Y",0,(IF($F381&lt;&gt;"",ROUND(Dashboard!$R$4/$F381,1),IF(AND($I381="Base",$E381="Base"),Dashboard!$R$5,IF(AND($I381="Base",$E381="Red"),Dashboard!$R$6,IF(AND($I381="Base",$E381="Gold"),Dashboard!$R$7,VLOOKUP($I381,Dashboard!$Q$16:$R$21,2,FALSE)))))*VLOOKUP($I381,Dashboard!$Q$9:$R$13,2,FALSE)*IF(AND($I381="Auto",$F381="",OR($B381="Autographs Duals",$B381="Autographs Triples",$B381="Autographs Quads",$B381="Autographs Quads (Inscribed)")),IF($B381="Autographs Duals",2,IF($B381="Autographs Triples",3,4)),1)))</f>
        <v>12.2</v>
      </c>
      <c r="AB381" s="62">
        <f t="shared" si="76"/>
        <v>12.2</v>
      </c>
      <c r="AC381" s="62">
        <f t="shared" si="77"/>
        <v>0</v>
      </c>
    </row>
    <row r="382" spans="1:29" ht="28.7" customHeight="1" x14ac:dyDescent="0.25">
      <c r="A382" s="4" t="s">
        <v>17</v>
      </c>
      <c r="B382" s="7" t="s">
        <v>69</v>
      </c>
      <c r="C382" s="2" t="s">
        <v>1480</v>
      </c>
      <c r="D382" s="7" t="s">
        <v>1003</v>
      </c>
      <c r="E382" s="4" t="s">
        <v>779</v>
      </c>
      <c r="F382" s="2">
        <v>82</v>
      </c>
      <c r="G382" s="2" t="s">
        <v>1399</v>
      </c>
      <c r="H382" s="2" t="s">
        <v>1400</v>
      </c>
      <c r="I382" s="4" t="s">
        <v>60</v>
      </c>
      <c r="J382" s="112">
        <f>IF($H382&lt;&gt;"Y",0,ROUND(MIN(Dashboard!$R$24,IF(IFERROR(VLOOKUP($B382,Dashboard!$Q$28:$S$60,2,FALSE),0)&gt;0,IFERROR(VLOOKUP($B382,Dashboard!$Q$28:$S$60,2,FALSE),0),$Z382*IF($U382&lt;&gt;"",ROUND((Dashboard!$R$4/$U382)*VLOOKUP($I382,Dashboard!$Q$9:$R$13,2,FALSE)*IF(ISNUMBER(SEARCH("Duals",$B382)),2,IF(ISNUMBER(SEARCH("Triples",$B382)),3,IF(ISNUMBER(SEARCH("Quads",$B382)),4,1))),2),ROUND(VLOOKUP($I382,Dashboard!$Q$15:$R$20,2,FALSE)*IF($E382="Red",Dashboard!$R$6,IF($E382="Gold",Dashboard!$R$7,Dashboard!$R$5))*IF(ISNUMBER(SEARCH("Duals",$B382)),2,IF(ISNUMBER(SEARCH("Triples",$B382)),3,IF(ISNUMBER(SEARCH("Quads",$B382)),4,1))),2))*IF(IFERROR(VLOOKUP($B382,Dashboard!$Q$28:$S$60,3,FALSE),0)&gt;0,VLOOKUP($B382,Dashboard!$Q$28:$S$60,3,FALSE),1))),0))</f>
        <v>12</v>
      </c>
      <c r="K382" s="2" t="str">
        <f>IF('Base S1'!G82="","",'Base S1'!G82)</f>
        <v>V 62/82</v>
      </c>
      <c r="L382" s="2">
        <f t="shared" si="65"/>
        <v>1</v>
      </c>
      <c r="M382" s="2">
        <f t="shared" si="66"/>
        <v>0</v>
      </c>
      <c r="N382" s="2">
        <f t="shared" si="67"/>
        <v>1</v>
      </c>
      <c r="O382" s="2">
        <f t="shared" si="68"/>
        <v>0</v>
      </c>
      <c r="P382" s="112">
        <f t="shared" si="69"/>
        <v>12</v>
      </c>
      <c r="Q382" s="112">
        <f t="shared" si="70"/>
        <v>0</v>
      </c>
      <c r="R382" s="53"/>
      <c r="S382" s="53" t="str">
        <f t="shared" si="71"/>
        <v>Base S1|Floor 82 Parallel - Season 1|81|Floor 82</v>
      </c>
      <c r="T382" s="57" t="str">
        <f>IF($S382="","",IFERROR(VLOOKUP($S382,'Pop Estimates (Non-#d)'!$N$2:$O$500,2,FALSE),""))</f>
        <v/>
      </c>
      <c r="U382" s="57">
        <f t="shared" si="72"/>
        <v>82</v>
      </c>
      <c r="V382" s="53" t="str">
        <f t="shared" si="73"/>
        <v/>
      </c>
      <c r="W382" s="53" t="str">
        <f t="shared" si="74"/>
        <v/>
      </c>
      <c r="X382" s="53" t="str">
        <f t="shared" si="75"/>
        <v/>
      </c>
      <c r="Y382" s="57" t="str">
        <f>IF($X382="","",IFERROR(VLOOKUP($X382,'Char Popularity'!$A$2:$C$500,2,FALSE),""))</f>
        <v/>
      </c>
      <c r="Z382" s="56">
        <f>IF($X382="",1,IFERROR(VLOOKUP($X382,'Char Popularity'!$A$2:$C$500,3,FALSE),1))</f>
        <v>1</v>
      </c>
      <c r="AA382" s="62">
        <f>IF($H382&lt;&gt;"Y",0,(IF($F382&lt;&gt;"",ROUND(Dashboard!$R$4/$F382,1),IF(AND($I382="Base",$E382="Base"),Dashboard!$R$5,IF(AND($I382="Base",$E382="Red"),Dashboard!$R$6,IF(AND($I382="Base",$E382="Gold"),Dashboard!$R$7,VLOOKUP($I382,Dashboard!$Q$16:$R$21,2,FALSE)))))*VLOOKUP($I382,Dashboard!$Q$9:$R$13,2,FALSE)*IF(AND($I382="Auto",$F382="",OR($B382="Autographs Duals",$B382="Autographs Triples",$B382="Autographs Quads",$B382="Autographs Quads (Inscribed)")),IF($B382="Autographs Duals",2,IF($B382="Autographs Triples",3,4)),1)))</f>
        <v>12.2</v>
      </c>
      <c r="AB382" s="62">
        <f t="shared" si="76"/>
        <v>12.2</v>
      </c>
      <c r="AC382" s="62">
        <f t="shared" si="77"/>
        <v>0</v>
      </c>
    </row>
    <row r="383" spans="1:29" ht="28.7" customHeight="1" x14ac:dyDescent="0.25">
      <c r="A383" s="4" t="s">
        <v>17</v>
      </c>
      <c r="B383" s="7" t="s">
        <v>69</v>
      </c>
      <c r="C383" s="2" t="s">
        <v>1481</v>
      </c>
      <c r="D383" s="7" t="s">
        <v>1005</v>
      </c>
      <c r="E383" s="4" t="s">
        <v>779</v>
      </c>
      <c r="F383" s="2">
        <v>82</v>
      </c>
      <c r="G383" s="2" t="s">
        <v>1399</v>
      </c>
      <c r="H383" s="2" t="s">
        <v>1400</v>
      </c>
      <c r="I383" s="4" t="s">
        <v>60</v>
      </c>
      <c r="J383" s="112">
        <f>IF($H383&lt;&gt;"Y",0,ROUND(MIN(Dashboard!$R$24,IF(IFERROR(VLOOKUP($B383,Dashboard!$Q$28:$S$60,2,FALSE),0)&gt;0,IFERROR(VLOOKUP($B383,Dashboard!$Q$28:$S$60,2,FALSE),0),$Z383*IF($U383&lt;&gt;"",ROUND((Dashboard!$R$4/$U383)*VLOOKUP($I383,Dashboard!$Q$9:$R$13,2,FALSE)*IF(ISNUMBER(SEARCH("Duals",$B383)),2,IF(ISNUMBER(SEARCH("Triples",$B383)),3,IF(ISNUMBER(SEARCH("Quads",$B383)),4,1))),2),ROUND(VLOOKUP($I383,Dashboard!$Q$15:$R$20,2,FALSE)*IF($E383="Red",Dashboard!$R$6,IF($E383="Gold",Dashboard!$R$7,Dashboard!$R$5))*IF(ISNUMBER(SEARCH("Duals",$B383)),2,IF(ISNUMBER(SEARCH("Triples",$B383)),3,IF(ISNUMBER(SEARCH("Quads",$B383)),4,1))),2))*IF(IFERROR(VLOOKUP($B383,Dashboard!$Q$28:$S$60,3,FALSE),0)&gt;0,VLOOKUP($B383,Dashboard!$Q$28:$S$60,3,FALSE),1))),0))</f>
        <v>12</v>
      </c>
      <c r="K383" s="2" t="str">
        <f>IF('Base S1'!G83="","",'Base S1'!G83)</f>
        <v>C 76/82</v>
      </c>
      <c r="L383" s="2">
        <f t="shared" si="65"/>
        <v>1</v>
      </c>
      <c r="M383" s="2">
        <f t="shared" si="66"/>
        <v>0</v>
      </c>
      <c r="N383" s="2">
        <f t="shared" si="67"/>
        <v>1</v>
      </c>
      <c r="O383" s="2">
        <f t="shared" si="68"/>
        <v>0</v>
      </c>
      <c r="P383" s="112">
        <f t="shared" si="69"/>
        <v>12</v>
      </c>
      <c r="Q383" s="112">
        <f t="shared" si="70"/>
        <v>0</v>
      </c>
      <c r="R383" s="53"/>
      <c r="S383" s="53" t="str">
        <f t="shared" si="71"/>
        <v>Base S1|Floor 82 Parallel - Season 1|82|Floor 82</v>
      </c>
      <c r="T383" s="57" t="str">
        <f>IF($S383="","",IFERROR(VLOOKUP($S383,'Pop Estimates (Non-#d)'!$N$2:$O$500,2,FALSE),""))</f>
        <v/>
      </c>
      <c r="U383" s="57">
        <f t="shared" si="72"/>
        <v>82</v>
      </c>
      <c r="V383" s="53" t="str">
        <f t="shared" si="73"/>
        <v/>
      </c>
      <c r="W383" s="53" t="str">
        <f t="shared" si="74"/>
        <v/>
      </c>
      <c r="X383" s="53" t="str">
        <f t="shared" si="75"/>
        <v/>
      </c>
      <c r="Y383" s="57" t="str">
        <f>IF($X383="","",IFERROR(VLOOKUP($X383,'Char Popularity'!$A$2:$C$500,2,FALSE),""))</f>
        <v/>
      </c>
      <c r="Z383" s="56">
        <f>IF($X383="",1,IFERROR(VLOOKUP($X383,'Char Popularity'!$A$2:$C$500,3,FALSE),1))</f>
        <v>1</v>
      </c>
      <c r="AA383" s="62">
        <f>IF($H383&lt;&gt;"Y",0,(IF($F383&lt;&gt;"",ROUND(Dashboard!$R$4/$F383,1),IF(AND($I383="Base",$E383="Base"),Dashboard!$R$5,IF(AND($I383="Base",$E383="Red"),Dashboard!$R$6,IF(AND($I383="Base",$E383="Gold"),Dashboard!$R$7,VLOOKUP($I383,Dashboard!$Q$16:$R$21,2,FALSE)))))*VLOOKUP($I383,Dashboard!$Q$9:$R$13,2,FALSE)*IF(AND($I383="Auto",$F383="",OR($B383="Autographs Duals",$B383="Autographs Triples",$B383="Autographs Quads",$B383="Autographs Quads (Inscribed)")),IF($B383="Autographs Duals",2,IF($B383="Autographs Triples",3,4)),1)))</f>
        <v>12.2</v>
      </c>
      <c r="AB383" s="62">
        <f t="shared" si="76"/>
        <v>12.2</v>
      </c>
      <c r="AC383" s="62">
        <f t="shared" si="77"/>
        <v>0</v>
      </c>
    </row>
    <row r="384" spans="1:29" ht="28.7" customHeight="1" x14ac:dyDescent="0.25">
      <c r="A384" s="4" t="s">
        <v>17</v>
      </c>
      <c r="B384" s="7" t="s">
        <v>69</v>
      </c>
      <c r="C384" s="2" t="s">
        <v>1482</v>
      </c>
      <c r="D384" s="7" t="s">
        <v>1008</v>
      </c>
      <c r="E384" s="4" t="s">
        <v>779</v>
      </c>
      <c r="F384" s="2">
        <v>82</v>
      </c>
      <c r="G384" s="2" t="s">
        <v>1399</v>
      </c>
      <c r="H384" s="2" t="s">
        <v>1400</v>
      </c>
      <c r="I384" s="4" t="s">
        <v>60</v>
      </c>
      <c r="J384" s="112">
        <f>IF($H384&lt;&gt;"Y",0,ROUND(MIN(Dashboard!$R$24,IF(IFERROR(VLOOKUP($B384,Dashboard!$Q$28:$S$60,2,FALSE),0)&gt;0,IFERROR(VLOOKUP($B384,Dashboard!$Q$28:$S$60,2,FALSE),0),$Z384*IF($U384&lt;&gt;"",ROUND((Dashboard!$R$4/$U384)*VLOOKUP($I384,Dashboard!$Q$9:$R$13,2,FALSE)*IF(ISNUMBER(SEARCH("Duals",$B384)),2,IF(ISNUMBER(SEARCH("Triples",$B384)),3,IF(ISNUMBER(SEARCH("Quads",$B384)),4,1))),2),ROUND(VLOOKUP($I384,Dashboard!$Q$15:$R$20,2,FALSE)*IF($E384="Red",Dashboard!$R$6,IF($E384="Gold",Dashboard!$R$7,Dashboard!$R$5))*IF(ISNUMBER(SEARCH("Duals",$B384)),2,IF(ISNUMBER(SEARCH("Triples",$B384)),3,IF(ISNUMBER(SEARCH("Quads",$B384)),4,1))),2))*IF(IFERROR(VLOOKUP($B384,Dashboard!$Q$28:$S$60,3,FALSE),0)&gt;0,VLOOKUP($B384,Dashboard!$Q$28:$S$60,3,FALSE),1))),0))</f>
        <v>12</v>
      </c>
      <c r="K384" s="2" t="str">
        <f>IF('Base S1'!G84="","",'Base S1'!G84)</f>
        <v>C 37/82</v>
      </c>
      <c r="L384" s="2">
        <f t="shared" si="65"/>
        <v>1</v>
      </c>
      <c r="M384" s="2">
        <f t="shared" si="66"/>
        <v>0</v>
      </c>
      <c r="N384" s="2">
        <f t="shared" si="67"/>
        <v>1</v>
      </c>
      <c r="O384" s="2">
        <f t="shared" si="68"/>
        <v>0</v>
      </c>
      <c r="P384" s="112">
        <f t="shared" si="69"/>
        <v>12</v>
      </c>
      <c r="Q384" s="112">
        <f t="shared" si="70"/>
        <v>0</v>
      </c>
      <c r="R384" s="53"/>
      <c r="S384" s="53" t="str">
        <f t="shared" si="71"/>
        <v>Base S1|Floor 82 Parallel - Season 1|83|Floor 82</v>
      </c>
      <c r="T384" s="57" t="str">
        <f>IF($S384="","",IFERROR(VLOOKUP($S384,'Pop Estimates (Non-#d)'!$N$2:$O$500,2,FALSE),""))</f>
        <v/>
      </c>
      <c r="U384" s="57">
        <f t="shared" si="72"/>
        <v>82</v>
      </c>
      <c r="V384" s="53" t="str">
        <f t="shared" si="73"/>
        <v/>
      </c>
      <c r="W384" s="53" t="str">
        <f t="shared" si="74"/>
        <v/>
      </c>
      <c r="X384" s="53" t="str">
        <f t="shared" si="75"/>
        <v/>
      </c>
      <c r="Y384" s="57" t="str">
        <f>IF($X384="","",IFERROR(VLOOKUP($X384,'Char Popularity'!$A$2:$C$500,2,FALSE),""))</f>
        <v/>
      </c>
      <c r="Z384" s="56">
        <f>IF($X384="",1,IFERROR(VLOOKUP($X384,'Char Popularity'!$A$2:$C$500,3,FALSE),1))</f>
        <v>1</v>
      </c>
      <c r="AA384" s="62">
        <f>IF($H384&lt;&gt;"Y",0,(IF($F384&lt;&gt;"",ROUND(Dashboard!$R$4/$F384,1),IF(AND($I384="Base",$E384="Base"),Dashboard!$R$5,IF(AND($I384="Base",$E384="Red"),Dashboard!$R$6,IF(AND($I384="Base",$E384="Gold"),Dashboard!$R$7,VLOOKUP($I384,Dashboard!$Q$16:$R$21,2,FALSE)))))*VLOOKUP($I384,Dashboard!$Q$9:$R$13,2,FALSE)*IF(AND($I384="Auto",$F384="",OR($B384="Autographs Duals",$B384="Autographs Triples",$B384="Autographs Quads",$B384="Autographs Quads (Inscribed)")),IF($B384="Autographs Duals",2,IF($B384="Autographs Triples",3,4)),1)))</f>
        <v>12.2</v>
      </c>
      <c r="AB384" s="62">
        <f t="shared" si="76"/>
        <v>12.2</v>
      </c>
      <c r="AC384" s="62">
        <f t="shared" si="77"/>
        <v>0</v>
      </c>
    </row>
    <row r="385" spans="1:29" ht="28.7" customHeight="1" x14ac:dyDescent="0.25">
      <c r="A385" s="4" t="s">
        <v>17</v>
      </c>
      <c r="B385" s="7" t="s">
        <v>69</v>
      </c>
      <c r="C385" s="2" t="s">
        <v>1483</v>
      </c>
      <c r="D385" s="7" t="s">
        <v>1010</v>
      </c>
      <c r="E385" s="4" t="s">
        <v>779</v>
      </c>
      <c r="F385" s="2">
        <v>82</v>
      </c>
      <c r="G385" s="2" t="s">
        <v>1399</v>
      </c>
      <c r="H385" s="2" t="s">
        <v>1400</v>
      </c>
      <c r="I385" s="4" t="s">
        <v>60</v>
      </c>
      <c r="J385" s="112">
        <f>IF($H385&lt;&gt;"Y",0,ROUND(MIN(Dashboard!$R$24,IF(IFERROR(VLOOKUP($B385,Dashboard!$Q$28:$S$60,2,FALSE),0)&gt;0,IFERROR(VLOOKUP($B385,Dashboard!$Q$28:$S$60,2,FALSE),0),$Z385*IF($U385&lt;&gt;"",ROUND((Dashboard!$R$4/$U385)*VLOOKUP($I385,Dashboard!$Q$9:$R$13,2,FALSE)*IF(ISNUMBER(SEARCH("Duals",$B385)),2,IF(ISNUMBER(SEARCH("Triples",$B385)),3,IF(ISNUMBER(SEARCH("Quads",$B385)),4,1))),2),ROUND(VLOOKUP($I385,Dashboard!$Q$15:$R$20,2,FALSE)*IF($E385="Red",Dashboard!$R$6,IF($E385="Gold",Dashboard!$R$7,Dashboard!$R$5))*IF(ISNUMBER(SEARCH("Duals",$B385)),2,IF(ISNUMBER(SEARCH("Triples",$B385)),3,IF(ISNUMBER(SEARCH("Quads",$B385)),4,1))),2))*IF(IFERROR(VLOOKUP($B385,Dashboard!$Q$28:$S$60,3,FALSE),0)&gt;0,VLOOKUP($B385,Dashboard!$Q$28:$S$60,3,FALSE),1))),0))</f>
        <v>12</v>
      </c>
      <c r="K385" s="2" t="str">
        <f>IF('Base S1'!G85="","",'Base S1'!G85)</f>
        <v>V 46/82</v>
      </c>
      <c r="L385" s="2">
        <f t="shared" si="65"/>
        <v>1</v>
      </c>
      <c r="M385" s="2">
        <f t="shared" si="66"/>
        <v>0</v>
      </c>
      <c r="N385" s="2">
        <f t="shared" si="67"/>
        <v>1</v>
      </c>
      <c r="O385" s="2">
        <f t="shared" si="68"/>
        <v>0</v>
      </c>
      <c r="P385" s="112">
        <f t="shared" si="69"/>
        <v>12</v>
      </c>
      <c r="Q385" s="112">
        <f t="shared" si="70"/>
        <v>0</v>
      </c>
      <c r="R385" s="53"/>
      <c r="S385" s="53" t="str">
        <f t="shared" si="71"/>
        <v>Base S1|Floor 82 Parallel - Season 1|84|Floor 82</v>
      </c>
      <c r="T385" s="57" t="str">
        <f>IF($S385="","",IFERROR(VLOOKUP($S385,'Pop Estimates (Non-#d)'!$N$2:$O$500,2,FALSE),""))</f>
        <v/>
      </c>
      <c r="U385" s="57">
        <f t="shared" si="72"/>
        <v>82</v>
      </c>
      <c r="V385" s="53" t="str">
        <f t="shared" si="73"/>
        <v/>
      </c>
      <c r="W385" s="53" t="str">
        <f t="shared" si="74"/>
        <v/>
      </c>
      <c r="X385" s="53" t="str">
        <f t="shared" si="75"/>
        <v/>
      </c>
      <c r="Y385" s="57" t="str">
        <f>IF($X385="","",IFERROR(VLOOKUP($X385,'Char Popularity'!$A$2:$C$500,2,FALSE),""))</f>
        <v/>
      </c>
      <c r="Z385" s="56">
        <f>IF($X385="",1,IFERROR(VLOOKUP($X385,'Char Popularity'!$A$2:$C$500,3,FALSE),1))</f>
        <v>1</v>
      </c>
      <c r="AA385" s="62">
        <f>IF($H385&lt;&gt;"Y",0,(IF($F385&lt;&gt;"",ROUND(Dashboard!$R$4/$F385,1),IF(AND($I385="Base",$E385="Base"),Dashboard!$R$5,IF(AND($I385="Base",$E385="Red"),Dashboard!$R$6,IF(AND($I385="Base",$E385="Gold"),Dashboard!$R$7,VLOOKUP($I385,Dashboard!$Q$16:$R$21,2,FALSE)))))*VLOOKUP($I385,Dashboard!$Q$9:$R$13,2,FALSE)*IF(AND($I385="Auto",$F385="",OR($B385="Autographs Duals",$B385="Autographs Triples",$B385="Autographs Quads",$B385="Autographs Quads (Inscribed)")),IF($B385="Autographs Duals",2,IF($B385="Autographs Triples",3,4)),1)))</f>
        <v>12.2</v>
      </c>
      <c r="AB385" s="62">
        <f t="shared" si="76"/>
        <v>12.2</v>
      </c>
      <c r="AC385" s="62">
        <f t="shared" si="77"/>
        <v>0</v>
      </c>
    </row>
    <row r="386" spans="1:29" ht="28.7" customHeight="1" x14ac:dyDescent="0.25">
      <c r="A386" s="4" t="s">
        <v>17</v>
      </c>
      <c r="B386" s="7" t="s">
        <v>69</v>
      </c>
      <c r="C386" s="2" t="s">
        <v>1484</v>
      </c>
      <c r="D386" s="7" t="s">
        <v>1012</v>
      </c>
      <c r="E386" s="4" t="s">
        <v>779</v>
      </c>
      <c r="F386" s="2">
        <v>82</v>
      </c>
      <c r="G386" s="2" t="s">
        <v>1399</v>
      </c>
      <c r="H386" s="2" t="s">
        <v>1400</v>
      </c>
      <c r="I386" s="4" t="s">
        <v>60</v>
      </c>
      <c r="J386" s="112">
        <f>IF($H386&lt;&gt;"Y",0,ROUND(MIN(Dashboard!$R$24,IF(IFERROR(VLOOKUP($B386,Dashboard!$Q$28:$S$60,2,FALSE),0)&gt;0,IFERROR(VLOOKUP($B386,Dashboard!$Q$28:$S$60,2,FALSE),0),$Z386*IF($U386&lt;&gt;"",ROUND((Dashboard!$R$4/$U386)*VLOOKUP($I386,Dashboard!$Q$9:$R$13,2,FALSE)*IF(ISNUMBER(SEARCH("Duals",$B386)),2,IF(ISNUMBER(SEARCH("Triples",$B386)),3,IF(ISNUMBER(SEARCH("Quads",$B386)),4,1))),2),ROUND(VLOOKUP($I386,Dashboard!$Q$15:$R$20,2,FALSE)*IF($E386="Red",Dashboard!$R$6,IF($E386="Gold",Dashboard!$R$7,Dashboard!$R$5))*IF(ISNUMBER(SEARCH("Duals",$B386)),2,IF(ISNUMBER(SEARCH("Triples",$B386)),3,IF(ISNUMBER(SEARCH("Quads",$B386)),4,1))),2))*IF(IFERROR(VLOOKUP($B386,Dashboard!$Q$28:$S$60,3,FALSE),0)&gt;0,VLOOKUP($B386,Dashboard!$Q$28:$S$60,3,FALSE),1))),0))</f>
        <v>12</v>
      </c>
      <c r="K386" s="2" t="str">
        <f>IF('Base S1'!G86="","",'Base S1'!G86)</f>
        <v>V 75/82</v>
      </c>
      <c r="L386" s="2">
        <f t="shared" ref="L386:L449" si="78">IF(AND($K386&lt;&gt;"",LEFT($K386,1)&lt;&gt;"Y"),1,0)</f>
        <v>1</v>
      </c>
      <c r="M386" s="2">
        <f t="shared" ref="M386:M449" si="79">IF(LEFT($K386,1)="Y",1,0)</f>
        <v>0</v>
      </c>
      <c r="N386" s="2">
        <f t="shared" ref="N386:N449" si="80">$L386+$M386</f>
        <v>1</v>
      </c>
      <c r="O386" s="2">
        <f t="shared" ref="O386:O449" si="81">IF($H386="Y",1-$N386,0)</f>
        <v>0</v>
      </c>
      <c r="P386" s="112">
        <f t="shared" ref="P386:P449" si="82">IF($L386=1,$J386,0)</f>
        <v>12</v>
      </c>
      <c r="Q386" s="112">
        <f t="shared" ref="Q386:Q449" si="83">IF($M386=1,$J386,0)</f>
        <v>0</v>
      </c>
      <c r="R386" s="53"/>
      <c r="S386" s="53" t="str">
        <f t="shared" ref="S386:S449" si="84">IF($A386="","",$A386&amp;"|"&amp;$B386&amp;"|"&amp;$C386&amp;"|"&amp;$E386)</f>
        <v>Base S1|Floor 82 Parallel - Season 1|85|Floor 82</v>
      </c>
      <c r="T386" s="57" t="str">
        <f>IF($S386="","",IFERROR(VLOOKUP($S386,'Pop Estimates (Non-#d)'!$N$2:$O$500,2,FALSE),""))</f>
        <v/>
      </c>
      <c r="U386" s="57">
        <f t="shared" ref="U386:U449" si="85">IF($A386="","",IF($F386&lt;&gt;"",$F386,$T386))</f>
        <v>82</v>
      </c>
      <c r="V386" s="53" t="str">
        <f t="shared" ref="V386:V449" si="86">IF($A386="","",IF(ISNUMBER(SEARCH(" as ",$D386)),MID($D386,SEARCH(" as ",$D386)+4,255),IF(ISNUMBER(SEARCH("/",$D386)),LEFT($D386,FIND("/",$D386&amp;"/")-1),"")))</f>
        <v/>
      </c>
      <c r="W386" s="53" t="str">
        <f t="shared" ref="W386:W449" si="87">IF($V386="","",TRIM(IFERROR(MID($V386,SEARCH("(", $V386)+1,SEARCH(")",$V386)-SEARCH("(", $V386)-1),$V386)))</f>
        <v/>
      </c>
      <c r="X386" s="53" t="str">
        <f t="shared" ref="X386:X449" si="88">IF($W386="","",TRIM(LEFT($W386&amp;"""",FIND("""",$W386&amp;"""")-1)))</f>
        <v/>
      </c>
      <c r="Y386" s="57" t="str">
        <f>IF($X386="","",IFERROR(VLOOKUP($X386,'Char Popularity'!$A$2:$C$500,2,FALSE),""))</f>
        <v/>
      </c>
      <c r="Z386" s="56">
        <f>IF($X386="",1,IFERROR(VLOOKUP($X386,'Char Popularity'!$A$2:$C$500,3,FALSE),1))</f>
        <v>1</v>
      </c>
      <c r="AA386" s="62">
        <f>IF($H386&lt;&gt;"Y",0,(IF($F386&lt;&gt;"",ROUND(Dashboard!$R$4/$F386,1),IF(AND($I386="Base",$E386="Base"),Dashboard!$R$5,IF(AND($I386="Base",$E386="Red"),Dashboard!$R$6,IF(AND($I386="Base",$E386="Gold"),Dashboard!$R$7,VLOOKUP($I386,Dashboard!$Q$16:$R$21,2,FALSE)))))*VLOOKUP($I386,Dashboard!$Q$9:$R$13,2,FALSE)*IF(AND($I386="Auto",$F386="",OR($B386="Autographs Duals",$B386="Autographs Triples",$B386="Autographs Quads",$B386="Autographs Quads (Inscribed)")),IF($B386="Autographs Duals",2,IF($B386="Autographs Triples",3,4)),1)))</f>
        <v>12.2</v>
      </c>
      <c r="AB386" s="62">
        <f t="shared" ref="AB386:AB449" si="89">IF($L386=1,$AA386,0)</f>
        <v>12.2</v>
      </c>
      <c r="AC386" s="62">
        <f t="shared" ref="AC386:AC449" si="90">IF($M386=1,$AA386,0)</f>
        <v>0</v>
      </c>
    </row>
    <row r="387" spans="1:29" ht="28.7" customHeight="1" x14ac:dyDescent="0.25">
      <c r="A387" s="4" t="s">
        <v>17</v>
      </c>
      <c r="B387" s="7" t="s">
        <v>69</v>
      </c>
      <c r="C387" s="2" t="s">
        <v>1485</v>
      </c>
      <c r="D387" s="7" t="s">
        <v>1013</v>
      </c>
      <c r="E387" s="4" t="s">
        <v>779</v>
      </c>
      <c r="F387" s="2">
        <v>82</v>
      </c>
      <c r="G387" s="2" t="s">
        <v>1399</v>
      </c>
      <c r="H387" s="2" t="s">
        <v>1400</v>
      </c>
      <c r="I387" s="4" t="s">
        <v>60</v>
      </c>
      <c r="J387" s="112">
        <f>IF($H387&lt;&gt;"Y",0,ROUND(MIN(Dashboard!$R$24,IF(IFERROR(VLOOKUP($B387,Dashboard!$Q$28:$S$60,2,FALSE),0)&gt;0,IFERROR(VLOOKUP($B387,Dashboard!$Q$28:$S$60,2,FALSE),0),$Z387*IF($U387&lt;&gt;"",ROUND((Dashboard!$R$4/$U387)*VLOOKUP($I387,Dashboard!$Q$9:$R$13,2,FALSE)*IF(ISNUMBER(SEARCH("Duals",$B387)),2,IF(ISNUMBER(SEARCH("Triples",$B387)),3,IF(ISNUMBER(SEARCH("Quads",$B387)),4,1))),2),ROUND(VLOOKUP($I387,Dashboard!$Q$15:$R$20,2,FALSE)*IF($E387="Red",Dashboard!$R$6,IF($E387="Gold",Dashboard!$R$7,Dashboard!$R$5))*IF(ISNUMBER(SEARCH("Duals",$B387)),2,IF(ISNUMBER(SEARCH("Triples",$B387)),3,IF(ISNUMBER(SEARCH("Quads",$B387)),4,1))),2))*IF(IFERROR(VLOOKUP($B387,Dashboard!$Q$28:$S$60,3,FALSE),0)&gt;0,VLOOKUP($B387,Dashboard!$Q$28:$S$60,3,FALSE),1))),0))</f>
        <v>12</v>
      </c>
      <c r="K387" s="2" t="str">
        <f>IF('Base S1'!G87="","",'Base S1'!G87)</f>
        <v>C 37/82</v>
      </c>
      <c r="L387" s="2">
        <f t="shared" si="78"/>
        <v>1</v>
      </c>
      <c r="M387" s="2">
        <f t="shared" si="79"/>
        <v>0</v>
      </c>
      <c r="N387" s="2">
        <f t="shared" si="80"/>
        <v>1</v>
      </c>
      <c r="O387" s="2">
        <f t="shared" si="81"/>
        <v>0</v>
      </c>
      <c r="P387" s="112">
        <f t="shared" si="82"/>
        <v>12</v>
      </c>
      <c r="Q387" s="112">
        <f t="shared" si="83"/>
        <v>0</v>
      </c>
      <c r="R387" s="53"/>
      <c r="S387" s="53" t="str">
        <f t="shared" si="84"/>
        <v>Base S1|Floor 82 Parallel - Season 1|86|Floor 82</v>
      </c>
      <c r="T387" s="57" t="str">
        <f>IF($S387="","",IFERROR(VLOOKUP($S387,'Pop Estimates (Non-#d)'!$N$2:$O$500,2,FALSE),""))</f>
        <v/>
      </c>
      <c r="U387" s="57">
        <f t="shared" si="85"/>
        <v>82</v>
      </c>
      <c r="V387" s="53" t="str">
        <f t="shared" si="86"/>
        <v/>
      </c>
      <c r="W387" s="53" t="str">
        <f t="shared" si="87"/>
        <v/>
      </c>
      <c r="X387" s="53" t="str">
        <f t="shared" si="88"/>
        <v/>
      </c>
      <c r="Y387" s="57" t="str">
        <f>IF($X387="","",IFERROR(VLOOKUP($X387,'Char Popularity'!$A$2:$C$500,2,FALSE),""))</f>
        <v/>
      </c>
      <c r="Z387" s="56">
        <f>IF($X387="",1,IFERROR(VLOOKUP($X387,'Char Popularity'!$A$2:$C$500,3,FALSE),1))</f>
        <v>1</v>
      </c>
      <c r="AA387" s="62">
        <f>IF($H387&lt;&gt;"Y",0,(IF($F387&lt;&gt;"",ROUND(Dashboard!$R$4/$F387,1),IF(AND($I387="Base",$E387="Base"),Dashboard!$R$5,IF(AND($I387="Base",$E387="Red"),Dashboard!$R$6,IF(AND($I387="Base",$E387="Gold"),Dashboard!$R$7,VLOOKUP($I387,Dashboard!$Q$16:$R$21,2,FALSE)))))*VLOOKUP($I387,Dashboard!$Q$9:$R$13,2,FALSE)*IF(AND($I387="Auto",$F387="",OR($B387="Autographs Duals",$B387="Autographs Triples",$B387="Autographs Quads",$B387="Autographs Quads (Inscribed)")),IF($B387="Autographs Duals",2,IF($B387="Autographs Triples",3,4)),1)))</f>
        <v>12.2</v>
      </c>
      <c r="AB387" s="62">
        <f t="shared" si="89"/>
        <v>12.2</v>
      </c>
      <c r="AC387" s="62">
        <f t="shared" si="90"/>
        <v>0</v>
      </c>
    </row>
    <row r="388" spans="1:29" ht="28.7" customHeight="1" x14ac:dyDescent="0.25">
      <c r="A388" s="4" t="s">
        <v>17</v>
      </c>
      <c r="B388" s="7" t="s">
        <v>69</v>
      </c>
      <c r="C388" s="2" t="s">
        <v>1486</v>
      </c>
      <c r="D388" s="7" t="s">
        <v>1015</v>
      </c>
      <c r="E388" s="4" t="s">
        <v>779</v>
      </c>
      <c r="F388" s="2">
        <v>82</v>
      </c>
      <c r="G388" s="2" t="s">
        <v>1399</v>
      </c>
      <c r="H388" s="2" t="s">
        <v>1400</v>
      </c>
      <c r="I388" s="4" t="s">
        <v>60</v>
      </c>
      <c r="J388" s="112">
        <f>IF($H388&lt;&gt;"Y",0,ROUND(MIN(Dashboard!$R$24,IF(IFERROR(VLOOKUP($B388,Dashboard!$Q$28:$S$60,2,FALSE),0)&gt;0,IFERROR(VLOOKUP($B388,Dashboard!$Q$28:$S$60,2,FALSE),0),$Z388*IF($U388&lt;&gt;"",ROUND((Dashboard!$R$4/$U388)*VLOOKUP($I388,Dashboard!$Q$9:$R$13,2,FALSE)*IF(ISNUMBER(SEARCH("Duals",$B388)),2,IF(ISNUMBER(SEARCH("Triples",$B388)),3,IF(ISNUMBER(SEARCH("Quads",$B388)),4,1))),2),ROUND(VLOOKUP($I388,Dashboard!$Q$15:$R$20,2,FALSE)*IF($E388="Red",Dashboard!$R$6,IF($E388="Gold",Dashboard!$R$7,Dashboard!$R$5))*IF(ISNUMBER(SEARCH("Duals",$B388)),2,IF(ISNUMBER(SEARCH("Triples",$B388)),3,IF(ISNUMBER(SEARCH("Quads",$B388)),4,1))),2))*IF(IFERROR(VLOOKUP($B388,Dashboard!$Q$28:$S$60,3,FALSE),0)&gt;0,VLOOKUP($B388,Dashboard!$Q$28:$S$60,3,FALSE),1))),0))</f>
        <v>12</v>
      </c>
      <c r="K388" s="2" t="str">
        <f>IF('Base S1'!G88="","",'Base S1'!G88)</f>
        <v>V 54/82</v>
      </c>
      <c r="L388" s="2">
        <f t="shared" si="78"/>
        <v>1</v>
      </c>
      <c r="M388" s="2">
        <f t="shared" si="79"/>
        <v>0</v>
      </c>
      <c r="N388" s="2">
        <f t="shared" si="80"/>
        <v>1</v>
      </c>
      <c r="O388" s="2">
        <f t="shared" si="81"/>
        <v>0</v>
      </c>
      <c r="P388" s="112">
        <f t="shared" si="82"/>
        <v>12</v>
      </c>
      <c r="Q388" s="112">
        <f t="shared" si="83"/>
        <v>0</v>
      </c>
      <c r="R388" s="53"/>
      <c r="S388" s="53" t="str">
        <f t="shared" si="84"/>
        <v>Base S1|Floor 82 Parallel - Season 1|87|Floor 82</v>
      </c>
      <c r="T388" s="57" t="str">
        <f>IF($S388="","",IFERROR(VLOOKUP($S388,'Pop Estimates (Non-#d)'!$N$2:$O$500,2,FALSE),""))</f>
        <v/>
      </c>
      <c r="U388" s="57">
        <f t="shared" si="85"/>
        <v>82</v>
      </c>
      <c r="V388" s="53" t="str">
        <f t="shared" si="86"/>
        <v/>
      </c>
      <c r="W388" s="53" t="str">
        <f t="shared" si="87"/>
        <v/>
      </c>
      <c r="X388" s="53" t="str">
        <f t="shared" si="88"/>
        <v/>
      </c>
      <c r="Y388" s="57" t="str">
        <f>IF($X388="","",IFERROR(VLOOKUP($X388,'Char Popularity'!$A$2:$C$500,2,FALSE),""))</f>
        <v/>
      </c>
      <c r="Z388" s="56">
        <f>IF($X388="",1,IFERROR(VLOOKUP($X388,'Char Popularity'!$A$2:$C$500,3,FALSE),1))</f>
        <v>1</v>
      </c>
      <c r="AA388" s="62">
        <f>IF($H388&lt;&gt;"Y",0,(IF($F388&lt;&gt;"",ROUND(Dashboard!$R$4/$F388,1),IF(AND($I388="Base",$E388="Base"),Dashboard!$R$5,IF(AND($I388="Base",$E388="Red"),Dashboard!$R$6,IF(AND($I388="Base",$E388="Gold"),Dashboard!$R$7,VLOOKUP($I388,Dashboard!$Q$16:$R$21,2,FALSE)))))*VLOOKUP($I388,Dashboard!$Q$9:$R$13,2,FALSE)*IF(AND($I388="Auto",$F388="",OR($B388="Autographs Duals",$B388="Autographs Triples",$B388="Autographs Quads",$B388="Autographs Quads (Inscribed)")),IF($B388="Autographs Duals",2,IF($B388="Autographs Triples",3,4)),1)))</f>
        <v>12.2</v>
      </c>
      <c r="AB388" s="62">
        <f t="shared" si="89"/>
        <v>12.2</v>
      </c>
      <c r="AC388" s="62">
        <f t="shared" si="90"/>
        <v>0</v>
      </c>
    </row>
    <row r="389" spans="1:29" ht="28.7" customHeight="1" x14ac:dyDescent="0.25">
      <c r="A389" s="4" t="s">
        <v>17</v>
      </c>
      <c r="B389" s="7" t="s">
        <v>69</v>
      </c>
      <c r="C389" s="2" t="s">
        <v>1487</v>
      </c>
      <c r="D389" s="7" t="s">
        <v>1018</v>
      </c>
      <c r="E389" s="4" t="s">
        <v>779</v>
      </c>
      <c r="F389" s="2">
        <v>82</v>
      </c>
      <c r="G389" s="2" t="s">
        <v>1399</v>
      </c>
      <c r="H389" s="2" t="s">
        <v>1400</v>
      </c>
      <c r="I389" s="4" t="s">
        <v>60</v>
      </c>
      <c r="J389" s="112">
        <f>IF($H389&lt;&gt;"Y",0,ROUND(MIN(Dashboard!$R$24,IF(IFERROR(VLOOKUP($B389,Dashboard!$Q$28:$S$60,2,FALSE),0)&gt;0,IFERROR(VLOOKUP($B389,Dashboard!$Q$28:$S$60,2,FALSE),0),$Z389*IF($U389&lt;&gt;"",ROUND((Dashboard!$R$4/$U389)*VLOOKUP($I389,Dashboard!$Q$9:$R$13,2,FALSE)*IF(ISNUMBER(SEARCH("Duals",$B389)),2,IF(ISNUMBER(SEARCH("Triples",$B389)),3,IF(ISNUMBER(SEARCH("Quads",$B389)),4,1))),2),ROUND(VLOOKUP($I389,Dashboard!$Q$15:$R$20,2,FALSE)*IF($E389="Red",Dashboard!$R$6,IF($E389="Gold",Dashboard!$R$7,Dashboard!$R$5))*IF(ISNUMBER(SEARCH("Duals",$B389)),2,IF(ISNUMBER(SEARCH("Triples",$B389)),3,IF(ISNUMBER(SEARCH("Quads",$B389)),4,1))),2))*IF(IFERROR(VLOOKUP($B389,Dashboard!$Q$28:$S$60,3,FALSE),0)&gt;0,VLOOKUP($B389,Dashboard!$Q$28:$S$60,3,FALSE),1))),0))</f>
        <v>12</v>
      </c>
      <c r="K389" s="2" t="str">
        <f>IF('Base S1'!G89="","",'Base S1'!G89)</f>
        <v>C 20/82</v>
      </c>
      <c r="L389" s="2">
        <f t="shared" si="78"/>
        <v>1</v>
      </c>
      <c r="M389" s="2">
        <f t="shared" si="79"/>
        <v>0</v>
      </c>
      <c r="N389" s="2">
        <f t="shared" si="80"/>
        <v>1</v>
      </c>
      <c r="O389" s="2">
        <f t="shared" si="81"/>
        <v>0</v>
      </c>
      <c r="P389" s="112">
        <f t="shared" si="82"/>
        <v>12</v>
      </c>
      <c r="Q389" s="112">
        <f t="shared" si="83"/>
        <v>0</v>
      </c>
      <c r="R389" s="53"/>
      <c r="S389" s="53" t="str">
        <f t="shared" si="84"/>
        <v>Base S1|Floor 82 Parallel - Season 1|88|Floor 82</v>
      </c>
      <c r="T389" s="57" t="str">
        <f>IF($S389="","",IFERROR(VLOOKUP($S389,'Pop Estimates (Non-#d)'!$N$2:$O$500,2,FALSE),""))</f>
        <v/>
      </c>
      <c r="U389" s="57">
        <f t="shared" si="85"/>
        <v>82</v>
      </c>
      <c r="V389" s="53" t="str">
        <f t="shared" si="86"/>
        <v/>
      </c>
      <c r="W389" s="53" t="str">
        <f t="shared" si="87"/>
        <v/>
      </c>
      <c r="X389" s="53" t="str">
        <f t="shared" si="88"/>
        <v/>
      </c>
      <c r="Y389" s="57" t="str">
        <f>IF($X389="","",IFERROR(VLOOKUP($X389,'Char Popularity'!$A$2:$C$500,2,FALSE),""))</f>
        <v/>
      </c>
      <c r="Z389" s="56">
        <f>IF($X389="",1,IFERROR(VLOOKUP($X389,'Char Popularity'!$A$2:$C$500,3,FALSE),1))</f>
        <v>1</v>
      </c>
      <c r="AA389" s="62">
        <f>IF($H389&lt;&gt;"Y",0,(IF($F389&lt;&gt;"",ROUND(Dashboard!$R$4/$F389,1),IF(AND($I389="Base",$E389="Base"),Dashboard!$R$5,IF(AND($I389="Base",$E389="Red"),Dashboard!$R$6,IF(AND($I389="Base",$E389="Gold"),Dashboard!$R$7,VLOOKUP($I389,Dashboard!$Q$16:$R$21,2,FALSE)))))*VLOOKUP($I389,Dashboard!$Q$9:$R$13,2,FALSE)*IF(AND($I389="Auto",$F389="",OR($B389="Autographs Duals",$B389="Autographs Triples",$B389="Autographs Quads",$B389="Autographs Quads (Inscribed)")),IF($B389="Autographs Duals",2,IF($B389="Autographs Triples",3,4)),1)))</f>
        <v>12.2</v>
      </c>
      <c r="AB389" s="62">
        <f t="shared" si="89"/>
        <v>12.2</v>
      </c>
      <c r="AC389" s="62">
        <f t="shared" si="90"/>
        <v>0</v>
      </c>
    </row>
    <row r="390" spans="1:29" ht="28.7" customHeight="1" x14ac:dyDescent="0.25">
      <c r="A390" s="4" t="s">
        <v>17</v>
      </c>
      <c r="B390" s="7" t="s">
        <v>69</v>
      </c>
      <c r="C390" s="2" t="s">
        <v>1488</v>
      </c>
      <c r="D390" s="7" t="s">
        <v>1021</v>
      </c>
      <c r="E390" s="4" t="s">
        <v>779</v>
      </c>
      <c r="F390" s="2">
        <v>82</v>
      </c>
      <c r="G390" s="2" t="s">
        <v>1399</v>
      </c>
      <c r="H390" s="2" t="s">
        <v>1400</v>
      </c>
      <c r="I390" s="4" t="s">
        <v>60</v>
      </c>
      <c r="J390" s="112">
        <f>IF($H390&lt;&gt;"Y",0,ROUND(MIN(Dashboard!$R$24,IF(IFERROR(VLOOKUP($B390,Dashboard!$Q$28:$S$60,2,FALSE),0)&gt;0,IFERROR(VLOOKUP($B390,Dashboard!$Q$28:$S$60,2,FALSE),0),$Z390*IF($U390&lt;&gt;"",ROUND((Dashboard!$R$4/$U390)*VLOOKUP($I390,Dashboard!$Q$9:$R$13,2,FALSE)*IF(ISNUMBER(SEARCH("Duals",$B390)),2,IF(ISNUMBER(SEARCH("Triples",$B390)),3,IF(ISNUMBER(SEARCH("Quads",$B390)),4,1))),2),ROUND(VLOOKUP($I390,Dashboard!$Q$15:$R$20,2,FALSE)*IF($E390="Red",Dashboard!$R$6,IF($E390="Gold",Dashboard!$R$7,Dashboard!$R$5))*IF(ISNUMBER(SEARCH("Duals",$B390)),2,IF(ISNUMBER(SEARCH("Triples",$B390)),3,IF(ISNUMBER(SEARCH("Quads",$B390)),4,1))),2))*IF(IFERROR(VLOOKUP($B390,Dashboard!$Q$28:$S$60,3,FALSE),0)&gt;0,VLOOKUP($B390,Dashboard!$Q$28:$S$60,3,FALSE),1))),0))</f>
        <v>12</v>
      </c>
      <c r="K390" s="2" t="str">
        <f>IF('Base S1'!G90="","",'Base S1'!G90)</f>
        <v>V 38/82</v>
      </c>
      <c r="L390" s="2">
        <f t="shared" si="78"/>
        <v>1</v>
      </c>
      <c r="M390" s="2">
        <f t="shared" si="79"/>
        <v>0</v>
      </c>
      <c r="N390" s="2">
        <f t="shared" si="80"/>
        <v>1</v>
      </c>
      <c r="O390" s="2">
        <f t="shared" si="81"/>
        <v>0</v>
      </c>
      <c r="P390" s="112">
        <f t="shared" si="82"/>
        <v>12</v>
      </c>
      <c r="Q390" s="112">
        <f t="shared" si="83"/>
        <v>0</v>
      </c>
      <c r="R390" s="53"/>
      <c r="S390" s="53" t="str">
        <f t="shared" si="84"/>
        <v>Base S1|Floor 82 Parallel - Season 1|89|Floor 82</v>
      </c>
      <c r="T390" s="57" t="str">
        <f>IF($S390="","",IFERROR(VLOOKUP($S390,'Pop Estimates (Non-#d)'!$N$2:$O$500,2,FALSE),""))</f>
        <v/>
      </c>
      <c r="U390" s="57">
        <f t="shared" si="85"/>
        <v>82</v>
      </c>
      <c r="V390" s="53" t="str">
        <f t="shared" si="86"/>
        <v/>
      </c>
      <c r="W390" s="53" t="str">
        <f t="shared" si="87"/>
        <v/>
      </c>
      <c r="X390" s="53" t="str">
        <f t="shared" si="88"/>
        <v/>
      </c>
      <c r="Y390" s="57" t="str">
        <f>IF($X390="","",IFERROR(VLOOKUP($X390,'Char Popularity'!$A$2:$C$500,2,FALSE),""))</f>
        <v/>
      </c>
      <c r="Z390" s="56">
        <f>IF($X390="",1,IFERROR(VLOOKUP($X390,'Char Popularity'!$A$2:$C$500,3,FALSE),1))</f>
        <v>1</v>
      </c>
      <c r="AA390" s="62">
        <f>IF($H390&lt;&gt;"Y",0,(IF($F390&lt;&gt;"",ROUND(Dashboard!$R$4/$F390,1),IF(AND($I390="Base",$E390="Base"),Dashboard!$R$5,IF(AND($I390="Base",$E390="Red"),Dashboard!$R$6,IF(AND($I390="Base",$E390="Gold"),Dashboard!$R$7,VLOOKUP($I390,Dashboard!$Q$16:$R$21,2,FALSE)))))*VLOOKUP($I390,Dashboard!$Q$9:$R$13,2,FALSE)*IF(AND($I390="Auto",$F390="",OR($B390="Autographs Duals",$B390="Autographs Triples",$B390="Autographs Quads",$B390="Autographs Quads (Inscribed)")),IF($B390="Autographs Duals",2,IF($B390="Autographs Triples",3,4)),1)))</f>
        <v>12.2</v>
      </c>
      <c r="AB390" s="62">
        <f t="shared" si="89"/>
        <v>12.2</v>
      </c>
      <c r="AC390" s="62">
        <f t="shared" si="90"/>
        <v>0</v>
      </c>
    </row>
    <row r="391" spans="1:29" ht="28.7" customHeight="1" x14ac:dyDescent="0.25">
      <c r="A391" s="4" t="s">
        <v>17</v>
      </c>
      <c r="B391" s="7" t="s">
        <v>69</v>
      </c>
      <c r="C391" s="2" t="s">
        <v>1489</v>
      </c>
      <c r="D391" s="7" t="s">
        <v>1023</v>
      </c>
      <c r="E391" s="4" t="s">
        <v>779</v>
      </c>
      <c r="F391" s="2">
        <v>82</v>
      </c>
      <c r="G391" s="2" t="s">
        <v>1399</v>
      </c>
      <c r="H391" s="2" t="s">
        <v>1400</v>
      </c>
      <c r="I391" s="4" t="s">
        <v>60</v>
      </c>
      <c r="J391" s="112">
        <f>IF($H391&lt;&gt;"Y",0,ROUND(MIN(Dashboard!$R$24,IF(IFERROR(VLOOKUP($B391,Dashboard!$Q$28:$S$60,2,FALSE),0)&gt;0,IFERROR(VLOOKUP($B391,Dashboard!$Q$28:$S$60,2,FALSE),0),$Z391*IF($U391&lt;&gt;"",ROUND((Dashboard!$R$4/$U391)*VLOOKUP($I391,Dashboard!$Q$9:$R$13,2,FALSE)*IF(ISNUMBER(SEARCH("Duals",$B391)),2,IF(ISNUMBER(SEARCH("Triples",$B391)),3,IF(ISNUMBER(SEARCH("Quads",$B391)),4,1))),2),ROUND(VLOOKUP($I391,Dashboard!$Q$15:$R$20,2,FALSE)*IF($E391="Red",Dashboard!$R$6,IF($E391="Gold",Dashboard!$R$7,Dashboard!$R$5))*IF(ISNUMBER(SEARCH("Duals",$B391)),2,IF(ISNUMBER(SEARCH("Triples",$B391)),3,IF(ISNUMBER(SEARCH("Quads",$B391)),4,1))),2))*IF(IFERROR(VLOOKUP($B391,Dashboard!$Q$28:$S$60,3,FALSE),0)&gt;0,VLOOKUP($B391,Dashboard!$Q$28:$S$60,3,FALSE),1))),0))</f>
        <v>12</v>
      </c>
      <c r="K391" s="2" t="str">
        <f>IF('Base S1'!G91="","",'Base S1'!G91)</f>
        <v>C 82/82</v>
      </c>
      <c r="L391" s="2">
        <f t="shared" si="78"/>
        <v>1</v>
      </c>
      <c r="M391" s="2">
        <f t="shared" si="79"/>
        <v>0</v>
      </c>
      <c r="N391" s="2">
        <f t="shared" si="80"/>
        <v>1</v>
      </c>
      <c r="O391" s="2">
        <f t="shared" si="81"/>
        <v>0</v>
      </c>
      <c r="P391" s="112">
        <f t="shared" si="82"/>
        <v>12</v>
      </c>
      <c r="Q391" s="112">
        <f t="shared" si="83"/>
        <v>0</v>
      </c>
      <c r="R391" s="53"/>
      <c r="S391" s="53" t="str">
        <f t="shared" si="84"/>
        <v>Base S1|Floor 82 Parallel - Season 1|90|Floor 82</v>
      </c>
      <c r="T391" s="57" t="str">
        <f>IF($S391="","",IFERROR(VLOOKUP($S391,'Pop Estimates (Non-#d)'!$N$2:$O$500,2,FALSE),""))</f>
        <v/>
      </c>
      <c r="U391" s="57">
        <f t="shared" si="85"/>
        <v>82</v>
      </c>
      <c r="V391" s="53" t="str">
        <f t="shared" si="86"/>
        <v/>
      </c>
      <c r="W391" s="53" t="str">
        <f t="shared" si="87"/>
        <v/>
      </c>
      <c r="X391" s="53" t="str">
        <f t="shared" si="88"/>
        <v/>
      </c>
      <c r="Y391" s="57" t="str">
        <f>IF($X391="","",IFERROR(VLOOKUP($X391,'Char Popularity'!$A$2:$C$500,2,FALSE),""))</f>
        <v/>
      </c>
      <c r="Z391" s="56">
        <f>IF($X391="",1,IFERROR(VLOOKUP($X391,'Char Popularity'!$A$2:$C$500,3,FALSE),1))</f>
        <v>1</v>
      </c>
      <c r="AA391" s="62">
        <f>IF($H391&lt;&gt;"Y",0,(IF($F391&lt;&gt;"",ROUND(Dashboard!$R$4/$F391,1),IF(AND($I391="Base",$E391="Base"),Dashboard!$R$5,IF(AND($I391="Base",$E391="Red"),Dashboard!$R$6,IF(AND($I391="Base",$E391="Gold"),Dashboard!$R$7,VLOOKUP($I391,Dashboard!$Q$16:$R$21,2,FALSE)))))*VLOOKUP($I391,Dashboard!$Q$9:$R$13,2,FALSE)*IF(AND($I391="Auto",$F391="",OR($B391="Autographs Duals",$B391="Autographs Triples",$B391="Autographs Quads",$B391="Autographs Quads (Inscribed)")),IF($B391="Autographs Duals",2,IF($B391="Autographs Triples",3,4)),1)))</f>
        <v>12.2</v>
      </c>
      <c r="AB391" s="62">
        <f t="shared" si="89"/>
        <v>12.2</v>
      </c>
      <c r="AC391" s="62">
        <f t="shared" si="90"/>
        <v>0</v>
      </c>
    </row>
    <row r="392" spans="1:29" ht="28.7" customHeight="1" x14ac:dyDescent="0.25">
      <c r="A392" s="4" t="s">
        <v>17</v>
      </c>
      <c r="B392" s="7" t="s">
        <v>69</v>
      </c>
      <c r="C392" s="2" t="s">
        <v>1490</v>
      </c>
      <c r="D392" s="7" t="s">
        <v>1025</v>
      </c>
      <c r="E392" s="4" t="s">
        <v>779</v>
      </c>
      <c r="F392" s="2">
        <v>82</v>
      </c>
      <c r="G392" s="2" t="s">
        <v>1399</v>
      </c>
      <c r="H392" s="2" t="s">
        <v>1400</v>
      </c>
      <c r="I392" s="4" t="s">
        <v>60</v>
      </c>
      <c r="J392" s="112">
        <f>IF($H392&lt;&gt;"Y",0,ROUND(MIN(Dashboard!$R$24,IF(IFERROR(VLOOKUP($B392,Dashboard!$Q$28:$S$60,2,FALSE),0)&gt;0,IFERROR(VLOOKUP($B392,Dashboard!$Q$28:$S$60,2,FALSE),0),$Z392*IF($U392&lt;&gt;"",ROUND((Dashboard!$R$4/$U392)*VLOOKUP($I392,Dashboard!$Q$9:$R$13,2,FALSE)*IF(ISNUMBER(SEARCH("Duals",$B392)),2,IF(ISNUMBER(SEARCH("Triples",$B392)),3,IF(ISNUMBER(SEARCH("Quads",$B392)),4,1))),2),ROUND(VLOOKUP($I392,Dashboard!$Q$15:$R$20,2,FALSE)*IF($E392="Red",Dashboard!$R$6,IF($E392="Gold",Dashboard!$R$7,Dashboard!$R$5))*IF(ISNUMBER(SEARCH("Duals",$B392)),2,IF(ISNUMBER(SEARCH("Triples",$B392)),3,IF(ISNUMBER(SEARCH("Quads",$B392)),4,1))),2))*IF(IFERROR(VLOOKUP($B392,Dashboard!$Q$28:$S$60,3,FALSE),0)&gt;0,VLOOKUP($B392,Dashboard!$Q$28:$S$60,3,FALSE),1))),0))</f>
        <v>12</v>
      </c>
      <c r="K392" s="2" t="str">
        <f>IF('Base S1'!G92="","",'Base S1'!G92)</f>
        <v>C '09/82</v>
      </c>
      <c r="L392" s="2">
        <f t="shared" si="78"/>
        <v>1</v>
      </c>
      <c r="M392" s="2">
        <f t="shared" si="79"/>
        <v>0</v>
      </c>
      <c r="N392" s="2">
        <f t="shared" si="80"/>
        <v>1</v>
      </c>
      <c r="O392" s="2">
        <f t="shared" si="81"/>
        <v>0</v>
      </c>
      <c r="P392" s="112">
        <f t="shared" si="82"/>
        <v>12</v>
      </c>
      <c r="Q392" s="112">
        <f t="shared" si="83"/>
        <v>0</v>
      </c>
      <c r="R392" s="53"/>
      <c r="S392" s="53" t="str">
        <f t="shared" si="84"/>
        <v>Base S1|Floor 82 Parallel - Season 1|91|Floor 82</v>
      </c>
      <c r="T392" s="57" t="str">
        <f>IF($S392="","",IFERROR(VLOOKUP($S392,'Pop Estimates (Non-#d)'!$N$2:$O$500,2,FALSE),""))</f>
        <v/>
      </c>
      <c r="U392" s="57">
        <f t="shared" si="85"/>
        <v>82</v>
      </c>
      <c r="V392" s="53" t="str">
        <f t="shared" si="86"/>
        <v/>
      </c>
      <c r="W392" s="53" t="str">
        <f t="shared" si="87"/>
        <v/>
      </c>
      <c r="X392" s="53" t="str">
        <f t="shared" si="88"/>
        <v/>
      </c>
      <c r="Y392" s="57" t="str">
        <f>IF($X392="","",IFERROR(VLOOKUP($X392,'Char Popularity'!$A$2:$C$500,2,FALSE),""))</f>
        <v/>
      </c>
      <c r="Z392" s="56">
        <f>IF($X392="",1,IFERROR(VLOOKUP($X392,'Char Popularity'!$A$2:$C$500,3,FALSE),1))</f>
        <v>1</v>
      </c>
      <c r="AA392" s="62">
        <f>IF($H392&lt;&gt;"Y",0,(IF($F392&lt;&gt;"",ROUND(Dashboard!$R$4/$F392,1),IF(AND($I392="Base",$E392="Base"),Dashboard!$R$5,IF(AND($I392="Base",$E392="Red"),Dashboard!$R$6,IF(AND($I392="Base",$E392="Gold"),Dashboard!$R$7,VLOOKUP($I392,Dashboard!$Q$16:$R$21,2,FALSE)))))*VLOOKUP($I392,Dashboard!$Q$9:$R$13,2,FALSE)*IF(AND($I392="Auto",$F392="",OR($B392="Autographs Duals",$B392="Autographs Triples",$B392="Autographs Quads",$B392="Autographs Quads (Inscribed)")),IF($B392="Autographs Duals",2,IF($B392="Autographs Triples",3,4)),1)))</f>
        <v>12.2</v>
      </c>
      <c r="AB392" s="62">
        <f t="shared" si="89"/>
        <v>12.2</v>
      </c>
      <c r="AC392" s="62">
        <f t="shared" si="90"/>
        <v>0</v>
      </c>
    </row>
    <row r="393" spans="1:29" ht="28.7" customHeight="1" x14ac:dyDescent="0.25">
      <c r="A393" s="4" t="s">
        <v>17</v>
      </c>
      <c r="B393" s="7" t="s">
        <v>69</v>
      </c>
      <c r="C393" s="2" t="s">
        <v>1491</v>
      </c>
      <c r="D393" s="7" t="s">
        <v>1027</v>
      </c>
      <c r="E393" s="4" t="s">
        <v>779</v>
      </c>
      <c r="F393" s="2">
        <v>82</v>
      </c>
      <c r="G393" s="2" t="s">
        <v>1399</v>
      </c>
      <c r="H393" s="2" t="s">
        <v>1400</v>
      </c>
      <c r="I393" s="4" t="s">
        <v>60</v>
      </c>
      <c r="J393" s="112">
        <f>IF($H393&lt;&gt;"Y",0,ROUND(MIN(Dashboard!$R$24,IF(IFERROR(VLOOKUP($B393,Dashboard!$Q$28:$S$60,2,FALSE),0)&gt;0,IFERROR(VLOOKUP($B393,Dashboard!$Q$28:$S$60,2,FALSE),0),$Z393*IF($U393&lt;&gt;"",ROUND((Dashboard!$R$4/$U393)*VLOOKUP($I393,Dashboard!$Q$9:$R$13,2,FALSE)*IF(ISNUMBER(SEARCH("Duals",$B393)),2,IF(ISNUMBER(SEARCH("Triples",$B393)),3,IF(ISNUMBER(SEARCH("Quads",$B393)),4,1))),2),ROUND(VLOOKUP($I393,Dashboard!$Q$15:$R$20,2,FALSE)*IF($E393="Red",Dashboard!$R$6,IF($E393="Gold",Dashboard!$R$7,Dashboard!$R$5))*IF(ISNUMBER(SEARCH("Duals",$B393)),2,IF(ISNUMBER(SEARCH("Triples",$B393)),3,IF(ISNUMBER(SEARCH("Quads",$B393)),4,1))),2))*IF(IFERROR(VLOOKUP($B393,Dashboard!$Q$28:$S$60,3,FALSE),0)&gt;0,VLOOKUP($B393,Dashboard!$Q$28:$S$60,3,FALSE),1))),0))</f>
        <v>12</v>
      </c>
      <c r="K393" s="2" t="str">
        <f>IF('Base S1'!G93="","",'Base S1'!G93)</f>
        <v>V 47/82</v>
      </c>
      <c r="L393" s="2">
        <f t="shared" si="78"/>
        <v>1</v>
      </c>
      <c r="M393" s="2">
        <f t="shared" si="79"/>
        <v>0</v>
      </c>
      <c r="N393" s="2">
        <f t="shared" si="80"/>
        <v>1</v>
      </c>
      <c r="O393" s="2">
        <f t="shared" si="81"/>
        <v>0</v>
      </c>
      <c r="P393" s="112">
        <f t="shared" si="82"/>
        <v>12</v>
      </c>
      <c r="Q393" s="112">
        <f t="shared" si="83"/>
        <v>0</v>
      </c>
      <c r="R393" s="53"/>
      <c r="S393" s="53" t="str">
        <f t="shared" si="84"/>
        <v>Base S1|Floor 82 Parallel - Season 1|92|Floor 82</v>
      </c>
      <c r="T393" s="57" t="str">
        <f>IF($S393="","",IFERROR(VLOOKUP($S393,'Pop Estimates (Non-#d)'!$N$2:$O$500,2,FALSE),""))</f>
        <v/>
      </c>
      <c r="U393" s="57">
        <f t="shared" si="85"/>
        <v>82</v>
      </c>
      <c r="V393" s="53" t="str">
        <f t="shared" si="86"/>
        <v/>
      </c>
      <c r="W393" s="53" t="str">
        <f t="shared" si="87"/>
        <v/>
      </c>
      <c r="X393" s="53" t="str">
        <f t="shared" si="88"/>
        <v/>
      </c>
      <c r="Y393" s="57" t="str">
        <f>IF($X393="","",IFERROR(VLOOKUP($X393,'Char Popularity'!$A$2:$C$500,2,FALSE),""))</f>
        <v/>
      </c>
      <c r="Z393" s="56">
        <f>IF($X393="",1,IFERROR(VLOOKUP($X393,'Char Popularity'!$A$2:$C$500,3,FALSE),1))</f>
        <v>1</v>
      </c>
      <c r="AA393" s="62">
        <f>IF($H393&lt;&gt;"Y",0,(IF($F393&lt;&gt;"",ROUND(Dashboard!$R$4/$F393,1),IF(AND($I393="Base",$E393="Base"),Dashboard!$R$5,IF(AND($I393="Base",$E393="Red"),Dashboard!$R$6,IF(AND($I393="Base",$E393="Gold"),Dashboard!$R$7,VLOOKUP($I393,Dashboard!$Q$16:$R$21,2,FALSE)))))*VLOOKUP($I393,Dashboard!$Q$9:$R$13,2,FALSE)*IF(AND($I393="Auto",$F393="",OR($B393="Autographs Duals",$B393="Autographs Triples",$B393="Autographs Quads",$B393="Autographs Quads (Inscribed)")),IF($B393="Autographs Duals",2,IF($B393="Autographs Triples",3,4)),1)))</f>
        <v>12.2</v>
      </c>
      <c r="AB393" s="62">
        <f t="shared" si="89"/>
        <v>12.2</v>
      </c>
      <c r="AC393" s="62">
        <f t="shared" si="90"/>
        <v>0</v>
      </c>
    </row>
    <row r="394" spans="1:29" ht="28.7" customHeight="1" x14ac:dyDescent="0.25">
      <c r="A394" s="4" t="s">
        <v>17</v>
      </c>
      <c r="B394" s="7" t="s">
        <v>69</v>
      </c>
      <c r="C394" s="2" t="s">
        <v>1492</v>
      </c>
      <c r="D394" s="7" t="s">
        <v>1029</v>
      </c>
      <c r="E394" s="4" t="s">
        <v>779</v>
      </c>
      <c r="F394" s="2">
        <v>82</v>
      </c>
      <c r="G394" s="2" t="s">
        <v>1399</v>
      </c>
      <c r="H394" s="2" t="s">
        <v>1400</v>
      </c>
      <c r="I394" s="4" t="s">
        <v>60</v>
      </c>
      <c r="J394" s="112">
        <f>IF($H394&lt;&gt;"Y",0,ROUND(MIN(Dashboard!$R$24,IF(IFERROR(VLOOKUP($B394,Dashboard!$Q$28:$S$60,2,FALSE),0)&gt;0,IFERROR(VLOOKUP($B394,Dashboard!$Q$28:$S$60,2,FALSE),0),$Z394*IF($U394&lt;&gt;"",ROUND((Dashboard!$R$4/$U394)*VLOOKUP($I394,Dashboard!$Q$9:$R$13,2,FALSE)*IF(ISNUMBER(SEARCH("Duals",$B394)),2,IF(ISNUMBER(SEARCH("Triples",$B394)),3,IF(ISNUMBER(SEARCH("Quads",$B394)),4,1))),2),ROUND(VLOOKUP($I394,Dashboard!$Q$15:$R$20,2,FALSE)*IF($E394="Red",Dashboard!$R$6,IF($E394="Gold",Dashboard!$R$7,Dashboard!$R$5))*IF(ISNUMBER(SEARCH("Duals",$B394)),2,IF(ISNUMBER(SEARCH("Triples",$B394)),3,IF(ISNUMBER(SEARCH("Quads",$B394)),4,1))),2))*IF(IFERROR(VLOOKUP($B394,Dashboard!$Q$28:$S$60,3,FALSE),0)&gt;0,VLOOKUP($B394,Dashboard!$Q$28:$S$60,3,FALSE),1))),0))</f>
        <v>12</v>
      </c>
      <c r="K394" s="2" t="str">
        <f>IF('Base S1'!G94="","",'Base S1'!G94)</f>
        <v>V 29/82</v>
      </c>
      <c r="L394" s="2">
        <f t="shared" si="78"/>
        <v>1</v>
      </c>
      <c r="M394" s="2">
        <f t="shared" si="79"/>
        <v>0</v>
      </c>
      <c r="N394" s="2">
        <f t="shared" si="80"/>
        <v>1</v>
      </c>
      <c r="O394" s="2">
        <f t="shared" si="81"/>
        <v>0</v>
      </c>
      <c r="P394" s="112">
        <f t="shared" si="82"/>
        <v>12</v>
      </c>
      <c r="Q394" s="112">
        <f t="shared" si="83"/>
        <v>0</v>
      </c>
      <c r="R394" s="53"/>
      <c r="S394" s="53" t="str">
        <f t="shared" si="84"/>
        <v>Base S1|Floor 82 Parallel - Season 1|93|Floor 82</v>
      </c>
      <c r="T394" s="57" t="str">
        <f>IF($S394="","",IFERROR(VLOOKUP($S394,'Pop Estimates (Non-#d)'!$N$2:$O$500,2,FALSE),""))</f>
        <v/>
      </c>
      <c r="U394" s="57">
        <f t="shared" si="85"/>
        <v>82</v>
      </c>
      <c r="V394" s="53" t="str">
        <f t="shared" si="86"/>
        <v/>
      </c>
      <c r="W394" s="53" t="str">
        <f t="shared" si="87"/>
        <v/>
      </c>
      <c r="X394" s="53" t="str">
        <f t="shared" si="88"/>
        <v/>
      </c>
      <c r="Y394" s="57" t="str">
        <f>IF($X394="","",IFERROR(VLOOKUP($X394,'Char Popularity'!$A$2:$C$500,2,FALSE),""))</f>
        <v/>
      </c>
      <c r="Z394" s="56">
        <f>IF($X394="",1,IFERROR(VLOOKUP($X394,'Char Popularity'!$A$2:$C$500,3,FALSE),1))</f>
        <v>1</v>
      </c>
      <c r="AA394" s="62">
        <f>IF($H394&lt;&gt;"Y",0,(IF($F394&lt;&gt;"",ROUND(Dashboard!$R$4/$F394,1),IF(AND($I394="Base",$E394="Base"),Dashboard!$R$5,IF(AND($I394="Base",$E394="Red"),Dashboard!$R$6,IF(AND($I394="Base",$E394="Gold"),Dashboard!$R$7,VLOOKUP($I394,Dashboard!$Q$16:$R$21,2,FALSE)))))*VLOOKUP($I394,Dashboard!$Q$9:$R$13,2,FALSE)*IF(AND($I394="Auto",$F394="",OR($B394="Autographs Duals",$B394="Autographs Triples",$B394="Autographs Quads",$B394="Autographs Quads (Inscribed)")),IF($B394="Autographs Duals",2,IF($B394="Autographs Triples",3,4)),1)))</f>
        <v>12.2</v>
      </c>
      <c r="AB394" s="62">
        <f t="shared" si="89"/>
        <v>12.2</v>
      </c>
      <c r="AC394" s="62">
        <f t="shared" si="90"/>
        <v>0</v>
      </c>
    </row>
    <row r="395" spans="1:29" ht="28.7" customHeight="1" x14ac:dyDescent="0.25">
      <c r="A395" s="4" t="s">
        <v>17</v>
      </c>
      <c r="B395" s="7" t="s">
        <v>69</v>
      </c>
      <c r="C395" s="2" t="s">
        <v>1493</v>
      </c>
      <c r="D395" s="7" t="s">
        <v>1031</v>
      </c>
      <c r="E395" s="4" t="s">
        <v>779</v>
      </c>
      <c r="F395" s="2">
        <v>82</v>
      </c>
      <c r="G395" s="2" t="s">
        <v>1399</v>
      </c>
      <c r="H395" s="2" t="s">
        <v>1400</v>
      </c>
      <c r="I395" s="4" t="s">
        <v>60</v>
      </c>
      <c r="J395" s="112">
        <f>IF($H395&lt;&gt;"Y",0,ROUND(MIN(Dashboard!$R$24,IF(IFERROR(VLOOKUP($B395,Dashboard!$Q$28:$S$60,2,FALSE),0)&gt;0,IFERROR(VLOOKUP($B395,Dashboard!$Q$28:$S$60,2,FALSE),0),$Z395*IF($U395&lt;&gt;"",ROUND((Dashboard!$R$4/$U395)*VLOOKUP($I395,Dashboard!$Q$9:$R$13,2,FALSE)*IF(ISNUMBER(SEARCH("Duals",$B395)),2,IF(ISNUMBER(SEARCH("Triples",$B395)),3,IF(ISNUMBER(SEARCH("Quads",$B395)),4,1))),2),ROUND(VLOOKUP($I395,Dashboard!$Q$15:$R$20,2,FALSE)*IF($E395="Red",Dashboard!$R$6,IF($E395="Gold",Dashboard!$R$7,Dashboard!$R$5))*IF(ISNUMBER(SEARCH("Duals",$B395)),2,IF(ISNUMBER(SEARCH("Triples",$B395)),3,IF(ISNUMBER(SEARCH("Quads",$B395)),4,1))),2))*IF(IFERROR(VLOOKUP($B395,Dashboard!$Q$28:$S$60,3,FALSE),0)&gt;0,VLOOKUP($B395,Dashboard!$Q$28:$S$60,3,FALSE),1))),0))</f>
        <v>12</v>
      </c>
      <c r="K395" s="2" t="str">
        <f>IF('Base S1'!G95="","",'Base S1'!G95)</f>
        <v>C '02/82</v>
      </c>
      <c r="L395" s="2">
        <f t="shared" si="78"/>
        <v>1</v>
      </c>
      <c r="M395" s="2">
        <f t="shared" si="79"/>
        <v>0</v>
      </c>
      <c r="N395" s="2">
        <f t="shared" si="80"/>
        <v>1</v>
      </c>
      <c r="O395" s="2">
        <f t="shared" si="81"/>
        <v>0</v>
      </c>
      <c r="P395" s="112">
        <f t="shared" si="82"/>
        <v>12</v>
      </c>
      <c r="Q395" s="112">
        <f t="shared" si="83"/>
        <v>0</v>
      </c>
      <c r="R395" s="53"/>
      <c r="S395" s="53" t="str">
        <f t="shared" si="84"/>
        <v>Base S1|Floor 82 Parallel - Season 1|94|Floor 82</v>
      </c>
      <c r="T395" s="57" t="str">
        <f>IF($S395="","",IFERROR(VLOOKUP($S395,'Pop Estimates (Non-#d)'!$N$2:$O$500,2,FALSE),""))</f>
        <v/>
      </c>
      <c r="U395" s="57">
        <f t="shared" si="85"/>
        <v>82</v>
      </c>
      <c r="V395" s="53" t="str">
        <f t="shared" si="86"/>
        <v/>
      </c>
      <c r="W395" s="53" t="str">
        <f t="shared" si="87"/>
        <v/>
      </c>
      <c r="X395" s="53" t="str">
        <f t="shared" si="88"/>
        <v/>
      </c>
      <c r="Y395" s="57" t="str">
        <f>IF($X395="","",IFERROR(VLOOKUP($X395,'Char Popularity'!$A$2:$C$500,2,FALSE),""))</f>
        <v/>
      </c>
      <c r="Z395" s="56">
        <f>IF($X395="",1,IFERROR(VLOOKUP($X395,'Char Popularity'!$A$2:$C$500,3,FALSE),1))</f>
        <v>1</v>
      </c>
      <c r="AA395" s="62">
        <f>IF($H395&lt;&gt;"Y",0,(IF($F395&lt;&gt;"",ROUND(Dashboard!$R$4/$F395,1),IF(AND($I395="Base",$E395="Base"),Dashboard!$R$5,IF(AND($I395="Base",$E395="Red"),Dashboard!$R$6,IF(AND($I395="Base",$E395="Gold"),Dashboard!$R$7,VLOOKUP($I395,Dashboard!$Q$16:$R$21,2,FALSE)))))*VLOOKUP($I395,Dashboard!$Q$9:$R$13,2,FALSE)*IF(AND($I395="Auto",$F395="",OR($B395="Autographs Duals",$B395="Autographs Triples",$B395="Autographs Quads",$B395="Autographs Quads (Inscribed)")),IF($B395="Autographs Duals",2,IF($B395="Autographs Triples",3,4)),1)))</f>
        <v>12.2</v>
      </c>
      <c r="AB395" s="62">
        <f t="shared" si="89"/>
        <v>12.2</v>
      </c>
      <c r="AC395" s="62">
        <f t="shared" si="90"/>
        <v>0</v>
      </c>
    </row>
    <row r="396" spans="1:29" ht="28.7" customHeight="1" x14ac:dyDescent="0.25">
      <c r="A396" s="4" t="s">
        <v>17</v>
      </c>
      <c r="B396" s="7" t="s">
        <v>69</v>
      </c>
      <c r="C396" s="2" t="s">
        <v>1494</v>
      </c>
      <c r="D396" s="7" t="s">
        <v>1032</v>
      </c>
      <c r="E396" s="4" t="s">
        <v>779</v>
      </c>
      <c r="F396" s="2">
        <v>82</v>
      </c>
      <c r="G396" s="2" t="s">
        <v>1399</v>
      </c>
      <c r="H396" s="2" t="s">
        <v>1400</v>
      </c>
      <c r="I396" s="4" t="s">
        <v>60</v>
      </c>
      <c r="J396" s="112">
        <f>IF($H396&lt;&gt;"Y",0,ROUND(MIN(Dashboard!$R$24,IF(IFERROR(VLOOKUP($B396,Dashboard!$Q$28:$S$60,2,FALSE),0)&gt;0,IFERROR(VLOOKUP($B396,Dashboard!$Q$28:$S$60,2,FALSE),0),$Z396*IF($U396&lt;&gt;"",ROUND((Dashboard!$R$4/$U396)*VLOOKUP($I396,Dashboard!$Q$9:$R$13,2,FALSE)*IF(ISNUMBER(SEARCH("Duals",$B396)),2,IF(ISNUMBER(SEARCH("Triples",$B396)),3,IF(ISNUMBER(SEARCH("Quads",$B396)),4,1))),2),ROUND(VLOOKUP($I396,Dashboard!$Q$15:$R$20,2,FALSE)*IF($E396="Red",Dashboard!$R$6,IF($E396="Gold",Dashboard!$R$7,Dashboard!$R$5))*IF(ISNUMBER(SEARCH("Duals",$B396)),2,IF(ISNUMBER(SEARCH("Triples",$B396)),3,IF(ISNUMBER(SEARCH("Quads",$B396)),4,1))),2))*IF(IFERROR(VLOOKUP($B396,Dashboard!$Q$28:$S$60,3,FALSE),0)&gt;0,VLOOKUP($B396,Dashboard!$Q$28:$S$60,3,FALSE),1))),0))</f>
        <v>12</v>
      </c>
      <c r="K396" s="2" t="str">
        <f>IF('Base S1'!G96="","",'Base S1'!G96)</f>
        <v>C 69/82</v>
      </c>
      <c r="L396" s="2">
        <f t="shared" si="78"/>
        <v>1</v>
      </c>
      <c r="M396" s="2">
        <f t="shared" si="79"/>
        <v>0</v>
      </c>
      <c r="N396" s="2">
        <f t="shared" si="80"/>
        <v>1</v>
      </c>
      <c r="O396" s="2">
        <f t="shared" si="81"/>
        <v>0</v>
      </c>
      <c r="P396" s="112">
        <f t="shared" si="82"/>
        <v>12</v>
      </c>
      <c r="Q396" s="112">
        <f t="shared" si="83"/>
        <v>0</v>
      </c>
      <c r="R396" s="53"/>
      <c r="S396" s="53" t="str">
        <f t="shared" si="84"/>
        <v>Base S1|Floor 82 Parallel - Season 1|95|Floor 82</v>
      </c>
      <c r="T396" s="57" t="str">
        <f>IF($S396="","",IFERROR(VLOOKUP($S396,'Pop Estimates (Non-#d)'!$N$2:$O$500,2,FALSE),""))</f>
        <v/>
      </c>
      <c r="U396" s="57">
        <f t="shared" si="85"/>
        <v>82</v>
      </c>
      <c r="V396" s="53" t="str">
        <f t="shared" si="86"/>
        <v/>
      </c>
      <c r="W396" s="53" t="str">
        <f t="shared" si="87"/>
        <v/>
      </c>
      <c r="X396" s="53" t="str">
        <f t="shared" si="88"/>
        <v/>
      </c>
      <c r="Y396" s="57" t="str">
        <f>IF($X396="","",IFERROR(VLOOKUP($X396,'Char Popularity'!$A$2:$C$500,2,FALSE),""))</f>
        <v/>
      </c>
      <c r="Z396" s="56">
        <f>IF($X396="",1,IFERROR(VLOOKUP($X396,'Char Popularity'!$A$2:$C$500,3,FALSE),1))</f>
        <v>1</v>
      </c>
      <c r="AA396" s="62">
        <f>IF($H396&lt;&gt;"Y",0,(IF($F396&lt;&gt;"",ROUND(Dashboard!$R$4/$F396,1),IF(AND($I396="Base",$E396="Base"),Dashboard!$R$5,IF(AND($I396="Base",$E396="Red"),Dashboard!$R$6,IF(AND($I396="Base",$E396="Gold"),Dashboard!$R$7,VLOOKUP($I396,Dashboard!$Q$16:$R$21,2,FALSE)))))*VLOOKUP($I396,Dashboard!$Q$9:$R$13,2,FALSE)*IF(AND($I396="Auto",$F396="",OR($B396="Autographs Duals",$B396="Autographs Triples",$B396="Autographs Quads",$B396="Autographs Quads (Inscribed)")),IF($B396="Autographs Duals",2,IF($B396="Autographs Triples",3,4)),1)))</f>
        <v>12.2</v>
      </c>
      <c r="AB396" s="62">
        <f t="shared" si="89"/>
        <v>12.2</v>
      </c>
      <c r="AC396" s="62">
        <f t="shared" si="90"/>
        <v>0</v>
      </c>
    </row>
    <row r="397" spans="1:29" ht="28.7" customHeight="1" x14ac:dyDescent="0.25">
      <c r="A397" s="4" t="s">
        <v>17</v>
      </c>
      <c r="B397" s="7" t="s">
        <v>69</v>
      </c>
      <c r="C397" s="2" t="s">
        <v>1495</v>
      </c>
      <c r="D397" s="7" t="s">
        <v>1034</v>
      </c>
      <c r="E397" s="4" t="s">
        <v>779</v>
      </c>
      <c r="F397" s="2">
        <v>82</v>
      </c>
      <c r="G397" s="2" t="s">
        <v>1399</v>
      </c>
      <c r="H397" s="2" t="s">
        <v>1400</v>
      </c>
      <c r="I397" s="4" t="s">
        <v>60</v>
      </c>
      <c r="J397" s="112">
        <f>IF($H397&lt;&gt;"Y",0,ROUND(MIN(Dashboard!$R$24,IF(IFERROR(VLOOKUP($B397,Dashboard!$Q$28:$S$60,2,FALSE),0)&gt;0,IFERROR(VLOOKUP($B397,Dashboard!$Q$28:$S$60,2,FALSE),0),$Z397*IF($U397&lt;&gt;"",ROUND((Dashboard!$R$4/$U397)*VLOOKUP($I397,Dashboard!$Q$9:$R$13,2,FALSE)*IF(ISNUMBER(SEARCH("Duals",$B397)),2,IF(ISNUMBER(SEARCH("Triples",$B397)),3,IF(ISNUMBER(SEARCH("Quads",$B397)),4,1))),2),ROUND(VLOOKUP($I397,Dashboard!$Q$15:$R$20,2,FALSE)*IF($E397="Red",Dashboard!$R$6,IF($E397="Gold",Dashboard!$R$7,Dashboard!$R$5))*IF(ISNUMBER(SEARCH("Duals",$B397)),2,IF(ISNUMBER(SEARCH("Triples",$B397)),3,IF(ISNUMBER(SEARCH("Quads",$B397)),4,1))),2))*IF(IFERROR(VLOOKUP($B397,Dashboard!$Q$28:$S$60,3,FALSE),0)&gt;0,VLOOKUP($B397,Dashboard!$Q$28:$S$60,3,FALSE),1))),0))</f>
        <v>12</v>
      </c>
      <c r="K397" s="2" t="str">
        <f>IF('Base S1'!G97="","",'Base S1'!G97)</f>
        <v>V 77/82</v>
      </c>
      <c r="L397" s="2">
        <f t="shared" si="78"/>
        <v>1</v>
      </c>
      <c r="M397" s="2">
        <f t="shared" si="79"/>
        <v>0</v>
      </c>
      <c r="N397" s="2">
        <f t="shared" si="80"/>
        <v>1</v>
      </c>
      <c r="O397" s="2">
        <f t="shared" si="81"/>
        <v>0</v>
      </c>
      <c r="P397" s="112">
        <f t="shared" si="82"/>
        <v>12</v>
      </c>
      <c r="Q397" s="112">
        <f t="shared" si="83"/>
        <v>0</v>
      </c>
      <c r="R397" s="53"/>
      <c r="S397" s="53" t="str">
        <f t="shared" si="84"/>
        <v>Base S1|Floor 82 Parallel - Season 1|96|Floor 82</v>
      </c>
      <c r="T397" s="57" t="str">
        <f>IF($S397="","",IFERROR(VLOOKUP($S397,'Pop Estimates (Non-#d)'!$N$2:$O$500,2,FALSE),""))</f>
        <v/>
      </c>
      <c r="U397" s="57">
        <f t="shared" si="85"/>
        <v>82</v>
      </c>
      <c r="V397" s="53" t="str">
        <f t="shared" si="86"/>
        <v/>
      </c>
      <c r="W397" s="53" t="str">
        <f t="shared" si="87"/>
        <v/>
      </c>
      <c r="X397" s="53" t="str">
        <f t="shared" si="88"/>
        <v/>
      </c>
      <c r="Y397" s="57" t="str">
        <f>IF($X397="","",IFERROR(VLOOKUP($X397,'Char Popularity'!$A$2:$C$500,2,FALSE),""))</f>
        <v/>
      </c>
      <c r="Z397" s="56">
        <f>IF($X397="",1,IFERROR(VLOOKUP($X397,'Char Popularity'!$A$2:$C$500,3,FALSE),1))</f>
        <v>1</v>
      </c>
      <c r="AA397" s="62">
        <f>IF($H397&lt;&gt;"Y",0,(IF($F397&lt;&gt;"",ROUND(Dashboard!$R$4/$F397,1),IF(AND($I397="Base",$E397="Base"),Dashboard!$R$5,IF(AND($I397="Base",$E397="Red"),Dashboard!$R$6,IF(AND($I397="Base",$E397="Gold"),Dashboard!$R$7,VLOOKUP($I397,Dashboard!$Q$16:$R$21,2,FALSE)))))*VLOOKUP($I397,Dashboard!$Q$9:$R$13,2,FALSE)*IF(AND($I397="Auto",$F397="",OR($B397="Autographs Duals",$B397="Autographs Triples",$B397="Autographs Quads",$B397="Autographs Quads (Inscribed)")),IF($B397="Autographs Duals",2,IF($B397="Autographs Triples",3,4)),1)))</f>
        <v>12.2</v>
      </c>
      <c r="AB397" s="62">
        <f t="shared" si="89"/>
        <v>12.2</v>
      </c>
      <c r="AC397" s="62">
        <f t="shared" si="90"/>
        <v>0</v>
      </c>
    </row>
    <row r="398" spans="1:29" ht="28.7" customHeight="1" x14ac:dyDescent="0.25">
      <c r="A398" s="4" t="s">
        <v>17</v>
      </c>
      <c r="B398" s="7" t="s">
        <v>69</v>
      </c>
      <c r="C398" s="2" t="s">
        <v>1496</v>
      </c>
      <c r="D398" s="7" t="s">
        <v>1036</v>
      </c>
      <c r="E398" s="4" t="s">
        <v>779</v>
      </c>
      <c r="F398" s="2">
        <v>82</v>
      </c>
      <c r="G398" s="2" t="s">
        <v>1399</v>
      </c>
      <c r="H398" s="2" t="s">
        <v>1400</v>
      </c>
      <c r="I398" s="4" t="s">
        <v>60</v>
      </c>
      <c r="J398" s="112">
        <f>IF($H398&lt;&gt;"Y",0,ROUND(MIN(Dashboard!$R$24,IF(IFERROR(VLOOKUP($B398,Dashboard!$Q$28:$S$60,2,FALSE),0)&gt;0,IFERROR(VLOOKUP($B398,Dashboard!$Q$28:$S$60,2,FALSE),0),$Z398*IF($U398&lt;&gt;"",ROUND((Dashboard!$R$4/$U398)*VLOOKUP($I398,Dashboard!$Q$9:$R$13,2,FALSE)*IF(ISNUMBER(SEARCH("Duals",$B398)),2,IF(ISNUMBER(SEARCH("Triples",$B398)),3,IF(ISNUMBER(SEARCH("Quads",$B398)),4,1))),2),ROUND(VLOOKUP($I398,Dashboard!$Q$15:$R$20,2,FALSE)*IF($E398="Red",Dashboard!$R$6,IF($E398="Gold",Dashboard!$R$7,Dashboard!$R$5))*IF(ISNUMBER(SEARCH("Duals",$B398)),2,IF(ISNUMBER(SEARCH("Triples",$B398)),3,IF(ISNUMBER(SEARCH("Quads",$B398)),4,1))),2))*IF(IFERROR(VLOOKUP($B398,Dashboard!$Q$28:$S$60,3,FALSE),0)&gt;0,VLOOKUP($B398,Dashboard!$Q$28:$S$60,3,FALSE),1))),0))</f>
        <v>12</v>
      </c>
      <c r="K398" s="2" t="str">
        <f>IF('Base S1'!G98="","",'Base S1'!G98)</f>
        <v>C</v>
      </c>
      <c r="L398" s="2">
        <f t="shared" si="78"/>
        <v>1</v>
      </c>
      <c r="M398" s="2">
        <f t="shared" si="79"/>
        <v>0</v>
      </c>
      <c r="N398" s="2">
        <f t="shared" si="80"/>
        <v>1</v>
      </c>
      <c r="O398" s="2">
        <f t="shared" si="81"/>
        <v>0</v>
      </c>
      <c r="P398" s="112">
        <f t="shared" si="82"/>
        <v>12</v>
      </c>
      <c r="Q398" s="112">
        <f t="shared" si="83"/>
        <v>0</v>
      </c>
      <c r="R398" s="53"/>
      <c r="S398" s="53" t="str">
        <f t="shared" si="84"/>
        <v>Base S1|Floor 82 Parallel - Season 1|97|Floor 82</v>
      </c>
      <c r="T398" s="57" t="str">
        <f>IF($S398="","",IFERROR(VLOOKUP($S398,'Pop Estimates (Non-#d)'!$N$2:$O$500,2,FALSE),""))</f>
        <v/>
      </c>
      <c r="U398" s="57">
        <f t="shared" si="85"/>
        <v>82</v>
      </c>
      <c r="V398" s="53" t="str">
        <f t="shared" si="86"/>
        <v/>
      </c>
      <c r="W398" s="53" t="str">
        <f t="shared" si="87"/>
        <v/>
      </c>
      <c r="X398" s="53" t="str">
        <f t="shared" si="88"/>
        <v/>
      </c>
      <c r="Y398" s="57" t="str">
        <f>IF($X398="","",IFERROR(VLOOKUP($X398,'Char Popularity'!$A$2:$C$500,2,FALSE),""))</f>
        <v/>
      </c>
      <c r="Z398" s="56">
        <f>IF($X398="",1,IFERROR(VLOOKUP($X398,'Char Popularity'!$A$2:$C$500,3,FALSE),1))</f>
        <v>1</v>
      </c>
      <c r="AA398" s="62">
        <f>IF($H398&lt;&gt;"Y",0,(IF($F398&lt;&gt;"",ROUND(Dashboard!$R$4/$F398,1),IF(AND($I398="Base",$E398="Base"),Dashboard!$R$5,IF(AND($I398="Base",$E398="Red"),Dashboard!$R$6,IF(AND($I398="Base",$E398="Gold"),Dashboard!$R$7,VLOOKUP($I398,Dashboard!$Q$16:$R$21,2,FALSE)))))*VLOOKUP($I398,Dashboard!$Q$9:$R$13,2,FALSE)*IF(AND($I398="Auto",$F398="",OR($B398="Autographs Duals",$B398="Autographs Triples",$B398="Autographs Quads",$B398="Autographs Quads (Inscribed)")),IF($B398="Autographs Duals",2,IF($B398="Autographs Triples",3,4)),1)))</f>
        <v>12.2</v>
      </c>
      <c r="AB398" s="62">
        <f t="shared" si="89"/>
        <v>12.2</v>
      </c>
      <c r="AC398" s="62">
        <f t="shared" si="90"/>
        <v>0</v>
      </c>
    </row>
    <row r="399" spans="1:29" ht="28.7" customHeight="1" x14ac:dyDescent="0.25">
      <c r="A399" s="4" t="s">
        <v>17</v>
      </c>
      <c r="B399" s="7" t="s">
        <v>69</v>
      </c>
      <c r="C399" s="2" t="s">
        <v>1497</v>
      </c>
      <c r="D399" s="7" t="s">
        <v>1037</v>
      </c>
      <c r="E399" s="4" t="s">
        <v>779</v>
      </c>
      <c r="F399" s="2">
        <v>82</v>
      </c>
      <c r="G399" s="2" t="s">
        <v>1399</v>
      </c>
      <c r="H399" s="2" t="s">
        <v>1400</v>
      </c>
      <c r="I399" s="4" t="s">
        <v>60</v>
      </c>
      <c r="J399" s="112">
        <f>IF($H399&lt;&gt;"Y",0,ROUND(MIN(Dashboard!$R$24,IF(IFERROR(VLOOKUP($B399,Dashboard!$Q$28:$S$60,2,FALSE),0)&gt;0,IFERROR(VLOOKUP($B399,Dashboard!$Q$28:$S$60,2,FALSE),0),$Z399*IF($U399&lt;&gt;"",ROUND((Dashboard!$R$4/$U399)*VLOOKUP($I399,Dashboard!$Q$9:$R$13,2,FALSE)*IF(ISNUMBER(SEARCH("Duals",$B399)),2,IF(ISNUMBER(SEARCH("Triples",$B399)),3,IF(ISNUMBER(SEARCH("Quads",$B399)),4,1))),2),ROUND(VLOOKUP($I399,Dashboard!$Q$15:$R$20,2,FALSE)*IF($E399="Red",Dashboard!$R$6,IF($E399="Gold",Dashboard!$R$7,Dashboard!$R$5))*IF(ISNUMBER(SEARCH("Duals",$B399)),2,IF(ISNUMBER(SEARCH("Triples",$B399)),3,IF(ISNUMBER(SEARCH("Quads",$B399)),4,1))),2))*IF(IFERROR(VLOOKUP($B399,Dashboard!$Q$28:$S$60,3,FALSE),0)&gt;0,VLOOKUP($B399,Dashboard!$Q$28:$S$60,3,FALSE),1))),0))</f>
        <v>12</v>
      </c>
      <c r="K399" s="2" t="str">
        <f>IF('Base S1'!G99="","",'Base S1'!G99)</f>
        <v>V 22/82</v>
      </c>
      <c r="L399" s="2">
        <f t="shared" si="78"/>
        <v>1</v>
      </c>
      <c r="M399" s="2">
        <f t="shared" si="79"/>
        <v>0</v>
      </c>
      <c r="N399" s="2">
        <f t="shared" si="80"/>
        <v>1</v>
      </c>
      <c r="O399" s="2">
        <f t="shared" si="81"/>
        <v>0</v>
      </c>
      <c r="P399" s="112">
        <f t="shared" si="82"/>
        <v>12</v>
      </c>
      <c r="Q399" s="112">
        <f t="shared" si="83"/>
        <v>0</v>
      </c>
      <c r="R399" s="53"/>
      <c r="S399" s="53" t="str">
        <f t="shared" si="84"/>
        <v>Base S1|Floor 82 Parallel - Season 1|98|Floor 82</v>
      </c>
      <c r="T399" s="57" t="str">
        <f>IF($S399="","",IFERROR(VLOOKUP($S399,'Pop Estimates (Non-#d)'!$N$2:$O$500,2,FALSE),""))</f>
        <v/>
      </c>
      <c r="U399" s="57">
        <f t="shared" si="85"/>
        <v>82</v>
      </c>
      <c r="V399" s="53" t="str">
        <f t="shared" si="86"/>
        <v/>
      </c>
      <c r="W399" s="53" t="str">
        <f t="shared" si="87"/>
        <v/>
      </c>
      <c r="X399" s="53" t="str">
        <f t="shared" si="88"/>
        <v/>
      </c>
      <c r="Y399" s="57" t="str">
        <f>IF($X399="","",IFERROR(VLOOKUP($X399,'Char Popularity'!$A$2:$C$500,2,FALSE),""))</f>
        <v/>
      </c>
      <c r="Z399" s="56">
        <f>IF($X399="",1,IFERROR(VLOOKUP($X399,'Char Popularity'!$A$2:$C$500,3,FALSE),1))</f>
        <v>1</v>
      </c>
      <c r="AA399" s="62">
        <f>IF($H399&lt;&gt;"Y",0,(IF($F399&lt;&gt;"",ROUND(Dashboard!$R$4/$F399,1),IF(AND($I399="Base",$E399="Base"),Dashboard!$R$5,IF(AND($I399="Base",$E399="Red"),Dashboard!$R$6,IF(AND($I399="Base",$E399="Gold"),Dashboard!$R$7,VLOOKUP($I399,Dashboard!$Q$16:$R$21,2,FALSE)))))*VLOOKUP($I399,Dashboard!$Q$9:$R$13,2,FALSE)*IF(AND($I399="Auto",$F399="",OR($B399="Autographs Duals",$B399="Autographs Triples",$B399="Autographs Quads",$B399="Autographs Quads (Inscribed)")),IF($B399="Autographs Duals",2,IF($B399="Autographs Triples",3,4)),1)))</f>
        <v>12.2</v>
      </c>
      <c r="AB399" s="62">
        <f t="shared" si="89"/>
        <v>12.2</v>
      </c>
      <c r="AC399" s="62">
        <f t="shared" si="90"/>
        <v>0</v>
      </c>
    </row>
    <row r="400" spans="1:29" ht="28.7" customHeight="1" x14ac:dyDescent="0.25">
      <c r="A400" s="4" t="s">
        <v>17</v>
      </c>
      <c r="B400" s="7" t="s">
        <v>69</v>
      </c>
      <c r="C400" s="2" t="s">
        <v>1498</v>
      </c>
      <c r="D400" s="7" t="s">
        <v>1039</v>
      </c>
      <c r="E400" s="4" t="s">
        <v>779</v>
      </c>
      <c r="F400" s="2">
        <v>82</v>
      </c>
      <c r="G400" s="2" t="s">
        <v>1399</v>
      </c>
      <c r="H400" s="2" t="s">
        <v>1400</v>
      </c>
      <c r="I400" s="4" t="s">
        <v>60</v>
      </c>
      <c r="J400" s="112">
        <f>IF($H400&lt;&gt;"Y",0,ROUND(MIN(Dashboard!$R$24,IF(IFERROR(VLOOKUP($B400,Dashboard!$Q$28:$S$60,2,FALSE),0)&gt;0,IFERROR(VLOOKUP($B400,Dashboard!$Q$28:$S$60,2,FALSE),0),$Z400*IF($U400&lt;&gt;"",ROUND((Dashboard!$R$4/$U400)*VLOOKUP($I400,Dashboard!$Q$9:$R$13,2,FALSE)*IF(ISNUMBER(SEARCH("Duals",$B400)),2,IF(ISNUMBER(SEARCH("Triples",$B400)),3,IF(ISNUMBER(SEARCH("Quads",$B400)),4,1))),2),ROUND(VLOOKUP($I400,Dashboard!$Q$15:$R$20,2,FALSE)*IF($E400="Red",Dashboard!$R$6,IF($E400="Gold",Dashboard!$R$7,Dashboard!$R$5))*IF(ISNUMBER(SEARCH("Duals",$B400)),2,IF(ISNUMBER(SEARCH("Triples",$B400)),3,IF(ISNUMBER(SEARCH("Quads",$B400)),4,1))),2))*IF(IFERROR(VLOOKUP($B400,Dashboard!$Q$28:$S$60,3,FALSE),0)&gt;0,VLOOKUP($B400,Dashboard!$Q$28:$S$60,3,FALSE),1))),0))</f>
        <v>12</v>
      </c>
      <c r="K400" s="2" t="str">
        <f>IF('Base S1'!G100="","",'Base S1'!G100)</f>
        <v>C 05/82</v>
      </c>
      <c r="L400" s="2">
        <f t="shared" si="78"/>
        <v>1</v>
      </c>
      <c r="M400" s="2">
        <f t="shared" si="79"/>
        <v>0</v>
      </c>
      <c r="N400" s="2">
        <f t="shared" si="80"/>
        <v>1</v>
      </c>
      <c r="O400" s="2">
        <f t="shared" si="81"/>
        <v>0</v>
      </c>
      <c r="P400" s="112">
        <f t="shared" si="82"/>
        <v>12</v>
      </c>
      <c r="Q400" s="112">
        <f t="shared" si="83"/>
        <v>0</v>
      </c>
      <c r="R400" s="53"/>
      <c r="S400" s="53" t="str">
        <f t="shared" si="84"/>
        <v>Base S1|Floor 82 Parallel - Season 1|99|Floor 82</v>
      </c>
      <c r="T400" s="57" t="str">
        <f>IF($S400="","",IFERROR(VLOOKUP($S400,'Pop Estimates (Non-#d)'!$N$2:$O$500,2,FALSE),""))</f>
        <v/>
      </c>
      <c r="U400" s="57">
        <f t="shared" si="85"/>
        <v>82</v>
      </c>
      <c r="V400" s="53" t="str">
        <f t="shared" si="86"/>
        <v/>
      </c>
      <c r="W400" s="53" t="str">
        <f t="shared" si="87"/>
        <v/>
      </c>
      <c r="X400" s="53" t="str">
        <f t="shared" si="88"/>
        <v/>
      </c>
      <c r="Y400" s="57" t="str">
        <f>IF($X400="","",IFERROR(VLOOKUP($X400,'Char Popularity'!$A$2:$C$500,2,FALSE),""))</f>
        <v/>
      </c>
      <c r="Z400" s="56">
        <f>IF($X400="",1,IFERROR(VLOOKUP($X400,'Char Popularity'!$A$2:$C$500,3,FALSE),1))</f>
        <v>1</v>
      </c>
      <c r="AA400" s="62">
        <f>IF($H400&lt;&gt;"Y",0,(IF($F400&lt;&gt;"",ROUND(Dashboard!$R$4/$F400,1),IF(AND($I400="Base",$E400="Base"),Dashboard!$R$5,IF(AND($I400="Base",$E400="Red"),Dashboard!$R$6,IF(AND($I400="Base",$E400="Gold"),Dashboard!$R$7,VLOOKUP($I400,Dashboard!$Q$16:$R$21,2,FALSE)))))*VLOOKUP($I400,Dashboard!$Q$9:$R$13,2,FALSE)*IF(AND($I400="Auto",$F400="",OR($B400="Autographs Duals",$B400="Autographs Triples",$B400="Autographs Quads",$B400="Autographs Quads (Inscribed)")),IF($B400="Autographs Duals",2,IF($B400="Autographs Triples",3,4)),1)))</f>
        <v>12.2</v>
      </c>
      <c r="AB400" s="62">
        <f t="shared" si="89"/>
        <v>12.2</v>
      </c>
      <c r="AC400" s="62">
        <f t="shared" si="90"/>
        <v>0</v>
      </c>
    </row>
    <row r="401" spans="1:29" ht="28.7" customHeight="1" x14ac:dyDescent="0.25">
      <c r="A401" s="4" t="s">
        <v>17</v>
      </c>
      <c r="B401" s="7" t="s">
        <v>69</v>
      </c>
      <c r="C401" s="2" t="s">
        <v>1499</v>
      </c>
      <c r="D401" s="7" t="s">
        <v>1041</v>
      </c>
      <c r="E401" s="4" t="s">
        <v>779</v>
      </c>
      <c r="F401" s="2">
        <v>82</v>
      </c>
      <c r="G401" s="2" t="s">
        <v>1399</v>
      </c>
      <c r="H401" s="2" t="s">
        <v>1400</v>
      </c>
      <c r="I401" s="4" t="s">
        <v>60</v>
      </c>
      <c r="J401" s="112">
        <f>IF($H401&lt;&gt;"Y",0,ROUND(MIN(Dashboard!$R$24,IF(IFERROR(VLOOKUP($B401,Dashboard!$Q$28:$S$60,2,FALSE),0)&gt;0,IFERROR(VLOOKUP($B401,Dashboard!$Q$28:$S$60,2,FALSE),0),$Z401*IF($U401&lt;&gt;"",ROUND((Dashboard!$R$4/$U401)*VLOOKUP($I401,Dashboard!$Q$9:$R$13,2,FALSE)*IF(ISNUMBER(SEARCH("Duals",$B401)),2,IF(ISNUMBER(SEARCH("Triples",$B401)),3,IF(ISNUMBER(SEARCH("Quads",$B401)),4,1))),2),ROUND(VLOOKUP($I401,Dashboard!$Q$15:$R$20,2,FALSE)*IF($E401="Red",Dashboard!$R$6,IF($E401="Gold",Dashboard!$R$7,Dashboard!$R$5))*IF(ISNUMBER(SEARCH("Duals",$B401)),2,IF(ISNUMBER(SEARCH("Triples",$B401)),3,IF(ISNUMBER(SEARCH("Quads",$B401)),4,1))),2))*IF(IFERROR(VLOOKUP($B401,Dashboard!$Q$28:$S$60,3,FALSE),0)&gt;0,VLOOKUP($B401,Dashboard!$Q$28:$S$60,3,FALSE),1))),0))</f>
        <v>12</v>
      </c>
      <c r="K401" s="2" t="str">
        <f>IF('Base S1'!G101="","",'Base S1'!G101)</f>
        <v>V 41/82</v>
      </c>
      <c r="L401" s="2">
        <f t="shared" si="78"/>
        <v>1</v>
      </c>
      <c r="M401" s="2">
        <f t="shared" si="79"/>
        <v>0</v>
      </c>
      <c r="N401" s="2">
        <f t="shared" si="80"/>
        <v>1</v>
      </c>
      <c r="O401" s="2">
        <f t="shared" si="81"/>
        <v>0</v>
      </c>
      <c r="P401" s="112">
        <f t="shared" si="82"/>
        <v>12</v>
      </c>
      <c r="Q401" s="112">
        <f t="shared" si="83"/>
        <v>0</v>
      </c>
      <c r="R401" s="53"/>
      <c r="S401" s="53" t="str">
        <f t="shared" si="84"/>
        <v>Base S1|Floor 82 Parallel - Season 1|100|Floor 82</v>
      </c>
      <c r="T401" s="57" t="str">
        <f>IF($S401="","",IFERROR(VLOOKUP($S401,'Pop Estimates (Non-#d)'!$N$2:$O$500,2,FALSE),""))</f>
        <v/>
      </c>
      <c r="U401" s="57">
        <f t="shared" si="85"/>
        <v>82</v>
      </c>
      <c r="V401" s="53" t="str">
        <f t="shared" si="86"/>
        <v/>
      </c>
      <c r="W401" s="53" t="str">
        <f t="shared" si="87"/>
        <v/>
      </c>
      <c r="X401" s="53" t="str">
        <f t="shared" si="88"/>
        <v/>
      </c>
      <c r="Y401" s="57" t="str">
        <f>IF($X401="","",IFERROR(VLOOKUP($X401,'Char Popularity'!$A$2:$C$500,2,FALSE),""))</f>
        <v/>
      </c>
      <c r="Z401" s="56">
        <f>IF($X401="",1,IFERROR(VLOOKUP($X401,'Char Popularity'!$A$2:$C$500,3,FALSE),1))</f>
        <v>1</v>
      </c>
      <c r="AA401" s="62">
        <f>IF($H401&lt;&gt;"Y",0,(IF($F401&lt;&gt;"",ROUND(Dashboard!$R$4/$F401,1),IF(AND($I401="Base",$E401="Base"),Dashboard!$R$5,IF(AND($I401="Base",$E401="Red"),Dashboard!$R$6,IF(AND($I401="Base",$E401="Gold"),Dashboard!$R$7,VLOOKUP($I401,Dashboard!$Q$16:$R$21,2,FALSE)))))*VLOOKUP($I401,Dashboard!$Q$9:$R$13,2,FALSE)*IF(AND($I401="Auto",$F401="",OR($B401="Autographs Duals",$B401="Autographs Triples",$B401="Autographs Quads",$B401="Autographs Quads (Inscribed)")),IF($B401="Autographs Duals",2,IF($B401="Autographs Triples",3,4)),1)))</f>
        <v>12.2</v>
      </c>
      <c r="AB401" s="62">
        <f t="shared" si="89"/>
        <v>12.2</v>
      </c>
      <c r="AC401" s="62">
        <f t="shared" si="90"/>
        <v>0</v>
      </c>
    </row>
    <row r="402" spans="1:29" ht="42.95" customHeight="1" x14ac:dyDescent="0.25">
      <c r="A402" s="4" t="s">
        <v>17</v>
      </c>
      <c r="B402" s="7" t="s">
        <v>792</v>
      </c>
      <c r="C402" s="2" t="s">
        <v>1398</v>
      </c>
      <c r="D402" s="7" t="s">
        <v>830</v>
      </c>
      <c r="E402" s="4" t="s">
        <v>829</v>
      </c>
      <c r="F402" s="2">
        <v>4</v>
      </c>
      <c r="G402" s="2" t="s">
        <v>1400</v>
      </c>
      <c r="H402" s="2" t="s">
        <v>1399</v>
      </c>
      <c r="I402" s="4" t="s">
        <v>60</v>
      </c>
      <c r="J402" s="112">
        <f>IF($H402&lt;&gt;"Y",0,ROUND(MIN(Dashboard!$R$24,IF(IFERROR(VLOOKUP($B402,Dashboard!$Q$28:$S$60,2,FALSE),0)&gt;0,IFERROR(VLOOKUP($B402,Dashboard!$Q$28:$S$60,2,FALSE),0),$Z402*IF($U402&lt;&gt;"",ROUND((Dashboard!$R$4/$U402)*VLOOKUP($I402,Dashboard!$Q$9:$R$13,2,FALSE)*IF(ISNUMBER(SEARCH("Duals",$B402)),2,IF(ISNUMBER(SEARCH("Triples",$B402)),3,IF(ISNUMBER(SEARCH("Quads",$B402)),4,1))),2),ROUND(VLOOKUP($I402,Dashboard!$Q$15:$R$20,2,FALSE)*IF($E402="Red",Dashboard!$R$6,IF($E402="Gold",Dashboard!$R$7,Dashboard!$R$5))*IF(ISNUMBER(SEARCH("Duals",$B402)),2,IF(ISNUMBER(SEARCH("Triples",$B402)),3,IF(ISNUMBER(SEARCH("Quads",$B402)),4,1))),2))*IF(IFERROR(VLOOKUP($B402,Dashboard!$Q$28:$S$60,3,FALSE),0)&gt;0,VLOOKUP($B402,Dashboard!$Q$28:$S$60,3,FALSE),1))),0))</f>
        <v>0</v>
      </c>
      <c r="K402" s="2" t="str">
        <f>IF('Base S1'!J2="","",'Base S1'!J2)</f>
        <v/>
      </c>
      <c r="L402" s="2">
        <f t="shared" si="78"/>
        <v>0</v>
      </c>
      <c r="M402" s="2">
        <f t="shared" si="79"/>
        <v>0</v>
      </c>
      <c r="N402" s="2">
        <f t="shared" si="80"/>
        <v>0</v>
      </c>
      <c r="O402" s="2">
        <f t="shared" si="81"/>
        <v>0</v>
      </c>
      <c r="P402" s="112">
        <f t="shared" si="82"/>
        <v>0</v>
      </c>
      <c r="Q402" s="112">
        <f t="shared" si="83"/>
        <v>0</v>
      </c>
      <c r="R402" s="53"/>
      <c r="S402" s="53" t="str">
        <f t="shared" si="84"/>
        <v>Base S1|Printing Plates Parallel - Season 1|1|Printing Plate</v>
      </c>
      <c r="T402" s="57" t="str">
        <f>IF($S402="","",IFERROR(VLOOKUP($S402,'Pop Estimates (Non-#d)'!$N$2:$O$500,2,FALSE),""))</f>
        <v/>
      </c>
      <c r="U402" s="57">
        <f t="shared" si="85"/>
        <v>4</v>
      </c>
      <c r="V402" s="53" t="str">
        <f t="shared" si="86"/>
        <v/>
      </c>
      <c r="W402" s="53" t="str">
        <f t="shared" si="87"/>
        <v/>
      </c>
      <c r="X402" s="53" t="str">
        <f t="shared" si="88"/>
        <v/>
      </c>
      <c r="Y402" s="57" t="str">
        <f>IF($X402="","",IFERROR(VLOOKUP($X402,'Char Popularity'!$A$2:$C$500,2,FALSE),""))</f>
        <v/>
      </c>
      <c r="Z402" s="56">
        <f>IF($X402="",1,IFERROR(VLOOKUP($X402,'Char Popularity'!$A$2:$C$500,3,FALSE),1))</f>
        <v>1</v>
      </c>
      <c r="AA402" s="62">
        <f>IF($H402&lt;&gt;"Y",0,(IF($F402&lt;&gt;"",ROUND(Dashboard!$R$4/$F402,1),IF(AND($I402="Base",$E402="Base"),Dashboard!$R$5,IF(AND($I402="Base",$E402="Red"),Dashboard!$R$6,IF(AND($I402="Base",$E402="Gold"),Dashboard!$R$7,VLOOKUP($I402,Dashboard!$Q$16:$R$21,2,FALSE)))))*VLOOKUP($I402,Dashboard!$Q$9:$R$13,2,FALSE)*IF(AND($I402="Auto",$F402="",OR($B402="Autographs Duals",$B402="Autographs Triples",$B402="Autographs Quads",$B402="Autographs Quads (Inscribed)")),IF($B402="Autographs Duals",2,IF($B402="Autographs Triples",3,4)),1)))</f>
        <v>0</v>
      </c>
      <c r="AB402" s="62">
        <f t="shared" si="89"/>
        <v>0</v>
      </c>
      <c r="AC402" s="62">
        <f t="shared" si="90"/>
        <v>0</v>
      </c>
    </row>
    <row r="403" spans="1:29" ht="42.95" customHeight="1" x14ac:dyDescent="0.25">
      <c r="A403" s="4" t="s">
        <v>17</v>
      </c>
      <c r="B403" s="7" t="s">
        <v>792</v>
      </c>
      <c r="C403" s="2" t="s">
        <v>1401</v>
      </c>
      <c r="D403" s="7" t="s">
        <v>834</v>
      </c>
      <c r="E403" s="4" t="s">
        <v>829</v>
      </c>
      <c r="F403" s="2">
        <v>4</v>
      </c>
      <c r="G403" s="2" t="s">
        <v>1400</v>
      </c>
      <c r="H403" s="2" t="s">
        <v>1399</v>
      </c>
      <c r="I403" s="4" t="s">
        <v>60</v>
      </c>
      <c r="J403" s="112">
        <f>IF($H403&lt;&gt;"Y",0,ROUND(MIN(Dashboard!$R$24,IF(IFERROR(VLOOKUP($B403,Dashboard!$Q$28:$S$60,2,FALSE),0)&gt;0,IFERROR(VLOOKUP($B403,Dashboard!$Q$28:$S$60,2,FALSE),0),$Z403*IF($U403&lt;&gt;"",ROUND((Dashboard!$R$4/$U403)*VLOOKUP($I403,Dashboard!$Q$9:$R$13,2,FALSE)*IF(ISNUMBER(SEARCH("Duals",$B403)),2,IF(ISNUMBER(SEARCH("Triples",$B403)),3,IF(ISNUMBER(SEARCH("Quads",$B403)),4,1))),2),ROUND(VLOOKUP($I403,Dashboard!$Q$15:$R$20,2,FALSE)*IF($E403="Red",Dashboard!$R$6,IF($E403="Gold",Dashboard!$R$7,Dashboard!$R$5))*IF(ISNUMBER(SEARCH("Duals",$B403)),2,IF(ISNUMBER(SEARCH("Triples",$B403)),3,IF(ISNUMBER(SEARCH("Quads",$B403)),4,1))),2))*IF(IFERROR(VLOOKUP($B403,Dashboard!$Q$28:$S$60,3,FALSE),0)&gt;0,VLOOKUP($B403,Dashboard!$Q$28:$S$60,3,FALSE),1))),0))</f>
        <v>0</v>
      </c>
      <c r="K403" s="2" t="str">
        <f>IF('Base S1'!J3="","",'Base S1'!J3)</f>
        <v/>
      </c>
      <c r="L403" s="2">
        <f t="shared" si="78"/>
        <v>0</v>
      </c>
      <c r="M403" s="2">
        <f t="shared" si="79"/>
        <v>0</v>
      </c>
      <c r="N403" s="2">
        <f t="shared" si="80"/>
        <v>0</v>
      </c>
      <c r="O403" s="2">
        <f t="shared" si="81"/>
        <v>0</v>
      </c>
      <c r="P403" s="112">
        <f t="shared" si="82"/>
        <v>0</v>
      </c>
      <c r="Q403" s="112">
        <f t="shared" si="83"/>
        <v>0</v>
      </c>
      <c r="R403" s="53"/>
      <c r="S403" s="53" t="str">
        <f t="shared" si="84"/>
        <v>Base S1|Printing Plates Parallel - Season 1|2|Printing Plate</v>
      </c>
      <c r="T403" s="57" t="str">
        <f>IF($S403="","",IFERROR(VLOOKUP($S403,'Pop Estimates (Non-#d)'!$N$2:$O$500,2,FALSE),""))</f>
        <v/>
      </c>
      <c r="U403" s="57">
        <f t="shared" si="85"/>
        <v>4</v>
      </c>
      <c r="V403" s="53" t="str">
        <f t="shared" si="86"/>
        <v/>
      </c>
      <c r="W403" s="53" t="str">
        <f t="shared" si="87"/>
        <v/>
      </c>
      <c r="X403" s="53" t="str">
        <f t="shared" si="88"/>
        <v/>
      </c>
      <c r="Y403" s="57" t="str">
        <f>IF($X403="","",IFERROR(VLOOKUP($X403,'Char Popularity'!$A$2:$C$500,2,FALSE),""))</f>
        <v/>
      </c>
      <c r="Z403" s="56">
        <f>IF($X403="",1,IFERROR(VLOOKUP($X403,'Char Popularity'!$A$2:$C$500,3,FALSE),1))</f>
        <v>1</v>
      </c>
      <c r="AA403" s="62">
        <f>IF($H403&lt;&gt;"Y",0,(IF($F403&lt;&gt;"",ROUND(Dashboard!$R$4/$F403,1),IF(AND($I403="Base",$E403="Base"),Dashboard!$R$5,IF(AND($I403="Base",$E403="Red"),Dashboard!$R$6,IF(AND($I403="Base",$E403="Gold"),Dashboard!$R$7,VLOOKUP($I403,Dashboard!$Q$16:$R$21,2,FALSE)))))*VLOOKUP($I403,Dashboard!$Q$9:$R$13,2,FALSE)*IF(AND($I403="Auto",$F403="",OR($B403="Autographs Duals",$B403="Autographs Triples",$B403="Autographs Quads",$B403="Autographs Quads (Inscribed)")),IF($B403="Autographs Duals",2,IF($B403="Autographs Triples",3,4)),1)))</f>
        <v>0</v>
      </c>
      <c r="AB403" s="62">
        <f t="shared" si="89"/>
        <v>0</v>
      </c>
      <c r="AC403" s="62">
        <f t="shared" si="90"/>
        <v>0</v>
      </c>
    </row>
    <row r="404" spans="1:29" ht="42.95" customHeight="1" x14ac:dyDescent="0.25">
      <c r="A404" s="4" t="s">
        <v>17</v>
      </c>
      <c r="B404" s="7" t="s">
        <v>792</v>
      </c>
      <c r="C404" s="2" t="s">
        <v>1402</v>
      </c>
      <c r="D404" s="7" t="s">
        <v>837</v>
      </c>
      <c r="E404" s="4" t="s">
        <v>829</v>
      </c>
      <c r="F404" s="2">
        <v>4</v>
      </c>
      <c r="G404" s="2" t="s">
        <v>1400</v>
      </c>
      <c r="H404" s="2" t="s">
        <v>1399</v>
      </c>
      <c r="I404" s="4" t="s">
        <v>60</v>
      </c>
      <c r="J404" s="112">
        <f>IF($H404&lt;&gt;"Y",0,ROUND(MIN(Dashboard!$R$24,IF(IFERROR(VLOOKUP($B404,Dashboard!$Q$28:$S$60,2,FALSE),0)&gt;0,IFERROR(VLOOKUP($B404,Dashboard!$Q$28:$S$60,2,FALSE),0),$Z404*IF($U404&lt;&gt;"",ROUND((Dashboard!$R$4/$U404)*VLOOKUP($I404,Dashboard!$Q$9:$R$13,2,FALSE)*IF(ISNUMBER(SEARCH("Duals",$B404)),2,IF(ISNUMBER(SEARCH("Triples",$B404)),3,IF(ISNUMBER(SEARCH("Quads",$B404)),4,1))),2),ROUND(VLOOKUP($I404,Dashboard!$Q$15:$R$20,2,FALSE)*IF($E404="Red",Dashboard!$R$6,IF($E404="Gold",Dashboard!$R$7,Dashboard!$R$5))*IF(ISNUMBER(SEARCH("Duals",$B404)),2,IF(ISNUMBER(SEARCH("Triples",$B404)),3,IF(ISNUMBER(SEARCH("Quads",$B404)),4,1))),2))*IF(IFERROR(VLOOKUP($B404,Dashboard!$Q$28:$S$60,3,FALSE),0)&gt;0,VLOOKUP($B404,Dashboard!$Q$28:$S$60,3,FALSE),1))),0))</f>
        <v>0</v>
      </c>
      <c r="K404" s="2" t="str">
        <f>IF('Base S1'!J4="","",'Base S1'!J4)</f>
        <v/>
      </c>
      <c r="L404" s="2">
        <f t="shared" si="78"/>
        <v>0</v>
      </c>
      <c r="M404" s="2">
        <f t="shared" si="79"/>
        <v>0</v>
      </c>
      <c r="N404" s="2">
        <f t="shared" si="80"/>
        <v>0</v>
      </c>
      <c r="O404" s="2">
        <f t="shared" si="81"/>
        <v>0</v>
      </c>
      <c r="P404" s="112">
        <f t="shared" si="82"/>
        <v>0</v>
      </c>
      <c r="Q404" s="112">
        <f t="shared" si="83"/>
        <v>0</v>
      </c>
      <c r="R404" s="53"/>
      <c r="S404" s="53" t="str">
        <f t="shared" si="84"/>
        <v>Base S1|Printing Plates Parallel - Season 1|3|Printing Plate</v>
      </c>
      <c r="T404" s="57" t="str">
        <f>IF($S404="","",IFERROR(VLOOKUP($S404,'Pop Estimates (Non-#d)'!$N$2:$O$500,2,FALSE),""))</f>
        <v/>
      </c>
      <c r="U404" s="57">
        <f t="shared" si="85"/>
        <v>4</v>
      </c>
      <c r="V404" s="53" t="str">
        <f t="shared" si="86"/>
        <v/>
      </c>
      <c r="W404" s="53" t="str">
        <f t="shared" si="87"/>
        <v/>
      </c>
      <c r="X404" s="53" t="str">
        <f t="shared" si="88"/>
        <v/>
      </c>
      <c r="Y404" s="57" t="str">
        <f>IF($X404="","",IFERROR(VLOOKUP($X404,'Char Popularity'!$A$2:$C$500,2,FALSE),""))</f>
        <v/>
      </c>
      <c r="Z404" s="56">
        <f>IF($X404="",1,IFERROR(VLOOKUP($X404,'Char Popularity'!$A$2:$C$500,3,FALSE),1))</f>
        <v>1</v>
      </c>
      <c r="AA404" s="62">
        <f>IF($H404&lt;&gt;"Y",0,(IF($F404&lt;&gt;"",ROUND(Dashboard!$R$4/$F404,1),IF(AND($I404="Base",$E404="Base"),Dashboard!$R$5,IF(AND($I404="Base",$E404="Red"),Dashboard!$R$6,IF(AND($I404="Base",$E404="Gold"),Dashboard!$R$7,VLOOKUP($I404,Dashboard!$Q$16:$R$21,2,FALSE)))))*VLOOKUP($I404,Dashboard!$Q$9:$R$13,2,FALSE)*IF(AND($I404="Auto",$F404="",OR($B404="Autographs Duals",$B404="Autographs Triples",$B404="Autographs Quads",$B404="Autographs Quads (Inscribed)")),IF($B404="Autographs Duals",2,IF($B404="Autographs Triples",3,4)),1)))</f>
        <v>0</v>
      </c>
      <c r="AB404" s="62">
        <f t="shared" si="89"/>
        <v>0</v>
      </c>
      <c r="AC404" s="62">
        <f t="shared" si="90"/>
        <v>0</v>
      </c>
    </row>
    <row r="405" spans="1:29" ht="42.95" customHeight="1" x14ac:dyDescent="0.25">
      <c r="A405" s="4" t="s">
        <v>17</v>
      </c>
      <c r="B405" s="7" t="s">
        <v>792</v>
      </c>
      <c r="C405" s="2" t="s">
        <v>1403</v>
      </c>
      <c r="D405" s="7" t="s">
        <v>839</v>
      </c>
      <c r="E405" s="4" t="s">
        <v>829</v>
      </c>
      <c r="F405" s="2">
        <v>4</v>
      </c>
      <c r="G405" s="2" t="s">
        <v>1400</v>
      </c>
      <c r="H405" s="2" t="s">
        <v>1399</v>
      </c>
      <c r="I405" s="4" t="s">
        <v>60</v>
      </c>
      <c r="J405" s="112">
        <f>IF($H405&lt;&gt;"Y",0,ROUND(MIN(Dashboard!$R$24,IF(IFERROR(VLOOKUP($B405,Dashboard!$Q$28:$S$60,2,FALSE),0)&gt;0,IFERROR(VLOOKUP($B405,Dashboard!$Q$28:$S$60,2,FALSE),0),$Z405*IF($U405&lt;&gt;"",ROUND((Dashboard!$R$4/$U405)*VLOOKUP($I405,Dashboard!$Q$9:$R$13,2,FALSE)*IF(ISNUMBER(SEARCH("Duals",$B405)),2,IF(ISNUMBER(SEARCH("Triples",$B405)),3,IF(ISNUMBER(SEARCH("Quads",$B405)),4,1))),2),ROUND(VLOOKUP($I405,Dashboard!$Q$15:$R$20,2,FALSE)*IF($E405="Red",Dashboard!$R$6,IF($E405="Gold",Dashboard!$R$7,Dashboard!$R$5))*IF(ISNUMBER(SEARCH("Duals",$B405)),2,IF(ISNUMBER(SEARCH("Triples",$B405)),3,IF(ISNUMBER(SEARCH("Quads",$B405)),4,1))),2))*IF(IFERROR(VLOOKUP($B405,Dashboard!$Q$28:$S$60,3,FALSE),0)&gt;0,VLOOKUP($B405,Dashboard!$Q$28:$S$60,3,FALSE),1))),0))</f>
        <v>0</v>
      </c>
      <c r="K405" s="2" t="str">
        <f>IF('Base S1'!J5="","",'Base S1'!J5)</f>
        <v/>
      </c>
      <c r="L405" s="2">
        <f t="shared" si="78"/>
        <v>0</v>
      </c>
      <c r="M405" s="2">
        <f t="shared" si="79"/>
        <v>0</v>
      </c>
      <c r="N405" s="2">
        <f t="shared" si="80"/>
        <v>0</v>
      </c>
      <c r="O405" s="2">
        <f t="shared" si="81"/>
        <v>0</v>
      </c>
      <c r="P405" s="112">
        <f t="shared" si="82"/>
        <v>0</v>
      </c>
      <c r="Q405" s="112">
        <f t="shared" si="83"/>
        <v>0</v>
      </c>
      <c r="R405" s="53"/>
      <c r="S405" s="53" t="str">
        <f t="shared" si="84"/>
        <v>Base S1|Printing Plates Parallel - Season 1|4|Printing Plate</v>
      </c>
      <c r="T405" s="57" t="str">
        <f>IF($S405="","",IFERROR(VLOOKUP($S405,'Pop Estimates (Non-#d)'!$N$2:$O$500,2,FALSE),""))</f>
        <v/>
      </c>
      <c r="U405" s="57">
        <f t="shared" si="85"/>
        <v>4</v>
      </c>
      <c r="V405" s="53" t="str">
        <f t="shared" si="86"/>
        <v/>
      </c>
      <c r="W405" s="53" t="str">
        <f t="shared" si="87"/>
        <v/>
      </c>
      <c r="X405" s="53" t="str">
        <f t="shared" si="88"/>
        <v/>
      </c>
      <c r="Y405" s="57" t="str">
        <f>IF($X405="","",IFERROR(VLOOKUP($X405,'Char Popularity'!$A$2:$C$500,2,FALSE),""))</f>
        <v/>
      </c>
      <c r="Z405" s="56">
        <f>IF($X405="",1,IFERROR(VLOOKUP($X405,'Char Popularity'!$A$2:$C$500,3,FALSE),1))</f>
        <v>1</v>
      </c>
      <c r="AA405" s="62">
        <f>IF($H405&lt;&gt;"Y",0,(IF($F405&lt;&gt;"",ROUND(Dashboard!$R$4/$F405,1),IF(AND($I405="Base",$E405="Base"),Dashboard!$R$5,IF(AND($I405="Base",$E405="Red"),Dashboard!$R$6,IF(AND($I405="Base",$E405="Gold"),Dashboard!$R$7,VLOOKUP($I405,Dashboard!$Q$16:$R$21,2,FALSE)))))*VLOOKUP($I405,Dashboard!$Q$9:$R$13,2,FALSE)*IF(AND($I405="Auto",$F405="",OR($B405="Autographs Duals",$B405="Autographs Triples",$B405="Autographs Quads",$B405="Autographs Quads (Inscribed)")),IF($B405="Autographs Duals",2,IF($B405="Autographs Triples",3,4)),1)))</f>
        <v>0</v>
      </c>
      <c r="AB405" s="62">
        <f t="shared" si="89"/>
        <v>0</v>
      </c>
      <c r="AC405" s="62">
        <f t="shared" si="90"/>
        <v>0</v>
      </c>
    </row>
    <row r="406" spans="1:29" ht="42.95" customHeight="1" x14ac:dyDescent="0.25">
      <c r="A406" s="4" t="s">
        <v>17</v>
      </c>
      <c r="B406" s="7" t="s">
        <v>792</v>
      </c>
      <c r="C406" s="2" t="s">
        <v>1404</v>
      </c>
      <c r="D406" s="7" t="s">
        <v>841</v>
      </c>
      <c r="E406" s="4" t="s">
        <v>829</v>
      </c>
      <c r="F406" s="2">
        <v>4</v>
      </c>
      <c r="G406" s="2" t="s">
        <v>1400</v>
      </c>
      <c r="H406" s="2" t="s">
        <v>1399</v>
      </c>
      <c r="I406" s="4" t="s">
        <v>60</v>
      </c>
      <c r="J406" s="112">
        <f>IF($H406&lt;&gt;"Y",0,ROUND(MIN(Dashboard!$R$24,IF(IFERROR(VLOOKUP($B406,Dashboard!$Q$28:$S$60,2,FALSE),0)&gt;0,IFERROR(VLOOKUP($B406,Dashboard!$Q$28:$S$60,2,FALSE),0),$Z406*IF($U406&lt;&gt;"",ROUND((Dashboard!$R$4/$U406)*VLOOKUP($I406,Dashboard!$Q$9:$R$13,2,FALSE)*IF(ISNUMBER(SEARCH("Duals",$B406)),2,IF(ISNUMBER(SEARCH("Triples",$B406)),3,IF(ISNUMBER(SEARCH("Quads",$B406)),4,1))),2),ROUND(VLOOKUP($I406,Dashboard!$Q$15:$R$20,2,FALSE)*IF($E406="Red",Dashboard!$R$6,IF($E406="Gold",Dashboard!$R$7,Dashboard!$R$5))*IF(ISNUMBER(SEARCH("Duals",$B406)),2,IF(ISNUMBER(SEARCH("Triples",$B406)),3,IF(ISNUMBER(SEARCH("Quads",$B406)),4,1))),2))*IF(IFERROR(VLOOKUP($B406,Dashboard!$Q$28:$S$60,3,FALSE),0)&gt;0,VLOOKUP($B406,Dashboard!$Q$28:$S$60,3,FALSE),1))),0))</f>
        <v>0</v>
      </c>
      <c r="K406" s="2" t="str">
        <f>IF('Base S1'!J6="","",'Base S1'!J6)</f>
        <v/>
      </c>
      <c r="L406" s="2">
        <f t="shared" si="78"/>
        <v>0</v>
      </c>
      <c r="M406" s="2">
        <f t="shared" si="79"/>
        <v>0</v>
      </c>
      <c r="N406" s="2">
        <f t="shared" si="80"/>
        <v>0</v>
      </c>
      <c r="O406" s="2">
        <f t="shared" si="81"/>
        <v>0</v>
      </c>
      <c r="P406" s="112">
        <f t="shared" si="82"/>
        <v>0</v>
      </c>
      <c r="Q406" s="112">
        <f t="shared" si="83"/>
        <v>0</v>
      </c>
      <c r="R406" s="53"/>
      <c r="S406" s="53" t="str">
        <f t="shared" si="84"/>
        <v>Base S1|Printing Plates Parallel - Season 1|5|Printing Plate</v>
      </c>
      <c r="T406" s="57" t="str">
        <f>IF($S406="","",IFERROR(VLOOKUP($S406,'Pop Estimates (Non-#d)'!$N$2:$O$500,2,FALSE),""))</f>
        <v/>
      </c>
      <c r="U406" s="57">
        <f t="shared" si="85"/>
        <v>4</v>
      </c>
      <c r="V406" s="53" t="str">
        <f t="shared" si="86"/>
        <v/>
      </c>
      <c r="W406" s="53" t="str">
        <f t="shared" si="87"/>
        <v/>
      </c>
      <c r="X406" s="53" t="str">
        <f t="shared" si="88"/>
        <v/>
      </c>
      <c r="Y406" s="57" t="str">
        <f>IF($X406="","",IFERROR(VLOOKUP($X406,'Char Popularity'!$A$2:$C$500,2,FALSE),""))</f>
        <v/>
      </c>
      <c r="Z406" s="56">
        <f>IF($X406="",1,IFERROR(VLOOKUP($X406,'Char Popularity'!$A$2:$C$500,3,FALSE),1))</f>
        <v>1</v>
      </c>
      <c r="AA406" s="62">
        <f>IF($H406&lt;&gt;"Y",0,(IF($F406&lt;&gt;"",ROUND(Dashboard!$R$4/$F406,1),IF(AND($I406="Base",$E406="Base"),Dashboard!$R$5,IF(AND($I406="Base",$E406="Red"),Dashboard!$R$6,IF(AND($I406="Base",$E406="Gold"),Dashboard!$R$7,VLOOKUP($I406,Dashboard!$Q$16:$R$21,2,FALSE)))))*VLOOKUP($I406,Dashboard!$Q$9:$R$13,2,FALSE)*IF(AND($I406="Auto",$F406="",OR($B406="Autographs Duals",$B406="Autographs Triples",$B406="Autographs Quads",$B406="Autographs Quads (Inscribed)")),IF($B406="Autographs Duals",2,IF($B406="Autographs Triples",3,4)),1)))</f>
        <v>0</v>
      </c>
      <c r="AB406" s="62">
        <f t="shared" si="89"/>
        <v>0</v>
      </c>
      <c r="AC406" s="62">
        <f t="shared" si="90"/>
        <v>0</v>
      </c>
    </row>
    <row r="407" spans="1:29" ht="42.95" customHeight="1" x14ac:dyDescent="0.25">
      <c r="A407" s="4" t="s">
        <v>17</v>
      </c>
      <c r="B407" s="7" t="s">
        <v>792</v>
      </c>
      <c r="C407" s="2" t="s">
        <v>1405</v>
      </c>
      <c r="D407" s="7" t="s">
        <v>843</v>
      </c>
      <c r="E407" s="4" t="s">
        <v>829</v>
      </c>
      <c r="F407" s="2">
        <v>4</v>
      </c>
      <c r="G407" s="2" t="s">
        <v>1400</v>
      </c>
      <c r="H407" s="2" t="s">
        <v>1399</v>
      </c>
      <c r="I407" s="4" t="s">
        <v>60</v>
      </c>
      <c r="J407" s="112">
        <f>IF($H407&lt;&gt;"Y",0,ROUND(MIN(Dashboard!$R$24,IF(IFERROR(VLOOKUP($B407,Dashboard!$Q$28:$S$60,2,FALSE),0)&gt;0,IFERROR(VLOOKUP($B407,Dashboard!$Q$28:$S$60,2,FALSE),0),$Z407*IF($U407&lt;&gt;"",ROUND((Dashboard!$R$4/$U407)*VLOOKUP($I407,Dashboard!$Q$9:$R$13,2,FALSE)*IF(ISNUMBER(SEARCH("Duals",$B407)),2,IF(ISNUMBER(SEARCH("Triples",$B407)),3,IF(ISNUMBER(SEARCH("Quads",$B407)),4,1))),2),ROUND(VLOOKUP($I407,Dashboard!$Q$15:$R$20,2,FALSE)*IF($E407="Red",Dashboard!$R$6,IF($E407="Gold",Dashboard!$R$7,Dashboard!$R$5))*IF(ISNUMBER(SEARCH("Duals",$B407)),2,IF(ISNUMBER(SEARCH("Triples",$B407)),3,IF(ISNUMBER(SEARCH("Quads",$B407)),4,1))),2))*IF(IFERROR(VLOOKUP($B407,Dashboard!$Q$28:$S$60,3,FALSE),0)&gt;0,VLOOKUP($B407,Dashboard!$Q$28:$S$60,3,FALSE),1))),0))</f>
        <v>0</v>
      </c>
      <c r="K407" s="2" t="str">
        <f>IF('Base S1'!J7="","",'Base S1'!J7)</f>
        <v/>
      </c>
      <c r="L407" s="2">
        <f t="shared" si="78"/>
        <v>0</v>
      </c>
      <c r="M407" s="2">
        <f t="shared" si="79"/>
        <v>0</v>
      </c>
      <c r="N407" s="2">
        <f t="shared" si="80"/>
        <v>0</v>
      </c>
      <c r="O407" s="2">
        <f t="shared" si="81"/>
        <v>0</v>
      </c>
      <c r="P407" s="112">
        <f t="shared" si="82"/>
        <v>0</v>
      </c>
      <c r="Q407" s="112">
        <f t="shared" si="83"/>
        <v>0</v>
      </c>
      <c r="R407" s="53"/>
      <c r="S407" s="53" t="str">
        <f t="shared" si="84"/>
        <v>Base S1|Printing Plates Parallel - Season 1|6|Printing Plate</v>
      </c>
      <c r="T407" s="57" t="str">
        <f>IF($S407="","",IFERROR(VLOOKUP($S407,'Pop Estimates (Non-#d)'!$N$2:$O$500,2,FALSE),""))</f>
        <v/>
      </c>
      <c r="U407" s="57">
        <f t="shared" si="85"/>
        <v>4</v>
      </c>
      <c r="V407" s="53" t="str">
        <f t="shared" si="86"/>
        <v/>
      </c>
      <c r="W407" s="53" t="str">
        <f t="shared" si="87"/>
        <v/>
      </c>
      <c r="X407" s="53" t="str">
        <f t="shared" si="88"/>
        <v/>
      </c>
      <c r="Y407" s="57" t="str">
        <f>IF($X407="","",IFERROR(VLOOKUP($X407,'Char Popularity'!$A$2:$C$500,2,FALSE),""))</f>
        <v/>
      </c>
      <c r="Z407" s="56">
        <f>IF($X407="",1,IFERROR(VLOOKUP($X407,'Char Popularity'!$A$2:$C$500,3,FALSE),1))</f>
        <v>1</v>
      </c>
      <c r="AA407" s="62">
        <f>IF($H407&lt;&gt;"Y",0,(IF($F407&lt;&gt;"",ROUND(Dashboard!$R$4/$F407,1),IF(AND($I407="Base",$E407="Base"),Dashboard!$R$5,IF(AND($I407="Base",$E407="Red"),Dashboard!$R$6,IF(AND($I407="Base",$E407="Gold"),Dashboard!$R$7,VLOOKUP($I407,Dashboard!$Q$16:$R$21,2,FALSE)))))*VLOOKUP($I407,Dashboard!$Q$9:$R$13,2,FALSE)*IF(AND($I407="Auto",$F407="",OR($B407="Autographs Duals",$B407="Autographs Triples",$B407="Autographs Quads",$B407="Autographs Quads (Inscribed)")),IF($B407="Autographs Duals",2,IF($B407="Autographs Triples",3,4)),1)))</f>
        <v>0</v>
      </c>
      <c r="AB407" s="62">
        <f t="shared" si="89"/>
        <v>0</v>
      </c>
      <c r="AC407" s="62">
        <f t="shared" si="90"/>
        <v>0</v>
      </c>
    </row>
    <row r="408" spans="1:29" ht="42.95" customHeight="1" x14ac:dyDescent="0.25">
      <c r="A408" s="4" t="s">
        <v>17</v>
      </c>
      <c r="B408" s="7" t="s">
        <v>792</v>
      </c>
      <c r="C408" s="2" t="s">
        <v>1406</v>
      </c>
      <c r="D408" s="7" t="s">
        <v>845</v>
      </c>
      <c r="E408" s="4" t="s">
        <v>829</v>
      </c>
      <c r="F408" s="2">
        <v>4</v>
      </c>
      <c r="G408" s="2" t="s">
        <v>1400</v>
      </c>
      <c r="H408" s="2" t="s">
        <v>1399</v>
      </c>
      <c r="I408" s="4" t="s">
        <v>60</v>
      </c>
      <c r="J408" s="112">
        <f>IF($H408&lt;&gt;"Y",0,ROUND(MIN(Dashboard!$R$24,IF(IFERROR(VLOOKUP($B408,Dashboard!$Q$28:$S$60,2,FALSE),0)&gt;0,IFERROR(VLOOKUP($B408,Dashboard!$Q$28:$S$60,2,FALSE),0),$Z408*IF($U408&lt;&gt;"",ROUND((Dashboard!$R$4/$U408)*VLOOKUP($I408,Dashboard!$Q$9:$R$13,2,FALSE)*IF(ISNUMBER(SEARCH("Duals",$B408)),2,IF(ISNUMBER(SEARCH("Triples",$B408)),3,IF(ISNUMBER(SEARCH("Quads",$B408)),4,1))),2),ROUND(VLOOKUP($I408,Dashboard!$Q$15:$R$20,2,FALSE)*IF($E408="Red",Dashboard!$R$6,IF($E408="Gold",Dashboard!$R$7,Dashboard!$R$5))*IF(ISNUMBER(SEARCH("Duals",$B408)),2,IF(ISNUMBER(SEARCH("Triples",$B408)),3,IF(ISNUMBER(SEARCH("Quads",$B408)),4,1))),2))*IF(IFERROR(VLOOKUP($B408,Dashboard!$Q$28:$S$60,3,FALSE),0)&gt;0,VLOOKUP($B408,Dashboard!$Q$28:$S$60,3,FALSE),1))),0))</f>
        <v>0</v>
      </c>
      <c r="K408" s="2" t="str">
        <f>IF('Base S1'!J8="","",'Base S1'!J8)</f>
        <v/>
      </c>
      <c r="L408" s="2">
        <f t="shared" si="78"/>
        <v>0</v>
      </c>
      <c r="M408" s="2">
        <f t="shared" si="79"/>
        <v>0</v>
      </c>
      <c r="N408" s="2">
        <f t="shared" si="80"/>
        <v>0</v>
      </c>
      <c r="O408" s="2">
        <f t="shared" si="81"/>
        <v>0</v>
      </c>
      <c r="P408" s="112">
        <f t="shared" si="82"/>
        <v>0</v>
      </c>
      <c r="Q408" s="112">
        <f t="shared" si="83"/>
        <v>0</v>
      </c>
      <c r="R408" s="53"/>
      <c r="S408" s="53" t="str">
        <f t="shared" si="84"/>
        <v>Base S1|Printing Plates Parallel - Season 1|7|Printing Plate</v>
      </c>
      <c r="T408" s="57" t="str">
        <f>IF($S408="","",IFERROR(VLOOKUP($S408,'Pop Estimates (Non-#d)'!$N$2:$O$500,2,FALSE),""))</f>
        <v/>
      </c>
      <c r="U408" s="57">
        <f t="shared" si="85"/>
        <v>4</v>
      </c>
      <c r="V408" s="53" t="str">
        <f t="shared" si="86"/>
        <v/>
      </c>
      <c r="W408" s="53" t="str">
        <f t="shared" si="87"/>
        <v/>
      </c>
      <c r="X408" s="53" t="str">
        <f t="shared" si="88"/>
        <v/>
      </c>
      <c r="Y408" s="57" t="str">
        <f>IF($X408="","",IFERROR(VLOOKUP($X408,'Char Popularity'!$A$2:$C$500,2,FALSE),""))</f>
        <v/>
      </c>
      <c r="Z408" s="56">
        <f>IF($X408="",1,IFERROR(VLOOKUP($X408,'Char Popularity'!$A$2:$C$500,3,FALSE),1))</f>
        <v>1</v>
      </c>
      <c r="AA408" s="62">
        <f>IF($H408&lt;&gt;"Y",0,(IF($F408&lt;&gt;"",ROUND(Dashboard!$R$4/$F408,1),IF(AND($I408="Base",$E408="Base"),Dashboard!$R$5,IF(AND($I408="Base",$E408="Red"),Dashboard!$R$6,IF(AND($I408="Base",$E408="Gold"),Dashboard!$R$7,VLOOKUP($I408,Dashboard!$Q$16:$R$21,2,FALSE)))))*VLOOKUP($I408,Dashboard!$Q$9:$R$13,2,FALSE)*IF(AND($I408="Auto",$F408="",OR($B408="Autographs Duals",$B408="Autographs Triples",$B408="Autographs Quads",$B408="Autographs Quads (Inscribed)")),IF($B408="Autographs Duals",2,IF($B408="Autographs Triples",3,4)),1)))</f>
        <v>0</v>
      </c>
      <c r="AB408" s="62">
        <f t="shared" si="89"/>
        <v>0</v>
      </c>
      <c r="AC408" s="62">
        <f t="shared" si="90"/>
        <v>0</v>
      </c>
    </row>
    <row r="409" spans="1:29" ht="42.95" customHeight="1" x14ac:dyDescent="0.25">
      <c r="A409" s="4" t="s">
        <v>17</v>
      </c>
      <c r="B409" s="7" t="s">
        <v>792</v>
      </c>
      <c r="C409" s="2" t="s">
        <v>1407</v>
      </c>
      <c r="D409" s="7" t="s">
        <v>848</v>
      </c>
      <c r="E409" s="4" t="s">
        <v>829</v>
      </c>
      <c r="F409" s="2">
        <v>4</v>
      </c>
      <c r="G409" s="2" t="s">
        <v>1400</v>
      </c>
      <c r="H409" s="2" t="s">
        <v>1399</v>
      </c>
      <c r="I409" s="4" t="s">
        <v>60</v>
      </c>
      <c r="J409" s="112">
        <f>IF($H409&lt;&gt;"Y",0,ROUND(MIN(Dashboard!$R$24,IF(IFERROR(VLOOKUP($B409,Dashboard!$Q$28:$S$60,2,FALSE),0)&gt;0,IFERROR(VLOOKUP($B409,Dashboard!$Q$28:$S$60,2,FALSE),0),$Z409*IF($U409&lt;&gt;"",ROUND((Dashboard!$R$4/$U409)*VLOOKUP($I409,Dashboard!$Q$9:$R$13,2,FALSE)*IF(ISNUMBER(SEARCH("Duals",$B409)),2,IF(ISNUMBER(SEARCH("Triples",$B409)),3,IF(ISNUMBER(SEARCH("Quads",$B409)),4,1))),2),ROUND(VLOOKUP($I409,Dashboard!$Q$15:$R$20,2,FALSE)*IF($E409="Red",Dashboard!$R$6,IF($E409="Gold",Dashboard!$R$7,Dashboard!$R$5))*IF(ISNUMBER(SEARCH("Duals",$B409)),2,IF(ISNUMBER(SEARCH("Triples",$B409)),3,IF(ISNUMBER(SEARCH("Quads",$B409)),4,1))),2))*IF(IFERROR(VLOOKUP($B409,Dashboard!$Q$28:$S$60,3,FALSE),0)&gt;0,VLOOKUP($B409,Dashboard!$Q$28:$S$60,3,FALSE),1))),0))</f>
        <v>0</v>
      </c>
      <c r="K409" s="2" t="str">
        <f>IF('Base S1'!J9="","",'Base S1'!J9)</f>
        <v/>
      </c>
      <c r="L409" s="2">
        <f t="shared" si="78"/>
        <v>0</v>
      </c>
      <c r="M409" s="2">
        <f t="shared" si="79"/>
        <v>0</v>
      </c>
      <c r="N409" s="2">
        <f t="shared" si="80"/>
        <v>0</v>
      </c>
      <c r="O409" s="2">
        <f t="shared" si="81"/>
        <v>0</v>
      </c>
      <c r="P409" s="112">
        <f t="shared" si="82"/>
        <v>0</v>
      </c>
      <c r="Q409" s="112">
        <f t="shared" si="83"/>
        <v>0</v>
      </c>
      <c r="R409" s="53"/>
      <c r="S409" s="53" t="str">
        <f t="shared" si="84"/>
        <v>Base S1|Printing Plates Parallel - Season 1|8|Printing Plate</v>
      </c>
      <c r="T409" s="57" t="str">
        <f>IF($S409="","",IFERROR(VLOOKUP($S409,'Pop Estimates (Non-#d)'!$N$2:$O$500,2,FALSE),""))</f>
        <v/>
      </c>
      <c r="U409" s="57">
        <f t="shared" si="85"/>
        <v>4</v>
      </c>
      <c r="V409" s="53" t="str">
        <f t="shared" si="86"/>
        <v/>
      </c>
      <c r="W409" s="53" t="str">
        <f t="shared" si="87"/>
        <v/>
      </c>
      <c r="X409" s="53" t="str">
        <f t="shared" si="88"/>
        <v/>
      </c>
      <c r="Y409" s="57" t="str">
        <f>IF($X409="","",IFERROR(VLOOKUP($X409,'Char Popularity'!$A$2:$C$500,2,FALSE),""))</f>
        <v/>
      </c>
      <c r="Z409" s="56">
        <f>IF($X409="",1,IFERROR(VLOOKUP($X409,'Char Popularity'!$A$2:$C$500,3,FALSE),1))</f>
        <v>1</v>
      </c>
      <c r="AA409" s="62">
        <f>IF($H409&lt;&gt;"Y",0,(IF($F409&lt;&gt;"",ROUND(Dashboard!$R$4/$F409,1),IF(AND($I409="Base",$E409="Base"),Dashboard!$R$5,IF(AND($I409="Base",$E409="Red"),Dashboard!$R$6,IF(AND($I409="Base",$E409="Gold"),Dashboard!$R$7,VLOOKUP($I409,Dashboard!$Q$16:$R$21,2,FALSE)))))*VLOOKUP($I409,Dashboard!$Q$9:$R$13,2,FALSE)*IF(AND($I409="Auto",$F409="",OR($B409="Autographs Duals",$B409="Autographs Triples",$B409="Autographs Quads",$B409="Autographs Quads (Inscribed)")),IF($B409="Autographs Duals",2,IF($B409="Autographs Triples",3,4)),1)))</f>
        <v>0</v>
      </c>
      <c r="AB409" s="62">
        <f t="shared" si="89"/>
        <v>0</v>
      </c>
      <c r="AC409" s="62">
        <f t="shared" si="90"/>
        <v>0</v>
      </c>
    </row>
    <row r="410" spans="1:29" ht="42.95" customHeight="1" x14ac:dyDescent="0.25">
      <c r="A410" s="4" t="s">
        <v>17</v>
      </c>
      <c r="B410" s="7" t="s">
        <v>792</v>
      </c>
      <c r="C410" s="2" t="s">
        <v>1408</v>
      </c>
      <c r="D410" s="7" t="s">
        <v>850</v>
      </c>
      <c r="E410" s="4" t="s">
        <v>829</v>
      </c>
      <c r="F410" s="2">
        <v>4</v>
      </c>
      <c r="G410" s="2" t="s">
        <v>1400</v>
      </c>
      <c r="H410" s="2" t="s">
        <v>1399</v>
      </c>
      <c r="I410" s="4" t="s">
        <v>60</v>
      </c>
      <c r="J410" s="112">
        <f>IF($H410&lt;&gt;"Y",0,ROUND(MIN(Dashboard!$R$24,IF(IFERROR(VLOOKUP($B410,Dashboard!$Q$28:$S$60,2,FALSE),0)&gt;0,IFERROR(VLOOKUP($B410,Dashboard!$Q$28:$S$60,2,FALSE),0),$Z410*IF($U410&lt;&gt;"",ROUND((Dashboard!$R$4/$U410)*VLOOKUP($I410,Dashboard!$Q$9:$R$13,2,FALSE)*IF(ISNUMBER(SEARCH("Duals",$B410)),2,IF(ISNUMBER(SEARCH("Triples",$B410)),3,IF(ISNUMBER(SEARCH("Quads",$B410)),4,1))),2),ROUND(VLOOKUP($I410,Dashboard!$Q$15:$R$20,2,FALSE)*IF($E410="Red",Dashboard!$R$6,IF($E410="Gold",Dashboard!$R$7,Dashboard!$R$5))*IF(ISNUMBER(SEARCH("Duals",$B410)),2,IF(ISNUMBER(SEARCH("Triples",$B410)),3,IF(ISNUMBER(SEARCH("Quads",$B410)),4,1))),2))*IF(IFERROR(VLOOKUP($B410,Dashboard!$Q$28:$S$60,3,FALSE),0)&gt;0,VLOOKUP($B410,Dashboard!$Q$28:$S$60,3,FALSE),1))),0))</f>
        <v>0</v>
      </c>
      <c r="K410" s="2" t="str">
        <f>IF('Base S1'!J10="","",'Base S1'!J10)</f>
        <v/>
      </c>
      <c r="L410" s="2">
        <f t="shared" si="78"/>
        <v>0</v>
      </c>
      <c r="M410" s="2">
        <f t="shared" si="79"/>
        <v>0</v>
      </c>
      <c r="N410" s="2">
        <f t="shared" si="80"/>
        <v>0</v>
      </c>
      <c r="O410" s="2">
        <f t="shared" si="81"/>
        <v>0</v>
      </c>
      <c r="P410" s="112">
        <f t="shared" si="82"/>
        <v>0</v>
      </c>
      <c r="Q410" s="112">
        <f t="shared" si="83"/>
        <v>0</v>
      </c>
      <c r="R410" s="53"/>
      <c r="S410" s="53" t="str">
        <f t="shared" si="84"/>
        <v>Base S1|Printing Plates Parallel - Season 1|9|Printing Plate</v>
      </c>
      <c r="T410" s="57" t="str">
        <f>IF($S410="","",IFERROR(VLOOKUP($S410,'Pop Estimates (Non-#d)'!$N$2:$O$500,2,FALSE),""))</f>
        <v/>
      </c>
      <c r="U410" s="57">
        <f t="shared" si="85"/>
        <v>4</v>
      </c>
      <c r="V410" s="53" t="str">
        <f t="shared" si="86"/>
        <v/>
      </c>
      <c r="W410" s="53" t="str">
        <f t="shared" si="87"/>
        <v/>
      </c>
      <c r="X410" s="53" t="str">
        <f t="shared" si="88"/>
        <v/>
      </c>
      <c r="Y410" s="57" t="str">
        <f>IF($X410="","",IFERROR(VLOOKUP($X410,'Char Popularity'!$A$2:$C$500,2,FALSE),""))</f>
        <v/>
      </c>
      <c r="Z410" s="56">
        <f>IF($X410="",1,IFERROR(VLOOKUP($X410,'Char Popularity'!$A$2:$C$500,3,FALSE),1))</f>
        <v>1</v>
      </c>
      <c r="AA410" s="62">
        <f>IF($H410&lt;&gt;"Y",0,(IF($F410&lt;&gt;"",ROUND(Dashboard!$R$4/$F410,1),IF(AND($I410="Base",$E410="Base"),Dashboard!$R$5,IF(AND($I410="Base",$E410="Red"),Dashboard!$R$6,IF(AND($I410="Base",$E410="Gold"),Dashboard!$R$7,VLOOKUP($I410,Dashboard!$Q$16:$R$21,2,FALSE)))))*VLOOKUP($I410,Dashboard!$Q$9:$R$13,2,FALSE)*IF(AND($I410="Auto",$F410="",OR($B410="Autographs Duals",$B410="Autographs Triples",$B410="Autographs Quads",$B410="Autographs Quads (Inscribed)")),IF($B410="Autographs Duals",2,IF($B410="Autographs Triples",3,4)),1)))</f>
        <v>0</v>
      </c>
      <c r="AB410" s="62">
        <f t="shared" si="89"/>
        <v>0</v>
      </c>
      <c r="AC410" s="62">
        <f t="shared" si="90"/>
        <v>0</v>
      </c>
    </row>
    <row r="411" spans="1:29" ht="42.95" customHeight="1" x14ac:dyDescent="0.25">
      <c r="A411" s="4" t="s">
        <v>17</v>
      </c>
      <c r="B411" s="7" t="s">
        <v>792</v>
      </c>
      <c r="C411" s="2" t="s">
        <v>1409</v>
      </c>
      <c r="D411" s="7" t="s">
        <v>853</v>
      </c>
      <c r="E411" s="4" t="s">
        <v>829</v>
      </c>
      <c r="F411" s="2">
        <v>4</v>
      </c>
      <c r="G411" s="2" t="s">
        <v>1400</v>
      </c>
      <c r="H411" s="2" t="s">
        <v>1399</v>
      </c>
      <c r="I411" s="4" t="s">
        <v>60</v>
      </c>
      <c r="J411" s="112">
        <f>IF($H411&lt;&gt;"Y",0,ROUND(MIN(Dashboard!$R$24,IF(IFERROR(VLOOKUP($B411,Dashboard!$Q$28:$S$60,2,FALSE),0)&gt;0,IFERROR(VLOOKUP($B411,Dashboard!$Q$28:$S$60,2,FALSE),0),$Z411*IF($U411&lt;&gt;"",ROUND((Dashboard!$R$4/$U411)*VLOOKUP($I411,Dashboard!$Q$9:$R$13,2,FALSE)*IF(ISNUMBER(SEARCH("Duals",$B411)),2,IF(ISNUMBER(SEARCH("Triples",$B411)),3,IF(ISNUMBER(SEARCH("Quads",$B411)),4,1))),2),ROUND(VLOOKUP($I411,Dashboard!$Q$15:$R$20,2,FALSE)*IF($E411="Red",Dashboard!$R$6,IF($E411="Gold",Dashboard!$R$7,Dashboard!$R$5))*IF(ISNUMBER(SEARCH("Duals",$B411)),2,IF(ISNUMBER(SEARCH("Triples",$B411)),3,IF(ISNUMBER(SEARCH("Quads",$B411)),4,1))),2))*IF(IFERROR(VLOOKUP($B411,Dashboard!$Q$28:$S$60,3,FALSE),0)&gt;0,VLOOKUP($B411,Dashboard!$Q$28:$S$60,3,FALSE),1))),0))</f>
        <v>0</v>
      </c>
      <c r="K411" s="2" t="str">
        <f>IF('Base S1'!J11="","",'Base S1'!J11)</f>
        <v/>
      </c>
      <c r="L411" s="2">
        <f t="shared" si="78"/>
        <v>0</v>
      </c>
      <c r="M411" s="2">
        <f t="shared" si="79"/>
        <v>0</v>
      </c>
      <c r="N411" s="2">
        <f t="shared" si="80"/>
        <v>0</v>
      </c>
      <c r="O411" s="2">
        <f t="shared" si="81"/>
        <v>0</v>
      </c>
      <c r="P411" s="112">
        <f t="shared" si="82"/>
        <v>0</v>
      </c>
      <c r="Q411" s="112">
        <f t="shared" si="83"/>
        <v>0</v>
      </c>
      <c r="R411" s="53"/>
      <c r="S411" s="53" t="str">
        <f t="shared" si="84"/>
        <v>Base S1|Printing Plates Parallel - Season 1|10|Printing Plate</v>
      </c>
      <c r="T411" s="57" t="str">
        <f>IF($S411="","",IFERROR(VLOOKUP($S411,'Pop Estimates (Non-#d)'!$N$2:$O$500,2,FALSE),""))</f>
        <v/>
      </c>
      <c r="U411" s="57">
        <f t="shared" si="85"/>
        <v>4</v>
      </c>
      <c r="V411" s="53" t="str">
        <f t="shared" si="86"/>
        <v/>
      </c>
      <c r="W411" s="53" t="str">
        <f t="shared" si="87"/>
        <v/>
      </c>
      <c r="X411" s="53" t="str">
        <f t="shared" si="88"/>
        <v/>
      </c>
      <c r="Y411" s="57" t="str">
        <f>IF($X411="","",IFERROR(VLOOKUP($X411,'Char Popularity'!$A$2:$C$500,2,FALSE),""))</f>
        <v/>
      </c>
      <c r="Z411" s="56">
        <f>IF($X411="",1,IFERROR(VLOOKUP($X411,'Char Popularity'!$A$2:$C$500,3,FALSE),1))</f>
        <v>1</v>
      </c>
      <c r="AA411" s="62">
        <f>IF($H411&lt;&gt;"Y",0,(IF($F411&lt;&gt;"",ROUND(Dashboard!$R$4/$F411,1),IF(AND($I411="Base",$E411="Base"),Dashboard!$R$5,IF(AND($I411="Base",$E411="Red"),Dashboard!$R$6,IF(AND($I411="Base",$E411="Gold"),Dashboard!$R$7,VLOOKUP($I411,Dashboard!$Q$16:$R$21,2,FALSE)))))*VLOOKUP($I411,Dashboard!$Q$9:$R$13,2,FALSE)*IF(AND($I411="Auto",$F411="",OR($B411="Autographs Duals",$B411="Autographs Triples",$B411="Autographs Quads",$B411="Autographs Quads (Inscribed)")),IF($B411="Autographs Duals",2,IF($B411="Autographs Triples",3,4)),1)))</f>
        <v>0</v>
      </c>
      <c r="AB411" s="62">
        <f t="shared" si="89"/>
        <v>0</v>
      </c>
      <c r="AC411" s="62">
        <f t="shared" si="90"/>
        <v>0</v>
      </c>
    </row>
    <row r="412" spans="1:29" ht="42.95" customHeight="1" x14ac:dyDescent="0.25">
      <c r="A412" s="4" t="s">
        <v>17</v>
      </c>
      <c r="B412" s="7" t="s">
        <v>792</v>
      </c>
      <c r="C412" s="2" t="s">
        <v>1410</v>
      </c>
      <c r="D412" s="7" t="s">
        <v>856</v>
      </c>
      <c r="E412" s="4" t="s">
        <v>829</v>
      </c>
      <c r="F412" s="2">
        <v>4</v>
      </c>
      <c r="G412" s="2" t="s">
        <v>1400</v>
      </c>
      <c r="H412" s="2" t="s">
        <v>1399</v>
      </c>
      <c r="I412" s="4" t="s">
        <v>60</v>
      </c>
      <c r="J412" s="112">
        <f>IF($H412&lt;&gt;"Y",0,ROUND(MIN(Dashboard!$R$24,IF(IFERROR(VLOOKUP($B412,Dashboard!$Q$28:$S$60,2,FALSE),0)&gt;0,IFERROR(VLOOKUP($B412,Dashboard!$Q$28:$S$60,2,FALSE),0),$Z412*IF($U412&lt;&gt;"",ROUND((Dashboard!$R$4/$U412)*VLOOKUP($I412,Dashboard!$Q$9:$R$13,2,FALSE)*IF(ISNUMBER(SEARCH("Duals",$B412)),2,IF(ISNUMBER(SEARCH("Triples",$B412)),3,IF(ISNUMBER(SEARCH("Quads",$B412)),4,1))),2),ROUND(VLOOKUP($I412,Dashboard!$Q$15:$R$20,2,FALSE)*IF($E412="Red",Dashboard!$R$6,IF($E412="Gold",Dashboard!$R$7,Dashboard!$R$5))*IF(ISNUMBER(SEARCH("Duals",$B412)),2,IF(ISNUMBER(SEARCH("Triples",$B412)),3,IF(ISNUMBER(SEARCH("Quads",$B412)),4,1))),2))*IF(IFERROR(VLOOKUP($B412,Dashboard!$Q$28:$S$60,3,FALSE),0)&gt;0,VLOOKUP($B412,Dashboard!$Q$28:$S$60,3,FALSE),1))),0))</f>
        <v>0</v>
      </c>
      <c r="K412" s="2" t="str">
        <f>IF('Base S1'!J12="","",'Base S1'!J12)</f>
        <v/>
      </c>
      <c r="L412" s="2">
        <f t="shared" si="78"/>
        <v>0</v>
      </c>
      <c r="M412" s="2">
        <f t="shared" si="79"/>
        <v>0</v>
      </c>
      <c r="N412" s="2">
        <f t="shared" si="80"/>
        <v>0</v>
      </c>
      <c r="O412" s="2">
        <f t="shared" si="81"/>
        <v>0</v>
      </c>
      <c r="P412" s="112">
        <f t="shared" si="82"/>
        <v>0</v>
      </c>
      <c r="Q412" s="112">
        <f t="shared" si="83"/>
        <v>0</v>
      </c>
      <c r="R412" s="53"/>
      <c r="S412" s="53" t="str">
        <f t="shared" si="84"/>
        <v>Base S1|Printing Plates Parallel - Season 1|11|Printing Plate</v>
      </c>
      <c r="T412" s="57" t="str">
        <f>IF($S412="","",IFERROR(VLOOKUP($S412,'Pop Estimates (Non-#d)'!$N$2:$O$500,2,FALSE),""))</f>
        <v/>
      </c>
      <c r="U412" s="57">
        <f t="shared" si="85"/>
        <v>4</v>
      </c>
      <c r="V412" s="53" t="str">
        <f t="shared" si="86"/>
        <v/>
      </c>
      <c r="W412" s="53" t="str">
        <f t="shared" si="87"/>
        <v/>
      </c>
      <c r="X412" s="53" t="str">
        <f t="shared" si="88"/>
        <v/>
      </c>
      <c r="Y412" s="57" t="str">
        <f>IF($X412="","",IFERROR(VLOOKUP($X412,'Char Popularity'!$A$2:$C$500,2,FALSE),""))</f>
        <v/>
      </c>
      <c r="Z412" s="56">
        <f>IF($X412="",1,IFERROR(VLOOKUP($X412,'Char Popularity'!$A$2:$C$500,3,FALSE),1))</f>
        <v>1</v>
      </c>
      <c r="AA412" s="62">
        <f>IF($H412&lt;&gt;"Y",0,(IF($F412&lt;&gt;"",ROUND(Dashboard!$R$4/$F412,1),IF(AND($I412="Base",$E412="Base"),Dashboard!$R$5,IF(AND($I412="Base",$E412="Red"),Dashboard!$R$6,IF(AND($I412="Base",$E412="Gold"),Dashboard!$R$7,VLOOKUP($I412,Dashboard!$Q$16:$R$21,2,FALSE)))))*VLOOKUP($I412,Dashboard!$Q$9:$R$13,2,FALSE)*IF(AND($I412="Auto",$F412="",OR($B412="Autographs Duals",$B412="Autographs Triples",$B412="Autographs Quads",$B412="Autographs Quads (Inscribed)")),IF($B412="Autographs Duals",2,IF($B412="Autographs Triples",3,4)),1)))</f>
        <v>0</v>
      </c>
      <c r="AB412" s="62">
        <f t="shared" si="89"/>
        <v>0</v>
      </c>
      <c r="AC412" s="62">
        <f t="shared" si="90"/>
        <v>0</v>
      </c>
    </row>
    <row r="413" spans="1:29" ht="42.95" customHeight="1" x14ac:dyDescent="0.25">
      <c r="A413" s="4" t="s">
        <v>17</v>
      </c>
      <c r="B413" s="7" t="s">
        <v>792</v>
      </c>
      <c r="C413" s="2" t="s">
        <v>1411</v>
      </c>
      <c r="D413" s="7" t="s">
        <v>858</v>
      </c>
      <c r="E413" s="4" t="s">
        <v>829</v>
      </c>
      <c r="F413" s="2">
        <v>4</v>
      </c>
      <c r="G413" s="2" t="s">
        <v>1400</v>
      </c>
      <c r="H413" s="2" t="s">
        <v>1399</v>
      </c>
      <c r="I413" s="4" t="s">
        <v>60</v>
      </c>
      <c r="J413" s="112">
        <f>IF($H413&lt;&gt;"Y",0,ROUND(MIN(Dashboard!$R$24,IF(IFERROR(VLOOKUP($B413,Dashboard!$Q$28:$S$60,2,FALSE),0)&gt;0,IFERROR(VLOOKUP($B413,Dashboard!$Q$28:$S$60,2,FALSE),0),$Z413*IF($U413&lt;&gt;"",ROUND((Dashboard!$R$4/$U413)*VLOOKUP($I413,Dashboard!$Q$9:$R$13,2,FALSE)*IF(ISNUMBER(SEARCH("Duals",$B413)),2,IF(ISNUMBER(SEARCH("Triples",$B413)),3,IF(ISNUMBER(SEARCH("Quads",$B413)),4,1))),2),ROUND(VLOOKUP($I413,Dashboard!$Q$15:$R$20,2,FALSE)*IF($E413="Red",Dashboard!$R$6,IF($E413="Gold",Dashboard!$R$7,Dashboard!$R$5))*IF(ISNUMBER(SEARCH("Duals",$B413)),2,IF(ISNUMBER(SEARCH("Triples",$B413)),3,IF(ISNUMBER(SEARCH("Quads",$B413)),4,1))),2))*IF(IFERROR(VLOOKUP($B413,Dashboard!$Q$28:$S$60,3,FALSE),0)&gt;0,VLOOKUP($B413,Dashboard!$Q$28:$S$60,3,FALSE),1))),0))</f>
        <v>0</v>
      </c>
      <c r="K413" s="2" t="str">
        <f>IF('Base S1'!J13="","",'Base S1'!J13)</f>
        <v/>
      </c>
      <c r="L413" s="2">
        <f t="shared" si="78"/>
        <v>0</v>
      </c>
      <c r="M413" s="2">
        <f t="shared" si="79"/>
        <v>0</v>
      </c>
      <c r="N413" s="2">
        <f t="shared" si="80"/>
        <v>0</v>
      </c>
      <c r="O413" s="2">
        <f t="shared" si="81"/>
        <v>0</v>
      </c>
      <c r="P413" s="112">
        <f t="shared" si="82"/>
        <v>0</v>
      </c>
      <c r="Q413" s="112">
        <f t="shared" si="83"/>
        <v>0</v>
      </c>
      <c r="R413" s="53"/>
      <c r="S413" s="53" t="str">
        <f t="shared" si="84"/>
        <v>Base S1|Printing Plates Parallel - Season 1|12|Printing Plate</v>
      </c>
      <c r="T413" s="57" t="str">
        <f>IF($S413="","",IFERROR(VLOOKUP($S413,'Pop Estimates (Non-#d)'!$N$2:$O$500,2,FALSE),""))</f>
        <v/>
      </c>
      <c r="U413" s="57">
        <f t="shared" si="85"/>
        <v>4</v>
      </c>
      <c r="V413" s="53" t="str">
        <f t="shared" si="86"/>
        <v/>
      </c>
      <c r="W413" s="53" t="str">
        <f t="shared" si="87"/>
        <v/>
      </c>
      <c r="X413" s="53" t="str">
        <f t="shared" si="88"/>
        <v/>
      </c>
      <c r="Y413" s="57" t="str">
        <f>IF($X413="","",IFERROR(VLOOKUP($X413,'Char Popularity'!$A$2:$C$500,2,FALSE),""))</f>
        <v/>
      </c>
      <c r="Z413" s="56">
        <f>IF($X413="",1,IFERROR(VLOOKUP($X413,'Char Popularity'!$A$2:$C$500,3,FALSE),1))</f>
        <v>1</v>
      </c>
      <c r="AA413" s="62">
        <f>IF($H413&lt;&gt;"Y",0,(IF($F413&lt;&gt;"",ROUND(Dashboard!$R$4/$F413,1),IF(AND($I413="Base",$E413="Base"),Dashboard!$R$5,IF(AND($I413="Base",$E413="Red"),Dashboard!$R$6,IF(AND($I413="Base",$E413="Gold"),Dashboard!$R$7,VLOOKUP($I413,Dashboard!$Q$16:$R$21,2,FALSE)))))*VLOOKUP($I413,Dashboard!$Q$9:$R$13,2,FALSE)*IF(AND($I413="Auto",$F413="",OR($B413="Autographs Duals",$B413="Autographs Triples",$B413="Autographs Quads",$B413="Autographs Quads (Inscribed)")),IF($B413="Autographs Duals",2,IF($B413="Autographs Triples",3,4)),1)))</f>
        <v>0</v>
      </c>
      <c r="AB413" s="62">
        <f t="shared" si="89"/>
        <v>0</v>
      </c>
      <c r="AC413" s="62">
        <f t="shared" si="90"/>
        <v>0</v>
      </c>
    </row>
    <row r="414" spans="1:29" ht="42.95" customHeight="1" x14ac:dyDescent="0.25">
      <c r="A414" s="4" t="s">
        <v>17</v>
      </c>
      <c r="B414" s="7" t="s">
        <v>792</v>
      </c>
      <c r="C414" s="2" t="s">
        <v>1412</v>
      </c>
      <c r="D414" s="7" t="s">
        <v>861</v>
      </c>
      <c r="E414" s="4" t="s">
        <v>829</v>
      </c>
      <c r="F414" s="2">
        <v>4</v>
      </c>
      <c r="G414" s="2" t="s">
        <v>1400</v>
      </c>
      <c r="H414" s="2" t="s">
        <v>1399</v>
      </c>
      <c r="I414" s="4" t="s">
        <v>60</v>
      </c>
      <c r="J414" s="112">
        <f>IF($H414&lt;&gt;"Y",0,ROUND(MIN(Dashboard!$R$24,IF(IFERROR(VLOOKUP($B414,Dashboard!$Q$28:$S$60,2,FALSE),0)&gt;0,IFERROR(VLOOKUP($B414,Dashboard!$Q$28:$S$60,2,FALSE),0),$Z414*IF($U414&lt;&gt;"",ROUND((Dashboard!$R$4/$U414)*VLOOKUP($I414,Dashboard!$Q$9:$R$13,2,FALSE)*IF(ISNUMBER(SEARCH("Duals",$B414)),2,IF(ISNUMBER(SEARCH("Triples",$B414)),3,IF(ISNUMBER(SEARCH("Quads",$B414)),4,1))),2),ROUND(VLOOKUP($I414,Dashboard!$Q$15:$R$20,2,FALSE)*IF($E414="Red",Dashboard!$R$6,IF($E414="Gold",Dashboard!$R$7,Dashboard!$R$5))*IF(ISNUMBER(SEARCH("Duals",$B414)),2,IF(ISNUMBER(SEARCH("Triples",$B414)),3,IF(ISNUMBER(SEARCH("Quads",$B414)),4,1))),2))*IF(IFERROR(VLOOKUP($B414,Dashboard!$Q$28:$S$60,3,FALSE),0)&gt;0,VLOOKUP($B414,Dashboard!$Q$28:$S$60,3,FALSE),1))),0))</f>
        <v>0</v>
      </c>
      <c r="K414" s="2" t="str">
        <f>IF('Base S1'!J14="","",'Base S1'!J14)</f>
        <v/>
      </c>
      <c r="L414" s="2">
        <f t="shared" si="78"/>
        <v>0</v>
      </c>
      <c r="M414" s="2">
        <f t="shared" si="79"/>
        <v>0</v>
      </c>
      <c r="N414" s="2">
        <f t="shared" si="80"/>
        <v>0</v>
      </c>
      <c r="O414" s="2">
        <f t="shared" si="81"/>
        <v>0</v>
      </c>
      <c r="P414" s="112">
        <f t="shared" si="82"/>
        <v>0</v>
      </c>
      <c r="Q414" s="112">
        <f t="shared" si="83"/>
        <v>0</v>
      </c>
      <c r="R414" s="53"/>
      <c r="S414" s="53" t="str">
        <f t="shared" si="84"/>
        <v>Base S1|Printing Plates Parallel - Season 1|13|Printing Plate</v>
      </c>
      <c r="T414" s="57" t="str">
        <f>IF($S414="","",IFERROR(VLOOKUP($S414,'Pop Estimates (Non-#d)'!$N$2:$O$500,2,FALSE),""))</f>
        <v/>
      </c>
      <c r="U414" s="57">
        <f t="shared" si="85"/>
        <v>4</v>
      </c>
      <c r="V414" s="53" t="str">
        <f t="shared" si="86"/>
        <v/>
      </c>
      <c r="W414" s="53" t="str">
        <f t="shared" si="87"/>
        <v/>
      </c>
      <c r="X414" s="53" t="str">
        <f t="shared" si="88"/>
        <v/>
      </c>
      <c r="Y414" s="57" t="str">
        <f>IF($X414="","",IFERROR(VLOOKUP($X414,'Char Popularity'!$A$2:$C$500,2,FALSE),""))</f>
        <v/>
      </c>
      <c r="Z414" s="56">
        <f>IF($X414="",1,IFERROR(VLOOKUP($X414,'Char Popularity'!$A$2:$C$500,3,FALSE),1))</f>
        <v>1</v>
      </c>
      <c r="AA414" s="62">
        <f>IF($H414&lt;&gt;"Y",0,(IF($F414&lt;&gt;"",ROUND(Dashboard!$R$4/$F414,1),IF(AND($I414="Base",$E414="Base"),Dashboard!$R$5,IF(AND($I414="Base",$E414="Red"),Dashboard!$R$6,IF(AND($I414="Base",$E414="Gold"),Dashboard!$R$7,VLOOKUP($I414,Dashboard!$Q$16:$R$21,2,FALSE)))))*VLOOKUP($I414,Dashboard!$Q$9:$R$13,2,FALSE)*IF(AND($I414="Auto",$F414="",OR($B414="Autographs Duals",$B414="Autographs Triples",$B414="Autographs Quads",$B414="Autographs Quads (Inscribed)")),IF($B414="Autographs Duals",2,IF($B414="Autographs Triples",3,4)),1)))</f>
        <v>0</v>
      </c>
      <c r="AB414" s="62">
        <f t="shared" si="89"/>
        <v>0</v>
      </c>
      <c r="AC414" s="62">
        <f t="shared" si="90"/>
        <v>0</v>
      </c>
    </row>
    <row r="415" spans="1:29" ht="42.95" customHeight="1" x14ac:dyDescent="0.25">
      <c r="A415" s="4" t="s">
        <v>17</v>
      </c>
      <c r="B415" s="7" t="s">
        <v>792</v>
      </c>
      <c r="C415" s="2" t="s">
        <v>1413</v>
      </c>
      <c r="D415" s="7" t="s">
        <v>863</v>
      </c>
      <c r="E415" s="4" t="s">
        <v>829</v>
      </c>
      <c r="F415" s="2">
        <v>4</v>
      </c>
      <c r="G415" s="2" t="s">
        <v>1400</v>
      </c>
      <c r="H415" s="2" t="s">
        <v>1399</v>
      </c>
      <c r="I415" s="4" t="s">
        <v>60</v>
      </c>
      <c r="J415" s="112">
        <f>IF($H415&lt;&gt;"Y",0,ROUND(MIN(Dashboard!$R$24,IF(IFERROR(VLOOKUP($B415,Dashboard!$Q$28:$S$60,2,FALSE),0)&gt;0,IFERROR(VLOOKUP($B415,Dashboard!$Q$28:$S$60,2,FALSE),0),$Z415*IF($U415&lt;&gt;"",ROUND((Dashboard!$R$4/$U415)*VLOOKUP($I415,Dashboard!$Q$9:$R$13,2,FALSE)*IF(ISNUMBER(SEARCH("Duals",$B415)),2,IF(ISNUMBER(SEARCH("Triples",$B415)),3,IF(ISNUMBER(SEARCH("Quads",$B415)),4,1))),2),ROUND(VLOOKUP($I415,Dashboard!$Q$15:$R$20,2,FALSE)*IF($E415="Red",Dashboard!$R$6,IF($E415="Gold",Dashboard!$R$7,Dashboard!$R$5))*IF(ISNUMBER(SEARCH("Duals",$B415)),2,IF(ISNUMBER(SEARCH("Triples",$B415)),3,IF(ISNUMBER(SEARCH("Quads",$B415)),4,1))),2))*IF(IFERROR(VLOOKUP($B415,Dashboard!$Q$28:$S$60,3,FALSE),0)&gt;0,VLOOKUP($B415,Dashboard!$Q$28:$S$60,3,FALSE),1))),0))</f>
        <v>0</v>
      </c>
      <c r="K415" s="2" t="str">
        <f>IF('Base S1'!J15="","",'Base S1'!J15)</f>
        <v>V Black C Cyan</v>
      </c>
      <c r="L415" s="2">
        <f t="shared" si="78"/>
        <v>1</v>
      </c>
      <c r="M415" s="2">
        <f t="shared" si="79"/>
        <v>0</v>
      </c>
      <c r="N415" s="2">
        <f t="shared" si="80"/>
        <v>1</v>
      </c>
      <c r="O415" s="2">
        <f t="shared" si="81"/>
        <v>0</v>
      </c>
      <c r="P415" s="112">
        <f t="shared" si="82"/>
        <v>0</v>
      </c>
      <c r="Q415" s="112">
        <f t="shared" si="83"/>
        <v>0</v>
      </c>
      <c r="R415" s="53"/>
      <c r="S415" s="53" t="str">
        <f t="shared" si="84"/>
        <v>Base S1|Printing Plates Parallel - Season 1|14|Printing Plate</v>
      </c>
      <c r="T415" s="57" t="str">
        <f>IF($S415="","",IFERROR(VLOOKUP($S415,'Pop Estimates (Non-#d)'!$N$2:$O$500,2,FALSE),""))</f>
        <v/>
      </c>
      <c r="U415" s="57">
        <f t="shared" si="85"/>
        <v>4</v>
      </c>
      <c r="V415" s="53" t="str">
        <f t="shared" si="86"/>
        <v/>
      </c>
      <c r="W415" s="53" t="str">
        <f t="shared" si="87"/>
        <v/>
      </c>
      <c r="X415" s="53" t="str">
        <f t="shared" si="88"/>
        <v/>
      </c>
      <c r="Y415" s="57" t="str">
        <f>IF($X415="","",IFERROR(VLOOKUP($X415,'Char Popularity'!$A$2:$C$500,2,FALSE),""))</f>
        <v/>
      </c>
      <c r="Z415" s="56">
        <f>IF($X415="",1,IFERROR(VLOOKUP($X415,'Char Popularity'!$A$2:$C$500,3,FALSE),1))</f>
        <v>1</v>
      </c>
      <c r="AA415" s="62">
        <f>IF($H415&lt;&gt;"Y",0,(IF($F415&lt;&gt;"",ROUND(Dashboard!$R$4/$F415,1),IF(AND($I415="Base",$E415="Base"),Dashboard!$R$5,IF(AND($I415="Base",$E415="Red"),Dashboard!$R$6,IF(AND($I415="Base",$E415="Gold"),Dashboard!$R$7,VLOOKUP($I415,Dashboard!$Q$16:$R$21,2,FALSE)))))*VLOOKUP($I415,Dashboard!$Q$9:$R$13,2,FALSE)*IF(AND($I415="Auto",$F415="",OR($B415="Autographs Duals",$B415="Autographs Triples",$B415="Autographs Quads",$B415="Autographs Quads (Inscribed)")),IF($B415="Autographs Duals",2,IF($B415="Autographs Triples",3,4)),1)))</f>
        <v>0</v>
      </c>
      <c r="AB415" s="62">
        <f t="shared" si="89"/>
        <v>0</v>
      </c>
      <c r="AC415" s="62">
        <f t="shared" si="90"/>
        <v>0</v>
      </c>
    </row>
    <row r="416" spans="1:29" ht="42.95" customHeight="1" x14ac:dyDescent="0.25">
      <c r="A416" s="4" t="s">
        <v>17</v>
      </c>
      <c r="B416" s="7" t="s">
        <v>792</v>
      </c>
      <c r="C416" s="2" t="s">
        <v>1414</v>
      </c>
      <c r="D416" s="7" t="s">
        <v>866</v>
      </c>
      <c r="E416" s="4" t="s">
        <v>829</v>
      </c>
      <c r="F416" s="2">
        <v>4</v>
      </c>
      <c r="G416" s="2" t="s">
        <v>1400</v>
      </c>
      <c r="H416" s="2" t="s">
        <v>1399</v>
      </c>
      <c r="I416" s="4" t="s">
        <v>60</v>
      </c>
      <c r="J416" s="112">
        <f>IF($H416&lt;&gt;"Y",0,ROUND(MIN(Dashboard!$R$24,IF(IFERROR(VLOOKUP($B416,Dashboard!$Q$28:$S$60,2,FALSE),0)&gt;0,IFERROR(VLOOKUP($B416,Dashboard!$Q$28:$S$60,2,FALSE),0),$Z416*IF($U416&lt;&gt;"",ROUND((Dashboard!$R$4/$U416)*VLOOKUP($I416,Dashboard!$Q$9:$R$13,2,FALSE)*IF(ISNUMBER(SEARCH("Duals",$B416)),2,IF(ISNUMBER(SEARCH("Triples",$B416)),3,IF(ISNUMBER(SEARCH("Quads",$B416)),4,1))),2),ROUND(VLOOKUP($I416,Dashboard!$Q$15:$R$20,2,FALSE)*IF($E416="Red",Dashboard!$R$6,IF($E416="Gold",Dashboard!$R$7,Dashboard!$R$5))*IF(ISNUMBER(SEARCH("Duals",$B416)),2,IF(ISNUMBER(SEARCH("Triples",$B416)),3,IF(ISNUMBER(SEARCH("Quads",$B416)),4,1))),2))*IF(IFERROR(VLOOKUP($B416,Dashboard!$Q$28:$S$60,3,FALSE),0)&gt;0,VLOOKUP($B416,Dashboard!$Q$28:$S$60,3,FALSE),1))),0))</f>
        <v>0</v>
      </c>
      <c r="K416" s="2" t="str">
        <f>IF('Base S1'!J16="","",'Base S1'!J16)</f>
        <v/>
      </c>
      <c r="L416" s="2">
        <f t="shared" si="78"/>
        <v>0</v>
      </c>
      <c r="M416" s="2">
        <f t="shared" si="79"/>
        <v>0</v>
      </c>
      <c r="N416" s="2">
        <f t="shared" si="80"/>
        <v>0</v>
      </c>
      <c r="O416" s="2">
        <f t="shared" si="81"/>
        <v>0</v>
      </c>
      <c r="P416" s="112">
        <f t="shared" si="82"/>
        <v>0</v>
      </c>
      <c r="Q416" s="112">
        <f t="shared" si="83"/>
        <v>0</v>
      </c>
      <c r="R416" s="53"/>
      <c r="S416" s="53" t="str">
        <f t="shared" si="84"/>
        <v>Base S1|Printing Plates Parallel - Season 1|15|Printing Plate</v>
      </c>
      <c r="T416" s="57" t="str">
        <f>IF($S416="","",IFERROR(VLOOKUP($S416,'Pop Estimates (Non-#d)'!$N$2:$O$500,2,FALSE),""))</f>
        <v/>
      </c>
      <c r="U416" s="57">
        <f t="shared" si="85"/>
        <v>4</v>
      </c>
      <c r="V416" s="53" t="str">
        <f t="shared" si="86"/>
        <v/>
      </c>
      <c r="W416" s="53" t="str">
        <f t="shared" si="87"/>
        <v/>
      </c>
      <c r="X416" s="53" t="str">
        <f t="shared" si="88"/>
        <v/>
      </c>
      <c r="Y416" s="57" t="str">
        <f>IF($X416="","",IFERROR(VLOOKUP($X416,'Char Popularity'!$A$2:$C$500,2,FALSE),""))</f>
        <v/>
      </c>
      <c r="Z416" s="56">
        <f>IF($X416="",1,IFERROR(VLOOKUP($X416,'Char Popularity'!$A$2:$C$500,3,FALSE),1))</f>
        <v>1</v>
      </c>
      <c r="AA416" s="62">
        <f>IF($H416&lt;&gt;"Y",0,(IF($F416&lt;&gt;"",ROUND(Dashboard!$R$4/$F416,1),IF(AND($I416="Base",$E416="Base"),Dashboard!$R$5,IF(AND($I416="Base",$E416="Red"),Dashboard!$R$6,IF(AND($I416="Base",$E416="Gold"),Dashboard!$R$7,VLOOKUP($I416,Dashboard!$Q$16:$R$21,2,FALSE)))))*VLOOKUP($I416,Dashboard!$Q$9:$R$13,2,FALSE)*IF(AND($I416="Auto",$F416="",OR($B416="Autographs Duals",$B416="Autographs Triples",$B416="Autographs Quads",$B416="Autographs Quads (Inscribed)")),IF($B416="Autographs Duals",2,IF($B416="Autographs Triples",3,4)),1)))</f>
        <v>0</v>
      </c>
      <c r="AB416" s="62">
        <f t="shared" si="89"/>
        <v>0</v>
      </c>
      <c r="AC416" s="62">
        <f t="shared" si="90"/>
        <v>0</v>
      </c>
    </row>
    <row r="417" spans="1:29" ht="42.95" customHeight="1" x14ac:dyDescent="0.25">
      <c r="A417" s="4" t="s">
        <v>17</v>
      </c>
      <c r="B417" s="7" t="s">
        <v>792</v>
      </c>
      <c r="C417" s="2" t="s">
        <v>1415</v>
      </c>
      <c r="D417" s="7" t="s">
        <v>869</v>
      </c>
      <c r="E417" s="4" t="s">
        <v>829</v>
      </c>
      <c r="F417" s="2">
        <v>4</v>
      </c>
      <c r="G417" s="2" t="s">
        <v>1400</v>
      </c>
      <c r="H417" s="2" t="s">
        <v>1399</v>
      </c>
      <c r="I417" s="4" t="s">
        <v>60</v>
      </c>
      <c r="J417" s="112">
        <f>IF($H417&lt;&gt;"Y",0,ROUND(MIN(Dashboard!$R$24,IF(IFERROR(VLOOKUP($B417,Dashboard!$Q$28:$S$60,2,FALSE),0)&gt;0,IFERROR(VLOOKUP($B417,Dashboard!$Q$28:$S$60,2,FALSE),0),$Z417*IF($U417&lt;&gt;"",ROUND((Dashboard!$R$4/$U417)*VLOOKUP($I417,Dashboard!$Q$9:$R$13,2,FALSE)*IF(ISNUMBER(SEARCH("Duals",$B417)),2,IF(ISNUMBER(SEARCH("Triples",$B417)),3,IF(ISNUMBER(SEARCH("Quads",$B417)),4,1))),2),ROUND(VLOOKUP($I417,Dashboard!$Q$15:$R$20,2,FALSE)*IF($E417="Red",Dashboard!$R$6,IF($E417="Gold",Dashboard!$R$7,Dashboard!$R$5))*IF(ISNUMBER(SEARCH("Duals",$B417)),2,IF(ISNUMBER(SEARCH("Triples",$B417)),3,IF(ISNUMBER(SEARCH("Quads",$B417)),4,1))),2))*IF(IFERROR(VLOOKUP($B417,Dashboard!$Q$28:$S$60,3,FALSE),0)&gt;0,VLOOKUP($B417,Dashboard!$Q$28:$S$60,3,FALSE),1))),0))</f>
        <v>0</v>
      </c>
      <c r="K417" s="2" t="str">
        <f>IF('Base S1'!J17="","",'Base S1'!J17)</f>
        <v>V YELLOW</v>
      </c>
      <c r="L417" s="2">
        <f t="shared" si="78"/>
        <v>1</v>
      </c>
      <c r="M417" s="2">
        <f t="shared" si="79"/>
        <v>0</v>
      </c>
      <c r="N417" s="2">
        <f t="shared" si="80"/>
        <v>1</v>
      </c>
      <c r="O417" s="2">
        <f t="shared" si="81"/>
        <v>0</v>
      </c>
      <c r="P417" s="112">
        <f t="shared" si="82"/>
        <v>0</v>
      </c>
      <c r="Q417" s="112">
        <f t="shared" si="83"/>
        <v>0</v>
      </c>
      <c r="R417" s="53"/>
      <c r="S417" s="53" t="str">
        <f t="shared" si="84"/>
        <v>Base S1|Printing Plates Parallel - Season 1|16|Printing Plate</v>
      </c>
      <c r="T417" s="57" t="str">
        <f>IF($S417="","",IFERROR(VLOOKUP($S417,'Pop Estimates (Non-#d)'!$N$2:$O$500,2,FALSE),""))</f>
        <v/>
      </c>
      <c r="U417" s="57">
        <f t="shared" si="85"/>
        <v>4</v>
      </c>
      <c r="V417" s="53" t="str">
        <f t="shared" si="86"/>
        <v/>
      </c>
      <c r="W417" s="53" t="str">
        <f t="shared" si="87"/>
        <v/>
      </c>
      <c r="X417" s="53" t="str">
        <f t="shared" si="88"/>
        <v/>
      </c>
      <c r="Y417" s="57" t="str">
        <f>IF($X417="","",IFERROR(VLOOKUP($X417,'Char Popularity'!$A$2:$C$500,2,FALSE),""))</f>
        <v/>
      </c>
      <c r="Z417" s="56">
        <f>IF($X417="",1,IFERROR(VLOOKUP($X417,'Char Popularity'!$A$2:$C$500,3,FALSE),1))</f>
        <v>1</v>
      </c>
      <c r="AA417" s="62">
        <f>IF($H417&lt;&gt;"Y",0,(IF($F417&lt;&gt;"",ROUND(Dashboard!$R$4/$F417,1),IF(AND($I417="Base",$E417="Base"),Dashboard!$R$5,IF(AND($I417="Base",$E417="Red"),Dashboard!$R$6,IF(AND($I417="Base",$E417="Gold"),Dashboard!$R$7,VLOOKUP($I417,Dashboard!$Q$16:$R$21,2,FALSE)))))*VLOOKUP($I417,Dashboard!$Q$9:$R$13,2,FALSE)*IF(AND($I417="Auto",$F417="",OR($B417="Autographs Duals",$B417="Autographs Triples",$B417="Autographs Quads",$B417="Autographs Quads (Inscribed)")),IF($B417="Autographs Duals",2,IF($B417="Autographs Triples",3,4)),1)))</f>
        <v>0</v>
      </c>
      <c r="AB417" s="62">
        <f t="shared" si="89"/>
        <v>0</v>
      </c>
      <c r="AC417" s="62">
        <f t="shared" si="90"/>
        <v>0</v>
      </c>
    </row>
    <row r="418" spans="1:29" ht="42.95" customHeight="1" x14ac:dyDescent="0.25">
      <c r="A418" s="4" t="s">
        <v>17</v>
      </c>
      <c r="B418" s="7" t="s">
        <v>792</v>
      </c>
      <c r="C418" s="2" t="s">
        <v>1416</v>
      </c>
      <c r="D418" s="7" t="s">
        <v>874</v>
      </c>
      <c r="E418" s="4" t="s">
        <v>829</v>
      </c>
      <c r="F418" s="2">
        <v>4</v>
      </c>
      <c r="G418" s="2" t="s">
        <v>1400</v>
      </c>
      <c r="H418" s="2" t="s">
        <v>1399</v>
      </c>
      <c r="I418" s="4" t="s">
        <v>60</v>
      </c>
      <c r="J418" s="112">
        <f>IF($H418&lt;&gt;"Y",0,ROUND(MIN(Dashboard!$R$24,IF(IFERROR(VLOOKUP($B418,Dashboard!$Q$28:$S$60,2,FALSE),0)&gt;0,IFERROR(VLOOKUP($B418,Dashboard!$Q$28:$S$60,2,FALSE),0),$Z418*IF($U418&lt;&gt;"",ROUND((Dashboard!$R$4/$U418)*VLOOKUP($I418,Dashboard!$Q$9:$R$13,2,FALSE)*IF(ISNUMBER(SEARCH("Duals",$B418)),2,IF(ISNUMBER(SEARCH("Triples",$B418)),3,IF(ISNUMBER(SEARCH("Quads",$B418)),4,1))),2),ROUND(VLOOKUP($I418,Dashboard!$Q$15:$R$20,2,FALSE)*IF($E418="Red",Dashboard!$R$6,IF($E418="Gold",Dashboard!$R$7,Dashboard!$R$5))*IF(ISNUMBER(SEARCH("Duals",$B418)),2,IF(ISNUMBER(SEARCH("Triples",$B418)),3,IF(ISNUMBER(SEARCH("Quads",$B418)),4,1))),2))*IF(IFERROR(VLOOKUP($B418,Dashboard!$Q$28:$S$60,3,FALSE),0)&gt;0,VLOOKUP($B418,Dashboard!$Q$28:$S$60,3,FALSE),1))),0))</f>
        <v>0</v>
      </c>
      <c r="K418" s="2" t="str">
        <f>IF('Base S1'!J18="","",'Base S1'!J18)</f>
        <v/>
      </c>
      <c r="L418" s="2">
        <f t="shared" si="78"/>
        <v>0</v>
      </c>
      <c r="M418" s="2">
        <f t="shared" si="79"/>
        <v>0</v>
      </c>
      <c r="N418" s="2">
        <f t="shared" si="80"/>
        <v>0</v>
      </c>
      <c r="O418" s="2">
        <f t="shared" si="81"/>
        <v>0</v>
      </c>
      <c r="P418" s="112">
        <f t="shared" si="82"/>
        <v>0</v>
      </c>
      <c r="Q418" s="112">
        <f t="shared" si="83"/>
        <v>0</v>
      </c>
      <c r="R418" s="53"/>
      <c r="S418" s="53" t="str">
        <f t="shared" si="84"/>
        <v>Base S1|Printing Plates Parallel - Season 1|17|Printing Plate</v>
      </c>
      <c r="T418" s="57" t="str">
        <f>IF($S418="","",IFERROR(VLOOKUP($S418,'Pop Estimates (Non-#d)'!$N$2:$O$500,2,FALSE),""))</f>
        <v/>
      </c>
      <c r="U418" s="57">
        <f t="shared" si="85"/>
        <v>4</v>
      </c>
      <c r="V418" s="53" t="str">
        <f t="shared" si="86"/>
        <v/>
      </c>
      <c r="W418" s="53" t="str">
        <f t="shared" si="87"/>
        <v/>
      </c>
      <c r="X418" s="53" t="str">
        <f t="shared" si="88"/>
        <v/>
      </c>
      <c r="Y418" s="57" t="str">
        <f>IF($X418="","",IFERROR(VLOOKUP($X418,'Char Popularity'!$A$2:$C$500,2,FALSE),""))</f>
        <v/>
      </c>
      <c r="Z418" s="56">
        <f>IF($X418="",1,IFERROR(VLOOKUP($X418,'Char Popularity'!$A$2:$C$500,3,FALSE),1))</f>
        <v>1</v>
      </c>
      <c r="AA418" s="62">
        <f>IF($H418&lt;&gt;"Y",0,(IF($F418&lt;&gt;"",ROUND(Dashboard!$R$4/$F418,1),IF(AND($I418="Base",$E418="Base"),Dashboard!$R$5,IF(AND($I418="Base",$E418="Red"),Dashboard!$R$6,IF(AND($I418="Base",$E418="Gold"),Dashboard!$R$7,VLOOKUP($I418,Dashboard!$Q$16:$R$21,2,FALSE)))))*VLOOKUP($I418,Dashboard!$Q$9:$R$13,2,FALSE)*IF(AND($I418="Auto",$F418="",OR($B418="Autographs Duals",$B418="Autographs Triples",$B418="Autographs Quads",$B418="Autographs Quads (Inscribed)")),IF($B418="Autographs Duals",2,IF($B418="Autographs Triples",3,4)),1)))</f>
        <v>0</v>
      </c>
      <c r="AB418" s="62">
        <f t="shared" si="89"/>
        <v>0</v>
      </c>
      <c r="AC418" s="62">
        <f t="shared" si="90"/>
        <v>0</v>
      </c>
    </row>
    <row r="419" spans="1:29" ht="42.95" customHeight="1" x14ac:dyDescent="0.25">
      <c r="A419" s="4" t="s">
        <v>17</v>
      </c>
      <c r="B419" s="7" t="s">
        <v>792</v>
      </c>
      <c r="C419" s="2" t="s">
        <v>1417</v>
      </c>
      <c r="D419" s="7" t="s">
        <v>877</v>
      </c>
      <c r="E419" s="4" t="s">
        <v>829</v>
      </c>
      <c r="F419" s="2">
        <v>4</v>
      </c>
      <c r="G419" s="2" t="s">
        <v>1400</v>
      </c>
      <c r="H419" s="2" t="s">
        <v>1399</v>
      </c>
      <c r="I419" s="4" t="s">
        <v>60</v>
      </c>
      <c r="J419" s="112">
        <f>IF($H419&lt;&gt;"Y",0,ROUND(MIN(Dashboard!$R$24,IF(IFERROR(VLOOKUP($B419,Dashboard!$Q$28:$S$60,2,FALSE),0)&gt;0,IFERROR(VLOOKUP($B419,Dashboard!$Q$28:$S$60,2,FALSE),0),$Z419*IF($U419&lt;&gt;"",ROUND((Dashboard!$R$4/$U419)*VLOOKUP($I419,Dashboard!$Q$9:$R$13,2,FALSE)*IF(ISNUMBER(SEARCH("Duals",$B419)),2,IF(ISNUMBER(SEARCH("Triples",$B419)),3,IF(ISNUMBER(SEARCH("Quads",$B419)),4,1))),2),ROUND(VLOOKUP($I419,Dashboard!$Q$15:$R$20,2,FALSE)*IF($E419="Red",Dashboard!$R$6,IF($E419="Gold",Dashboard!$R$7,Dashboard!$R$5))*IF(ISNUMBER(SEARCH("Duals",$B419)),2,IF(ISNUMBER(SEARCH("Triples",$B419)),3,IF(ISNUMBER(SEARCH("Quads",$B419)),4,1))),2))*IF(IFERROR(VLOOKUP($B419,Dashboard!$Q$28:$S$60,3,FALSE),0)&gt;0,VLOOKUP($B419,Dashboard!$Q$28:$S$60,3,FALSE),1))),0))</f>
        <v>0</v>
      </c>
      <c r="K419" s="2" t="str">
        <f>IF('Base S1'!J19="","",'Base S1'!J19)</f>
        <v/>
      </c>
      <c r="L419" s="2">
        <f t="shared" si="78"/>
        <v>0</v>
      </c>
      <c r="M419" s="2">
        <f t="shared" si="79"/>
        <v>0</v>
      </c>
      <c r="N419" s="2">
        <f t="shared" si="80"/>
        <v>0</v>
      </c>
      <c r="O419" s="2">
        <f t="shared" si="81"/>
        <v>0</v>
      </c>
      <c r="P419" s="112">
        <f t="shared" si="82"/>
        <v>0</v>
      </c>
      <c r="Q419" s="112">
        <f t="shared" si="83"/>
        <v>0</v>
      </c>
      <c r="R419" s="53"/>
      <c r="S419" s="53" t="str">
        <f t="shared" si="84"/>
        <v>Base S1|Printing Plates Parallel - Season 1|18|Printing Plate</v>
      </c>
      <c r="T419" s="57" t="str">
        <f>IF($S419="","",IFERROR(VLOOKUP($S419,'Pop Estimates (Non-#d)'!$N$2:$O$500,2,FALSE),""))</f>
        <v/>
      </c>
      <c r="U419" s="57">
        <f t="shared" si="85"/>
        <v>4</v>
      </c>
      <c r="V419" s="53" t="str">
        <f t="shared" si="86"/>
        <v/>
      </c>
      <c r="W419" s="53" t="str">
        <f t="shared" si="87"/>
        <v/>
      </c>
      <c r="X419" s="53" t="str">
        <f t="shared" si="88"/>
        <v/>
      </c>
      <c r="Y419" s="57" t="str">
        <f>IF($X419="","",IFERROR(VLOOKUP($X419,'Char Popularity'!$A$2:$C$500,2,FALSE),""))</f>
        <v/>
      </c>
      <c r="Z419" s="56">
        <f>IF($X419="",1,IFERROR(VLOOKUP($X419,'Char Popularity'!$A$2:$C$500,3,FALSE),1))</f>
        <v>1</v>
      </c>
      <c r="AA419" s="62">
        <f>IF($H419&lt;&gt;"Y",0,(IF($F419&lt;&gt;"",ROUND(Dashboard!$R$4/$F419,1),IF(AND($I419="Base",$E419="Base"),Dashboard!$R$5,IF(AND($I419="Base",$E419="Red"),Dashboard!$R$6,IF(AND($I419="Base",$E419="Gold"),Dashboard!$R$7,VLOOKUP($I419,Dashboard!$Q$16:$R$21,2,FALSE)))))*VLOOKUP($I419,Dashboard!$Q$9:$R$13,2,FALSE)*IF(AND($I419="Auto",$F419="",OR($B419="Autographs Duals",$B419="Autographs Triples",$B419="Autographs Quads",$B419="Autographs Quads (Inscribed)")),IF($B419="Autographs Duals",2,IF($B419="Autographs Triples",3,4)),1)))</f>
        <v>0</v>
      </c>
      <c r="AB419" s="62">
        <f t="shared" si="89"/>
        <v>0</v>
      </c>
      <c r="AC419" s="62">
        <f t="shared" si="90"/>
        <v>0</v>
      </c>
    </row>
    <row r="420" spans="1:29" ht="42.95" customHeight="1" x14ac:dyDescent="0.25">
      <c r="A420" s="4" t="s">
        <v>17</v>
      </c>
      <c r="B420" s="7" t="s">
        <v>792</v>
      </c>
      <c r="C420" s="2" t="s">
        <v>1418</v>
      </c>
      <c r="D420" s="7" t="s">
        <v>879</v>
      </c>
      <c r="E420" s="4" t="s">
        <v>829</v>
      </c>
      <c r="F420" s="2">
        <v>4</v>
      </c>
      <c r="G420" s="2" t="s">
        <v>1400</v>
      </c>
      <c r="H420" s="2" t="s">
        <v>1399</v>
      </c>
      <c r="I420" s="4" t="s">
        <v>60</v>
      </c>
      <c r="J420" s="112">
        <f>IF($H420&lt;&gt;"Y",0,ROUND(MIN(Dashboard!$R$24,IF(IFERROR(VLOOKUP($B420,Dashboard!$Q$28:$S$60,2,FALSE),0)&gt;0,IFERROR(VLOOKUP($B420,Dashboard!$Q$28:$S$60,2,FALSE),0),$Z420*IF($U420&lt;&gt;"",ROUND((Dashboard!$R$4/$U420)*VLOOKUP($I420,Dashboard!$Q$9:$R$13,2,FALSE)*IF(ISNUMBER(SEARCH("Duals",$B420)),2,IF(ISNUMBER(SEARCH("Triples",$B420)),3,IF(ISNUMBER(SEARCH("Quads",$B420)),4,1))),2),ROUND(VLOOKUP($I420,Dashboard!$Q$15:$R$20,2,FALSE)*IF($E420="Red",Dashboard!$R$6,IF($E420="Gold",Dashboard!$R$7,Dashboard!$R$5))*IF(ISNUMBER(SEARCH("Duals",$B420)),2,IF(ISNUMBER(SEARCH("Triples",$B420)),3,IF(ISNUMBER(SEARCH("Quads",$B420)),4,1))),2))*IF(IFERROR(VLOOKUP($B420,Dashboard!$Q$28:$S$60,3,FALSE),0)&gt;0,VLOOKUP($B420,Dashboard!$Q$28:$S$60,3,FALSE),1))),0))</f>
        <v>0</v>
      </c>
      <c r="K420" s="2" t="str">
        <f>IF('Base S1'!J20="","",'Base S1'!J20)</f>
        <v/>
      </c>
      <c r="L420" s="2">
        <f t="shared" si="78"/>
        <v>0</v>
      </c>
      <c r="M420" s="2">
        <f t="shared" si="79"/>
        <v>0</v>
      </c>
      <c r="N420" s="2">
        <f t="shared" si="80"/>
        <v>0</v>
      </c>
      <c r="O420" s="2">
        <f t="shared" si="81"/>
        <v>0</v>
      </c>
      <c r="P420" s="112">
        <f t="shared" si="82"/>
        <v>0</v>
      </c>
      <c r="Q420" s="112">
        <f t="shared" si="83"/>
        <v>0</v>
      </c>
      <c r="R420" s="53"/>
      <c r="S420" s="53" t="str">
        <f t="shared" si="84"/>
        <v>Base S1|Printing Plates Parallel - Season 1|19|Printing Plate</v>
      </c>
      <c r="T420" s="57" t="str">
        <f>IF($S420="","",IFERROR(VLOOKUP($S420,'Pop Estimates (Non-#d)'!$N$2:$O$500,2,FALSE),""))</f>
        <v/>
      </c>
      <c r="U420" s="57">
        <f t="shared" si="85"/>
        <v>4</v>
      </c>
      <c r="V420" s="53" t="str">
        <f t="shared" si="86"/>
        <v/>
      </c>
      <c r="W420" s="53" t="str">
        <f t="shared" si="87"/>
        <v/>
      </c>
      <c r="X420" s="53" t="str">
        <f t="shared" si="88"/>
        <v/>
      </c>
      <c r="Y420" s="57" t="str">
        <f>IF($X420="","",IFERROR(VLOOKUP($X420,'Char Popularity'!$A$2:$C$500,2,FALSE),""))</f>
        <v/>
      </c>
      <c r="Z420" s="56">
        <f>IF($X420="",1,IFERROR(VLOOKUP($X420,'Char Popularity'!$A$2:$C$500,3,FALSE),1))</f>
        <v>1</v>
      </c>
      <c r="AA420" s="62">
        <f>IF($H420&lt;&gt;"Y",0,(IF($F420&lt;&gt;"",ROUND(Dashboard!$R$4/$F420,1),IF(AND($I420="Base",$E420="Base"),Dashboard!$R$5,IF(AND($I420="Base",$E420="Red"),Dashboard!$R$6,IF(AND($I420="Base",$E420="Gold"),Dashboard!$R$7,VLOOKUP($I420,Dashboard!$Q$16:$R$21,2,FALSE)))))*VLOOKUP($I420,Dashboard!$Q$9:$R$13,2,FALSE)*IF(AND($I420="Auto",$F420="",OR($B420="Autographs Duals",$B420="Autographs Triples",$B420="Autographs Quads",$B420="Autographs Quads (Inscribed)")),IF($B420="Autographs Duals",2,IF($B420="Autographs Triples",3,4)),1)))</f>
        <v>0</v>
      </c>
      <c r="AB420" s="62">
        <f t="shared" si="89"/>
        <v>0</v>
      </c>
      <c r="AC420" s="62">
        <f t="shared" si="90"/>
        <v>0</v>
      </c>
    </row>
    <row r="421" spans="1:29" ht="42.95" customHeight="1" x14ac:dyDescent="0.25">
      <c r="A421" s="4" t="s">
        <v>17</v>
      </c>
      <c r="B421" s="7" t="s">
        <v>792</v>
      </c>
      <c r="C421" s="2" t="s">
        <v>1419</v>
      </c>
      <c r="D421" s="7" t="s">
        <v>881</v>
      </c>
      <c r="E421" s="4" t="s">
        <v>829</v>
      </c>
      <c r="F421" s="2">
        <v>4</v>
      </c>
      <c r="G421" s="2" t="s">
        <v>1400</v>
      </c>
      <c r="H421" s="2" t="s">
        <v>1399</v>
      </c>
      <c r="I421" s="4" t="s">
        <v>60</v>
      </c>
      <c r="J421" s="112">
        <f>IF($H421&lt;&gt;"Y",0,ROUND(MIN(Dashboard!$R$24,IF(IFERROR(VLOOKUP($B421,Dashboard!$Q$28:$S$60,2,FALSE),0)&gt;0,IFERROR(VLOOKUP($B421,Dashboard!$Q$28:$S$60,2,FALSE),0),$Z421*IF($U421&lt;&gt;"",ROUND((Dashboard!$R$4/$U421)*VLOOKUP($I421,Dashboard!$Q$9:$R$13,2,FALSE)*IF(ISNUMBER(SEARCH("Duals",$B421)),2,IF(ISNUMBER(SEARCH("Triples",$B421)),3,IF(ISNUMBER(SEARCH("Quads",$B421)),4,1))),2),ROUND(VLOOKUP($I421,Dashboard!$Q$15:$R$20,2,FALSE)*IF($E421="Red",Dashboard!$R$6,IF($E421="Gold",Dashboard!$R$7,Dashboard!$R$5))*IF(ISNUMBER(SEARCH("Duals",$B421)),2,IF(ISNUMBER(SEARCH("Triples",$B421)),3,IF(ISNUMBER(SEARCH("Quads",$B421)),4,1))),2))*IF(IFERROR(VLOOKUP($B421,Dashboard!$Q$28:$S$60,3,FALSE),0)&gt;0,VLOOKUP($B421,Dashboard!$Q$28:$S$60,3,FALSE),1))),0))</f>
        <v>0</v>
      </c>
      <c r="K421" s="2" t="str">
        <f>IF('Base S1'!J21="","",'Base S1'!J21)</f>
        <v/>
      </c>
      <c r="L421" s="2">
        <f t="shared" si="78"/>
        <v>0</v>
      </c>
      <c r="M421" s="2">
        <f t="shared" si="79"/>
        <v>0</v>
      </c>
      <c r="N421" s="2">
        <f t="shared" si="80"/>
        <v>0</v>
      </c>
      <c r="O421" s="2">
        <f t="shared" si="81"/>
        <v>0</v>
      </c>
      <c r="P421" s="112">
        <f t="shared" si="82"/>
        <v>0</v>
      </c>
      <c r="Q421" s="112">
        <f t="shared" si="83"/>
        <v>0</v>
      </c>
      <c r="R421" s="53"/>
      <c r="S421" s="53" t="str">
        <f t="shared" si="84"/>
        <v>Base S1|Printing Plates Parallel - Season 1|20|Printing Plate</v>
      </c>
      <c r="T421" s="57" t="str">
        <f>IF($S421="","",IFERROR(VLOOKUP($S421,'Pop Estimates (Non-#d)'!$N$2:$O$500,2,FALSE),""))</f>
        <v/>
      </c>
      <c r="U421" s="57">
        <f t="shared" si="85"/>
        <v>4</v>
      </c>
      <c r="V421" s="53" t="str">
        <f t="shared" si="86"/>
        <v/>
      </c>
      <c r="W421" s="53" t="str">
        <f t="shared" si="87"/>
        <v/>
      </c>
      <c r="X421" s="53" t="str">
        <f t="shared" si="88"/>
        <v/>
      </c>
      <c r="Y421" s="57" t="str">
        <f>IF($X421="","",IFERROR(VLOOKUP($X421,'Char Popularity'!$A$2:$C$500,2,FALSE),""))</f>
        <v/>
      </c>
      <c r="Z421" s="56">
        <f>IF($X421="",1,IFERROR(VLOOKUP($X421,'Char Popularity'!$A$2:$C$500,3,FALSE),1))</f>
        <v>1</v>
      </c>
      <c r="AA421" s="62">
        <f>IF($H421&lt;&gt;"Y",0,(IF($F421&lt;&gt;"",ROUND(Dashboard!$R$4/$F421,1),IF(AND($I421="Base",$E421="Base"),Dashboard!$R$5,IF(AND($I421="Base",$E421="Red"),Dashboard!$R$6,IF(AND($I421="Base",$E421="Gold"),Dashboard!$R$7,VLOOKUP($I421,Dashboard!$Q$16:$R$21,2,FALSE)))))*VLOOKUP($I421,Dashboard!$Q$9:$R$13,2,FALSE)*IF(AND($I421="Auto",$F421="",OR($B421="Autographs Duals",$B421="Autographs Triples",$B421="Autographs Quads",$B421="Autographs Quads (Inscribed)")),IF($B421="Autographs Duals",2,IF($B421="Autographs Triples",3,4)),1)))</f>
        <v>0</v>
      </c>
      <c r="AB421" s="62">
        <f t="shared" si="89"/>
        <v>0</v>
      </c>
      <c r="AC421" s="62">
        <f t="shared" si="90"/>
        <v>0</v>
      </c>
    </row>
    <row r="422" spans="1:29" ht="42.95" customHeight="1" x14ac:dyDescent="0.25">
      <c r="A422" s="4" t="s">
        <v>17</v>
      </c>
      <c r="B422" s="7" t="s">
        <v>792</v>
      </c>
      <c r="C422" s="2" t="s">
        <v>1420</v>
      </c>
      <c r="D422" s="7" t="s">
        <v>883</v>
      </c>
      <c r="E422" s="4" t="s">
        <v>829</v>
      </c>
      <c r="F422" s="2">
        <v>4</v>
      </c>
      <c r="G422" s="2" t="s">
        <v>1400</v>
      </c>
      <c r="H422" s="2" t="s">
        <v>1399</v>
      </c>
      <c r="I422" s="4" t="s">
        <v>60</v>
      </c>
      <c r="J422" s="112">
        <f>IF($H422&lt;&gt;"Y",0,ROUND(MIN(Dashboard!$R$24,IF(IFERROR(VLOOKUP($B422,Dashboard!$Q$28:$S$60,2,FALSE),0)&gt;0,IFERROR(VLOOKUP($B422,Dashboard!$Q$28:$S$60,2,FALSE),0),$Z422*IF($U422&lt;&gt;"",ROUND((Dashboard!$R$4/$U422)*VLOOKUP($I422,Dashboard!$Q$9:$R$13,2,FALSE)*IF(ISNUMBER(SEARCH("Duals",$B422)),2,IF(ISNUMBER(SEARCH("Triples",$B422)),3,IF(ISNUMBER(SEARCH("Quads",$B422)),4,1))),2),ROUND(VLOOKUP($I422,Dashboard!$Q$15:$R$20,2,FALSE)*IF($E422="Red",Dashboard!$R$6,IF($E422="Gold",Dashboard!$R$7,Dashboard!$R$5))*IF(ISNUMBER(SEARCH("Duals",$B422)),2,IF(ISNUMBER(SEARCH("Triples",$B422)),3,IF(ISNUMBER(SEARCH("Quads",$B422)),4,1))),2))*IF(IFERROR(VLOOKUP($B422,Dashboard!$Q$28:$S$60,3,FALSE),0)&gt;0,VLOOKUP($B422,Dashboard!$Q$28:$S$60,3,FALSE),1))),0))</f>
        <v>0</v>
      </c>
      <c r="K422" s="2" t="str">
        <f>IF('Base S1'!J22="","",'Base S1'!J22)</f>
        <v/>
      </c>
      <c r="L422" s="2">
        <f t="shared" si="78"/>
        <v>0</v>
      </c>
      <c r="M422" s="2">
        <f t="shared" si="79"/>
        <v>0</v>
      </c>
      <c r="N422" s="2">
        <f t="shared" si="80"/>
        <v>0</v>
      </c>
      <c r="O422" s="2">
        <f t="shared" si="81"/>
        <v>0</v>
      </c>
      <c r="P422" s="112">
        <f t="shared" si="82"/>
        <v>0</v>
      </c>
      <c r="Q422" s="112">
        <f t="shared" si="83"/>
        <v>0</v>
      </c>
      <c r="R422" s="53"/>
      <c r="S422" s="53" t="str">
        <f t="shared" si="84"/>
        <v>Base S1|Printing Plates Parallel - Season 1|21|Printing Plate</v>
      </c>
      <c r="T422" s="57" t="str">
        <f>IF($S422="","",IFERROR(VLOOKUP($S422,'Pop Estimates (Non-#d)'!$N$2:$O$500,2,FALSE),""))</f>
        <v/>
      </c>
      <c r="U422" s="57">
        <f t="shared" si="85"/>
        <v>4</v>
      </c>
      <c r="V422" s="53" t="str">
        <f t="shared" si="86"/>
        <v/>
      </c>
      <c r="W422" s="53" t="str">
        <f t="shared" si="87"/>
        <v/>
      </c>
      <c r="X422" s="53" t="str">
        <f t="shared" si="88"/>
        <v/>
      </c>
      <c r="Y422" s="57" t="str">
        <f>IF($X422="","",IFERROR(VLOOKUP($X422,'Char Popularity'!$A$2:$C$500,2,FALSE),""))</f>
        <v/>
      </c>
      <c r="Z422" s="56">
        <f>IF($X422="",1,IFERROR(VLOOKUP($X422,'Char Popularity'!$A$2:$C$500,3,FALSE),1))</f>
        <v>1</v>
      </c>
      <c r="AA422" s="62">
        <f>IF($H422&lt;&gt;"Y",0,(IF($F422&lt;&gt;"",ROUND(Dashboard!$R$4/$F422,1),IF(AND($I422="Base",$E422="Base"),Dashboard!$R$5,IF(AND($I422="Base",$E422="Red"),Dashboard!$R$6,IF(AND($I422="Base",$E422="Gold"),Dashboard!$R$7,VLOOKUP($I422,Dashboard!$Q$16:$R$21,2,FALSE)))))*VLOOKUP($I422,Dashboard!$Q$9:$R$13,2,FALSE)*IF(AND($I422="Auto",$F422="",OR($B422="Autographs Duals",$B422="Autographs Triples",$B422="Autographs Quads",$B422="Autographs Quads (Inscribed)")),IF($B422="Autographs Duals",2,IF($B422="Autographs Triples",3,4)),1)))</f>
        <v>0</v>
      </c>
      <c r="AB422" s="62">
        <f t="shared" si="89"/>
        <v>0</v>
      </c>
      <c r="AC422" s="62">
        <f t="shared" si="90"/>
        <v>0</v>
      </c>
    </row>
    <row r="423" spans="1:29" ht="42.95" customHeight="1" x14ac:dyDescent="0.25">
      <c r="A423" s="4" t="s">
        <v>17</v>
      </c>
      <c r="B423" s="7" t="s">
        <v>792</v>
      </c>
      <c r="C423" s="2" t="s">
        <v>1421</v>
      </c>
      <c r="D423" s="7" t="s">
        <v>885</v>
      </c>
      <c r="E423" s="4" t="s">
        <v>829</v>
      </c>
      <c r="F423" s="2">
        <v>4</v>
      </c>
      <c r="G423" s="2" t="s">
        <v>1400</v>
      </c>
      <c r="H423" s="2" t="s">
        <v>1399</v>
      </c>
      <c r="I423" s="4" t="s">
        <v>60</v>
      </c>
      <c r="J423" s="112">
        <f>IF($H423&lt;&gt;"Y",0,ROUND(MIN(Dashboard!$R$24,IF(IFERROR(VLOOKUP($B423,Dashboard!$Q$28:$S$60,2,FALSE),0)&gt;0,IFERROR(VLOOKUP($B423,Dashboard!$Q$28:$S$60,2,FALSE),0),$Z423*IF($U423&lt;&gt;"",ROUND((Dashboard!$R$4/$U423)*VLOOKUP($I423,Dashboard!$Q$9:$R$13,2,FALSE)*IF(ISNUMBER(SEARCH("Duals",$B423)),2,IF(ISNUMBER(SEARCH("Triples",$B423)),3,IF(ISNUMBER(SEARCH("Quads",$B423)),4,1))),2),ROUND(VLOOKUP($I423,Dashboard!$Q$15:$R$20,2,FALSE)*IF($E423="Red",Dashboard!$R$6,IF($E423="Gold",Dashboard!$R$7,Dashboard!$R$5))*IF(ISNUMBER(SEARCH("Duals",$B423)),2,IF(ISNUMBER(SEARCH("Triples",$B423)),3,IF(ISNUMBER(SEARCH("Quads",$B423)),4,1))),2))*IF(IFERROR(VLOOKUP($B423,Dashboard!$Q$28:$S$60,3,FALSE),0)&gt;0,VLOOKUP($B423,Dashboard!$Q$28:$S$60,3,FALSE),1))),0))</f>
        <v>0</v>
      </c>
      <c r="K423" s="2" t="str">
        <f>IF('Base S1'!J23="","",'Base S1'!J23)</f>
        <v/>
      </c>
      <c r="L423" s="2">
        <f t="shared" si="78"/>
        <v>0</v>
      </c>
      <c r="M423" s="2">
        <f t="shared" si="79"/>
        <v>0</v>
      </c>
      <c r="N423" s="2">
        <f t="shared" si="80"/>
        <v>0</v>
      </c>
      <c r="O423" s="2">
        <f t="shared" si="81"/>
        <v>0</v>
      </c>
      <c r="P423" s="112">
        <f t="shared" si="82"/>
        <v>0</v>
      </c>
      <c r="Q423" s="112">
        <f t="shared" si="83"/>
        <v>0</v>
      </c>
      <c r="R423" s="53"/>
      <c r="S423" s="53" t="str">
        <f t="shared" si="84"/>
        <v>Base S1|Printing Plates Parallel - Season 1|22|Printing Plate</v>
      </c>
      <c r="T423" s="57" t="str">
        <f>IF($S423="","",IFERROR(VLOOKUP($S423,'Pop Estimates (Non-#d)'!$N$2:$O$500,2,FALSE),""))</f>
        <v/>
      </c>
      <c r="U423" s="57">
        <f t="shared" si="85"/>
        <v>4</v>
      </c>
      <c r="V423" s="53" t="str">
        <f t="shared" si="86"/>
        <v/>
      </c>
      <c r="W423" s="53" t="str">
        <f t="shared" si="87"/>
        <v/>
      </c>
      <c r="X423" s="53" t="str">
        <f t="shared" si="88"/>
        <v/>
      </c>
      <c r="Y423" s="57" t="str">
        <f>IF($X423="","",IFERROR(VLOOKUP($X423,'Char Popularity'!$A$2:$C$500,2,FALSE),""))</f>
        <v/>
      </c>
      <c r="Z423" s="56">
        <f>IF($X423="",1,IFERROR(VLOOKUP($X423,'Char Popularity'!$A$2:$C$500,3,FALSE),1))</f>
        <v>1</v>
      </c>
      <c r="AA423" s="62">
        <f>IF($H423&lt;&gt;"Y",0,(IF($F423&lt;&gt;"",ROUND(Dashboard!$R$4/$F423,1),IF(AND($I423="Base",$E423="Base"),Dashboard!$R$5,IF(AND($I423="Base",$E423="Red"),Dashboard!$R$6,IF(AND($I423="Base",$E423="Gold"),Dashboard!$R$7,VLOOKUP($I423,Dashboard!$Q$16:$R$21,2,FALSE)))))*VLOOKUP($I423,Dashboard!$Q$9:$R$13,2,FALSE)*IF(AND($I423="Auto",$F423="",OR($B423="Autographs Duals",$B423="Autographs Triples",$B423="Autographs Quads",$B423="Autographs Quads (Inscribed)")),IF($B423="Autographs Duals",2,IF($B423="Autographs Triples",3,4)),1)))</f>
        <v>0</v>
      </c>
      <c r="AB423" s="62">
        <f t="shared" si="89"/>
        <v>0</v>
      </c>
      <c r="AC423" s="62">
        <f t="shared" si="90"/>
        <v>0</v>
      </c>
    </row>
    <row r="424" spans="1:29" ht="42.95" customHeight="1" x14ac:dyDescent="0.25">
      <c r="A424" s="4" t="s">
        <v>17</v>
      </c>
      <c r="B424" s="7" t="s">
        <v>792</v>
      </c>
      <c r="C424" s="2" t="s">
        <v>1422</v>
      </c>
      <c r="D424" s="7" t="s">
        <v>888</v>
      </c>
      <c r="E424" s="4" t="s">
        <v>829</v>
      </c>
      <c r="F424" s="2">
        <v>4</v>
      </c>
      <c r="G424" s="2" t="s">
        <v>1400</v>
      </c>
      <c r="H424" s="2" t="s">
        <v>1399</v>
      </c>
      <c r="I424" s="4" t="s">
        <v>60</v>
      </c>
      <c r="J424" s="112">
        <f>IF($H424&lt;&gt;"Y",0,ROUND(MIN(Dashboard!$R$24,IF(IFERROR(VLOOKUP($B424,Dashboard!$Q$28:$S$60,2,FALSE),0)&gt;0,IFERROR(VLOOKUP($B424,Dashboard!$Q$28:$S$60,2,FALSE),0),$Z424*IF($U424&lt;&gt;"",ROUND((Dashboard!$R$4/$U424)*VLOOKUP($I424,Dashboard!$Q$9:$R$13,2,FALSE)*IF(ISNUMBER(SEARCH("Duals",$B424)),2,IF(ISNUMBER(SEARCH("Triples",$B424)),3,IF(ISNUMBER(SEARCH("Quads",$B424)),4,1))),2),ROUND(VLOOKUP($I424,Dashboard!$Q$15:$R$20,2,FALSE)*IF($E424="Red",Dashboard!$R$6,IF($E424="Gold",Dashboard!$R$7,Dashboard!$R$5))*IF(ISNUMBER(SEARCH("Duals",$B424)),2,IF(ISNUMBER(SEARCH("Triples",$B424)),3,IF(ISNUMBER(SEARCH("Quads",$B424)),4,1))),2))*IF(IFERROR(VLOOKUP($B424,Dashboard!$Q$28:$S$60,3,FALSE),0)&gt;0,VLOOKUP($B424,Dashboard!$Q$28:$S$60,3,FALSE),1))),0))</f>
        <v>0</v>
      </c>
      <c r="K424" s="2" t="str">
        <f>IF('Base S1'!J24="","",'Base S1'!J24)</f>
        <v/>
      </c>
      <c r="L424" s="2">
        <f t="shared" si="78"/>
        <v>0</v>
      </c>
      <c r="M424" s="2">
        <f t="shared" si="79"/>
        <v>0</v>
      </c>
      <c r="N424" s="2">
        <f t="shared" si="80"/>
        <v>0</v>
      </c>
      <c r="O424" s="2">
        <f t="shared" si="81"/>
        <v>0</v>
      </c>
      <c r="P424" s="112">
        <f t="shared" si="82"/>
        <v>0</v>
      </c>
      <c r="Q424" s="112">
        <f t="shared" si="83"/>
        <v>0</v>
      </c>
      <c r="R424" s="53"/>
      <c r="S424" s="53" t="str">
        <f t="shared" si="84"/>
        <v>Base S1|Printing Plates Parallel - Season 1|23|Printing Plate</v>
      </c>
      <c r="T424" s="57" t="str">
        <f>IF($S424="","",IFERROR(VLOOKUP($S424,'Pop Estimates (Non-#d)'!$N$2:$O$500,2,FALSE),""))</f>
        <v/>
      </c>
      <c r="U424" s="57">
        <f t="shared" si="85"/>
        <v>4</v>
      </c>
      <c r="V424" s="53" t="str">
        <f t="shared" si="86"/>
        <v/>
      </c>
      <c r="W424" s="53" t="str">
        <f t="shared" si="87"/>
        <v/>
      </c>
      <c r="X424" s="53" t="str">
        <f t="shared" si="88"/>
        <v/>
      </c>
      <c r="Y424" s="57" t="str">
        <f>IF($X424="","",IFERROR(VLOOKUP($X424,'Char Popularity'!$A$2:$C$500,2,FALSE),""))</f>
        <v/>
      </c>
      <c r="Z424" s="56">
        <f>IF($X424="",1,IFERROR(VLOOKUP($X424,'Char Popularity'!$A$2:$C$500,3,FALSE),1))</f>
        <v>1</v>
      </c>
      <c r="AA424" s="62">
        <f>IF($H424&lt;&gt;"Y",0,(IF($F424&lt;&gt;"",ROUND(Dashboard!$R$4/$F424,1),IF(AND($I424="Base",$E424="Base"),Dashboard!$R$5,IF(AND($I424="Base",$E424="Red"),Dashboard!$R$6,IF(AND($I424="Base",$E424="Gold"),Dashboard!$R$7,VLOOKUP($I424,Dashboard!$Q$16:$R$21,2,FALSE)))))*VLOOKUP($I424,Dashboard!$Q$9:$R$13,2,FALSE)*IF(AND($I424="Auto",$F424="",OR($B424="Autographs Duals",$B424="Autographs Triples",$B424="Autographs Quads",$B424="Autographs Quads (Inscribed)")),IF($B424="Autographs Duals",2,IF($B424="Autographs Triples",3,4)),1)))</f>
        <v>0</v>
      </c>
      <c r="AB424" s="62">
        <f t="shared" si="89"/>
        <v>0</v>
      </c>
      <c r="AC424" s="62">
        <f t="shared" si="90"/>
        <v>0</v>
      </c>
    </row>
    <row r="425" spans="1:29" ht="42.95" customHeight="1" x14ac:dyDescent="0.25">
      <c r="A425" s="4" t="s">
        <v>17</v>
      </c>
      <c r="B425" s="7" t="s">
        <v>792</v>
      </c>
      <c r="C425" s="2" t="s">
        <v>1423</v>
      </c>
      <c r="D425" s="7" t="s">
        <v>890</v>
      </c>
      <c r="E425" s="4" t="s">
        <v>829</v>
      </c>
      <c r="F425" s="2">
        <v>4</v>
      </c>
      <c r="G425" s="2" t="s">
        <v>1400</v>
      </c>
      <c r="H425" s="2" t="s">
        <v>1399</v>
      </c>
      <c r="I425" s="4" t="s">
        <v>60</v>
      </c>
      <c r="J425" s="112">
        <f>IF($H425&lt;&gt;"Y",0,ROUND(MIN(Dashboard!$R$24,IF(IFERROR(VLOOKUP($B425,Dashboard!$Q$28:$S$60,2,FALSE),0)&gt;0,IFERROR(VLOOKUP($B425,Dashboard!$Q$28:$S$60,2,FALSE),0),$Z425*IF($U425&lt;&gt;"",ROUND((Dashboard!$R$4/$U425)*VLOOKUP($I425,Dashboard!$Q$9:$R$13,2,FALSE)*IF(ISNUMBER(SEARCH("Duals",$B425)),2,IF(ISNUMBER(SEARCH("Triples",$B425)),3,IF(ISNUMBER(SEARCH("Quads",$B425)),4,1))),2),ROUND(VLOOKUP($I425,Dashboard!$Q$15:$R$20,2,FALSE)*IF($E425="Red",Dashboard!$R$6,IF($E425="Gold",Dashboard!$R$7,Dashboard!$R$5))*IF(ISNUMBER(SEARCH("Duals",$B425)),2,IF(ISNUMBER(SEARCH("Triples",$B425)),3,IF(ISNUMBER(SEARCH("Quads",$B425)),4,1))),2))*IF(IFERROR(VLOOKUP($B425,Dashboard!$Q$28:$S$60,3,FALSE),0)&gt;0,VLOOKUP($B425,Dashboard!$Q$28:$S$60,3,FALSE),1))),0))</f>
        <v>0</v>
      </c>
      <c r="K425" s="2" t="str">
        <f>IF('Base S1'!J25="","",'Base S1'!J25)</f>
        <v/>
      </c>
      <c r="L425" s="2">
        <f t="shared" si="78"/>
        <v>0</v>
      </c>
      <c r="M425" s="2">
        <f t="shared" si="79"/>
        <v>0</v>
      </c>
      <c r="N425" s="2">
        <f t="shared" si="80"/>
        <v>0</v>
      </c>
      <c r="O425" s="2">
        <f t="shared" si="81"/>
        <v>0</v>
      </c>
      <c r="P425" s="112">
        <f t="shared" si="82"/>
        <v>0</v>
      </c>
      <c r="Q425" s="112">
        <f t="shared" si="83"/>
        <v>0</v>
      </c>
      <c r="R425" s="53"/>
      <c r="S425" s="53" t="str">
        <f t="shared" si="84"/>
        <v>Base S1|Printing Plates Parallel - Season 1|24|Printing Plate</v>
      </c>
      <c r="T425" s="57" t="str">
        <f>IF($S425="","",IFERROR(VLOOKUP($S425,'Pop Estimates (Non-#d)'!$N$2:$O$500,2,FALSE),""))</f>
        <v/>
      </c>
      <c r="U425" s="57">
        <f t="shared" si="85"/>
        <v>4</v>
      </c>
      <c r="V425" s="53" t="str">
        <f t="shared" si="86"/>
        <v/>
      </c>
      <c r="W425" s="53" t="str">
        <f t="shared" si="87"/>
        <v/>
      </c>
      <c r="X425" s="53" t="str">
        <f t="shared" si="88"/>
        <v/>
      </c>
      <c r="Y425" s="57" t="str">
        <f>IF($X425="","",IFERROR(VLOOKUP($X425,'Char Popularity'!$A$2:$C$500,2,FALSE),""))</f>
        <v/>
      </c>
      <c r="Z425" s="56">
        <f>IF($X425="",1,IFERROR(VLOOKUP($X425,'Char Popularity'!$A$2:$C$500,3,FALSE),1))</f>
        <v>1</v>
      </c>
      <c r="AA425" s="62">
        <f>IF($H425&lt;&gt;"Y",0,(IF($F425&lt;&gt;"",ROUND(Dashboard!$R$4/$F425,1),IF(AND($I425="Base",$E425="Base"),Dashboard!$R$5,IF(AND($I425="Base",$E425="Red"),Dashboard!$R$6,IF(AND($I425="Base",$E425="Gold"),Dashboard!$R$7,VLOOKUP($I425,Dashboard!$Q$16:$R$21,2,FALSE)))))*VLOOKUP($I425,Dashboard!$Q$9:$R$13,2,FALSE)*IF(AND($I425="Auto",$F425="",OR($B425="Autographs Duals",$B425="Autographs Triples",$B425="Autographs Quads",$B425="Autographs Quads (Inscribed)")),IF($B425="Autographs Duals",2,IF($B425="Autographs Triples",3,4)),1)))</f>
        <v>0</v>
      </c>
      <c r="AB425" s="62">
        <f t="shared" si="89"/>
        <v>0</v>
      </c>
      <c r="AC425" s="62">
        <f t="shared" si="90"/>
        <v>0</v>
      </c>
    </row>
    <row r="426" spans="1:29" ht="42.95" customHeight="1" x14ac:dyDescent="0.25">
      <c r="A426" s="4" t="s">
        <v>17</v>
      </c>
      <c r="B426" s="7" t="s">
        <v>792</v>
      </c>
      <c r="C426" s="2" t="s">
        <v>1424</v>
      </c>
      <c r="D426" s="7" t="s">
        <v>892</v>
      </c>
      <c r="E426" s="4" t="s">
        <v>829</v>
      </c>
      <c r="F426" s="2">
        <v>4</v>
      </c>
      <c r="G426" s="2" t="s">
        <v>1400</v>
      </c>
      <c r="H426" s="2" t="s">
        <v>1399</v>
      </c>
      <c r="I426" s="4" t="s">
        <v>60</v>
      </c>
      <c r="J426" s="112">
        <f>IF($H426&lt;&gt;"Y",0,ROUND(MIN(Dashboard!$R$24,IF(IFERROR(VLOOKUP($B426,Dashboard!$Q$28:$S$60,2,FALSE),0)&gt;0,IFERROR(VLOOKUP($B426,Dashboard!$Q$28:$S$60,2,FALSE),0),$Z426*IF($U426&lt;&gt;"",ROUND((Dashboard!$R$4/$U426)*VLOOKUP($I426,Dashboard!$Q$9:$R$13,2,FALSE)*IF(ISNUMBER(SEARCH("Duals",$B426)),2,IF(ISNUMBER(SEARCH("Triples",$B426)),3,IF(ISNUMBER(SEARCH("Quads",$B426)),4,1))),2),ROUND(VLOOKUP($I426,Dashboard!$Q$15:$R$20,2,FALSE)*IF($E426="Red",Dashboard!$R$6,IF($E426="Gold",Dashboard!$R$7,Dashboard!$R$5))*IF(ISNUMBER(SEARCH("Duals",$B426)),2,IF(ISNUMBER(SEARCH("Triples",$B426)),3,IF(ISNUMBER(SEARCH("Quads",$B426)),4,1))),2))*IF(IFERROR(VLOOKUP($B426,Dashboard!$Q$28:$S$60,3,FALSE),0)&gt;0,VLOOKUP($B426,Dashboard!$Q$28:$S$60,3,FALSE),1))),0))</f>
        <v>0</v>
      </c>
      <c r="K426" s="2" t="str">
        <f>IF('Base S1'!J26="","",'Base S1'!J26)</f>
        <v>d Magenta</v>
      </c>
      <c r="L426" s="2">
        <f t="shared" si="78"/>
        <v>1</v>
      </c>
      <c r="M426" s="2">
        <f t="shared" si="79"/>
        <v>0</v>
      </c>
      <c r="N426" s="2">
        <f t="shared" si="80"/>
        <v>1</v>
      </c>
      <c r="O426" s="2">
        <f t="shared" si="81"/>
        <v>0</v>
      </c>
      <c r="P426" s="112">
        <f t="shared" si="82"/>
        <v>0</v>
      </c>
      <c r="Q426" s="112">
        <f t="shared" si="83"/>
        <v>0</v>
      </c>
      <c r="R426" s="53"/>
      <c r="S426" s="53" t="str">
        <f t="shared" si="84"/>
        <v>Base S1|Printing Plates Parallel - Season 1|25|Printing Plate</v>
      </c>
      <c r="T426" s="57" t="str">
        <f>IF($S426="","",IFERROR(VLOOKUP($S426,'Pop Estimates (Non-#d)'!$N$2:$O$500,2,FALSE),""))</f>
        <v/>
      </c>
      <c r="U426" s="57">
        <f t="shared" si="85"/>
        <v>4</v>
      </c>
      <c r="V426" s="53" t="str">
        <f t="shared" si="86"/>
        <v/>
      </c>
      <c r="W426" s="53" t="str">
        <f t="shared" si="87"/>
        <v/>
      </c>
      <c r="X426" s="53" t="str">
        <f t="shared" si="88"/>
        <v/>
      </c>
      <c r="Y426" s="57" t="str">
        <f>IF($X426="","",IFERROR(VLOOKUP($X426,'Char Popularity'!$A$2:$C$500,2,FALSE),""))</f>
        <v/>
      </c>
      <c r="Z426" s="56">
        <f>IF($X426="",1,IFERROR(VLOOKUP($X426,'Char Popularity'!$A$2:$C$500,3,FALSE),1))</f>
        <v>1</v>
      </c>
      <c r="AA426" s="62">
        <f>IF($H426&lt;&gt;"Y",0,(IF($F426&lt;&gt;"",ROUND(Dashboard!$R$4/$F426,1),IF(AND($I426="Base",$E426="Base"),Dashboard!$R$5,IF(AND($I426="Base",$E426="Red"),Dashboard!$R$6,IF(AND($I426="Base",$E426="Gold"),Dashboard!$R$7,VLOOKUP($I426,Dashboard!$Q$16:$R$21,2,FALSE)))))*VLOOKUP($I426,Dashboard!$Q$9:$R$13,2,FALSE)*IF(AND($I426="Auto",$F426="",OR($B426="Autographs Duals",$B426="Autographs Triples",$B426="Autographs Quads",$B426="Autographs Quads (Inscribed)")),IF($B426="Autographs Duals",2,IF($B426="Autographs Triples",3,4)),1)))</f>
        <v>0</v>
      </c>
      <c r="AB426" s="62">
        <f t="shared" si="89"/>
        <v>0</v>
      </c>
      <c r="AC426" s="62">
        <f t="shared" si="90"/>
        <v>0</v>
      </c>
    </row>
    <row r="427" spans="1:29" ht="42.95" customHeight="1" x14ac:dyDescent="0.25">
      <c r="A427" s="4" t="s">
        <v>17</v>
      </c>
      <c r="B427" s="7" t="s">
        <v>792</v>
      </c>
      <c r="C427" s="2" t="s">
        <v>1425</v>
      </c>
      <c r="D427" s="7" t="s">
        <v>895</v>
      </c>
      <c r="E427" s="4" t="s">
        <v>829</v>
      </c>
      <c r="F427" s="2">
        <v>4</v>
      </c>
      <c r="G427" s="2" t="s">
        <v>1400</v>
      </c>
      <c r="H427" s="2" t="s">
        <v>1399</v>
      </c>
      <c r="I427" s="4" t="s">
        <v>60</v>
      </c>
      <c r="J427" s="112">
        <f>IF($H427&lt;&gt;"Y",0,ROUND(MIN(Dashboard!$R$24,IF(IFERROR(VLOOKUP($B427,Dashboard!$Q$28:$S$60,2,FALSE),0)&gt;0,IFERROR(VLOOKUP($B427,Dashboard!$Q$28:$S$60,2,FALSE),0),$Z427*IF($U427&lt;&gt;"",ROUND((Dashboard!$R$4/$U427)*VLOOKUP($I427,Dashboard!$Q$9:$R$13,2,FALSE)*IF(ISNUMBER(SEARCH("Duals",$B427)),2,IF(ISNUMBER(SEARCH("Triples",$B427)),3,IF(ISNUMBER(SEARCH("Quads",$B427)),4,1))),2),ROUND(VLOOKUP($I427,Dashboard!$Q$15:$R$20,2,FALSE)*IF($E427="Red",Dashboard!$R$6,IF($E427="Gold",Dashboard!$R$7,Dashboard!$R$5))*IF(ISNUMBER(SEARCH("Duals",$B427)),2,IF(ISNUMBER(SEARCH("Triples",$B427)),3,IF(ISNUMBER(SEARCH("Quads",$B427)),4,1))),2))*IF(IFERROR(VLOOKUP($B427,Dashboard!$Q$28:$S$60,3,FALSE),0)&gt;0,VLOOKUP($B427,Dashboard!$Q$28:$S$60,3,FALSE),1))),0))</f>
        <v>0</v>
      </c>
      <c r="K427" s="2" t="str">
        <f>IF('Base S1'!J27="","",'Base S1'!J27)</f>
        <v/>
      </c>
      <c r="L427" s="2">
        <f t="shared" si="78"/>
        <v>0</v>
      </c>
      <c r="M427" s="2">
        <f t="shared" si="79"/>
        <v>0</v>
      </c>
      <c r="N427" s="2">
        <f t="shared" si="80"/>
        <v>0</v>
      </c>
      <c r="O427" s="2">
        <f t="shared" si="81"/>
        <v>0</v>
      </c>
      <c r="P427" s="112">
        <f t="shared" si="82"/>
        <v>0</v>
      </c>
      <c r="Q427" s="112">
        <f t="shared" si="83"/>
        <v>0</v>
      </c>
      <c r="R427" s="53"/>
      <c r="S427" s="53" t="str">
        <f t="shared" si="84"/>
        <v>Base S1|Printing Plates Parallel - Season 1|26|Printing Plate</v>
      </c>
      <c r="T427" s="57" t="str">
        <f>IF($S427="","",IFERROR(VLOOKUP($S427,'Pop Estimates (Non-#d)'!$N$2:$O$500,2,FALSE),""))</f>
        <v/>
      </c>
      <c r="U427" s="57">
        <f t="shared" si="85"/>
        <v>4</v>
      </c>
      <c r="V427" s="53" t="str">
        <f t="shared" si="86"/>
        <v/>
      </c>
      <c r="W427" s="53" t="str">
        <f t="shared" si="87"/>
        <v/>
      </c>
      <c r="X427" s="53" t="str">
        <f t="shared" si="88"/>
        <v/>
      </c>
      <c r="Y427" s="57" t="str">
        <f>IF($X427="","",IFERROR(VLOOKUP($X427,'Char Popularity'!$A$2:$C$500,2,FALSE),""))</f>
        <v/>
      </c>
      <c r="Z427" s="56">
        <f>IF($X427="",1,IFERROR(VLOOKUP($X427,'Char Popularity'!$A$2:$C$500,3,FALSE),1))</f>
        <v>1</v>
      </c>
      <c r="AA427" s="62">
        <f>IF($H427&lt;&gt;"Y",0,(IF($F427&lt;&gt;"",ROUND(Dashboard!$R$4/$F427,1),IF(AND($I427="Base",$E427="Base"),Dashboard!$R$5,IF(AND($I427="Base",$E427="Red"),Dashboard!$R$6,IF(AND($I427="Base",$E427="Gold"),Dashboard!$R$7,VLOOKUP($I427,Dashboard!$Q$16:$R$21,2,FALSE)))))*VLOOKUP($I427,Dashboard!$Q$9:$R$13,2,FALSE)*IF(AND($I427="Auto",$F427="",OR($B427="Autographs Duals",$B427="Autographs Triples",$B427="Autographs Quads",$B427="Autographs Quads (Inscribed)")),IF($B427="Autographs Duals",2,IF($B427="Autographs Triples",3,4)),1)))</f>
        <v>0</v>
      </c>
      <c r="AB427" s="62">
        <f t="shared" si="89"/>
        <v>0</v>
      </c>
      <c r="AC427" s="62">
        <f t="shared" si="90"/>
        <v>0</v>
      </c>
    </row>
    <row r="428" spans="1:29" ht="42.95" customHeight="1" x14ac:dyDescent="0.25">
      <c r="A428" s="4" t="s">
        <v>17</v>
      </c>
      <c r="B428" s="7" t="s">
        <v>792</v>
      </c>
      <c r="C428" s="2" t="s">
        <v>1426</v>
      </c>
      <c r="D428" s="7" t="s">
        <v>897</v>
      </c>
      <c r="E428" s="4" t="s">
        <v>829</v>
      </c>
      <c r="F428" s="2">
        <v>4</v>
      </c>
      <c r="G428" s="2" t="s">
        <v>1400</v>
      </c>
      <c r="H428" s="2" t="s">
        <v>1399</v>
      </c>
      <c r="I428" s="4" t="s">
        <v>60</v>
      </c>
      <c r="J428" s="112">
        <f>IF($H428&lt;&gt;"Y",0,ROUND(MIN(Dashboard!$R$24,IF(IFERROR(VLOOKUP($B428,Dashboard!$Q$28:$S$60,2,FALSE),0)&gt;0,IFERROR(VLOOKUP($B428,Dashboard!$Q$28:$S$60,2,FALSE),0),$Z428*IF($U428&lt;&gt;"",ROUND((Dashboard!$R$4/$U428)*VLOOKUP($I428,Dashboard!$Q$9:$R$13,2,FALSE)*IF(ISNUMBER(SEARCH("Duals",$B428)),2,IF(ISNUMBER(SEARCH("Triples",$B428)),3,IF(ISNUMBER(SEARCH("Quads",$B428)),4,1))),2),ROUND(VLOOKUP($I428,Dashboard!$Q$15:$R$20,2,FALSE)*IF($E428="Red",Dashboard!$R$6,IF($E428="Gold",Dashboard!$R$7,Dashboard!$R$5))*IF(ISNUMBER(SEARCH("Duals",$B428)),2,IF(ISNUMBER(SEARCH("Triples",$B428)),3,IF(ISNUMBER(SEARCH("Quads",$B428)),4,1))),2))*IF(IFERROR(VLOOKUP($B428,Dashboard!$Q$28:$S$60,3,FALSE),0)&gt;0,VLOOKUP($B428,Dashboard!$Q$28:$S$60,3,FALSE),1))),0))</f>
        <v>0</v>
      </c>
      <c r="K428" s="2" t="str">
        <f>IF('Base S1'!J28="","",'Base S1'!J28)</f>
        <v/>
      </c>
      <c r="L428" s="2">
        <f t="shared" si="78"/>
        <v>0</v>
      </c>
      <c r="M428" s="2">
        <f t="shared" si="79"/>
        <v>0</v>
      </c>
      <c r="N428" s="2">
        <f t="shared" si="80"/>
        <v>0</v>
      </c>
      <c r="O428" s="2">
        <f t="shared" si="81"/>
        <v>0</v>
      </c>
      <c r="P428" s="112">
        <f t="shared" si="82"/>
        <v>0</v>
      </c>
      <c r="Q428" s="112">
        <f t="shared" si="83"/>
        <v>0</v>
      </c>
      <c r="R428" s="53"/>
      <c r="S428" s="53" t="str">
        <f t="shared" si="84"/>
        <v>Base S1|Printing Plates Parallel - Season 1|27|Printing Plate</v>
      </c>
      <c r="T428" s="57" t="str">
        <f>IF($S428="","",IFERROR(VLOOKUP($S428,'Pop Estimates (Non-#d)'!$N$2:$O$500,2,FALSE),""))</f>
        <v/>
      </c>
      <c r="U428" s="57">
        <f t="shared" si="85"/>
        <v>4</v>
      </c>
      <c r="V428" s="53" t="str">
        <f t="shared" si="86"/>
        <v/>
      </c>
      <c r="W428" s="53" t="str">
        <f t="shared" si="87"/>
        <v/>
      </c>
      <c r="X428" s="53" t="str">
        <f t="shared" si="88"/>
        <v/>
      </c>
      <c r="Y428" s="57" t="str">
        <f>IF($X428="","",IFERROR(VLOOKUP($X428,'Char Popularity'!$A$2:$C$500,2,FALSE),""))</f>
        <v/>
      </c>
      <c r="Z428" s="56">
        <f>IF($X428="",1,IFERROR(VLOOKUP($X428,'Char Popularity'!$A$2:$C$500,3,FALSE),1))</f>
        <v>1</v>
      </c>
      <c r="AA428" s="62">
        <f>IF($H428&lt;&gt;"Y",0,(IF($F428&lt;&gt;"",ROUND(Dashboard!$R$4/$F428,1),IF(AND($I428="Base",$E428="Base"),Dashboard!$R$5,IF(AND($I428="Base",$E428="Red"),Dashboard!$R$6,IF(AND($I428="Base",$E428="Gold"),Dashboard!$R$7,VLOOKUP($I428,Dashboard!$Q$16:$R$21,2,FALSE)))))*VLOOKUP($I428,Dashboard!$Q$9:$R$13,2,FALSE)*IF(AND($I428="Auto",$F428="",OR($B428="Autographs Duals",$B428="Autographs Triples",$B428="Autographs Quads",$B428="Autographs Quads (Inscribed)")),IF($B428="Autographs Duals",2,IF($B428="Autographs Triples",3,4)),1)))</f>
        <v>0</v>
      </c>
      <c r="AB428" s="62">
        <f t="shared" si="89"/>
        <v>0</v>
      </c>
      <c r="AC428" s="62">
        <f t="shared" si="90"/>
        <v>0</v>
      </c>
    </row>
    <row r="429" spans="1:29" ht="42.95" customHeight="1" x14ac:dyDescent="0.25">
      <c r="A429" s="4" t="s">
        <v>17</v>
      </c>
      <c r="B429" s="7" t="s">
        <v>792</v>
      </c>
      <c r="C429" s="2" t="s">
        <v>1427</v>
      </c>
      <c r="D429" s="7" t="s">
        <v>900</v>
      </c>
      <c r="E429" s="4" t="s">
        <v>829</v>
      </c>
      <c r="F429" s="2">
        <v>4</v>
      </c>
      <c r="G429" s="2" t="s">
        <v>1400</v>
      </c>
      <c r="H429" s="2" t="s">
        <v>1399</v>
      </c>
      <c r="I429" s="4" t="s">
        <v>60</v>
      </c>
      <c r="J429" s="112">
        <f>IF($H429&lt;&gt;"Y",0,ROUND(MIN(Dashboard!$R$24,IF(IFERROR(VLOOKUP($B429,Dashboard!$Q$28:$S$60,2,FALSE),0)&gt;0,IFERROR(VLOOKUP($B429,Dashboard!$Q$28:$S$60,2,FALSE),0),$Z429*IF($U429&lt;&gt;"",ROUND((Dashboard!$R$4/$U429)*VLOOKUP($I429,Dashboard!$Q$9:$R$13,2,FALSE)*IF(ISNUMBER(SEARCH("Duals",$B429)),2,IF(ISNUMBER(SEARCH("Triples",$B429)),3,IF(ISNUMBER(SEARCH("Quads",$B429)),4,1))),2),ROUND(VLOOKUP($I429,Dashboard!$Q$15:$R$20,2,FALSE)*IF($E429="Red",Dashboard!$R$6,IF($E429="Gold",Dashboard!$R$7,Dashboard!$R$5))*IF(ISNUMBER(SEARCH("Duals",$B429)),2,IF(ISNUMBER(SEARCH("Triples",$B429)),3,IF(ISNUMBER(SEARCH("Quads",$B429)),4,1))),2))*IF(IFERROR(VLOOKUP($B429,Dashboard!$Q$28:$S$60,3,FALSE),0)&gt;0,VLOOKUP($B429,Dashboard!$Q$28:$S$60,3,FALSE),1))),0))</f>
        <v>0</v>
      </c>
      <c r="K429" s="2" t="str">
        <f>IF('Base S1'!J29="","",'Base S1'!J29)</f>
        <v/>
      </c>
      <c r="L429" s="2">
        <f t="shared" si="78"/>
        <v>0</v>
      </c>
      <c r="M429" s="2">
        <f t="shared" si="79"/>
        <v>0</v>
      </c>
      <c r="N429" s="2">
        <f t="shared" si="80"/>
        <v>0</v>
      </c>
      <c r="O429" s="2">
        <f t="shared" si="81"/>
        <v>0</v>
      </c>
      <c r="P429" s="112">
        <f t="shared" si="82"/>
        <v>0</v>
      </c>
      <c r="Q429" s="112">
        <f t="shared" si="83"/>
        <v>0</v>
      </c>
      <c r="R429" s="53"/>
      <c r="S429" s="53" t="str">
        <f t="shared" si="84"/>
        <v>Base S1|Printing Plates Parallel - Season 1|28|Printing Plate</v>
      </c>
      <c r="T429" s="57" t="str">
        <f>IF($S429="","",IFERROR(VLOOKUP($S429,'Pop Estimates (Non-#d)'!$N$2:$O$500,2,FALSE),""))</f>
        <v/>
      </c>
      <c r="U429" s="57">
        <f t="shared" si="85"/>
        <v>4</v>
      </c>
      <c r="V429" s="53" t="str">
        <f t="shared" si="86"/>
        <v/>
      </c>
      <c r="W429" s="53" t="str">
        <f t="shared" si="87"/>
        <v/>
      </c>
      <c r="X429" s="53" t="str">
        <f t="shared" si="88"/>
        <v/>
      </c>
      <c r="Y429" s="57" t="str">
        <f>IF($X429="","",IFERROR(VLOOKUP($X429,'Char Popularity'!$A$2:$C$500,2,FALSE),""))</f>
        <v/>
      </c>
      <c r="Z429" s="56">
        <f>IF($X429="",1,IFERROR(VLOOKUP($X429,'Char Popularity'!$A$2:$C$500,3,FALSE),1))</f>
        <v>1</v>
      </c>
      <c r="AA429" s="62">
        <f>IF($H429&lt;&gt;"Y",0,(IF($F429&lt;&gt;"",ROUND(Dashboard!$R$4/$F429,1),IF(AND($I429="Base",$E429="Base"),Dashboard!$R$5,IF(AND($I429="Base",$E429="Red"),Dashboard!$R$6,IF(AND($I429="Base",$E429="Gold"),Dashboard!$R$7,VLOOKUP($I429,Dashboard!$Q$16:$R$21,2,FALSE)))))*VLOOKUP($I429,Dashboard!$Q$9:$R$13,2,FALSE)*IF(AND($I429="Auto",$F429="",OR($B429="Autographs Duals",$B429="Autographs Triples",$B429="Autographs Quads",$B429="Autographs Quads (Inscribed)")),IF($B429="Autographs Duals",2,IF($B429="Autographs Triples",3,4)),1)))</f>
        <v>0</v>
      </c>
      <c r="AB429" s="62">
        <f t="shared" si="89"/>
        <v>0</v>
      </c>
      <c r="AC429" s="62">
        <f t="shared" si="90"/>
        <v>0</v>
      </c>
    </row>
    <row r="430" spans="1:29" ht="42.95" customHeight="1" x14ac:dyDescent="0.25">
      <c r="A430" s="4" t="s">
        <v>17</v>
      </c>
      <c r="B430" s="7" t="s">
        <v>792</v>
      </c>
      <c r="C430" s="2" t="s">
        <v>1428</v>
      </c>
      <c r="D430" s="7" t="s">
        <v>902</v>
      </c>
      <c r="E430" s="4" t="s">
        <v>829</v>
      </c>
      <c r="F430" s="2">
        <v>4</v>
      </c>
      <c r="G430" s="2" t="s">
        <v>1400</v>
      </c>
      <c r="H430" s="2" t="s">
        <v>1399</v>
      </c>
      <c r="I430" s="4" t="s">
        <v>60</v>
      </c>
      <c r="J430" s="112">
        <f>IF($H430&lt;&gt;"Y",0,ROUND(MIN(Dashboard!$R$24,IF(IFERROR(VLOOKUP($B430,Dashboard!$Q$28:$S$60,2,FALSE),0)&gt;0,IFERROR(VLOOKUP($B430,Dashboard!$Q$28:$S$60,2,FALSE),0),$Z430*IF($U430&lt;&gt;"",ROUND((Dashboard!$R$4/$U430)*VLOOKUP($I430,Dashboard!$Q$9:$R$13,2,FALSE)*IF(ISNUMBER(SEARCH("Duals",$B430)),2,IF(ISNUMBER(SEARCH("Triples",$B430)),3,IF(ISNUMBER(SEARCH("Quads",$B430)),4,1))),2),ROUND(VLOOKUP($I430,Dashboard!$Q$15:$R$20,2,FALSE)*IF($E430="Red",Dashboard!$R$6,IF($E430="Gold",Dashboard!$R$7,Dashboard!$R$5))*IF(ISNUMBER(SEARCH("Duals",$B430)),2,IF(ISNUMBER(SEARCH("Triples",$B430)),3,IF(ISNUMBER(SEARCH("Quads",$B430)),4,1))),2))*IF(IFERROR(VLOOKUP($B430,Dashboard!$Q$28:$S$60,3,FALSE),0)&gt;0,VLOOKUP($B430,Dashboard!$Q$28:$S$60,3,FALSE),1))),0))</f>
        <v>0</v>
      </c>
      <c r="K430" s="2" t="str">
        <f>IF('Base S1'!J30="","",'Base S1'!J30)</f>
        <v/>
      </c>
      <c r="L430" s="2">
        <f t="shared" si="78"/>
        <v>0</v>
      </c>
      <c r="M430" s="2">
        <f t="shared" si="79"/>
        <v>0</v>
      </c>
      <c r="N430" s="2">
        <f t="shared" si="80"/>
        <v>0</v>
      </c>
      <c r="O430" s="2">
        <f t="shared" si="81"/>
        <v>0</v>
      </c>
      <c r="P430" s="112">
        <f t="shared" si="82"/>
        <v>0</v>
      </c>
      <c r="Q430" s="112">
        <f t="shared" si="83"/>
        <v>0</v>
      </c>
      <c r="R430" s="53"/>
      <c r="S430" s="53" t="str">
        <f t="shared" si="84"/>
        <v>Base S1|Printing Plates Parallel - Season 1|29|Printing Plate</v>
      </c>
      <c r="T430" s="57" t="str">
        <f>IF($S430="","",IFERROR(VLOOKUP($S430,'Pop Estimates (Non-#d)'!$N$2:$O$500,2,FALSE),""))</f>
        <v/>
      </c>
      <c r="U430" s="57">
        <f t="shared" si="85"/>
        <v>4</v>
      </c>
      <c r="V430" s="53" t="str">
        <f t="shared" si="86"/>
        <v/>
      </c>
      <c r="W430" s="53" t="str">
        <f t="shared" si="87"/>
        <v/>
      </c>
      <c r="X430" s="53" t="str">
        <f t="shared" si="88"/>
        <v/>
      </c>
      <c r="Y430" s="57" t="str">
        <f>IF($X430="","",IFERROR(VLOOKUP($X430,'Char Popularity'!$A$2:$C$500,2,FALSE),""))</f>
        <v/>
      </c>
      <c r="Z430" s="56">
        <f>IF($X430="",1,IFERROR(VLOOKUP($X430,'Char Popularity'!$A$2:$C$500,3,FALSE),1))</f>
        <v>1</v>
      </c>
      <c r="AA430" s="62">
        <f>IF($H430&lt;&gt;"Y",0,(IF($F430&lt;&gt;"",ROUND(Dashboard!$R$4/$F430,1),IF(AND($I430="Base",$E430="Base"),Dashboard!$R$5,IF(AND($I430="Base",$E430="Red"),Dashboard!$R$6,IF(AND($I430="Base",$E430="Gold"),Dashboard!$R$7,VLOOKUP($I430,Dashboard!$Q$16:$R$21,2,FALSE)))))*VLOOKUP($I430,Dashboard!$Q$9:$R$13,2,FALSE)*IF(AND($I430="Auto",$F430="",OR($B430="Autographs Duals",$B430="Autographs Triples",$B430="Autographs Quads",$B430="Autographs Quads (Inscribed)")),IF($B430="Autographs Duals",2,IF($B430="Autographs Triples",3,4)),1)))</f>
        <v>0</v>
      </c>
      <c r="AB430" s="62">
        <f t="shared" si="89"/>
        <v>0</v>
      </c>
      <c r="AC430" s="62">
        <f t="shared" si="90"/>
        <v>0</v>
      </c>
    </row>
    <row r="431" spans="1:29" ht="42.95" customHeight="1" x14ac:dyDescent="0.25">
      <c r="A431" s="4" t="s">
        <v>17</v>
      </c>
      <c r="B431" s="7" t="s">
        <v>792</v>
      </c>
      <c r="C431" s="2" t="s">
        <v>1429</v>
      </c>
      <c r="D431" s="7" t="s">
        <v>904</v>
      </c>
      <c r="E431" s="4" t="s">
        <v>829</v>
      </c>
      <c r="F431" s="2">
        <v>4</v>
      </c>
      <c r="G431" s="2" t="s">
        <v>1400</v>
      </c>
      <c r="H431" s="2" t="s">
        <v>1399</v>
      </c>
      <c r="I431" s="4" t="s">
        <v>60</v>
      </c>
      <c r="J431" s="112">
        <f>IF($H431&lt;&gt;"Y",0,ROUND(MIN(Dashboard!$R$24,IF(IFERROR(VLOOKUP($B431,Dashboard!$Q$28:$S$60,2,FALSE),0)&gt;0,IFERROR(VLOOKUP($B431,Dashboard!$Q$28:$S$60,2,FALSE),0),$Z431*IF($U431&lt;&gt;"",ROUND((Dashboard!$R$4/$U431)*VLOOKUP($I431,Dashboard!$Q$9:$R$13,2,FALSE)*IF(ISNUMBER(SEARCH("Duals",$B431)),2,IF(ISNUMBER(SEARCH("Triples",$B431)),3,IF(ISNUMBER(SEARCH("Quads",$B431)),4,1))),2),ROUND(VLOOKUP($I431,Dashboard!$Q$15:$R$20,2,FALSE)*IF($E431="Red",Dashboard!$R$6,IF($E431="Gold",Dashboard!$R$7,Dashboard!$R$5))*IF(ISNUMBER(SEARCH("Duals",$B431)),2,IF(ISNUMBER(SEARCH("Triples",$B431)),3,IF(ISNUMBER(SEARCH("Quads",$B431)),4,1))),2))*IF(IFERROR(VLOOKUP($B431,Dashboard!$Q$28:$S$60,3,FALSE),0)&gt;0,VLOOKUP($B431,Dashboard!$Q$28:$S$60,3,FALSE),1))),0))</f>
        <v>0</v>
      </c>
      <c r="K431" s="2" t="str">
        <f>IF('Base S1'!J31="","",'Base S1'!J31)</f>
        <v/>
      </c>
      <c r="L431" s="2">
        <f t="shared" si="78"/>
        <v>0</v>
      </c>
      <c r="M431" s="2">
        <f t="shared" si="79"/>
        <v>0</v>
      </c>
      <c r="N431" s="2">
        <f t="shared" si="80"/>
        <v>0</v>
      </c>
      <c r="O431" s="2">
        <f t="shared" si="81"/>
        <v>0</v>
      </c>
      <c r="P431" s="112">
        <f t="shared" si="82"/>
        <v>0</v>
      </c>
      <c r="Q431" s="112">
        <f t="shared" si="83"/>
        <v>0</v>
      </c>
      <c r="R431" s="53"/>
      <c r="S431" s="53" t="str">
        <f t="shared" si="84"/>
        <v>Base S1|Printing Plates Parallel - Season 1|30|Printing Plate</v>
      </c>
      <c r="T431" s="57" t="str">
        <f>IF($S431="","",IFERROR(VLOOKUP($S431,'Pop Estimates (Non-#d)'!$N$2:$O$500,2,FALSE),""))</f>
        <v/>
      </c>
      <c r="U431" s="57">
        <f t="shared" si="85"/>
        <v>4</v>
      </c>
      <c r="V431" s="53" t="str">
        <f t="shared" si="86"/>
        <v/>
      </c>
      <c r="W431" s="53" t="str">
        <f t="shared" si="87"/>
        <v/>
      </c>
      <c r="X431" s="53" t="str">
        <f t="shared" si="88"/>
        <v/>
      </c>
      <c r="Y431" s="57" t="str">
        <f>IF($X431="","",IFERROR(VLOOKUP($X431,'Char Popularity'!$A$2:$C$500,2,FALSE),""))</f>
        <v/>
      </c>
      <c r="Z431" s="56">
        <f>IF($X431="",1,IFERROR(VLOOKUP($X431,'Char Popularity'!$A$2:$C$500,3,FALSE),1))</f>
        <v>1</v>
      </c>
      <c r="AA431" s="62">
        <f>IF($H431&lt;&gt;"Y",0,(IF($F431&lt;&gt;"",ROUND(Dashboard!$R$4/$F431,1),IF(AND($I431="Base",$E431="Base"),Dashboard!$R$5,IF(AND($I431="Base",$E431="Red"),Dashboard!$R$6,IF(AND($I431="Base",$E431="Gold"),Dashboard!$R$7,VLOOKUP($I431,Dashboard!$Q$16:$R$21,2,FALSE)))))*VLOOKUP($I431,Dashboard!$Q$9:$R$13,2,FALSE)*IF(AND($I431="Auto",$F431="",OR($B431="Autographs Duals",$B431="Autographs Triples",$B431="Autographs Quads",$B431="Autographs Quads (Inscribed)")),IF($B431="Autographs Duals",2,IF($B431="Autographs Triples",3,4)),1)))</f>
        <v>0</v>
      </c>
      <c r="AB431" s="62">
        <f t="shared" si="89"/>
        <v>0</v>
      </c>
      <c r="AC431" s="62">
        <f t="shared" si="90"/>
        <v>0</v>
      </c>
    </row>
    <row r="432" spans="1:29" ht="42.95" customHeight="1" x14ac:dyDescent="0.25">
      <c r="A432" s="4" t="s">
        <v>17</v>
      </c>
      <c r="B432" s="7" t="s">
        <v>792</v>
      </c>
      <c r="C432" s="2" t="s">
        <v>1430</v>
      </c>
      <c r="D432" s="7" t="s">
        <v>906</v>
      </c>
      <c r="E432" s="4" t="s">
        <v>829</v>
      </c>
      <c r="F432" s="2">
        <v>4</v>
      </c>
      <c r="G432" s="2" t="s">
        <v>1400</v>
      </c>
      <c r="H432" s="2" t="s">
        <v>1399</v>
      </c>
      <c r="I432" s="4" t="s">
        <v>60</v>
      </c>
      <c r="J432" s="112">
        <f>IF($H432&lt;&gt;"Y",0,ROUND(MIN(Dashboard!$R$24,IF(IFERROR(VLOOKUP($B432,Dashboard!$Q$28:$S$60,2,FALSE),0)&gt;0,IFERROR(VLOOKUP($B432,Dashboard!$Q$28:$S$60,2,FALSE),0),$Z432*IF($U432&lt;&gt;"",ROUND((Dashboard!$R$4/$U432)*VLOOKUP($I432,Dashboard!$Q$9:$R$13,2,FALSE)*IF(ISNUMBER(SEARCH("Duals",$B432)),2,IF(ISNUMBER(SEARCH("Triples",$B432)),3,IF(ISNUMBER(SEARCH("Quads",$B432)),4,1))),2),ROUND(VLOOKUP($I432,Dashboard!$Q$15:$R$20,2,FALSE)*IF($E432="Red",Dashboard!$R$6,IF($E432="Gold",Dashboard!$R$7,Dashboard!$R$5))*IF(ISNUMBER(SEARCH("Duals",$B432)),2,IF(ISNUMBER(SEARCH("Triples",$B432)),3,IF(ISNUMBER(SEARCH("Quads",$B432)),4,1))),2))*IF(IFERROR(VLOOKUP($B432,Dashboard!$Q$28:$S$60,3,FALSE),0)&gt;0,VLOOKUP($B432,Dashboard!$Q$28:$S$60,3,FALSE),1))),0))</f>
        <v>0</v>
      </c>
      <c r="K432" s="2" t="str">
        <f>IF('Base S1'!J32="","",'Base S1'!J32)</f>
        <v/>
      </c>
      <c r="L432" s="2">
        <f t="shared" si="78"/>
        <v>0</v>
      </c>
      <c r="M432" s="2">
        <f t="shared" si="79"/>
        <v>0</v>
      </c>
      <c r="N432" s="2">
        <f t="shared" si="80"/>
        <v>0</v>
      </c>
      <c r="O432" s="2">
        <f t="shared" si="81"/>
        <v>0</v>
      </c>
      <c r="P432" s="112">
        <f t="shared" si="82"/>
        <v>0</v>
      </c>
      <c r="Q432" s="112">
        <f t="shared" si="83"/>
        <v>0</v>
      </c>
      <c r="R432" s="53"/>
      <c r="S432" s="53" t="str">
        <f t="shared" si="84"/>
        <v>Base S1|Printing Plates Parallel - Season 1|31|Printing Plate</v>
      </c>
      <c r="T432" s="57" t="str">
        <f>IF($S432="","",IFERROR(VLOOKUP($S432,'Pop Estimates (Non-#d)'!$N$2:$O$500,2,FALSE),""))</f>
        <v/>
      </c>
      <c r="U432" s="57">
        <f t="shared" si="85"/>
        <v>4</v>
      </c>
      <c r="V432" s="53" t="str">
        <f t="shared" si="86"/>
        <v/>
      </c>
      <c r="W432" s="53" t="str">
        <f t="shared" si="87"/>
        <v/>
      </c>
      <c r="X432" s="53" t="str">
        <f t="shared" si="88"/>
        <v/>
      </c>
      <c r="Y432" s="57" t="str">
        <f>IF($X432="","",IFERROR(VLOOKUP($X432,'Char Popularity'!$A$2:$C$500,2,FALSE),""))</f>
        <v/>
      </c>
      <c r="Z432" s="56">
        <f>IF($X432="",1,IFERROR(VLOOKUP($X432,'Char Popularity'!$A$2:$C$500,3,FALSE),1))</f>
        <v>1</v>
      </c>
      <c r="AA432" s="62">
        <f>IF($H432&lt;&gt;"Y",0,(IF($F432&lt;&gt;"",ROUND(Dashboard!$R$4/$F432,1),IF(AND($I432="Base",$E432="Base"),Dashboard!$R$5,IF(AND($I432="Base",$E432="Red"),Dashboard!$R$6,IF(AND($I432="Base",$E432="Gold"),Dashboard!$R$7,VLOOKUP($I432,Dashboard!$Q$16:$R$21,2,FALSE)))))*VLOOKUP($I432,Dashboard!$Q$9:$R$13,2,FALSE)*IF(AND($I432="Auto",$F432="",OR($B432="Autographs Duals",$B432="Autographs Triples",$B432="Autographs Quads",$B432="Autographs Quads (Inscribed)")),IF($B432="Autographs Duals",2,IF($B432="Autographs Triples",3,4)),1)))</f>
        <v>0</v>
      </c>
      <c r="AB432" s="62">
        <f t="shared" si="89"/>
        <v>0</v>
      </c>
      <c r="AC432" s="62">
        <f t="shared" si="90"/>
        <v>0</v>
      </c>
    </row>
    <row r="433" spans="1:29" ht="42.95" customHeight="1" x14ac:dyDescent="0.25">
      <c r="A433" s="4" t="s">
        <v>17</v>
      </c>
      <c r="B433" s="7" t="s">
        <v>792</v>
      </c>
      <c r="C433" s="2" t="s">
        <v>1431</v>
      </c>
      <c r="D433" s="7" t="s">
        <v>908</v>
      </c>
      <c r="E433" s="4" t="s">
        <v>829</v>
      </c>
      <c r="F433" s="2">
        <v>4</v>
      </c>
      <c r="G433" s="2" t="s">
        <v>1400</v>
      </c>
      <c r="H433" s="2" t="s">
        <v>1399</v>
      </c>
      <c r="I433" s="4" t="s">
        <v>60</v>
      </c>
      <c r="J433" s="112">
        <f>IF($H433&lt;&gt;"Y",0,ROUND(MIN(Dashboard!$R$24,IF(IFERROR(VLOOKUP($B433,Dashboard!$Q$28:$S$60,2,FALSE),0)&gt;0,IFERROR(VLOOKUP($B433,Dashboard!$Q$28:$S$60,2,FALSE),0),$Z433*IF($U433&lt;&gt;"",ROUND((Dashboard!$R$4/$U433)*VLOOKUP($I433,Dashboard!$Q$9:$R$13,2,FALSE)*IF(ISNUMBER(SEARCH("Duals",$B433)),2,IF(ISNUMBER(SEARCH("Triples",$B433)),3,IF(ISNUMBER(SEARCH("Quads",$B433)),4,1))),2),ROUND(VLOOKUP($I433,Dashboard!$Q$15:$R$20,2,FALSE)*IF($E433="Red",Dashboard!$R$6,IF($E433="Gold",Dashboard!$R$7,Dashboard!$R$5))*IF(ISNUMBER(SEARCH("Duals",$B433)),2,IF(ISNUMBER(SEARCH("Triples",$B433)),3,IF(ISNUMBER(SEARCH("Quads",$B433)),4,1))),2))*IF(IFERROR(VLOOKUP($B433,Dashboard!$Q$28:$S$60,3,FALSE),0)&gt;0,VLOOKUP($B433,Dashboard!$Q$28:$S$60,3,FALSE),1))),0))</f>
        <v>0</v>
      </c>
      <c r="K433" s="2" t="str">
        <f>IF('Base S1'!J33="","",'Base S1'!J33)</f>
        <v/>
      </c>
      <c r="L433" s="2">
        <f t="shared" si="78"/>
        <v>0</v>
      </c>
      <c r="M433" s="2">
        <f t="shared" si="79"/>
        <v>0</v>
      </c>
      <c r="N433" s="2">
        <f t="shared" si="80"/>
        <v>0</v>
      </c>
      <c r="O433" s="2">
        <f t="shared" si="81"/>
        <v>0</v>
      </c>
      <c r="P433" s="112">
        <f t="shared" si="82"/>
        <v>0</v>
      </c>
      <c r="Q433" s="112">
        <f t="shared" si="83"/>
        <v>0</v>
      </c>
      <c r="R433" s="53"/>
      <c r="S433" s="53" t="str">
        <f t="shared" si="84"/>
        <v>Base S1|Printing Plates Parallel - Season 1|32|Printing Plate</v>
      </c>
      <c r="T433" s="57" t="str">
        <f>IF($S433="","",IFERROR(VLOOKUP($S433,'Pop Estimates (Non-#d)'!$N$2:$O$500,2,FALSE),""))</f>
        <v/>
      </c>
      <c r="U433" s="57">
        <f t="shared" si="85"/>
        <v>4</v>
      </c>
      <c r="V433" s="53" t="str">
        <f t="shared" si="86"/>
        <v/>
      </c>
      <c r="W433" s="53" t="str">
        <f t="shared" si="87"/>
        <v/>
      </c>
      <c r="X433" s="53" t="str">
        <f t="shared" si="88"/>
        <v/>
      </c>
      <c r="Y433" s="57" t="str">
        <f>IF($X433="","",IFERROR(VLOOKUP($X433,'Char Popularity'!$A$2:$C$500,2,FALSE),""))</f>
        <v/>
      </c>
      <c r="Z433" s="56">
        <f>IF($X433="",1,IFERROR(VLOOKUP($X433,'Char Popularity'!$A$2:$C$500,3,FALSE),1))</f>
        <v>1</v>
      </c>
      <c r="AA433" s="62">
        <f>IF($H433&lt;&gt;"Y",0,(IF($F433&lt;&gt;"",ROUND(Dashboard!$R$4/$F433,1),IF(AND($I433="Base",$E433="Base"),Dashboard!$R$5,IF(AND($I433="Base",$E433="Red"),Dashboard!$R$6,IF(AND($I433="Base",$E433="Gold"),Dashboard!$R$7,VLOOKUP($I433,Dashboard!$Q$16:$R$21,2,FALSE)))))*VLOOKUP($I433,Dashboard!$Q$9:$R$13,2,FALSE)*IF(AND($I433="Auto",$F433="",OR($B433="Autographs Duals",$B433="Autographs Triples",$B433="Autographs Quads",$B433="Autographs Quads (Inscribed)")),IF($B433="Autographs Duals",2,IF($B433="Autographs Triples",3,4)),1)))</f>
        <v>0</v>
      </c>
      <c r="AB433" s="62">
        <f t="shared" si="89"/>
        <v>0</v>
      </c>
      <c r="AC433" s="62">
        <f t="shared" si="90"/>
        <v>0</v>
      </c>
    </row>
    <row r="434" spans="1:29" ht="42.95" customHeight="1" x14ac:dyDescent="0.25">
      <c r="A434" s="4" t="s">
        <v>17</v>
      </c>
      <c r="B434" s="7" t="s">
        <v>792</v>
      </c>
      <c r="C434" s="2" t="s">
        <v>1432</v>
      </c>
      <c r="D434" s="7" t="s">
        <v>910</v>
      </c>
      <c r="E434" s="4" t="s">
        <v>829</v>
      </c>
      <c r="F434" s="2">
        <v>4</v>
      </c>
      <c r="G434" s="2" t="s">
        <v>1400</v>
      </c>
      <c r="H434" s="2" t="s">
        <v>1399</v>
      </c>
      <c r="I434" s="4" t="s">
        <v>60</v>
      </c>
      <c r="J434" s="112">
        <f>IF($H434&lt;&gt;"Y",0,ROUND(MIN(Dashboard!$R$24,IF(IFERROR(VLOOKUP($B434,Dashboard!$Q$28:$S$60,2,FALSE),0)&gt;0,IFERROR(VLOOKUP($B434,Dashboard!$Q$28:$S$60,2,FALSE),0),$Z434*IF($U434&lt;&gt;"",ROUND((Dashboard!$R$4/$U434)*VLOOKUP($I434,Dashboard!$Q$9:$R$13,2,FALSE)*IF(ISNUMBER(SEARCH("Duals",$B434)),2,IF(ISNUMBER(SEARCH("Triples",$B434)),3,IF(ISNUMBER(SEARCH("Quads",$B434)),4,1))),2),ROUND(VLOOKUP($I434,Dashboard!$Q$15:$R$20,2,FALSE)*IF($E434="Red",Dashboard!$R$6,IF($E434="Gold",Dashboard!$R$7,Dashboard!$R$5))*IF(ISNUMBER(SEARCH("Duals",$B434)),2,IF(ISNUMBER(SEARCH("Triples",$B434)),3,IF(ISNUMBER(SEARCH("Quads",$B434)),4,1))),2))*IF(IFERROR(VLOOKUP($B434,Dashboard!$Q$28:$S$60,3,FALSE),0)&gt;0,VLOOKUP($B434,Dashboard!$Q$28:$S$60,3,FALSE),1))),0))</f>
        <v>0</v>
      </c>
      <c r="K434" s="2" t="str">
        <f>IF('Base S1'!J34="","",'Base S1'!J34)</f>
        <v/>
      </c>
      <c r="L434" s="2">
        <f t="shared" si="78"/>
        <v>0</v>
      </c>
      <c r="M434" s="2">
        <f t="shared" si="79"/>
        <v>0</v>
      </c>
      <c r="N434" s="2">
        <f t="shared" si="80"/>
        <v>0</v>
      </c>
      <c r="O434" s="2">
        <f t="shared" si="81"/>
        <v>0</v>
      </c>
      <c r="P434" s="112">
        <f t="shared" si="82"/>
        <v>0</v>
      </c>
      <c r="Q434" s="112">
        <f t="shared" si="83"/>
        <v>0</v>
      </c>
      <c r="R434" s="53"/>
      <c r="S434" s="53" t="str">
        <f t="shared" si="84"/>
        <v>Base S1|Printing Plates Parallel - Season 1|33|Printing Plate</v>
      </c>
      <c r="T434" s="57" t="str">
        <f>IF($S434="","",IFERROR(VLOOKUP($S434,'Pop Estimates (Non-#d)'!$N$2:$O$500,2,FALSE),""))</f>
        <v/>
      </c>
      <c r="U434" s="57">
        <f t="shared" si="85"/>
        <v>4</v>
      </c>
      <c r="V434" s="53" t="str">
        <f t="shared" si="86"/>
        <v/>
      </c>
      <c r="W434" s="53" t="str">
        <f t="shared" si="87"/>
        <v/>
      </c>
      <c r="X434" s="53" t="str">
        <f t="shared" si="88"/>
        <v/>
      </c>
      <c r="Y434" s="57" t="str">
        <f>IF($X434="","",IFERROR(VLOOKUP($X434,'Char Popularity'!$A$2:$C$500,2,FALSE),""))</f>
        <v/>
      </c>
      <c r="Z434" s="56">
        <f>IF($X434="",1,IFERROR(VLOOKUP($X434,'Char Popularity'!$A$2:$C$500,3,FALSE),1))</f>
        <v>1</v>
      </c>
      <c r="AA434" s="62">
        <f>IF($H434&lt;&gt;"Y",0,(IF($F434&lt;&gt;"",ROUND(Dashboard!$R$4/$F434,1),IF(AND($I434="Base",$E434="Base"),Dashboard!$R$5,IF(AND($I434="Base",$E434="Red"),Dashboard!$R$6,IF(AND($I434="Base",$E434="Gold"),Dashboard!$R$7,VLOOKUP($I434,Dashboard!$Q$16:$R$21,2,FALSE)))))*VLOOKUP($I434,Dashboard!$Q$9:$R$13,2,FALSE)*IF(AND($I434="Auto",$F434="",OR($B434="Autographs Duals",$B434="Autographs Triples",$B434="Autographs Quads",$B434="Autographs Quads (Inscribed)")),IF($B434="Autographs Duals",2,IF($B434="Autographs Triples",3,4)),1)))</f>
        <v>0</v>
      </c>
      <c r="AB434" s="62">
        <f t="shared" si="89"/>
        <v>0</v>
      </c>
      <c r="AC434" s="62">
        <f t="shared" si="90"/>
        <v>0</v>
      </c>
    </row>
    <row r="435" spans="1:29" ht="42.95" customHeight="1" x14ac:dyDescent="0.25">
      <c r="A435" s="4" t="s">
        <v>17</v>
      </c>
      <c r="B435" s="7" t="s">
        <v>792</v>
      </c>
      <c r="C435" s="2" t="s">
        <v>1433</v>
      </c>
      <c r="D435" s="7" t="s">
        <v>912</v>
      </c>
      <c r="E435" s="4" t="s">
        <v>829</v>
      </c>
      <c r="F435" s="2">
        <v>4</v>
      </c>
      <c r="G435" s="2" t="s">
        <v>1400</v>
      </c>
      <c r="H435" s="2" t="s">
        <v>1399</v>
      </c>
      <c r="I435" s="4" t="s">
        <v>60</v>
      </c>
      <c r="J435" s="112">
        <f>IF($H435&lt;&gt;"Y",0,ROUND(MIN(Dashboard!$R$24,IF(IFERROR(VLOOKUP($B435,Dashboard!$Q$28:$S$60,2,FALSE),0)&gt;0,IFERROR(VLOOKUP($B435,Dashboard!$Q$28:$S$60,2,FALSE),0),$Z435*IF($U435&lt;&gt;"",ROUND((Dashboard!$R$4/$U435)*VLOOKUP($I435,Dashboard!$Q$9:$R$13,2,FALSE)*IF(ISNUMBER(SEARCH("Duals",$B435)),2,IF(ISNUMBER(SEARCH("Triples",$B435)),3,IF(ISNUMBER(SEARCH("Quads",$B435)),4,1))),2),ROUND(VLOOKUP($I435,Dashboard!$Q$15:$R$20,2,FALSE)*IF($E435="Red",Dashboard!$R$6,IF($E435="Gold",Dashboard!$R$7,Dashboard!$R$5))*IF(ISNUMBER(SEARCH("Duals",$B435)),2,IF(ISNUMBER(SEARCH("Triples",$B435)),3,IF(ISNUMBER(SEARCH("Quads",$B435)),4,1))),2))*IF(IFERROR(VLOOKUP($B435,Dashboard!$Q$28:$S$60,3,FALSE),0)&gt;0,VLOOKUP($B435,Dashboard!$Q$28:$S$60,3,FALSE),1))),0))</f>
        <v>0</v>
      </c>
      <c r="K435" s="2" t="str">
        <f>IF('Base S1'!J35="","",'Base S1'!J35)</f>
        <v/>
      </c>
      <c r="L435" s="2">
        <f t="shared" si="78"/>
        <v>0</v>
      </c>
      <c r="M435" s="2">
        <f t="shared" si="79"/>
        <v>0</v>
      </c>
      <c r="N435" s="2">
        <f t="shared" si="80"/>
        <v>0</v>
      </c>
      <c r="O435" s="2">
        <f t="shared" si="81"/>
        <v>0</v>
      </c>
      <c r="P435" s="112">
        <f t="shared" si="82"/>
        <v>0</v>
      </c>
      <c r="Q435" s="112">
        <f t="shared" si="83"/>
        <v>0</v>
      </c>
      <c r="R435" s="53"/>
      <c r="S435" s="53" t="str">
        <f t="shared" si="84"/>
        <v>Base S1|Printing Plates Parallel - Season 1|34|Printing Plate</v>
      </c>
      <c r="T435" s="57" t="str">
        <f>IF($S435="","",IFERROR(VLOOKUP($S435,'Pop Estimates (Non-#d)'!$N$2:$O$500,2,FALSE),""))</f>
        <v/>
      </c>
      <c r="U435" s="57">
        <f t="shared" si="85"/>
        <v>4</v>
      </c>
      <c r="V435" s="53" t="str">
        <f t="shared" si="86"/>
        <v/>
      </c>
      <c r="W435" s="53" t="str">
        <f t="shared" si="87"/>
        <v/>
      </c>
      <c r="X435" s="53" t="str">
        <f t="shared" si="88"/>
        <v/>
      </c>
      <c r="Y435" s="57" t="str">
        <f>IF($X435="","",IFERROR(VLOOKUP($X435,'Char Popularity'!$A$2:$C$500,2,FALSE),""))</f>
        <v/>
      </c>
      <c r="Z435" s="56">
        <f>IF($X435="",1,IFERROR(VLOOKUP($X435,'Char Popularity'!$A$2:$C$500,3,FALSE),1))</f>
        <v>1</v>
      </c>
      <c r="AA435" s="62">
        <f>IF($H435&lt;&gt;"Y",0,(IF($F435&lt;&gt;"",ROUND(Dashboard!$R$4/$F435,1),IF(AND($I435="Base",$E435="Base"),Dashboard!$R$5,IF(AND($I435="Base",$E435="Red"),Dashboard!$R$6,IF(AND($I435="Base",$E435="Gold"),Dashboard!$R$7,VLOOKUP($I435,Dashboard!$Q$16:$R$21,2,FALSE)))))*VLOOKUP($I435,Dashboard!$Q$9:$R$13,2,FALSE)*IF(AND($I435="Auto",$F435="",OR($B435="Autographs Duals",$B435="Autographs Triples",$B435="Autographs Quads",$B435="Autographs Quads (Inscribed)")),IF($B435="Autographs Duals",2,IF($B435="Autographs Triples",3,4)),1)))</f>
        <v>0</v>
      </c>
      <c r="AB435" s="62">
        <f t="shared" si="89"/>
        <v>0</v>
      </c>
      <c r="AC435" s="62">
        <f t="shared" si="90"/>
        <v>0</v>
      </c>
    </row>
    <row r="436" spans="1:29" ht="42.95" customHeight="1" x14ac:dyDescent="0.25">
      <c r="A436" s="4" t="s">
        <v>17</v>
      </c>
      <c r="B436" s="7" t="s">
        <v>792</v>
      </c>
      <c r="C436" s="2" t="s">
        <v>1434</v>
      </c>
      <c r="D436" s="7" t="s">
        <v>914</v>
      </c>
      <c r="E436" s="4" t="s">
        <v>829</v>
      </c>
      <c r="F436" s="2">
        <v>4</v>
      </c>
      <c r="G436" s="2" t="s">
        <v>1400</v>
      </c>
      <c r="H436" s="2" t="s">
        <v>1399</v>
      </c>
      <c r="I436" s="4" t="s">
        <v>60</v>
      </c>
      <c r="J436" s="112">
        <f>IF($H436&lt;&gt;"Y",0,ROUND(MIN(Dashboard!$R$24,IF(IFERROR(VLOOKUP($B436,Dashboard!$Q$28:$S$60,2,FALSE),0)&gt;0,IFERROR(VLOOKUP($B436,Dashboard!$Q$28:$S$60,2,FALSE),0),$Z436*IF($U436&lt;&gt;"",ROUND((Dashboard!$R$4/$U436)*VLOOKUP($I436,Dashboard!$Q$9:$R$13,2,FALSE)*IF(ISNUMBER(SEARCH("Duals",$B436)),2,IF(ISNUMBER(SEARCH("Triples",$B436)),3,IF(ISNUMBER(SEARCH("Quads",$B436)),4,1))),2),ROUND(VLOOKUP($I436,Dashboard!$Q$15:$R$20,2,FALSE)*IF($E436="Red",Dashboard!$R$6,IF($E436="Gold",Dashboard!$R$7,Dashboard!$R$5))*IF(ISNUMBER(SEARCH("Duals",$B436)),2,IF(ISNUMBER(SEARCH("Triples",$B436)),3,IF(ISNUMBER(SEARCH("Quads",$B436)),4,1))),2))*IF(IFERROR(VLOOKUP($B436,Dashboard!$Q$28:$S$60,3,FALSE),0)&gt;0,VLOOKUP($B436,Dashboard!$Q$28:$S$60,3,FALSE),1))),0))</f>
        <v>0</v>
      </c>
      <c r="K436" s="2" t="str">
        <f>IF('Base S1'!J36="","",'Base S1'!J36)</f>
        <v/>
      </c>
      <c r="L436" s="2">
        <f t="shared" si="78"/>
        <v>0</v>
      </c>
      <c r="M436" s="2">
        <f t="shared" si="79"/>
        <v>0</v>
      </c>
      <c r="N436" s="2">
        <f t="shared" si="80"/>
        <v>0</v>
      </c>
      <c r="O436" s="2">
        <f t="shared" si="81"/>
        <v>0</v>
      </c>
      <c r="P436" s="112">
        <f t="shared" si="82"/>
        <v>0</v>
      </c>
      <c r="Q436" s="112">
        <f t="shared" si="83"/>
        <v>0</v>
      </c>
      <c r="R436" s="53"/>
      <c r="S436" s="53" t="str">
        <f t="shared" si="84"/>
        <v>Base S1|Printing Plates Parallel - Season 1|35|Printing Plate</v>
      </c>
      <c r="T436" s="57" t="str">
        <f>IF($S436="","",IFERROR(VLOOKUP($S436,'Pop Estimates (Non-#d)'!$N$2:$O$500,2,FALSE),""))</f>
        <v/>
      </c>
      <c r="U436" s="57">
        <f t="shared" si="85"/>
        <v>4</v>
      </c>
      <c r="V436" s="53" t="str">
        <f t="shared" si="86"/>
        <v/>
      </c>
      <c r="W436" s="53" t="str">
        <f t="shared" si="87"/>
        <v/>
      </c>
      <c r="X436" s="53" t="str">
        <f t="shared" si="88"/>
        <v/>
      </c>
      <c r="Y436" s="57" t="str">
        <f>IF($X436="","",IFERROR(VLOOKUP($X436,'Char Popularity'!$A$2:$C$500,2,FALSE),""))</f>
        <v/>
      </c>
      <c r="Z436" s="56">
        <f>IF($X436="",1,IFERROR(VLOOKUP($X436,'Char Popularity'!$A$2:$C$500,3,FALSE),1))</f>
        <v>1</v>
      </c>
      <c r="AA436" s="62">
        <f>IF($H436&lt;&gt;"Y",0,(IF($F436&lt;&gt;"",ROUND(Dashboard!$R$4/$F436,1),IF(AND($I436="Base",$E436="Base"),Dashboard!$R$5,IF(AND($I436="Base",$E436="Red"),Dashboard!$R$6,IF(AND($I436="Base",$E436="Gold"),Dashboard!$R$7,VLOOKUP($I436,Dashboard!$Q$16:$R$21,2,FALSE)))))*VLOOKUP($I436,Dashboard!$Q$9:$R$13,2,FALSE)*IF(AND($I436="Auto",$F436="",OR($B436="Autographs Duals",$B436="Autographs Triples",$B436="Autographs Quads",$B436="Autographs Quads (Inscribed)")),IF($B436="Autographs Duals",2,IF($B436="Autographs Triples",3,4)),1)))</f>
        <v>0</v>
      </c>
      <c r="AB436" s="62">
        <f t="shared" si="89"/>
        <v>0</v>
      </c>
      <c r="AC436" s="62">
        <f t="shared" si="90"/>
        <v>0</v>
      </c>
    </row>
    <row r="437" spans="1:29" ht="42.95" customHeight="1" x14ac:dyDescent="0.25">
      <c r="A437" s="4" t="s">
        <v>17</v>
      </c>
      <c r="B437" s="7" t="s">
        <v>792</v>
      </c>
      <c r="C437" s="2" t="s">
        <v>1435</v>
      </c>
      <c r="D437" s="7" t="s">
        <v>915</v>
      </c>
      <c r="E437" s="4" t="s">
        <v>829</v>
      </c>
      <c r="F437" s="2">
        <v>4</v>
      </c>
      <c r="G437" s="2" t="s">
        <v>1400</v>
      </c>
      <c r="H437" s="2" t="s">
        <v>1399</v>
      </c>
      <c r="I437" s="4" t="s">
        <v>60</v>
      </c>
      <c r="J437" s="112">
        <f>IF($H437&lt;&gt;"Y",0,ROUND(MIN(Dashboard!$R$24,IF(IFERROR(VLOOKUP($B437,Dashboard!$Q$28:$S$60,2,FALSE),0)&gt;0,IFERROR(VLOOKUP($B437,Dashboard!$Q$28:$S$60,2,FALSE),0),$Z437*IF($U437&lt;&gt;"",ROUND((Dashboard!$R$4/$U437)*VLOOKUP($I437,Dashboard!$Q$9:$R$13,2,FALSE)*IF(ISNUMBER(SEARCH("Duals",$B437)),2,IF(ISNUMBER(SEARCH("Triples",$B437)),3,IF(ISNUMBER(SEARCH("Quads",$B437)),4,1))),2),ROUND(VLOOKUP($I437,Dashboard!$Q$15:$R$20,2,FALSE)*IF($E437="Red",Dashboard!$R$6,IF($E437="Gold",Dashboard!$R$7,Dashboard!$R$5))*IF(ISNUMBER(SEARCH("Duals",$B437)),2,IF(ISNUMBER(SEARCH("Triples",$B437)),3,IF(ISNUMBER(SEARCH("Quads",$B437)),4,1))),2))*IF(IFERROR(VLOOKUP($B437,Dashboard!$Q$28:$S$60,3,FALSE),0)&gt;0,VLOOKUP($B437,Dashboard!$Q$28:$S$60,3,FALSE),1))),0))</f>
        <v>0</v>
      </c>
      <c r="K437" s="2" t="str">
        <f>IF('Base S1'!J37="","",'Base S1'!J37)</f>
        <v/>
      </c>
      <c r="L437" s="2">
        <f t="shared" si="78"/>
        <v>0</v>
      </c>
      <c r="M437" s="2">
        <f t="shared" si="79"/>
        <v>0</v>
      </c>
      <c r="N437" s="2">
        <f t="shared" si="80"/>
        <v>0</v>
      </c>
      <c r="O437" s="2">
        <f t="shared" si="81"/>
        <v>0</v>
      </c>
      <c r="P437" s="112">
        <f t="shared" si="82"/>
        <v>0</v>
      </c>
      <c r="Q437" s="112">
        <f t="shared" si="83"/>
        <v>0</v>
      </c>
      <c r="R437" s="53"/>
      <c r="S437" s="53" t="str">
        <f t="shared" si="84"/>
        <v>Base S1|Printing Plates Parallel - Season 1|36|Printing Plate</v>
      </c>
      <c r="T437" s="57" t="str">
        <f>IF($S437="","",IFERROR(VLOOKUP($S437,'Pop Estimates (Non-#d)'!$N$2:$O$500,2,FALSE),""))</f>
        <v/>
      </c>
      <c r="U437" s="57">
        <f t="shared" si="85"/>
        <v>4</v>
      </c>
      <c r="V437" s="53" t="str">
        <f t="shared" si="86"/>
        <v/>
      </c>
      <c r="W437" s="53" t="str">
        <f t="shared" si="87"/>
        <v/>
      </c>
      <c r="X437" s="53" t="str">
        <f t="shared" si="88"/>
        <v/>
      </c>
      <c r="Y437" s="57" t="str">
        <f>IF($X437="","",IFERROR(VLOOKUP($X437,'Char Popularity'!$A$2:$C$500,2,FALSE),""))</f>
        <v/>
      </c>
      <c r="Z437" s="56">
        <f>IF($X437="",1,IFERROR(VLOOKUP($X437,'Char Popularity'!$A$2:$C$500,3,FALSE),1))</f>
        <v>1</v>
      </c>
      <c r="AA437" s="62">
        <f>IF($H437&lt;&gt;"Y",0,(IF($F437&lt;&gt;"",ROUND(Dashboard!$R$4/$F437,1),IF(AND($I437="Base",$E437="Base"),Dashboard!$R$5,IF(AND($I437="Base",$E437="Red"),Dashboard!$R$6,IF(AND($I437="Base",$E437="Gold"),Dashboard!$R$7,VLOOKUP($I437,Dashboard!$Q$16:$R$21,2,FALSE)))))*VLOOKUP($I437,Dashboard!$Q$9:$R$13,2,FALSE)*IF(AND($I437="Auto",$F437="",OR($B437="Autographs Duals",$B437="Autographs Triples",$B437="Autographs Quads",$B437="Autographs Quads (Inscribed)")),IF($B437="Autographs Duals",2,IF($B437="Autographs Triples",3,4)),1)))</f>
        <v>0</v>
      </c>
      <c r="AB437" s="62">
        <f t="shared" si="89"/>
        <v>0</v>
      </c>
      <c r="AC437" s="62">
        <f t="shared" si="90"/>
        <v>0</v>
      </c>
    </row>
    <row r="438" spans="1:29" ht="42.95" customHeight="1" x14ac:dyDescent="0.25">
      <c r="A438" s="4" t="s">
        <v>17</v>
      </c>
      <c r="B438" s="7" t="s">
        <v>792</v>
      </c>
      <c r="C438" s="2" t="s">
        <v>1436</v>
      </c>
      <c r="D438" s="7" t="s">
        <v>917</v>
      </c>
      <c r="E438" s="4" t="s">
        <v>829</v>
      </c>
      <c r="F438" s="2">
        <v>4</v>
      </c>
      <c r="G438" s="2" t="s">
        <v>1400</v>
      </c>
      <c r="H438" s="2" t="s">
        <v>1399</v>
      </c>
      <c r="I438" s="4" t="s">
        <v>60</v>
      </c>
      <c r="J438" s="112">
        <f>IF($H438&lt;&gt;"Y",0,ROUND(MIN(Dashboard!$R$24,IF(IFERROR(VLOOKUP($B438,Dashboard!$Q$28:$S$60,2,FALSE),0)&gt;0,IFERROR(VLOOKUP($B438,Dashboard!$Q$28:$S$60,2,FALSE),0),$Z438*IF($U438&lt;&gt;"",ROUND((Dashboard!$R$4/$U438)*VLOOKUP($I438,Dashboard!$Q$9:$R$13,2,FALSE)*IF(ISNUMBER(SEARCH("Duals",$B438)),2,IF(ISNUMBER(SEARCH("Triples",$B438)),3,IF(ISNUMBER(SEARCH("Quads",$B438)),4,1))),2),ROUND(VLOOKUP($I438,Dashboard!$Q$15:$R$20,2,FALSE)*IF($E438="Red",Dashboard!$R$6,IF($E438="Gold",Dashboard!$R$7,Dashboard!$R$5))*IF(ISNUMBER(SEARCH("Duals",$B438)),2,IF(ISNUMBER(SEARCH("Triples",$B438)),3,IF(ISNUMBER(SEARCH("Quads",$B438)),4,1))),2))*IF(IFERROR(VLOOKUP($B438,Dashboard!$Q$28:$S$60,3,FALSE),0)&gt;0,VLOOKUP($B438,Dashboard!$Q$28:$S$60,3,FALSE),1))),0))</f>
        <v>0</v>
      </c>
      <c r="K438" s="2" t="str">
        <f>IF('Base S1'!J38="","",'Base S1'!J38)</f>
        <v/>
      </c>
      <c r="L438" s="2">
        <f t="shared" si="78"/>
        <v>0</v>
      </c>
      <c r="M438" s="2">
        <f t="shared" si="79"/>
        <v>0</v>
      </c>
      <c r="N438" s="2">
        <f t="shared" si="80"/>
        <v>0</v>
      </c>
      <c r="O438" s="2">
        <f t="shared" si="81"/>
        <v>0</v>
      </c>
      <c r="P438" s="112">
        <f t="shared" si="82"/>
        <v>0</v>
      </c>
      <c r="Q438" s="112">
        <f t="shared" si="83"/>
        <v>0</v>
      </c>
      <c r="R438" s="53"/>
      <c r="S438" s="53" t="str">
        <f t="shared" si="84"/>
        <v>Base S1|Printing Plates Parallel - Season 1|37|Printing Plate</v>
      </c>
      <c r="T438" s="57" t="str">
        <f>IF($S438="","",IFERROR(VLOOKUP($S438,'Pop Estimates (Non-#d)'!$N$2:$O$500,2,FALSE),""))</f>
        <v/>
      </c>
      <c r="U438" s="57">
        <f t="shared" si="85"/>
        <v>4</v>
      </c>
      <c r="V438" s="53" t="str">
        <f t="shared" si="86"/>
        <v/>
      </c>
      <c r="W438" s="53" t="str">
        <f t="shared" si="87"/>
        <v/>
      </c>
      <c r="X438" s="53" t="str">
        <f t="shared" si="88"/>
        <v/>
      </c>
      <c r="Y438" s="57" t="str">
        <f>IF($X438="","",IFERROR(VLOOKUP($X438,'Char Popularity'!$A$2:$C$500,2,FALSE),""))</f>
        <v/>
      </c>
      <c r="Z438" s="56">
        <f>IF($X438="",1,IFERROR(VLOOKUP($X438,'Char Popularity'!$A$2:$C$500,3,FALSE),1))</f>
        <v>1</v>
      </c>
      <c r="AA438" s="62">
        <f>IF($H438&lt;&gt;"Y",0,(IF($F438&lt;&gt;"",ROUND(Dashboard!$R$4/$F438,1),IF(AND($I438="Base",$E438="Base"),Dashboard!$R$5,IF(AND($I438="Base",$E438="Red"),Dashboard!$R$6,IF(AND($I438="Base",$E438="Gold"),Dashboard!$R$7,VLOOKUP($I438,Dashboard!$Q$16:$R$21,2,FALSE)))))*VLOOKUP($I438,Dashboard!$Q$9:$R$13,2,FALSE)*IF(AND($I438="Auto",$F438="",OR($B438="Autographs Duals",$B438="Autographs Triples",$B438="Autographs Quads",$B438="Autographs Quads (Inscribed)")),IF($B438="Autographs Duals",2,IF($B438="Autographs Triples",3,4)),1)))</f>
        <v>0</v>
      </c>
      <c r="AB438" s="62">
        <f t="shared" si="89"/>
        <v>0</v>
      </c>
      <c r="AC438" s="62">
        <f t="shared" si="90"/>
        <v>0</v>
      </c>
    </row>
    <row r="439" spans="1:29" ht="42.95" customHeight="1" x14ac:dyDescent="0.25">
      <c r="A439" s="4" t="s">
        <v>17</v>
      </c>
      <c r="B439" s="7" t="s">
        <v>792</v>
      </c>
      <c r="C439" s="2" t="s">
        <v>1437</v>
      </c>
      <c r="D439" s="7" t="s">
        <v>919</v>
      </c>
      <c r="E439" s="4" t="s">
        <v>829</v>
      </c>
      <c r="F439" s="2">
        <v>4</v>
      </c>
      <c r="G439" s="2" t="s">
        <v>1400</v>
      </c>
      <c r="H439" s="2" t="s">
        <v>1399</v>
      </c>
      <c r="I439" s="4" t="s">
        <v>60</v>
      </c>
      <c r="J439" s="112">
        <f>IF($H439&lt;&gt;"Y",0,ROUND(MIN(Dashboard!$R$24,IF(IFERROR(VLOOKUP($B439,Dashboard!$Q$28:$S$60,2,FALSE),0)&gt;0,IFERROR(VLOOKUP($B439,Dashboard!$Q$28:$S$60,2,FALSE),0),$Z439*IF($U439&lt;&gt;"",ROUND((Dashboard!$R$4/$U439)*VLOOKUP($I439,Dashboard!$Q$9:$R$13,2,FALSE)*IF(ISNUMBER(SEARCH("Duals",$B439)),2,IF(ISNUMBER(SEARCH("Triples",$B439)),3,IF(ISNUMBER(SEARCH("Quads",$B439)),4,1))),2),ROUND(VLOOKUP($I439,Dashboard!$Q$15:$R$20,2,FALSE)*IF($E439="Red",Dashboard!$R$6,IF($E439="Gold",Dashboard!$R$7,Dashboard!$R$5))*IF(ISNUMBER(SEARCH("Duals",$B439)),2,IF(ISNUMBER(SEARCH("Triples",$B439)),3,IF(ISNUMBER(SEARCH("Quads",$B439)),4,1))),2))*IF(IFERROR(VLOOKUP($B439,Dashboard!$Q$28:$S$60,3,FALSE),0)&gt;0,VLOOKUP($B439,Dashboard!$Q$28:$S$60,3,FALSE),1))),0))</f>
        <v>0</v>
      </c>
      <c r="K439" s="2" t="str">
        <f>IF('Base S1'!J39="","",'Base S1'!J39)</f>
        <v/>
      </c>
      <c r="L439" s="2">
        <f t="shared" si="78"/>
        <v>0</v>
      </c>
      <c r="M439" s="2">
        <f t="shared" si="79"/>
        <v>0</v>
      </c>
      <c r="N439" s="2">
        <f t="shared" si="80"/>
        <v>0</v>
      </c>
      <c r="O439" s="2">
        <f t="shared" si="81"/>
        <v>0</v>
      </c>
      <c r="P439" s="112">
        <f t="shared" si="82"/>
        <v>0</v>
      </c>
      <c r="Q439" s="112">
        <f t="shared" si="83"/>
        <v>0</v>
      </c>
      <c r="R439" s="53"/>
      <c r="S439" s="53" t="str">
        <f t="shared" si="84"/>
        <v>Base S1|Printing Plates Parallel - Season 1|38|Printing Plate</v>
      </c>
      <c r="T439" s="57" t="str">
        <f>IF($S439="","",IFERROR(VLOOKUP($S439,'Pop Estimates (Non-#d)'!$N$2:$O$500,2,FALSE),""))</f>
        <v/>
      </c>
      <c r="U439" s="57">
        <f t="shared" si="85"/>
        <v>4</v>
      </c>
      <c r="V439" s="53" t="str">
        <f t="shared" si="86"/>
        <v/>
      </c>
      <c r="W439" s="53" t="str">
        <f t="shared" si="87"/>
        <v/>
      </c>
      <c r="X439" s="53" t="str">
        <f t="shared" si="88"/>
        <v/>
      </c>
      <c r="Y439" s="57" t="str">
        <f>IF($X439="","",IFERROR(VLOOKUP($X439,'Char Popularity'!$A$2:$C$500,2,FALSE),""))</f>
        <v/>
      </c>
      <c r="Z439" s="56">
        <f>IF($X439="",1,IFERROR(VLOOKUP($X439,'Char Popularity'!$A$2:$C$500,3,FALSE),1))</f>
        <v>1</v>
      </c>
      <c r="AA439" s="62">
        <f>IF($H439&lt;&gt;"Y",0,(IF($F439&lt;&gt;"",ROUND(Dashboard!$R$4/$F439,1),IF(AND($I439="Base",$E439="Base"),Dashboard!$R$5,IF(AND($I439="Base",$E439="Red"),Dashboard!$R$6,IF(AND($I439="Base",$E439="Gold"),Dashboard!$R$7,VLOOKUP($I439,Dashboard!$Q$16:$R$21,2,FALSE)))))*VLOOKUP($I439,Dashboard!$Q$9:$R$13,2,FALSE)*IF(AND($I439="Auto",$F439="",OR($B439="Autographs Duals",$B439="Autographs Triples",$B439="Autographs Quads",$B439="Autographs Quads (Inscribed)")),IF($B439="Autographs Duals",2,IF($B439="Autographs Triples",3,4)),1)))</f>
        <v>0</v>
      </c>
      <c r="AB439" s="62">
        <f t="shared" si="89"/>
        <v>0</v>
      </c>
      <c r="AC439" s="62">
        <f t="shared" si="90"/>
        <v>0</v>
      </c>
    </row>
    <row r="440" spans="1:29" ht="42.95" customHeight="1" x14ac:dyDescent="0.25">
      <c r="A440" s="4" t="s">
        <v>17</v>
      </c>
      <c r="B440" s="7" t="s">
        <v>792</v>
      </c>
      <c r="C440" s="2" t="s">
        <v>1438</v>
      </c>
      <c r="D440" s="7" t="s">
        <v>920</v>
      </c>
      <c r="E440" s="4" t="s">
        <v>829</v>
      </c>
      <c r="F440" s="2">
        <v>4</v>
      </c>
      <c r="G440" s="2" t="s">
        <v>1400</v>
      </c>
      <c r="H440" s="2" t="s">
        <v>1399</v>
      </c>
      <c r="I440" s="4" t="s">
        <v>60</v>
      </c>
      <c r="J440" s="112">
        <f>IF($H440&lt;&gt;"Y",0,ROUND(MIN(Dashboard!$R$24,IF(IFERROR(VLOOKUP($B440,Dashboard!$Q$28:$S$60,2,FALSE),0)&gt;0,IFERROR(VLOOKUP($B440,Dashboard!$Q$28:$S$60,2,FALSE),0),$Z440*IF($U440&lt;&gt;"",ROUND((Dashboard!$R$4/$U440)*VLOOKUP($I440,Dashboard!$Q$9:$R$13,2,FALSE)*IF(ISNUMBER(SEARCH("Duals",$B440)),2,IF(ISNUMBER(SEARCH("Triples",$B440)),3,IF(ISNUMBER(SEARCH("Quads",$B440)),4,1))),2),ROUND(VLOOKUP($I440,Dashboard!$Q$15:$R$20,2,FALSE)*IF($E440="Red",Dashboard!$R$6,IF($E440="Gold",Dashboard!$R$7,Dashboard!$R$5))*IF(ISNUMBER(SEARCH("Duals",$B440)),2,IF(ISNUMBER(SEARCH("Triples",$B440)),3,IF(ISNUMBER(SEARCH("Quads",$B440)),4,1))),2))*IF(IFERROR(VLOOKUP($B440,Dashboard!$Q$28:$S$60,3,FALSE),0)&gt;0,VLOOKUP($B440,Dashboard!$Q$28:$S$60,3,FALSE),1))),0))</f>
        <v>0</v>
      </c>
      <c r="K440" s="2" t="str">
        <f>IF('Base S1'!J40="","",'Base S1'!J40)</f>
        <v/>
      </c>
      <c r="L440" s="2">
        <f t="shared" si="78"/>
        <v>0</v>
      </c>
      <c r="M440" s="2">
        <f t="shared" si="79"/>
        <v>0</v>
      </c>
      <c r="N440" s="2">
        <f t="shared" si="80"/>
        <v>0</v>
      </c>
      <c r="O440" s="2">
        <f t="shared" si="81"/>
        <v>0</v>
      </c>
      <c r="P440" s="112">
        <f t="shared" si="82"/>
        <v>0</v>
      </c>
      <c r="Q440" s="112">
        <f t="shared" si="83"/>
        <v>0</v>
      </c>
      <c r="R440" s="53"/>
      <c r="S440" s="53" t="str">
        <f t="shared" si="84"/>
        <v>Base S1|Printing Plates Parallel - Season 1|39|Printing Plate</v>
      </c>
      <c r="T440" s="57" t="str">
        <f>IF($S440="","",IFERROR(VLOOKUP($S440,'Pop Estimates (Non-#d)'!$N$2:$O$500,2,FALSE),""))</f>
        <v/>
      </c>
      <c r="U440" s="57">
        <f t="shared" si="85"/>
        <v>4</v>
      </c>
      <c r="V440" s="53" t="str">
        <f t="shared" si="86"/>
        <v/>
      </c>
      <c r="W440" s="53" t="str">
        <f t="shared" si="87"/>
        <v/>
      </c>
      <c r="X440" s="53" t="str">
        <f t="shared" si="88"/>
        <v/>
      </c>
      <c r="Y440" s="57" t="str">
        <f>IF($X440="","",IFERROR(VLOOKUP($X440,'Char Popularity'!$A$2:$C$500,2,FALSE),""))</f>
        <v/>
      </c>
      <c r="Z440" s="56">
        <f>IF($X440="",1,IFERROR(VLOOKUP($X440,'Char Popularity'!$A$2:$C$500,3,FALSE),1))</f>
        <v>1</v>
      </c>
      <c r="AA440" s="62">
        <f>IF($H440&lt;&gt;"Y",0,(IF($F440&lt;&gt;"",ROUND(Dashboard!$R$4/$F440,1),IF(AND($I440="Base",$E440="Base"),Dashboard!$R$5,IF(AND($I440="Base",$E440="Red"),Dashboard!$R$6,IF(AND($I440="Base",$E440="Gold"),Dashboard!$R$7,VLOOKUP($I440,Dashboard!$Q$16:$R$21,2,FALSE)))))*VLOOKUP($I440,Dashboard!$Q$9:$R$13,2,FALSE)*IF(AND($I440="Auto",$F440="",OR($B440="Autographs Duals",$B440="Autographs Triples",$B440="Autographs Quads",$B440="Autographs Quads (Inscribed)")),IF($B440="Autographs Duals",2,IF($B440="Autographs Triples",3,4)),1)))</f>
        <v>0</v>
      </c>
      <c r="AB440" s="62">
        <f t="shared" si="89"/>
        <v>0</v>
      </c>
      <c r="AC440" s="62">
        <f t="shared" si="90"/>
        <v>0</v>
      </c>
    </row>
    <row r="441" spans="1:29" ht="42.95" customHeight="1" x14ac:dyDescent="0.25">
      <c r="A441" s="4" t="s">
        <v>17</v>
      </c>
      <c r="B441" s="7" t="s">
        <v>792</v>
      </c>
      <c r="C441" s="2" t="s">
        <v>1439</v>
      </c>
      <c r="D441" s="7" t="s">
        <v>922</v>
      </c>
      <c r="E441" s="4" t="s">
        <v>829</v>
      </c>
      <c r="F441" s="2">
        <v>4</v>
      </c>
      <c r="G441" s="2" t="s">
        <v>1400</v>
      </c>
      <c r="H441" s="2" t="s">
        <v>1399</v>
      </c>
      <c r="I441" s="4" t="s">
        <v>60</v>
      </c>
      <c r="J441" s="112">
        <f>IF($H441&lt;&gt;"Y",0,ROUND(MIN(Dashboard!$R$24,IF(IFERROR(VLOOKUP($B441,Dashboard!$Q$28:$S$60,2,FALSE),0)&gt;0,IFERROR(VLOOKUP($B441,Dashboard!$Q$28:$S$60,2,FALSE),0),$Z441*IF($U441&lt;&gt;"",ROUND((Dashboard!$R$4/$U441)*VLOOKUP($I441,Dashboard!$Q$9:$R$13,2,FALSE)*IF(ISNUMBER(SEARCH("Duals",$B441)),2,IF(ISNUMBER(SEARCH("Triples",$B441)),3,IF(ISNUMBER(SEARCH("Quads",$B441)),4,1))),2),ROUND(VLOOKUP($I441,Dashboard!$Q$15:$R$20,2,FALSE)*IF($E441="Red",Dashboard!$R$6,IF($E441="Gold",Dashboard!$R$7,Dashboard!$R$5))*IF(ISNUMBER(SEARCH("Duals",$B441)),2,IF(ISNUMBER(SEARCH("Triples",$B441)),3,IF(ISNUMBER(SEARCH("Quads",$B441)),4,1))),2))*IF(IFERROR(VLOOKUP($B441,Dashboard!$Q$28:$S$60,3,FALSE),0)&gt;0,VLOOKUP($B441,Dashboard!$Q$28:$S$60,3,FALSE),1))),0))</f>
        <v>0</v>
      </c>
      <c r="K441" s="2" t="str">
        <f>IF('Base S1'!J41="","",'Base S1'!J41)</f>
        <v>C Magenta</v>
      </c>
      <c r="L441" s="2">
        <f t="shared" si="78"/>
        <v>1</v>
      </c>
      <c r="M441" s="2">
        <f t="shared" si="79"/>
        <v>0</v>
      </c>
      <c r="N441" s="2">
        <f t="shared" si="80"/>
        <v>1</v>
      </c>
      <c r="O441" s="2">
        <f t="shared" si="81"/>
        <v>0</v>
      </c>
      <c r="P441" s="112">
        <f t="shared" si="82"/>
        <v>0</v>
      </c>
      <c r="Q441" s="112">
        <f t="shared" si="83"/>
        <v>0</v>
      </c>
      <c r="R441" s="53"/>
      <c r="S441" s="53" t="str">
        <f t="shared" si="84"/>
        <v>Base S1|Printing Plates Parallel - Season 1|40|Printing Plate</v>
      </c>
      <c r="T441" s="57" t="str">
        <f>IF($S441="","",IFERROR(VLOOKUP($S441,'Pop Estimates (Non-#d)'!$N$2:$O$500,2,FALSE),""))</f>
        <v/>
      </c>
      <c r="U441" s="57">
        <f t="shared" si="85"/>
        <v>4</v>
      </c>
      <c r="V441" s="53" t="str">
        <f t="shared" si="86"/>
        <v/>
      </c>
      <c r="W441" s="53" t="str">
        <f t="shared" si="87"/>
        <v/>
      </c>
      <c r="X441" s="53" t="str">
        <f t="shared" si="88"/>
        <v/>
      </c>
      <c r="Y441" s="57" t="str">
        <f>IF($X441="","",IFERROR(VLOOKUP($X441,'Char Popularity'!$A$2:$C$500,2,FALSE),""))</f>
        <v/>
      </c>
      <c r="Z441" s="56">
        <f>IF($X441="",1,IFERROR(VLOOKUP($X441,'Char Popularity'!$A$2:$C$500,3,FALSE),1))</f>
        <v>1</v>
      </c>
      <c r="AA441" s="62">
        <f>IF($H441&lt;&gt;"Y",0,(IF($F441&lt;&gt;"",ROUND(Dashboard!$R$4/$F441,1),IF(AND($I441="Base",$E441="Base"),Dashboard!$R$5,IF(AND($I441="Base",$E441="Red"),Dashboard!$R$6,IF(AND($I441="Base",$E441="Gold"),Dashboard!$R$7,VLOOKUP($I441,Dashboard!$Q$16:$R$21,2,FALSE)))))*VLOOKUP($I441,Dashboard!$Q$9:$R$13,2,FALSE)*IF(AND($I441="Auto",$F441="",OR($B441="Autographs Duals",$B441="Autographs Triples",$B441="Autographs Quads",$B441="Autographs Quads (Inscribed)")),IF($B441="Autographs Duals",2,IF($B441="Autographs Triples",3,4)),1)))</f>
        <v>0</v>
      </c>
      <c r="AB441" s="62">
        <f t="shared" si="89"/>
        <v>0</v>
      </c>
      <c r="AC441" s="62">
        <f t="shared" si="90"/>
        <v>0</v>
      </c>
    </row>
    <row r="442" spans="1:29" ht="42.95" customHeight="1" x14ac:dyDescent="0.25">
      <c r="A442" s="4" t="s">
        <v>17</v>
      </c>
      <c r="B442" s="7" t="s">
        <v>792</v>
      </c>
      <c r="C442" s="2" t="s">
        <v>1440</v>
      </c>
      <c r="D442" s="7" t="s">
        <v>925</v>
      </c>
      <c r="E442" s="4" t="s">
        <v>829</v>
      </c>
      <c r="F442" s="2">
        <v>4</v>
      </c>
      <c r="G442" s="2" t="s">
        <v>1400</v>
      </c>
      <c r="H442" s="2" t="s">
        <v>1399</v>
      </c>
      <c r="I442" s="4" t="s">
        <v>60</v>
      </c>
      <c r="J442" s="112">
        <f>IF($H442&lt;&gt;"Y",0,ROUND(MIN(Dashboard!$R$24,IF(IFERROR(VLOOKUP($B442,Dashboard!$Q$28:$S$60,2,FALSE),0)&gt;0,IFERROR(VLOOKUP($B442,Dashboard!$Q$28:$S$60,2,FALSE),0),$Z442*IF($U442&lt;&gt;"",ROUND((Dashboard!$R$4/$U442)*VLOOKUP($I442,Dashboard!$Q$9:$R$13,2,FALSE)*IF(ISNUMBER(SEARCH("Duals",$B442)),2,IF(ISNUMBER(SEARCH("Triples",$B442)),3,IF(ISNUMBER(SEARCH("Quads",$B442)),4,1))),2),ROUND(VLOOKUP($I442,Dashboard!$Q$15:$R$20,2,FALSE)*IF($E442="Red",Dashboard!$R$6,IF($E442="Gold",Dashboard!$R$7,Dashboard!$R$5))*IF(ISNUMBER(SEARCH("Duals",$B442)),2,IF(ISNUMBER(SEARCH("Triples",$B442)),3,IF(ISNUMBER(SEARCH("Quads",$B442)),4,1))),2))*IF(IFERROR(VLOOKUP($B442,Dashboard!$Q$28:$S$60,3,FALSE),0)&gt;0,VLOOKUP($B442,Dashboard!$Q$28:$S$60,3,FALSE),1))),0))</f>
        <v>0</v>
      </c>
      <c r="K442" s="2" t="str">
        <f>IF('Base S1'!J42="","",'Base S1'!J42)</f>
        <v/>
      </c>
      <c r="L442" s="2">
        <f t="shared" si="78"/>
        <v>0</v>
      </c>
      <c r="M442" s="2">
        <f t="shared" si="79"/>
        <v>0</v>
      </c>
      <c r="N442" s="2">
        <f t="shared" si="80"/>
        <v>0</v>
      </c>
      <c r="O442" s="2">
        <f t="shared" si="81"/>
        <v>0</v>
      </c>
      <c r="P442" s="112">
        <f t="shared" si="82"/>
        <v>0</v>
      </c>
      <c r="Q442" s="112">
        <f t="shared" si="83"/>
        <v>0</v>
      </c>
      <c r="R442" s="53"/>
      <c r="S442" s="53" t="str">
        <f t="shared" si="84"/>
        <v>Base S1|Printing Plates Parallel - Season 1|41|Printing Plate</v>
      </c>
      <c r="T442" s="57" t="str">
        <f>IF($S442="","",IFERROR(VLOOKUP($S442,'Pop Estimates (Non-#d)'!$N$2:$O$500,2,FALSE),""))</f>
        <v/>
      </c>
      <c r="U442" s="57">
        <f t="shared" si="85"/>
        <v>4</v>
      </c>
      <c r="V442" s="53" t="str">
        <f t="shared" si="86"/>
        <v/>
      </c>
      <c r="W442" s="53" t="str">
        <f t="shared" si="87"/>
        <v/>
      </c>
      <c r="X442" s="53" t="str">
        <f t="shared" si="88"/>
        <v/>
      </c>
      <c r="Y442" s="57" t="str">
        <f>IF($X442="","",IFERROR(VLOOKUP($X442,'Char Popularity'!$A$2:$C$500,2,FALSE),""))</f>
        <v/>
      </c>
      <c r="Z442" s="56">
        <f>IF($X442="",1,IFERROR(VLOOKUP($X442,'Char Popularity'!$A$2:$C$500,3,FALSE),1))</f>
        <v>1</v>
      </c>
      <c r="AA442" s="62">
        <f>IF($H442&lt;&gt;"Y",0,(IF($F442&lt;&gt;"",ROUND(Dashboard!$R$4/$F442,1),IF(AND($I442="Base",$E442="Base"),Dashboard!$R$5,IF(AND($I442="Base",$E442="Red"),Dashboard!$R$6,IF(AND($I442="Base",$E442="Gold"),Dashboard!$R$7,VLOOKUP($I442,Dashboard!$Q$16:$R$21,2,FALSE)))))*VLOOKUP($I442,Dashboard!$Q$9:$R$13,2,FALSE)*IF(AND($I442="Auto",$F442="",OR($B442="Autographs Duals",$B442="Autographs Triples",$B442="Autographs Quads",$B442="Autographs Quads (Inscribed)")),IF($B442="Autographs Duals",2,IF($B442="Autographs Triples",3,4)),1)))</f>
        <v>0</v>
      </c>
      <c r="AB442" s="62">
        <f t="shared" si="89"/>
        <v>0</v>
      </c>
      <c r="AC442" s="62">
        <f t="shared" si="90"/>
        <v>0</v>
      </c>
    </row>
    <row r="443" spans="1:29" ht="42.95" customHeight="1" x14ac:dyDescent="0.25">
      <c r="A443" s="4" t="s">
        <v>17</v>
      </c>
      <c r="B443" s="7" t="s">
        <v>792</v>
      </c>
      <c r="C443" s="2" t="s">
        <v>1441</v>
      </c>
      <c r="D443" s="7" t="s">
        <v>926</v>
      </c>
      <c r="E443" s="4" t="s">
        <v>829</v>
      </c>
      <c r="F443" s="2">
        <v>4</v>
      </c>
      <c r="G443" s="2" t="s">
        <v>1400</v>
      </c>
      <c r="H443" s="2" t="s">
        <v>1399</v>
      </c>
      <c r="I443" s="4" t="s">
        <v>60</v>
      </c>
      <c r="J443" s="112">
        <f>IF($H443&lt;&gt;"Y",0,ROUND(MIN(Dashboard!$R$24,IF(IFERROR(VLOOKUP($B443,Dashboard!$Q$28:$S$60,2,FALSE),0)&gt;0,IFERROR(VLOOKUP($B443,Dashboard!$Q$28:$S$60,2,FALSE),0),$Z443*IF($U443&lt;&gt;"",ROUND((Dashboard!$R$4/$U443)*VLOOKUP($I443,Dashboard!$Q$9:$R$13,2,FALSE)*IF(ISNUMBER(SEARCH("Duals",$B443)),2,IF(ISNUMBER(SEARCH("Triples",$B443)),3,IF(ISNUMBER(SEARCH("Quads",$B443)),4,1))),2),ROUND(VLOOKUP($I443,Dashboard!$Q$15:$R$20,2,FALSE)*IF($E443="Red",Dashboard!$R$6,IF($E443="Gold",Dashboard!$R$7,Dashboard!$R$5))*IF(ISNUMBER(SEARCH("Duals",$B443)),2,IF(ISNUMBER(SEARCH("Triples",$B443)),3,IF(ISNUMBER(SEARCH("Quads",$B443)),4,1))),2))*IF(IFERROR(VLOOKUP($B443,Dashboard!$Q$28:$S$60,3,FALSE),0)&gt;0,VLOOKUP($B443,Dashboard!$Q$28:$S$60,3,FALSE),1))),0))</f>
        <v>0</v>
      </c>
      <c r="K443" s="2" t="str">
        <f>IF('Base S1'!J43="","",'Base S1'!J43)</f>
        <v/>
      </c>
      <c r="L443" s="2">
        <f t="shared" si="78"/>
        <v>0</v>
      </c>
      <c r="M443" s="2">
        <f t="shared" si="79"/>
        <v>0</v>
      </c>
      <c r="N443" s="2">
        <f t="shared" si="80"/>
        <v>0</v>
      </c>
      <c r="O443" s="2">
        <f t="shared" si="81"/>
        <v>0</v>
      </c>
      <c r="P443" s="112">
        <f t="shared" si="82"/>
        <v>0</v>
      </c>
      <c r="Q443" s="112">
        <f t="shared" si="83"/>
        <v>0</v>
      </c>
      <c r="R443" s="53"/>
      <c r="S443" s="53" t="str">
        <f t="shared" si="84"/>
        <v>Base S1|Printing Plates Parallel - Season 1|42|Printing Plate</v>
      </c>
      <c r="T443" s="57" t="str">
        <f>IF($S443="","",IFERROR(VLOOKUP($S443,'Pop Estimates (Non-#d)'!$N$2:$O$500,2,FALSE),""))</f>
        <v/>
      </c>
      <c r="U443" s="57">
        <f t="shared" si="85"/>
        <v>4</v>
      </c>
      <c r="V443" s="53" t="str">
        <f t="shared" si="86"/>
        <v/>
      </c>
      <c r="W443" s="53" t="str">
        <f t="shared" si="87"/>
        <v/>
      </c>
      <c r="X443" s="53" t="str">
        <f t="shared" si="88"/>
        <v/>
      </c>
      <c r="Y443" s="57" t="str">
        <f>IF($X443="","",IFERROR(VLOOKUP($X443,'Char Popularity'!$A$2:$C$500,2,FALSE),""))</f>
        <v/>
      </c>
      <c r="Z443" s="56">
        <f>IF($X443="",1,IFERROR(VLOOKUP($X443,'Char Popularity'!$A$2:$C$500,3,FALSE),1))</f>
        <v>1</v>
      </c>
      <c r="AA443" s="62">
        <f>IF($H443&lt;&gt;"Y",0,(IF($F443&lt;&gt;"",ROUND(Dashboard!$R$4/$F443,1),IF(AND($I443="Base",$E443="Base"),Dashboard!$R$5,IF(AND($I443="Base",$E443="Red"),Dashboard!$R$6,IF(AND($I443="Base",$E443="Gold"),Dashboard!$R$7,VLOOKUP($I443,Dashboard!$Q$16:$R$21,2,FALSE)))))*VLOOKUP($I443,Dashboard!$Q$9:$R$13,2,FALSE)*IF(AND($I443="Auto",$F443="",OR($B443="Autographs Duals",$B443="Autographs Triples",$B443="Autographs Quads",$B443="Autographs Quads (Inscribed)")),IF($B443="Autographs Duals",2,IF($B443="Autographs Triples",3,4)),1)))</f>
        <v>0</v>
      </c>
      <c r="AB443" s="62">
        <f t="shared" si="89"/>
        <v>0</v>
      </c>
      <c r="AC443" s="62">
        <f t="shared" si="90"/>
        <v>0</v>
      </c>
    </row>
    <row r="444" spans="1:29" ht="42.95" customHeight="1" x14ac:dyDescent="0.25">
      <c r="A444" s="4" t="s">
        <v>17</v>
      </c>
      <c r="B444" s="7" t="s">
        <v>792</v>
      </c>
      <c r="C444" s="2" t="s">
        <v>1442</v>
      </c>
      <c r="D444" s="7" t="s">
        <v>928</v>
      </c>
      <c r="E444" s="4" t="s">
        <v>829</v>
      </c>
      <c r="F444" s="2">
        <v>4</v>
      </c>
      <c r="G444" s="2" t="s">
        <v>1400</v>
      </c>
      <c r="H444" s="2" t="s">
        <v>1399</v>
      </c>
      <c r="I444" s="4" t="s">
        <v>60</v>
      </c>
      <c r="J444" s="112">
        <f>IF($H444&lt;&gt;"Y",0,ROUND(MIN(Dashboard!$R$24,IF(IFERROR(VLOOKUP($B444,Dashboard!$Q$28:$S$60,2,FALSE),0)&gt;0,IFERROR(VLOOKUP($B444,Dashboard!$Q$28:$S$60,2,FALSE),0),$Z444*IF($U444&lt;&gt;"",ROUND((Dashboard!$R$4/$U444)*VLOOKUP($I444,Dashboard!$Q$9:$R$13,2,FALSE)*IF(ISNUMBER(SEARCH("Duals",$B444)),2,IF(ISNUMBER(SEARCH("Triples",$B444)),3,IF(ISNUMBER(SEARCH("Quads",$B444)),4,1))),2),ROUND(VLOOKUP($I444,Dashboard!$Q$15:$R$20,2,FALSE)*IF($E444="Red",Dashboard!$R$6,IF($E444="Gold",Dashboard!$R$7,Dashboard!$R$5))*IF(ISNUMBER(SEARCH("Duals",$B444)),2,IF(ISNUMBER(SEARCH("Triples",$B444)),3,IF(ISNUMBER(SEARCH("Quads",$B444)),4,1))),2))*IF(IFERROR(VLOOKUP($B444,Dashboard!$Q$28:$S$60,3,FALSE),0)&gt;0,VLOOKUP($B444,Dashboard!$Q$28:$S$60,3,FALSE),1))),0))</f>
        <v>0</v>
      </c>
      <c r="K444" s="2" t="str">
        <f>IF('Base S1'!J44="","",'Base S1'!J44)</f>
        <v/>
      </c>
      <c r="L444" s="2">
        <f t="shared" si="78"/>
        <v>0</v>
      </c>
      <c r="M444" s="2">
        <f t="shared" si="79"/>
        <v>0</v>
      </c>
      <c r="N444" s="2">
        <f t="shared" si="80"/>
        <v>0</v>
      </c>
      <c r="O444" s="2">
        <f t="shared" si="81"/>
        <v>0</v>
      </c>
      <c r="P444" s="112">
        <f t="shared" si="82"/>
        <v>0</v>
      </c>
      <c r="Q444" s="112">
        <f t="shared" si="83"/>
        <v>0</v>
      </c>
      <c r="R444" s="53"/>
      <c r="S444" s="53" t="str">
        <f t="shared" si="84"/>
        <v>Base S1|Printing Plates Parallel - Season 1|43|Printing Plate</v>
      </c>
      <c r="T444" s="57" t="str">
        <f>IF($S444="","",IFERROR(VLOOKUP($S444,'Pop Estimates (Non-#d)'!$N$2:$O$500,2,FALSE),""))</f>
        <v/>
      </c>
      <c r="U444" s="57">
        <f t="shared" si="85"/>
        <v>4</v>
      </c>
      <c r="V444" s="53" t="str">
        <f t="shared" si="86"/>
        <v/>
      </c>
      <c r="W444" s="53" t="str">
        <f t="shared" si="87"/>
        <v/>
      </c>
      <c r="X444" s="53" t="str">
        <f t="shared" si="88"/>
        <v/>
      </c>
      <c r="Y444" s="57" t="str">
        <f>IF($X444="","",IFERROR(VLOOKUP($X444,'Char Popularity'!$A$2:$C$500,2,FALSE),""))</f>
        <v/>
      </c>
      <c r="Z444" s="56">
        <f>IF($X444="",1,IFERROR(VLOOKUP($X444,'Char Popularity'!$A$2:$C$500,3,FALSE),1))</f>
        <v>1</v>
      </c>
      <c r="AA444" s="62">
        <f>IF($H444&lt;&gt;"Y",0,(IF($F444&lt;&gt;"",ROUND(Dashboard!$R$4/$F444,1),IF(AND($I444="Base",$E444="Base"),Dashboard!$R$5,IF(AND($I444="Base",$E444="Red"),Dashboard!$R$6,IF(AND($I444="Base",$E444="Gold"),Dashboard!$R$7,VLOOKUP($I444,Dashboard!$Q$16:$R$21,2,FALSE)))))*VLOOKUP($I444,Dashboard!$Q$9:$R$13,2,FALSE)*IF(AND($I444="Auto",$F444="",OR($B444="Autographs Duals",$B444="Autographs Triples",$B444="Autographs Quads",$B444="Autographs Quads (Inscribed)")),IF($B444="Autographs Duals",2,IF($B444="Autographs Triples",3,4)),1)))</f>
        <v>0</v>
      </c>
      <c r="AB444" s="62">
        <f t="shared" si="89"/>
        <v>0</v>
      </c>
      <c r="AC444" s="62">
        <f t="shared" si="90"/>
        <v>0</v>
      </c>
    </row>
    <row r="445" spans="1:29" ht="42.95" customHeight="1" x14ac:dyDescent="0.25">
      <c r="A445" s="4" t="s">
        <v>17</v>
      </c>
      <c r="B445" s="7" t="s">
        <v>792</v>
      </c>
      <c r="C445" s="2" t="s">
        <v>1443</v>
      </c>
      <c r="D445" s="7" t="s">
        <v>930</v>
      </c>
      <c r="E445" s="4" t="s">
        <v>829</v>
      </c>
      <c r="F445" s="2">
        <v>4</v>
      </c>
      <c r="G445" s="2" t="s">
        <v>1400</v>
      </c>
      <c r="H445" s="2" t="s">
        <v>1399</v>
      </c>
      <c r="I445" s="4" t="s">
        <v>60</v>
      </c>
      <c r="J445" s="112">
        <f>IF($H445&lt;&gt;"Y",0,ROUND(MIN(Dashboard!$R$24,IF(IFERROR(VLOOKUP($B445,Dashboard!$Q$28:$S$60,2,FALSE),0)&gt;0,IFERROR(VLOOKUP($B445,Dashboard!$Q$28:$S$60,2,FALSE),0),$Z445*IF($U445&lt;&gt;"",ROUND((Dashboard!$R$4/$U445)*VLOOKUP($I445,Dashboard!$Q$9:$R$13,2,FALSE)*IF(ISNUMBER(SEARCH("Duals",$B445)),2,IF(ISNUMBER(SEARCH("Triples",$B445)),3,IF(ISNUMBER(SEARCH("Quads",$B445)),4,1))),2),ROUND(VLOOKUP($I445,Dashboard!$Q$15:$R$20,2,FALSE)*IF($E445="Red",Dashboard!$R$6,IF($E445="Gold",Dashboard!$R$7,Dashboard!$R$5))*IF(ISNUMBER(SEARCH("Duals",$B445)),2,IF(ISNUMBER(SEARCH("Triples",$B445)),3,IF(ISNUMBER(SEARCH("Quads",$B445)),4,1))),2))*IF(IFERROR(VLOOKUP($B445,Dashboard!$Q$28:$S$60,3,FALSE),0)&gt;0,VLOOKUP($B445,Dashboard!$Q$28:$S$60,3,FALSE),1))),0))</f>
        <v>0</v>
      </c>
      <c r="K445" s="2" t="str">
        <f>IF('Base S1'!J45="","",'Base S1'!J45)</f>
        <v/>
      </c>
      <c r="L445" s="2">
        <f t="shared" si="78"/>
        <v>0</v>
      </c>
      <c r="M445" s="2">
        <f t="shared" si="79"/>
        <v>0</v>
      </c>
      <c r="N445" s="2">
        <f t="shared" si="80"/>
        <v>0</v>
      </c>
      <c r="O445" s="2">
        <f t="shared" si="81"/>
        <v>0</v>
      </c>
      <c r="P445" s="112">
        <f t="shared" si="82"/>
        <v>0</v>
      </c>
      <c r="Q445" s="112">
        <f t="shared" si="83"/>
        <v>0</v>
      </c>
      <c r="R445" s="53"/>
      <c r="S445" s="53" t="str">
        <f t="shared" si="84"/>
        <v>Base S1|Printing Plates Parallel - Season 1|44|Printing Plate</v>
      </c>
      <c r="T445" s="57" t="str">
        <f>IF($S445="","",IFERROR(VLOOKUP($S445,'Pop Estimates (Non-#d)'!$N$2:$O$500,2,FALSE),""))</f>
        <v/>
      </c>
      <c r="U445" s="57">
        <f t="shared" si="85"/>
        <v>4</v>
      </c>
      <c r="V445" s="53" t="str">
        <f t="shared" si="86"/>
        <v/>
      </c>
      <c r="W445" s="53" t="str">
        <f t="shared" si="87"/>
        <v/>
      </c>
      <c r="X445" s="53" t="str">
        <f t="shared" si="88"/>
        <v/>
      </c>
      <c r="Y445" s="57" t="str">
        <f>IF($X445="","",IFERROR(VLOOKUP($X445,'Char Popularity'!$A$2:$C$500,2,FALSE),""))</f>
        <v/>
      </c>
      <c r="Z445" s="56">
        <f>IF($X445="",1,IFERROR(VLOOKUP($X445,'Char Popularity'!$A$2:$C$500,3,FALSE),1))</f>
        <v>1</v>
      </c>
      <c r="AA445" s="62">
        <f>IF($H445&lt;&gt;"Y",0,(IF($F445&lt;&gt;"",ROUND(Dashboard!$R$4/$F445,1),IF(AND($I445="Base",$E445="Base"),Dashboard!$R$5,IF(AND($I445="Base",$E445="Red"),Dashboard!$R$6,IF(AND($I445="Base",$E445="Gold"),Dashboard!$R$7,VLOOKUP($I445,Dashboard!$Q$16:$R$21,2,FALSE)))))*VLOOKUP($I445,Dashboard!$Q$9:$R$13,2,FALSE)*IF(AND($I445="Auto",$F445="",OR($B445="Autographs Duals",$B445="Autographs Triples",$B445="Autographs Quads",$B445="Autographs Quads (Inscribed)")),IF($B445="Autographs Duals",2,IF($B445="Autographs Triples",3,4)),1)))</f>
        <v>0</v>
      </c>
      <c r="AB445" s="62">
        <f t="shared" si="89"/>
        <v>0</v>
      </c>
      <c r="AC445" s="62">
        <f t="shared" si="90"/>
        <v>0</v>
      </c>
    </row>
    <row r="446" spans="1:29" ht="42.95" customHeight="1" x14ac:dyDescent="0.25">
      <c r="A446" s="4" t="s">
        <v>17</v>
      </c>
      <c r="B446" s="7" t="s">
        <v>792</v>
      </c>
      <c r="C446" s="2" t="s">
        <v>1444</v>
      </c>
      <c r="D446" s="7" t="s">
        <v>932</v>
      </c>
      <c r="E446" s="4" t="s">
        <v>829</v>
      </c>
      <c r="F446" s="2">
        <v>4</v>
      </c>
      <c r="G446" s="2" t="s">
        <v>1400</v>
      </c>
      <c r="H446" s="2" t="s">
        <v>1399</v>
      </c>
      <c r="I446" s="4" t="s">
        <v>60</v>
      </c>
      <c r="J446" s="112">
        <f>IF($H446&lt;&gt;"Y",0,ROUND(MIN(Dashboard!$R$24,IF(IFERROR(VLOOKUP($B446,Dashboard!$Q$28:$S$60,2,FALSE),0)&gt;0,IFERROR(VLOOKUP($B446,Dashboard!$Q$28:$S$60,2,FALSE),0),$Z446*IF($U446&lt;&gt;"",ROUND((Dashboard!$R$4/$U446)*VLOOKUP($I446,Dashboard!$Q$9:$R$13,2,FALSE)*IF(ISNUMBER(SEARCH("Duals",$B446)),2,IF(ISNUMBER(SEARCH("Triples",$B446)),3,IF(ISNUMBER(SEARCH("Quads",$B446)),4,1))),2),ROUND(VLOOKUP($I446,Dashboard!$Q$15:$R$20,2,FALSE)*IF($E446="Red",Dashboard!$R$6,IF($E446="Gold",Dashboard!$R$7,Dashboard!$R$5))*IF(ISNUMBER(SEARCH("Duals",$B446)),2,IF(ISNUMBER(SEARCH("Triples",$B446)),3,IF(ISNUMBER(SEARCH("Quads",$B446)),4,1))),2))*IF(IFERROR(VLOOKUP($B446,Dashboard!$Q$28:$S$60,3,FALSE),0)&gt;0,VLOOKUP($B446,Dashboard!$Q$28:$S$60,3,FALSE),1))),0))</f>
        <v>0</v>
      </c>
      <c r="K446" s="2" t="str">
        <f>IF('Base S1'!J46="","",'Base S1'!J46)</f>
        <v/>
      </c>
      <c r="L446" s="2">
        <f t="shared" si="78"/>
        <v>0</v>
      </c>
      <c r="M446" s="2">
        <f t="shared" si="79"/>
        <v>0</v>
      </c>
      <c r="N446" s="2">
        <f t="shared" si="80"/>
        <v>0</v>
      </c>
      <c r="O446" s="2">
        <f t="shared" si="81"/>
        <v>0</v>
      </c>
      <c r="P446" s="112">
        <f t="shared" si="82"/>
        <v>0</v>
      </c>
      <c r="Q446" s="112">
        <f t="shared" si="83"/>
        <v>0</v>
      </c>
      <c r="R446" s="53"/>
      <c r="S446" s="53" t="str">
        <f t="shared" si="84"/>
        <v>Base S1|Printing Plates Parallel - Season 1|45|Printing Plate</v>
      </c>
      <c r="T446" s="57" t="str">
        <f>IF($S446="","",IFERROR(VLOOKUP($S446,'Pop Estimates (Non-#d)'!$N$2:$O$500,2,FALSE),""))</f>
        <v/>
      </c>
      <c r="U446" s="57">
        <f t="shared" si="85"/>
        <v>4</v>
      </c>
      <c r="V446" s="53" t="str">
        <f t="shared" si="86"/>
        <v/>
      </c>
      <c r="W446" s="53" t="str">
        <f t="shared" si="87"/>
        <v/>
      </c>
      <c r="X446" s="53" t="str">
        <f t="shared" si="88"/>
        <v/>
      </c>
      <c r="Y446" s="57" t="str">
        <f>IF($X446="","",IFERROR(VLOOKUP($X446,'Char Popularity'!$A$2:$C$500,2,FALSE),""))</f>
        <v/>
      </c>
      <c r="Z446" s="56">
        <f>IF($X446="",1,IFERROR(VLOOKUP($X446,'Char Popularity'!$A$2:$C$500,3,FALSE),1))</f>
        <v>1</v>
      </c>
      <c r="AA446" s="62">
        <f>IF($H446&lt;&gt;"Y",0,(IF($F446&lt;&gt;"",ROUND(Dashboard!$R$4/$F446,1),IF(AND($I446="Base",$E446="Base"),Dashboard!$R$5,IF(AND($I446="Base",$E446="Red"),Dashboard!$R$6,IF(AND($I446="Base",$E446="Gold"),Dashboard!$R$7,VLOOKUP($I446,Dashboard!$Q$16:$R$21,2,FALSE)))))*VLOOKUP($I446,Dashboard!$Q$9:$R$13,2,FALSE)*IF(AND($I446="Auto",$F446="",OR($B446="Autographs Duals",$B446="Autographs Triples",$B446="Autographs Quads",$B446="Autographs Quads (Inscribed)")),IF($B446="Autographs Duals",2,IF($B446="Autographs Triples",3,4)),1)))</f>
        <v>0</v>
      </c>
      <c r="AB446" s="62">
        <f t="shared" si="89"/>
        <v>0</v>
      </c>
      <c r="AC446" s="62">
        <f t="shared" si="90"/>
        <v>0</v>
      </c>
    </row>
    <row r="447" spans="1:29" ht="42.95" customHeight="1" x14ac:dyDescent="0.25">
      <c r="A447" s="4" t="s">
        <v>17</v>
      </c>
      <c r="B447" s="7" t="s">
        <v>792</v>
      </c>
      <c r="C447" s="2" t="s">
        <v>1445</v>
      </c>
      <c r="D447" s="7" t="s">
        <v>934</v>
      </c>
      <c r="E447" s="4" t="s">
        <v>829</v>
      </c>
      <c r="F447" s="2">
        <v>4</v>
      </c>
      <c r="G447" s="2" t="s">
        <v>1400</v>
      </c>
      <c r="H447" s="2" t="s">
        <v>1399</v>
      </c>
      <c r="I447" s="4" t="s">
        <v>60</v>
      </c>
      <c r="J447" s="112">
        <f>IF($H447&lt;&gt;"Y",0,ROUND(MIN(Dashboard!$R$24,IF(IFERROR(VLOOKUP($B447,Dashboard!$Q$28:$S$60,2,FALSE),0)&gt;0,IFERROR(VLOOKUP($B447,Dashboard!$Q$28:$S$60,2,FALSE),0),$Z447*IF($U447&lt;&gt;"",ROUND((Dashboard!$R$4/$U447)*VLOOKUP($I447,Dashboard!$Q$9:$R$13,2,FALSE)*IF(ISNUMBER(SEARCH("Duals",$B447)),2,IF(ISNUMBER(SEARCH("Triples",$B447)),3,IF(ISNUMBER(SEARCH("Quads",$B447)),4,1))),2),ROUND(VLOOKUP($I447,Dashboard!$Q$15:$R$20,2,FALSE)*IF($E447="Red",Dashboard!$R$6,IF($E447="Gold",Dashboard!$R$7,Dashboard!$R$5))*IF(ISNUMBER(SEARCH("Duals",$B447)),2,IF(ISNUMBER(SEARCH("Triples",$B447)),3,IF(ISNUMBER(SEARCH("Quads",$B447)),4,1))),2))*IF(IFERROR(VLOOKUP($B447,Dashboard!$Q$28:$S$60,3,FALSE),0)&gt;0,VLOOKUP($B447,Dashboard!$Q$28:$S$60,3,FALSE),1))),0))</f>
        <v>0</v>
      </c>
      <c r="K447" s="2" t="str">
        <f>IF('Base S1'!J47="","",'Base S1'!J47)</f>
        <v/>
      </c>
      <c r="L447" s="2">
        <f t="shared" si="78"/>
        <v>0</v>
      </c>
      <c r="M447" s="2">
        <f t="shared" si="79"/>
        <v>0</v>
      </c>
      <c r="N447" s="2">
        <f t="shared" si="80"/>
        <v>0</v>
      </c>
      <c r="O447" s="2">
        <f t="shared" si="81"/>
        <v>0</v>
      </c>
      <c r="P447" s="112">
        <f t="shared" si="82"/>
        <v>0</v>
      </c>
      <c r="Q447" s="112">
        <f t="shared" si="83"/>
        <v>0</v>
      </c>
      <c r="R447" s="53"/>
      <c r="S447" s="53" t="str">
        <f t="shared" si="84"/>
        <v>Base S1|Printing Plates Parallel - Season 1|46|Printing Plate</v>
      </c>
      <c r="T447" s="57" t="str">
        <f>IF($S447="","",IFERROR(VLOOKUP($S447,'Pop Estimates (Non-#d)'!$N$2:$O$500,2,FALSE),""))</f>
        <v/>
      </c>
      <c r="U447" s="57">
        <f t="shared" si="85"/>
        <v>4</v>
      </c>
      <c r="V447" s="53" t="str">
        <f t="shared" si="86"/>
        <v/>
      </c>
      <c r="W447" s="53" t="str">
        <f t="shared" si="87"/>
        <v/>
      </c>
      <c r="X447" s="53" t="str">
        <f t="shared" si="88"/>
        <v/>
      </c>
      <c r="Y447" s="57" t="str">
        <f>IF($X447="","",IFERROR(VLOOKUP($X447,'Char Popularity'!$A$2:$C$500,2,FALSE),""))</f>
        <v/>
      </c>
      <c r="Z447" s="56">
        <f>IF($X447="",1,IFERROR(VLOOKUP($X447,'Char Popularity'!$A$2:$C$500,3,FALSE),1))</f>
        <v>1</v>
      </c>
      <c r="AA447" s="62">
        <f>IF($H447&lt;&gt;"Y",0,(IF($F447&lt;&gt;"",ROUND(Dashboard!$R$4/$F447,1),IF(AND($I447="Base",$E447="Base"),Dashboard!$R$5,IF(AND($I447="Base",$E447="Red"),Dashboard!$R$6,IF(AND($I447="Base",$E447="Gold"),Dashboard!$R$7,VLOOKUP($I447,Dashboard!$Q$16:$R$21,2,FALSE)))))*VLOOKUP($I447,Dashboard!$Q$9:$R$13,2,FALSE)*IF(AND($I447="Auto",$F447="",OR($B447="Autographs Duals",$B447="Autographs Triples",$B447="Autographs Quads",$B447="Autographs Quads (Inscribed)")),IF($B447="Autographs Duals",2,IF($B447="Autographs Triples",3,4)),1)))</f>
        <v>0</v>
      </c>
      <c r="AB447" s="62">
        <f t="shared" si="89"/>
        <v>0</v>
      </c>
      <c r="AC447" s="62">
        <f t="shared" si="90"/>
        <v>0</v>
      </c>
    </row>
    <row r="448" spans="1:29" ht="42.95" customHeight="1" x14ac:dyDescent="0.25">
      <c r="A448" s="4" t="s">
        <v>17</v>
      </c>
      <c r="B448" s="7" t="s">
        <v>792</v>
      </c>
      <c r="C448" s="2" t="s">
        <v>1446</v>
      </c>
      <c r="D448" s="7" t="s">
        <v>562</v>
      </c>
      <c r="E448" s="4" t="s">
        <v>829</v>
      </c>
      <c r="F448" s="2">
        <v>4</v>
      </c>
      <c r="G448" s="2" t="s">
        <v>1400</v>
      </c>
      <c r="H448" s="2" t="s">
        <v>1399</v>
      </c>
      <c r="I448" s="4" t="s">
        <v>60</v>
      </c>
      <c r="J448" s="112">
        <f>IF($H448&lt;&gt;"Y",0,ROUND(MIN(Dashboard!$R$24,IF(IFERROR(VLOOKUP($B448,Dashboard!$Q$28:$S$60,2,FALSE),0)&gt;0,IFERROR(VLOOKUP($B448,Dashboard!$Q$28:$S$60,2,FALSE),0),$Z448*IF($U448&lt;&gt;"",ROUND((Dashboard!$R$4/$U448)*VLOOKUP($I448,Dashboard!$Q$9:$R$13,2,FALSE)*IF(ISNUMBER(SEARCH("Duals",$B448)),2,IF(ISNUMBER(SEARCH("Triples",$B448)),3,IF(ISNUMBER(SEARCH("Quads",$B448)),4,1))),2),ROUND(VLOOKUP($I448,Dashboard!$Q$15:$R$20,2,FALSE)*IF($E448="Red",Dashboard!$R$6,IF($E448="Gold",Dashboard!$R$7,Dashboard!$R$5))*IF(ISNUMBER(SEARCH("Duals",$B448)),2,IF(ISNUMBER(SEARCH("Triples",$B448)),3,IF(ISNUMBER(SEARCH("Quads",$B448)),4,1))),2))*IF(IFERROR(VLOOKUP($B448,Dashboard!$Q$28:$S$60,3,FALSE),0)&gt;0,VLOOKUP($B448,Dashboard!$Q$28:$S$60,3,FALSE),1))),0))</f>
        <v>0</v>
      </c>
      <c r="K448" s="2" t="str">
        <f>IF('Base S1'!J48="","",'Base S1'!J48)</f>
        <v/>
      </c>
      <c r="L448" s="2">
        <f t="shared" si="78"/>
        <v>0</v>
      </c>
      <c r="M448" s="2">
        <f t="shared" si="79"/>
        <v>0</v>
      </c>
      <c r="N448" s="2">
        <f t="shared" si="80"/>
        <v>0</v>
      </c>
      <c r="O448" s="2">
        <f t="shared" si="81"/>
        <v>0</v>
      </c>
      <c r="P448" s="112">
        <f t="shared" si="82"/>
        <v>0</v>
      </c>
      <c r="Q448" s="112">
        <f t="shared" si="83"/>
        <v>0</v>
      </c>
      <c r="R448" s="53"/>
      <c r="S448" s="53" t="str">
        <f t="shared" si="84"/>
        <v>Base S1|Printing Plates Parallel - Season 1|47|Printing Plate</v>
      </c>
      <c r="T448" s="57" t="str">
        <f>IF($S448="","",IFERROR(VLOOKUP($S448,'Pop Estimates (Non-#d)'!$N$2:$O$500,2,FALSE),""))</f>
        <v/>
      </c>
      <c r="U448" s="57">
        <f t="shared" si="85"/>
        <v>4</v>
      </c>
      <c r="V448" s="53" t="str">
        <f t="shared" si="86"/>
        <v/>
      </c>
      <c r="W448" s="53" t="str">
        <f t="shared" si="87"/>
        <v/>
      </c>
      <c r="X448" s="53" t="str">
        <f t="shared" si="88"/>
        <v/>
      </c>
      <c r="Y448" s="57" t="str">
        <f>IF($X448="","",IFERROR(VLOOKUP($X448,'Char Popularity'!$A$2:$C$500,2,FALSE),""))</f>
        <v/>
      </c>
      <c r="Z448" s="56">
        <f>IF($X448="",1,IFERROR(VLOOKUP($X448,'Char Popularity'!$A$2:$C$500,3,FALSE),1))</f>
        <v>1</v>
      </c>
      <c r="AA448" s="62">
        <f>IF($H448&lt;&gt;"Y",0,(IF($F448&lt;&gt;"",ROUND(Dashboard!$R$4/$F448,1),IF(AND($I448="Base",$E448="Base"),Dashboard!$R$5,IF(AND($I448="Base",$E448="Red"),Dashboard!$R$6,IF(AND($I448="Base",$E448="Gold"),Dashboard!$R$7,VLOOKUP($I448,Dashboard!$Q$16:$R$21,2,FALSE)))))*VLOOKUP($I448,Dashboard!$Q$9:$R$13,2,FALSE)*IF(AND($I448="Auto",$F448="",OR($B448="Autographs Duals",$B448="Autographs Triples",$B448="Autographs Quads",$B448="Autographs Quads (Inscribed)")),IF($B448="Autographs Duals",2,IF($B448="Autographs Triples",3,4)),1)))</f>
        <v>0</v>
      </c>
      <c r="AB448" s="62">
        <f t="shared" si="89"/>
        <v>0</v>
      </c>
      <c r="AC448" s="62">
        <f t="shared" si="90"/>
        <v>0</v>
      </c>
    </row>
    <row r="449" spans="1:29" ht="42.95" customHeight="1" x14ac:dyDescent="0.25">
      <c r="A449" s="4" t="s">
        <v>17</v>
      </c>
      <c r="B449" s="7" t="s">
        <v>792</v>
      </c>
      <c r="C449" s="2" t="s">
        <v>1447</v>
      </c>
      <c r="D449" s="7" t="s">
        <v>539</v>
      </c>
      <c r="E449" s="4" t="s">
        <v>829</v>
      </c>
      <c r="F449" s="2">
        <v>4</v>
      </c>
      <c r="G449" s="2" t="s">
        <v>1400</v>
      </c>
      <c r="H449" s="2" t="s">
        <v>1399</v>
      </c>
      <c r="I449" s="4" t="s">
        <v>60</v>
      </c>
      <c r="J449" s="112">
        <f>IF($H449&lt;&gt;"Y",0,ROUND(MIN(Dashboard!$R$24,IF(IFERROR(VLOOKUP($B449,Dashboard!$Q$28:$S$60,2,FALSE),0)&gt;0,IFERROR(VLOOKUP($B449,Dashboard!$Q$28:$S$60,2,FALSE),0),$Z449*IF($U449&lt;&gt;"",ROUND((Dashboard!$R$4/$U449)*VLOOKUP($I449,Dashboard!$Q$9:$R$13,2,FALSE)*IF(ISNUMBER(SEARCH("Duals",$B449)),2,IF(ISNUMBER(SEARCH("Triples",$B449)),3,IF(ISNUMBER(SEARCH("Quads",$B449)),4,1))),2),ROUND(VLOOKUP($I449,Dashboard!$Q$15:$R$20,2,FALSE)*IF($E449="Red",Dashboard!$R$6,IF($E449="Gold",Dashboard!$R$7,Dashboard!$R$5))*IF(ISNUMBER(SEARCH("Duals",$B449)),2,IF(ISNUMBER(SEARCH("Triples",$B449)),3,IF(ISNUMBER(SEARCH("Quads",$B449)),4,1))),2))*IF(IFERROR(VLOOKUP($B449,Dashboard!$Q$28:$S$60,3,FALSE),0)&gt;0,VLOOKUP($B449,Dashboard!$Q$28:$S$60,3,FALSE),1))),0))</f>
        <v>0</v>
      </c>
      <c r="K449" s="2" t="str">
        <f>IF('Base S1'!J49="","",'Base S1'!J49)</f>
        <v/>
      </c>
      <c r="L449" s="2">
        <f t="shared" si="78"/>
        <v>0</v>
      </c>
      <c r="M449" s="2">
        <f t="shared" si="79"/>
        <v>0</v>
      </c>
      <c r="N449" s="2">
        <f t="shared" si="80"/>
        <v>0</v>
      </c>
      <c r="O449" s="2">
        <f t="shared" si="81"/>
        <v>0</v>
      </c>
      <c r="P449" s="112">
        <f t="shared" si="82"/>
        <v>0</v>
      </c>
      <c r="Q449" s="112">
        <f t="shared" si="83"/>
        <v>0</v>
      </c>
      <c r="R449" s="53"/>
      <c r="S449" s="53" t="str">
        <f t="shared" si="84"/>
        <v>Base S1|Printing Plates Parallel - Season 1|48|Printing Plate</v>
      </c>
      <c r="T449" s="57" t="str">
        <f>IF($S449="","",IFERROR(VLOOKUP($S449,'Pop Estimates (Non-#d)'!$N$2:$O$500,2,FALSE),""))</f>
        <v/>
      </c>
      <c r="U449" s="57">
        <f t="shared" si="85"/>
        <v>4</v>
      </c>
      <c r="V449" s="53" t="str">
        <f t="shared" si="86"/>
        <v/>
      </c>
      <c r="W449" s="53" t="str">
        <f t="shared" si="87"/>
        <v/>
      </c>
      <c r="X449" s="53" t="str">
        <f t="shared" si="88"/>
        <v/>
      </c>
      <c r="Y449" s="57" t="str">
        <f>IF($X449="","",IFERROR(VLOOKUP($X449,'Char Popularity'!$A$2:$C$500,2,FALSE),""))</f>
        <v/>
      </c>
      <c r="Z449" s="56">
        <f>IF($X449="",1,IFERROR(VLOOKUP($X449,'Char Popularity'!$A$2:$C$500,3,FALSE),1))</f>
        <v>1</v>
      </c>
      <c r="AA449" s="62">
        <f>IF($H449&lt;&gt;"Y",0,(IF($F449&lt;&gt;"",ROUND(Dashboard!$R$4/$F449,1),IF(AND($I449="Base",$E449="Base"),Dashboard!$R$5,IF(AND($I449="Base",$E449="Red"),Dashboard!$R$6,IF(AND($I449="Base",$E449="Gold"),Dashboard!$R$7,VLOOKUP($I449,Dashboard!$Q$16:$R$21,2,FALSE)))))*VLOOKUP($I449,Dashboard!$Q$9:$R$13,2,FALSE)*IF(AND($I449="Auto",$F449="",OR($B449="Autographs Duals",$B449="Autographs Triples",$B449="Autographs Quads",$B449="Autographs Quads (Inscribed)")),IF($B449="Autographs Duals",2,IF($B449="Autographs Triples",3,4)),1)))</f>
        <v>0</v>
      </c>
      <c r="AB449" s="62">
        <f t="shared" si="89"/>
        <v>0</v>
      </c>
      <c r="AC449" s="62">
        <f t="shared" si="90"/>
        <v>0</v>
      </c>
    </row>
    <row r="450" spans="1:29" ht="42.95" customHeight="1" x14ac:dyDescent="0.25">
      <c r="A450" s="4" t="s">
        <v>17</v>
      </c>
      <c r="B450" s="7" t="s">
        <v>792</v>
      </c>
      <c r="C450" s="2" t="s">
        <v>1448</v>
      </c>
      <c r="D450" s="7" t="s">
        <v>938</v>
      </c>
      <c r="E450" s="4" t="s">
        <v>829</v>
      </c>
      <c r="F450" s="2">
        <v>4</v>
      </c>
      <c r="G450" s="2" t="s">
        <v>1400</v>
      </c>
      <c r="H450" s="2" t="s">
        <v>1399</v>
      </c>
      <c r="I450" s="4" t="s">
        <v>60</v>
      </c>
      <c r="J450" s="112">
        <f>IF($H450&lt;&gt;"Y",0,ROUND(MIN(Dashboard!$R$24,IF(IFERROR(VLOOKUP($B450,Dashboard!$Q$28:$S$60,2,FALSE),0)&gt;0,IFERROR(VLOOKUP($B450,Dashboard!$Q$28:$S$60,2,FALSE),0),$Z450*IF($U450&lt;&gt;"",ROUND((Dashboard!$R$4/$U450)*VLOOKUP($I450,Dashboard!$Q$9:$R$13,2,FALSE)*IF(ISNUMBER(SEARCH("Duals",$B450)),2,IF(ISNUMBER(SEARCH("Triples",$B450)),3,IF(ISNUMBER(SEARCH("Quads",$B450)),4,1))),2),ROUND(VLOOKUP($I450,Dashboard!$Q$15:$R$20,2,FALSE)*IF($E450="Red",Dashboard!$R$6,IF($E450="Gold",Dashboard!$R$7,Dashboard!$R$5))*IF(ISNUMBER(SEARCH("Duals",$B450)),2,IF(ISNUMBER(SEARCH("Triples",$B450)),3,IF(ISNUMBER(SEARCH("Quads",$B450)),4,1))),2))*IF(IFERROR(VLOOKUP($B450,Dashboard!$Q$28:$S$60,3,FALSE),0)&gt;0,VLOOKUP($B450,Dashboard!$Q$28:$S$60,3,FALSE),1))),0))</f>
        <v>0</v>
      </c>
      <c r="K450" s="2" t="str">
        <f>IF('Base S1'!J50="","",'Base S1'!J50)</f>
        <v/>
      </c>
      <c r="L450" s="2">
        <f t="shared" ref="L450:L513" si="91">IF(AND($K450&lt;&gt;"",LEFT($K450,1)&lt;&gt;"Y"),1,0)</f>
        <v>0</v>
      </c>
      <c r="M450" s="2">
        <f t="shared" ref="M450:M513" si="92">IF(LEFT($K450,1)="Y",1,0)</f>
        <v>0</v>
      </c>
      <c r="N450" s="2">
        <f t="shared" ref="N450:N513" si="93">$L450+$M450</f>
        <v>0</v>
      </c>
      <c r="O450" s="2">
        <f t="shared" ref="O450:O513" si="94">IF($H450="Y",1-$N450,0)</f>
        <v>0</v>
      </c>
      <c r="P450" s="112">
        <f t="shared" ref="P450:P513" si="95">IF($L450=1,$J450,0)</f>
        <v>0</v>
      </c>
      <c r="Q450" s="112">
        <f t="shared" ref="Q450:Q513" si="96">IF($M450=1,$J450,0)</f>
        <v>0</v>
      </c>
      <c r="R450" s="53"/>
      <c r="S450" s="53" t="str">
        <f t="shared" ref="S450:S513" si="97">IF($A450="","",$A450&amp;"|"&amp;$B450&amp;"|"&amp;$C450&amp;"|"&amp;$E450)</f>
        <v>Base S1|Printing Plates Parallel - Season 1|49|Printing Plate</v>
      </c>
      <c r="T450" s="57" t="str">
        <f>IF($S450="","",IFERROR(VLOOKUP($S450,'Pop Estimates (Non-#d)'!$N$2:$O$500,2,FALSE),""))</f>
        <v/>
      </c>
      <c r="U450" s="57">
        <f t="shared" ref="U450:U513" si="98">IF($A450="","",IF($F450&lt;&gt;"",$F450,$T450))</f>
        <v>4</v>
      </c>
      <c r="V450" s="53" t="str">
        <f t="shared" ref="V450:V513" si="99">IF($A450="","",IF(ISNUMBER(SEARCH(" as ",$D450)),MID($D450,SEARCH(" as ",$D450)+4,255),IF(ISNUMBER(SEARCH("/",$D450)),LEFT($D450,FIND("/",$D450&amp;"/")-1),"")))</f>
        <v/>
      </c>
      <c r="W450" s="53" t="str">
        <f t="shared" ref="W450:W513" si="100">IF($V450="","",TRIM(IFERROR(MID($V450,SEARCH("(", $V450)+1,SEARCH(")",$V450)-SEARCH("(", $V450)-1),$V450)))</f>
        <v/>
      </c>
      <c r="X450" s="53" t="str">
        <f t="shared" ref="X450:X513" si="101">IF($W450="","",TRIM(LEFT($W450&amp;"""",FIND("""",$W450&amp;"""")-1)))</f>
        <v/>
      </c>
      <c r="Y450" s="57" t="str">
        <f>IF($X450="","",IFERROR(VLOOKUP($X450,'Char Popularity'!$A$2:$C$500,2,FALSE),""))</f>
        <v/>
      </c>
      <c r="Z450" s="56">
        <f>IF($X450="",1,IFERROR(VLOOKUP($X450,'Char Popularity'!$A$2:$C$500,3,FALSE),1))</f>
        <v>1</v>
      </c>
      <c r="AA450" s="62">
        <f>IF($H450&lt;&gt;"Y",0,(IF($F450&lt;&gt;"",ROUND(Dashboard!$R$4/$F450,1),IF(AND($I450="Base",$E450="Base"),Dashboard!$R$5,IF(AND($I450="Base",$E450="Red"),Dashboard!$R$6,IF(AND($I450="Base",$E450="Gold"),Dashboard!$R$7,VLOOKUP($I450,Dashboard!$Q$16:$R$21,2,FALSE)))))*VLOOKUP($I450,Dashboard!$Q$9:$R$13,2,FALSE)*IF(AND($I450="Auto",$F450="",OR($B450="Autographs Duals",$B450="Autographs Triples",$B450="Autographs Quads",$B450="Autographs Quads (Inscribed)")),IF($B450="Autographs Duals",2,IF($B450="Autographs Triples",3,4)),1)))</f>
        <v>0</v>
      </c>
      <c r="AB450" s="62">
        <f t="shared" ref="AB450:AB513" si="102">IF($L450=1,$AA450,0)</f>
        <v>0</v>
      </c>
      <c r="AC450" s="62">
        <f t="shared" ref="AC450:AC513" si="103">IF($M450=1,$AA450,0)</f>
        <v>0</v>
      </c>
    </row>
    <row r="451" spans="1:29" ht="42.95" customHeight="1" x14ac:dyDescent="0.25">
      <c r="A451" s="4" t="s">
        <v>17</v>
      </c>
      <c r="B451" s="7" t="s">
        <v>792</v>
      </c>
      <c r="C451" s="2" t="s">
        <v>1449</v>
      </c>
      <c r="D451" s="7" t="s">
        <v>939</v>
      </c>
      <c r="E451" s="4" t="s">
        <v>829</v>
      </c>
      <c r="F451" s="2">
        <v>4</v>
      </c>
      <c r="G451" s="2" t="s">
        <v>1400</v>
      </c>
      <c r="H451" s="2" t="s">
        <v>1399</v>
      </c>
      <c r="I451" s="4" t="s">
        <v>60</v>
      </c>
      <c r="J451" s="112">
        <f>IF($H451&lt;&gt;"Y",0,ROUND(MIN(Dashboard!$R$24,IF(IFERROR(VLOOKUP($B451,Dashboard!$Q$28:$S$60,2,FALSE),0)&gt;0,IFERROR(VLOOKUP($B451,Dashboard!$Q$28:$S$60,2,FALSE),0),$Z451*IF($U451&lt;&gt;"",ROUND((Dashboard!$R$4/$U451)*VLOOKUP($I451,Dashboard!$Q$9:$R$13,2,FALSE)*IF(ISNUMBER(SEARCH("Duals",$B451)),2,IF(ISNUMBER(SEARCH("Triples",$B451)),3,IF(ISNUMBER(SEARCH("Quads",$B451)),4,1))),2),ROUND(VLOOKUP($I451,Dashboard!$Q$15:$R$20,2,FALSE)*IF($E451="Red",Dashboard!$R$6,IF($E451="Gold",Dashboard!$R$7,Dashboard!$R$5))*IF(ISNUMBER(SEARCH("Duals",$B451)),2,IF(ISNUMBER(SEARCH("Triples",$B451)),3,IF(ISNUMBER(SEARCH("Quads",$B451)),4,1))),2))*IF(IFERROR(VLOOKUP($B451,Dashboard!$Q$28:$S$60,3,FALSE),0)&gt;0,VLOOKUP($B451,Dashboard!$Q$28:$S$60,3,FALSE),1))),0))</f>
        <v>0</v>
      </c>
      <c r="K451" s="2" t="str">
        <f>IF('Base S1'!J51="","",'Base S1'!J51)</f>
        <v/>
      </c>
      <c r="L451" s="2">
        <f t="shared" si="91"/>
        <v>0</v>
      </c>
      <c r="M451" s="2">
        <f t="shared" si="92"/>
        <v>0</v>
      </c>
      <c r="N451" s="2">
        <f t="shared" si="93"/>
        <v>0</v>
      </c>
      <c r="O451" s="2">
        <f t="shared" si="94"/>
        <v>0</v>
      </c>
      <c r="P451" s="112">
        <f t="shared" si="95"/>
        <v>0</v>
      </c>
      <c r="Q451" s="112">
        <f t="shared" si="96"/>
        <v>0</v>
      </c>
      <c r="R451" s="53"/>
      <c r="S451" s="53" t="str">
        <f t="shared" si="97"/>
        <v>Base S1|Printing Plates Parallel - Season 1|50|Printing Plate</v>
      </c>
      <c r="T451" s="57" t="str">
        <f>IF($S451="","",IFERROR(VLOOKUP($S451,'Pop Estimates (Non-#d)'!$N$2:$O$500,2,FALSE),""))</f>
        <v/>
      </c>
      <c r="U451" s="57">
        <f t="shared" si="98"/>
        <v>4</v>
      </c>
      <c r="V451" s="53" t="str">
        <f t="shared" si="99"/>
        <v/>
      </c>
      <c r="W451" s="53" t="str">
        <f t="shared" si="100"/>
        <v/>
      </c>
      <c r="X451" s="53" t="str">
        <f t="shared" si="101"/>
        <v/>
      </c>
      <c r="Y451" s="57" t="str">
        <f>IF($X451="","",IFERROR(VLOOKUP($X451,'Char Popularity'!$A$2:$C$500,2,FALSE),""))</f>
        <v/>
      </c>
      <c r="Z451" s="56">
        <f>IF($X451="",1,IFERROR(VLOOKUP($X451,'Char Popularity'!$A$2:$C$500,3,FALSE),1))</f>
        <v>1</v>
      </c>
      <c r="AA451" s="62">
        <f>IF($H451&lt;&gt;"Y",0,(IF($F451&lt;&gt;"",ROUND(Dashboard!$R$4/$F451,1),IF(AND($I451="Base",$E451="Base"),Dashboard!$R$5,IF(AND($I451="Base",$E451="Red"),Dashboard!$R$6,IF(AND($I451="Base",$E451="Gold"),Dashboard!$R$7,VLOOKUP($I451,Dashboard!$Q$16:$R$21,2,FALSE)))))*VLOOKUP($I451,Dashboard!$Q$9:$R$13,2,FALSE)*IF(AND($I451="Auto",$F451="",OR($B451="Autographs Duals",$B451="Autographs Triples",$B451="Autographs Quads",$B451="Autographs Quads (Inscribed)")),IF($B451="Autographs Duals",2,IF($B451="Autographs Triples",3,4)),1)))</f>
        <v>0</v>
      </c>
      <c r="AB451" s="62">
        <f t="shared" si="102"/>
        <v>0</v>
      </c>
      <c r="AC451" s="62">
        <f t="shared" si="103"/>
        <v>0</v>
      </c>
    </row>
    <row r="452" spans="1:29" ht="42.95" customHeight="1" x14ac:dyDescent="0.25">
      <c r="A452" s="4" t="s">
        <v>17</v>
      </c>
      <c r="B452" s="7" t="s">
        <v>792</v>
      </c>
      <c r="C452" s="2" t="s">
        <v>1450</v>
      </c>
      <c r="D452" s="7" t="s">
        <v>941</v>
      </c>
      <c r="E452" s="4" t="s">
        <v>829</v>
      </c>
      <c r="F452" s="2">
        <v>4</v>
      </c>
      <c r="G452" s="2" t="s">
        <v>1400</v>
      </c>
      <c r="H452" s="2" t="s">
        <v>1399</v>
      </c>
      <c r="I452" s="4" t="s">
        <v>60</v>
      </c>
      <c r="J452" s="112">
        <f>IF($H452&lt;&gt;"Y",0,ROUND(MIN(Dashboard!$R$24,IF(IFERROR(VLOOKUP($B452,Dashboard!$Q$28:$S$60,2,FALSE),0)&gt;0,IFERROR(VLOOKUP($B452,Dashboard!$Q$28:$S$60,2,FALSE),0),$Z452*IF($U452&lt;&gt;"",ROUND((Dashboard!$R$4/$U452)*VLOOKUP($I452,Dashboard!$Q$9:$R$13,2,FALSE)*IF(ISNUMBER(SEARCH("Duals",$B452)),2,IF(ISNUMBER(SEARCH("Triples",$B452)),3,IF(ISNUMBER(SEARCH("Quads",$B452)),4,1))),2),ROUND(VLOOKUP($I452,Dashboard!$Q$15:$R$20,2,FALSE)*IF($E452="Red",Dashboard!$R$6,IF($E452="Gold",Dashboard!$R$7,Dashboard!$R$5))*IF(ISNUMBER(SEARCH("Duals",$B452)),2,IF(ISNUMBER(SEARCH("Triples",$B452)),3,IF(ISNUMBER(SEARCH("Quads",$B452)),4,1))),2))*IF(IFERROR(VLOOKUP($B452,Dashboard!$Q$28:$S$60,3,FALSE),0)&gt;0,VLOOKUP($B452,Dashboard!$Q$28:$S$60,3,FALSE),1))),0))</f>
        <v>0</v>
      </c>
      <c r="K452" s="2" t="str">
        <f>IF('Base S1'!J52="","",'Base S1'!J52)</f>
        <v/>
      </c>
      <c r="L452" s="2">
        <f t="shared" si="91"/>
        <v>0</v>
      </c>
      <c r="M452" s="2">
        <f t="shared" si="92"/>
        <v>0</v>
      </c>
      <c r="N452" s="2">
        <f t="shared" si="93"/>
        <v>0</v>
      </c>
      <c r="O452" s="2">
        <f t="shared" si="94"/>
        <v>0</v>
      </c>
      <c r="P452" s="112">
        <f t="shared" si="95"/>
        <v>0</v>
      </c>
      <c r="Q452" s="112">
        <f t="shared" si="96"/>
        <v>0</v>
      </c>
      <c r="R452" s="53"/>
      <c r="S452" s="53" t="str">
        <f t="shared" si="97"/>
        <v>Base S1|Printing Plates Parallel - Season 1|51|Printing Plate</v>
      </c>
      <c r="T452" s="57" t="str">
        <f>IF($S452="","",IFERROR(VLOOKUP($S452,'Pop Estimates (Non-#d)'!$N$2:$O$500,2,FALSE),""))</f>
        <v/>
      </c>
      <c r="U452" s="57">
        <f t="shared" si="98"/>
        <v>4</v>
      </c>
      <c r="V452" s="53" t="str">
        <f t="shared" si="99"/>
        <v/>
      </c>
      <c r="W452" s="53" t="str">
        <f t="shared" si="100"/>
        <v/>
      </c>
      <c r="X452" s="53" t="str">
        <f t="shared" si="101"/>
        <v/>
      </c>
      <c r="Y452" s="57" t="str">
        <f>IF($X452="","",IFERROR(VLOOKUP($X452,'Char Popularity'!$A$2:$C$500,2,FALSE),""))</f>
        <v/>
      </c>
      <c r="Z452" s="56">
        <f>IF($X452="",1,IFERROR(VLOOKUP($X452,'Char Popularity'!$A$2:$C$500,3,FALSE),1))</f>
        <v>1</v>
      </c>
      <c r="AA452" s="62">
        <f>IF($H452&lt;&gt;"Y",0,(IF($F452&lt;&gt;"",ROUND(Dashboard!$R$4/$F452,1),IF(AND($I452="Base",$E452="Base"),Dashboard!$R$5,IF(AND($I452="Base",$E452="Red"),Dashboard!$R$6,IF(AND($I452="Base",$E452="Gold"),Dashboard!$R$7,VLOOKUP($I452,Dashboard!$Q$16:$R$21,2,FALSE)))))*VLOOKUP($I452,Dashboard!$Q$9:$R$13,2,FALSE)*IF(AND($I452="Auto",$F452="",OR($B452="Autographs Duals",$B452="Autographs Triples",$B452="Autographs Quads",$B452="Autographs Quads (Inscribed)")),IF($B452="Autographs Duals",2,IF($B452="Autographs Triples",3,4)),1)))</f>
        <v>0</v>
      </c>
      <c r="AB452" s="62">
        <f t="shared" si="102"/>
        <v>0</v>
      </c>
      <c r="AC452" s="62">
        <f t="shared" si="103"/>
        <v>0</v>
      </c>
    </row>
    <row r="453" spans="1:29" ht="42.95" customHeight="1" x14ac:dyDescent="0.25">
      <c r="A453" s="4" t="s">
        <v>17</v>
      </c>
      <c r="B453" s="7" t="s">
        <v>792</v>
      </c>
      <c r="C453" s="2" t="s">
        <v>1451</v>
      </c>
      <c r="D453" s="7" t="s">
        <v>944</v>
      </c>
      <c r="E453" s="4" t="s">
        <v>829</v>
      </c>
      <c r="F453" s="2">
        <v>4</v>
      </c>
      <c r="G453" s="2" t="s">
        <v>1400</v>
      </c>
      <c r="H453" s="2" t="s">
        <v>1399</v>
      </c>
      <c r="I453" s="4" t="s">
        <v>60</v>
      </c>
      <c r="J453" s="112">
        <f>IF($H453&lt;&gt;"Y",0,ROUND(MIN(Dashboard!$R$24,IF(IFERROR(VLOOKUP($B453,Dashboard!$Q$28:$S$60,2,FALSE),0)&gt;0,IFERROR(VLOOKUP($B453,Dashboard!$Q$28:$S$60,2,FALSE),0),$Z453*IF($U453&lt;&gt;"",ROUND((Dashboard!$R$4/$U453)*VLOOKUP($I453,Dashboard!$Q$9:$R$13,2,FALSE)*IF(ISNUMBER(SEARCH("Duals",$B453)),2,IF(ISNUMBER(SEARCH("Triples",$B453)),3,IF(ISNUMBER(SEARCH("Quads",$B453)),4,1))),2),ROUND(VLOOKUP($I453,Dashboard!$Q$15:$R$20,2,FALSE)*IF($E453="Red",Dashboard!$R$6,IF($E453="Gold",Dashboard!$R$7,Dashboard!$R$5))*IF(ISNUMBER(SEARCH("Duals",$B453)),2,IF(ISNUMBER(SEARCH("Triples",$B453)),3,IF(ISNUMBER(SEARCH("Quads",$B453)),4,1))),2))*IF(IFERROR(VLOOKUP($B453,Dashboard!$Q$28:$S$60,3,FALSE),0)&gt;0,VLOOKUP($B453,Dashboard!$Q$28:$S$60,3,FALSE),1))),0))</f>
        <v>0</v>
      </c>
      <c r="K453" s="2" t="str">
        <f>IF('Base S1'!J53="","",'Base S1'!J53)</f>
        <v/>
      </c>
      <c r="L453" s="2">
        <f t="shared" si="91"/>
        <v>0</v>
      </c>
      <c r="M453" s="2">
        <f t="shared" si="92"/>
        <v>0</v>
      </c>
      <c r="N453" s="2">
        <f t="shared" si="93"/>
        <v>0</v>
      </c>
      <c r="O453" s="2">
        <f t="shared" si="94"/>
        <v>0</v>
      </c>
      <c r="P453" s="112">
        <f t="shared" si="95"/>
        <v>0</v>
      </c>
      <c r="Q453" s="112">
        <f t="shared" si="96"/>
        <v>0</v>
      </c>
      <c r="R453" s="53"/>
      <c r="S453" s="53" t="str">
        <f t="shared" si="97"/>
        <v>Base S1|Printing Plates Parallel - Season 1|52|Printing Plate</v>
      </c>
      <c r="T453" s="57" t="str">
        <f>IF($S453="","",IFERROR(VLOOKUP($S453,'Pop Estimates (Non-#d)'!$N$2:$O$500,2,FALSE),""))</f>
        <v/>
      </c>
      <c r="U453" s="57">
        <f t="shared" si="98"/>
        <v>4</v>
      </c>
      <c r="V453" s="53" t="str">
        <f t="shared" si="99"/>
        <v/>
      </c>
      <c r="W453" s="53" t="str">
        <f t="shared" si="100"/>
        <v/>
      </c>
      <c r="X453" s="53" t="str">
        <f t="shared" si="101"/>
        <v/>
      </c>
      <c r="Y453" s="57" t="str">
        <f>IF($X453="","",IFERROR(VLOOKUP($X453,'Char Popularity'!$A$2:$C$500,2,FALSE),""))</f>
        <v/>
      </c>
      <c r="Z453" s="56">
        <f>IF($X453="",1,IFERROR(VLOOKUP($X453,'Char Popularity'!$A$2:$C$500,3,FALSE),1))</f>
        <v>1</v>
      </c>
      <c r="AA453" s="62">
        <f>IF($H453&lt;&gt;"Y",0,(IF($F453&lt;&gt;"",ROUND(Dashboard!$R$4/$F453,1),IF(AND($I453="Base",$E453="Base"),Dashboard!$R$5,IF(AND($I453="Base",$E453="Red"),Dashboard!$R$6,IF(AND($I453="Base",$E453="Gold"),Dashboard!$R$7,VLOOKUP($I453,Dashboard!$Q$16:$R$21,2,FALSE)))))*VLOOKUP($I453,Dashboard!$Q$9:$R$13,2,FALSE)*IF(AND($I453="Auto",$F453="",OR($B453="Autographs Duals",$B453="Autographs Triples",$B453="Autographs Quads",$B453="Autographs Quads (Inscribed)")),IF($B453="Autographs Duals",2,IF($B453="Autographs Triples",3,4)),1)))</f>
        <v>0</v>
      </c>
      <c r="AB453" s="62">
        <f t="shared" si="102"/>
        <v>0</v>
      </c>
      <c r="AC453" s="62">
        <f t="shared" si="103"/>
        <v>0</v>
      </c>
    </row>
    <row r="454" spans="1:29" ht="42.95" customHeight="1" x14ac:dyDescent="0.25">
      <c r="A454" s="4" t="s">
        <v>17</v>
      </c>
      <c r="B454" s="7" t="s">
        <v>792</v>
      </c>
      <c r="C454" s="2" t="s">
        <v>1452</v>
      </c>
      <c r="D454" s="7" t="s">
        <v>946</v>
      </c>
      <c r="E454" s="4" t="s">
        <v>829</v>
      </c>
      <c r="F454" s="2">
        <v>4</v>
      </c>
      <c r="G454" s="2" t="s">
        <v>1400</v>
      </c>
      <c r="H454" s="2" t="s">
        <v>1399</v>
      </c>
      <c r="I454" s="4" t="s">
        <v>60</v>
      </c>
      <c r="J454" s="112">
        <f>IF($H454&lt;&gt;"Y",0,ROUND(MIN(Dashboard!$R$24,IF(IFERROR(VLOOKUP($B454,Dashboard!$Q$28:$S$60,2,FALSE),0)&gt;0,IFERROR(VLOOKUP($B454,Dashboard!$Q$28:$S$60,2,FALSE),0),$Z454*IF($U454&lt;&gt;"",ROUND((Dashboard!$R$4/$U454)*VLOOKUP($I454,Dashboard!$Q$9:$R$13,2,FALSE)*IF(ISNUMBER(SEARCH("Duals",$B454)),2,IF(ISNUMBER(SEARCH("Triples",$B454)),3,IF(ISNUMBER(SEARCH("Quads",$B454)),4,1))),2),ROUND(VLOOKUP($I454,Dashboard!$Q$15:$R$20,2,FALSE)*IF($E454="Red",Dashboard!$R$6,IF($E454="Gold",Dashboard!$R$7,Dashboard!$R$5))*IF(ISNUMBER(SEARCH("Duals",$B454)),2,IF(ISNUMBER(SEARCH("Triples",$B454)),3,IF(ISNUMBER(SEARCH("Quads",$B454)),4,1))),2))*IF(IFERROR(VLOOKUP($B454,Dashboard!$Q$28:$S$60,3,FALSE),0)&gt;0,VLOOKUP($B454,Dashboard!$Q$28:$S$60,3,FALSE),1))),0))</f>
        <v>0</v>
      </c>
      <c r="K454" s="2" t="str">
        <f>IF('Base S1'!J54="","",'Base S1'!J54)</f>
        <v/>
      </c>
      <c r="L454" s="2">
        <f t="shared" si="91"/>
        <v>0</v>
      </c>
      <c r="M454" s="2">
        <f t="shared" si="92"/>
        <v>0</v>
      </c>
      <c r="N454" s="2">
        <f t="shared" si="93"/>
        <v>0</v>
      </c>
      <c r="O454" s="2">
        <f t="shared" si="94"/>
        <v>0</v>
      </c>
      <c r="P454" s="112">
        <f t="shared" si="95"/>
        <v>0</v>
      </c>
      <c r="Q454" s="112">
        <f t="shared" si="96"/>
        <v>0</v>
      </c>
      <c r="R454" s="53"/>
      <c r="S454" s="53" t="str">
        <f t="shared" si="97"/>
        <v>Base S1|Printing Plates Parallel - Season 1|53|Printing Plate</v>
      </c>
      <c r="T454" s="57" t="str">
        <f>IF($S454="","",IFERROR(VLOOKUP($S454,'Pop Estimates (Non-#d)'!$N$2:$O$500,2,FALSE),""))</f>
        <v/>
      </c>
      <c r="U454" s="57">
        <f t="shared" si="98"/>
        <v>4</v>
      </c>
      <c r="V454" s="53" t="str">
        <f t="shared" si="99"/>
        <v/>
      </c>
      <c r="W454" s="53" t="str">
        <f t="shared" si="100"/>
        <v/>
      </c>
      <c r="X454" s="53" t="str">
        <f t="shared" si="101"/>
        <v/>
      </c>
      <c r="Y454" s="57" t="str">
        <f>IF($X454="","",IFERROR(VLOOKUP($X454,'Char Popularity'!$A$2:$C$500,2,FALSE),""))</f>
        <v/>
      </c>
      <c r="Z454" s="56">
        <f>IF($X454="",1,IFERROR(VLOOKUP($X454,'Char Popularity'!$A$2:$C$500,3,FALSE),1))</f>
        <v>1</v>
      </c>
      <c r="AA454" s="62">
        <f>IF($H454&lt;&gt;"Y",0,(IF($F454&lt;&gt;"",ROUND(Dashboard!$R$4/$F454,1),IF(AND($I454="Base",$E454="Base"),Dashboard!$R$5,IF(AND($I454="Base",$E454="Red"),Dashboard!$R$6,IF(AND($I454="Base",$E454="Gold"),Dashboard!$R$7,VLOOKUP($I454,Dashboard!$Q$16:$R$21,2,FALSE)))))*VLOOKUP($I454,Dashboard!$Q$9:$R$13,2,FALSE)*IF(AND($I454="Auto",$F454="",OR($B454="Autographs Duals",$B454="Autographs Triples",$B454="Autographs Quads",$B454="Autographs Quads (Inscribed)")),IF($B454="Autographs Duals",2,IF($B454="Autographs Triples",3,4)),1)))</f>
        <v>0</v>
      </c>
      <c r="AB454" s="62">
        <f t="shared" si="102"/>
        <v>0</v>
      </c>
      <c r="AC454" s="62">
        <f t="shared" si="103"/>
        <v>0</v>
      </c>
    </row>
    <row r="455" spans="1:29" ht="42.95" customHeight="1" x14ac:dyDescent="0.25">
      <c r="A455" s="4" t="s">
        <v>17</v>
      </c>
      <c r="B455" s="7" t="s">
        <v>792</v>
      </c>
      <c r="C455" s="2" t="s">
        <v>1453</v>
      </c>
      <c r="D455" s="7" t="s">
        <v>948</v>
      </c>
      <c r="E455" s="4" t="s">
        <v>829</v>
      </c>
      <c r="F455" s="2">
        <v>4</v>
      </c>
      <c r="G455" s="2" t="s">
        <v>1400</v>
      </c>
      <c r="H455" s="2" t="s">
        <v>1399</v>
      </c>
      <c r="I455" s="4" t="s">
        <v>60</v>
      </c>
      <c r="J455" s="112">
        <f>IF($H455&lt;&gt;"Y",0,ROUND(MIN(Dashboard!$R$24,IF(IFERROR(VLOOKUP($B455,Dashboard!$Q$28:$S$60,2,FALSE),0)&gt;0,IFERROR(VLOOKUP($B455,Dashboard!$Q$28:$S$60,2,FALSE),0),$Z455*IF($U455&lt;&gt;"",ROUND((Dashboard!$R$4/$U455)*VLOOKUP($I455,Dashboard!$Q$9:$R$13,2,FALSE)*IF(ISNUMBER(SEARCH("Duals",$B455)),2,IF(ISNUMBER(SEARCH("Triples",$B455)),3,IF(ISNUMBER(SEARCH("Quads",$B455)),4,1))),2),ROUND(VLOOKUP($I455,Dashboard!$Q$15:$R$20,2,FALSE)*IF($E455="Red",Dashboard!$R$6,IF($E455="Gold",Dashboard!$R$7,Dashboard!$R$5))*IF(ISNUMBER(SEARCH("Duals",$B455)),2,IF(ISNUMBER(SEARCH("Triples",$B455)),3,IF(ISNUMBER(SEARCH("Quads",$B455)),4,1))),2))*IF(IFERROR(VLOOKUP($B455,Dashboard!$Q$28:$S$60,3,FALSE),0)&gt;0,VLOOKUP($B455,Dashboard!$Q$28:$S$60,3,FALSE),1))),0))</f>
        <v>0</v>
      </c>
      <c r="K455" s="2" t="str">
        <f>IF('Base S1'!J55="","",'Base S1'!J55)</f>
        <v/>
      </c>
      <c r="L455" s="2">
        <f t="shared" si="91"/>
        <v>0</v>
      </c>
      <c r="M455" s="2">
        <f t="shared" si="92"/>
        <v>0</v>
      </c>
      <c r="N455" s="2">
        <f t="shared" si="93"/>
        <v>0</v>
      </c>
      <c r="O455" s="2">
        <f t="shared" si="94"/>
        <v>0</v>
      </c>
      <c r="P455" s="112">
        <f t="shared" si="95"/>
        <v>0</v>
      </c>
      <c r="Q455" s="112">
        <f t="shared" si="96"/>
        <v>0</v>
      </c>
      <c r="R455" s="53"/>
      <c r="S455" s="53" t="str">
        <f t="shared" si="97"/>
        <v>Base S1|Printing Plates Parallel - Season 1|54|Printing Plate</v>
      </c>
      <c r="T455" s="57" t="str">
        <f>IF($S455="","",IFERROR(VLOOKUP($S455,'Pop Estimates (Non-#d)'!$N$2:$O$500,2,FALSE),""))</f>
        <v/>
      </c>
      <c r="U455" s="57">
        <f t="shared" si="98"/>
        <v>4</v>
      </c>
      <c r="V455" s="53" t="str">
        <f t="shared" si="99"/>
        <v/>
      </c>
      <c r="W455" s="53" t="str">
        <f t="shared" si="100"/>
        <v/>
      </c>
      <c r="X455" s="53" t="str">
        <f t="shared" si="101"/>
        <v/>
      </c>
      <c r="Y455" s="57" t="str">
        <f>IF($X455="","",IFERROR(VLOOKUP($X455,'Char Popularity'!$A$2:$C$500,2,FALSE),""))</f>
        <v/>
      </c>
      <c r="Z455" s="56">
        <f>IF($X455="",1,IFERROR(VLOOKUP($X455,'Char Popularity'!$A$2:$C$500,3,FALSE),1))</f>
        <v>1</v>
      </c>
      <c r="AA455" s="62">
        <f>IF($H455&lt;&gt;"Y",0,(IF($F455&lt;&gt;"",ROUND(Dashboard!$R$4/$F455,1),IF(AND($I455="Base",$E455="Base"),Dashboard!$R$5,IF(AND($I455="Base",$E455="Red"),Dashboard!$R$6,IF(AND($I455="Base",$E455="Gold"),Dashboard!$R$7,VLOOKUP($I455,Dashboard!$Q$16:$R$21,2,FALSE)))))*VLOOKUP($I455,Dashboard!$Q$9:$R$13,2,FALSE)*IF(AND($I455="Auto",$F455="",OR($B455="Autographs Duals",$B455="Autographs Triples",$B455="Autographs Quads",$B455="Autographs Quads (Inscribed)")),IF($B455="Autographs Duals",2,IF($B455="Autographs Triples",3,4)),1)))</f>
        <v>0</v>
      </c>
      <c r="AB455" s="62">
        <f t="shared" si="102"/>
        <v>0</v>
      </c>
      <c r="AC455" s="62">
        <f t="shared" si="103"/>
        <v>0</v>
      </c>
    </row>
    <row r="456" spans="1:29" ht="42.95" customHeight="1" x14ac:dyDescent="0.25">
      <c r="A456" s="4" t="s">
        <v>17</v>
      </c>
      <c r="B456" s="7" t="s">
        <v>792</v>
      </c>
      <c r="C456" s="2" t="s">
        <v>1454</v>
      </c>
      <c r="D456" s="7" t="s">
        <v>950</v>
      </c>
      <c r="E456" s="4" t="s">
        <v>829</v>
      </c>
      <c r="F456" s="2">
        <v>4</v>
      </c>
      <c r="G456" s="2" t="s">
        <v>1400</v>
      </c>
      <c r="H456" s="2" t="s">
        <v>1399</v>
      </c>
      <c r="I456" s="4" t="s">
        <v>60</v>
      </c>
      <c r="J456" s="112">
        <f>IF($H456&lt;&gt;"Y",0,ROUND(MIN(Dashboard!$R$24,IF(IFERROR(VLOOKUP($B456,Dashboard!$Q$28:$S$60,2,FALSE),0)&gt;0,IFERROR(VLOOKUP($B456,Dashboard!$Q$28:$S$60,2,FALSE),0),$Z456*IF($U456&lt;&gt;"",ROUND((Dashboard!$R$4/$U456)*VLOOKUP($I456,Dashboard!$Q$9:$R$13,2,FALSE)*IF(ISNUMBER(SEARCH("Duals",$B456)),2,IF(ISNUMBER(SEARCH("Triples",$B456)),3,IF(ISNUMBER(SEARCH("Quads",$B456)),4,1))),2),ROUND(VLOOKUP($I456,Dashboard!$Q$15:$R$20,2,FALSE)*IF($E456="Red",Dashboard!$R$6,IF($E456="Gold",Dashboard!$R$7,Dashboard!$R$5))*IF(ISNUMBER(SEARCH("Duals",$B456)),2,IF(ISNUMBER(SEARCH("Triples",$B456)),3,IF(ISNUMBER(SEARCH("Quads",$B456)),4,1))),2))*IF(IFERROR(VLOOKUP($B456,Dashboard!$Q$28:$S$60,3,FALSE),0)&gt;0,VLOOKUP($B456,Dashboard!$Q$28:$S$60,3,FALSE),1))),0))</f>
        <v>0</v>
      </c>
      <c r="K456" s="2" t="str">
        <f>IF('Base S1'!J56="","",'Base S1'!J56)</f>
        <v/>
      </c>
      <c r="L456" s="2">
        <f t="shared" si="91"/>
        <v>0</v>
      </c>
      <c r="M456" s="2">
        <f t="shared" si="92"/>
        <v>0</v>
      </c>
      <c r="N456" s="2">
        <f t="shared" si="93"/>
        <v>0</v>
      </c>
      <c r="O456" s="2">
        <f t="shared" si="94"/>
        <v>0</v>
      </c>
      <c r="P456" s="112">
        <f t="shared" si="95"/>
        <v>0</v>
      </c>
      <c r="Q456" s="112">
        <f t="shared" si="96"/>
        <v>0</v>
      </c>
      <c r="R456" s="53"/>
      <c r="S456" s="53" t="str">
        <f t="shared" si="97"/>
        <v>Base S1|Printing Plates Parallel - Season 1|55|Printing Plate</v>
      </c>
      <c r="T456" s="57" t="str">
        <f>IF($S456="","",IFERROR(VLOOKUP($S456,'Pop Estimates (Non-#d)'!$N$2:$O$500,2,FALSE),""))</f>
        <v/>
      </c>
      <c r="U456" s="57">
        <f t="shared" si="98"/>
        <v>4</v>
      </c>
      <c r="V456" s="53" t="str">
        <f t="shared" si="99"/>
        <v/>
      </c>
      <c r="W456" s="53" t="str">
        <f t="shared" si="100"/>
        <v/>
      </c>
      <c r="X456" s="53" t="str">
        <f t="shared" si="101"/>
        <v/>
      </c>
      <c r="Y456" s="57" t="str">
        <f>IF($X456="","",IFERROR(VLOOKUP($X456,'Char Popularity'!$A$2:$C$500,2,FALSE),""))</f>
        <v/>
      </c>
      <c r="Z456" s="56">
        <f>IF($X456="",1,IFERROR(VLOOKUP($X456,'Char Popularity'!$A$2:$C$500,3,FALSE),1))</f>
        <v>1</v>
      </c>
      <c r="AA456" s="62">
        <f>IF($H456&lt;&gt;"Y",0,(IF($F456&lt;&gt;"",ROUND(Dashboard!$R$4/$F456,1),IF(AND($I456="Base",$E456="Base"),Dashboard!$R$5,IF(AND($I456="Base",$E456="Red"),Dashboard!$R$6,IF(AND($I456="Base",$E456="Gold"),Dashboard!$R$7,VLOOKUP($I456,Dashboard!$Q$16:$R$21,2,FALSE)))))*VLOOKUP($I456,Dashboard!$Q$9:$R$13,2,FALSE)*IF(AND($I456="Auto",$F456="",OR($B456="Autographs Duals",$B456="Autographs Triples",$B456="Autographs Quads",$B456="Autographs Quads (Inscribed)")),IF($B456="Autographs Duals",2,IF($B456="Autographs Triples",3,4)),1)))</f>
        <v>0</v>
      </c>
      <c r="AB456" s="62">
        <f t="shared" si="102"/>
        <v>0</v>
      </c>
      <c r="AC456" s="62">
        <f t="shared" si="103"/>
        <v>0</v>
      </c>
    </row>
    <row r="457" spans="1:29" ht="42.95" customHeight="1" x14ac:dyDescent="0.25">
      <c r="A457" s="4" t="s">
        <v>17</v>
      </c>
      <c r="B457" s="7" t="s">
        <v>792</v>
      </c>
      <c r="C457" s="2" t="s">
        <v>1455</v>
      </c>
      <c r="D457" s="7" t="s">
        <v>952</v>
      </c>
      <c r="E457" s="4" t="s">
        <v>829</v>
      </c>
      <c r="F457" s="2">
        <v>4</v>
      </c>
      <c r="G457" s="2" t="s">
        <v>1400</v>
      </c>
      <c r="H457" s="2" t="s">
        <v>1399</v>
      </c>
      <c r="I457" s="4" t="s">
        <v>60</v>
      </c>
      <c r="J457" s="112">
        <f>IF($H457&lt;&gt;"Y",0,ROUND(MIN(Dashboard!$R$24,IF(IFERROR(VLOOKUP($B457,Dashboard!$Q$28:$S$60,2,FALSE),0)&gt;0,IFERROR(VLOOKUP($B457,Dashboard!$Q$28:$S$60,2,FALSE),0),$Z457*IF($U457&lt;&gt;"",ROUND((Dashboard!$R$4/$U457)*VLOOKUP($I457,Dashboard!$Q$9:$R$13,2,FALSE)*IF(ISNUMBER(SEARCH("Duals",$B457)),2,IF(ISNUMBER(SEARCH("Triples",$B457)),3,IF(ISNUMBER(SEARCH("Quads",$B457)),4,1))),2),ROUND(VLOOKUP($I457,Dashboard!$Q$15:$R$20,2,FALSE)*IF($E457="Red",Dashboard!$R$6,IF($E457="Gold",Dashboard!$R$7,Dashboard!$R$5))*IF(ISNUMBER(SEARCH("Duals",$B457)),2,IF(ISNUMBER(SEARCH("Triples",$B457)),3,IF(ISNUMBER(SEARCH("Quads",$B457)),4,1))),2))*IF(IFERROR(VLOOKUP($B457,Dashboard!$Q$28:$S$60,3,FALSE),0)&gt;0,VLOOKUP($B457,Dashboard!$Q$28:$S$60,3,FALSE),1))),0))</f>
        <v>0</v>
      </c>
      <c r="K457" s="2" t="str">
        <f>IF('Base S1'!J57="","",'Base S1'!J57)</f>
        <v>V Black</v>
      </c>
      <c r="L457" s="2">
        <f t="shared" si="91"/>
        <v>1</v>
      </c>
      <c r="M457" s="2">
        <f t="shared" si="92"/>
        <v>0</v>
      </c>
      <c r="N457" s="2">
        <f t="shared" si="93"/>
        <v>1</v>
      </c>
      <c r="O457" s="2">
        <f t="shared" si="94"/>
        <v>0</v>
      </c>
      <c r="P457" s="112">
        <f t="shared" si="95"/>
        <v>0</v>
      </c>
      <c r="Q457" s="112">
        <f t="shared" si="96"/>
        <v>0</v>
      </c>
      <c r="R457" s="53"/>
      <c r="S457" s="53" t="str">
        <f t="shared" si="97"/>
        <v>Base S1|Printing Plates Parallel - Season 1|56|Printing Plate</v>
      </c>
      <c r="T457" s="57" t="str">
        <f>IF($S457="","",IFERROR(VLOOKUP($S457,'Pop Estimates (Non-#d)'!$N$2:$O$500,2,FALSE),""))</f>
        <v/>
      </c>
      <c r="U457" s="57">
        <f t="shared" si="98"/>
        <v>4</v>
      </c>
      <c r="V457" s="53" t="str">
        <f t="shared" si="99"/>
        <v/>
      </c>
      <c r="W457" s="53" t="str">
        <f t="shared" si="100"/>
        <v/>
      </c>
      <c r="X457" s="53" t="str">
        <f t="shared" si="101"/>
        <v/>
      </c>
      <c r="Y457" s="57" t="str">
        <f>IF($X457="","",IFERROR(VLOOKUP($X457,'Char Popularity'!$A$2:$C$500,2,FALSE),""))</f>
        <v/>
      </c>
      <c r="Z457" s="56">
        <f>IF($X457="",1,IFERROR(VLOOKUP($X457,'Char Popularity'!$A$2:$C$500,3,FALSE),1))</f>
        <v>1</v>
      </c>
      <c r="AA457" s="62">
        <f>IF($H457&lt;&gt;"Y",0,(IF($F457&lt;&gt;"",ROUND(Dashboard!$R$4/$F457,1),IF(AND($I457="Base",$E457="Base"),Dashboard!$R$5,IF(AND($I457="Base",$E457="Red"),Dashboard!$R$6,IF(AND($I457="Base",$E457="Gold"),Dashboard!$R$7,VLOOKUP($I457,Dashboard!$Q$16:$R$21,2,FALSE)))))*VLOOKUP($I457,Dashboard!$Q$9:$R$13,2,FALSE)*IF(AND($I457="Auto",$F457="",OR($B457="Autographs Duals",$B457="Autographs Triples",$B457="Autographs Quads",$B457="Autographs Quads (Inscribed)")),IF($B457="Autographs Duals",2,IF($B457="Autographs Triples",3,4)),1)))</f>
        <v>0</v>
      </c>
      <c r="AB457" s="62">
        <f t="shared" si="102"/>
        <v>0</v>
      </c>
      <c r="AC457" s="62">
        <f t="shared" si="103"/>
        <v>0</v>
      </c>
    </row>
    <row r="458" spans="1:29" ht="42.95" customHeight="1" x14ac:dyDescent="0.25">
      <c r="A458" s="4" t="s">
        <v>17</v>
      </c>
      <c r="B458" s="7" t="s">
        <v>792</v>
      </c>
      <c r="C458" s="2" t="s">
        <v>1456</v>
      </c>
      <c r="D458" s="7" t="s">
        <v>956</v>
      </c>
      <c r="E458" s="4" t="s">
        <v>829</v>
      </c>
      <c r="F458" s="2">
        <v>4</v>
      </c>
      <c r="G458" s="2" t="s">
        <v>1400</v>
      </c>
      <c r="H458" s="2" t="s">
        <v>1399</v>
      </c>
      <c r="I458" s="4" t="s">
        <v>60</v>
      </c>
      <c r="J458" s="112">
        <f>IF($H458&lt;&gt;"Y",0,ROUND(MIN(Dashboard!$R$24,IF(IFERROR(VLOOKUP($B458,Dashboard!$Q$28:$S$60,2,FALSE),0)&gt;0,IFERROR(VLOOKUP($B458,Dashboard!$Q$28:$S$60,2,FALSE),0),$Z458*IF($U458&lt;&gt;"",ROUND((Dashboard!$R$4/$U458)*VLOOKUP($I458,Dashboard!$Q$9:$R$13,2,FALSE)*IF(ISNUMBER(SEARCH("Duals",$B458)),2,IF(ISNUMBER(SEARCH("Triples",$B458)),3,IF(ISNUMBER(SEARCH("Quads",$B458)),4,1))),2),ROUND(VLOOKUP($I458,Dashboard!$Q$15:$R$20,2,FALSE)*IF($E458="Red",Dashboard!$R$6,IF($E458="Gold",Dashboard!$R$7,Dashboard!$R$5))*IF(ISNUMBER(SEARCH("Duals",$B458)),2,IF(ISNUMBER(SEARCH("Triples",$B458)),3,IF(ISNUMBER(SEARCH("Quads",$B458)),4,1))),2))*IF(IFERROR(VLOOKUP($B458,Dashboard!$Q$28:$S$60,3,FALSE),0)&gt;0,VLOOKUP($B458,Dashboard!$Q$28:$S$60,3,FALSE),1))),0))</f>
        <v>0</v>
      </c>
      <c r="K458" s="2" t="str">
        <f>IF('Base S1'!J58="","",'Base S1'!J58)</f>
        <v/>
      </c>
      <c r="L458" s="2">
        <f t="shared" si="91"/>
        <v>0</v>
      </c>
      <c r="M458" s="2">
        <f t="shared" si="92"/>
        <v>0</v>
      </c>
      <c r="N458" s="2">
        <f t="shared" si="93"/>
        <v>0</v>
      </c>
      <c r="O458" s="2">
        <f t="shared" si="94"/>
        <v>0</v>
      </c>
      <c r="P458" s="112">
        <f t="shared" si="95"/>
        <v>0</v>
      </c>
      <c r="Q458" s="112">
        <f t="shared" si="96"/>
        <v>0</v>
      </c>
      <c r="R458" s="53"/>
      <c r="S458" s="53" t="str">
        <f t="shared" si="97"/>
        <v>Base S1|Printing Plates Parallel - Season 1|57|Printing Plate</v>
      </c>
      <c r="T458" s="57" t="str">
        <f>IF($S458="","",IFERROR(VLOOKUP($S458,'Pop Estimates (Non-#d)'!$N$2:$O$500,2,FALSE),""))</f>
        <v/>
      </c>
      <c r="U458" s="57">
        <f t="shared" si="98"/>
        <v>4</v>
      </c>
      <c r="V458" s="53" t="str">
        <f t="shared" si="99"/>
        <v/>
      </c>
      <c r="W458" s="53" t="str">
        <f t="shared" si="100"/>
        <v/>
      </c>
      <c r="X458" s="53" t="str">
        <f t="shared" si="101"/>
        <v/>
      </c>
      <c r="Y458" s="57" t="str">
        <f>IF($X458="","",IFERROR(VLOOKUP($X458,'Char Popularity'!$A$2:$C$500,2,FALSE),""))</f>
        <v/>
      </c>
      <c r="Z458" s="56">
        <f>IF($X458="",1,IFERROR(VLOOKUP($X458,'Char Popularity'!$A$2:$C$500,3,FALSE),1))</f>
        <v>1</v>
      </c>
      <c r="AA458" s="62">
        <f>IF($H458&lt;&gt;"Y",0,(IF($F458&lt;&gt;"",ROUND(Dashboard!$R$4/$F458,1),IF(AND($I458="Base",$E458="Base"),Dashboard!$R$5,IF(AND($I458="Base",$E458="Red"),Dashboard!$R$6,IF(AND($I458="Base",$E458="Gold"),Dashboard!$R$7,VLOOKUP($I458,Dashboard!$Q$16:$R$21,2,FALSE)))))*VLOOKUP($I458,Dashboard!$Q$9:$R$13,2,FALSE)*IF(AND($I458="Auto",$F458="",OR($B458="Autographs Duals",$B458="Autographs Triples",$B458="Autographs Quads",$B458="Autographs Quads (Inscribed)")),IF($B458="Autographs Duals",2,IF($B458="Autographs Triples",3,4)),1)))</f>
        <v>0</v>
      </c>
      <c r="AB458" s="62">
        <f t="shared" si="102"/>
        <v>0</v>
      </c>
      <c r="AC458" s="62">
        <f t="shared" si="103"/>
        <v>0</v>
      </c>
    </row>
    <row r="459" spans="1:29" ht="42.95" customHeight="1" x14ac:dyDescent="0.25">
      <c r="A459" s="4" t="s">
        <v>17</v>
      </c>
      <c r="B459" s="7" t="s">
        <v>792</v>
      </c>
      <c r="C459" s="2" t="s">
        <v>1457</v>
      </c>
      <c r="D459" s="7" t="s">
        <v>957</v>
      </c>
      <c r="E459" s="4" t="s">
        <v>829</v>
      </c>
      <c r="F459" s="2">
        <v>4</v>
      </c>
      <c r="G459" s="2" t="s">
        <v>1400</v>
      </c>
      <c r="H459" s="2" t="s">
        <v>1399</v>
      </c>
      <c r="I459" s="4" t="s">
        <v>60</v>
      </c>
      <c r="J459" s="112">
        <f>IF($H459&lt;&gt;"Y",0,ROUND(MIN(Dashboard!$R$24,IF(IFERROR(VLOOKUP($B459,Dashboard!$Q$28:$S$60,2,FALSE),0)&gt;0,IFERROR(VLOOKUP($B459,Dashboard!$Q$28:$S$60,2,FALSE),0),$Z459*IF($U459&lt;&gt;"",ROUND((Dashboard!$R$4/$U459)*VLOOKUP($I459,Dashboard!$Q$9:$R$13,2,FALSE)*IF(ISNUMBER(SEARCH("Duals",$B459)),2,IF(ISNUMBER(SEARCH("Triples",$B459)),3,IF(ISNUMBER(SEARCH("Quads",$B459)),4,1))),2),ROUND(VLOOKUP($I459,Dashboard!$Q$15:$R$20,2,FALSE)*IF($E459="Red",Dashboard!$R$6,IF($E459="Gold",Dashboard!$R$7,Dashboard!$R$5))*IF(ISNUMBER(SEARCH("Duals",$B459)),2,IF(ISNUMBER(SEARCH("Triples",$B459)),3,IF(ISNUMBER(SEARCH("Quads",$B459)),4,1))),2))*IF(IFERROR(VLOOKUP($B459,Dashboard!$Q$28:$S$60,3,FALSE),0)&gt;0,VLOOKUP($B459,Dashboard!$Q$28:$S$60,3,FALSE),1))),0))</f>
        <v>0</v>
      </c>
      <c r="K459" s="2" t="str">
        <f>IF('Base S1'!J59="","",'Base S1'!J59)</f>
        <v/>
      </c>
      <c r="L459" s="2">
        <f t="shared" si="91"/>
        <v>0</v>
      </c>
      <c r="M459" s="2">
        <f t="shared" si="92"/>
        <v>0</v>
      </c>
      <c r="N459" s="2">
        <f t="shared" si="93"/>
        <v>0</v>
      </c>
      <c r="O459" s="2">
        <f t="shared" si="94"/>
        <v>0</v>
      </c>
      <c r="P459" s="112">
        <f t="shared" si="95"/>
        <v>0</v>
      </c>
      <c r="Q459" s="112">
        <f t="shared" si="96"/>
        <v>0</v>
      </c>
      <c r="R459" s="53"/>
      <c r="S459" s="53" t="str">
        <f t="shared" si="97"/>
        <v>Base S1|Printing Plates Parallel - Season 1|58|Printing Plate</v>
      </c>
      <c r="T459" s="57" t="str">
        <f>IF($S459="","",IFERROR(VLOOKUP($S459,'Pop Estimates (Non-#d)'!$N$2:$O$500,2,FALSE),""))</f>
        <v/>
      </c>
      <c r="U459" s="57">
        <f t="shared" si="98"/>
        <v>4</v>
      </c>
      <c r="V459" s="53" t="str">
        <f t="shared" si="99"/>
        <v/>
      </c>
      <c r="W459" s="53" t="str">
        <f t="shared" si="100"/>
        <v/>
      </c>
      <c r="X459" s="53" t="str">
        <f t="shared" si="101"/>
        <v/>
      </c>
      <c r="Y459" s="57" t="str">
        <f>IF($X459="","",IFERROR(VLOOKUP($X459,'Char Popularity'!$A$2:$C$500,2,FALSE),""))</f>
        <v/>
      </c>
      <c r="Z459" s="56">
        <f>IF($X459="",1,IFERROR(VLOOKUP($X459,'Char Popularity'!$A$2:$C$500,3,FALSE),1))</f>
        <v>1</v>
      </c>
      <c r="AA459" s="62">
        <f>IF($H459&lt;&gt;"Y",0,(IF($F459&lt;&gt;"",ROUND(Dashboard!$R$4/$F459,1),IF(AND($I459="Base",$E459="Base"),Dashboard!$R$5,IF(AND($I459="Base",$E459="Red"),Dashboard!$R$6,IF(AND($I459="Base",$E459="Gold"),Dashboard!$R$7,VLOOKUP($I459,Dashboard!$Q$16:$R$21,2,FALSE)))))*VLOOKUP($I459,Dashboard!$Q$9:$R$13,2,FALSE)*IF(AND($I459="Auto",$F459="",OR($B459="Autographs Duals",$B459="Autographs Triples",$B459="Autographs Quads",$B459="Autographs Quads (Inscribed)")),IF($B459="Autographs Duals",2,IF($B459="Autographs Triples",3,4)),1)))</f>
        <v>0</v>
      </c>
      <c r="AB459" s="62">
        <f t="shared" si="102"/>
        <v>0</v>
      </c>
      <c r="AC459" s="62">
        <f t="shared" si="103"/>
        <v>0</v>
      </c>
    </row>
    <row r="460" spans="1:29" ht="42.95" customHeight="1" x14ac:dyDescent="0.25">
      <c r="A460" s="4" t="s">
        <v>17</v>
      </c>
      <c r="B460" s="7" t="s">
        <v>792</v>
      </c>
      <c r="C460" s="2" t="s">
        <v>1458</v>
      </c>
      <c r="D460" s="7" t="s">
        <v>960</v>
      </c>
      <c r="E460" s="4" t="s">
        <v>829</v>
      </c>
      <c r="F460" s="2">
        <v>4</v>
      </c>
      <c r="G460" s="2" t="s">
        <v>1400</v>
      </c>
      <c r="H460" s="2" t="s">
        <v>1399</v>
      </c>
      <c r="I460" s="4" t="s">
        <v>60</v>
      </c>
      <c r="J460" s="112">
        <f>IF($H460&lt;&gt;"Y",0,ROUND(MIN(Dashboard!$R$24,IF(IFERROR(VLOOKUP($B460,Dashboard!$Q$28:$S$60,2,FALSE),0)&gt;0,IFERROR(VLOOKUP($B460,Dashboard!$Q$28:$S$60,2,FALSE),0),$Z460*IF($U460&lt;&gt;"",ROUND((Dashboard!$R$4/$U460)*VLOOKUP($I460,Dashboard!$Q$9:$R$13,2,FALSE)*IF(ISNUMBER(SEARCH("Duals",$B460)),2,IF(ISNUMBER(SEARCH("Triples",$B460)),3,IF(ISNUMBER(SEARCH("Quads",$B460)),4,1))),2),ROUND(VLOOKUP($I460,Dashboard!$Q$15:$R$20,2,FALSE)*IF($E460="Red",Dashboard!$R$6,IF($E460="Gold",Dashboard!$R$7,Dashboard!$R$5))*IF(ISNUMBER(SEARCH("Duals",$B460)),2,IF(ISNUMBER(SEARCH("Triples",$B460)),3,IF(ISNUMBER(SEARCH("Quads",$B460)),4,1))),2))*IF(IFERROR(VLOOKUP($B460,Dashboard!$Q$28:$S$60,3,FALSE),0)&gt;0,VLOOKUP($B460,Dashboard!$Q$28:$S$60,3,FALSE),1))),0))</f>
        <v>0</v>
      </c>
      <c r="K460" s="2" t="str">
        <f>IF('Base S1'!J60="","",'Base S1'!J60)</f>
        <v/>
      </c>
      <c r="L460" s="2">
        <f t="shared" si="91"/>
        <v>0</v>
      </c>
      <c r="M460" s="2">
        <f t="shared" si="92"/>
        <v>0</v>
      </c>
      <c r="N460" s="2">
        <f t="shared" si="93"/>
        <v>0</v>
      </c>
      <c r="O460" s="2">
        <f t="shared" si="94"/>
        <v>0</v>
      </c>
      <c r="P460" s="112">
        <f t="shared" si="95"/>
        <v>0</v>
      </c>
      <c r="Q460" s="112">
        <f t="shared" si="96"/>
        <v>0</v>
      </c>
      <c r="R460" s="53"/>
      <c r="S460" s="53" t="str">
        <f t="shared" si="97"/>
        <v>Base S1|Printing Plates Parallel - Season 1|59|Printing Plate</v>
      </c>
      <c r="T460" s="57" t="str">
        <f>IF($S460="","",IFERROR(VLOOKUP($S460,'Pop Estimates (Non-#d)'!$N$2:$O$500,2,FALSE),""))</f>
        <v/>
      </c>
      <c r="U460" s="57">
        <f t="shared" si="98"/>
        <v>4</v>
      </c>
      <c r="V460" s="53" t="str">
        <f t="shared" si="99"/>
        <v/>
      </c>
      <c r="W460" s="53" t="str">
        <f t="shared" si="100"/>
        <v/>
      </c>
      <c r="X460" s="53" t="str">
        <f t="shared" si="101"/>
        <v/>
      </c>
      <c r="Y460" s="57" t="str">
        <f>IF($X460="","",IFERROR(VLOOKUP($X460,'Char Popularity'!$A$2:$C$500,2,FALSE),""))</f>
        <v/>
      </c>
      <c r="Z460" s="56">
        <f>IF($X460="",1,IFERROR(VLOOKUP($X460,'Char Popularity'!$A$2:$C$500,3,FALSE),1))</f>
        <v>1</v>
      </c>
      <c r="AA460" s="62">
        <f>IF($H460&lt;&gt;"Y",0,(IF($F460&lt;&gt;"",ROUND(Dashboard!$R$4/$F460,1),IF(AND($I460="Base",$E460="Base"),Dashboard!$R$5,IF(AND($I460="Base",$E460="Red"),Dashboard!$R$6,IF(AND($I460="Base",$E460="Gold"),Dashboard!$R$7,VLOOKUP($I460,Dashboard!$Q$16:$R$21,2,FALSE)))))*VLOOKUP($I460,Dashboard!$Q$9:$R$13,2,FALSE)*IF(AND($I460="Auto",$F460="",OR($B460="Autographs Duals",$B460="Autographs Triples",$B460="Autographs Quads",$B460="Autographs Quads (Inscribed)")),IF($B460="Autographs Duals",2,IF($B460="Autographs Triples",3,4)),1)))</f>
        <v>0</v>
      </c>
      <c r="AB460" s="62">
        <f t="shared" si="102"/>
        <v>0</v>
      </c>
      <c r="AC460" s="62">
        <f t="shared" si="103"/>
        <v>0</v>
      </c>
    </row>
    <row r="461" spans="1:29" ht="42.95" customHeight="1" x14ac:dyDescent="0.25">
      <c r="A461" s="4" t="s">
        <v>17</v>
      </c>
      <c r="B461" s="7" t="s">
        <v>792</v>
      </c>
      <c r="C461" s="2" t="s">
        <v>1459</v>
      </c>
      <c r="D461" s="7" t="s">
        <v>961</v>
      </c>
      <c r="E461" s="4" t="s">
        <v>829</v>
      </c>
      <c r="F461" s="2">
        <v>4</v>
      </c>
      <c r="G461" s="2" t="s">
        <v>1400</v>
      </c>
      <c r="H461" s="2" t="s">
        <v>1399</v>
      </c>
      <c r="I461" s="4" t="s">
        <v>60</v>
      </c>
      <c r="J461" s="112">
        <f>IF($H461&lt;&gt;"Y",0,ROUND(MIN(Dashboard!$R$24,IF(IFERROR(VLOOKUP($B461,Dashboard!$Q$28:$S$60,2,FALSE),0)&gt;0,IFERROR(VLOOKUP($B461,Dashboard!$Q$28:$S$60,2,FALSE),0),$Z461*IF($U461&lt;&gt;"",ROUND((Dashboard!$R$4/$U461)*VLOOKUP($I461,Dashboard!$Q$9:$R$13,2,FALSE)*IF(ISNUMBER(SEARCH("Duals",$B461)),2,IF(ISNUMBER(SEARCH("Triples",$B461)),3,IF(ISNUMBER(SEARCH("Quads",$B461)),4,1))),2),ROUND(VLOOKUP($I461,Dashboard!$Q$15:$R$20,2,FALSE)*IF($E461="Red",Dashboard!$R$6,IF($E461="Gold",Dashboard!$R$7,Dashboard!$R$5))*IF(ISNUMBER(SEARCH("Duals",$B461)),2,IF(ISNUMBER(SEARCH("Triples",$B461)),3,IF(ISNUMBER(SEARCH("Quads",$B461)),4,1))),2))*IF(IFERROR(VLOOKUP($B461,Dashboard!$Q$28:$S$60,3,FALSE),0)&gt;0,VLOOKUP($B461,Dashboard!$Q$28:$S$60,3,FALSE),1))),0))</f>
        <v>0</v>
      </c>
      <c r="K461" s="2" t="str">
        <f>IF('Base S1'!J61="","",'Base S1'!J61)</f>
        <v/>
      </c>
      <c r="L461" s="2">
        <f t="shared" si="91"/>
        <v>0</v>
      </c>
      <c r="M461" s="2">
        <f t="shared" si="92"/>
        <v>0</v>
      </c>
      <c r="N461" s="2">
        <f t="shared" si="93"/>
        <v>0</v>
      </c>
      <c r="O461" s="2">
        <f t="shared" si="94"/>
        <v>0</v>
      </c>
      <c r="P461" s="112">
        <f t="shared" si="95"/>
        <v>0</v>
      </c>
      <c r="Q461" s="112">
        <f t="shared" si="96"/>
        <v>0</v>
      </c>
      <c r="R461" s="53"/>
      <c r="S461" s="53" t="str">
        <f t="shared" si="97"/>
        <v>Base S1|Printing Plates Parallel - Season 1|60|Printing Plate</v>
      </c>
      <c r="T461" s="57" t="str">
        <f>IF($S461="","",IFERROR(VLOOKUP($S461,'Pop Estimates (Non-#d)'!$N$2:$O$500,2,FALSE),""))</f>
        <v/>
      </c>
      <c r="U461" s="57">
        <f t="shared" si="98"/>
        <v>4</v>
      </c>
      <c r="V461" s="53" t="str">
        <f t="shared" si="99"/>
        <v/>
      </c>
      <c r="W461" s="53" t="str">
        <f t="shared" si="100"/>
        <v/>
      </c>
      <c r="X461" s="53" t="str">
        <f t="shared" si="101"/>
        <v/>
      </c>
      <c r="Y461" s="57" t="str">
        <f>IF($X461="","",IFERROR(VLOOKUP($X461,'Char Popularity'!$A$2:$C$500,2,FALSE),""))</f>
        <v/>
      </c>
      <c r="Z461" s="56">
        <f>IF($X461="",1,IFERROR(VLOOKUP($X461,'Char Popularity'!$A$2:$C$500,3,FALSE),1))</f>
        <v>1</v>
      </c>
      <c r="AA461" s="62">
        <f>IF($H461&lt;&gt;"Y",0,(IF($F461&lt;&gt;"",ROUND(Dashboard!$R$4/$F461,1),IF(AND($I461="Base",$E461="Base"),Dashboard!$R$5,IF(AND($I461="Base",$E461="Red"),Dashboard!$R$6,IF(AND($I461="Base",$E461="Gold"),Dashboard!$R$7,VLOOKUP($I461,Dashboard!$Q$16:$R$21,2,FALSE)))))*VLOOKUP($I461,Dashboard!$Q$9:$R$13,2,FALSE)*IF(AND($I461="Auto",$F461="",OR($B461="Autographs Duals",$B461="Autographs Triples",$B461="Autographs Quads",$B461="Autographs Quads (Inscribed)")),IF($B461="Autographs Duals",2,IF($B461="Autographs Triples",3,4)),1)))</f>
        <v>0</v>
      </c>
      <c r="AB461" s="62">
        <f t="shared" si="102"/>
        <v>0</v>
      </c>
      <c r="AC461" s="62">
        <f t="shared" si="103"/>
        <v>0</v>
      </c>
    </row>
    <row r="462" spans="1:29" ht="42.95" customHeight="1" x14ac:dyDescent="0.25">
      <c r="A462" s="4" t="s">
        <v>17</v>
      </c>
      <c r="B462" s="7" t="s">
        <v>792</v>
      </c>
      <c r="C462" s="2" t="s">
        <v>1460</v>
      </c>
      <c r="D462" s="7" t="s">
        <v>962</v>
      </c>
      <c r="E462" s="4" t="s">
        <v>829</v>
      </c>
      <c r="F462" s="2">
        <v>4</v>
      </c>
      <c r="G462" s="2" t="s">
        <v>1400</v>
      </c>
      <c r="H462" s="2" t="s">
        <v>1399</v>
      </c>
      <c r="I462" s="4" t="s">
        <v>60</v>
      </c>
      <c r="J462" s="112">
        <f>IF($H462&lt;&gt;"Y",0,ROUND(MIN(Dashboard!$R$24,IF(IFERROR(VLOOKUP($B462,Dashboard!$Q$28:$S$60,2,FALSE),0)&gt;0,IFERROR(VLOOKUP($B462,Dashboard!$Q$28:$S$60,2,FALSE),0),$Z462*IF($U462&lt;&gt;"",ROUND((Dashboard!$R$4/$U462)*VLOOKUP($I462,Dashboard!$Q$9:$R$13,2,FALSE)*IF(ISNUMBER(SEARCH("Duals",$B462)),2,IF(ISNUMBER(SEARCH("Triples",$B462)),3,IF(ISNUMBER(SEARCH("Quads",$B462)),4,1))),2),ROUND(VLOOKUP($I462,Dashboard!$Q$15:$R$20,2,FALSE)*IF($E462="Red",Dashboard!$R$6,IF($E462="Gold",Dashboard!$R$7,Dashboard!$R$5))*IF(ISNUMBER(SEARCH("Duals",$B462)),2,IF(ISNUMBER(SEARCH("Triples",$B462)),3,IF(ISNUMBER(SEARCH("Quads",$B462)),4,1))),2))*IF(IFERROR(VLOOKUP($B462,Dashboard!$Q$28:$S$60,3,FALSE),0)&gt;0,VLOOKUP($B462,Dashboard!$Q$28:$S$60,3,FALSE),1))),0))</f>
        <v>0</v>
      </c>
      <c r="K462" s="2" t="str">
        <f>IF('Base S1'!J62="","",'Base S1'!J62)</f>
        <v/>
      </c>
      <c r="L462" s="2">
        <f t="shared" si="91"/>
        <v>0</v>
      </c>
      <c r="M462" s="2">
        <f t="shared" si="92"/>
        <v>0</v>
      </c>
      <c r="N462" s="2">
        <f t="shared" si="93"/>
        <v>0</v>
      </c>
      <c r="O462" s="2">
        <f t="shared" si="94"/>
        <v>0</v>
      </c>
      <c r="P462" s="112">
        <f t="shared" si="95"/>
        <v>0</v>
      </c>
      <c r="Q462" s="112">
        <f t="shared" si="96"/>
        <v>0</v>
      </c>
      <c r="R462" s="53"/>
      <c r="S462" s="53" t="str">
        <f t="shared" si="97"/>
        <v>Base S1|Printing Plates Parallel - Season 1|61|Printing Plate</v>
      </c>
      <c r="T462" s="57" t="str">
        <f>IF($S462="","",IFERROR(VLOOKUP($S462,'Pop Estimates (Non-#d)'!$N$2:$O$500,2,FALSE),""))</f>
        <v/>
      </c>
      <c r="U462" s="57">
        <f t="shared" si="98"/>
        <v>4</v>
      </c>
      <c r="V462" s="53" t="str">
        <f t="shared" si="99"/>
        <v/>
      </c>
      <c r="W462" s="53" t="str">
        <f t="shared" si="100"/>
        <v/>
      </c>
      <c r="X462" s="53" t="str">
        <f t="shared" si="101"/>
        <v/>
      </c>
      <c r="Y462" s="57" t="str">
        <f>IF($X462="","",IFERROR(VLOOKUP($X462,'Char Popularity'!$A$2:$C$500,2,FALSE),""))</f>
        <v/>
      </c>
      <c r="Z462" s="56">
        <f>IF($X462="",1,IFERROR(VLOOKUP($X462,'Char Popularity'!$A$2:$C$500,3,FALSE),1))</f>
        <v>1</v>
      </c>
      <c r="AA462" s="62">
        <f>IF($H462&lt;&gt;"Y",0,(IF($F462&lt;&gt;"",ROUND(Dashboard!$R$4/$F462,1),IF(AND($I462="Base",$E462="Base"),Dashboard!$R$5,IF(AND($I462="Base",$E462="Red"),Dashboard!$R$6,IF(AND($I462="Base",$E462="Gold"),Dashboard!$R$7,VLOOKUP($I462,Dashboard!$Q$16:$R$21,2,FALSE)))))*VLOOKUP($I462,Dashboard!$Q$9:$R$13,2,FALSE)*IF(AND($I462="Auto",$F462="",OR($B462="Autographs Duals",$B462="Autographs Triples",$B462="Autographs Quads",$B462="Autographs Quads (Inscribed)")),IF($B462="Autographs Duals",2,IF($B462="Autographs Triples",3,4)),1)))</f>
        <v>0</v>
      </c>
      <c r="AB462" s="62">
        <f t="shared" si="102"/>
        <v>0</v>
      </c>
      <c r="AC462" s="62">
        <f t="shared" si="103"/>
        <v>0</v>
      </c>
    </row>
    <row r="463" spans="1:29" ht="42.95" customHeight="1" x14ac:dyDescent="0.25">
      <c r="A463" s="4" t="s">
        <v>17</v>
      </c>
      <c r="B463" s="7" t="s">
        <v>792</v>
      </c>
      <c r="C463" s="2" t="s">
        <v>1461</v>
      </c>
      <c r="D463" s="7" t="s">
        <v>963</v>
      </c>
      <c r="E463" s="4" t="s">
        <v>829</v>
      </c>
      <c r="F463" s="2">
        <v>4</v>
      </c>
      <c r="G463" s="2" t="s">
        <v>1400</v>
      </c>
      <c r="H463" s="2" t="s">
        <v>1399</v>
      </c>
      <c r="I463" s="4" t="s">
        <v>60</v>
      </c>
      <c r="J463" s="112">
        <f>IF($H463&lt;&gt;"Y",0,ROUND(MIN(Dashboard!$R$24,IF(IFERROR(VLOOKUP($B463,Dashboard!$Q$28:$S$60,2,FALSE),0)&gt;0,IFERROR(VLOOKUP($B463,Dashboard!$Q$28:$S$60,2,FALSE),0),$Z463*IF($U463&lt;&gt;"",ROUND((Dashboard!$R$4/$U463)*VLOOKUP($I463,Dashboard!$Q$9:$R$13,2,FALSE)*IF(ISNUMBER(SEARCH("Duals",$B463)),2,IF(ISNUMBER(SEARCH("Triples",$B463)),3,IF(ISNUMBER(SEARCH("Quads",$B463)),4,1))),2),ROUND(VLOOKUP($I463,Dashboard!$Q$15:$R$20,2,FALSE)*IF($E463="Red",Dashboard!$R$6,IF($E463="Gold",Dashboard!$R$7,Dashboard!$R$5))*IF(ISNUMBER(SEARCH("Duals",$B463)),2,IF(ISNUMBER(SEARCH("Triples",$B463)),3,IF(ISNUMBER(SEARCH("Quads",$B463)),4,1))),2))*IF(IFERROR(VLOOKUP($B463,Dashboard!$Q$28:$S$60,3,FALSE),0)&gt;0,VLOOKUP($B463,Dashboard!$Q$28:$S$60,3,FALSE),1))),0))</f>
        <v>0</v>
      </c>
      <c r="K463" s="2" t="str">
        <f>IF('Base S1'!J63="","",'Base S1'!J63)</f>
        <v/>
      </c>
      <c r="L463" s="2">
        <f t="shared" si="91"/>
        <v>0</v>
      </c>
      <c r="M463" s="2">
        <f t="shared" si="92"/>
        <v>0</v>
      </c>
      <c r="N463" s="2">
        <f t="shared" si="93"/>
        <v>0</v>
      </c>
      <c r="O463" s="2">
        <f t="shared" si="94"/>
        <v>0</v>
      </c>
      <c r="P463" s="112">
        <f t="shared" si="95"/>
        <v>0</v>
      </c>
      <c r="Q463" s="112">
        <f t="shared" si="96"/>
        <v>0</v>
      </c>
      <c r="R463" s="53"/>
      <c r="S463" s="53" t="str">
        <f t="shared" si="97"/>
        <v>Base S1|Printing Plates Parallel - Season 1|62|Printing Plate</v>
      </c>
      <c r="T463" s="57" t="str">
        <f>IF($S463="","",IFERROR(VLOOKUP($S463,'Pop Estimates (Non-#d)'!$N$2:$O$500,2,FALSE),""))</f>
        <v/>
      </c>
      <c r="U463" s="57">
        <f t="shared" si="98"/>
        <v>4</v>
      </c>
      <c r="V463" s="53" t="str">
        <f t="shared" si="99"/>
        <v/>
      </c>
      <c r="W463" s="53" t="str">
        <f t="shared" si="100"/>
        <v/>
      </c>
      <c r="X463" s="53" t="str">
        <f t="shared" si="101"/>
        <v/>
      </c>
      <c r="Y463" s="57" t="str">
        <f>IF($X463="","",IFERROR(VLOOKUP($X463,'Char Popularity'!$A$2:$C$500,2,FALSE),""))</f>
        <v/>
      </c>
      <c r="Z463" s="56">
        <f>IF($X463="",1,IFERROR(VLOOKUP($X463,'Char Popularity'!$A$2:$C$500,3,FALSE),1))</f>
        <v>1</v>
      </c>
      <c r="AA463" s="62">
        <f>IF($H463&lt;&gt;"Y",0,(IF($F463&lt;&gt;"",ROUND(Dashboard!$R$4/$F463,1),IF(AND($I463="Base",$E463="Base"),Dashboard!$R$5,IF(AND($I463="Base",$E463="Red"),Dashboard!$R$6,IF(AND($I463="Base",$E463="Gold"),Dashboard!$R$7,VLOOKUP($I463,Dashboard!$Q$16:$R$21,2,FALSE)))))*VLOOKUP($I463,Dashboard!$Q$9:$R$13,2,FALSE)*IF(AND($I463="Auto",$F463="",OR($B463="Autographs Duals",$B463="Autographs Triples",$B463="Autographs Quads",$B463="Autographs Quads (Inscribed)")),IF($B463="Autographs Duals",2,IF($B463="Autographs Triples",3,4)),1)))</f>
        <v>0</v>
      </c>
      <c r="AB463" s="62">
        <f t="shared" si="102"/>
        <v>0</v>
      </c>
      <c r="AC463" s="62">
        <f t="shared" si="103"/>
        <v>0</v>
      </c>
    </row>
    <row r="464" spans="1:29" ht="42.95" customHeight="1" x14ac:dyDescent="0.25">
      <c r="A464" s="4" t="s">
        <v>17</v>
      </c>
      <c r="B464" s="7" t="s">
        <v>792</v>
      </c>
      <c r="C464" s="2" t="s">
        <v>1462</v>
      </c>
      <c r="D464" s="7" t="s">
        <v>966</v>
      </c>
      <c r="E464" s="4" t="s">
        <v>829</v>
      </c>
      <c r="F464" s="2">
        <v>4</v>
      </c>
      <c r="G464" s="2" t="s">
        <v>1400</v>
      </c>
      <c r="H464" s="2" t="s">
        <v>1399</v>
      </c>
      <c r="I464" s="4" t="s">
        <v>60</v>
      </c>
      <c r="J464" s="112">
        <f>IF($H464&lt;&gt;"Y",0,ROUND(MIN(Dashboard!$R$24,IF(IFERROR(VLOOKUP($B464,Dashboard!$Q$28:$S$60,2,FALSE),0)&gt;0,IFERROR(VLOOKUP($B464,Dashboard!$Q$28:$S$60,2,FALSE),0),$Z464*IF($U464&lt;&gt;"",ROUND((Dashboard!$R$4/$U464)*VLOOKUP($I464,Dashboard!$Q$9:$R$13,2,FALSE)*IF(ISNUMBER(SEARCH("Duals",$B464)),2,IF(ISNUMBER(SEARCH("Triples",$B464)),3,IF(ISNUMBER(SEARCH("Quads",$B464)),4,1))),2),ROUND(VLOOKUP($I464,Dashboard!$Q$15:$R$20,2,FALSE)*IF($E464="Red",Dashboard!$R$6,IF($E464="Gold",Dashboard!$R$7,Dashboard!$R$5))*IF(ISNUMBER(SEARCH("Duals",$B464)),2,IF(ISNUMBER(SEARCH("Triples",$B464)),3,IF(ISNUMBER(SEARCH("Quads",$B464)),4,1))),2))*IF(IFERROR(VLOOKUP($B464,Dashboard!$Q$28:$S$60,3,FALSE),0)&gt;0,VLOOKUP($B464,Dashboard!$Q$28:$S$60,3,FALSE),1))),0))</f>
        <v>0</v>
      </c>
      <c r="K464" s="2" t="str">
        <f>IF('Base S1'!J64="","",'Base S1'!J64)</f>
        <v/>
      </c>
      <c r="L464" s="2">
        <f t="shared" si="91"/>
        <v>0</v>
      </c>
      <c r="M464" s="2">
        <f t="shared" si="92"/>
        <v>0</v>
      </c>
      <c r="N464" s="2">
        <f t="shared" si="93"/>
        <v>0</v>
      </c>
      <c r="O464" s="2">
        <f t="shared" si="94"/>
        <v>0</v>
      </c>
      <c r="P464" s="112">
        <f t="shared" si="95"/>
        <v>0</v>
      </c>
      <c r="Q464" s="112">
        <f t="shared" si="96"/>
        <v>0</v>
      </c>
      <c r="R464" s="53"/>
      <c r="S464" s="53" t="str">
        <f t="shared" si="97"/>
        <v>Base S1|Printing Plates Parallel - Season 1|63|Printing Plate</v>
      </c>
      <c r="T464" s="57" t="str">
        <f>IF($S464="","",IFERROR(VLOOKUP($S464,'Pop Estimates (Non-#d)'!$N$2:$O$500,2,FALSE),""))</f>
        <v/>
      </c>
      <c r="U464" s="57">
        <f t="shared" si="98"/>
        <v>4</v>
      </c>
      <c r="V464" s="53" t="str">
        <f t="shared" si="99"/>
        <v/>
      </c>
      <c r="W464" s="53" t="str">
        <f t="shared" si="100"/>
        <v/>
      </c>
      <c r="X464" s="53" t="str">
        <f t="shared" si="101"/>
        <v/>
      </c>
      <c r="Y464" s="57" t="str">
        <f>IF($X464="","",IFERROR(VLOOKUP($X464,'Char Popularity'!$A$2:$C$500,2,FALSE),""))</f>
        <v/>
      </c>
      <c r="Z464" s="56">
        <f>IF($X464="",1,IFERROR(VLOOKUP($X464,'Char Popularity'!$A$2:$C$500,3,FALSE),1))</f>
        <v>1</v>
      </c>
      <c r="AA464" s="62">
        <f>IF($H464&lt;&gt;"Y",0,(IF($F464&lt;&gt;"",ROUND(Dashboard!$R$4/$F464,1),IF(AND($I464="Base",$E464="Base"),Dashboard!$R$5,IF(AND($I464="Base",$E464="Red"),Dashboard!$R$6,IF(AND($I464="Base",$E464="Gold"),Dashboard!$R$7,VLOOKUP($I464,Dashboard!$Q$16:$R$21,2,FALSE)))))*VLOOKUP($I464,Dashboard!$Q$9:$R$13,2,FALSE)*IF(AND($I464="Auto",$F464="",OR($B464="Autographs Duals",$B464="Autographs Triples",$B464="Autographs Quads",$B464="Autographs Quads (Inscribed)")),IF($B464="Autographs Duals",2,IF($B464="Autographs Triples",3,4)),1)))</f>
        <v>0</v>
      </c>
      <c r="AB464" s="62">
        <f t="shared" si="102"/>
        <v>0</v>
      </c>
      <c r="AC464" s="62">
        <f t="shared" si="103"/>
        <v>0</v>
      </c>
    </row>
    <row r="465" spans="1:29" ht="42.95" customHeight="1" x14ac:dyDescent="0.25">
      <c r="A465" s="4" t="s">
        <v>17</v>
      </c>
      <c r="B465" s="7" t="s">
        <v>792</v>
      </c>
      <c r="C465" s="2" t="s">
        <v>1463</v>
      </c>
      <c r="D465" s="7" t="s">
        <v>968</v>
      </c>
      <c r="E465" s="4" t="s">
        <v>829</v>
      </c>
      <c r="F465" s="2">
        <v>4</v>
      </c>
      <c r="G465" s="2" t="s">
        <v>1400</v>
      </c>
      <c r="H465" s="2" t="s">
        <v>1399</v>
      </c>
      <c r="I465" s="4" t="s">
        <v>60</v>
      </c>
      <c r="J465" s="112">
        <f>IF($H465&lt;&gt;"Y",0,ROUND(MIN(Dashboard!$R$24,IF(IFERROR(VLOOKUP($B465,Dashboard!$Q$28:$S$60,2,FALSE),0)&gt;0,IFERROR(VLOOKUP($B465,Dashboard!$Q$28:$S$60,2,FALSE),0),$Z465*IF($U465&lt;&gt;"",ROUND((Dashboard!$R$4/$U465)*VLOOKUP($I465,Dashboard!$Q$9:$R$13,2,FALSE)*IF(ISNUMBER(SEARCH("Duals",$B465)),2,IF(ISNUMBER(SEARCH("Triples",$B465)),3,IF(ISNUMBER(SEARCH("Quads",$B465)),4,1))),2),ROUND(VLOOKUP($I465,Dashboard!$Q$15:$R$20,2,FALSE)*IF($E465="Red",Dashboard!$R$6,IF($E465="Gold",Dashboard!$R$7,Dashboard!$R$5))*IF(ISNUMBER(SEARCH("Duals",$B465)),2,IF(ISNUMBER(SEARCH("Triples",$B465)),3,IF(ISNUMBER(SEARCH("Quads",$B465)),4,1))),2))*IF(IFERROR(VLOOKUP($B465,Dashboard!$Q$28:$S$60,3,FALSE),0)&gt;0,VLOOKUP($B465,Dashboard!$Q$28:$S$60,3,FALSE),1))),0))</f>
        <v>0</v>
      </c>
      <c r="K465" s="2" t="str">
        <f>IF('Base S1'!J65="","",'Base S1'!J65)</f>
        <v/>
      </c>
      <c r="L465" s="2">
        <f t="shared" si="91"/>
        <v>0</v>
      </c>
      <c r="M465" s="2">
        <f t="shared" si="92"/>
        <v>0</v>
      </c>
      <c r="N465" s="2">
        <f t="shared" si="93"/>
        <v>0</v>
      </c>
      <c r="O465" s="2">
        <f t="shared" si="94"/>
        <v>0</v>
      </c>
      <c r="P465" s="112">
        <f t="shared" si="95"/>
        <v>0</v>
      </c>
      <c r="Q465" s="112">
        <f t="shared" si="96"/>
        <v>0</v>
      </c>
      <c r="R465" s="53"/>
      <c r="S465" s="53" t="str">
        <f t="shared" si="97"/>
        <v>Base S1|Printing Plates Parallel - Season 1|64|Printing Plate</v>
      </c>
      <c r="T465" s="57" t="str">
        <f>IF($S465="","",IFERROR(VLOOKUP($S465,'Pop Estimates (Non-#d)'!$N$2:$O$500,2,FALSE),""))</f>
        <v/>
      </c>
      <c r="U465" s="57">
        <f t="shared" si="98"/>
        <v>4</v>
      </c>
      <c r="V465" s="53" t="str">
        <f t="shared" si="99"/>
        <v/>
      </c>
      <c r="W465" s="53" t="str">
        <f t="shared" si="100"/>
        <v/>
      </c>
      <c r="X465" s="53" t="str">
        <f t="shared" si="101"/>
        <v/>
      </c>
      <c r="Y465" s="57" t="str">
        <f>IF($X465="","",IFERROR(VLOOKUP($X465,'Char Popularity'!$A$2:$C$500,2,FALSE),""))</f>
        <v/>
      </c>
      <c r="Z465" s="56">
        <f>IF($X465="",1,IFERROR(VLOOKUP($X465,'Char Popularity'!$A$2:$C$500,3,FALSE),1))</f>
        <v>1</v>
      </c>
      <c r="AA465" s="62">
        <f>IF($H465&lt;&gt;"Y",0,(IF($F465&lt;&gt;"",ROUND(Dashboard!$R$4/$F465,1),IF(AND($I465="Base",$E465="Base"),Dashboard!$R$5,IF(AND($I465="Base",$E465="Red"),Dashboard!$R$6,IF(AND($I465="Base",$E465="Gold"),Dashboard!$R$7,VLOOKUP($I465,Dashboard!$Q$16:$R$21,2,FALSE)))))*VLOOKUP($I465,Dashboard!$Q$9:$R$13,2,FALSE)*IF(AND($I465="Auto",$F465="",OR($B465="Autographs Duals",$B465="Autographs Triples",$B465="Autographs Quads",$B465="Autographs Quads (Inscribed)")),IF($B465="Autographs Duals",2,IF($B465="Autographs Triples",3,4)),1)))</f>
        <v>0</v>
      </c>
      <c r="AB465" s="62">
        <f t="shared" si="102"/>
        <v>0</v>
      </c>
      <c r="AC465" s="62">
        <f t="shared" si="103"/>
        <v>0</v>
      </c>
    </row>
    <row r="466" spans="1:29" ht="42.95" customHeight="1" x14ac:dyDescent="0.25">
      <c r="A466" s="4" t="s">
        <v>17</v>
      </c>
      <c r="B466" s="7" t="s">
        <v>792</v>
      </c>
      <c r="C466" s="2" t="s">
        <v>1464</v>
      </c>
      <c r="D466" s="7" t="s">
        <v>971</v>
      </c>
      <c r="E466" s="4" t="s">
        <v>829</v>
      </c>
      <c r="F466" s="2">
        <v>4</v>
      </c>
      <c r="G466" s="2" t="s">
        <v>1400</v>
      </c>
      <c r="H466" s="2" t="s">
        <v>1399</v>
      </c>
      <c r="I466" s="4" t="s">
        <v>60</v>
      </c>
      <c r="J466" s="112">
        <f>IF($H466&lt;&gt;"Y",0,ROUND(MIN(Dashboard!$R$24,IF(IFERROR(VLOOKUP($B466,Dashboard!$Q$28:$S$60,2,FALSE),0)&gt;0,IFERROR(VLOOKUP($B466,Dashboard!$Q$28:$S$60,2,FALSE),0),$Z466*IF($U466&lt;&gt;"",ROUND((Dashboard!$R$4/$U466)*VLOOKUP($I466,Dashboard!$Q$9:$R$13,2,FALSE)*IF(ISNUMBER(SEARCH("Duals",$B466)),2,IF(ISNUMBER(SEARCH("Triples",$B466)),3,IF(ISNUMBER(SEARCH("Quads",$B466)),4,1))),2),ROUND(VLOOKUP($I466,Dashboard!$Q$15:$R$20,2,FALSE)*IF($E466="Red",Dashboard!$R$6,IF($E466="Gold",Dashboard!$R$7,Dashboard!$R$5))*IF(ISNUMBER(SEARCH("Duals",$B466)),2,IF(ISNUMBER(SEARCH("Triples",$B466)),3,IF(ISNUMBER(SEARCH("Quads",$B466)),4,1))),2))*IF(IFERROR(VLOOKUP($B466,Dashboard!$Q$28:$S$60,3,FALSE),0)&gt;0,VLOOKUP($B466,Dashboard!$Q$28:$S$60,3,FALSE),1))),0))</f>
        <v>0</v>
      </c>
      <c r="K466" s="2" t="str">
        <f>IF('Base S1'!J66="","",'Base S1'!J66)</f>
        <v/>
      </c>
      <c r="L466" s="2">
        <f t="shared" si="91"/>
        <v>0</v>
      </c>
      <c r="M466" s="2">
        <f t="shared" si="92"/>
        <v>0</v>
      </c>
      <c r="N466" s="2">
        <f t="shared" si="93"/>
        <v>0</v>
      </c>
      <c r="O466" s="2">
        <f t="shared" si="94"/>
        <v>0</v>
      </c>
      <c r="P466" s="112">
        <f t="shared" si="95"/>
        <v>0</v>
      </c>
      <c r="Q466" s="112">
        <f t="shared" si="96"/>
        <v>0</v>
      </c>
      <c r="R466" s="53"/>
      <c r="S466" s="53" t="str">
        <f t="shared" si="97"/>
        <v>Base S1|Printing Plates Parallel - Season 1|65|Printing Plate</v>
      </c>
      <c r="T466" s="57" t="str">
        <f>IF($S466="","",IFERROR(VLOOKUP($S466,'Pop Estimates (Non-#d)'!$N$2:$O$500,2,FALSE),""))</f>
        <v/>
      </c>
      <c r="U466" s="57">
        <f t="shared" si="98"/>
        <v>4</v>
      </c>
      <c r="V466" s="53" t="str">
        <f t="shared" si="99"/>
        <v/>
      </c>
      <c r="W466" s="53" t="str">
        <f t="shared" si="100"/>
        <v/>
      </c>
      <c r="X466" s="53" t="str">
        <f t="shared" si="101"/>
        <v/>
      </c>
      <c r="Y466" s="57" t="str">
        <f>IF($X466="","",IFERROR(VLOOKUP($X466,'Char Popularity'!$A$2:$C$500,2,FALSE),""))</f>
        <v/>
      </c>
      <c r="Z466" s="56">
        <f>IF($X466="",1,IFERROR(VLOOKUP($X466,'Char Popularity'!$A$2:$C$500,3,FALSE),1))</f>
        <v>1</v>
      </c>
      <c r="AA466" s="62">
        <f>IF($H466&lt;&gt;"Y",0,(IF($F466&lt;&gt;"",ROUND(Dashboard!$R$4/$F466,1),IF(AND($I466="Base",$E466="Base"),Dashboard!$R$5,IF(AND($I466="Base",$E466="Red"),Dashboard!$R$6,IF(AND($I466="Base",$E466="Gold"),Dashboard!$R$7,VLOOKUP($I466,Dashboard!$Q$16:$R$21,2,FALSE)))))*VLOOKUP($I466,Dashboard!$Q$9:$R$13,2,FALSE)*IF(AND($I466="Auto",$F466="",OR($B466="Autographs Duals",$B466="Autographs Triples",$B466="Autographs Quads",$B466="Autographs Quads (Inscribed)")),IF($B466="Autographs Duals",2,IF($B466="Autographs Triples",3,4)),1)))</f>
        <v>0</v>
      </c>
      <c r="AB466" s="62">
        <f t="shared" si="102"/>
        <v>0</v>
      </c>
      <c r="AC466" s="62">
        <f t="shared" si="103"/>
        <v>0</v>
      </c>
    </row>
    <row r="467" spans="1:29" ht="42.95" customHeight="1" x14ac:dyDescent="0.25">
      <c r="A467" s="4" t="s">
        <v>17</v>
      </c>
      <c r="B467" s="7" t="s">
        <v>792</v>
      </c>
      <c r="C467" s="2" t="s">
        <v>1465</v>
      </c>
      <c r="D467" s="7" t="s">
        <v>973</v>
      </c>
      <c r="E467" s="4" t="s">
        <v>829</v>
      </c>
      <c r="F467" s="2">
        <v>4</v>
      </c>
      <c r="G467" s="2" t="s">
        <v>1400</v>
      </c>
      <c r="H467" s="2" t="s">
        <v>1399</v>
      </c>
      <c r="I467" s="4" t="s">
        <v>60</v>
      </c>
      <c r="J467" s="112">
        <f>IF($H467&lt;&gt;"Y",0,ROUND(MIN(Dashboard!$R$24,IF(IFERROR(VLOOKUP($B467,Dashboard!$Q$28:$S$60,2,FALSE),0)&gt;0,IFERROR(VLOOKUP($B467,Dashboard!$Q$28:$S$60,2,FALSE),0),$Z467*IF($U467&lt;&gt;"",ROUND((Dashboard!$R$4/$U467)*VLOOKUP($I467,Dashboard!$Q$9:$R$13,2,FALSE)*IF(ISNUMBER(SEARCH("Duals",$B467)),2,IF(ISNUMBER(SEARCH("Triples",$B467)),3,IF(ISNUMBER(SEARCH("Quads",$B467)),4,1))),2),ROUND(VLOOKUP($I467,Dashboard!$Q$15:$R$20,2,FALSE)*IF($E467="Red",Dashboard!$R$6,IF($E467="Gold",Dashboard!$R$7,Dashboard!$R$5))*IF(ISNUMBER(SEARCH("Duals",$B467)),2,IF(ISNUMBER(SEARCH("Triples",$B467)),3,IF(ISNUMBER(SEARCH("Quads",$B467)),4,1))),2))*IF(IFERROR(VLOOKUP($B467,Dashboard!$Q$28:$S$60,3,FALSE),0)&gt;0,VLOOKUP($B467,Dashboard!$Q$28:$S$60,3,FALSE),1))),0))</f>
        <v>0</v>
      </c>
      <c r="K467" s="2" t="str">
        <f>IF('Base S1'!J67="","",'Base S1'!J67)</f>
        <v/>
      </c>
      <c r="L467" s="2">
        <f t="shared" si="91"/>
        <v>0</v>
      </c>
      <c r="M467" s="2">
        <f t="shared" si="92"/>
        <v>0</v>
      </c>
      <c r="N467" s="2">
        <f t="shared" si="93"/>
        <v>0</v>
      </c>
      <c r="O467" s="2">
        <f t="shared" si="94"/>
        <v>0</v>
      </c>
      <c r="P467" s="112">
        <f t="shared" si="95"/>
        <v>0</v>
      </c>
      <c r="Q467" s="112">
        <f t="shared" si="96"/>
        <v>0</v>
      </c>
      <c r="R467" s="53"/>
      <c r="S467" s="53" t="str">
        <f t="shared" si="97"/>
        <v>Base S1|Printing Plates Parallel - Season 1|66|Printing Plate</v>
      </c>
      <c r="T467" s="57" t="str">
        <f>IF($S467="","",IFERROR(VLOOKUP($S467,'Pop Estimates (Non-#d)'!$N$2:$O$500,2,FALSE),""))</f>
        <v/>
      </c>
      <c r="U467" s="57">
        <f t="shared" si="98"/>
        <v>4</v>
      </c>
      <c r="V467" s="53" t="str">
        <f t="shared" si="99"/>
        <v/>
      </c>
      <c r="W467" s="53" t="str">
        <f t="shared" si="100"/>
        <v/>
      </c>
      <c r="X467" s="53" t="str">
        <f t="shared" si="101"/>
        <v/>
      </c>
      <c r="Y467" s="57" t="str">
        <f>IF($X467="","",IFERROR(VLOOKUP($X467,'Char Popularity'!$A$2:$C$500,2,FALSE),""))</f>
        <v/>
      </c>
      <c r="Z467" s="56">
        <f>IF($X467="",1,IFERROR(VLOOKUP($X467,'Char Popularity'!$A$2:$C$500,3,FALSE),1))</f>
        <v>1</v>
      </c>
      <c r="AA467" s="62">
        <f>IF($H467&lt;&gt;"Y",0,(IF($F467&lt;&gt;"",ROUND(Dashboard!$R$4/$F467,1),IF(AND($I467="Base",$E467="Base"),Dashboard!$R$5,IF(AND($I467="Base",$E467="Red"),Dashboard!$R$6,IF(AND($I467="Base",$E467="Gold"),Dashboard!$R$7,VLOOKUP($I467,Dashboard!$Q$16:$R$21,2,FALSE)))))*VLOOKUP($I467,Dashboard!$Q$9:$R$13,2,FALSE)*IF(AND($I467="Auto",$F467="",OR($B467="Autographs Duals",$B467="Autographs Triples",$B467="Autographs Quads",$B467="Autographs Quads (Inscribed)")),IF($B467="Autographs Duals",2,IF($B467="Autographs Triples",3,4)),1)))</f>
        <v>0</v>
      </c>
      <c r="AB467" s="62">
        <f t="shared" si="102"/>
        <v>0</v>
      </c>
      <c r="AC467" s="62">
        <f t="shared" si="103"/>
        <v>0</v>
      </c>
    </row>
    <row r="468" spans="1:29" ht="42.95" customHeight="1" x14ac:dyDescent="0.25">
      <c r="A468" s="4" t="s">
        <v>17</v>
      </c>
      <c r="B468" s="7" t="s">
        <v>792</v>
      </c>
      <c r="C468" s="2" t="s">
        <v>1466</v>
      </c>
      <c r="D468" s="7" t="s">
        <v>974</v>
      </c>
      <c r="E468" s="4" t="s">
        <v>829</v>
      </c>
      <c r="F468" s="2">
        <v>4</v>
      </c>
      <c r="G468" s="2" t="s">
        <v>1400</v>
      </c>
      <c r="H468" s="2" t="s">
        <v>1399</v>
      </c>
      <c r="I468" s="4" t="s">
        <v>60</v>
      </c>
      <c r="J468" s="112">
        <f>IF($H468&lt;&gt;"Y",0,ROUND(MIN(Dashboard!$R$24,IF(IFERROR(VLOOKUP($B468,Dashboard!$Q$28:$S$60,2,FALSE),0)&gt;0,IFERROR(VLOOKUP($B468,Dashboard!$Q$28:$S$60,2,FALSE),0),$Z468*IF($U468&lt;&gt;"",ROUND((Dashboard!$R$4/$U468)*VLOOKUP($I468,Dashboard!$Q$9:$R$13,2,FALSE)*IF(ISNUMBER(SEARCH("Duals",$B468)),2,IF(ISNUMBER(SEARCH("Triples",$B468)),3,IF(ISNUMBER(SEARCH("Quads",$B468)),4,1))),2),ROUND(VLOOKUP($I468,Dashboard!$Q$15:$R$20,2,FALSE)*IF($E468="Red",Dashboard!$R$6,IF($E468="Gold",Dashboard!$R$7,Dashboard!$R$5))*IF(ISNUMBER(SEARCH("Duals",$B468)),2,IF(ISNUMBER(SEARCH("Triples",$B468)),3,IF(ISNUMBER(SEARCH("Quads",$B468)),4,1))),2))*IF(IFERROR(VLOOKUP($B468,Dashboard!$Q$28:$S$60,3,FALSE),0)&gt;0,VLOOKUP($B468,Dashboard!$Q$28:$S$60,3,FALSE),1))),0))</f>
        <v>0</v>
      </c>
      <c r="K468" s="2" t="str">
        <f>IF('Base S1'!J68="","",'Base S1'!J68)</f>
        <v/>
      </c>
      <c r="L468" s="2">
        <f t="shared" si="91"/>
        <v>0</v>
      </c>
      <c r="M468" s="2">
        <f t="shared" si="92"/>
        <v>0</v>
      </c>
      <c r="N468" s="2">
        <f t="shared" si="93"/>
        <v>0</v>
      </c>
      <c r="O468" s="2">
        <f t="shared" si="94"/>
        <v>0</v>
      </c>
      <c r="P468" s="112">
        <f t="shared" si="95"/>
        <v>0</v>
      </c>
      <c r="Q468" s="112">
        <f t="shared" si="96"/>
        <v>0</v>
      </c>
      <c r="R468" s="53"/>
      <c r="S468" s="53" t="str">
        <f t="shared" si="97"/>
        <v>Base S1|Printing Plates Parallel - Season 1|67|Printing Plate</v>
      </c>
      <c r="T468" s="57" t="str">
        <f>IF($S468="","",IFERROR(VLOOKUP($S468,'Pop Estimates (Non-#d)'!$N$2:$O$500,2,FALSE),""))</f>
        <v/>
      </c>
      <c r="U468" s="57">
        <f t="shared" si="98"/>
        <v>4</v>
      </c>
      <c r="V468" s="53" t="str">
        <f t="shared" si="99"/>
        <v/>
      </c>
      <c r="W468" s="53" t="str">
        <f t="shared" si="100"/>
        <v/>
      </c>
      <c r="X468" s="53" t="str">
        <f t="shared" si="101"/>
        <v/>
      </c>
      <c r="Y468" s="57" t="str">
        <f>IF($X468="","",IFERROR(VLOOKUP($X468,'Char Popularity'!$A$2:$C$500,2,FALSE),""))</f>
        <v/>
      </c>
      <c r="Z468" s="56">
        <f>IF($X468="",1,IFERROR(VLOOKUP($X468,'Char Popularity'!$A$2:$C$500,3,FALSE),1))</f>
        <v>1</v>
      </c>
      <c r="AA468" s="62">
        <f>IF($H468&lt;&gt;"Y",0,(IF($F468&lt;&gt;"",ROUND(Dashboard!$R$4/$F468,1),IF(AND($I468="Base",$E468="Base"),Dashboard!$R$5,IF(AND($I468="Base",$E468="Red"),Dashboard!$R$6,IF(AND($I468="Base",$E468="Gold"),Dashboard!$R$7,VLOOKUP($I468,Dashboard!$Q$16:$R$21,2,FALSE)))))*VLOOKUP($I468,Dashboard!$Q$9:$R$13,2,FALSE)*IF(AND($I468="Auto",$F468="",OR($B468="Autographs Duals",$B468="Autographs Triples",$B468="Autographs Quads",$B468="Autographs Quads (Inscribed)")),IF($B468="Autographs Duals",2,IF($B468="Autographs Triples",3,4)),1)))</f>
        <v>0</v>
      </c>
      <c r="AB468" s="62">
        <f t="shared" si="102"/>
        <v>0</v>
      </c>
      <c r="AC468" s="62">
        <f t="shared" si="103"/>
        <v>0</v>
      </c>
    </row>
    <row r="469" spans="1:29" ht="42.95" customHeight="1" x14ac:dyDescent="0.25">
      <c r="A469" s="4" t="s">
        <v>17</v>
      </c>
      <c r="B469" s="7" t="s">
        <v>792</v>
      </c>
      <c r="C469" s="2" t="s">
        <v>1467</v>
      </c>
      <c r="D469" s="7" t="s">
        <v>977</v>
      </c>
      <c r="E469" s="4" t="s">
        <v>829</v>
      </c>
      <c r="F469" s="2">
        <v>4</v>
      </c>
      <c r="G469" s="2" t="s">
        <v>1400</v>
      </c>
      <c r="H469" s="2" t="s">
        <v>1399</v>
      </c>
      <c r="I469" s="4" t="s">
        <v>60</v>
      </c>
      <c r="J469" s="112">
        <f>IF($H469&lt;&gt;"Y",0,ROUND(MIN(Dashboard!$R$24,IF(IFERROR(VLOOKUP($B469,Dashboard!$Q$28:$S$60,2,FALSE),0)&gt;0,IFERROR(VLOOKUP($B469,Dashboard!$Q$28:$S$60,2,FALSE),0),$Z469*IF($U469&lt;&gt;"",ROUND((Dashboard!$R$4/$U469)*VLOOKUP($I469,Dashboard!$Q$9:$R$13,2,FALSE)*IF(ISNUMBER(SEARCH("Duals",$B469)),2,IF(ISNUMBER(SEARCH("Triples",$B469)),3,IF(ISNUMBER(SEARCH("Quads",$B469)),4,1))),2),ROUND(VLOOKUP($I469,Dashboard!$Q$15:$R$20,2,FALSE)*IF($E469="Red",Dashboard!$R$6,IF($E469="Gold",Dashboard!$R$7,Dashboard!$R$5))*IF(ISNUMBER(SEARCH("Duals",$B469)),2,IF(ISNUMBER(SEARCH("Triples",$B469)),3,IF(ISNUMBER(SEARCH("Quads",$B469)),4,1))),2))*IF(IFERROR(VLOOKUP($B469,Dashboard!$Q$28:$S$60,3,FALSE),0)&gt;0,VLOOKUP($B469,Dashboard!$Q$28:$S$60,3,FALSE),1))),0))</f>
        <v>0</v>
      </c>
      <c r="K469" s="2" t="str">
        <f>IF('Base S1'!J69="","",'Base S1'!J69)</f>
        <v/>
      </c>
      <c r="L469" s="2">
        <f t="shared" si="91"/>
        <v>0</v>
      </c>
      <c r="M469" s="2">
        <f t="shared" si="92"/>
        <v>0</v>
      </c>
      <c r="N469" s="2">
        <f t="shared" si="93"/>
        <v>0</v>
      </c>
      <c r="O469" s="2">
        <f t="shared" si="94"/>
        <v>0</v>
      </c>
      <c r="P469" s="112">
        <f t="shared" si="95"/>
        <v>0</v>
      </c>
      <c r="Q469" s="112">
        <f t="shared" si="96"/>
        <v>0</v>
      </c>
      <c r="R469" s="53"/>
      <c r="S469" s="53" t="str">
        <f t="shared" si="97"/>
        <v>Base S1|Printing Plates Parallel - Season 1|68|Printing Plate</v>
      </c>
      <c r="T469" s="57" t="str">
        <f>IF($S469="","",IFERROR(VLOOKUP($S469,'Pop Estimates (Non-#d)'!$N$2:$O$500,2,FALSE),""))</f>
        <v/>
      </c>
      <c r="U469" s="57">
        <f t="shared" si="98"/>
        <v>4</v>
      </c>
      <c r="V469" s="53" t="str">
        <f t="shared" si="99"/>
        <v/>
      </c>
      <c r="W469" s="53" t="str">
        <f t="shared" si="100"/>
        <v/>
      </c>
      <c r="X469" s="53" t="str">
        <f t="shared" si="101"/>
        <v/>
      </c>
      <c r="Y469" s="57" t="str">
        <f>IF($X469="","",IFERROR(VLOOKUP($X469,'Char Popularity'!$A$2:$C$500,2,FALSE),""))</f>
        <v/>
      </c>
      <c r="Z469" s="56">
        <f>IF($X469="",1,IFERROR(VLOOKUP($X469,'Char Popularity'!$A$2:$C$500,3,FALSE),1))</f>
        <v>1</v>
      </c>
      <c r="AA469" s="62">
        <f>IF($H469&lt;&gt;"Y",0,(IF($F469&lt;&gt;"",ROUND(Dashboard!$R$4/$F469,1),IF(AND($I469="Base",$E469="Base"),Dashboard!$R$5,IF(AND($I469="Base",$E469="Red"),Dashboard!$R$6,IF(AND($I469="Base",$E469="Gold"),Dashboard!$R$7,VLOOKUP($I469,Dashboard!$Q$16:$R$21,2,FALSE)))))*VLOOKUP($I469,Dashboard!$Q$9:$R$13,2,FALSE)*IF(AND($I469="Auto",$F469="",OR($B469="Autographs Duals",$B469="Autographs Triples",$B469="Autographs Quads",$B469="Autographs Quads (Inscribed)")),IF($B469="Autographs Duals",2,IF($B469="Autographs Triples",3,4)),1)))</f>
        <v>0</v>
      </c>
      <c r="AB469" s="62">
        <f t="shared" si="102"/>
        <v>0</v>
      </c>
      <c r="AC469" s="62">
        <f t="shared" si="103"/>
        <v>0</v>
      </c>
    </row>
    <row r="470" spans="1:29" ht="42.95" customHeight="1" x14ac:dyDescent="0.25">
      <c r="A470" s="4" t="s">
        <v>17</v>
      </c>
      <c r="B470" s="7" t="s">
        <v>792</v>
      </c>
      <c r="C470" s="2" t="s">
        <v>1468</v>
      </c>
      <c r="D470" s="7" t="s">
        <v>979</v>
      </c>
      <c r="E470" s="4" t="s">
        <v>829</v>
      </c>
      <c r="F470" s="2">
        <v>4</v>
      </c>
      <c r="G470" s="2" t="s">
        <v>1400</v>
      </c>
      <c r="H470" s="2" t="s">
        <v>1399</v>
      </c>
      <c r="I470" s="4" t="s">
        <v>60</v>
      </c>
      <c r="J470" s="112">
        <f>IF($H470&lt;&gt;"Y",0,ROUND(MIN(Dashboard!$R$24,IF(IFERROR(VLOOKUP($B470,Dashboard!$Q$28:$S$60,2,FALSE),0)&gt;0,IFERROR(VLOOKUP($B470,Dashboard!$Q$28:$S$60,2,FALSE),0),$Z470*IF($U470&lt;&gt;"",ROUND((Dashboard!$R$4/$U470)*VLOOKUP($I470,Dashboard!$Q$9:$R$13,2,FALSE)*IF(ISNUMBER(SEARCH("Duals",$B470)),2,IF(ISNUMBER(SEARCH("Triples",$B470)),3,IF(ISNUMBER(SEARCH("Quads",$B470)),4,1))),2),ROUND(VLOOKUP($I470,Dashboard!$Q$15:$R$20,2,FALSE)*IF($E470="Red",Dashboard!$R$6,IF($E470="Gold",Dashboard!$R$7,Dashboard!$R$5))*IF(ISNUMBER(SEARCH("Duals",$B470)),2,IF(ISNUMBER(SEARCH("Triples",$B470)),3,IF(ISNUMBER(SEARCH("Quads",$B470)),4,1))),2))*IF(IFERROR(VLOOKUP($B470,Dashboard!$Q$28:$S$60,3,FALSE),0)&gt;0,VLOOKUP($B470,Dashboard!$Q$28:$S$60,3,FALSE),1))),0))</f>
        <v>0</v>
      </c>
      <c r="K470" s="2" t="str">
        <f>IF('Base S1'!J70="","",'Base S1'!J70)</f>
        <v/>
      </c>
      <c r="L470" s="2">
        <f t="shared" si="91"/>
        <v>0</v>
      </c>
      <c r="M470" s="2">
        <f t="shared" si="92"/>
        <v>0</v>
      </c>
      <c r="N470" s="2">
        <f t="shared" si="93"/>
        <v>0</v>
      </c>
      <c r="O470" s="2">
        <f t="shared" si="94"/>
        <v>0</v>
      </c>
      <c r="P470" s="112">
        <f t="shared" si="95"/>
        <v>0</v>
      </c>
      <c r="Q470" s="112">
        <f t="shared" si="96"/>
        <v>0</v>
      </c>
      <c r="R470" s="53"/>
      <c r="S470" s="53" t="str">
        <f t="shared" si="97"/>
        <v>Base S1|Printing Plates Parallel - Season 1|69|Printing Plate</v>
      </c>
      <c r="T470" s="57" t="str">
        <f>IF($S470="","",IFERROR(VLOOKUP($S470,'Pop Estimates (Non-#d)'!$N$2:$O$500,2,FALSE),""))</f>
        <v/>
      </c>
      <c r="U470" s="57">
        <f t="shared" si="98"/>
        <v>4</v>
      </c>
      <c r="V470" s="53" t="str">
        <f t="shared" si="99"/>
        <v/>
      </c>
      <c r="W470" s="53" t="str">
        <f t="shared" si="100"/>
        <v/>
      </c>
      <c r="X470" s="53" t="str">
        <f t="shared" si="101"/>
        <v/>
      </c>
      <c r="Y470" s="57" t="str">
        <f>IF($X470="","",IFERROR(VLOOKUP($X470,'Char Popularity'!$A$2:$C$500,2,FALSE),""))</f>
        <v/>
      </c>
      <c r="Z470" s="56">
        <f>IF($X470="",1,IFERROR(VLOOKUP($X470,'Char Popularity'!$A$2:$C$500,3,FALSE),1))</f>
        <v>1</v>
      </c>
      <c r="AA470" s="62">
        <f>IF($H470&lt;&gt;"Y",0,(IF($F470&lt;&gt;"",ROUND(Dashboard!$R$4/$F470,1),IF(AND($I470="Base",$E470="Base"),Dashboard!$R$5,IF(AND($I470="Base",$E470="Red"),Dashboard!$R$6,IF(AND($I470="Base",$E470="Gold"),Dashboard!$R$7,VLOOKUP($I470,Dashboard!$Q$16:$R$21,2,FALSE)))))*VLOOKUP($I470,Dashboard!$Q$9:$R$13,2,FALSE)*IF(AND($I470="Auto",$F470="",OR($B470="Autographs Duals",$B470="Autographs Triples",$B470="Autographs Quads",$B470="Autographs Quads (Inscribed)")),IF($B470="Autographs Duals",2,IF($B470="Autographs Triples",3,4)),1)))</f>
        <v>0</v>
      </c>
      <c r="AB470" s="62">
        <f t="shared" si="102"/>
        <v>0</v>
      </c>
      <c r="AC470" s="62">
        <f t="shared" si="103"/>
        <v>0</v>
      </c>
    </row>
    <row r="471" spans="1:29" ht="42.95" customHeight="1" x14ac:dyDescent="0.25">
      <c r="A471" s="4" t="s">
        <v>17</v>
      </c>
      <c r="B471" s="7" t="s">
        <v>792</v>
      </c>
      <c r="C471" s="2" t="s">
        <v>1469</v>
      </c>
      <c r="D471" s="7" t="s">
        <v>980</v>
      </c>
      <c r="E471" s="4" t="s">
        <v>829</v>
      </c>
      <c r="F471" s="2">
        <v>4</v>
      </c>
      <c r="G471" s="2" t="s">
        <v>1400</v>
      </c>
      <c r="H471" s="2" t="s">
        <v>1399</v>
      </c>
      <c r="I471" s="4" t="s">
        <v>60</v>
      </c>
      <c r="J471" s="112">
        <f>IF($H471&lt;&gt;"Y",0,ROUND(MIN(Dashboard!$R$24,IF(IFERROR(VLOOKUP($B471,Dashboard!$Q$28:$S$60,2,FALSE),0)&gt;0,IFERROR(VLOOKUP($B471,Dashboard!$Q$28:$S$60,2,FALSE),0),$Z471*IF($U471&lt;&gt;"",ROUND((Dashboard!$R$4/$U471)*VLOOKUP($I471,Dashboard!$Q$9:$R$13,2,FALSE)*IF(ISNUMBER(SEARCH("Duals",$B471)),2,IF(ISNUMBER(SEARCH("Triples",$B471)),3,IF(ISNUMBER(SEARCH("Quads",$B471)),4,1))),2),ROUND(VLOOKUP($I471,Dashboard!$Q$15:$R$20,2,FALSE)*IF($E471="Red",Dashboard!$R$6,IF($E471="Gold",Dashboard!$R$7,Dashboard!$R$5))*IF(ISNUMBER(SEARCH("Duals",$B471)),2,IF(ISNUMBER(SEARCH("Triples",$B471)),3,IF(ISNUMBER(SEARCH("Quads",$B471)),4,1))),2))*IF(IFERROR(VLOOKUP($B471,Dashboard!$Q$28:$S$60,3,FALSE),0)&gt;0,VLOOKUP($B471,Dashboard!$Q$28:$S$60,3,FALSE),1))),0))</f>
        <v>0</v>
      </c>
      <c r="K471" s="2" t="str">
        <f>IF('Base S1'!J71="","",'Base S1'!J71)</f>
        <v/>
      </c>
      <c r="L471" s="2">
        <f t="shared" si="91"/>
        <v>0</v>
      </c>
      <c r="M471" s="2">
        <f t="shared" si="92"/>
        <v>0</v>
      </c>
      <c r="N471" s="2">
        <f t="shared" si="93"/>
        <v>0</v>
      </c>
      <c r="O471" s="2">
        <f t="shared" si="94"/>
        <v>0</v>
      </c>
      <c r="P471" s="112">
        <f t="shared" si="95"/>
        <v>0</v>
      </c>
      <c r="Q471" s="112">
        <f t="shared" si="96"/>
        <v>0</v>
      </c>
      <c r="R471" s="53"/>
      <c r="S471" s="53" t="str">
        <f t="shared" si="97"/>
        <v>Base S1|Printing Plates Parallel - Season 1|70|Printing Plate</v>
      </c>
      <c r="T471" s="57" t="str">
        <f>IF($S471="","",IFERROR(VLOOKUP($S471,'Pop Estimates (Non-#d)'!$N$2:$O$500,2,FALSE),""))</f>
        <v/>
      </c>
      <c r="U471" s="57">
        <f t="shared" si="98"/>
        <v>4</v>
      </c>
      <c r="V471" s="53" t="str">
        <f t="shared" si="99"/>
        <v/>
      </c>
      <c r="W471" s="53" t="str">
        <f t="shared" si="100"/>
        <v/>
      </c>
      <c r="X471" s="53" t="str">
        <f t="shared" si="101"/>
        <v/>
      </c>
      <c r="Y471" s="57" t="str">
        <f>IF($X471="","",IFERROR(VLOOKUP($X471,'Char Popularity'!$A$2:$C$500,2,FALSE),""))</f>
        <v/>
      </c>
      <c r="Z471" s="56">
        <f>IF($X471="",1,IFERROR(VLOOKUP($X471,'Char Popularity'!$A$2:$C$500,3,FALSE),1))</f>
        <v>1</v>
      </c>
      <c r="AA471" s="62">
        <f>IF($H471&lt;&gt;"Y",0,(IF($F471&lt;&gt;"",ROUND(Dashboard!$R$4/$F471,1),IF(AND($I471="Base",$E471="Base"),Dashboard!$R$5,IF(AND($I471="Base",$E471="Red"),Dashboard!$R$6,IF(AND($I471="Base",$E471="Gold"),Dashboard!$R$7,VLOOKUP($I471,Dashboard!$Q$16:$R$21,2,FALSE)))))*VLOOKUP($I471,Dashboard!$Q$9:$R$13,2,FALSE)*IF(AND($I471="Auto",$F471="",OR($B471="Autographs Duals",$B471="Autographs Triples",$B471="Autographs Quads",$B471="Autographs Quads (Inscribed)")),IF($B471="Autographs Duals",2,IF($B471="Autographs Triples",3,4)),1)))</f>
        <v>0</v>
      </c>
      <c r="AB471" s="62">
        <f t="shared" si="102"/>
        <v>0</v>
      </c>
      <c r="AC471" s="62">
        <f t="shared" si="103"/>
        <v>0</v>
      </c>
    </row>
    <row r="472" spans="1:29" ht="42.95" customHeight="1" x14ac:dyDescent="0.25">
      <c r="A472" s="4" t="s">
        <v>17</v>
      </c>
      <c r="B472" s="7" t="s">
        <v>792</v>
      </c>
      <c r="C472" s="2" t="s">
        <v>1470</v>
      </c>
      <c r="D472" s="7" t="s">
        <v>981</v>
      </c>
      <c r="E472" s="4" t="s">
        <v>829</v>
      </c>
      <c r="F472" s="2">
        <v>4</v>
      </c>
      <c r="G472" s="2" t="s">
        <v>1400</v>
      </c>
      <c r="H472" s="2" t="s">
        <v>1399</v>
      </c>
      <c r="I472" s="4" t="s">
        <v>60</v>
      </c>
      <c r="J472" s="112">
        <f>IF($H472&lt;&gt;"Y",0,ROUND(MIN(Dashboard!$R$24,IF(IFERROR(VLOOKUP($B472,Dashboard!$Q$28:$S$60,2,FALSE),0)&gt;0,IFERROR(VLOOKUP($B472,Dashboard!$Q$28:$S$60,2,FALSE),0),$Z472*IF($U472&lt;&gt;"",ROUND((Dashboard!$R$4/$U472)*VLOOKUP($I472,Dashboard!$Q$9:$R$13,2,FALSE)*IF(ISNUMBER(SEARCH("Duals",$B472)),2,IF(ISNUMBER(SEARCH("Triples",$B472)),3,IF(ISNUMBER(SEARCH("Quads",$B472)),4,1))),2),ROUND(VLOOKUP($I472,Dashboard!$Q$15:$R$20,2,FALSE)*IF($E472="Red",Dashboard!$R$6,IF($E472="Gold",Dashboard!$R$7,Dashboard!$R$5))*IF(ISNUMBER(SEARCH("Duals",$B472)),2,IF(ISNUMBER(SEARCH("Triples",$B472)),3,IF(ISNUMBER(SEARCH("Quads",$B472)),4,1))),2))*IF(IFERROR(VLOOKUP($B472,Dashboard!$Q$28:$S$60,3,FALSE),0)&gt;0,VLOOKUP($B472,Dashboard!$Q$28:$S$60,3,FALSE),1))),0))</f>
        <v>0</v>
      </c>
      <c r="K472" s="2" t="str">
        <f>IF('Base S1'!J72="","",'Base S1'!J72)</f>
        <v/>
      </c>
      <c r="L472" s="2">
        <f t="shared" si="91"/>
        <v>0</v>
      </c>
      <c r="M472" s="2">
        <f t="shared" si="92"/>
        <v>0</v>
      </c>
      <c r="N472" s="2">
        <f t="shared" si="93"/>
        <v>0</v>
      </c>
      <c r="O472" s="2">
        <f t="shared" si="94"/>
        <v>0</v>
      </c>
      <c r="P472" s="112">
        <f t="shared" si="95"/>
        <v>0</v>
      </c>
      <c r="Q472" s="112">
        <f t="shared" si="96"/>
        <v>0</v>
      </c>
      <c r="R472" s="53"/>
      <c r="S472" s="53" t="str">
        <f t="shared" si="97"/>
        <v>Base S1|Printing Plates Parallel - Season 1|71|Printing Plate</v>
      </c>
      <c r="T472" s="57" t="str">
        <f>IF($S472="","",IFERROR(VLOOKUP($S472,'Pop Estimates (Non-#d)'!$N$2:$O$500,2,FALSE),""))</f>
        <v/>
      </c>
      <c r="U472" s="57">
        <f t="shared" si="98"/>
        <v>4</v>
      </c>
      <c r="V472" s="53" t="str">
        <f t="shared" si="99"/>
        <v/>
      </c>
      <c r="W472" s="53" t="str">
        <f t="shared" si="100"/>
        <v/>
      </c>
      <c r="X472" s="53" t="str">
        <f t="shared" si="101"/>
        <v/>
      </c>
      <c r="Y472" s="57" t="str">
        <f>IF($X472="","",IFERROR(VLOOKUP($X472,'Char Popularity'!$A$2:$C$500,2,FALSE),""))</f>
        <v/>
      </c>
      <c r="Z472" s="56">
        <f>IF($X472="",1,IFERROR(VLOOKUP($X472,'Char Popularity'!$A$2:$C$500,3,FALSE),1))</f>
        <v>1</v>
      </c>
      <c r="AA472" s="62">
        <f>IF($H472&lt;&gt;"Y",0,(IF($F472&lt;&gt;"",ROUND(Dashboard!$R$4/$F472,1),IF(AND($I472="Base",$E472="Base"),Dashboard!$R$5,IF(AND($I472="Base",$E472="Red"),Dashboard!$R$6,IF(AND($I472="Base",$E472="Gold"),Dashboard!$R$7,VLOOKUP($I472,Dashboard!$Q$16:$R$21,2,FALSE)))))*VLOOKUP($I472,Dashboard!$Q$9:$R$13,2,FALSE)*IF(AND($I472="Auto",$F472="",OR($B472="Autographs Duals",$B472="Autographs Triples",$B472="Autographs Quads",$B472="Autographs Quads (Inscribed)")),IF($B472="Autographs Duals",2,IF($B472="Autographs Triples",3,4)),1)))</f>
        <v>0</v>
      </c>
      <c r="AB472" s="62">
        <f t="shared" si="102"/>
        <v>0</v>
      </c>
      <c r="AC472" s="62">
        <f t="shared" si="103"/>
        <v>0</v>
      </c>
    </row>
    <row r="473" spans="1:29" ht="42.95" customHeight="1" x14ac:dyDescent="0.25">
      <c r="A473" s="4" t="s">
        <v>17</v>
      </c>
      <c r="B473" s="7" t="s">
        <v>792</v>
      </c>
      <c r="C473" s="2" t="s">
        <v>1471</v>
      </c>
      <c r="D473" s="7" t="s">
        <v>983</v>
      </c>
      <c r="E473" s="4" t="s">
        <v>829</v>
      </c>
      <c r="F473" s="2">
        <v>4</v>
      </c>
      <c r="G473" s="2" t="s">
        <v>1400</v>
      </c>
      <c r="H473" s="2" t="s">
        <v>1399</v>
      </c>
      <c r="I473" s="4" t="s">
        <v>60</v>
      </c>
      <c r="J473" s="112">
        <f>IF($H473&lt;&gt;"Y",0,ROUND(MIN(Dashboard!$R$24,IF(IFERROR(VLOOKUP($B473,Dashboard!$Q$28:$S$60,2,FALSE),0)&gt;0,IFERROR(VLOOKUP($B473,Dashboard!$Q$28:$S$60,2,FALSE),0),$Z473*IF($U473&lt;&gt;"",ROUND((Dashboard!$R$4/$U473)*VLOOKUP($I473,Dashboard!$Q$9:$R$13,2,FALSE)*IF(ISNUMBER(SEARCH("Duals",$B473)),2,IF(ISNUMBER(SEARCH("Triples",$B473)),3,IF(ISNUMBER(SEARCH("Quads",$B473)),4,1))),2),ROUND(VLOOKUP($I473,Dashboard!$Q$15:$R$20,2,FALSE)*IF($E473="Red",Dashboard!$R$6,IF($E473="Gold",Dashboard!$R$7,Dashboard!$R$5))*IF(ISNUMBER(SEARCH("Duals",$B473)),2,IF(ISNUMBER(SEARCH("Triples",$B473)),3,IF(ISNUMBER(SEARCH("Quads",$B473)),4,1))),2))*IF(IFERROR(VLOOKUP($B473,Dashboard!$Q$28:$S$60,3,FALSE),0)&gt;0,VLOOKUP($B473,Dashboard!$Q$28:$S$60,3,FALSE),1))),0))</f>
        <v>0</v>
      </c>
      <c r="K473" s="2" t="str">
        <f>IF('Base S1'!J73="","",'Base S1'!J73)</f>
        <v/>
      </c>
      <c r="L473" s="2">
        <f t="shared" si="91"/>
        <v>0</v>
      </c>
      <c r="M473" s="2">
        <f t="shared" si="92"/>
        <v>0</v>
      </c>
      <c r="N473" s="2">
        <f t="shared" si="93"/>
        <v>0</v>
      </c>
      <c r="O473" s="2">
        <f t="shared" si="94"/>
        <v>0</v>
      </c>
      <c r="P473" s="112">
        <f t="shared" si="95"/>
        <v>0</v>
      </c>
      <c r="Q473" s="112">
        <f t="shared" si="96"/>
        <v>0</v>
      </c>
      <c r="R473" s="53"/>
      <c r="S473" s="53" t="str">
        <f t="shared" si="97"/>
        <v>Base S1|Printing Plates Parallel - Season 1|72|Printing Plate</v>
      </c>
      <c r="T473" s="57" t="str">
        <f>IF($S473="","",IFERROR(VLOOKUP($S473,'Pop Estimates (Non-#d)'!$N$2:$O$500,2,FALSE),""))</f>
        <v/>
      </c>
      <c r="U473" s="57">
        <f t="shared" si="98"/>
        <v>4</v>
      </c>
      <c r="V473" s="53" t="str">
        <f t="shared" si="99"/>
        <v/>
      </c>
      <c r="W473" s="53" t="str">
        <f t="shared" si="100"/>
        <v/>
      </c>
      <c r="X473" s="53" t="str">
        <f t="shared" si="101"/>
        <v/>
      </c>
      <c r="Y473" s="57" t="str">
        <f>IF($X473="","",IFERROR(VLOOKUP($X473,'Char Popularity'!$A$2:$C$500,2,FALSE),""))</f>
        <v/>
      </c>
      <c r="Z473" s="56">
        <f>IF($X473="",1,IFERROR(VLOOKUP($X473,'Char Popularity'!$A$2:$C$500,3,FALSE),1))</f>
        <v>1</v>
      </c>
      <c r="AA473" s="62">
        <f>IF($H473&lt;&gt;"Y",0,(IF($F473&lt;&gt;"",ROUND(Dashboard!$R$4/$F473,1),IF(AND($I473="Base",$E473="Base"),Dashboard!$R$5,IF(AND($I473="Base",$E473="Red"),Dashboard!$R$6,IF(AND($I473="Base",$E473="Gold"),Dashboard!$R$7,VLOOKUP($I473,Dashboard!$Q$16:$R$21,2,FALSE)))))*VLOOKUP($I473,Dashboard!$Q$9:$R$13,2,FALSE)*IF(AND($I473="Auto",$F473="",OR($B473="Autographs Duals",$B473="Autographs Triples",$B473="Autographs Quads",$B473="Autographs Quads (Inscribed)")),IF($B473="Autographs Duals",2,IF($B473="Autographs Triples",3,4)),1)))</f>
        <v>0</v>
      </c>
      <c r="AB473" s="62">
        <f t="shared" si="102"/>
        <v>0</v>
      </c>
      <c r="AC473" s="62">
        <f t="shared" si="103"/>
        <v>0</v>
      </c>
    </row>
    <row r="474" spans="1:29" ht="42.95" customHeight="1" x14ac:dyDescent="0.25">
      <c r="A474" s="4" t="s">
        <v>17</v>
      </c>
      <c r="B474" s="7" t="s">
        <v>792</v>
      </c>
      <c r="C474" s="2" t="s">
        <v>1472</v>
      </c>
      <c r="D474" s="7" t="s">
        <v>985</v>
      </c>
      <c r="E474" s="4" t="s">
        <v>829</v>
      </c>
      <c r="F474" s="2">
        <v>4</v>
      </c>
      <c r="G474" s="2" t="s">
        <v>1400</v>
      </c>
      <c r="H474" s="2" t="s">
        <v>1399</v>
      </c>
      <c r="I474" s="4" t="s">
        <v>60</v>
      </c>
      <c r="J474" s="112">
        <f>IF($H474&lt;&gt;"Y",0,ROUND(MIN(Dashboard!$R$24,IF(IFERROR(VLOOKUP($B474,Dashboard!$Q$28:$S$60,2,FALSE),0)&gt;0,IFERROR(VLOOKUP($B474,Dashboard!$Q$28:$S$60,2,FALSE),0),$Z474*IF($U474&lt;&gt;"",ROUND((Dashboard!$R$4/$U474)*VLOOKUP($I474,Dashboard!$Q$9:$R$13,2,FALSE)*IF(ISNUMBER(SEARCH("Duals",$B474)),2,IF(ISNUMBER(SEARCH("Triples",$B474)),3,IF(ISNUMBER(SEARCH("Quads",$B474)),4,1))),2),ROUND(VLOOKUP($I474,Dashboard!$Q$15:$R$20,2,FALSE)*IF($E474="Red",Dashboard!$R$6,IF($E474="Gold",Dashboard!$R$7,Dashboard!$R$5))*IF(ISNUMBER(SEARCH("Duals",$B474)),2,IF(ISNUMBER(SEARCH("Triples",$B474)),3,IF(ISNUMBER(SEARCH("Quads",$B474)),4,1))),2))*IF(IFERROR(VLOOKUP($B474,Dashboard!$Q$28:$S$60,3,FALSE),0)&gt;0,VLOOKUP($B474,Dashboard!$Q$28:$S$60,3,FALSE),1))),0))</f>
        <v>0</v>
      </c>
      <c r="K474" s="2" t="str">
        <f>IF('Base S1'!J74="","",'Base S1'!J74)</f>
        <v/>
      </c>
      <c r="L474" s="2">
        <f t="shared" si="91"/>
        <v>0</v>
      </c>
      <c r="M474" s="2">
        <f t="shared" si="92"/>
        <v>0</v>
      </c>
      <c r="N474" s="2">
        <f t="shared" si="93"/>
        <v>0</v>
      </c>
      <c r="O474" s="2">
        <f t="shared" si="94"/>
        <v>0</v>
      </c>
      <c r="P474" s="112">
        <f t="shared" si="95"/>
        <v>0</v>
      </c>
      <c r="Q474" s="112">
        <f t="shared" si="96"/>
        <v>0</v>
      </c>
      <c r="R474" s="53"/>
      <c r="S474" s="53" t="str">
        <f t="shared" si="97"/>
        <v>Base S1|Printing Plates Parallel - Season 1|73|Printing Plate</v>
      </c>
      <c r="T474" s="57" t="str">
        <f>IF($S474="","",IFERROR(VLOOKUP($S474,'Pop Estimates (Non-#d)'!$N$2:$O$500,2,FALSE),""))</f>
        <v/>
      </c>
      <c r="U474" s="57">
        <f t="shared" si="98"/>
        <v>4</v>
      </c>
      <c r="V474" s="53" t="str">
        <f t="shared" si="99"/>
        <v/>
      </c>
      <c r="W474" s="53" t="str">
        <f t="shared" si="100"/>
        <v/>
      </c>
      <c r="X474" s="53" t="str">
        <f t="shared" si="101"/>
        <v/>
      </c>
      <c r="Y474" s="57" t="str">
        <f>IF($X474="","",IFERROR(VLOOKUP($X474,'Char Popularity'!$A$2:$C$500,2,FALSE),""))</f>
        <v/>
      </c>
      <c r="Z474" s="56">
        <f>IF($X474="",1,IFERROR(VLOOKUP($X474,'Char Popularity'!$A$2:$C$500,3,FALSE),1))</f>
        <v>1</v>
      </c>
      <c r="AA474" s="62">
        <f>IF($H474&lt;&gt;"Y",0,(IF($F474&lt;&gt;"",ROUND(Dashboard!$R$4/$F474,1),IF(AND($I474="Base",$E474="Base"),Dashboard!$R$5,IF(AND($I474="Base",$E474="Red"),Dashboard!$R$6,IF(AND($I474="Base",$E474="Gold"),Dashboard!$R$7,VLOOKUP($I474,Dashboard!$Q$16:$R$21,2,FALSE)))))*VLOOKUP($I474,Dashboard!$Q$9:$R$13,2,FALSE)*IF(AND($I474="Auto",$F474="",OR($B474="Autographs Duals",$B474="Autographs Triples",$B474="Autographs Quads",$B474="Autographs Quads (Inscribed)")),IF($B474="Autographs Duals",2,IF($B474="Autographs Triples",3,4)),1)))</f>
        <v>0</v>
      </c>
      <c r="AB474" s="62">
        <f t="shared" si="102"/>
        <v>0</v>
      </c>
      <c r="AC474" s="62">
        <f t="shared" si="103"/>
        <v>0</v>
      </c>
    </row>
    <row r="475" spans="1:29" ht="42.95" customHeight="1" x14ac:dyDescent="0.25">
      <c r="A475" s="4" t="s">
        <v>17</v>
      </c>
      <c r="B475" s="7" t="s">
        <v>792</v>
      </c>
      <c r="C475" s="2" t="s">
        <v>1473</v>
      </c>
      <c r="D475" s="7" t="s">
        <v>987</v>
      </c>
      <c r="E475" s="4" t="s">
        <v>829</v>
      </c>
      <c r="F475" s="2">
        <v>4</v>
      </c>
      <c r="G475" s="2" t="s">
        <v>1400</v>
      </c>
      <c r="H475" s="2" t="s">
        <v>1399</v>
      </c>
      <c r="I475" s="4" t="s">
        <v>60</v>
      </c>
      <c r="J475" s="112">
        <f>IF($H475&lt;&gt;"Y",0,ROUND(MIN(Dashboard!$R$24,IF(IFERROR(VLOOKUP($B475,Dashboard!$Q$28:$S$60,2,FALSE),0)&gt;0,IFERROR(VLOOKUP($B475,Dashboard!$Q$28:$S$60,2,FALSE),0),$Z475*IF($U475&lt;&gt;"",ROUND((Dashboard!$R$4/$U475)*VLOOKUP($I475,Dashboard!$Q$9:$R$13,2,FALSE)*IF(ISNUMBER(SEARCH("Duals",$B475)),2,IF(ISNUMBER(SEARCH("Triples",$B475)),3,IF(ISNUMBER(SEARCH("Quads",$B475)),4,1))),2),ROUND(VLOOKUP($I475,Dashboard!$Q$15:$R$20,2,FALSE)*IF($E475="Red",Dashboard!$R$6,IF($E475="Gold",Dashboard!$R$7,Dashboard!$R$5))*IF(ISNUMBER(SEARCH("Duals",$B475)),2,IF(ISNUMBER(SEARCH("Triples",$B475)),3,IF(ISNUMBER(SEARCH("Quads",$B475)),4,1))),2))*IF(IFERROR(VLOOKUP($B475,Dashboard!$Q$28:$S$60,3,FALSE),0)&gt;0,VLOOKUP($B475,Dashboard!$Q$28:$S$60,3,FALSE),1))),0))</f>
        <v>0</v>
      </c>
      <c r="K475" s="2" t="str">
        <f>IF('Base S1'!J75="","",'Base S1'!J75)</f>
        <v/>
      </c>
      <c r="L475" s="2">
        <f t="shared" si="91"/>
        <v>0</v>
      </c>
      <c r="M475" s="2">
        <f t="shared" si="92"/>
        <v>0</v>
      </c>
      <c r="N475" s="2">
        <f t="shared" si="93"/>
        <v>0</v>
      </c>
      <c r="O475" s="2">
        <f t="shared" si="94"/>
        <v>0</v>
      </c>
      <c r="P475" s="112">
        <f t="shared" si="95"/>
        <v>0</v>
      </c>
      <c r="Q475" s="112">
        <f t="shared" si="96"/>
        <v>0</v>
      </c>
      <c r="R475" s="53"/>
      <c r="S475" s="53" t="str">
        <f t="shared" si="97"/>
        <v>Base S1|Printing Plates Parallel - Season 1|74|Printing Plate</v>
      </c>
      <c r="T475" s="57" t="str">
        <f>IF($S475="","",IFERROR(VLOOKUP($S475,'Pop Estimates (Non-#d)'!$N$2:$O$500,2,FALSE),""))</f>
        <v/>
      </c>
      <c r="U475" s="57">
        <f t="shared" si="98"/>
        <v>4</v>
      </c>
      <c r="V475" s="53" t="str">
        <f t="shared" si="99"/>
        <v/>
      </c>
      <c r="W475" s="53" t="str">
        <f t="shared" si="100"/>
        <v/>
      </c>
      <c r="X475" s="53" t="str">
        <f t="shared" si="101"/>
        <v/>
      </c>
      <c r="Y475" s="57" t="str">
        <f>IF($X475="","",IFERROR(VLOOKUP($X475,'Char Popularity'!$A$2:$C$500,2,FALSE),""))</f>
        <v/>
      </c>
      <c r="Z475" s="56">
        <f>IF($X475="",1,IFERROR(VLOOKUP($X475,'Char Popularity'!$A$2:$C$500,3,FALSE),1))</f>
        <v>1</v>
      </c>
      <c r="AA475" s="62">
        <f>IF($H475&lt;&gt;"Y",0,(IF($F475&lt;&gt;"",ROUND(Dashboard!$R$4/$F475,1),IF(AND($I475="Base",$E475="Base"),Dashboard!$R$5,IF(AND($I475="Base",$E475="Red"),Dashboard!$R$6,IF(AND($I475="Base",$E475="Gold"),Dashboard!$R$7,VLOOKUP($I475,Dashboard!$Q$16:$R$21,2,FALSE)))))*VLOOKUP($I475,Dashboard!$Q$9:$R$13,2,FALSE)*IF(AND($I475="Auto",$F475="",OR($B475="Autographs Duals",$B475="Autographs Triples",$B475="Autographs Quads",$B475="Autographs Quads (Inscribed)")),IF($B475="Autographs Duals",2,IF($B475="Autographs Triples",3,4)),1)))</f>
        <v>0</v>
      </c>
      <c r="AB475" s="62">
        <f t="shared" si="102"/>
        <v>0</v>
      </c>
      <c r="AC475" s="62">
        <f t="shared" si="103"/>
        <v>0</v>
      </c>
    </row>
    <row r="476" spans="1:29" ht="42.95" customHeight="1" x14ac:dyDescent="0.25">
      <c r="A476" s="4" t="s">
        <v>17</v>
      </c>
      <c r="B476" s="7" t="s">
        <v>792</v>
      </c>
      <c r="C476" s="2" t="s">
        <v>1474</v>
      </c>
      <c r="D476" s="7" t="s">
        <v>989</v>
      </c>
      <c r="E476" s="4" t="s">
        <v>829</v>
      </c>
      <c r="F476" s="2">
        <v>4</v>
      </c>
      <c r="G476" s="2" t="s">
        <v>1400</v>
      </c>
      <c r="H476" s="2" t="s">
        <v>1399</v>
      </c>
      <c r="I476" s="4" t="s">
        <v>60</v>
      </c>
      <c r="J476" s="112">
        <f>IF($H476&lt;&gt;"Y",0,ROUND(MIN(Dashboard!$R$24,IF(IFERROR(VLOOKUP($B476,Dashboard!$Q$28:$S$60,2,FALSE),0)&gt;0,IFERROR(VLOOKUP($B476,Dashboard!$Q$28:$S$60,2,FALSE),0),$Z476*IF($U476&lt;&gt;"",ROUND((Dashboard!$R$4/$U476)*VLOOKUP($I476,Dashboard!$Q$9:$R$13,2,FALSE)*IF(ISNUMBER(SEARCH("Duals",$B476)),2,IF(ISNUMBER(SEARCH("Triples",$B476)),3,IF(ISNUMBER(SEARCH("Quads",$B476)),4,1))),2),ROUND(VLOOKUP($I476,Dashboard!$Q$15:$R$20,2,FALSE)*IF($E476="Red",Dashboard!$R$6,IF($E476="Gold",Dashboard!$R$7,Dashboard!$R$5))*IF(ISNUMBER(SEARCH("Duals",$B476)),2,IF(ISNUMBER(SEARCH("Triples",$B476)),3,IF(ISNUMBER(SEARCH("Quads",$B476)),4,1))),2))*IF(IFERROR(VLOOKUP($B476,Dashboard!$Q$28:$S$60,3,FALSE),0)&gt;0,VLOOKUP($B476,Dashboard!$Q$28:$S$60,3,FALSE),1))),0))</f>
        <v>0</v>
      </c>
      <c r="K476" s="2" t="str">
        <f>IF('Base S1'!J76="","",'Base S1'!J76)</f>
        <v/>
      </c>
      <c r="L476" s="2">
        <f t="shared" si="91"/>
        <v>0</v>
      </c>
      <c r="M476" s="2">
        <f t="shared" si="92"/>
        <v>0</v>
      </c>
      <c r="N476" s="2">
        <f t="shared" si="93"/>
        <v>0</v>
      </c>
      <c r="O476" s="2">
        <f t="shared" si="94"/>
        <v>0</v>
      </c>
      <c r="P476" s="112">
        <f t="shared" si="95"/>
        <v>0</v>
      </c>
      <c r="Q476" s="112">
        <f t="shared" si="96"/>
        <v>0</v>
      </c>
      <c r="R476" s="53"/>
      <c r="S476" s="53" t="str">
        <f t="shared" si="97"/>
        <v>Base S1|Printing Plates Parallel - Season 1|75|Printing Plate</v>
      </c>
      <c r="T476" s="57" t="str">
        <f>IF($S476="","",IFERROR(VLOOKUP($S476,'Pop Estimates (Non-#d)'!$N$2:$O$500,2,FALSE),""))</f>
        <v/>
      </c>
      <c r="U476" s="57">
        <f t="shared" si="98"/>
        <v>4</v>
      </c>
      <c r="V476" s="53" t="str">
        <f t="shared" si="99"/>
        <v/>
      </c>
      <c r="W476" s="53" t="str">
        <f t="shared" si="100"/>
        <v/>
      </c>
      <c r="X476" s="53" t="str">
        <f t="shared" si="101"/>
        <v/>
      </c>
      <c r="Y476" s="57" t="str">
        <f>IF($X476="","",IFERROR(VLOOKUP($X476,'Char Popularity'!$A$2:$C$500,2,FALSE),""))</f>
        <v/>
      </c>
      <c r="Z476" s="56">
        <f>IF($X476="",1,IFERROR(VLOOKUP($X476,'Char Popularity'!$A$2:$C$500,3,FALSE),1))</f>
        <v>1</v>
      </c>
      <c r="AA476" s="62">
        <f>IF($H476&lt;&gt;"Y",0,(IF($F476&lt;&gt;"",ROUND(Dashboard!$R$4/$F476,1),IF(AND($I476="Base",$E476="Base"),Dashboard!$R$5,IF(AND($I476="Base",$E476="Red"),Dashboard!$R$6,IF(AND($I476="Base",$E476="Gold"),Dashboard!$R$7,VLOOKUP($I476,Dashboard!$Q$16:$R$21,2,FALSE)))))*VLOOKUP($I476,Dashboard!$Q$9:$R$13,2,FALSE)*IF(AND($I476="Auto",$F476="",OR($B476="Autographs Duals",$B476="Autographs Triples",$B476="Autographs Quads",$B476="Autographs Quads (Inscribed)")),IF($B476="Autographs Duals",2,IF($B476="Autographs Triples",3,4)),1)))</f>
        <v>0</v>
      </c>
      <c r="AB476" s="62">
        <f t="shared" si="102"/>
        <v>0</v>
      </c>
      <c r="AC476" s="62">
        <f t="shared" si="103"/>
        <v>0</v>
      </c>
    </row>
    <row r="477" spans="1:29" ht="42.95" customHeight="1" x14ac:dyDescent="0.25">
      <c r="A477" s="4" t="s">
        <v>17</v>
      </c>
      <c r="B477" s="7" t="s">
        <v>792</v>
      </c>
      <c r="C477" s="2" t="s">
        <v>1475</v>
      </c>
      <c r="D477" s="7" t="s">
        <v>991</v>
      </c>
      <c r="E477" s="4" t="s">
        <v>829</v>
      </c>
      <c r="F477" s="2">
        <v>4</v>
      </c>
      <c r="G477" s="2" t="s">
        <v>1400</v>
      </c>
      <c r="H477" s="2" t="s">
        <v>1399</v>
      </c>
      <c r="I477" s="4" t="s">
        <v>60</v>
      </c>
      <c r="J477" s="112">
        <f>IF($H477&lt;&gt;"Y",0,ROUND(MIN(Dashboard!$R$24,IF(IFERROR(VLOOKUP($B477,Dashboard!$Q$28:$S$60,2,FALSE),0)&gt;0,IFERROR(VLOOKUP($B477,Dashboard!$Q$28:$S$60,2,FALSE),0),$Z477*IF($U477&lt;&gt;"",ROUND((Dashboard!$R$4/$U477)*VLOOKUP($I477,Dashboard!$Q$9:$R$13,2,FALSE)*IF(ISNUMBER(SEARCH("Duals",$B477)),2,IF(ISNUMBER(SEARCH("Triples",$B477)),3,IF(ISNUMBER(SEARCH("Quads",$B477)),4,1))),2),ROUND(VLOOKUP($I477,Dashboard!$Q$15:$R$20,2,FALSE)*IF($E477="Red",Dashboard!$R$6,IF($E477="Gold",Dashboard!$R$7,Dashboard!$R$5))*IF(ISNUMBER(SEARCH("Duals",$B477)),2,IF(ISNUMBER(SEARCH("Triples",$B477)),3,IF(ISNUMBER(SEARCH("Quads",$B477)),4,1))),2))*IF(IFERROR(VLOOKUP($B477,Dashboard!$Q$28:$S$60,3,FALSE),0)&gt;0,VLOOKUP($B477,Dashboard!$Q$28:$S$60,3,FALSE),1))),0))</f>
        <v>0</v>
      </c>
      <c r="K477" s="2" t="str">
        <f>IF('Base S1'!J77="","",'Base S1'!J77)</f>
        <v/>
      </c>
      <c r="L477" s="2">
        <f t="shared" si="91"/>
        <v>0</v>
      </c>
      <c r="M477" s="2">
        <f t="shared" si="92"/>
        <v>0</v>
      </c>
      <c r="N477" s="2">
        <f t="shared" si="93"/>
        <v>0</v>
      </c>
      <c r="O477" s="2">
        <f t="shared" si="94"/>
        <v>0</v>
      </c>
      <c r="P477" s="112">
        <f t="shared" si="95"/>
        <v>0</v>
      </c>
      <c r="Q477" s="112">
        <f t="shared" si="96"/>
        <v>0</v>
      </c>
      <c r="R477" s="53"/>
      <c r="S477" s="53" t="str">
        <f t="shared" si="97"/>
        <v>Base S1|Printing Plates Parallel - Season 1|76|Printing Plate</v>
      </c>
      <c r="T477" s="57" t="str">
        <f>IF($S477="","",IFERROR(VLOOKUP($S477,'Pop Estimates (Non-#d)'!$N$2:$O$500,2,FALSE),""))</f>
        <v/>
      </c>
      <c r="U477" s="57">
        <f t="shared" si="98"/>
        <v>4</v>
      </c>
      <c r="V477" s="53" t="str">
        <f t="shared" si="99"/>
        <v/>
      </c>
      <c r="W477" s="53" t="str">
        <f t="shared" si="100"/>
        <v/>
      </c>
      <c r="X477" s="53" t="str">
        <f t="shared" si="101"/>
        <v/>
      </c>
      <c r="Y477" s="57" t="str">
        <f>IF($X477="","",IFERROR(VLOOKUP($X477,'Char Popularity'!$A$2:$C$500,2,FALSE),""))</f>
        <v/>
      </c>
      <c r="Z477" s="56">
        <f>IF($X477="",1,IFERROR(VLOOKUP($X477,'Char Popularity'!$A$2:$C$500,3,FALSE),1))</f>
        <v>1</v>
      </c>
      <c r="AA477" s="62">
        <f>IF($H477&lt;&gt;"Y",0,(IF($F477&lt;&gt;"",ROUND(Dashboard!$R$4/$F477,1),IF(AND($I477="Base",$E477="Base"),Dashboard!$R$5,IF(AND($I477="Base",$E477="Red"),Dashboard!$R$6,IF(AND($I477="Base",$E477="Gold"),Dashboard!$R$7,VLOOKUP($I477,Dashboard!$Q$16:$R$21,2,FALSE)))))*VLOOKUP($I477,Dashboard!$Q$9:$R$13,2,FALSE)*IF(AND($I477="Auto",$F477="",OR($B477="Autographs Duals",$B477="Autographs Triples",$B477="Autographs Quads",$B477="Autographs Quads (Inscribed)")),IF($B477="Autographs Duals",2,IF($B477="Autographs Triples",3,4)),1)))</f>
        <v>0</v>
      </c>
      <c r="AB477" s="62">
        <f t="shared" si="102"/>
        <v>0</v>
      </c>
      <c r="AC477" s="62">
        <f t="shared" si="103"/>
        <v>0</v>
      </c>
    </row>
    <row r="478" spans="1:29" ht="42.95" customHeight="1" x14ac:dyDescent="0.25">
      <c r="A478" s="4" t="s">
        <v>17</v>
      </c>
      <c r="B478" s="7" t="s">
        <v>792</v>
      </c>
      <c r="C478" s="2" t="s">
        <v>1476</v>
      </c>
      <c r="D478" s="7" t="s">
        <v>993</v>
      </c>
      <c r="E478" s="4" t="s">
        <v>829</v>
      </c>
      <c r="F478" s="2">
        <v>4</v>
      </c>
      <c r="G478" s="2" t="s">
        <v>1400</v>
      </c>
      <c r="H478" s="2" t="s">
        <v>1399</v>
      </c>
      <c r="I478" s="4" t="s">
        <v>60</v>
      </c>
      <c r="J478" s="112">
        <f>IF($H478&lt;&gt;"Y",0,ROUND(MIN(Dashboard!$R$24,IF(IFERROR(VLOOKUP($B478,Dashboard!$Q$28:$S$60,2,FALSE),0)&gt;0,IFERROR(VLOOKUP($B478,Dashboard!$Q$28:$S$60,2,FALSE),0),$Z478*IF($U478&lt;&gt;"",ROUND((Dashboard!$R$4/$U478)*VLOOKUP($I478,Dashboard!$Q$9:$R$13,2,FALSE)*IF(ISNUMBER(SEARCH("Duals",$B478)),2,IF(ISNUMBER(SEARCH("Triples",$B478)),3,IF(ISNUMBER(SEARCH("Quads",$B478)),4,1))),2),ROUND(VLOOKUP($I478,Dashboard!$Q$15:$R$20,2,FALSE)*IF($E478="Red",Dashboard!$R$6,IF($E478="Gold",Dashboard!$R$7,Dashboard!$R$5))*IF(ISNUMBER(SEARCH("Duals",$B478)),2,IF(ISNUMBER(SEARCH("Triples",$B478)),3,IF(ISNUMBER(SEARCH("Quads",$B478)),4,1))),2))*IF(IFERROR(VLOOKUP($B478,Dashboard!$Q$28:$S$60,3,FALSE),0)&gt;0,VLOOKUP($B478,Dashboard!$Q$28:$S$60,3,FALSE),1))),0))</f>
        <v>0</v>
      </c>
      <c r="K478" s="2" t="str">
        <f>IF('Base S1'!J78="","",'Base S1'!J78)</f>
        <v/>
      </c>
      <c r="L478" s="2">
        <f t="shared" si="91"/>
        <v>0</v>
      </c>
      <c r="M478" s="2">
        <f t="shared" si="92"/>
        <v>0</v>
      </c>
      <c r="N478" s="2">
        <f t="shared" si="93"/>
        <v>0</v>
      </c>
      <c r="O478" s="2">
        <f t="shared" si="94"/>
        <v>0</v>
      </c>
      <c r="P478" s="112">
        <f t="shared" si="95"/>
        <v>0</v>
      </c>
      <c r="Q478" s="112">
        <f t="shared" si="96"/>
        <v>0</v>
      </c>
      <c r="R478" s="53"/>
      <c r="S478" s="53" t="str">
        <f t="shared" si="97"/>
        <v>Base S1|Printing Plates Parallel - Season 1|77|Printing Plate</v>
      </c>
      <c r="T478" s="57" t="str">
        <f>IF($S478="","",IFERROR(VLOOKUP($S478,'Pop Estimates (Non-#d)'!$N$2:$O$500,2,FALSE),""))</f>
        <v/>
      </c>
      <c r="U478" s="57">
        <f t="shared" si="98"/>
        <v>4</v>
      </c>
      <c r="V478" s="53" t="str">
        <f t="shared" si="99"/>
        <v/>
      </c>
      <c r="W478" s="53" t="str">
        <f t="shared" si="100"/>
        <v/>
      </c>
      <c r="X478" s="53" t="str">
        <f t="shared" si="101"/>
        <v/>
      </c>
      <c r="Y478" s="57" t="str">
        <f>IF($X478="","",IFERROR(VLOOKUP($X478,'Char Popularity'!$A$2:$C$500,2,FALSE),""))</f>
        <v/>
      </c>
      <c r="Z478" s="56">
        <f>IF($X478="",1,IFERROR(VLOOKUP($X478,'Char Popularity'!$A$2:$C$500,3,FALSE),1))</f>
        <v>1</v>
      </c>
      <c r="AA478" s="62">
        <f>IF($H478&lt;&gt;"Y",0,(IF($F478&lt;&gt;"",ROUND(Dashboard!$R$4/$F478,1),IF(AND($I478="Base",$E478="Base"),Dashboard!$R$5,IF(AND($I478="Base",$E478="Red"),Dashboard!$R$6,IF(AND($I478="Base",$E478="Gold"),Dashboard!$R$7,VLOOKUP($I478,Dashboard!$Q$16:$R$21,2,FALSE)))))*VLOOKUP($I478,Dashboard!$Q$9:$R$13,2,FALSE)*IF(AND($I478="Auto",$F478="",OR($B478="Autographs Duals",$B478="Autographs Triples",$B478="Autographs Quads",$B478="Autographs Quads (Inscribed)")),IF($B478="Autographs Duals",2,IF($B478="Autographs Triples",3,4)),1)))</f>
        <v>0</v>
      </c>
      <c r="AB478" s="62">
        <f t="shared" si="102"/>
        <v>0</v>
      </c>
      <c r="AC478" s="62">
        <f t="shared" si="103"/>
        <v>0</v>
      </c>
    </row>
    <row r="479" spans="1:29" ht="42.95" customHeight="1" x14ac:dyDescent="0.25">
      <c r="A479" s="4" t="s">
        <v>17</v>
      </c>
      <c r="B479" s="7" t="s">
        <v>792</v>
      </c>
      <c r="C479" s="2" t="s">
        <v>1477</v>
      </c>
      <c r="D479" s="7" t="s">
        <v>995</v>
      </c>
      <c r="E479" s="4" t="s">
        <v>829</v>
      </c>
      <c r="F479" s="2">
        <v>4</v>
      </c>
      <c r="G479" s="2" t="s">
        <v>1400</v>
      </c>
      <c r="H479" s="2" t="s">
        <v>1399</v>
      </c>
      <c r="I479" s="4" t="s">
        <v>60</v>
      </c>
      <c r="J479" s="112">
        <f>IF($H479&lt;&gt;"Y",0,ROUND(MIN(Dashboard!$R$24,IF(IFERROR(VLOOKUP($B479,Dashboard!$Q$28:$S$60,2,FALSE),0)&gt;0,IFERROR(VLOOKUP($B479,Dashboard!$Q$28:$S$60,2,FALSE),0),$Z479*IF($U479&lt;&gt;"",ROUND((Dashboard!$R$4/$U479)*VLOOKUP($I479,Dashboard!$Q$9:$R$13,2,FALSE)*IF(ISNUMBER(SEARCH("Duals",$B479)),2,IF(ISNUMBER(SEARCH("Triples",$B479)),3,IF(ISNUMBER(SEARCH("Quads",$B479)),4,1))),2),ROUND(VLOOKUP($I479,Dashboard!$Q$15:$R$20,2,FALSE)*IF($E479="Red",Dashboard!$R$6,IF($E479="Gold",Dashboard!$R$7,Dashboard!$R$5))*IF(ISNUMBER(SEARCH("Duals",$B479)),2,IF(ISNUMBER(SEARCH("Triples",$B479)),3,IF(ISNUMBER(SEARCH("Quads",$B479)),4,1))),2))*IF(IFERROR(VLOOKUP($B479,Dashboard!$Q$28:$S$60,3,FALSE),0)&gt;0,VLOOKUP($B479,Dashboard!$Q$28:$S$60,3,FALSE),1))),0))</f>
        <v>0</v>
      </c>
      <c r="K479" s="2" t="str">
        <f>IF('Base S1'!J79="","",'Base S1'!J79)</f>
        <v/>
      </c>
      <c r="L479" s="2">
        <f t="shared" si="91"/>
        <v>0</v>
      </c>
      <c r="M479" s="2">
        <f t="shared" si="92"/>
        <v>0</v>
      </c>
      <c r="N479" s="2">
        <f t="shared" si="93"/>
        <v>0</v>
      </c>
      <c r="O479" s="2">
        <f t="shared" si="94"/>
        <v>0</v>
      </c>
      <c r="P479" s="112">
        <f t="shared" si="95"/>
        <v>0</v>
      </c>
      <c r="Q479" s="112">
        <f t="shared" si="96"/>
        <v>0</v>
      </c>
      <c r="R479" s="53"/>
      <c r="S479" s="53" t="str">
        <f t="shared" si="97"/>
        <v>Base S1|Printing Plates Parallel - Season 1|78|Printing Plate</v>
      </c>
      <c r="T479" s="57" t="str">
        <f>IF($S479="","",IFERROR(VLOOKUP($S479,'Pop Estimates (Non-#d)'!$N$2:$O$500,2,FALSE),""))</f>
        <v/>
      </c>
      <c r="U479" s="57">
        <f t="shared" si="98"/>
        <v>4</v>
      </c>
      <c r="V479" s="53" t="str">
        <f t="shared" si="99"/>
        <v/>
      </c>
      <c r="W479" s="53" t="str">
        <f t="shared" si="100"/>
        <v/>
      </c>
      <c r="X479" s="53" t="str">
        <f t="shared" si="101"/>
        <v/>
      </c>
      <c r="Y479" s="57" t="str">
        <f>IF($X479="","",IFERROR(VLOOKUP($X479,'Char Popularity'!$A$2:$C$500,2,FALSE),""))</f>
        <v/>
      </c>
      <c r="Z479" s="56">
        <f>IF($X479="",1,IFERROR(VLOOKUP($X479,'Char Popularity'!$A$2:$C$500,3,FALSE),1))</f>
        <v>1</v>
      </c>
      <c r="AA479" s="62">
        <f>IF($H479&lt;&gt;"Y",0,(IF($F479&lt;&gt;"",ROUND(Dashboard!$R$4/$F479,1),IF(AND($I479="Base",$E479="Base"),Dashboard!$R$5,IF(AND($I479="Base",$E479="Red"),Dashboard!$R$6,IF(AND($I479="Base",$E479="Gold"),Dashboard!$R$7,VLOOKUP($I479,Dashboard!$Q$16:$R$21,2,FALSE)))))*VLOOKUP($I479,Dashboard!$Q$9:$R$13,2,FALSE)*IF(AND($I479="Auto",$F479="",OR($B479="Autographs Duals",$B479="Autographs Triples",$B479="Autographs Quads",$B479="Autographs Quads (Inscribed)")),IF($B479="Autographs Duals",2,IF($B479="Autographs Triples",3,4)),1)))</f>
        <v>0</v>
      </c>
      <c r="AB479" s="62">
        <f t="shared" si="102"/>
        <v>0</v>
      </c>
      <c r="AC479" s="62">
        <f t="shared" si="103"/>
        <v>0</v>
      </c>
    </row>
    <row r="480" spans="1:29" ht="42.95" customHeight="1" x14ac:dyDescent="0.25">
      <c r="A480" s="4" t="s">
        <v>17</v>
      </c>
      <c r="B480" s="7" t="s">
        <v>792</v>
      </c>
      <c r="C480" s="2" t="s">
        <v>1478</v>
      </c>
      <c r="D480" s="7" t="s">
        <v>998</v>
      </c>
      <c r="E480" s="4" t="s">
        <v>829</v>
      </c>
      <c r="F480" s="2">
        <v>4</v>
      </c>
      <c r="G480" s="2" t="s">
        <v>1400</v>
      </c>
      <c r="H480" s="2" t="s">
        <v>1399</v>
      </c>
      <c r="I480" s="4" t="s">
        <v>60</v>
      </c>
      <c r="J480" s="112">
        <f>IF($H480&lt;&gt;"Y",0,ROUND(MIN(Dashboard!$R$24,IF(IFERROR(VLOOKUP($B480,Dashboard!$Q$28:$S$60,2,FALSE),0)&gt;0,IFERROR(VLOOKUP($B480,Dashboard!$Q$28:$S$60,2,FALSE),0),$Z480*IF($U480&lt;&gt;"",ROUND((Dashboard!$R$4/$U480)*VLOOKUP($I480,Dashboard!$Q$9:$R$13,2,FALSE)*IF(ISNUMBER(SEARCH("Duals",$B480)),2,IF(ISNUMBER(SEARCH("Triples",$B480)),3,IF(ISNUMBER(SEARCH("Quads",$B480)),4,1))),2),ROUND(VLOOKUP($I480,Dashboard!$Q$15:$R$20,2,FALSE)*IF($E480="Red",Dashboard!$R$6,IF($E480="Gold",Dashboard!$R$7,Dashboard!$R$5))*IF(ISNUMBER(SEARCH("Duals",$B480)),2,IF(ISNUMBER(SEARCH("Triples",$B480)),3,IF(ISNUMBER(SEARCH("Quads",$B480)),4,1))),2))*IF(IFERROR(VLOOKUP($B480,Dashboard!$Q$28:$S$60,3,FALSE),0)&gt;0,VLOOKUP($B480,Dashboard!$Q$28:$S$60,3,FALSE),1))),0))</f>
        <v>0</v>
      </c>
      <c r="K480" s="2" t="str">
        <f>IF('Base S1'!J80="","",'Base S1'!J80)</f>
        <v/>
      </c>
      <c r="L480" s="2">
        <f t="shared" si="91"/>
        <v>0</v>
      </c>
      <c r="M480" s="2">
        <f t="shared" si="92"/>
        <v>0</v>
      </c>
      <c r="N480" s="2">
        <f t="shared" si="93"/>
        <v>0</v>
      </c>
      <c r="O480" s="2">
        <f t="shared" si="94"/>
        <v>0</v>
      </c>
      <c r="P480" s="112">
        <f t="shared" si="95"/>
        <v>0</v>
      </c>
      <c r="Q480" s="112">
        <f t="shared" si="96"/>
        <v>0</v>
      </c>
      <c r="R480" s="53"/>
      <c r="S480" s="53" t="str">
        <f t="shared" si="97"/>
        <v>Base S1|Printing Plates Parallel - Season 1|79|Printing Plate</v>
      </c>
      <c r="T480" s="57" t="str">
        <f>IF($S480="","",IFERROR(VLOOKUP($S480,'Pop Estimates (Non-#d)'!$N$2:$O$500,2,FALSE),""))</f>
        <v/>
      </c>
      <c r="U480" s="57">
        <f t="shared" si="98"/>
        <v>4</v>
      </c>
      <c r="V480" s="53" t="str">
        <f t="shared" si="99"/>
        <v/>
      </c>
      <c r="W480" s="53" t="str">
        <f t="shared" si="100"/>
        <v/>
      </c>
      <c r="X480" s="53" t="str">
        <f t="shared" si="101"/>
        <v/>
      </c>
      <c r="Y480" s="57" t="str">
        <f>IF($X480="","",IFERROR(VLOOKUP($X480,'Char Popularity'!$A$2:$C$500,2,FALSE),""))</f>
        <v/>
      </c>
      <c r="Z480" s="56">
        <f>IF($X480="",1,IFERROR(VLOOKUP($X480,'Char Popularity'!$A$2:$C$500,3,FALSE),1))</f>
        <v>1</v>
      </c>
      <c r="AA480" s="62">
        <f>IF($H480&lt;&gt;"Y",0,(IF($F480&lt;&gt;"",ROUND(Dashboard!$R$4/$F480,1),IF(AND($I480="Base",$E480="Base"),Dashboard!$R$5,IF(AND($I480="Base",$E480="Red"),Dashboard!$R$6,IF(AND($I480="Base",$E480="Gold"),Dashboard!$R$7,VLOOKUP($I480,Dashboard!$Q$16:$R$21,2,FALSE)))))*VLOOKUP($I480,Dashboard!$Q$9:$R$13,2,FALSE)*IF(AND($I480="Auto",$F480="",OR($B480="Autographs Duals",$B480="Autographs Triples",$B480="Autographs Quads",$B480="Autographs Quads (Inscribed)")),IF($B480="Autographs Duals",2,IF($B480="Autographs Triples",3,4)),1)))</f>
        <v>0</v>
      </c>
      <c r="AB480" s="62">
        <f t="shared" si="102"/>
        <v>0</v>
      </c>
      <c r="AC480" s="62">
        <f t="shared" si="103"/>
        <v>0</v>
      </c>
    </row>
    <row r="481" spans="1:29" ht="42.95" customHeight="1" x14ac:dyDescent="0.25">
      <c r="A481" s="4" t="s">
        <v>17</v>
      </c>
      <c r="B481" s="7" t="s">
        <v>792</v>
      </c>
      <c r="C481" s="2" t="s">
        <v>1479</v>
      </c>
      <c r="D481" s="7" t="s">
        <v>1000</v>
      </c>
      <c r="E481" s="4" t="s">
        <v>829</v>
      </c>
      <c r="F481" s="2">
        <v>4</v>
      </c>
      <c r="G481" s="2" t="s">
        <v>1400</v>
      </c>
      <c r="H481" s="2" t="s">
        <v>1399</v>
      </c>
      <c r="I481" s="4" t="s">
        <v>60</v>
      </c>
      <c r="J481" s="112">
        <f>IF($H481&lt;&gt;"Y",0,ROUND(MIN(Dashboard!$R$24,IF(IFERROR(VLOOKUP($B481,Dashboard!$Q$28:$S$60,2,FALSE),0)&gt;0,IFERROR(VLOOKUP($B481,Dashboard!$Q$28:$S$60,2,FALSE),0),$Z481*IF($U481&lt;&gt;"",ROUND((Dashboard!$R$4/$U481)*VLOOKUP($I481,Dashboard!$Q$9:$R$13,2,FALSE)*IF(ISNUMBER(SEARCH("Duals",$B481)),2,IF(ISNUMBER(SEARCH("Triples",$B481)),3,IF(ISNUMBER(SEARCH("Quads",$B481)),4,1))),2),ROUND(VLOOKUP($I481,Dashboard!$Q$15:$R$20,2,FALSE)*IF($E481="Red",Dashboard!$R$6,IF($E481="Gold",Dashboard!$R$7,Dashboard!$R$5))*IF(ISNUMBER(SEARCH("Duals",$B481)),2,IF(ISNUMBER(SEARCH("Triples",$B481)),3,IF(ISNUMBER(SEARCH("Quads",$B481)),4,1))),2))*IF(IFERROR(VLOOKUP($B481,Dashboard!$Q$28:$S$60,3,FALSE),0)&gt;0,VLOOKUP($B481,Dashboard!$Q$28:$S$60,3,FALSE),1))),0))</f>
        <v>0</v>
      </c>
      <c r="K481" s="2" t="str">
        <f>IF('Base S1'!J81="","",'Base S1'!J81)</f>
        <v/>
      </c>
      <c r="L481" s="2">
        <f t="shared" si="91"/>
        <v>0</v>
      </c>
      <c r="M481" s="2">
        <f t="shared" si="92"/>
        <v>0</v>
      </c>
      <c r="N481" s="2">
        <f t="shared" si="93"/>
        <v>0</v>
      </c>
      <c r="O481" s="2">
        <f t="shared" si="94"/>
        <v>0</v>
      </c>
      <c r="P481" s="112">
        <f t="shared" si="95"/>
        <v>0</v>
      </c>
      <c r="Q481" s="112">
        <f t="shared" si="96"/>
        <v>0</v>
      </c>
      <c r="R481" s="53"/>
      <c r="S481" s="53" t="str">
        <f t="shared" si="97"/>
        <v>Base S1|Printing Plates Parallel - Season 1|80|Printing Plate</v>
      </c>
      <c r="T481" s="57" t="str">
        <f>IF($S481="","",IFERROR(VLOOKUP($S481,'Pop Estimates (Non-#d)'!$N$2:$O$500,2,FALSE),""))</f>
        <v/>
      </c>
      <c r="U481" s="57">
        <f t="shared" si="98"/>
        <v>4</v>
      </c>
      <c r="V481" s="53" t="str">
        <f t="shared" si="99"/>
        <v/>
      </c>
      <c r="W481" s="53" t="str">
        <f t="shared" si="100"/>
        <v/>
      </c>
      <c r="X481" s="53" t="str">
        <f t="shared" si="101"/>
        <v/>
      </c>
      <c r="Y481" s="57" t="str">
        <f>IF($X481="","",IFERROR(VLOOKUP($X481,'Char Popularity'!$A$2:$C$500,2,FALSE),""))</f>
        <v/>
      </c>
      <c r="Z481" s="56">
        <f>IF($X481="",1,IFERROR(VLOOKUP($X481,'Char Popularity'!$A$2:$C$500,3,FALSE),1))</f>
        <v>1</v>
      </c>
      <c r="AA481" s="62">
        <f>IF($H481&lt;&gt;"Y",0,(IF($F481&lt;&gt;"",ROUND(Dashboard!$R$4/$F481,1),IF(AND($I481="Base",$E481="Base"),Dashboard!$R$5,IF(AND($I481="Base",$E481="Red"),Dashboard!$R$6,IF(AND($I481="Base",$E481="Gold"),Dashboard!$R$7,VLOOKUP($I481,Dashboard!$Q$16:$R$21,2,FALSE)))))*VLOOKUP($I481,Dashboard!$Q$9:$R$13,2,FALSE)*IF(AND($I481="Auto",$F481="",OR($B481="Autographs Duals",$B481="Autographs Triples",$B481="Autographs Quads",$B481="Autographs Quads (Inscribed)")),IF($B481="Autographs Duals",2,IF($B481="Autographs Triples",3,4)),1)))</f>
        <v>0</v>
      </c>
      <c r="AB481" s="62">
        <f t="shared" si="102"/>
        <v>0</v>
      </c>
      <c r="AC481" s="62">
        <f t="shared" si="103"/>
        <v>0</v>
      </c>
    </row>
    <row r="482" spans="1:29" ht="42.95" customHeight="1" x14ac:dyDescent="0.25">
      <c r="A482" s="4" t="s">
        <v>17</v>
      </c>
      <c r="B482" s="7" t="s">
        <v>792</v>
      </c>
      <c r="C482" s="2" t="s">
        <v>1480</v>
      </c>
      <c r="D482" s="7" t="s">
        <v>1003</v>
      </c>
      <c r="E482" s="4" t="s">
        <v>829</v>
      </c>
      <c r="F482" s="2">
        <v>4</v>
      </c>
      <c r="G482" s="2" t="s">
        <v>1400</v>
      </c>
      <c r="H482" s="2" t="s">
        <v>1399</v>
      </c>
      <c r="I482" s="4" t="s">
        <v>60</v>
      </c>
      <c r="J482" s="112">
        <f>IF($H482&lt;&gt;"Y",0,ROUND(MIN(Dashboard!$R$24,IF(IFERROR(VLOOKUP($B482,Dashboard!$Q$28:$S$60,2,FALSE),0)&gt;0,IFERROR(VLOOKUP($B482,Dashboard!$Q$28:$S$60,2,FALSE),0),$Z482*IF($U482&lt;&gt;"",ROUND((Dashboard!$R$4/$U482)*VLOOKUP($I482,Dashboard!$Q$9:$R$13,2,FALSE)*IF(ISNUMBER(SEARCH("Duals",$B482)),2,IF(ISNUMBER(SEARCH("Triples",$B482)),3,IF(ISNUMBER(SEARCH("Quads",$B482)),4,1))),2),ROUND(VLOOKUP($I482,Dashboard!$Q$15:$R$20,2,FALSE)*IF($E482="Red",Dashboard!$R$6,IF($E482="Gold",Dashboard!$R$7,Dashboard!$R$5))*IF(ISNUMBER(SEARCH("Duals",$B482)),2,IF(ISNUMBER(SEARCH("Triples",$B482)),3,IF(ISNUMBER(SEARCH("Quads",$B482)),4,1))),2))*IF(IFERROR(VLOOKUP($B482,Dashboard!$Q$28:$S$60,3,FALSE),0)&gt;0,VLOOKUP($B482,Dashboard!$Q$28:$S$60,3,FALSE),1))),0))</f>
        <v>0</v>
      </c>
      <c r="K482" s="2" t="str">
        <f>IF('Base S1'!J82="","",'Base S1'!J82)</f>
        <v/>
      </c>
      <c r="L482" s="2">
        <f t="shared" si="91"/>
        <v>0</v>
      </c>
      <c r="M482" s="2">
        <f t="shared" si="92"/>
        <v>0</v>
      </c>
      <c r="N482" s="2">
        <f t="shared" si="93"/>
        <v>0</v>
      </c>
      <c r="O482" s="2">
        <f t="shared" si="94"/>
        <v>0</v>
      </c>
      <c r="P482" s="112">
        <f t="shared" si="95"/>
        <v>0</v>
      </c>
      <c r="Q482" s="112">
        <f t="shared" si="96"/>
        <v>0</v>
      </c>
      <c r="R482" s="53"/>
      <c r="S482" s="53" t="str">
        <f t="shared" si="97"/>
        <v>Base S1|Printing Plates Parallel - Season 1|81|Printing Plate</v>
      </c>
      <c r="T482" s="57" t="str">
        <f>IF($S482="","",IFERROR(VLOOKUP($S482,'Pop Estimates (Non-#d)'!$N$2:$O$500,2,FALSE),""))</f>
        <v/>
      </c>
      <c r="U482" s="57">
        <f t="shared" si="98"/>
        <v>4</v>
      </c>
      <c r="V482" s="53" t="str">
        <f t="shared" si="99"/>
        <v/>
      </c>
      <c r="W482" s="53" t="str">
        <f t="shared" si="100"/>
        <v/>
      </c>
      <c r="X482" s="53" t="str">
        <f t="shared" si="101"/>
        <v/>
      </c>
      <c r="Y482" s="57" t="str">
        <f>IF($X482="","",IFERROR(VLOOKUP($X482,'Char Popularity'!$A$2:$C$500,2,FALSE),""))</f>
        <v/>
      </c>
      <c r="Z482" s="56">
        <f>IF($X482="",1,IFERROR(VLOOKUP($X482,'Char Popularity'!$A$2:$C$500,3,FALSE),1))</f>
        <v>1</v>
      </c>
      <c r="AA482" s="62">
        <f>IF($H482&lt;&gt;"Y",0,(IF($F482&lt;&gt;"",ROUND(Dashboard!$R$4/$F482,1),IF(AND($I482="Base",$E482="Base"),Dashboard!$R$5,IF(AND($I482="Base",$E482="Red"),Dashboard!$R$6,IF(AND($I482="Base",$E482="Gold"),Dashboard!$R$7,VLOOKUP($I482,Dashboard!$Q$16:$R$21,2,FALSE)))))*VLOOKUP($I482,Dashboard!$Q$9:$R$13,2,FALSE)*IF(AND($I482="Auto",$F482="",OR($B482="Autographs Duals",$B482="Autographs Triples",$B482="Autographs Quads",$B482="Autographs Quads (Inscribed)")),IF($B482="Autographs Duals",2,IF($B482="Autographs Triples",3,4)),1)))</f>
        <v>0</v>
      </c>
      <c r="AB482" s="62">
        <f t="shared" si="102"/>
        <v>0</v>
      </c>
      <c r="AC482" s="62">
        <f t="shared" si="103"/>
        <v>0</v>
      </c>
    </row>
    <row r="483" spans="1:29" ht="42.95" customHeight="1" x14ac:dyDescent="0.25">
      <c r="A483" s="4" t="s">
        <v>17</v>
      </c>
      <c r="B483" s="7" t="s">
        <v>792</v>
      </c>
      <c r="C483" s="2" t="s">
        <v>1481</v>
      </c>
      <c r="D483" s="7" t="s">
        <v>1005</v>
      </c>
      <c r="E483" s="4" t="s">
        <v>829</v>
      </c>
      <c r="F483" s="2">
        <v>4</v>
      </c>
      <c r="G483" s="2" t="s">
        <v>1400</v>
      </c>
      <c r="H483" s="2" t="s">
        <v>1399</v>
      </c>
      <c r="I483" s="4" t="s">
        <v>60</v>
      </c>
      <c r="J483" s="112">
        <f>IF($H483&lt;&gt;"Y",0,ROUND(MIN(Dashboard!$R$24,IF(IFERROR(VLOOKUP($B483,Dashboard!$Q$28:$S$60,2,FALSE),0)&gt;0,IFERROR(VLOOKUP($B483,Dashboard!$Q$28:$S$60,2,FALSE),0),$Z483*IF($U483&lt;&gt;"",ROUND((Dashboard!$R$4/$U483)*VLOOKUP($I483,Dashboard!$Q$9:$R$13,2,FALSE)*IF(ISNUMBER(SEARCH("Duals",$B483)),2,IF(ISNUMBER(SEARCH("Triples",$B483)),3,IF(ISNUMBER(SEARCH("Quads",$B483)),4,1))),2),ROUND(VLOOKUP($I483,Dashboard!$Q$15:$R$20,2,FALSE)*IF($E483="Red",Dashboard!$R$6,IF($E483="Gold",Dashboard!$R$7,Dashboard!$R$5))*IF(ISNUMBER(SEARCH("Duals",$B483)),2,IF(ISNUMBER(SEARCH("Triples",$B483)),3,IF(ISNUMBER(SEARCH("Quads",$B483)),4,1))),2))*IF(IFERROR(VLOOKUP($B483,Dashboard!$Q$28:$S$60,3,FALSE),0)&gt;0,VLOOKUP($B483,Dashboard!$Q$28:$S$60,3,FALSE),1))),0))</f>
        <v>0</v>
      </c>
      <c r="K483" s="2" t="str">
        <f>IF('Base S1'!J83="","",'Base S1'!J83)</f>
        <v>V Black C Magenta</v>
      </c>
      <c r="L483" s="2">
        <f t="shared" si="91"/>
        <v>1</v>
      </c>
      <c r="M483" s="2">
        <f t="shared" si="92"/>
        <v>0</v>
      </c>
      <c r="N483" s="2">
        <f t="shared" si="93"/>
        <v>1</v>
      </c>
      <c r="O483" s="2">
        <f t="shared" si="94"/>
        <v>0</v>
      </c>
      <c r="P483" s="112">
        <f t="shared" si="95"/>
        <v>0</v>
      </c>
      <c r="Q483" s="112">
        <f t="shared" si="96"/>
        <v>0</v>
      </c>
      <c r="R483" s="53"/>
      <c r="S483" s="53" t="str">
        <f t="shared" si="97"/>
        <v>Base S1|Printing Plates Parallel - Season 1|82|Printing Plate</v>
      </c>
      <c r="T483" s="57" t="str">
        <f>IF($S483="","",IFERROR(VLOOKUP($S483,'Pop Estimates (Non-#d)'!$N$2:$O$500,2,FALSE),""))</f>
        <v/>
      </c>
      <c r="U483" s="57">
        <f t="shared" si="98"/>
        <v>4</v>
      </c>
      <c r="V483" s="53" t="str">
        <f t="shared" si="99"/>
        <v/>
      </c>
      <c r="W483" s="53" t="str">
        <f t="shared" si="100"/>
        <v/>
      </c>
      <c r="X483" s="53" t="str">
        <f t="shared" si="101"/>
        <v/>
      </c>
      <c r="Y483" s="57" t="str">
        <f>IF($X483="","",IFERROR(VLOOKUP($X483,'Char Popularity'!$A$2:$C$500,2,FALSE),""))</f>
        <v/>
      </c>
      <c r="Z483" s="56">
        <f>IF($X483="",1,IFERROR(VLOOKUP($X483,'Char Popularity'!$A$2:$C$500,3,FALSE),1))</f>
        <v>1</v>
      </c>
      <c r="AA483" s="62">
        <f>IF($H483&lt;&gt;"Y",0,(IF($F483&lt;&gt;"",ROUND(Dashboard!$R$4/$F483,1),IF(AND($I483="Base",$E483="Base"),Dashboard!$R$5,IF(AND($I483="Base",$E483="Red"),Dashboard!$R$6,IF(AND($I483="Base",$E483="Gold"),Dashboard!$R$7,VLOOKUP($I483,Dashboard!$Q$16:$R$21,2,FALSE)))))*VLOOKUP($I483,Dashboard!$Q$9:$R$13,2,FALSE)*IF(AND($I483="Auto",$F483="",OR($B483="Autographs Duals",$B483="Autographs Triples",$B483="Autographs Quads",$B483="Autographs Quads (Inscribed)")),IF($B483="Autographs Duals",2,IF($B483="Autographs Triples",3,4)),1)))</f>
        <v>0</v>
      </c>
      <c r="AB483" s="62">
        <f t="shared" si="102"/>
        <v>0</v>
      </c>
      <c r="AC483" s="62">
        <f t="shared" si="103"/>
        <v>0</v>
      </c>
    </row>
    <row r="484" spans="1:29" ht="42.95" customHeight="1" x14ac:dyDescent="0.25">
      <c r="A484" s="4" t="s">
        <v>17</v>
      </c>
      <c r="B484" s="7" t="s">
        <v>792</v>
      </c>
      <c r="C484" s="2" t="s">
        <v>1482</v>
      </c>
      <c r="D484" s="7" t="s">
        <v>1008</v>
      </c>
      <c r="E484" s="4" t="s">
        <v>829</v>
      </c>
      <c r="F484" s="2">
        <v>4</v>
      </c>
      <c r="G484" s="2" t="s">
        <v>1400</v>
      </c>
      <c r="H484" s="2" t="s">
        <v>1399</v>
      </c>
      <c r="I484" s="4" t="s">
        <v>60</v>
      </c>
      <c r="J484" s="112">
        <f>IF($H484&lt;&gt;"Y",0,ROUND(MIN(Dashboard!$R$24,IF(IFERROR(VLOOKUP($B484,Dashboard!$Q$28:$S$60,2,FALSE),0)&gt;0,IFERROR(VLOOKUP($B484,Dashboard!$Q$28:$S$60,2,FALSE),0),$Z484*IF($U484&lt;&gt;"",ROUND((Dashboard!$R$4/$U484)*VLOOKUP($I484,Dashboard!$Q$9:$R$13,2,FALSE)*IF(ISNUMBER(SEARCH("Duals",$B484)),2,IF(ISNUMBER(SEARCH("Triples",$B484)),3,IF(ISNUMBER(SEARCH("Quads",$B484)),4,1))),2),ROUND(VLOOKUP($I484,Dashboard!$Q$15:$R$20,2,FALSE)*IF($E484="Red",Dashboard!$R$6,IF($E484="Gold",Dashboard!$R$7,Dashboard!$R$5))*IF(ISNUMBER(SEARCH("Duals",$B484)),2,IF(ISNUMBER(SEARCH("Triples",$B484)),3,IF(ISNUMBER(SEARCH("Quads",$B484)),4,1))),2))*IF(IFERROR(VLOOKUP($B484,Dashboard!$Q$28:$S$60,3,FALSE),0)&gt;0,VLOOKUP($B484,Dashboard!$Q$28:$S$60,3,FALSE),1))),0))</f>
        <v>0</v>
      </c>
      <c r="K484" s="2" t="str">
        <f>IF('Base S1'!J84="","",'Base S1'!J84)</f>
        <v/>
      </c>
      <c r="L484" s="2">
        <f t="shared" si="91"/>
        <v>0</v>
      </c>
      <c r="M484" s="2">
        <f t="shared" si="92"/>
        <v>0</v>
      </c>
      <c r="N484" s="2">
        <f t="shared" si="93"/>
        <v>0</v>
      </c>
      <c r="O484" s="2">
        <f t="shared" si="94"/>
        <v>0</v>
      </c>
      <c r="P484" s="112">
        <f t="shared" si="95"/>
        <v>0</v>
      </c>
      <c r="Q484" s="112">
        <f t="shared" si="96"/>
        <v>0</v>
      </c>
      <c r="R484" s="53"/>
      <c r="S484" s="53" t="str">
        <f t="shared" si="97"/>
        <v>Base S1|Printing Plates Parallel - Season 1|83|Printing Plate</v>
      </c>
      <c r="T484" s="57" t="str">
        <f>IF($S484="","",IFERROR(VLOOKUP($S484,'Pop Estimates (Non-#d)'!$N$2:$O$500,2,FALSE),""))</f>
        <v/>
      </c>
      <c r="U484" s="57">
        <f t="shared" si="98"/>
        <v>4</v>
      </c>
      <c r="V484" s="53" t="str">
        <f t="shared" si="99"/>
        <v/>
      </c>
      <c r="W484" s="53" t="str">
        <f t="shared" si="100"/>
        <v/>
      </c>
      <c r="X484" s="53" t="str">
        <f t="shared" si="101"/>
        <v/>
      </c>
      <c r="Y484" s="57" t="str">
        <f>IF($X484="","",IFERROR(VLOOKUP($X484,'Char Popularity'!$A$2:$C$500,2,FALSE),""))</f>
        <v/>
      </c>
      <c r="Z484" s="56">
        <f>IF($X484="",1,IFERROR(VLOOKUP($X484,'Char Popularity'!$A$2:$C$500,3,FALSE),1))</f>
        <v>1</v>
      </c>
      <c r="AA484" s="62">
        <f>IF($H484&lt;&gt;"Y",0,(IF($F484&lt;&gt;"",ROUND(Dashboard!$R$4/$F484,1),IF(AND($I484="Base",$E484="Base"),Dashboard!$R$5,IF(AND($I484="Base",$E484="Red"),Dashboard!$R$6,IF(AND($I484="Base",$E484="Gold"),Dashboard!$R$7,VLOOKUP($I484,Dashboard!$Q$16:$R$21,2,FALSE)))))*VLOOKUP($I484,Dashboard!$Q$9:$R$13,2,FALSE)*IF(AND($I484="Auto",$F484="",OR($B484="Autographs Duals",$B484="Autographs Triples",$B484="Autographs Quads",$B484="Autographs Quads (Inscribed)")),IF($B484="Autographs Duals",2,IF($B484="Autographs Triples",3,4)),1)))</f>
        <v>0</v>
      </c>
      <c r="AB484" s="62">
        <f t="shared" si="102"/>
        <v>0</v>
      </c>
      <c r="AC484" s="62">
        <f t="shared" si="103"/>
        <v>0</v>
      </c>
    </row>
    <row r="485" spans="1:29" ht="42.95" customHeight="1" x14ac:dyDescent="0.25">
      <c r="A485" s="4" t="s">
        <v>17</v>
      </c>
      <c r="B485" s="7" t="s">
        <v>792</v>
      </c>
      <c r="C485" s="2" t="s">
        <v>1483</v>
      </c>
      <c r="D485" s="7" t="s">
        <v>1010</v>
      </c>
      <c r="E485" s="4" t="s">
        <v>829</v>
      </c>
      <c r="F485" s="2">
        <v>4</v>
      </c>
      <c r="G485" s="2" t="s">
        <v>1400</v>
      </c>
      <c r="H485" s="2" t="s">
        <v>1399</v>
      </c>
      <c r="I485" s="4" t="s">
        <v>60</v>
      </c>
      <c r="J485" s="112">
        <f>IF($H485&lt;&gt;"Y",0,ROUND(MIN(Dashboard!$R$24,IF(IFERROR(VLOOKUP($B485,Dashboard!$Q$28:$S$60,2,FALSE),0)&gt;0,IFERROR(VLOOKUP($B485,Dashboard!$Q$28:$S$60,2,FALSE),0),$Z485*IF($U485&lt;&gt;"",ROUND((Dashboard!$R$4/$U485)*VLOOKUP($I485,Dashboard!$Q$9:$R$13,2,FALSE)*IF(ISNUMBER(SEARCH("Duals",$B485)),2,IF(ISNUMBER(SEARCH("Triples",$B485)),3,IF(ISNUMBER(SEARCH("Quads",$B485)),4,1))),2),ROUND(VLOOKUP($I485,Dashboard!$Q$15:$R$20,2,FALSE)*IF($E485="Red",Dashboard!$R$6,IF($E485="Gold",Dashboard!$R$7,Dashboard!$R$5))*IF(ISNUMBER(SEARCH("Duals",$B485)),2,IF(ISNUMBER(SEARCH("Triples",$B485)),3,IF(ISNUMBER(SEARCH("Quads",$B485)),4,1))),2))*IF(IFERROR(VLOOKUP($B485,Dashboard!$Q$28:$S$60,3,FALSE),0)&gt;0,VLOOKUP($B485,Dashboard!$Q$28:$S$60,3,FALSE),1))),0))</f>
        <v>0</v>
      </c>
      <c r="K485" s="2" t="str">
        <f>IF('Base S1'!J85="","",'Base S1'!J85)</f>
        <v/>
      </c>
      <c r="L485" s="2">
        <f t="shared" si="91"/>
        <v>0</v>
      </c>
      <c r="M485" s="2">
        <f t="shared" si="92"/>
        <v>0</v>
      </c>
      <c r="N485" s="2">
        <f t="shared" si="93"/>
        <v>0</v>
      </c>
      <c r="O485" s="2">
        <f t="shared" si="94"/>
        <v>0</v>
      </c>
      <c r="P485" s="112">
        <f t="shared" si="95"/>
        <v>0</v>
      </c>
      <c r="Q485" s="112">
        <f t="shared" si="96"/>
        <v>0</v>
      </c>
      <c r="R485" s="53"/>
      <c r="S485" s="53" t="str">
        <f t="shared" si="97"/>
        <v>Base S1|Printing Plates Parallel - Season 1|84|Printing Plate</v>
      </c>
      <c r="T485" s="57" t="str">
        <f>IF($S485="","",IFERROR(VLOOKUP($S485,'Pop Estimates (Non-#d)'!$N$2:$O$500,2,FALSE),""))</f>
        <v/>
      </c>
      <c r="U485" s="57">
        <f t="shared" si="98"/>
        <v>4</v>
      </c>
      <c r="V485" s="53" t="str">
        <f t="shared" si="99"/>
        <v/>
      </c>
      <c r="W485" s="53" t="str">
        <f t="shared" si="100"/>
        <v/>
      </c>
      <c r="X485" s="53" t="str">
        <f t="shared" si="101"/>
        <v/>
      </c>
      <c r="Y485" s="57" t="str">
        <f>IF($X485="","",IFERROR(VLOOKUP($X485,'Char Popularity'!$A$2:$C$500,2,FALSE),""))</f>
        <v/>
      </c>
      <c r="Z485" s="56">
        <f>IF($X485="",1,IFERROR(VLOOKUP($X485,'Char Popularity'!$A$2:$C$500,3,FALSE),1))</f>
        <v>1</v>
      </c>
      <c r="AA485" s="62">
        <f>IF($H485&lt;&gt;"Y",0,(IF($F485&lt;&gt;"",ROUND(Dashboard!$R$4/$F485,1),IF(AND($I485="Base",$E485="Base"),Dashboard!$R$5,IF(AND($I485="Base",$E485="Red"),Dashboard!$R$6,IF(AND($I485="Base",$E485="Gold"),Dashboard!$R$7,VLOOKUP($I485,Dashboard!$Q$16:$R$21,2,FALSE)))))*VLOOKUP($I485,Dashboard!$Q$9:$R$13,2,FALSE)*IF(AND($I485="Auto",$F485="",OR($B485="Autographs Duals",$B485="Autographs Triples",$B485="Autographs Quads",$B485="Autographs Quads (Inscribed)")),IF($B485="Autographs Duals",2,IF($B485="Autographs Triples",3,4)),1)))</f>
        <v>0</v>
      </c>
      <c r="AB485" s="62">
        <f t="shared" si="102"/>
        <v>0</v>
      </c>
      <c r="AC485" s="62">
        <f t="shared" si="103"/>
        <v>0</v>
      </c>
    </row>
    <row r="486" spans="1:29" ht="42.95" customHeight="1" x14ac:dyDescent="0.25">
      <c r="A486" s="4" t="s">
        <v>17</v>
      </c>
      <c r="B486" s="7" t="s">
        <v>792</v>
      </c>
      <c r="C486" s="2" t="s">
        <v>1484</v>
      </c>
      <c r="D486" s="7" t="s">
        <v>1012</v>
      </c>
      <c r="E486" s="4" t="s">
        <v>829</v>
      </c>
      <c r="F486" s="2">
        <v>4</v>
      </c>
      <c r="G486" s="2" t="s">
        <v>1400</v>
      </c>
      <c r="H486" s="2" t="s">
        <v>1399</v>
      </c>
      <c r="I486" s="4" t="s">
        <v>60</v>
      </c>
      <c r="J486" s="112">
        <f>IF($H486&lt;&gt;"Y",0,ROUND(MIN(Dashboard!$R$24,IF(IFERROR(VLOOKUP($B486,Dashboard!$Q$28:$S$60,2,FALSE),0)&gt;0,IFERROR(VLOOKUP($B486,Dashboard!$Q$28:$S$60,2,FALSE),0),$Z486*IF($U486&lt;&gt;"",ROUND((Dashboard!$R$4/$U486)*VLOOKUP($I486,Dashboard!$Q$9:$R$13,2,FALSE)*IF(ISNUMBER(SEARCH("Duals",$B486)),2,IF(ISNUMBER(SEARCH("Triples",$B486)),3,IF(ISNUMBER(SEARCH("Quads",$B486)),4,1))),2),ROUND(VLOOKUP($I486,Dashboard!$Q$15:$R$20,2,FALSE)*IF($E486="Red",Dashboard!$R$6,IF($E486="Gold",Dashboard!$R$7,Dashboard!$R$5))*IF(ISNUMBER(SEARCH("Duals",$B486)),2,IF(ISNUMBER(SEARCH("Triples",$B486)),3,IF(ISNUMBER(SEARCH("Quads",$B486)),4,1))),2))*IF(IFERROR(VLOOKUP($B486,Dashboard!$Q$28:$S$60,3,FALSE),0)&gt;0,VLOOKUP($B486,Dashboard!$Q$28:$S$60,3,FALSE),1))),0))</f>
        <v>0</v>
      </c>
      <c r="K486" s="2" t="str">
        <f>IF('Base S1'!J86="","",'Base S1'!J86)</f>
        <v/>
      </c>
      <c r="L486" s="2">
        <f t="shared" si="91"/>
        <v>0</v>
      </c>
      <c r="M486" s="2">
        <f t="shared" si="92"/>
        <v>0</v>
      </c>
      <c r="N486" s="2">
        <f t="shared" si="93"/>
        <v>0</v>
      </c>
      <c r="O486" s="2">
        <f t="shared" si="94"/>
        <v>0</v>
      </c>
      <c r="P486" s="112">
        <f t="shared" si="95"/>
        <v>0</v>
      </c>
      <c r="Q486" s="112">
        <f t="shared" si="96"/>
        <v>0</v>
      </c>
      <c r="R486" s="53"/>
      <c r="S486" s="53" t="str">
        <f t="shared" si="97"/>
        <v>Base S1|Printing Plates Parallel - Season 1|85|Printing Plate</v>
      </c>
      <c r="T486" s="57" t="str">
        <f>IF($S486="","",IFERROR(VLOOKUP($S486,'Pop Estimates (Non-#d)'!$N$2:$O$500,2,FALSE),""))</f>
        <v/>
      </c>
      <c r="U486" s="57">
        <f t="shared" si="98"/>
        <v>4</v>
      </c>
      <c r="V486" s="53" t="str">
        <f t="shared" si="99"/>
        <v/>
      </c>
      <c r="W486" s="53" t="str">
        <f t="shared" si="100"/>
        <v/>
      </c>
      <c r="X486" s="53" t="str">
        <f t="shared" si="101"/>
        <v/>
      </c>
      <c r="Y486" s="57" t="str">
        <f>IF($X486="","",IFERROR(VLOOKUP($X486,'Char Popularity'!$A$2:$C$500,2,FALSE),""))</f>
        <v/>
      </c>
      <c r="Z486" s="56">
        <f>IF($X486="",1,IFERROR(VLOOKUP($X486,'Char Popularity'!$A$2:$C$500,3,FALSE),1))</f>
        <v>1</v>
      </c>
      <c r="AA486" s="62">
        <f>IF($H486&lt;&gt;"Y",0,(IF($F486&lt;&gt;"",ROUND(Dashboard!$R$4/$F486,1),IF(AND($I486="Base",$E486="Base"),Dashboard!$R$5,IF(AND($I486="Base",$E486="Red"),Dashboard!$R$6,IF(AND($I486="Base",$E486="Gold"),Dashboard!$R$7,VLOOKUP($I486,Dashboard!$Q$16:$R$21,2,FALSE)))))*VLOOKUP($I486,Dashboard!$Q$9:$R$13,2,FALSE)*IF(AND($I486="Auto",$F486="",OR($B486="Autographs Duals",$B486="Autographs Triples",$B486="Autographs Quads",$B486="Autographs Quads (Inscribed)")),IF($B486="Autographs Duals",2,IF($B486="Autographs Triples",3,4)),1)))</f>
        <v>0</v>
      </c>
      <c r="AB486" s="62">
        <f t="shared" si="102"/>
        <v>0</v>
      </c>
      <c r="AC486" s="62">
        <f t="shared" si="103"/>
        <v>0</v>
      </c>
    </row>
    <row r="487" spans="1:29" ht="42.95" customHeight="1" x14ac:dyDescent="0.25">
      <c r="A487" s="4" t="s">
        <v>17</v>
      </c>
      <c r="B487" s="7" t="s">
        <v>792</v>
      </c>
      <c r="C487" s="2" t="s">
        <v>1485</v>
      </c>
      <c r="D487" s="7" t="s">
        <v>1013</v>
      </c>
      <c r="E487" s="4" t="s">
        <v>829</v>
      </c>
      <c r="F487" s="2">
        <v>4</v>
      </c>
      <c r="G487" s="2" t="s">
        <v>1400</v>
      </c>
      <c r="H487" s="2" t="s">
        <v>1399</v>
      </c>
      <c r="I487" s="4" t="s">
        <v>60</v>
      </c>
      <c r="J487" s="112">
        <f>IF($H487&lt;&gt;"Y",0,ROUND(MIN(Dashboard!$R$24,IF(IFERROR(VLOOKUP($B487,Dashboard!$Q$28:$S$60,2,FALSE),0)&gt;0,IFERROR(VLOOKUP($B487,Dashboard!$Q$28:$S$60,2,FALSE),0),$Z487*IF($U487&lt;&gt;"",ROUND((Dashboard!$R$4/$U487)*VLOOKUP($I487,Dashboard!$Q$9:$R$13,2,FALSE)*IF(ISNUMBER(SEARCH("Duals",$B487)),2,IF(ISNUMBER(SEARCH("Triples",$B487)),3,IF(ISNUMBER(SEARCH("Quads",$B487)),4,1))),2),ROUND(VLOOKUP($I487,Dashboard!$Q$15:$R$20,2,FALSE)*IF($E487="Red",Dashboard!$R$6,IF($E487="Gold",Dashboard!$R$7,Dashboard!$R$5))*IF(ISNUMBER(SEARCH("Duals",$B487)),2,IF(ISNUMBER(SEARCH("Triples",$B487)),3,IF(ISNUMBER(SEARCH("Quads",$B487)),4,1))),2))*IF(IFERROR(VLOOKUP($B487,Dashboard!$Q$28:$S$60,3,FALSE),0)&gt;0,VLOOKUP($B487,Dashboard!$Q$28:$S$60,3,FALSE),1))),0))</f>
        <v>0</v>
      </c>
      <c r="K487" s="2" t="str">
        <f>IF('Base S1'!J87="","",'Base S1'!J87)</f>
        <v>C Black</v>
      </c>
      <c r="L487" s="2">
        <f t="shared" si="91"/>
        <v>1</v>
      </c>
      <c r="M487" s="2">
        <f t="shared" si="92"/>
        <v>0</v>
      </c>
      <c r="N487" s="2">
        <f t="shared" si="93"/>
        <v>1</v>
      </c>
      <c r="O487" s="2">
        <f t="shared" si="94"/>
        <v>0</v>
      </c>
      <c r="P487" s="112">
        <f t="shared" si="95"/>
        <v>0</v>
      </c>
      <c r="Q487" s="112">
        <f t="shared" si="96"/>
        <v>0</v>
      </c>
      <c r="R487" s="53"/>
      <c r="S487" s="53" t="str">
        <f t="shared" si="97"/>
        <v>Base S1|Printing Plates Parallel - Season 1|86|Printing Plate</v>
      </c>
      <c r="T487" s="57" t="str">
        <f>IF($S487="","",IFERROR(VLOOKUP($S487,'Pop Estimates (Non-#d)'!$N$2:$O$500,2,FALSE),""))</f>
        <v/>
      </c>
      <c r="U487" s="57">
        <f t="shared" si="98"/>
        <v>4</v>
      </c>
      <c r="V487" s="53" t="str">
        <f t="shared" si="99"/>
        <v/>
      </c>
      <c r="W487" s="53" t="str">
        <f t="shared" si="100"/>
        <v/>
      </c>
      <c r="X487" s="53" t="str">
        <f t="shared" si="101"/>
        <v/>
      </c>
      <c r="Y487" s="57" t="str">
        <f>IF($X487="","",IFERROR(VLOOKUP($X487,'Char Popularity'!$A$2:$C$500,2,FALSE),""))</f>
        <v/>
      </c>
      <c r="Z487" s="56">
        <f>IF($X487="",1,IFERROR(VLOOKUP($X487,'Char Popularity'!$A$2:$C$500,3,FALSE),1))</f>
        <v>1</v>
      </c>
      <c r="AA487" s="62">
        <f>IF($H487&lt;&gt;"Y",0,(IF($F487&lt;&gt;"",ROUND(Dashboard!$R$4/$F487,1),IF(AND($I487="Base",$E487="Base"),Dashboard!$R$5,IF(AND($I487="Base",$E487="Red"),Dashboard!$R$6,IF(AND($I487="Base",$E487="Gold"),Dashboard!$R$7,VLOOKUP($I487,Dashboard!$Q$16:$R$21,2,FALSE)))))*VLOOKUP($I487,Dashboard!$Q$9:$R$13,2,FALSE)*IF(AND($I487="Auto",$F487="",OR($B487="Autographs Duals",$B487="Autographs Triples",$B487="Autographs Quads",$B487="Autographs Quads (Inscribed)")),IF($B487="Autographs Duals",2,IF($B487="Autographs Triples",3,4)),1)))</f>
        <v>0</v>
      </c>
      <c r="AB487" s="62">
        <f t="shared" si="102"/>
        <v>0</v>
      </c>
      <c r="AC487" s="62">
        <f t="shared" si="103"/>
        <v>0</v>
      </c>
    </row>
    <row r="488" spans="1:29" ht="42.95" customHeight="1" x14ac:dyDescent="0.25">
      <c r="A488" s="4" t="s">
        <v>17</v>
      </c>
      <c r="B488" s="7" t="s">
        <v>792</v>
      </c>
      <c r="C488" s="2" t="s">
        <v>1486</v>
      </c>
      <c r="D488" s="7" t="s">
        <v>1015</v>
      </c>
      <c r="E488" s="4" t="s">
        <v>829</v>
      </c>
      <c r="F488" s="2">
        <v>4</v>
      </c>
      <c r="G488" s="2" t="s">
        <v>1400</v>
      </c>
      <c r="H488" s="2" t="s">
        <v>1399</v>
      </c>
      <c r="I488" s="4" t="s">
        <v>60</v>
      </c>
      <c r="J488" s="112">
        <f>IF($H488&lt;&gt;"Y",0,ROUND(MIN(Dashboard!$R$24,IF(IFERROR(VLOOKUP($B488,Dashboard!$Q$28:$S$60,2,FALSE),0)&gt;0,IFERROR(VLOOKUP($B488,Dashboard!$Q$28:$S$60,2,FALSE),0),$Z488*IF($U488&lt;&gt;"",ROUND((Dashboard!$R$4/$U488)*VLOOKUP($I488,Dashboard!$Q$9:$R$13,2,FALSE)*IF(ISNUMBER(SEARCH("Duals",$B488)),2,IF(ISNUMBER(SEARCH("Triples",$B488)),3,IF(ISNUMBER(SEARCH("Quads",$B488)),4,1))),2),ROUND(VLOOKUP($I488,Dashboard!$Q$15:$R$20,2,FALSE)*IF($E488="Red",Dashboard!$R$6,IF($E488="Gold",Dashboard!$R$7,Dashboard!$R$5))*IF(ISNUMBER(SEARCH("Duals",$B488)),2,IF(ISNUMBER(SEARCH("Triples",$B488)),3,IF(ISNUMBER(SEARCH("Quads",$B488)),4,1))),2))*IF(IFERROR(VLOOKUP($B488,Dashboard!$Q$28:$S$60,3,FALSE),0)&gt;0,VLOOKUP($B488,Dashboard!$Q$28:$S$60,3,FALSE),1))),0))</f>
        <v>0</v>
      </c>
      <c r="K488" s="2" t="str">
        <f>IF('Base S1'!J88="","",'Base S1'!J88)</f>
        <v/>
      </c>
      <c r="L488" s="2">
        <f t="shared" si="91"/>
        <v>0</v>
      </c>
      <c r="M488" s="2">
        <f t="shared" si="92"/>
        <v>0</v>
      </c>
      <c r="N488" s="2">
        <f t="shared" si="93"/>
        <v>0</v>
      </c>
      <c r="O488" s="2">
        <f t="shared" si="94"/>
        <v>0</v>
      </c>
      <c r="P488" s="112">
        <f t="shared" si="95"/>
        <v>0</v>
      </c>
      <c r="Q488" s="112">
        <f t="shared" si="96"/>
        <v>0</v>
      </c>
      <c r="R488" s="53"/>
      <c r="S488" s="53" t="str">
        <f t="shared" si="97"/>
        <v>Base S1|Printing Plates Parallel - Season 1|87|Printing Plate</v>
      </c>
      <c r="T488" s="57" t="str">
        <f>IF($S488="","",IFERROR(VLOOKUP($S488,'Pop Estimates (Non-#d)'!$N$2:$O$500,2,FALSE),""))</f>
        <v/>
      </c>
      <c r="U488" s="57">
        <f t="shared" si="98"/>
        <v>4</v>
      </c>
      <c r="V488" s="53" t="str">
        <f t="shared" si="99"/>
        <v/>
      </c>
      <c r="W488" s="53" t="str">
        <f t="shared" si="100"/>
        <v/>
      </c>
      <c r="X488" s="53" t="str">
        <f t="shared" si="101"/>
        <v/>
      </c>
      <c r="Y488" s="57" t="str">
        <f>IF($X488="","",IFERROR(VLOOKUP($X488,'Char Popularity'!$A$2:$C$500,2,FALSE),""))</f>
        <v/>
      </c>
      <c r="Z488" s="56">
        <f>IF($X488="",1,IFERROR(VLOOKUP($X488,'Char Popularity'!$A$2:$C$500,3,FALSE),1))</f>
        <v>1</v>
      </c>
      <c r="AA488" s="62">
        <f>IF($H488&lt;&gt;"Y",0,(IF($F488&lt;&gt;"",ROUND(Dashboard!$R$4/$F488,1),IF(AND($I488="Base",$E488="Base"),Dashboard!$R$5,IF(AND($I488="Base",$E488="Red"),Dashboard!$R$6,IF(AND($I488="Base",$E488="Gold"),Dashboard!$R$7,VLOOKUP($I488,Dashboard!$Q$16:$R$21,2,FALSE)))))*VLOOKUP($I488,Dashboard!$Q$9:$R$13,2,FALSE)*IF(AND($I488="Auto",$F488="",OR($B488="Autographs Duals",$B488="Autographs Triples",$B488="Autographs Quads",$B488="Autographs Quads (Inscribed)")),IF($B488="Autographs Duals",2,IF($B488="Autographs Triples",3,4)),1)))</f>
        <v>0</v>
      </c>
      <c r="AB488" s="62">
        <f t="shared" si="102"/>
        <v>0</v>
      </c>
      <c r="AC488" s="62">
        <f t="shared" si="103"/>
        <v>0</v>
      </c>
    </row>
    <row r="489" spans="1:29" ht="42.95" customHeight="1" x14ac:dyDescent="0.25">
      <c r="A489" s="4" t="s">
        <v>17</v>
      </c>
      <c r="B489" s="7" t="s">
        <v>792</v>
      </c>
      <c r="C489" s="2" t="s">
        <v>1487</v>
      </c>
      <c r="D489" s="7" t="s">
        <v>1018</v>
      </c>
      <c r="E489" s="4" t="s">
        <v>829</v>
      </c>
      <c r="F489" s="2">
        <v>4</v>
      </c>
      <c r="G489" s="2" t="s">
        <v>1400</v>
      </c>
      <c r="H489" s="2" t="s">
        <v>1399</v>
      </c>
      <c r="I489" s="4" t="s">
        <v>60</v>
      </c>
      <c r="J489" s="112">
        <f>IF($H489&lt;&gt;"Y",0,ROUND(MIN(Dashboard!$R$24,IF(IFERROR(VLOOKUP($B489,Dashboard!$Q$28:$S$60,2,FALSE),0)&gt;0,IFERROR(VLOOKUP($B489,Dashboard!$Q$28:$S$60,2,FALSE),0),$Z489*IF($U489&lt;&gt;"",ROUND((Dashboard!$R$4/$U489)*VLOOKUP($I489,Dashboard!$Q$9:$R$13,2,FALSE)*IF(ISNUMBER(SEARCH("Duals",$B489)),2,IF(ISNUMBER(SEARCH("Triples",$B489)),3,IF(ISNUMBER(SEARCH("Quads",$B489)),4,1))),2),ROUND(VLOOKUP($I489,Dashboard!$Q$15:$R$20,2,FALSE)*IF($E489="Red",Dashboard!$R$6,IF($E489="Gold",Dashboard!$R$7,Dashboard!$R$5))*IF(ISNUMBER(SEARCH("Duals",$B489)),2,IF(ISNUMBER(SEARCH("Triples",$B489)),3,IF(ISNUMBER(SEARCH("Quads",$B489)),4,1))),2))*IF(IFERROR(VLOOKUP($B489,Dashboard!$Q$28:$S$60,3,FALSE),0)&gt;0,VLOOKUP($B489,Dashboard!$Q$28:$S$60,3,FALSE),1))),0))</f>
        <v>0</v>
      </c>
      <c r="K489" s="2" t="str">
        <f>IF('Base S1'!J89="","",'Base S1'!J89)</f>
        <v/>
      </c>
      <c r="L489" s="2">
        <f t="shared" si="91"/>
        <v>0</v>
      </c>
      <c r="M489" s="2">
        <f t="shared" si="92"/>
        <v>0</v>
      </c>
      <c r="N489" s="2">
        <f t="shared" si="93"/>
        <v>0</v>
      </c>
      <c r="O489" s="2">
        <f t="shared" si="94"/>
        <v>0</v>
      </c>
      <c r="P489" s="112">
        <f t="shared" si="95"/>
        <v>0</v>
      </c>
      <c r="Q489" s="112">
        <f t="shared" si="96"/>
        <v>0</v>
      </c>
      <c r="R489" s="53"/>
      <c r="S489" s="53" t="str">
        <f t="shared" si="97"/>
        <v>Base S1|Printing Plates Parallel - Season 1|88|Printing Plate</v>
      </c>
      <c r="T489" s="57" t="str">
        <f>IF($S489="","",IFERROR(VLOOKUP($S489,'Pop Estimates (Non-#d)'!$N$2:$O$500,2,FALSE),""))</f>
        <v/>
      </c>
      <c r="U489" s="57">
        <f t="shared" si="98"/>
        <v>4</v>
      </c>
      <c r="V489" s="53" t="str">
        <f t="shared" si="99"/>
        <v/>
      </c>
      <c r="W489" s="53" t="str">
        <f t="shared" si="100"/>
        <v/>
      </c>
      <c r="X489" s="53" t="str">
        <f t="shared" si="101"/>
        <v/>
      </c>
      <c r="Y489" s="57" t="str">
        <f>IF($X489="","",IFERROR(VLOOKUP($X489,'Char Popularity'!$A$2:$C$500,2,FALSE),""))</f>
        <v/>
      </c>
      <c r="Z489" s="56">
        <f>IF($X489="",1,IFERROR(VLOOKUP($X489,'Char Popularity'!$A$2:$C$500,3,FALSE),1))</f>
        <v>1</v>
      </c>
      <c r="AA489" s="62">
        <f>IF($H489&lt;&gt;"Y",0,(IF($F489&lt;&gt;"",ROUND(Dashboard!$R$4/$F489,1),IF(AND($I489="Base",$E489="Base"),Dashboard!$R$5,IF(AND($I489="Base",$E489="Red"),Dashboard!$R$6,IF(AND($I489="Base",$E489="Gold"),Dashboard!$R$7,VLOOKUP($I489,Dashboard!$Q$16:$R$21,2,FALSE)))))*VLOOKUP($I489,Dashboard!$Q$9:$R$13,2,FALSE)*IF(AND($I489="Auto",$F489="",OR($B489="Autographs Duals",$B489="Autographs Triples",$B489="Autographs Quads",$B489="Autographs Quads (Inscribed)")),IF($B489="Autographs Duals",2,IF($B489="Autographs Triples",3,4)),1)))</f>
        <v>0</v>
      </c>
      <c r="AB489" s="62">
        <f t="shared" si="102"/>
        <v>0</v>
      </c>
      <c r="AC489" s="62">
        <f t="shared" si="103"/>
        <v>0</v>
      </c>
    </row>
    <row r="490" spans="1:29" ht="42.95" customHeight="1" x14ac:dyDescent="0.25">
      <c r="A490" s="4" t="s">
        <v>17</v>
      </c>
      <c r="B490" s="7" t="s">
        <v>792</v>
      </c>
      <c r="C490" s="2" t="s">
        <v>1488</v>
      </c>
      <c r="D490" s="7" t="s">
        <v>1021</v>
      </c>
      <c r="E490" s="4" t="s">
        <v>829</v>
      </c>
      <c r="F490" s="2">
        <v>4</v>
      </c>
      <c r="G490" s="2" t="s">
        <v>1400</v>
      </c>
      <c r="H490" s="2" t="s">
        <v>1399</v>
      </c>
      <c r="I490" s="4" t="s">
        <v>60</v>
      </c>
      <c r="J490" s="112">
        <f>IF($H490&lt;&gt;"Y",0,ROUND(MIN(Dashboard!$R$24,IF(IFERROR(VLOOKUP($B490,Dashboard!$Q$28:$S$60,2,FALSE),0)&gt;0,IFERROR(VLOOKUP($B490,Dashboard!$Q$28:$S$60,2,FALSE),0),$Z490*IF($U490&lt;&gt;"",ROUND((Dashboard!$R$4/$U490)*VLOOKUP($I490,Dashboard!$Q$9:$R$13,2,FALSE)*IF(ISNUMBER(SEARCH("Duals",$B490)),2,IF(ISNUMBER(SEARCH("Triples",$B490)),3,IF(ISNUMBER(SEARCH("Quads",$B490)),4,1))),2),ROUND(VLOOKUP($I490,Dashboard!$Q$15:$R$20,2,FALSE)*IF($E490="Red",Dashboard!$R$6,IF($E490="Gold",Dashboard!$R$7,Dashboard!$R$5))*IF(ISNUMBER(SEARCH("Duals",$B490)),2,IF(ISNUMBER(SEARCH("Triples",$B490)),3,IF(ISNUMBER(SEARCH("Quads",$B490)),4,1))),2))*IF(IFERROR(VLOOKUP($B490,Dashboard!$Q$28:$S$60,3,FALSE),0)&gt;0,VLOOKUP($B490,Dashboard!$Q$28:$S$60,3,FALSE),1))),0))</f>
        <v>0</v>
      </c>
      <c r="K490" s="2" t="str">
        <f>IF('Base S1'!J90="","",'Base S1'!J90)</f>
        <v/>
      </c>
      <c r="L490" s="2">
        <f t="shared" si="91"/>
        <v>0</v>
      </c>
      <c r="M490" s="2">
        <f t="shared" si="92"/>
        <v>0</v>
      </c>
      <c r="N490" s="2">
        <f t="shared" si="93"/>
        <v>0</v>
      </c>
      <c r="O490" s="2">
        <f t="shared" si="94"/>
        <v>0</v>
      </c>
      <c r="P490" s="112">
        <f t="shared" si="95"/>
        <v>0</v>
      </c>
      <c r="Q490" s="112">
        <f t="shared" si="96"/>
        <v>0</v>
      </c>
      <c r="R490" s="53"/>
      <c r="S490" s="53" t="str">
        <f t="shared" si="97"/>
        <v>Base S1|Printing Plates Parallel - Season 1|89|Printing Plate</v>
      </c>
      <c r="T490" s="57" t="str">
        <f>IF($S490="","",IFERROR(VLOOKUP($S490,'Pop Estimates (Non-#d)'!$N$2:$O$500,2,FALSE),""))</f>
        <v/>
      </c>
      <c r="U490" s="57">
        <f t="shared" si="98"/>
        <v>4</v>
      </c>
      <c r="V490" s="53" t="str">
        <f t="shared" si="99"/>
        <v/>
      </c>
      <c r="W490" s="53" t="str">
        <f t="shared" si="100"/>
        <v/>
      </c>
      <c r="X490" s="53" t="str">
        <f t="shared" si="101"/>
        <v/>
      </c>
      <c r="Y490" s="57" t="str">
        <f>IF($X490="","",IFERROR(VLOOKUP($X490,'Char Popularity'!$A$2:$C$500,2,FALSE),""))</f>
        <v/>
      </c>
      <c r="Z490" s="56">
        <f>IF($X490="",1,IFERROR(VLOOKUP($X490,'Char Popularity'!$A$2:$C$500,3,FALSE),1))</f>
        <v>1</v>
      </c>
      <c r="AA490" s="62">
        <f>IF($H490&lt;&gt;"Y",0,(IF($F490&lt;&gt;"",ROUND(Dashboard!$R$4/$F490,1),IF(AND($I490="Base",$E490="Base"),Dashboard!$R$5,IF(AND($I490="Base",$E490="Red"),Dashboard!$R$6,IF(AND($I490="Base",$E490="Gold"),Dashboard!$R$7,VLOOKUP($I490,Dashboard!$Q$16:$R$21,2,FALSE)))))*VLOOKUP($I490,Dashboard!$Q$9:$R$13,2,FALSE)*IF(AND($I490="Auto",$F490="",OR($B490="Autographs Duals",$B490="Autographs Triples",$B490="Autographs Quads",$B490="Autographs Quads (Inscribed)")),IF($B490="Autographs Duals",2,IF($B490="Autographs Triples",3,4)),1)))</f>
        <v>0</v>
      </c>
      <c r="AB490" s="62">
        <f t="shared" si="102"/>
        <v>0</v>
      </c>
      <c r="AC490" s="62">
        <f t="shared" si="103"/>
        <v>0</v>
      </c>
    </row>
    <row r="491" spans="1:29" ht="42.95" customHeight="1" x14ac:dyDescent="0.25">
      <c r="A491" s="4" t="s">
        <v>17</v>
      </c>
      <c r="B491" s="7" t="s">
        <v>792</v>
      </c>
      <c r="C491" s="2" t="s">
        <v>1489</v>
      </c>
      <c r="D491" s="7" t="s">
        <v>1023</v>
      </c>
      <c r="E491" s="4" t="s">
        <v>829</v>
      </c>
      <c r="F491" s="2">
        <v>4</v>
      </c>
      <c r="G491" s="2" t="s">
        <v>1400</v>
      </c>
      <c r="H491" s="2" t="s">
        <v>1399</v>
      </c>
      <c r="I491" s="4" t="s">
        <v>60</v>
      </c>
      <c r="J491" s="112">
        <f>IF($H491&lt;&gt;"Y",0,ROUND(MIN(Dashboard!$R$24,IF(IFERROR(VLOOKUP($B491,Dashboard!$Q$28:$S$60,2,FALSE),0)&gt;0,IFERROR(VLOOKUP($B491,Dashboard!$Q$28:$S$60,2,FALSE),0),$Z491*IF($U491&lt;&gt;"",ROUND((Dashboard!$R$4/$U491)*VLOOKUP($I491,Dashboard!$Q$9:$R$13,2,FALSE)*IF(ISNUMBER(SEARCH("Duals",$B491)),2,IF(ISNUMBER(SEARCH("Triples",$B491)),3,IF(ISNUMBER(SEARCH("Quads",$B491)),4,1))),2),ROUND(VLOOKUP($I491,Dashboard!$Q$15:$R$20,2,FALSE)*IF($E491="Red",Dashboard!$R$6,IF($E491="Gold",Dashboard!$R$7,Dashboard!$R$5))*IF(ISNUMBER(SEARCH("Duals",$B491)),2,IF(ISNUMBER(SEARCH("Triples",$B491)),3,IF(ISNUMBER(SEARCH("Quads",$B491)),4,1))),2))*IF(IFERROR(VLOOKUP($B491,Dashboard!$Q$28:$S$60,3,FALSE),0)&gt;0,VLOOKUP($B491,Dashboard!$Q$28:$S$60,3,FALSE),1))),0))</f>
        <v>0</v>
      </c>
      <c r="K491" s="2" t="str">
        <f>IF('Base S1'!J91="","",'Base S1'!J91)</f>
        <v/>
      </c>
      <c r="L491" s="2">
        <f t="shared" si="91"/>
        <v>0</v>
      </c>
      <c r="M491" s="2">
        <f t="shared" si="92"/>
        <v>0</v>
      </c>
      <c r="N491" s="2">
        <f t="shared" si="93"/>
        <v>0</v>
      </c>
      <c r="O491" s="2">
        <f t="shared" si="94"/>
        <v>0</v>
      </c>
      <c r="P491" s="112">
        <f t="shared" si="95"/>
        <v>0</v>
      </c>
      <c r="Q491" s="112">
        <f t="shared" si="96"/>
        <v>0</v>
      </c>
      <c r="R491" s="53"/>
      <c r="S491" s="53" t="str">
        <f t="shared" si="97"/>
        <v>Base S1|Printing Plates Parallel - Season 1|90|Printing Plate</v>
      </c>
      <c r="T491" s="57" t="str">
        <f>IF($S491="","",IFERROR(VLOOKUP($S491,'Pop Estimates (Non-#d)'!$N$2:$O$500,2,FALSE),""))</f>
        <v/>
      </c>
      <c r="U491" s="57">
        <f t="shared" si="98"/>
        <v>4</v>
      </c>
      <c r="V491" s="53" t="str">
        <f t="shared" si="99"/>
        <v/>
      </c>
      <c r="W491" s="53" t="str">
        <f t="shared" si="100"/>
        <v/>
      </c>
      <c r="X491" s="53" t="str">
        <f t="shared" si="101"/>
        <v/>
      </c>
      <c r="Y491" s="57" t="str">
        <f>IF($X491="","",IFERROR(VLOOKUP($X491,'Char Popularity'!$A$2:$C$500,2,FALSE),""))</f>
        <v/>
      </c>
      <c r="Z491" s="56">
        <f>IF($X491="",1,IFERROR(VLOOKUP($X491,'Char Popularity'!$A$2:$C$500,3,FALSE),1))</f>
        <v>1</v>
      </c>
      <c r="AA491" s="62">
        <f>IF($H491&lt;&gt;"Y",0,(IF($F491&lt;&gt;"",ROUND(Dashboard!$R$4/$F491,1),IF(AND($I491="Base",$E491="Base"),Dashboard!$R$5,IF(AND($I491="Base",$E491="Red"),Dashboard!$R$6,IF(AND($I491="Base",$E491="Gold"),Dashboard!$R$7,VLOOKUP($I491,Dashboard!$Q$16:$R$21,2,FALSE)))))*VLOOKUP($I491,Dashboard!$Q$9:$R$13,2,FALSE)*IF(AND($I491="Auto",$F491="",OR($B491="Autographs Duals",$B491="Autographs Triples",$B491="Autographs Quads",$B491="Autographs Quads (Inscribed)")),IF($B491="Autographs Duals",2,IF($B491="Autographs Triples",3,4)),1)))</f>
        <v>0</v>
      </c>
      <c r="AB491" s="62">
        <f t="shared" si="102"/>
        <v>0</v>
      </c>
      <c r="AC491" s="62">
        <f t="shared" si="103"/>
        <v>0</v>
      </c>
    </row>
    <row r="492" spans="1:29" ht="42.95" customHeight="1" x14ac:dyDescent="0.25">
      <c r="A492" s="4" t="s">
        <v>17</v>
      </c>
      <c r="B492" s="7" t="s">
        <v>792</v>
      </c>
      <c r="C492" s="2" t="s">
        <v>1490</v>
      </c>
      <c r="D492" s="7" t="s">
        <v>1025</v>
      </c>
      <c r="E492" s="4" t="s">
        <v>829</v>
      </c>
      <c r="F492" s="2">
        <v>4</v>
      </c>
      <c r="G492" s="2" t="s">
        <v>1400</v>
      </c>
      <c r="H492" s="2" t="s">
        <v>1399</v>
      </c>
      <c r="I492" s="4" t="s">
        <v>60</v>
      </c>
      <c r="J492" s="112">
        <f>IF($H492&lt;&gt;"Y",0,ROUND(MIN(Dashboard!$R$24,IF(IFERROR(VLOOKUP($B492,Dashboard!$Q$28:$S$60,2,FALSE),0)&gt;0,IFERROR(VLOOKUP($B492,Dashboard!$Q$28:$S$60,2,FALSE),0),$Z492*IF($U492&lt;&gt;"",ROUND((Dashboard!$R$4/$U492)*VLOOKUP($I492,Dashboard!$Q$9:$R$13,2,FALSE)*IF(ISNUMBER(SEARCH("Duals",$B492)),2,IF(ISNUMBER(SEARCH("Triples",$B492)),3,IF(ISNUMBER(SEARCH("Quads",$B492)),4,1))),2),ROUND(VLOOKUP($I492,Dashboard!$Q$15:$R$20,2,FALSE)*IF($E492="Red",Dashboard!$R$6,IF($E492="Gold",Dashboard!$R$7,Dashboard!$R$5))*IF(ISNUMBER(SEARCH("Duals",$B492)),2,IF(ISNUMBER(SEARCH("Triples",$B492)),3,IF(ISNUMBER(SEARCH("Quads",$B492)),4,1))),2))*IF(IFERROR(VLOOKUP($B492,Dashboard!$Q$28:$S$60,3,FALSE),0)&gt;0,VLOOKUP($B492,Dashboard!$Q$28:$S$60,3,FALSE),1))),0))</f>
        <v>0</v>
      </c>
      <c r="K492" s="2" t="str">
        <f>IF('Base S1'!J92="","",'Base S1'!J92)</f>
        <v/>
      </c>
      <c r="L492" s="2">
        <f t="shared" si="91"/>
        <v>0</v>
      </c>
      <c r="M492" s="2">
        <f t="shared" si="92"/>
        <v>0</v>
      </c>
      <c r="N492" s="2">
        <f t="shared" si="93"/>
        <v>0</v>
      </c>
      <c r="O492" s="2">
        <f t="shared" si="94"/>
        <v>0</v>
      </c>
      <c r="P492" s="112">
        <f t="shared" si="95"/>
        <v>0</v>
      </c>
      <c r="Q492" s="112">
        <f t="shared" si="96"/>
        <v>0</v>
      </c>
      <c r="R492" s="53"/>
      <c r="S492" s="53" t="str">
        <f t="shared" si="97"/>
        <v>Base S1|Printing Plates Parallel - Season 1|91|Printing Plate</v>
      </c>
      <c r="T492" s="57" t="str">
        <f>IF($S492="","",IFERROR(VLOOKUP($S492,'Pop Estimates (Non-#d)'!$N$2:$O$500,2,FALSE),""))</f>
        <v/>
      </c>
      <c r="U492" s="57">
        <f t="shared" si="98"/>
        <v>4</v>
      </c>
      <c r="V492" s="53" t="str">
        <f t="shared" si="99"/>
        <v/>
      </c>
      <c r="W492" s="53" t="str">
        <f t="shared" si="100"/>
        <v/>
      </c>
      <c r="X492" s="53" t="str">
        <f t="shared" si="101"/>
        <v/>
      </c>
      <c r="Y492" s="57" t="str">
        <f>IF($X492="","",IFERROR(VLOOKUP($X492,'Char Popularity'!$A$2:$C$500,2,FALSE),""))</f>
        <v/>
      </c>
      <c r="Z492" s="56">
        <f>IF($X492="",1,IFERROR(VLOOKUP($X492,'Char Popularity'!$A$2:$C$500,3,FALSE),1))</f>
        <v>1</v>
      </c>
      <c r="AA492" s="62">
        <f>IF($H492&lt;&gt;"Y",0,(IF($F492&lt;&gt;"",ROUND(Dashboard!$R$4/$F492,1),IF(AND($I492="Base",$E492="Base"),Dashboard!$R$5,IF(AND($I492="Base",$E492="Red"),Dashboard!$R$6,IF(AND($I492="Base",$E492="Gold"),Dashboard!$R$7,VLOOKUP($I492,Dashboard!$Q$16:$R$21,2,FALSE)))))*VLOOKUP($I492,Dashboard!$Q$9:$R$13,2,FALSE)*IF(AND($I492="Auto",$F492="",OR($B492="Autographs Duals",$B492="Autographs Triples",$B492="Autographs Quads",$B492="Autographs Quads (Inscribed)")),IF($B492="Autographs Duals",2,IF($B492="Autographs Triples",3,4)),1)))</f>
        <v>0</v>
      </c>
      <c r="AB492" s="62">
        <f t="shared" si="102"/>
        <v>0</v>
      </c>
      <c r="AC492" s="62">
        <f t="shared" si="103"/>
        <v>0</v>
      </c>
    </row>
    <row r="493" spans="1:29" ht="42.95" customHeight="1" x14ac:dyDescent="0.25">
      <c r="A493" s="4" t="s">
        <v>17</v>
      </c>
      <c r="B493" s="7" t="s">
        <v>792</v>
      </c>
      <c r="C493" s="2" t="s">
        <v>1491</v>
      </c>
      <c r="D493" s="7" t="s">
        <v>1027</v>
      </c>
      <c r="E493" s="4" t="s">
        <v>829</v>
      </c>
      <c r="F493" s="2">
        <v>4</v>
      </c>
      <c r="G493" s="2" t="s">
        <v>1400</v>
      </c>
      <c r="H493" s="2" t="s">
        <v>1399</v>
      </c>
      <c r="I493" s="4" t="s">
        <v>60</v>
      </c>
      <c r="J493" s="112">
        <f>IF($H493&lt;&gt;"Y",0,ROUND(MIN(Dashboard!$R$24,IF(IFERROR(VLOOKUP($B493,Dashboard!$Q$28:$S$60,2,FALSE),0)&gt;0,IFERROR(VLOOKUP($B493,Dashboard!$Q$28:$S$60,2,FALSE),0),$Z493*IF($U493&lt;&gt;"",ROUND((Dashboard!$R$4/$U493)*VLOOKUP($I493,Dashboard!$Q$9:$R$13,2,FALSE)*IF(ISNUMBER(SEARCH("Duals",$B493)),2,IF(ISNUMBER(SEARCH("Triples",$B493)),3,IF(ISNUMBER(SEARCH("Quads",$B493)),4,1))),2),ROUND(VLOOKUP($I493,Dashboard!$Q$15:$R$20,2,FALSE)*IF($E493="Red",Dashboard!$R$6,IF($E493="Gold",Dashboard!$R$7,Dashboard!$R$5))*IF(ISNUMBER(SEARCH("Duals",$B493)),2,IF(ISNUMBER(SEARCH("Triples",$B493)),3,IF(ISNUMBER(SEARCH("Quads",$B493)),4,1))),2))*IF(IFERROR(VLOOKUP($B493,Dashboard!$Q$28:$S$60,3,FALSE),0)&gt;0,VLOOKUP($B493,Dashboard!$Q$28:$S$60,3,FALSE),1))),0))</f>
        <v>0</v>
      </c>
      <c r="K493" s="2" t="str">
        <f>IF('Base S1'!J93="","",'Base S1'!J93)</f>
        <v/>
      </c>
      <c r="L493" s="2">
        <f t="shared" si="91"/>
        <v>0</v>
      </c>
      <c r="M493" s="2">
        <f t="shared" si="92"/>
        <v>0</v>
      </c>
      <c r="N493" s="2">
        <f t="shared" si="93"/>
        <v>0</v>
      </c>
      <c r="O493" s="2">
        <f t="shared" si="94"/>
        <v>0</v>
      </c>
      <c r="P493" s="112">
        <f t="shared" si="95"/>
        <v>0</v>
      </c>
      <c r="Q493" s="112">
        <f t="shared" si="96"/>
        <v>0</v>
      </c>
      <c r="R493" s="53"/>
      <c r="S493" s="53" t="str">
        <f t="shared" si="97"/>
        <v>Base S1|Printing Plates Parallel - Season 1|92|Printing Plate</v>
      </c>
      <c r="T493" s="57" t="str">
        <f>IF($S493="","",IFERROR(VLOOKUP($S493,'Pop Estimates (Non-#d)'!$N$2:$O$500,2,FALSE),""))</f>
        <v/>
      </c>
      <c r="U493" s="57">
        <f t="shared" si="98"/>
        <v>4</v>
      </c>
      <c r="V493" s="53" t="str">
        <f t="shared" si="99"/>
        <v/>
      </c>
      <c r="W493" s="53" t="str">
        <f t="shared" si="100"/>
        <v/>
      </c>
      <c r="X493" s="53" t="str">
        <f t="shared" si="101"/>
        <v/>
      </c>
      <c r="Y493" s="57" t="str">
        <f>IF($X493="","",IFERROR(VLOOKUP($X493,'Char Popularity'!$A$2:$C$500,2,FALSE),""))</f>
        <v/>
      </c>
      <c r="Z493" s="56">
        <f>IF($X493="",1,IFERROR(VLOOKUP($X493,'Char Popularity'!$A$2:$C$500,3,FALSE),1))</f>
        <v>1</v>
      </c>
      <c r="AA493" s="62">
        <f>IF($H493&lt;&gt;"Y",0,(IF($F493&lt;&gt;"",ROUND(Dashboard!$R$4/$F493,1),IF(AND($I493="Base",$E493="Base"),Dashboard!$R$5,IF(AND($I493="Base",$E493="Red"),Dashboard!$R$6,IF(AND($I493="Base",$E493="Gold"),Dashboard!$R$7,VLOOKUP($I493,Dashboard!$Q$16:$R$21,2,FALSE)))))*VLOOKUP($I493,Dashboard!$Q$9:$R$13,2,FALSE)*IF(AND($I493="Auto",$F493="",OR($B493="Autographs Duals",$B493="Autographs Triples",$B493="Autographs Quads",$B493="Autographs Quads (Inscribed)")),IF($B493="Autographs Duals",2,IF($B493="Autographs Triples",3,4)),1)))</f>
        <v>0</v>
      </c>
      <c r="AB493" s="62">
        <f t="shared" si="102"/>
        <v>0</v>
      </c>
      <c r="AC493" s="62">
        <f t="shared" si="103"/>
        <v>0</v>
      </c>
    </row>
    <row r="494" spans="1:29" ht="42.95" customHeight="1" x14ac:dyDescent="0.25">
      <c r="A494" s="4" t="s">
        <v>17</v>
      </c>
      <c r="B494" s="7" t="s">
        <v>792</v>
      </c>
      <c r="C494" s="2" t="s">
        <v>1492</v>
      </c>
      <c r="D494" s="7" t="s">
        <v>1029</v>
      </c>
      <c r="E494" s="4" t="s">
        <v>829</v>
      </c>
      <c r="F494" s="2">
        <v>4</v>
      </c>
      <c r="G494" s="2" t="s">
        <v>1400</v>
      </c>
      <c r="H494" s="2" t="s">
        <v>1399</v>
      </c>
      <c r="I494" s="4" t="s">
        <v>60</v>
      </c>
      <c r="J494" s="112">
        <f>IF($H494&lt;&gt;"Y",0,ROUND(MIN(Dashboard!$R$24,IF(IFERROR(VLOOKUP($B494,Dashboard!$Q$28:$S$60,2,FALSE),0)&gt;0,IFERROR(VLOOKUP($B494,Dashboard!$Q$28:$S$60,2,FALSE),0),$Z494*IF($U494&lt;&gt;"",ROUND((Dashboard!$R$4/$U494)*VLOOKUP($I494,Dashboard!$Q$9:$R$13,2,FALSE)*IF(ISNUMBER(SEARCH("Duals",$B494)),2,IF(ISNUMBER(SEARCH("Triples",$B494)),3,IF(ISNUMBER(SEARCH("Quads",$B494)),4,1))),2),ROUND(VLOOKUP($I494,Dashboard!$Q$15:$R$20,2,FALSE)*IF($E494="Red",Dashboard!$R$6,IF($E494="Gold",Dashboard!$R$7,Dashboard!$R$5))*IF(ISNUMBER(SEARCH("Duals",$B494)),2,IF(ISNUMBER(SEARCH("Triples",$B494)),3,IF(ISNUMBER(SEARCH("Quads",$B494)),4,1))),2))*IF(IFERROR(VLOOKUP($B494,Dashboard!$Q$28:$S$60,3,FALSE),0)&gt;0,VLOOKUP($B494,Dashboard!$Q$28:$S$60,3,FALSE),1))),0))</f>
        <v>0</v>
      </c>
      <c r="K494" s="2" t="str">
        <f>IF('Base S1'!J94="","",'Base S1'!J94)</f>
        <v/>
      </c>
      <c r="L494" s="2">
        <f t="shared" si="91"/>
        <v>0</v>
      </c>
      <c r="M494" s="2">
        <f t="shared" si="92"/>
        <v>0</v>
      </c>
      <c r="N494" s="2">
        <f t="shared" si="93"/>
        <v>0</v>
      </c>
      <c r="O494" s="2">
        <f t="shared" si="94"/>
        <v>0</v>
      </c>
      <c r="P494" s="112">
        <f t="shared" si="95"/>
        <v>0</v>
      </c>
      <c r="Q494" s="112">
        <f t="shared" si="96"/>
        <v>0</v>
      </c>
      <c r="R494" s="53"/>
      <c r="S494" s="53" t="str">
        <f t="shared" si="97"/>
        <v>Base S1|Printing Plates Parallel - Season 1|93|Printing Plate</v>
      </c>
      <c r="T494" s="57" t="str">
        <f>IF($S494="","",IFERROR(VLOOKUP($S494,'Pop Estimates (Non-#d)'!$N$2:$O$500,2,FALSE),""))</f>
        <v/>
      </c>
      <c r="U494" s="57">
        <f t="shared" si="98"/>
        <v>4</v>
      </c>
      <c r="V494" s="53" t="str">
        <f t="shared" si="99"/>
        <v/>
      </c>
      <c r="W494" s="53" t="str">
        <f t="shared" si="100"/>
        <v/>
      </c>
      <c r="X494" s="53" t="str">
        <f t="shared" si="101"/>
        <v/>
      </c>
      <c r="Y494" s="57" t="str">
        <f>IF($X494="","",IFERROR(VLOOKUP($X494,'Char Popularity'!$A$2:$C$500,2,FALSE),""))</f>
        <v/>
      </c>
      <c r="Z494" s="56">
        <f>IF($X494="",1,IFERROR(VLOOKUP($X494,'Char Popularity'!$A$2:$C$500,3,FALSE),1))</f>
        <v>1</v>
      </c>
      <c r="AA494" s="62">
        <f>IF($H494&lt;&gt;"Y",0,(IF($F494&lt;&gt;"",ROUND(Dashboard!$R$4/$F494,1),IF(AND($I494="Base",$E494="Base"),Dashboard!$R$5,IF(AND($I494="Base",$E494="Red"),Dashboard!$R$6,IF(AND($I494="Base",$E494="Gold"),Dashboard!$R$7,VLOOKUP($I494,Dashboard!$Q$16:$R$21,2,FALSE)))))*VLOOKUP($I494,Dashboard!$Q$9:$R$13,2,FALSE)*IF(AND($I494="Auto",$F494="",OR($B494="Autographs Duals",$B494="Autographs Triples",$B494="Autographs Quads",$B494="Autographs Quads (Inscribed)")),IF($B494="Autographs Duals",2,IF($B494="Autographs Triples",3,4)),1)))</f>
        <v>0</v>
      </c>
      <c r="AB494" s="62">
        <f t="shared" si="102"/>
        <v>0</v>
      </c>
      <c r="AC494" s="62">
        <f t="shared" si="103"/>
        <v>0</v>
      </c>
    </row>
    <row r="495" spans="1:29" ht="42.95" customHeight="1" x14ac:dyDescent="0.25">
      <c r="A495" s="4" t="s">
        <v>17</v>
      </c>
      <c r="B495" s="7" t="s">
        <v>792</v>
      </c>
      <c r="C495" s="2" t="s">
        <v>1493</v>
      </c>
      <c r="D495" s="7" t="s">
        <v>1031</v>
      </c>
      <c r="E495" s="4" t="s">
        <v>829</v>
      </c>
      <c r="F495" s="2">
        <v>4</v>
      </c>
      <c r="G495" s="2" t="s">
        <v>1400</v>
      </c>
      <c r="H495" s="2" t="s">
        <v>1399</v>
      </c>
      <c r="I495" s="4" t="s">
        <v>60</v>
      </c>
      <c r="J495" s="112">
        <f>IF($H495&lt;&gt;"Y",0,ROUND(MIN(Dashboard!$R$24,IF(IFERROR(VLOOKUP($B495,Dashboard!$Q$28:$S$60,2,FALSE),0)&gt;0,IFERROR(VLOOKUP($B495,Dashboard!$Q$28:$S$60,2,FALSE),0),$Z495*IF($U495&lt;&gt;"",ROUND((Dashboard!$R$4/$U495)*VLOOKUP($I495,Dashboard!$Q$9:$R$13,2,FALSE)*IF(ISNUMBER(SEARCH("Duals",$B495)),2,IF(ISNUMBER(SEARCH("Triples",$B495)),3,IF(ISNUMBER(SEARCH("Quads",$B495)),4,1))),2),ROUND(VLOOKUP($I495,Dashboard!$Q$15:$R$20,2,FALSE)*IF($E495="Red",Dashboard!$R$6,IF($E495="Gold",Dashboard!$R$7,Dashboard!$R$5))*IF(ISNUMBER(SEARCH("Duals",$B495)),2,IF(ISNUMBER(SEARCH("Triples",$B495)),3,IF(ISNUMBER(SEARCH("Quads",$B495)),4,1))),2))*IF(IFERROR(VLOOKUP($B495,Dashboard!$Q$28:$S$60,3,FALSE),0)&gt;0,VLOOKUP($B495,Dashboard!$Q$28:$S$60,3,FALSE),1))),0))</f>
        <v>0</v>
      </c>
      <c r="K495" s="2" t="str">
        <f>IF('Base S1'!J95="","",'Base S1'!J95)</f>
        <v/>
      </c>
      <c r="L495" s="2">
        <f t="shared" si="91"/>
        <v>0</v>
      </c>
      <c r="M495" s="2">
        <f t="shared" si="92"/>
        <v>0</v>
      </c>
      <c r="N495" s="2">
        <f t="shared" si="93"/>
        <v>0</v>
      </c>
      <c r="O495" s="2">
        <f t="shared" si="94"/>
        <v>0</v>
      </c>
      <c r="P495" s="112">
        <f t="shared" si="95"/>
        <v>0</v>
      </c>
      <c r="Q495" s="112">
        <f t="shared" si="96"/>
        <v>0</v>
      </c>
      <c r="R495" s="53"/>
      <c r="S495" s="53" t="str">
        <f t="shared" si="97"/>
        <v>Base S1|Printing Plates Parallel - Season 1|94|Printing Plate</v>
      </c>
      <c r="T495" s="57" t="str">
        <f>IF($S495="","",IFERROR(VLOOKUP($S495,'Pop Estimates (Non-#d)'!$N$2:$O$500,2,FALSE),""))</f>
        <v/>
      </c>
      <c r="U495" s="57">
        <f t="shared" si="98"/>
        <v>4</v>
      </c>
      <c r="V495" s="53" t="str">
        <f t="shared" si="99"/>
        <v/>
      </c>
      <c r="W495" s="53" t="str">
        <f t="shared" si="100"/>
        <v/>
      </c>
      <c r="X495" s="53" t="str">
        <f t="shared" si="101"/>
        <v/>
      </c>
      <c r="Y495" s="57" t="str">
        <f>IF($X495="","",IFERROR(VLOOKUP($X495,'Char Popularity'!$A$2:$C$500,2,FALSE),""))</f>
        <v/>
      </c>
      <c r="Z495" s="56">
        <f>IF($X495="",1,IFERROR(VLOOKUP($X495,'Char Popularity'!$A$2:$C$500,3,FALSE),1))</f>
        <v>1</v>
      </c>
      <c r="AA495" s="62">
        <f>IF($H495&lt;&gt;"Y",0,(IF($F495&lt;&gt;"",ROUND(Dashboard!$R$4/$F495,1),IF(AND($I495="Base",$E495="Base"),Dashboard!$R$5,IF(AND($I495="Base",$E495="Red"),Dashboard!$R$6,IF(AND($I495="Base",$E495="Gold"),Dashboard!$R$7,VLOOKUP($I495,Dashboard!$Q$16:$R$21,2,FALSE)))))*VLOOKUP($I495,Dashboard!$Q$9:$R$13,2,FALSE)*IF(AND($I495="Auto",$F495="",OR($B495="Autographs Duals",$B495="Autographs Triples",$B495="Autographs Quads",$B495="Autographs Quads (Inscribed)")),IF($B495="Autographs Duals",2,IF($B495="Autographs Triples",3,4)),1)))</f>
        <v>0</v>
      </c>
      <c r="AB495" s="62">
        <f t="shared" si="102"/>
        <v>0</v>
      </c>
      <c r="AC495" s="62">
        <f t="shared" si="103"/>
        <v>0</v>
      </c>
    </row>
    <row r="496" spans="1:29" ht="42.95" customHeight="1" x14ac:dyDescent="0.25">
      <c r="A496" s="4" t="s">
        <v>17</v>
      </c>
      <c r="B496" s="7" t="s">
        <v>792</v>
      </c>
      <c r="C496" s="2" t="s">
        <v>1494</v>
      </c>
      <c r="D496" s="7" t="s">
        <v>1032</v>
      </c>
      <c r="E496" s="4" t="s">
        <v>829</v>
      </c>
      <c r="F496" s="2">
        <v>4</v>
      </c>
      <c r="G496" s="2" t="s">
        <v>1400</v>
      </c>
      <c r="H496" s="2" t="s">
        <v>1399</v>
      </c>
      <c r="I496" s="4" t="s">
        <v>60</v>
      </c>
      <c r="J496" s="112">
        <f>IF($H496&lt;&gt;"Y",0,ROUND(MIN(Dashboard!$R$24,IF(IFERROR(VLOOKUP($B496,Dashboard!$Q$28:$S$60,2,FALSE),0)&gt;0,IFERROR(VLOOKUP($B496,Dashboard!$Q$28:$S$60,2,FALSE),0),$Z496*IF($U496&lt;&gt;"",ROUND((Dashboard!$R$4/$U496)*VLOOKUP($I496,Dashboard!$Q$9:$R$13,2,FALSE)*IF(ISNUMBER(SEARCH("Duals",$B496)),2,IF(ISNUMBER(SEARCH("Triples",$B496)),3,IF(ISNUMBER(SEARCH("Quads",$B496)),4,1))),2),ROUND(VLOOKUP($I496,Dashboard!$Q$15:$R$20,2,FALSE)*IF($E496="Red",Dashboard!$R$6,IF($E496="Gold",Dashboard!$R$7,Dashboard!$R$5))*IF(ISNUMBER(SEARCH("Duals",$B496)),2,IF(ISNUMBER(SEARCH("Triples",$B496)),3,IF(ISNUMBER(SEARCH("Quads",$B496)),4,1))),2))*IF(IFERROR(VLOOKUP($B496,Dashboard!$Q$28:$S$60,3,FALSE),0)&gt;0,VLOOKUP($B496,Dashboard!$Q$28:$S$60,3,FALSE),1))),0))</f>
        <v>0</v>
      </c>
      <c r="K496" s="2" t="str">
        <f>IF('Base S1'!J96="","",'Base S1'!J96)</f>
        <v>C Magenta</v>
      </c>
      <c r="L496" s="2">
        <f t="shared" si="91"/>
        <v>1</v>
      </c>
      <c r="M496" s="2">
        <f t="shared" si="92"/>
        <v>0</v>
      </c>
      <c r="N496" s="2">
        <f t="shared" si="93"/>
        <v>1</v>
      </c>
      <c r="O496" s="2">
        <f t="shared" si="94"/>
        <v>0</v>
      </c>
      <c r="P496" s="112">
        <f t="shared" si="95"/>
        <v>0</v>
      </c>
      <c r="Q496" s="112">
        <f t="shared" si="96"/>
        <v>0</v>
      </c>
      <c r="R496" s="53"/>
      <c r="S496" s="53" t="str">
        <f t="shared" si="97"/>
        <v>Base S1|Printing Plates Parallel - Season 1|95|Printing Plate</v>
      </c>
      <c r="T496" s="57" t="str">
        <f>IF($S496="","",IFERROR(VLOOKUP($S496,'Pop Estimates (Non-#d)'!$N$2:$O$500,2,FALSE),""))</f>
        <v/>
      </c>
      <c r="U496" s="57">
        <f t="shared" si="98"/>
        <v>4</v>
      </c>
      <c r="V496" s="53" t="str">
        <f t="shared" si="99"/>
        <v/>
      </c>
      <c r="W496" s="53" t="str">
        <f t="shared" si="100"/>
        <v/>
      </c>
      <c r="X496" s="53" t="str">
        <f t="shared" si="101"/>
        <v/>
      </c>
      <c r="Y496" s="57" t="str">
        <f>IF($X496="","",IFERROR(VLOOKUP($X496,'Char Popularity'!$A$2:$C$500,2,FALSE),""))</f>
        <v/>
      </c>
      <c r="Z496" s="56">
        <f>IF($X496="",1,IFERROR(VLOOKUP($X496,'Char Popularity'!$A$2:$C$500,3,FALSE),1))</f>
        <v>1</v>
      </c>
      <c r="AA496" s="62">
        <f>IF($H496&lt;&gt;"Y",0,(IF($F496&lt;&gt;"",ROUND(Dashboard!$R$4/$F496,1),IF(AND($I496="Base",$E496="Base"),Dashboard!$R$5,IF(AND($I496="Base",$E496="Red"),Dashboard!$R$6,IF(AND($I496="Base",$E496="Gold"),Dashboard!$R$7,VLOOKUP($I496,Dashboard!$Q$16:$R$21,2,FALSE)))))*VLOOKUP($I496,Dashboard!$Q$9:$R$13,2,FALSE)*IF(AND($I496="Auto",$F496="",OR($B496="Autographs Duals",$B496="Autographs Triples",$B496="Autographs Quads",$B496="Autographs Quads (Inscribed)")),IF($B496="Autographs Duals",2,IF($B496="Autographs Triples",3,4)),1)))</f>
        <v>0</v>
      </c>
      <c r="AB496" s="62">
        <f t="shared" si="102"/>
        <v>0</v>
      </c>
      <c r="AC496" s="62">
        <f t="shared" si="103"/>
        <v>0</v>
      </c>
    </row>
    <row r="497" spans="1:29" ht="42.95" customHeight="1" x14ac:dyDescent="0.25">
      <c r="A497" s="4" t="s">
        <v>17</v>
      </c>
      <c r="B497" s="7" t="s">
        <v>792</v>
      </c>
      <c r="C497" s="2" t="s">
        <v>1495</v>
      </c>
      <c r="D497" s="7" t="s">
        <v>1034</v>
      </c>
      <c r="E497" s="4" t="s">
        <v>829</v>
      </c>
      <c r="F497" s="2">
        <v>4</v>
      </c>
      <c r="G497" s="2" t="s">
        <v>1400</v>
      </c>
      <c r="H497" s="2" t="s">
        <v>1399</v>
      </c>
      <c r="I497" s="4" t="s">
        <v>60</v>
      </c>
      <c r="J497" s="112">
        <f>IF($H497&lt;&gt;"Y",0,ROUND(MIN(Dashboard!$R$24,IF(IFERROR(VLOOKUP($B497,Dashboard!$Q$28:$S$60,2,FALSE),0)&gt;0,IFERROR(VLOOKUP($B497,Dashboard!$Q$28:$S$60,2,FALSE),0),$Z497*IF($U497&lt;&gt;"",ROUND((Dashboard!$R$4/$U497)*VLOOKUP($I497,Dashboard!$Q$9:$R$13,2,FALSE)*IF(ISNUMBER(SEARCH("Duals",$B497)),2,IF(ISNUMBER(SEARCH("Triples",$B497)),3,IF(ISNUMBER(SEARCH("Quads",$B497)),4,1))),2),ROUND(VLOOKUP($I497,Dashboard!$Q$15:$R$20,2,FALSE)*IF($E497="Red",Dashboard!$R$6,IF($E497="Gold",Dashboard!$R$7,Dashboard!$R$5))*IF(ISNUMBER(SEARCH("Duals",$B497)),2,IF(ISNUMBER(SEARCH("Triples",$B497)),3,IF(ISNUMBER(SEARCH("Quads",$B497)),4,1))),2))*IF(IFERROR(VLOOKUP($B497,Dashboard!$Q$28:$S$60,3,FALSE),0)&gt;0,VLOOKUP($B497,Dashboard!$Q$28:$S$60,3,FALSE),1))),0))</f>
        <v>0</v>
      </c>
      <c r="K497" s="2" t="str">
        <f>IF('Base S1'!J97="","",'Base S1'!J97)</f>
        <v/>
      </c>
      <c r="L497" s="2">
        <f t="shared" si="91"/>
        <v>0</v>
      </c>
      <c r="M497" s="2">
        <f t="shared" si="92"/>
        <v>0</v>
      </c>
      <c r="N497" s="2">
        <f t="shared" si="93"/>
        <v>0</v>
      </c>
      <c r="O497" s="2">
        <f t="shared" si="94"/>
        <v>0</v>
      </c>
      <c r="P497" s="112">
        <f t="shared" si="95"/>
        <v>0</v>
      </c>
      <c r="Q497" s="112">
        <f t="shared" si="96"/>
        <v>0</v>
      </c>
      <c r="R497" s="53"/>
      <c r="S497" s="53" t="str">
        <f t="shared" si="97"/>
        <v>Base S1|Printing Plates Parallel - Season 1|96|Printing Plate</v>
      </c>
      <c r="T497" s="57" t="str">
        <f>IF($S497="","",IFERROR(VLOOKUP($S497,'Pop Estimates (Non-#d)'!$N$2:$O$500,2,FALSE),""))</f>
        <v/>
      </c>
      <c r="U497" s="57">
        <f t="shared" si="98"/>
        <v>4</v>
      </c>
      <c r="V497" s="53" t="str">
        <f t="shared" si="99"/>
        <v/>
      </c>
      <c r="W497" s="53" t="str">
        <f t="shared" si="100"/>
        <v/>
      </c>
      <c r="X497" s="53" t="str">
        <f t="shared" si="101"/>
        <v/>
      </c>
      <c r="Y497" s="57" t="str">
        <f>IF($X497="","",IFERROR(VLOOKUP($X497,'Char Popularity'!$A$2:$C$500,2,FALSE),""))</f>
        <v/>
      </c>
      <c r="Z497" s="56">
        <f>IF($X497="",1,IFERROR(VLOOKUP($X497,'Char Popularity'!$A$2:$C$500,3,FALSE),1))</f>
        <v>1</v>
      </c>
      <c r="AA497" s="62">
        <f>IF($H497&lt;&gt;"Y",0,(IF($F497&lt;&gt;"",ROUND(Dashboard!$R$4/$F497,1),IF(AND($I497="Base",$E497="Base"),Dashboard!$R$5,IF(AND($I497="Base",$E497="Red"),Dashboard!$R$6,IF(AND($I497="Base",$E497="Gold"),Dashboard!$R$7,VLOOKUP($I497,Dashboard!$Q$16:$R$21,2,FALSE)))))*VLOOKUP($I497,Dashboard!$Q$9:$R$13,2,FALSE)*IF(AND($I497="Auto",$F497="",OR($B497="Autographs Duals",$B497="Autographs Triples",$B497="Autographs Quads",$B497="Autographs Quads (Inscribed)")),IF($B497="Autographs Duals",2,IF($B497="Autographs Triples",3,4)),1)))</f>
        <v>0</v>
      </c>
      <c r="AB497" s="62">
        <f t="shared" si="102"/>
        <v>0</v>
      </c>
      <c r="AC497" s="62">
        <f t="shared" si="103"/>
        <v>0</v>
      </c>
    </row>
    <row r="498" spans="1:29" ht="42.95" customHeight="1" x14ac:dyDescent="0.25">
      <c r="A498" s="4" t="s">
        <v>17</v>
      </c>
      <c r="B498" s="7" t="s">
        <v>792</v>
      </c>
      <c r="C498" s="2" t="s">
        <v>1496</v>
      </c>
      <c r="D498" s="7" t="s">
        <v>1036</v>
      </c>
      <c r="E498" s="4" t="s">
        <v>829</v>
      </c>
      <c r="F498" s="2">
        <v>4</v>
      </c>
      <c r="G498" s="2" t="s">
        <v>1400</v>
      </c>
      <c r="H498" s="2" t="s">
        <v>1399</v>
      </c>
      <c r="I498" s="4" t="s">
        <v>60</v>
      </c>
      <c r="J498" s="112">
        <f>IF($H498&lt;&gt;"Y",0,ROUND(MIN(Dashboard!$R$24,IF(IFERROR(VLOOKUP($B498,Dashboard!$Q$28:$S$60,2,FALSE),0)&gt;0,IFERROR(VLOOKUP($B498,Dashboard!$Q$28:$S$60,2,FALSE),0),$Z498*IF($U498&lt;&gt;"",ROUND((Dashboard!$R$4/$U498)*VLOOKUP($I498,Dashboard!$Q$9:$R$13,2,FALSE)*IF(ISNUMBER(SEARCH("Duals",$B498)),2,IF(ISNUMBER(SEARCH("Triples",$B498)),3,IF(ISNUMBER(SEARCH("Quads",$B498)),4,1))),2),ROUND(VLOOKUP($I498,Dashboard!$Q$15:$R$20,2,FALSE)*IF($E498="Red",Dashboard!$R$6,IF($E498="Gold",Dashboard!$R$7,Dashboard!$R$5))*IF(ISNUMBER(SEARCH("Duals",$B498)),2,IF(ISNUMBER(SEARCH("Triples",$B498)),3,IF(ISNUMBER(SEARCH("Quads",$B498)),4,1))),2))*IF(IFERROR(VLOOKUP($B498,Dashboard!$Q$28:$S$60,3,FALSE),0)&gt;0,VLOOKUP($B498,Dashboard!$Q$28:$S$60,3,FALSE),1))),0))</f>
        <v>0</v>
      </c>
      <c r="K498" s="2" t="str">
        <f>IF('Base S1'!J98="","",'Base S1'!J98)</f>
        <v/>
      </c>
      <c r="L498" s="2">
        <f t="shared" si="91"/>
        <v>0</v>
      </c>
      <c r="M498" s="2">
        <f t="shared" si="92"/>
        <v>0</v>
      </c>
      <c r="N498" s="2">
        <f t="shared" si="93"/>
        <v>0</v>
      </c>
      <c r="O498" s="2">
        <f t="shared" si="94"/>
        <v>0</v>
      </c>
      <c r="P498" s="112">
        <f t="shared" si="95"/>
        <v>0</v>
      </c>
      <c r="Q498" s="112">
        <f t="shared" si="96"/>
        <v>0</v>
      </c>
      <c r="R498" s="53"/>
      <c r="S498" s="53" t="str">
        <f t="shared" si="97"/>
        <v>Base S1|Printing Plates Parallel - Season 1|97|Printing Plate</v>
      </c>
      <c r="T498" s="57" t="str">
        <f>IF($S498="","",IFERROR(VLOOKUP($S498,'Pop Estimates (Non-#d)'!$N$2:$O$500,2,FALSE),""))</f>
        <v/>
      </c>
      <c r="U498" s="57">
        <f t="shared" si="98"/>
        <v>4</v>
      </c>
      <c r="V498" s="53" t="str">
        <f t="shared" si="99"/>
        <v/>
      </c>
      <c r="W498" s="53" t="str">
        <f t="shared" si="100"/>
        <v/>
      </c>
      <c r="X498" s="53" t="str">
        <f t="shared" si="101"/>
        <v/>
      </c>
      <c r="Y498" s="57" t="str">
        <f>IF($X498="","",IFERROR(VLOOKUP($X498,'Char Popularity'!$A$2:$C$500,2,FALSE),""))</f>
        <v/>
      </c>
      <c r="Z498" s="56">
        <f>IF($X498="",1,IFERROR(VLOOKUP($X498,'Char Popularity'!$A$2:$C$500,3,FALSE),1))</f>
        <v>1</v>
      </c>
      <c r="AA498" s="62">
        <f>IF($H498&lt;&gt;"Y",0,(IF($F498&lt;&gt;"",ROUND(Dashboard!$R$4/$F498,1),IF(AND($I498="Base",$E498="Base"),Dashboard!$R$5,IF(AND($I498="Base",$E498="Red"),Dashboard!$R$6,IF(AND($I498="Base",$E498="Gold"),Dashboard!$R$7,VLOOKUP($I498,Dashboard!$Q$16:$R$21,2,FALSE)))))*VLOOKUP($I498,Dashboard!$Q$9:$R$13,2,FALSE)*IF(AND($I498="Auto",$F498="",OR($B498="Autographs Duals",$B498="Autographs Triples",$B498="Autographs Quads",$B498="Autographs Quads (Inscribed)")),IF($B498="Autographs Duals",2,IF($B498="Autographs Triples",3,4)),1)))</f>
        <v>0</v>
      </c>
      <c r="AB498" s="62">
        <f t="shared" si="102"/>
        <v>0</v>
      </c>
      <c r="AC498" s="62">
        <f t="shared" si="103"/>
        <v>0</v>
      </c>
    </row>
    <row r="499" spans="1:29" ht="42.95" customHeight="1" x14ac:dyDescent="0.25">
      <c r="A499" s="4" t="s">
        <v>17</v>
      </c>
      <c r="B499" s="7" t="s">
        <v>792</v>
      </c>
      <c r="C499" s="2" t="s">
        <v>1497</v>
      </c>
      <c r="D499" s="7" t="s">
        <v>1037</v>
      </c>
      <c r="E499" s="4" t="s">
        <v>829</v>
      </c>
      <c r="F499" s="2">
        <v>4</v>
      </c>
      <c r="G499" s="2" t="s">
        <v>1400</v>
      </c>
      <c r="H499" s="2" t="s">
        <v>1399</v>
      </c>
      <c r="I499" s="4" t="s">
        <v>60</v>
      </c>
      <c r="J499" s="112">
        <f>IF($H499&lt;&gt;"Y",0,ROUND(MIN(Dashboard!$R$24,IF(IFERROR(VLOOKUP($B499,Dashboard!$Q$28:$S$60,2,FALSE),0)&gt;0,IFERROR(VLOOKUP($B499,Dashboard!$Q$28:$S$60,2,FALSE),0),$Z499*IF($U499&lt;&gt;"",ROUND((Dashboard!$R$4/$U499)*VLOOKUP($I499,Dashboard!$Q$9:$R$13,2,FALSE)*IF(ISNUMBER(SEARCH("Duals",$B499)),2,IF(ISNUMBER(SEARCH("Triples",$B499)),3,IF(ISNUMBER(SEARCH("Quads",$B499)),4,1))),2),ROUND(VLOOKUP($I499,Dashboard!$Q$15:$R$20,2,FALSE)*IF($E499="Red",Dashboard!$R$6,IF($E499="Gold",Dashboard!$R$7,Dashboard!$R$5))*IF(ISNUMBER(SEARCH("Duals",$B499)),2,IF(ISNUMBER(SEARCH("Triples",$B499)),3,IF(ISNUMBER(SEARCH("Quads",$B499)),4,1))),2))*IF(IFERROR(VLOOKUP($B499,Dashboard!$Q$28:$S$60,3,FALSE),0)&gt;0,VLOOKUP($B499,Dashboard!$Q$28:$S$60,3,FALSE),1))),0))</f>
        <v>0</v>
      </c>
      <c r="K499" s="2" t="str">
        <f>IF('Base S1'!J99="","",'Base S1'!J99)</f>
        <v/>
      </c>
      <c r="L499" s="2">
        <f t="shared" si="91"/>
        <v>0</v>
      </c>
      <c r="M499" s="2">
        <f t="shared" si="92"/>
        <v>0</v>
      </c>
      <c r="N499" s="2">
        <f t="shared" si="93"/>
        <v>0</v>
      </c>
      <c r="O499" s="2">
        <f t="shared" si="94"/>
        <v>0</v>
      </c>
      <c r="P499" s="112">
        <f t="shared" si="95"/>
        <v>0</v>
      </c>
      <c r="Q499" s="112">
        <f t="shared" si="96"/>
        <v>0</v>
      </c>
      <c r="R499" s="53"/>
      <c r="S499" s="53" t="str">
        <f t="shared" si="97"/>
        <v>Base S1|Printing Plates Parallel - Season 1|98|Printing Plate</v>
      </c>
      <c r="T499" s="57" t="str">
        <f>IF($S499="","",IFERROR(VLOOKUP($S499,'Pop Estimates (Non-#d)'!$N$2:$O$500,2,FALSE),""))</f>
        <v/>
      </c>
      <c r="U499" s="57">
        <f t="shared" si="98"/>
        <v>4</v>
      </c>
      <c r="V499" s="53" t="str">
        <f t="shared" si="99"/>
        <v/>
      </c>
      <c r="W499" s="53" t="str">
        <f t="shared" si="100"/>
        <v/>
      </c>
      <c r="X499" s="53" t="str">
        <f t="shared" si="101"/>
        <v/>
      </c>
      <c r="Y499" s="57" t="str">
        <f>IF($X499="","",IFERROR(VLOOKUP($X499,'Char Popularity'!$A$2:$C$500,2,FALSE),""))</f>
        <v/>
      </c>
      <c r="Z499" s="56">
        <f>IF($X499="",1,IFERROR(VLOOKUP($X499,'Char Popularity'!$A$2:$C$500,3,FALSE),1))</f>
        <v>1</v>
      </c>
      <c r="AA499" s="62">
        <f>IF($H499&lt;&gt;"Y",0,(IF($F499&lt;&gt;"",ROUND(Dashboard!$R$4/$F499,1),IF(AND($I499="Base",$E499="Base"),Dashboard!$R$5,IF(AND($I499="Base",$E499="Red"),Dashboard!$R$6,IF(AND($I499="Base",$E499="Gold"),Dashboard!$R$7,VLOOKUP($I499,Dashboard!$Q$16:$R$21,2,FALSE)))))*VLOOKUP($I499,Dashboard!$Q$9:$R$13,2,FALSE)*IF(AND($I499="Auto",$F499="",OR($B499="Autographs Duals",$B499="Autographs Triples",$B499="Autographs Quads",$B499="Autographs Quads (Inscribed)")),IF($B499="Autographs Duals",2,IF($B499="Autographs Triples",3,4)),1)))</f>
        <v>0</v>
      </c>
      <c r="AB499" s="62">
        <f t="shared" si="102"/>
        <v>0</v>
      </c>
      <c r="AC499" s="62">
        <f t="shared" si="103"/>
        <v>0</v>
      </c>
    </row>
    <row r="500" spans="1:29" ht="42.95" customHeight="1" x14ac:dyDescent="0.25">
      <c r="A500" s="4" t="s">
        <v>17</v>
      </c>
      <c r="B500" s="7" t="s">
        <v>792</v>
      </c>
      <c r="C500" s="2" t="s">
        <v>1498</v>
      </c>
      <c r="D500" s="7" t="s">
        <v>1039</v>
      </c>
      <c r="E500" s="4" t="s">
        <v>829</v>
      </c>
      <c r="F500" s="2">
        <v>4</v>
      </c>
      <c r="G500" s="2" t="s">
        <v>1400</v>
      </c>
      <c r="H500" s="2" t="s">
        <v>1399</v>
      </c>
      <c r="I500" s="4" t="s">
        <v>60</v>
      </c>
      <c r="J500" s="112">
        <f>IF($H500&lt;&gt;"Y",0,ROUND(MIN(Dashboard!$R$24,IF(IFERROR(VLOOKUP($B500,Dashboard!$Q$28:$S$60,2,FALSE),0)&gt;0,IFERROR(VLOOKUP($B500,Dashboard!$Q$28:$S$60,2,FALSE),0),$Z500*IF($U500&lt;&gt;"",ROUND((Dashboard!$R$4/$U500)*VLOOKUP($I500,Dashboard!$Q$9:$R$13,2,FALSE)*IF(ISNUMBER(SEARCH("Duals",$B500)),2,IF(ISNUMBER(SEARCH("Triples",$B500)),3,IF(ISNUMBER(SEARCH("Quads",$B500)),4,1))),2),ROUND(VLOOKUP($I500,Dashboard!$Q$15:$R$20,2,FALSE)*IF($E500="Red",Dashboard!$R$6,IF($E500="Gold",Dashboard!$R$7,Dashboard!$R$5))*IF(ISNUMBER(SEARCH("Duals",$B500)),2,IF(ISNUMBER(SEARCH("Triples",$B500)),3,IF(ISNUMBER(SEARCH("Quads",$B500)),4,1))),2))*IF(IFERROR(VLOOKUP($B500,Dashboard!$Q$28:$S$60,3,FALSE),0)&gt;0,VLOOKUP($B500,Dashboard!$Q$28:$S$60,3,FALSE),1))),0))</f>
        <v>0</v>
      </c>
      <c r="K500" s="2" t="str">
        <f>IF('Base S1'!J100="","",'Base S1'!J100)</f>
        <v/>
      </c>
      <c r="L500" s="2">
        <f t="shared" si="91"/>
        <v>0</v>
      </c>
      <c r="M500" s="2">
        <f t="shared" si="92"/>
        <v>0</v>
      </c>
      <c r="N500" s="2">
        <f t="shared" si="93"/>
        <v>0</v>
      </c>
      <c r="O500" s="2">
        <f t="shared" si="94"/>
        <v>0</v>
      </c>
      <c r="P500" s="112">
        <f t="shared" si="95"/>
        <v>0</v>
      </c>
      <c r="Q500" s="112">
        <f t="shared" si="96"/>
        <v>0</v>
      </c>
      <c r="R500" s="53"/>
      <c r="S500" s="53" t="str">
        <f t="shared" si="97"/>
        <v>Base S1|Printing Plates Parallel - Season 1|99|Printing Plate</v>
      </c>
      <c r="T500" s="57" t="str">
        <f>IF($S500="","",IFERROR(VLOOKUP($S500,'Pop Estimates (Non-#d)'!$N$2:$O$500,2,FALSE),""))</f>
        <v/>
      </c>
      <c r="U500" s="57">
        <f t="shared" si="98"/>
        <v>4</v>
      </c>
      <c r="V500" s="53" t="str">
        <f t="shared" si="99"/>
        <v/>
      </c>
      <c r="W500" s="53" t="str">
        <f t="shared" si="100"/>
        <v/>
      </c>
      <c r="X500" s="53" t="str">
        <f t="shared" si="101"/>
        <v/>
      </c>
      <c r="Y500" s="57" t="str">
        <f>IF($X500="","",IFERROR(VLOOKUP($X500,'Char Popularity'!$A$2:$C$500,2,FALSE),""))</f>
        <v/>
      </c>
      <c r="Z500" s="56">
        <f>IF($X500="",1,IFERROR(VLOOKUP($X500,'Char Popularity'!$A$2:$C$500,3,FALSE),1))</f>
        <v>1</v>
      </c>
      <c r="AA500" s="62">
        <f>IF($H500&lt;&gt;"Y",0,(IF($F500&lt;&gt;"",ROUND(Dashboard!$R$4/$F500,1),IF(AND($I500="Base",$E500="Base"),Dashboard!$R$5,IF(AND($I500="Base",$E500="Red"),Dashboard!$R$6,IF(AND($I500="Base",$E500="Gold"),Dashboard!$R$7,VLOOKUP($I500,Dashboard!$Q$16:$R$21,2,FALSE)))))*VLOOKUP($I500,Dashboard!$Q$9:$R$13,2,FALSE)*IF(AND($I500="Auto",$F500="",OR($B500="Autographs Duals",$B500="Autographs Triples",$B500="Autographs Quads",$B500="Autographs Quads (Inscribed)")),IF($B500="Autographs Duals",2,IF($B500="Autographs Triples",3,4)),1)))</f>
        <v>0</v>
      </c>
      <c r="AB500" s="62">
        <f t="shared" si="102"/>
        <v>0</v>
      </c>
      <c r="AC500" s="62">
        <f t="shared" si="103"/>
        <v>0</v>
      </c>
    </row>
    <row r="501" spans="1:29" ht="42.95" customHeight="1" x14ac:dyDescent="0.25">
      <c r="A501" s="4" t="s">
        <v>17</v>
      </c>
      <c r="B501" s="7" t="s">
        <v>792</v>
      </c>
      <c r="C501" s="2" t="s">
        <v>1499</v>
      </c>
      <c r="D501" s="7" t="s">
        <v>1041</v>
      </c>
      <c r="E501" s="4" t="s">
        <v>829</v>
      </c>
      <c r="F501" s="2">
        <v>4</v>
      </c>
      <c r="G501" s="2" t="s">
        <v>1400</v>
      </c>
      <c r="H501" s="2" t="s">
        <v>1399</v>
      </c>
      <c r="I501" s="4" t="s">
        <v>60</v>
      </c>
      <c r="J501" s="112">
        <f>IF($H501&lt;&gt;"Y",0,ROUND(MIN(Dashboard!$R$24,IF(IFERROR(VLOOKUP($B501,Dashboard!$Q$28:$S$60,2,FALSE),0)&gt;0,IFERROR(VLOOKUP($B501,Dashboard!$Q$28:$S$60,2,FALSE),0),$Z501*IF($U501&lt;&gt;"",ROUND((Dashboard!$R$4/$U501)*VLOOKUP($I501,Dashboard!$Q$9:$R$13,2,FALSE)*IF(ISNUMBER(SEARCH("Duals",$B501)),2,IF(ISNUMBER(SEARCH("Triples",$B501)),3,IF(ISNUMBER(SEARCH("Quads",$B501)),4,1))),2),ROUND(VLOOKUP($I501,Dashboard!$Q$15:$R$20,2,FALSE)*IF($E501="Red",Dashboard!$R$6,IF($E501="Gold",Dashboard!$R$7,Dashboard!$R$5))*IF(ISNUMBER(SEARCH("Duals",$B501)),2,IF(ISNUMBER(SEARCH("Triples",$B501)),3,IF(ISNUMBER(SEARCH("Quads",$B501)),4,1))),2))*IF(IFERROR(VLOOKUP($B501,Dashboard!$Q$28:$S$60,3,FALSE),0)&gt;0,VLOOKUP($B501,Dashboard!$Q$28:$S$60,3,FALSE),1))),0))</f>
        <v>0</v>
      </c>
      <c r="K501" s="2" t="str">
        <f>IF('Base S1'!J101="","",'Base S1'!J101)</f>
        <v/>
      </c>
      <c r="L501" s="2">
        <f t="shared" si="91"/>
        <v>0</v>
      </c>
      <c r="M501" s="2">
        <f t="shared" si="92"/>
        <v>0</v>
      </c>
      <c r="N501" s="2">
        <f t="shared" si="93"/>
        <v>0</v>
      </c>
      <c r="O501" s="2">
        <f t="shared" si="94"/>
        <v>0</v>
      </c>
      <c r="P501" s="112">
        <f t="shared" si="95"/>
        <v>0</v>
      </c>
      <c r="Q501" s="112">
        <f t="shared" si="96"/>
        <v>0</v>
      </c>
      <c r="R501" s="53"/>
      <c r="S501" s="53" t="str">
        <f t="shared" si="97"/>
        <v>Base S1|Printing Plates Parallel - Season 1|100|Printing Plate</v>
      </c>
      <c r="T501" s="57" t="str">
        <f>IF($S501="","",IFERROR(VLOOKUP($S501,'Pop Estimates (Non-#d)'!$N$2:$O$500,2,FALSE),""))</f>
        <v/>
      </c>
      <c r="U501" s="57">
        <f t="shared" si="98"/>
        <v>4</v>
      </c>
      <c r="V501" s="53" t="str">
        <f t="shared" si="99"/>
        <v/>
      </c>
      <c r="W501" s="53" t="str">
        <f t="shared" si="100"/>
        <v/>
      </c>
      <c r="X501" s="53" t="str">
        <f t="shared" si="101"/>
        <v/>
      </c>
      <c r="Y501" s="57" t="str">
        <f>IF($X501="","",IFERROR(VLOOKUP($X501,'Char Popularity'!$A$2:$C$500,2,FALSE),""))</f>
        <v/>
      </c>
      <c r="Z501" s="56">
        <f>IF($X501="",1,IFERROR(VLOOKUP($X501,'Char Popularity'!$A$2:$C$500,3,FALSE),1))</f>
        <v>1</v>
      </c>
      <c r="AA501" s="62">
        <f>IF($H501&lt;&gt;"Y",0,(IF($F501&lt;&gt;"",ROUND(Dashboard!$R$4/$F501,1),IF(AND($I501="Base",$E501="Base"),Dashboard!$R$5,IF(AND($I501="Base",$E501="Red"),Dashboard!$R$6,IF(AND($I501="Base",$E501="Gold"),Dashboard!$R$7,VLOOKUP($I501,Dashboard!$Q$16:$R$21,2,FALSE)))))*VLOOKUP($I501,Dashboard!$Q$9:$R$13,2,FALSE)*IF(AND($I501="Auto",$F501="",OR($B501="Autographs Duals",$B501="Autographs Triples",$B501="Autographs Quads",$B501="Autographs Quads (Inscribed)")),IF($B501="Autographs Duals",2,IF($B501="Autographs Triples",3,4)),1)))</f>
        <v>0</v>
      </c>
      <c r="AB501" s="62">
        <f t="shared" si="102"/>
        <v>0</v>
      </c>
      <c r="AC501" s="62">
        <f t="shared" si="103"/>
        <v>0</v>
      </c>
    </row>
    <row r="502" spans="1:29" ht="28.7" customHeight="1" x14ac:dyDescent="0.25">
      <c r="A502" s="4" t="s">
        <v>17</v>
      </c>
      <c r="B502" s="7" t="s">
        <v>63</v>
      </c>
      <c r="C502" s="2" t="s">
        <v>1398</v>
      </c>
      <c r="D502" s="7" t="s">
        <v>830</v>
      </c>
      <c r="E502" s="4" t="s">
        <v>823</v>
      </c>
      <c r="F502" s="2"/>
      <c r="G502" s="2" t="s">
        <v>1399</v>
      </c>
      <c r="H502" s="2" t="s">
        <v>1400</v>
      </c>
      <c r="I502" s="4" t="s">
        <v>60</v>
      </c>
      <c r="J502" s="112">
        <f>IF($H502&lt;&gt;"Y",0,ROUND(MIN(Dashboard!$R$24,IF(IFERROR(VLOOKUP($B502,Dashboard!$Q$28:$S$60,2,FALSE),0)&gt;0,IFERROR(VLOOKUP($B502,Dashboard!$Q$28:$S$60,2,FALSE),0),$Z502*IF($U502&lt;&gt;"",ROUND((Dashboard!$R$4/$U502)*VLOOKUP($I502,Dashboard!$Q$9:$R$13,2,FALSE)*IF(ISNUMBER(SEARCH("Duals",$B502)),2,IF(ISNUMBER(SEARCH("Triples",$B502)),3,IF(ISNUMBER(SEARCH("Quads",$B502)),4,1))),2),ROUND(VLOOKUP($I502,Dashboard!$Q$15:$R$20,2,FALSE)*IF($E502="Red",Dashboard!$R$6,IF($E502="Gold",Dashboard!$R$7,Dashboard!$R$5))*IF(ISNUMBER(SEARCH("Duals",$B502)),2,IF(ISNUMBER(SEARCH("Triples",$B502)),3,IF(ISNUMBER(SEARCH("Quads",$B502)),4,1))),2))*IF(IFERROR(VLOOKUP($B502,Dashboard!$Q$28:$S$60,3,FALSE),0)&gt;0,VLOOKUP($B502,Dashboard!$Q$28:$S$60,3,FALSE),1))),0))</f>
        <v>2</v>
      </c>
      <c r="K502" s="2" t="str">
        <f>IF('Base S1'!D2="","",'Base S1'!D2)</f>
        <v>h</v>
      </c>
      <c r="L502" s="2">
        <f t="shared" si="91"/>
        <v>1</v>
      </c>
      <c r="M502" s="2">
        <f t="shared" si="92"/>
        <v>0</v>
      </c>
      <c r="N502" s="2">
        <f t="shared" si="93"/>
        <v>1</v>
      </c>
      <c r="O502" s="2">
        <f t="shared" si="94"/>
        <v>0</v>
      </c>
      <c r="P502" s="112">
        <f t="shared" si="95"/>
        <v>2</v>
      </c>
      <c r="Q502" s="112">
        <f t="shared" si="96"/>
        <v>0</v>
      </c>
      <c r="R502" s="53"/>
      <c r="S502" s="53" t="str">
        <f t="shared" si="97"/>
        <v>Base S1|Red Parallel - Season 1|1|Red</v>
      </c>
      <c r="T502" s="57" t="str">
        <f>IF($S502="","",IFERROR(VLOOKUP($S502,'Pop Estimates (Non-#d)'!$N$2:$O$500,2,FALSE),""))</f>
        <v/>
      </c>
      <c r="U502" s="57" t="str">
        <f t="shared" si="98"/>
        <v/>
      </c>
      <c r="V502" s="53" t="str">
        <f t="shared" si="99"/>
        <v/>
      </c>
      <c r="W502" s="53" t="str">
        <f t="shared" si="100"/>
        <v/>
      </c>
      <c r="X502" s="53" t="str">
        <f t="shared" si="101"/>
        <v/>
      </c>
      <c r="Y502" s="57" t="str">
        <f>IF($X502="","",IFERROR(VLOOKUP($X502,'Char Popularity'!$A$2:$C$500,2,FALSE),""))</f>
        <v/>
      </c>
      <c r="Z502" s="56">
        <f>IF($X502="",1,IFERROR(VLOOKUP($X502,'Char Popularity'!$A$2:$C$500,3,FALSE),1))</f>
        <v>1</v>
      </c>
      <c r="AA502" s="62">
        <f>IF($H502&lt;&gt;"Y",0,(IF($F502&lt;&gt;"",ROUND(Dashboard!$R$4/$F502,1),IF(AND($I502="Base",$E502="Base"),Dashboard!$R$5,IF(AND($I502="Base",$E502="Red"),Dashboard!$R$6,IF(AND($I502="Base",$E502="Gold"),Dashboard!$R$7,VLOOKUP($I502,Dashboard!$Q$16:$R$21,2,FALSE)))))*VLOOKUP($I502,Dashboard!$Q$9:$R$13,2,FALSE)*IF(AND($I502="Auto",$F502="",OR($B502="Autographs Duals",$B502="Autographs Triples",$B502="Autographs Quads",$B502="Autographs Quads (Inscribed)")),IF($B502="Autographs Duals",2,IF($B502="Autographs Triples",3,4)),1)))</f>
        <v>2</v>
      </c>
      <c r="AB502" s="62">
        <f t="shared" si="102"/>
        <v>2</v>
      </c>
      <c r="AC502" s="62">
        <f t="shared" si="103"/>
        <v>0</v>
      </c>
    </row>
    <row r="503" spans="1:29" ht="28.7" customHeight="1" x14ac:dyDescent="0.25">
      <c r="A503" s="4" t="s">
        <v>17</v>
      </c>
      <c r="B503" s="7" t="s">
        <v>63</v>
      </c>
      <c r="C503" s="2" t="s">
        <v>1401</v>
      </c>
      <c r="D503" s="7" t="s">
        <v>834</v>
      </c>
      <c r="E503" s="4" t="s">
        <v>823</v>
      </c>
      <c r="F503" s="2"/>
      <c r="G503" s="2" t="s">
        <v>1399</v>
      </c>
      <c r="H503" s="2" t="s">
        <v>1400</v>
      </c>
      <c r="I503" s="4" t="s">
        <v>60</v>
      </c>
      <c r="J503" s="112">
        <f>IF($H503&lt;&gt;"Y",0,ROUND(MIN(Dashboard!$R$24,IF(IFERROR(VLOOKUP($B503,Dashboard!$Q$28:$S$60,2,FALSE),0)&gt;0,IFERROR(VLOOKUP($B503,Dashboard!$Q$28:$S$60,2,FALSE),0),$Z503*IF($U503&lt;&gt;"",ROUND((Dashboard!$R$4/$U503)*VLOOKUP($I503,Dashboard!$Q$9:$R$13,2,FALSE)*IF(ISNUMBER(SEARCH("Duals",$B503)),2,IF(ISNUMBER(SEARCH("Triples",$B503)),3,IF(ISNUMBER(SEARCH("Quads",$B503)),4,1))),2),ROUND(VLOOKUP($I503,Dashboard!$Q$15:$R$20,2,FALSE)*IF($E503="Red",Dashboard!$R$6,IF($E503="Gold",Dashboard!$R$7,Dashboard!$R$5))*IF(ISNUMBER(SEARCH("Duals",$B503)),2,IF(ISNUMBER(SEARCH("Triples",$B503)),3,IF(ISNUMBER(SEARCH("Quads",$B503)),4,1))),2))*IF(IFERROR(VLOOKUP($B503,Dashboard!$Q$28:$S$60,3,FALSE),0)&gt;0,VLOOKUP($B503,Dashboard!$Q$28:$S$60,3,FALSE),1))),0))</f>
        <v>2</v>
      </c>
      <c r="K503" s="2" t="str">
        <f>IF('Base S1'!D3="","",'Base S1'!D3)</f>
        <v>h</v>
      </c>
      <c r="L503" s="2">
        <f t="shared" si="91"/>
        <v>1</v>
      </c>
      <c r="M503" s="2">
        <f t="shared" si="92"/>
        <v>0</v>
      </c>
      <c r="N503" s="2">
        <f t="shared" si="93"/>
        <v>1</v>
      </c>
      <c r="O503" s="2">
        <f t="shared" si="94"/>
        <v>0</v>
      </c>
      <c r="P503" s="112">
        <f t="shared" si="95"/>
        <v>2</v>
      </c>
      <c r="Q503" s="112">
        <f t="shared" si="96"/>
        <v>0</v>
      </c>
      <c r="R503" s="53"/>
      <c r="S503" s="53" t="str">
        <f t="shared" si="97"/>
        <v>Base S1|Red Parallel - Season 1|2|Red</v>
      </c>
      <c r="T503" s="57" t="str">
        <f>IF($S503="","",IFERROR(VLOOKUP($S503,'Pop Estimates (Non-#d)'!$N$2:$O$500,2,FALSE),""))</f>
        <v/>
      </c>
      <c r="U503" s="57" t="str">
        <f t="shared" si="98"/>
        <v/>
      </c>
      <c r="V503" s="53" t="str">
        <f t="shared" si="99"/>
        <v/>
      </c>
      <c r="W503" s="53" t="str">
        <f t="shared" si="100"/>
        <v/>
      </c>
      <c r="X503" s="53" t="str">
        <f t="shared" si="101"/>
        <v/>
      </c>
      <c r="Y503" s="57" t="str">
        <f>IF($X503="","",IFERROR(VLOOKUP($X503,'Char Popularity'!$A$2:$C$500,2,FALSE),""))</f>
        <v/>
      </c>
      <c r="Z503" s="56">
        <f>IF($X503="",1,IFERROR(VLOOKUP($X503,'Char Popularity'!$A$2:$C$500,3,FALSE),1))</f>
        <v>1</v>
      </c>
      <c r="AA503" s="62">
        <f>IF($H503&lt;&gt;"Y",0,(IF($F503&lt;&gt;"",ROUND(Dashboard!$R$4/$F503,1),IF(AND($I503="Base",$E503="Base"),Dashboard!$R$5,IF(AND($I503="Base",$E503="Red"),Dashboard!$R$6,IF(AND($I503="Base",$E503="Gold"),Dashboard!$R$7,VLOOKUP($I503,Dashboard!$Q$16:$R$21,2,FALSE)))))*VLOOKUP($I503,Dashboard!$Q$9:$R$13,2,FALSE)*IF(AND($I503="Auto",$F503="",OR($B503="Autographs Duals",$B503="Autographs Triples",$B503="Autographs Quads",$B503="Autographs Quads (Inscribed)")),IF($B503="Autographs Duals",2,IF($B503="Autographs Triples",3,4)),1)))</f>
        <v>2</v>
      </c>
      <c r="AB503" s="62">
        <f t="shared" si="102"/>
        <v>2</v>
      </c>
      <c r="AC503" s="62">
        <f t="shared" si="103"/>
        <v>0</v>
      </c>
    </row>
    <row r="504" spans="1:29" ht="28.7" customHeight="1" x14ac:dyDescent="0.25">
      <c r="A504" s="4" t="s">
        <v>17</v>
      </c>
      <c r="B504" s="7" t="s">
        <v>63</v>
      </c>
      <c r="C504" s="2" t="s">
        <v>1402</v>
      </c>
      <c r="D504" s="7" t="s">
        <v>837</v>
      </c>
      <c r="E504" s="4" t="s">
        <v>823</v>
      </c>
      <c r="F504" s="2"/>
      <c r="G504" s="2" t="s">
        <v>1399</v>
      </c>
      <c r="H504" s="2" t="s">
        <v>1400</v>
      </c>
      <c r="I504" s="4" t="s">
        <v>60</v>
      </c>
      <c r="J504" s="112">
        <f>IF($H504&lt;&gt;"Y",0,ROUND(MIN(Dashboard!$R$24,IF(IFERROR(VLOOKUP($B504,Dashboard!$Q$28:$S$60,2,FALSE),0)&gt;0,IFERROR(VLOOKUP($B504,Dashboard!$Q$28:$S$60,2,FALSE),0),$Z504*IF($U504&lt;&gt;"",ROUND((Dashboard!$R$4/$U504)*VLOOKUP($I504,Dashboard!$Q$9:$R$13,2,FALSE)*IF(ISNUMBER(SEARCH("Duals",$B504)),2,IF(ISNUMBER(SEARCH("Triples",$B504)),3,IF(ISNUMBER(SEARCH("Quads",$B504)),4,1))),2),ROUND(VLOOKUP($I504,Dashboard!$Q$15:$R$20,2,FALSE)*IF($E504="Red",Dashboard!$R$6,IF($E504="Gold",Dashboard!$R$7,Dashboard!$R$5))*IF(ISNUMBER(SEARCH("Duals",$B504)),2,IF(ISNUMBER(SEARCH("Triples",$B504)),3,IF(ISNUMBER(SEARCH("Quads",$B504)),4,1))),2))*IF(IFERROR(VLOOKUP($B504,Dashboard!$Q$28:$S$60,3,FALSE),0)&gt;0,VLOOKUP($B504,Dashboard!$Q$28:$S$60,3,FALSE),1))),0))</f>
        <v>2</v>
      </c>
      <c r="K504" s="2" t="str">
        <f>IF('Base S1'!D4="","",'Base S1'!D4)</f>
        <v>h</v>
      </c>
      <c r="L504" s="2">
        <f t="shared" si="91"/>
        <v>1</v>
      </c>
      <c r="M504" s="2">
        <f t="shared" si="92"/>
        <v>0</v>
      </c>
      <c r="N504" s="2">
        <f t="shared" si="93"/>
        <v>1</v>
      </c>
      <c r="O504" s="2">
        <f t="shared" si="94"/>
        <v>0</v>
      </c>
      <c r="P504" s="112">
        <f t="shared" si="95"/>
        <v>2</v>
      </c>
      <c r="Q504" s="112">
        <f t="shared" si="96"/>
        <v>0</v>
      </c>
      <c r="R504" s="53"/>
      <c r="S504" s="53" t="str">
        <f t="shared" si="97"/>
        <v>Base S1|Red Parallel - Season 1|3|Red</v>
      </c>
      <c r="T504" s="57" t="str">
        <f>IF($S504="","",IFERROR(VLOOKUP($S504,'Pop Estimates (Non-#d)'!$N$2:$O$500,2,FALSE),""))</f>
        <v/>
      </c>
      <c r="U504" s="57" t="str">
        <f t="shared" si="98"/>
        <v/>
      </c>
      <c r="V504" s="53" t="str">
        <f t="shared" si="99"/>
        <v/>
      </c>
      <c r="W504" s="53" t="str">
        <f t="shared" si="100"/>
        <v/>
      </c>
      <c r="X504" s="53" t="str">
        <f t="shared" si="101"/>
        <v/>
      </c>
      <c r="Y504" s="57" t="str">
        <f>IF($X504="","",IFERROR(VLOOKUP($X504,'Char Popularity'!$A$2:$C$500,2,FALSE),""))</f>
        <v/>
      </c>
      <c r="Z504" s="56">
        <f>IF($X504="",1,IFERROR(VLOOKUP($X504,'Char Popularity'!$A$2:$C$500,3,FALSE),1))</f>
        <v>1</v>
      </c>
      <c r="AA504" s="62">
        <f>IF($H504&lt;&gt;"Y",0,(IF($F504&lt;&gt;"",ROUND(Dashboard!$R$4/$F504,1),IF(AND($I504="Base",$E504="Base"),Dashboard!$R$5,IF(AND($I504="Base",$E504="Red"),Dashboard!$R$6,IF(AND($I504="Base",$E504="Gold"),Dashboard!$R$7,VLOOKUP($I504,Dashboard!$Q$16:$R$21,2,FALSE)))))*VLOOKUP($I504,Dashboard!$Q$9:$R$13,2,FALSE)*IF(AND($I504="Auto",$F504="",OR($B504="Autographs Duals",$B504="Autographs Triples",$B504="Autographs Quads",$B504="Autographs Quads (Inscribed)")),IF($B504="Autographs Duals",2,IF($B504="Autographs Triples",3,4)),1)))</f>
        <v>2</v>
      </c>
      <c r="AB504" s="62">
        <f t="shared" si="102"/>
        <v>2</v>
      </c>
      <c r="AC504" s="62">
        <f t="shared" si="103"/>
        <v>0</v>
      </c>
    </row>
    <row r="505" spans="1:29" ht="28.7" customHeight="1" x14ac:dyDescent="0.25">
      <c r="A505" s="4" t="s">
        <v>17</v>
      </c>
      <c r="B505" s="7" t="s">
        <v>63</v>
      </c>
      <c r="C505" s="2" t="s">
        <v>1403</v>
      </c>
      <c r="D505" s="7" t="s">
        <v>839</v>
      </c>
      <c r="E505" s="4" t="s">
        <v>823</v>
      </c>
      <c r="F505" s="2"/>
      <c r="G505" s="2" t="s">
        <v>1399</v>
      </c>
      <c r="H505" s="2" t="s">
        <v>1400</v>
      </c>
      <c r="I505" s="4" t="s">
        <v>60</v>
      </c>
      <c r="J505" s="112">
        <f>IF($H505&lt;&gt;"Y",0,ROUND(MIN(Dashboard!$R$24,IF(IFERROR(VLOOKUP($B505,Dashboard!$Q$28:$S$60,2,FALSE),0)&gt;0,IFERROR(VLOOKUP($B505,Dashboard!$Q$28:$S$60,2,FALSE),0),$Z505*IF($U505&lt;&gt;"",ROUND((Dashboard!$R$4/$U505)*VLOOKUP($I505,Dashboard!$Q$9:$R$13,2,FALSE)*IF(ISNUMBER(SEARCH("Duals",$B505)),2,IF(ISNUMBER(SEARCH("Triples",$B505)),3,IF(ISNUMBER(SEARCH("Quads",$B505)),4,1))),2),ROUND(VLOOKUP($I505,Dashboard!$Q$15:$R$20,2,FALSE)*IF($E505="Red",Dashboard!$R$6,IF($E505="Gold",Dashboard!$R$7,Dashboard!$R$5))*IF(ISNUMBER(SEARCH("Duals",$B505)),2,IF(ISNUMBER(SEARCH("Triples",$B505)),3,IF(ISNUMBER(SEARCH("Quads",$B505)),4,1))),2))*IF(IFERROR(VLOOKUP($B505,Dashboard!$Q$28:$S$60,3,FALSE),0)&gt;0,VLOOKUP($B505,Dashboard!$Q$28:$S$60,3,FALSE),1))),0))</f>
        <v>2</v>
      </c>
      <c r="K505" s="2" t="str">
        <f>IF('Base S1'!D5="","",'Base S1'!D5)</f>
        <v>h</v>
      </c>
      <c r="L505" s="2">
        <f t="shared" si="91"/>
        <v>1</v>
      </c>
      <c r="M505" s="2">
        <f t="shared" si="92"/>
        <v>0</v>
      </c>
      <c r="N505" s="2">
        <f t="shared" si="93"/>
        <v>1</v>
      </c>
      <c r="O505" s="2">
        <f t="shared" si="94"/>
        <v>0</v>
      </c>
      <c r="P505" s="112">
        <f t="shared" si="95"/>
        <v>2</v>
      </c>
      <c r="Q505" s="112">
        <f t="shared" si="96"/>
        <v>0</v>
      </c>
      <c r="R505" s="53"/>
      <c r="S505" s="53" t="str">
        <f t="shared" si="97"/>
        <v>Base S1|Red Parallel - Season 1|4|Red</v>
      </c>
      <c r="T505" s="57" t="str">
        <f>IF($S505="","",IFERROR(VLOOKUP($S505,'Pop Estimates (Non-#d)'!$N$2:$O$500,2,FALSE),""))</f>
        <v/>
      </c>
      <c r="U505" s="57" t="str">
        <f t="shared" si="98"/>
        <v/>
      </c>
      <c r="V505" s="53" t="str">
        <f t="shared" si="99"/>
        <v/>
      </c>
      <c r="W505" s="53" t="str">
        <f t="shared" si="100"/>
        <v/>
      </c>
      <c r="X505" s="53" t="str">
        <f t="shared" si="101"/>
        <v/>
      </c>
      <c r="Y505" s="57" t="str">
        <f>IF($X505="","",IFERROR(VLOOKUP($X505,'Char Popularity'!$A$2:$C$500,2,FALSE),""))</f>
        <v/>
      </c>
      <c r="Z505" s="56">
        <f>IF($X505="",1,IFERROR(VLOOKUP($X505,'Char Popularity'!$A$2:$C$500,3,FALSE),1))</f>
        <v>1</v>
      </c>
      <c r="AA505" s="62">
        <f>IF($H505&lt;&gt;"Y",0,(IF($F505&lt;&gt;"",ROUND(Dashboard!$R$4/$F505,1),IF(AND($I505="Base",$E505="Base"),Dashboard!$R$5,IF(AND($I505="Base",$E505="Red"),Dashboard!$R$6,IF(AND($I505="Base",$E505="Gold"),Dashboard!$R$7,VLOOKUP($I505,Dashboard!$Q$16:$R$21,2,FALSE)))))*VLOOKUP($I505,Dashboard!$Q$9:$R$13,2,FALSE)*IF(AND($I505="Auto",$F505="",OR($B505="Autographs Duals",$B505="Autographs Triples",$B505="Autographs Quads",$B505="Autographs Quads (Inscribed)")),IF($B505="Autographs Duals",2,IF($B505="Autographs Triples",3,4)),1)))</f>
        <v>2</v>
      </c>
      <c r="AB505" s="62">
        <f t="shared" si="102"/>
        <v>2</v>
      </c>
      <c r="AC505" s="62">
        <f t="shared" si="103"/>
        <v>0</v>
      </c>
    </row>
    <row r="506" spans="1:29" ht="28.7" customHeight="1" x14ac:dyDescent="0.25">
      <c r="A506" s="4" t="s">
        <v>17</v>
      </c>
      <c r="B506" s="7" t="s">
        <v>63</v>
      </c>
      <c r="C506" s="2" t="s">
        <v>1404</v>
      </c>
      <c r="D506" s="7" t="s">
        <v>841</v>
      </c>
      <c r="E506" s="4" t="s">
        <v>823</v>
      </c>
      <c r="F506" s="2"/>
      <c r="G506" s="2" t="s">
        <v>1399</v>
      </c>
      <c r="H506" s="2" t="s">
        <v>1400</v>
      </c>
      <c r="I506" s="4" t="s">
        <v>60</v>
      </c>
      <c r="J506" s="112">
        <f>IF($H506&lt;&gt;"Y",0,ROUND(MIN(Dashboard!$R$24,IF(IFERROR(VLOOKUP($B506,Dashboard!$Q$28:$S$60,2,FALSE),0)&gt;0,IFERROR(VLOOKUP($B506,Dashboard!$Q$28:$S$60,2,FALSE),0),$Z506*IF($U506&lt;&gt;"",ROUND((Dashboard!$R$4/$U506)*VLOOKUP($I506,Dashboard!$Q$9:$R$13,2,FALSE)*IF(ISNUMBER(SEARCH("Duals",$B506)),2,IF(ISNUMBER(SEARCH("Triples",$B506)),3,IF(ISNUMBER(SEARCH("Quads",$B506)),4,1))),2),ROUND(VLOOKUP($I506,Dashboard!$Q$15:$R$20,2,FALSE)*IF($E506="Red",Dashboard!$R$6,IF($E506="Gold",Dashboard!$R$7,Dashboard!$R$5))*IF(ISNUMBER(SEARCH("Duals",$B506)),2,IF(ISNUMBER(SEARCH("Triples",$B506)),3,IF(ISNUMBER(SEARCH("Quads",$B506)),4,1))),2))*IF(IFERROR(VLOOKUP($B506,Dashboard!$Q$28:$S$60,3,FALSE),0)&gt;0,VLOOKUP($B506,Dashboard!$Q$28:$S$60,3,FALSE),1))),0))</f>
        <v>2</v>
      </c>
      <c r="K506" s="2" t="str">
        <f>IF('Base S1'!D6="","",'Base S1'!D6)</f>
        <v>h</v>
      </c>
      <c r="L506" s="2">
        <f t="shared" si="91"/>
        <v>1</v>
      </c>
      <c r="M506" s="2">
        <f t="shared" si="92"/>
        <v>0</v>
      </c>
      <c r="N506" s="2">
        <f t="shared" si="93"/>
        <v>1</v>
      </c>
      <c r="O506" s="2">
        <f t="shared" si="94"/>
        <v>0</v>
      </c>
      <c r="P506" s="112">
        <f t="shared" si="95"/>
        <v>2</v>
      </c>
      <c r="Q506" s="112">
        <f t="shared" si="96"/>
        <v>0</v>
      </c>
      <c r="R506" s="53"/>
      <c r="S506" s="53" t="str">
        <f t="shared" si="97"/>
        <v>Base S1|Red Parallel - Season 1|5|Red</v>
      </c>
      <c r="T506" s="57" t="str">
        <f>IF($S506="","",IFERROR(VLOOKUP($S506,'Pop Estimates (Non-#d)'!$N$2:$O$500,2,FALSE),""))</f>
        <v/>
      </c>
      <c r="U506" s="57" t="str">
        <f t="shared" si="98"/>
        <v/>
      </c>
      <c r="V506" s="53" t="str">
        <f t="shared" si="99"/>
        <v/>
      </c>
      <c r="W506" s="53" t="str">
        <f t="shared" si="100"/>
        <v/>
      </c>
      <c r="X506" s="53" t="str">
        <f t="shared" si="101"/>
        <v/>
      </c>
      <c r="Y506" s="57" t="str">
        <f>IF($X506="","",IFERROR(VLOOKUP($X506,'Char Popularity'!$A$2:$C$500,2,FALSE),""))</f>
        <v/>
      </c>
      <c r="Z506" s="56">
        <f>IF($X506="",1,IFERROR(VLOOKUP($X506,'Char Popularity'!$A$2:$C$500,3,FALSE),1))</f>
        <v>1</v>
      </c>
      <c r="AA506" s="62">
        <f>IF($H506&lt;&gt;"Y",0,(IF($F506&lt;&gt;"",ROUND(Dashboard!$R$4/$F506,1),IF(AND($I506="Base",$E506="Base"),Dashboard!$R$5,IF(AND($I506="Base",$E506="Red"),Dashboard!$R$6,IF(AND($I506="Base",$E506="Gold"),Dashboard!$R$7,VLOOKUP($I506,Dashboard!$Q$16:$R$21,2,FALSE)))))*VLOOKUP($I506,Dashboard!$Q$9:$R$13,2,FALSE)*IF(AND($I506="Auto",$F506="",OR($B506="Autographs Duals",$B506="Autographs Triples",$B506="Autographs Quads",$B506="Autographs Quads (Inscribed)")),IF($B506="Autographs Duals",2,IF($B506="Autographs Triples",3,4)),1)))</f>
        <v>2</v>
      </c>
      <c r="AB506" s="62">
        <f t="shared" si="102"/>
        <v>2</v>
      </c>
      <c r="AC506" s="62">
        <f t="shared" si="103"/>
        <v>0</v>
      </c>
    </row>
    <row r="507" spans="1:29" ht="28.7" customHeight="1" x14ac:dyDescent="0.25">
      <c r="A507" s="4" t="s">
        <v>17</v>
      </c>
      <c r="B507" s="7" t="s">
        <v>63</v>
      </c>
      <c r="C507" s="2" t="s">
        <v>1405</v>
      </c>
      <c r="D507" s="7" t="s">
        <v>843</v>
      </c>
      <c r="E507" s="4" t="s">
        <v>823</v>
      </c>
      <c r="F507" s="2"/>
      <c r="G507" s="2" t="s">
        <v>1399</v>
      </c>
      <c r="H507" s="2" t="s">
        <v>1400</v>
      </c>
      <c r="I507" s="4" t="s">
        <v>60</v>
      </c>
      <c r="J507" s="112">
        <f>IF($H507&lt;&gt;"Y",0,ROUND(MIN(Dashboard!$R$24,IF(IFERROR(VLOOKUP($B507,Dashboard!$Q$28:$S$60,2,FALSE),0)&gt;0,IFERROR(VLOOKUP($B507,Dashboard!$Q$28:$S$60,2,FALSE),0),$Z507*IF($U507&lt;&gt;"",ROUND((Dashboard!$R$4/$U507)*VLOOKUP($I507,Dashboard!$Q$9:$R$13,2,FALSE)*IF(ISNUMBER(SEARCH("Duals",$B507)),2,IF(ISNUMBER(SEARCH("Triples",$B507)),3,IF(ISNUMBER(SEARCH("Quads",$B507)),4,1))),2),ROUND(VLOOKUP($I507,Dashboard!$Q$15:$R$20,2,FALSE)*IF($E507="Red",Dashboard!$R$6,IF($E507="Gold",Dashboard!$R$7,Dashboard!$R$5))*IF(ISNUMBER(SEARCH("Duals",$B507)),2,IF(ISNUMBER(SEARCH("Triples",$B507)),3,IF(ISNUMBER(SEARCH("Quads",$B507)),4,1))),2))*IF(IFERROR(VLOOKUP($B507,Dashboard!$Q$28:$S$60,3,FALSE),0)&gt;0,VLOOKUP($B507,Dashboard!$Q$28:$S$60,3,FALSE),1))),0))</f>
        <v>2</v>
      </c>
      <c r="K507" s="2" t="str">
        <f>IF('Base S1'!D7="","",'Base S1'!D7)</f>
        <v>h</v>
      </c>
      <c r="L507" s="2">
        <f t="shared" si="91"/>
        <v>1</v>
      </c>
      <c r="M507" s="2">
        <f t="shared" si="92"/>
        <v>0</v>
      </c>
      <c r="N507" s="2">
        <f t="shared" si="93"/>
        <v>1</v>
      </c>
      <c r="O507" s="2">
        <f t="shared" si="94"/>
        <v>0</v>
      </c>
      <c r="P507" s="112">
        <f t="shared" si="95"/>
        <v>2</v>
      </c>
      <c r="Q507" s="112">
        <f t="shared" si="96"/>
        <v>0</v>
      </c>
      <c r="R507" s="53"/>
      <c r="S507" s="53" t="str">
        <f t="shared" si="97"/>
        <v>Base S1|Red Parallel - Season 1|6|Red</v>
      </c>
      <c r="T507" s="57" t="str">
        <f>IF($S507="","",IFERROR(VLOOKUP($S507,'Pop Estimates (Non-#d)'!$N$2:$O$500,2,FALSE),""))</f>
        <v/>
      </c>
      <c r="U507" s="57" t="str">
        <f t="shared" si="98"/>
        <v/>
      </c>
      <c r="V507" s="53" t="str">
        <f t="shared" si="99"/>
        <v/>
      </c>
      <c r="W507" s="53" t="str">
        <f t="shared" si="100"/>
        <v/>
      </c>
      <c r="X507" s="53" t="str">
        <f t="shared" si="101"/>
        <v/>
      </c>
      <c r="Y507" s="57" t="str">
        <f>IF($X507="","",IFERROR(VLOOKUP($X507,'Char Popularity'!$A$2:$C$500,2,FALSE),""))</f>
        <v/>
      </c>
      <c r="Z507" s="56">
        <f>IF($X507="",1,IFERROR(VLOOKUP($X507,'Char Popularity'!$A$2:$C$500,3,FALSE),1))</f>
        <v>1</v>
      </c>
      <c r="AA507" s="62">
        <f>IF($H507&lt;&gt;"Y",0,(IF($F507&lt;&gt;"",ROUND(Dashboard!$R$4/$F507,1),IF(AND($I507="Base",$E507="Base"),Dashboard!$R$5,IF(AND($I507="Base",$E507="Red"),Dashboard!$R$6,IF(AND($I507="Base",$E507="Gold"),Dashboard!$R$7,VLOOKUP($I507,Dashboard!$Q$16:$R$21,2,FALSE)))))*VLOOKUP($I507,Dashboard!$Q$9:$R$13,2,FALSE)*IF(AND($I507="Auto",$F507="",OR($B507="Autographs Duals",$B507="Autographs Triples",$B507="Autographs Quads",$B507="Autographs Quads (Inscribed)")),IF($B507="Autographs Duals",2,IF($B507="Autographs Triples",3,4)),1)))</f>
        <v>2</v>
      </c>
      <c r="AB507" s="62">
        <f t="shared" si="102"/>
        <v>2</v>
      </c>
      <c r="AC507" s="62">
        <f t="shared" si="103"/>
        <v>0</v>
      </c>
    </row>
    <row r="508" spans="1:29" ht="28.7" customHeight="1" x14ac:dyDescent="0.25">
      <c r="A508" s="4" t="s">
        <v>17</v>
      </c>
      <c r="B508" s="7" t="s">
        <v>63</v>
      </c>
      <c r="C508" s="2" t="s">
        <v>1406</v>
      </c>
      <c r="D508" s="7" t="s">
        <v>845</v>
      </c>
      <c r="E508" s="4" t="s">
        <v>823</v>
      </c>
      <c r="F508" s="2"/>
      <c r="G508" s="2" t="s">
        <v>1399</v>
      </c>
      <c r="H508" s="2" t="s">
        <v>1400</v>
      </c>
      <c r="I508" s="4" t="s">
        <v>60</v>
      </c>
      <c r="J508" s="112">
        <f>IF($H508&lt;&gt;"Y",0,ROUND(MIN(Dashboard!$R$24,IF(IFERROR(VLOOKUP($B508,Dashboard!$Q$28:$S$60,2,FALSE),0)&gt;0,IFERROR(VLOOKUP($B508,Dashboard!$Q$28:$S$60,2,FALSE),0),$Z508*IF($U508&lt;&gt;"",ROUND((Dashboard!$R$4/$U508)*VLOOKUP($I508,Dashboard!$Q$9:$R$13,2,FALSE)*IF(ISNUMBER(SEARCH("Duals",$B508)),2,IF(ISNUMBER(SEARCH("Triples",$B508)),3,IF(ISNUMBER(SEARCH("Quads",$B508)),4,1))),2),ROUND(VLOOKUP($I508,Dashboard!$Q$15:$R$20,2,FALSE)*IF($E508="Red",Dashboard!$R$6,IF($E508="Gold",Dashboard!$R$7,Dashboard!$R$5))*IF(ISNUMBER(SEARCH("Duals",$B508)),2,IF(ISNUMBER(SEARCH("Triples",$B508)),3,IF(ISNUMBER(SEARCH("Quads",$B508)),4,1))),2))*IF(IFERROR(VLOOKUP($B508,Dashboard!$Q$28:$S$60,3,FALSE),0)&gt;0,VLOOKUP($B508,Dashboard!$Q$28:$S$60,3,FALSE),1))),0))</f>
        <v>2</v>
      </c>
      <c r="K508" s="2" t="str">
        <f>IF('Base S1'!D8="","",'Base S1'!D8)</f>
        <v>h</v>
      </c>
      <c r="L508" s="2">
        <f t="shared" si="91"/>
        <v>1</v>
      </c>
      <c r="M508" s="2">
        <f t="shared" si="92"/>
        <v>0</v>
      </c>
      <c r="N508" s="2">
        <f t="shared" si="93"/>
        <v>1</v>
      </c>
      <c r="O508" s="2">
        <f t="shared" si="94"/>
        <v>0</v>
      </c>
      <c r="P508" s="112">
        <f t="shared" si="95"/>
        <v>2</v>
      </c>
      <c r="Q508" s="112">
        <f t="shared" si="96"/>
        <v>0</v>
      </c>
      <c r="R508" s="53"/>
      <c r="S508" s="53" t="str">
        <f t="shared" si="97"/>
        <v>Base S1|Red Parallel - Season 1|7|Red</v>
      </c>
      <c r="T508" s="57" t="str">
        <f>IF($S508="","",IFERROR(VLOOKUP($S508,'Pop Estimates (Non-#d)'!$N$2:$O$500,2,FALSE),""))</f>
        <v/>
      </c>
      <c r="U508" s="57" t="str">
        <f t="shared" si="98"/>
        <v/>
      </c>
      <c r="V508" s="53" t="str">
        <f t="shared" si="99"/>
        <v/>
      </c>
      <c r="W508" s="53" t="str">
        <f t="shared" si="100"/>
        <v/>
      </c>
      <c r="X508" s="53" t="str">
        <f t="shared" si="101"/>
        <v/>
      </c>
      <c r="Y508" s="57" t="str">
        <f>IF($X508="","",IFERROR(VLOOKUP($X508,'Char Popularity'!$A$2:$C$500,2,FALSE),""))</f>
        <v/>
      </c>
      <c r="Z508" s="56">
        <f>IF($X508="",1,IFERROR(VLOOKUP($X508,'Char Popularity'!$A$2:$C$500,3,FALSE),1))</f>
        <v>1</v>
      </c>
      <c r="AA508" s="62">
        <f>IF($H508&lt;&gt;"Y",0,(IF($F508&lt;&gt;"",ROUND(Dashboard!$R$4/$F508,1),IF(AND($I508="Base",$E508="Base"),Dashboard!$R$5,IF(AND($I508="Base",$E508="Red"),Dashboard!$R$6,IF(AND($I508="Base",$E508="Gold"),Dashboard!$R$7,VLOOKUP($I508,Dashboard!$Q$16:$R$21,2,FALSE)))))*VLOOKUP($I508,Dashboard!$Q$9:$R$13,2,FALSE)*IF(AND($I508="Auto",$F508="",OR($B508="Autographs Duals",$B508="Autographs Triples",$B508="Autographs Quads",$B508="Autographs Quads (Inscribed)")),IF($B508="Autographs Duals",2,IF($B508="Autographs Triples",3,4)),1)))</f>
        <v>2</v>
      </c>
      <c r="AB508" s="62">
        <f t="shared" si="102"/>
        <v>2</v>
      </c>
      <c r="AC508" s="62">
        <f t="shared" si="103"/>
        <v>0</v>
      </c>
    </row>
    <row r="509" spans="1:29" ht="28.7" customHeight="1" x14ac:dyDescent="0.25">
      <c r="A509" s="4" t="s">
        <v>17</v>
      </c>
      <c r="B509" s="7" t="s">
        <v>63</v>
      </c>
      <c r="C509" s="2" t="s">
        <v>1407</v>
      </c>
      <c r="D509" s="7" t="s">
        <v>848</v>
      </c>
      <c r="E509" s="4" t="s">
        <v>823</v>
      </c>
      <c r="F509" s="2"/>
      <c r="G509" s="2" t="s">
        <v>1399</v>
      </c>
      <c r="H509" s="2" t="s">
        <v>1400</v>
      </c>
      <c r="I509" s="4" t="s">
        <v>60</v>
      </c>
      <c r="J509" s="112">
        <f>IF($H509&lt;&gt;"Y",0,ROUND(MIN(Dashboard!$R$24,IF(IFERROR(VLOOKUP($B509,Dashboard!$Q$28:$S$60,2,FALSE),0)&gt;0,IFERROR(VLOOKUP($B509,Dashboard!$Q$28:$S$60,2,FALSE),0),$Z509*IF($U509&lt;&gt;"",ROUND((Dashboard!$R$4/$U509)*VLOOKUP($I509,Dashboard!$Q$9:$R$13,2,FALSE)*IF(ISNUMBER(SEARCH("Duals",$B509)),2,IF(ISNUMBER(SEARCH("Triples",$B509)),3,IF(ISNUMBER(SEARCH("Quads",$B509)),4,1))),2),ROUND(VLOOKUP($I509,Dashboard!$Q$15:$R$20,2,FALSE)*IF($E509="Red",Dashboard!$R$6,IF($E509="Gold",Dashboard!$R$7,Dashboard!$R$5))*IF(ISNUMBER(SEARCH("Duals",$B509)),2,IF(ISNUMBER(SEARCH("Triples",$B509)),3,IF(ISNUMBER(SEARCH("Quads",$B509)),4,1))),2))*IF(IFERROR(VLOOKUP($B509,Dashboard!$Q$28:$S$60,3,FALSE),0)&gt;0,VLOOKUP($B509,Dashboard!$Q$28:$S$60,3,FALSE),1))),0))</f>
        <v>2</v>
      </c>
      <c r="K509" s="2" t="str">
        <f>IF('Base S1'!D9="","",'Base S1'!D9)</f>
        <v>h</v>
      </c>
      <c r="L509" s="2">
        <f t="shared" si="91"/>
        <v>1</v>
      </c>
      <c r="M509" s="2">
        <f t="shared" si="92"/>
        <v>0</v>
      </c>
      <c r="N509" s="2">
        <f t="shared" si="93"/>
        <v>1</v>
      </c>
      <c r="O509" s="2">
        <f t="shared" si="94"/>
        <v>0</v>
      </c>
      <c r="P509" s="112">
        <f t="shared" si="95"/>
        <v>2</v>
      </c>
      <c r="Q509" s="112">
        <f t="shared" si="96"/>
        <v>0</v>
      </c>
      <c r="R509" s="53"/>
      <c r="S509" s="53" t="str">
        <f t="shared" si="97"/>
        <v>Base S1|Red Parallel - Season 1|8|Red</v>
      </c>
      <c r="T509" s="57" t="str">
        <f>IF($S509="","",IFERROR(VLOOKUP($S509,'Pop Estimates (Non-#d)'!$N$2:$O$500,2,FALSE),""))</f>
        <v/>
      </c>
      <c r="U509" s="57" t="str">
        <f t="shared" si="98"/>
        <v/>
      </c>
      <c r="V509" s="53" t="str">
        <f t="shared" si="99"/>
        <v/>
      </c>
      <c r="W509" s="53" t="str">
        <f t="shared" si="100"/>
        <v/>
      </c>
      <c r="X509" s="53" t="str">
        <f t="shared" si="101"/>
        <v/>
      </c>
      <c r="Y509" s="57" t="str">
        <f>IF($X509="","",IFERROR(VLOOKUP($X509,'Char Popularity'!$A$2:$C$500,2,FALSE),""))</f>
        <v/>
      </c>
      <c r="Z509" s="56">
        <f>IF($X509="",1,IFERROR(VLOOKUP($X509,'Char Popularity'!$A$2:$C$500,3,FALSE),1))</f>
        <v>1</v>
      </c>
      <c r="AA509" s="62">
        <f>IF($H509&lt;&gt;"Y",0,(IF($F509&lt;&gt;"",ROUND(Dashboard!$R$4/$F509,1),IF(AND($I509="Base",$E509="Base"),Dashboard!$R$5,IF(AND($I509="Base",$E509="Red"),Dashboard!$R$6,IF(AND($I509="Base",$E509="Gold"),Dashboard!$R$7,VLOOKUP($I509,Dashboard!$Q$16:$R$21,2,FALSE)))))*VLOOKUP($I509,Dashboard!$Q$9:$R$13,2,FALSE)*IF(AND($I509="Auto",$F509="",OR($B509="Autographs Duals",$B509="Autographs Triples",$B509="Autographs Quads",$B509="Autographs Quads (Inscribed)")),IF($B509="Autographs Duals",2,IF($B509="Autographs Triples",3,4)),1)))</f>
        <v>2</v>
      </c>
      <c r="AB509" s="62">
        <f t="shared" si="102"/>
        <v>2</v>
      </c>
      <c r="AC509" s="62">
        <f t="shared" si="103"/>
        <v>0</v>
      </c>
    </row>
    <row r="510" spans="1:29" ht="28.7" customHeight="1" x14ac:dyDescent="0.25">
      <c r="A510" s="4" t="s">
        <v>17</v>
      </c>
      <c r="B510" s="7" t="s">
        <v>63</v>
      </c>
      <c r="C510" s="2" t="s">
        <v>1408</v>
      </c>
      <c r="D510" s="7" t="s">
        <v>850</v>
      </c>
      <c r="E510" s="4" t="s">
        <v>823</v>
      </c>
      <c r="F510" s="2"/>
      <c r="G510" s="2" t="s">
        <v>1399</v>
      </c>
      <c r="H510" s="2" t="s">
        <v>1400</v>
      </c>
      <c r="I510" s="4" t="s">
        <v>60</v>
      </c>
      <c r="J510" s="112">
        <f>IF($H510&lt;&gt;"Y",0,ROUND(MIN(Dashboard!$R$24,IF(IFERROR(VLOOKUP($B510,Dashboard!$Q$28:$S$60,2,FALSE),0)&gt;0,IFERROR(VLOOKUP($B510,Dashboard!$Q$28:$S$60,2,FALSE),0),$Z510*IF($U510&lt;&gt;"",ROUND((Dashboard!$R$4/$U510)*VLOOKUP($I510,Dashboard!$Q$9:$R$13,2,FALSE)*IF(ISNUMBER(SEARCH("Duals",$B510)),2,IF(ISNUMBER(SEARCH("Triples",$B510)),3,IF(ISNUMBER(SEARCH("Quads",$B510)),4,1))),2),ROUND(VLOOKUP($I510,Dashboard!$Q$15:$R$20,2,FALSE)*IF($E510="Red",Dashboard!$R$6,IF($E510="Gold",Dashboard!$R$7,Dashboard!$R$5))*IF(ISNUMBER(SEARCH("Duals",$B510)),2,IF(ISNUMBER(SEARCH("Triples",$B510)),3,IF(ISNUMBER(SEARCH("Quads",$B510)),4,1))),2))*IF(IFERROR(VLOOKUP($B510,Dashboard!$Q$28:$S$60,3,FALSE),0)&gt;0,VLOOKUP($B510,Dashboard!$Q$28:$S$60,3,FALSE),1))),0))</f>
        <v>2</v>
      </c>
      <c r="K510" s="2" t="str">
        <f>IF('Base S1'!D10="","",'Base S1'!D10)</f>
        <v>h</v>
      </c>
      <c r="L510" s="2">
        <f t="shared" si="91"/>
        <v>1</v>
      </c>
      <c r="M510" s="2">
        <f t="shared" si="92"/>
        <v>0</v>
      </c>
      <c r="N510" s="2">
        <f t="shared" si="93"/>
        <v>1</v>
      </c>
      <c r="O510" s="2">
        <f t="shared" si="94"/>
        <v>0</v>
      </c>
      <c r="P510" s="112">
        <f t="shared" si="95"/>
        <v>2</v>
      </c>
      <c r="Q510" s="112">
        <f t="shared" si="96"/>
        <v>0</v>
      </c>
      <c r="R510" s="53"/>
      <c r="S510" s="53" t="str">
        <f t="shared" si="97"/>
        <v>Base S1|Red Parallel - Season 1|9|Red</v>
      </c>
      <c r="T510" s="57" t="str">
        <f>IF($S510="","",IFERROR(VLOOKUP($S510,'Pop Estimates (Non-#d)'!$N$2:$O$500,2,FALSE),""))</f>
        <v/>
      </c>
      <c r="U510" s="57" t="str">
        <f t="shared" si="98"/>
        <v/>
      </c>
      <c r="V510" s="53" t="str">
        <f t="shared" si="99"/>
        <v/>
      </c>
      <c r="W510" s="53" t="str">
        <f t="shared" si="100"/>
        <v/>
      </c>
      <c r="X510" s="53" t="str">
        <f t="shared" si="101"/>
        <v/>
      </c>
      <c r="Y510" s="57" t="str">
        <f>IF($X510="","",IFERROR(VLOOKUP($X510,'Char Popularity'!$A$2:$C$500,2,FALSE),""))</f>
        <v/>
      </c>
      <c r="Z510" s="56">
        <f>IF($X510="",1,IFERROR(VLOOKUP($X510,'Char Popularity'!$A$2:$C$500,3,FALSE),1))</f>
        <v>1</v>
      </c>
      <c r="AA510" s="62">
        <f>IF($H510&lt;&gt;"Y",0,(IF($F510&lt;&gt;"",ROUND(Dashboard!$R$4/$F510,1),IF(AND($I510="Base",$E510="Base"),Dashboard!$R$5,IF(AND($I510="Base",$E510="Red"),Dashboard!$R$6,IF(AND($I510="Base",$E510="Gold"),Dashboard!$R$7,VLOOKUP($I510,Dashboard!$Q$16:$R$21,2,FALSE)))))*VLOOKUP($I510,Dashboard!$Q$9:$R$13,2,FALSE)*IF(AND($I510="Auto",$F510="",OR($B510="Autographs Duals",$B510="Autographs Triples",$B510="Autographs Quads",$B510="Autographs Quads (Inscribed)")),IF($B510="Autographs Duals",2,IF($B510="Autographs Triples",3,4)),1)))</f>
        <v>2</v>
      </c>
      <c r="AB510" s="62">
        <f t="shared" si="102"/>
        <v>2</v>
      </c>
      <c r="AC510" s="62">
        <f t="shared" si="103"/>
        <v>0</v>
      </c>
    </row>
    <row r="511" spans="1:29" ht="28.7" customHeight="1" x14ac:dyDescent="0.25">
      <c r="A511" s="4" t="s">
        <v>17</v>
      </c>
      <c r="B511" s="7" t="s">
        <v>63</v>
      </c>
      <c r="C511" s="2" t="s">
        <v>1409</v>
      </c>
      <c r="D511" s="7" t="s">
        <v>853</v>
      </c>
      <c r="E511" s="4" t="s">
        <v>823</v>
      </c>
      <c r="F511" s="2"/>
      <c r="G511" s="2" t="s">
        <v>1399</v>
      </c>
      <c r="H511" s="2" t="s">
        <v>1400</v>
      </c>
      <c r="I511" s="4" t="s">
        <v>60</v>
      </c>
      <c r="J511" s="112">
        <f>IF($H511&lt;&gt;"Y",0,ROUND(MIN(Dashboard!$R$24,IF(IFERROR(VLOOKUP($B511,Dashboard!$Q$28:$S$60,2,FALSE),0)&gt;0,IFERROR(VLOOKUP($B511,Dashboard!$Q$28:$S$60,2,FALSE),0),$Z511*IF($U511&lt;&gt;"",ROUND((Dashboard!$R$4/$U511)*VLOOKUP($I511,Dashboard!$Q$9:$R$13,2,FALSE)*IF(ISNUMBER(SEARCH("Duals",$B511)),2,IF(ISNUMBER(SEARCH("Triples",$B511)),3,IF(ISNUMBER(SEARCH("Quads",$B511)),4,1))),2),ROUND(VLOOKUP($I511,Dashboard!$Q$15:$R$20,2,FALSE)*IF($E511="Red",Dashboard!$R$6,IF($E511="Gold",Dashboard!$R$7,Dashboard!$R$5))*IF(ISNUMBER(SEARCH("Duals",$B511)),2,IF(ISNUMBER(SEARCH("Triples",$B511)),3,IF(ISNUMBER(SEARCH("Quads",$B511)),4,1))),2))*IF(IFERROR(VLOOKUP($B511,Dashboard!$Q$28:$S$60,3,FALSE),0)&gt;0,VLOOKUP($B511,Dashboard!$Q$28:$S$60,3,FALSE),1))),0))</f>
        <v>2</v>
      </c>
      <c r="K511" s="2" t="str">
        <f>IF('Base S1'!D11="","",'Base S1'!D11)</f>
        <v>h</v>
      </c>
      <c r="L511" s="2">
        <f t="shared" si="91"/>
        <v>1</v>
      </c>
      <c r="M511" s="2">
        <f t="shared" si="92"/>
        <v>0</v>
      </c>
      <c r="N511" s="2">
        <f t="shared" si="93"/>
        <v>1</v>
      </c>
      <c r="O511" s="2">
        <f t="shared" si="94"/>
        <v>0</v>
      </c>
      <c r="P511" s="112">
        <f t="shared" si="95"/>
        <v>2</v>
      </c>
      <c r="Q511" s="112">
        <f t="shared" si="96"/>
        <v>0</v>
      </c>
      <c r="R511" s="53"/>
      <c r="S511" s="53" t="str">
        <f t="shared" si="97"/>
        <v>Base S1|Red Parallel - Season 1|10|Red</v>
      </c>
      <c r="T511" s="57" t="str">
        <f>IF($S511="","",IFERROR(VLOOKUP($S511,'Pop Estimates (Non-#d)'!$N$2:$O$500,2,FALSE),""))</f>
        <v/>
      </c>
      <c r="U511" s="57" t="str">
        <f t="shared" si="98"/>
        <v/>
      </c>
      <c r="V511" s="53" t="str">
        <f t="shared" si="99"/>
        <v/>
      </c>
      <c r="W511" s="53" t="str">
        <f t="shared" si="100"/>
        <v/>
      </c>
      <c r="X511" s="53" t="str">
        <f t="shared" si="101"/>
        <v/>
      </c>
      <c r="Y511" s="57" t="str">
        <f>IF($X511="","",IFERROR(VLOOKUP($X511,'Char Popularity'!$A$2:$C$500,2,FALSE),""))</f>
        <v/>
      </c>
      <c r="Z511" s="56">
        <f>IF($X511="",1,IFERROR(VLOOKUP($X511,'Char Popularity'!$A$2:$C$500,3,FALSE),1))</f>
        <v>1</v>
      </c>
      <c r="AA511" s="62">
        <f>IF($H511&lt;&gt;"Y",0,(IF($F511&lt;&gt;"",ROUND(Dashboard!$R$4/$F511,1),IF(AND($I511="Base",$E511="Base"),Dashboard!$R$5,IF(AND($I511="Base",$E511="Red"),Dashboard!$R$6,IF(AND($I511="Base",$E511="Gold"),Dashboard!$R$7,VLOOKUP($I511,Dashboard!$Q$16:$R$21,2,FALSE)))))*VLOOKUP($I511,Dashboard!$Q$9:$R$13,2,FALSE)*IF(AND($I511="Auto",$F511="",OR($B511="Autographs Duals",$B511="Autographs Triples",$B511="Autographs Quads",$B511="Autographs Quads (Inscribed)")),IF($B511="Autographs Duals",2,IF($B511="Autographs Triples",3,4)),1)))</f>
        <v>2</v>
      </c>
      <c r="AB511" s="62">
        <f t="shared" si="102"/>
        <v>2</v>
      </c>
      <c r="AC511" s="62">
        <f t="shared" si="103"/>
        <v>0</v>
      </c>
    </row>
    <row r="512" spans="1:29" ht="28.7" customHeight="1" x14ac:dyDescent="0.25">
      <c r="A512" s="4" t="s">
        <v>17</v>
      </c>
      <c r="B512" s="7" t="s">
        <v>63</v>
      </c>
      <c r="C512" s="2" t="s">
        <v>1410</v>
      </c>
      <c r="D512" s="7" t="s">
        <v>856</v>
      </c>
      <c r="E512" s="4" t="s">
        <v>823</v>
      </c>
      <c r="F512" s="2"/>
      <c r="G512" s="2" t="s">
        <v>1399</v>
      </c>
      <c r="H512" s="2" t="s">
        <v>1400</v>
      </c>
      <c r="I512" s="4" t="s">
        <v>60</v>
      </c>
      <c r="J512" s="112">
        <f>IF($H512&lt;&gt;"Y",0,ROUND(MIN(Dashboard!$R$24,IF(IFERROR(VLOOKUP($B512,Dashboard!$Q$28:$S$60,2,FALSE),0)&gt;0,IFERROR(VLOOKUP($B512,Dashboard!$Q$28:$S$60,2,FALSE),0),$Z512*IF($U512&lt;&gt;"",ROUND((Dashboard!$R$4/$U512)*VLOOKUP($I512,Dashboard!$Q$9:$R$13,2,FALSE)*IF(ISNUMBER(SEARCH("Duals",$B512)),2,IF(ISNUMBER(SEARCH("Triples",$B512)),3,IF(ISNUMBER(SEARCH("Quads",$B512)),4,1))),2),ROUND(VLOOKUP($I512,Dashboard!$Q$15:$R$20,2,FALSE)*IF($E512="Red",Dashboard!$R$6,IF($E512="Gold",Dashboard!$R$7,Dashboard!$R$5))*IF(ISNUMBER(SEARCH("Duals",$B512)),2,IF(ISNUMBER(SEARCH("Triples",$B512)),3,IF(ISNUMBER(SEARCH("Quads",$B512)),4,1))),2))*IF(IFERROR(VLOOKUP($B512,Dashboard!$Q$28:$S$60,3,FALSE),0)&gt;0,VLOOKUP($B512,Dashboard!$Q$28:$S$60,3,FALSE),1))),0))</f>
        <v>2</v>
      </c>
      <c r="K512" s="2" t="str">
        <f>IF('Base S1'!D12="","",'Base S1'!D12)</f>
        <v>h</v>
      </c>
      <c r="L512" s="2">
        <f t="shared" si="91"/>
        <v>1</v>
      </c>
      <c r="M512" s="2">
        <f t="shared" si="92"/>
        <v>0</v>
      </c>
      <c r="N512" s="2">
        <f t="shared" si="93"/>
        <v>1</v>
      </c>
      <c r="O512" s="2">
        <f t="shared" si="94"/>
        <v>0</v>
      </c>
      <c r="P512" s="112">
        <f t="shared" si="95"/>
        <v>2</v>
      </c>
      <c r="Q512" s="112">
        <f t="shared" si="96"/>
        <v>0</v>
      </c>
      <c r="R512" s="53"/>
      <c r="S512" s="53" t="str">
        <f t="shared" si="97"/>
        <v>Base S1|Red Parallel - Season 1|11|Red</v>
      </c>
      <c r="T512" s="57" t="str">
        <f>IF($S512="","",IFERROR(VLOOKUP($S512,'Pop Estimates (Non-#d)'!$N$2:$O$500,2,FALSE),""))</f>
        <v/>
      </c>
      <c r="U512" s="57" t="str">
        <f t="shared" si="98"/>
        <v/>
      </c>
      <c r="V512" s="53" t="str">
        <f t="shared" si="99"/>
        <v/>
      </c>
      <c r="W512" s="53" t="str">
        <f t="shared" si="100"/>
        <v/>
      </c>
      <c r="X512" s="53" t="str">
        <f t="shared" si="101"/>
        <v/>
      </c>
      <c r="Y512" s="57" t="str">
        <f>IF($X512="","",IFERROR(VLOOKUP($X512,'Char Popularity'!$A$2:$C$500,2,FALSE),""))</f>
        <v/>
      </c>
      <c r="Z512" s="56">
        <f>IF($X512="",1,IFERROR(VLOOKUP($X512,'Char Popularity'!$A$2:$C$500,3,FALSE),1))</f>
        <v>1</v>
      </c>
      <c r="AA512" s="62">
        <f>IF($H512&lt;&gt;"Y",0,(IF($F512&lt;&gt;"",ROUND(Dashboard!$R$4/$F512,1),IF(AND($I512="Base",$E512="Base"),Dashboard!$R$5,IF(AND($I512="Base",$E512="Red"),Dashboard!$R$6,IF(AND($I512="Base",$E512="Gold"),Dashboard!$R$7,VLOOKUP($I512,Dashboard!$Q$16:$R$21,2,FALSE)))))*VLOOKUP($I512,Dashboard!$Q$9:$R$13,2,FALSE)*IF(AND($I512="Auto",$F512="",OR($B512="Autographs Duals",$B512="Autographs Triples",$B512="Autographs Quads",$B512="Autographs Quads (Inscribed)")),IF($B512="Autographs Duals",2,IF($B512="Autographs Triples",3,4)),1)))</f>
        <v>2</v>
      </c>
      <c r="AB512" s="62">
        <f t="shared" si="102"/>
        <v>2</v>
      </c>
      <c r="AC512" s="62">
        <f t="shared" si="103"/>
        <v>0</v>
      </c>
    </row>
    <row r="513" spans="1:29" ht="28.7" customHeight="1" x14ac:dyDescent="0.25">
      <c r="A513" s="4" t="s">
        <v>17</v>
      </c>
      <c r="B513" s="7" t="s">
        <v>63</v>
      </c>
      <c r="C513" s="2" t="s">
        <v>1411</v>
      </c>
      <c r="D513" s="7" t="s">
        <v>858</v>
      </c>
      <c r="E513" s="4" t="s">
        <v>823</v>
      </c>
      <c r="F513" s="2"/>
      <c r="G513" s="2" t="s">
        <v>1399</v>
      </c>
      <c r="H513" s="2" t="s">
        <v>1400</v>
      </c>
      <c r="I513" s="4" t="s">
        <v>60</v>
      </c>
      <c r="J513" s="112">
        <f>IF($H513&lt;&gt;"Y",0,ROUND(MIN(Dashboard!$R$24,IF(IFERROR(VLOOKUP($B513,Dashboard!$Q$28:$S$60,2,FALSE),0)&gt;0,IFERROR(VLOOKUP($B513,Dashboard!$Q$28:$S$60,2,FALSE),0),$Z513*IF($U513&lt;&gt;"",ROUND((Dashboard!$R$4/$U513)*VLOOKUP($I513,Dashboard!$Q$9:$R$13,2,FALSE)*IF(ISNUMBER(SEARCH("Duals",$B513)),2,IF(ISNUMBER(SEARCH("Triples",$B513)),3,IF(ISNUMBER(SEARCH("Quads",$B513)),4,1))),2),ROUND(VLOOKUP($I513,Dashboard!$Q$15:$R$20,2,FALSE)*IF($E513="Red",Dashboard!$R$6,IF($E513="Gold",Dashboard!$R$7,Dashboard!$R$5))*IF(ISNUMBER(SEARCH("Duals",$B513)),2,IF(ISNUMBER(SEARCH("Triples",$B513)),3,IF(ISNUMBER(SEARCH("Quads",$B513)),4,1))),2))*IF(IFERROR(VLOOKUP($B513,Dashboard!$Q$28:$S$60,3,FALSE),0)&gt;0,VLOOKUP($B513,Dashboard!$Q$28:$S$60,3,FALSE),1))),0))</f>
        <v>2</v>
      </c>
      <c r="K513" s="2" t="str">
        <f>IF('Base S1'!D13="","",'Base S1'!D13)</f>
        <v>h</v>
      </c>
      <c r="L513" s="2">
        <f t="shared" si="91"/>
        <v>1</v>
      </c>
      <c r="M513" s="2">
        <f t="shared" si="92"/>
        <v>0</v>
      </c>
      <c r="N513" s="2">
        <f t="shared" si="93"/>
        <v>1</v>
      </c>
      <c r="O513" s="2">
        <f t="shared" si="94"/>
        <v>0</v>
      </c>
      <c r="P513" s="112">
        <f t="shared" si="95"/>
        <v>2</v>
      </c>
      <c r="Q513" s="112">
        <f t="shared" si="96"/>
        <v>0</v>
      </c>
      <c r="R513" s="53"/>
      <c r="S513" s="53" t="str">
        <f t="shared" si="97"/>
        <v>Base S1|Red Parallel - Season 1|12|Red</v>
      </c>
      <c r="T513" s="57" t="str">
        <f>IF($S513="","",IFERROR(VLOOKUP($S513,'Pop Estimates (Non-#d)'!$N$2:$O$500,2,FALSE),""))</f>
        <v/>
      </c>
      <c r="U513" s="57" t="str">
        <f t="shared" si="98"/>
        <v/>
      </c>
      <c r="V513" s="53" t="str">
        <f t="shared" si="99"/>
        <v/>
      </c>
      <c r="W513" s="53" t="str">
        <f t="shared" si="100"/>
        <v/>
      </c>
      <c r="X513" s="53" t="str">
        <f t="shared" si="101"/>
        <v/>
      </c>
      <c r="Y513" s="57" t="str">
        <f>IF($X513="","",IFERROR(VLOOKUP($X513,'Char Popularity'!$A$2:$C$500,2,FALSE),""))</f>
        <v/>
      </c>
      <c r="Z513" s="56">
        <f>IF($X513="",1,IFERROR(VLOOKUP($X513,'Char Popularity'!$A$2:$C$500,3,FALSE),1))</f>
        <v>1</v>
      </c>
      <c r="AA513" s="62">
        <f>IF($H513&lt;&gt;"Y",0,(IF($F513&lt;&gt;"",ROUND(Dashboard!$R$4/$F513,1),IF(AND($I513="Base",$E513="Base"),Dashboard!$R$5,IF(AND($I513="Base",$E513="Red"),Dashboard!$R$6,IF(AND($I513="Base",$E513="Gold"),Dashboard!$R$7,VLOOKUP($I513,Dashboard!$Q$16:$R$21,2,FALSE)))))*VLOOKUP($I513,Dashboard!$Q$9:$R$13,2,FALSE)*IF(AND($I513="Auto",$F513="",OR($B513="Autographs Duals",$B513="Autographs Triples",$B513="Autographs Quads",$B513="Autographs Quads (Inscribed)")),IF($B513="Autographs Duals",2,IF($B513="Autographs Triples",3,4)),1)))</f>
        <v>2</v>
      </c>
      <c r="AB513" s="62">
        <f t="shared" si="102"/>
        <v>2</v>
      </c>
      <c r="AC513" s="62">
        <f t="shared" si="103"/>
        <v>0</v>
      </c>
    </row>
    <row r="514" spans="1:29" ht="28.7" customHeight="1" x14ac:dyDescent="0.25">
      <c r="A514" s="4" t="s">
        <v>17</v>
      </c>
      <c r="B514" s="7" t="s">
        <v>63</v>
      </c>
      <c r="C514" s="2" t="s">
        <v>1412</v>
      </c>
      <c r="D514" s="7" t="s">
        <v>861</v>
      </c>
      <c r="E514" s="4" t="s">
        <v>823</v>
      </c>
      <c r="F514" s="2"/>
      <c r="G514" s="2" t="s">
        <v>1399</v>
      </c>
      <c r="H514" s="2" t="s">
        <v>1400</v>
      </c>
      <c r="I514" s="4" t="s">
        <v>60</v>
      </c>
      <c r="J514" s="112">
        <f>IF($H514&lt;&gt;"Y",0,ROUND(MIN(Dashboard!$R$24,IF(IFERROR(VLOOKUP($B514,Dashboard!$Q$28:$S$60,2,FALSE),0)&gt;0,IFERROR(VLOOKUP($B514,Dashboard!$Q$28:$S$60,2,FALSE),0),$Z514*IF($U514&lt;&gt;"",ROUND((Dashboard!$R$4/$U514)*VLOOKUP($I514,Dashboard!$Q$9:$R$13,2,FALSE)*IF(ISNUMBER(SEARCH("Duals",$B514)),2,IF(ISNUMBER(SEARCH("Triples",$B514)),3,IF(ISNUMBER(SEARCH("Quads",$B514)),4,1))),2),ROUND(VLOOKUP($I514,Dashboard!$Q$15:$R$20,2,FALSE)*IF($E514="Red",Dashboard!$R$6,IF($E514="Gold",Dashboard!$R$7,Dashboard!$R$5))*IF(ISNUMBER(SEARCH("Duals",$B514)),2,IF(ISNUMBER(SEARCH("Triples",$B514)),3,IF(ISNUMBER(SEARCH("Quads",$B514)),4,1))),2))*IF(IFERROR(VLOOKUP($B514,Dashboard!$Q$28:$S$60,3,FALSE),0)&gt;0,VLOOKUP($B514,Dashboard!$Q$28:$S$60,3,FALSE),1))),0))</f>
        <v>2</v>
      </c>
      <c r="K514" s="2" t="str">
        <f>IF('Base S1'!D14="","",'Base S1'!D14)</f>
        <v>h</v>
      </c>
      <c r="L514" s="2">
        <f t="shared" ref="L514:L577" si="104">IF(AND($K514&lt;&gt;"",LEFT($K514,1)&lt;&gt;"Y"),1,0)</f>
        <v>1</v>
      </c>
      <c r="M514" s="2">
        <f t="shared" ref="M514:M577" si="105">IF(LEFT($K514,1)="Y",1,0)</f>
        <v>0</v>
      </c>
      <c r="N514" s="2">
        <f t="shared" ref="N514:N577" si="106">$L514+$M514</f>
        <v>1</v>
      </c>
      <c r="O514" s="2">
        <f t="shared" ref="O514:O577" si="107">IF($H514="Y",1-$N514,0)</f>
        <v>0</v>
      </c>
      <c r="P514" s="112">
        <f t="shared" ref="P514:P577" si="108">IF($L514=1,$J514,0)</f>
        <v>2</v>
      </c>
      <c r="Q514" s="112">
        <f t="shared" ref="Q514:Q577" si="109">IF($M514=1,$J514,0)</f>
        <v>0</v>
      </c>
      <c r="R514" s="53"/>
      <c r="S514" s="53" t="str">
        <f t="shared" ref="S514:S577" si="110">IF($A514="","",$A514&amp;"|"&amp;$B514&amp;"|"&amp;$C514&amp;"|"&amp;$E514)</f>
        <v>Base S1|Red Parallel - Season 1|13|Red</v>
      </c>
      <c r="T514" s="57" t="str">
        <f>IF($S514="","",IFERROR(VLOOKUP($S514,'Pop Estimates (Non-#d)'!$N$2:$O$500,2,FALSE),""))</f>
        <v/>
      </c>
      <c r="U514" s="57" t="str">
        <f t="shared" ref="U514:U577" si="111">IF($A514="","",IF($F514&lt;&gt;"",$F514,$T514))</f>
        <v/>
      </c>
      <c r="V514" s="53" t="str">
        <f t="shared" ref="V514:V577" si="112">IF($A514="","",IF(ISNUMBER(SEARCH(" as ",$D514)),MID($D514,SEARCH(" as ",$D514)+4,255),IF(ISNUMBER(SEARCH("/",$D514)),LEFT($D514,FIND("/",$D514&amp;"/")-1),"")))</f>
        <v/>
      </c>
      <c r="W514" s="53" t="str">
        <f t="shared" ref="W514:W577" si="113">IF($V514="","",TRIM(IFERROR(MID($V514,SEARCH("(", $V514)+1,SEARCH(")",$V514)-SEARCH("(", $V514)-1),$V514)))</f>
        <v/>
      </c>
      <c r="X514" s="53" t="str">
        <f t="shared" ref="X514:X577" si="114">IF($W514="","",TRIM(LEFT($W514&amp;"""",FIND("""",$W514&amp;"""")-1)))</f>
        <v/>
      </c>
      <c r="Y514" s="57" t="str">
        <f>IF($X514="","",IFERROR(VLOOKUP($X514,'Char Popularity'!$A$2:$C$500,2,FALSE),""))</f>
        <v/>
      </c>
      <c r="Z514" s="56">
        <f>IF($X514="",1,IFERROR(VLOOKUP($X514,'Char Popularity'!$A$2:$C$500,3,FALSE),1))</f>
        <v>1</v>
      </c>
      <c r="AA514" s="62">
        <f>IF($H514&lt;&gt;"Y",0,(IF($F514&lt;&gt;"",ROUND(Dashboard!$R$4/$F514,1),IF(AND($I514="Base",$E514="Base"),Dashboard!$R$5,IF(AND($I514="Base",$E514="Red"),Dashboard!$R$6,IF(AND($I514="Base",$E514="Gold"),Dashboard!$R$7,VLOOKUP($I514,Dashboard!$Q$16:$R$21,2,FALSE)))))*VLOOKUP($I514,Dashboard!$Q$9:$R$13,2,FALSE)*IF(AND($I514="Auto",$F514="",OR($B514="Autographs Duals",$B514="Autographs Triples",$B514="Autographs Quads",$B514="Autographs Quads (Inscribed)")),IF($B514="Autographs Duals",2,IF($B514="Autographs Triples",3,4)),1)))</f>
        <v>2</v>
      </c>
      <c r="AB514" s="62">
        <f t="shared" ref="AB514:AB577" si="115">IF($L514=1,$AA514,0)</f>
        <v>2</v>
      </c>
      <c r="AC514" s="62">
        <f t="shared" ref="AC514:AC577" si="116">IF($M514=1,$AA514,0)</f>
        <v>0</v>
      </c>
    </row>
    <row r="515" spans="1:29" ht="28.7" customHeight="1" x14ac:dyDescent="0.25">
      <c r="A515" s="4" t="s">
        <v>17</v>
      </c>
      <c r="B515" s="7" t="s">
        <v>63</v>
      </c>
      <c r="C515" s="2" t="s">
        <v>1413</v>
      </c>
      <c r="D515" s="7" t="s">
        <v>863</v>
      </c>
      <c r="E515" s="4" t="s">
        <v>823</v>
      </c>
      <c r="F515" s="2"/>
      <c r="G515" s="2" t="s">
        <v>1399</v>
      </c>
      <c r="H515" s="2" t="s">
        <v>1400</v>
      </c>
      <c r="I515" s="4" t="s">
        <v>60</v>
      </c>
      <c r="J515" s="112">
        <f>IF($H515&lt;&gt;"Y",0,ROUND(MIN(Dashboard!$R$24,IF(IFERROR(VLOOKUP($B515,Dashboard!$Q$28:$S$60,2,FALSE),0)&gt;0,IFERROR(VLOOKUP($B515,Dashboard!$Q$28:$S$60,2,FALSE),0),$Z515*IF($U515&lt;&gt;"",ROUND((Dashboard!$R$4/$U515)*VLOOKUP($I515,Dashboard!$Q$9:$R$13,2,FALSE)*IF(ISNUMBER(SEARCH("Duals",$B515)),2,IF(ISNUMBER(SEARCH("Triples",$B515)),3,IF(ISNUMBER(SEARCH("Quads",$B515)),4,1))),2),ROUND(VLOOKUP($I515,Dashboard!$Q$15:$R$20,2,FALSE)*IF($E515="Red",Dashboard!$R$6,IF($E515="Gold",Dashboard!$R$7,Dashboard!$R$5))*IF(ISNUMBER(SEARCH("Duals",$B515)),2,IF(ISNUMBER(SEARCH("Triples",$B515)),3,IF(ISNUMBER(SEARCH("Quads",$B515)),4,1))),2))*IF(IFERROR(VLOOKUP($B515,Dashboard!$Q$28:$S$60,3,FALSE),0)&gt;0,VLOOKUP($B515,Dashboard!$Q$28:$S$60,3,FALSE),1))),0))</f>
        <v>2</v>
      </c>
      <c r="K515" s="2" t="str">
        <f>IF('Base S1'!D15="","",'Base S1'!D15)</f>
        <v>h</v>
      </c>
      <c r="L515" s="2">
        <f t="shared" si="104"/>
        <v>1</v>
      </c>
      <c r="M515" s="2">
        <f t="shared" si="105"/>
        <v>0</v>
      </c>
      <c r="N515" s="2">
        <f t="shared" si="106"/>
        <v>1</v>
      </c>
      <c r="O515" s="2">
        <f t="shared" si="107"/>
        <v>0</v>
      </c>
      <c r="P515" s="112">
        <f t="shared" si="108"/>
        <v>2</v>
      </c>
      <c r="Q515" s="112">
        <f t="shared" si="109"/>
        <v>0</v>
      </c>
      <c r="R515" s="53"/>
      <c r="S515" s="53" t="str">
        <f t="shared" si="110"/>
        <v>Base S1|Red Parallel - Season 1|14|Red</v>
      </c>
      <c r="T515" s="57" t="str">
        <f>IF($S515="","",IFERROR(VLOOKUP($S515,'Pop Estimates (Non-#d)'!$N$2:$O$500,2,FALSE),""))</f>
        <v/>
      </c>
      <c r="U515" s="57" t="str">
        <f t="shared" si="111"/>
        <v/>
      </c>
      <c r="V515" s="53" t="str">
        <f t="shared" si="112"/>
        <v/>
      </c>
      <c r="W515" s="53" t="str">
        <f t="shared" si="113"/>
        <v/>
      </c>
      <c r="X515" s="53" t="str">
        <f t="shared" si="114"/>
        <v/>
      </c>
      <c r="Y515" s="57" t="str">
        <f>IF($X515="","",IFERROR(VLOOKUP($X515,'Char Popularity'!$A$2:$C$500,2,FALSE),""))</f>
        <v/>
      </c>
      <c r="Z515" s="56">
        <f>IF($X515="",1,IFERROR(VLOOKUP($X515,'Char Popularity'!$A$2:$C$500,3,FALSE),1))</f>
        <v>1</v>
      </c>
      <c r="AA515" s="62">
        <f>IF($H515&lt;&gt;"Y",0,(IF($F515&lt;&gt;"",ROUND(Dashboard!$R$4/$F515,1),IF(AND($I515="Base",$E515="Base"),Dashboard!$R$5,IF(AND($I515="Base",$E515="Red"),Dashboard!$R$6,IF(AND($I515="Base",$E515="Gold"),Dashboard!$R$7,VLOOKUP($I515,Dashboard!$Q$16:$R$21,2,FALSE)))))*VLOOKUP($I515,Dashboard!$Q$9:$R$13,2,FALSE)*IF(AND($I515="Auto",$F515="",OR($B515="Autographs Duals",$B515="Autographs Triples",$B515="Autographs Quads",$B515="Autographs Quads (Inscribed)")),IF($B515="Autographs Duals",2,IF($B515="Autographs Triples",3,4)),1)))</f>
        <v>2</v>
      </c>
      <c r="AB515" s="62">
        <f t="shared" si="115"/>
        <v>2</v>
      </c>
      <c r="AC515" s="62">
        <f t="shared" si="116"/>
        <v>0</v>
      </c>
    </row>
    <row r="516" spans="1:29" ht="28.7" customHeight="1" x14ac:dyDescent="0.25">
      <c r="A516" s="4" t="s">
        <v>17</v>
      </c>
      <c r="B516" s="7" t="s">
        <v>63</v>
      </c>
      <c r="C516" s="2" t="s">
        <v>1414</v>
      </c>
      <c r="D516" s="7" t="s">
        <v>866</v>
      </c>
      <c r="E516" s="4" t="s">
        <v>823</v>
      </c>
      <c r="F516" s="2"/>
      <c r="G516" s="2" t="s">
        <v>1399</v>
      </c>
      <c r="H516" s="2" t="s">
        <v>1400</v>
      </c>
      <c r="I516" s="4" t="s">
        <v>60</v>
      </c>
      <c r="J516" s="112">
        <f>IF($H516&lt;&gt;"Y",0,ROUND(MIN(Dashboard!$R$24,IF(IFERROR(VLOOKUP($B516,Dashboard!$Q$28:$S$60,2,FALSE),0)&gt;0,IFERROR(VLOOKUP($B516,Dashboard!$Q$28:$S$60,2,FALSE),0),$Z516*IF($U516&lt;&gt;"",ROUND((Dashboard!$R$4/$U516)*VLOOKUP($I516,Dashboard!$Q$9:$R$13,2,FALSE)*IF(ISNUMBER(SEARCH("Duals",$B516)),2,IF(ISNUMBER(SEARCH("Triples",$B516)),3,IF(ISNUMBER(SEARCH("Quads",$B516)),4,1))),2),ROUND(VLOOKUP($I516,Dashboard!$Q$15:$R$20,2,FALSE)*IF($E516="Red",Dashboard!$R$6,IF($E516="Gold",Dashboard!$R$7,Dashboard!$R$5))*IF(ISNUMBER(SEARCH("Duals",$B516)),2,IF(ISNUMBER(SEARCH("Triples",$B516)),3,IF(ISNUMBER(SEARCH("Quads",$B516)),4,1))),2))*IF(IFERROR(VLOOKUP($B516,Dashboard!$Q$28:$S$60,3,FALSE),0)&gt;0,VLOOKUP($B516,Dashboard!$Q$28:$S$60,3,FALSE),1))),0))</f>
        <v>2</v>
      </c>
      <c r="K516" s="2" t="str">
        <f>IF('Base S1'!D16="","",'Base S1'!D16)</f>
        <v>h</v>
      </c>
      <c r="L516" s="2">
        <f t="shared" si="104"/>
        <v>1</v>
      </c>
      <c r="M516" s="2">
        <f t="shared" si="105"/>
        <v>0</v>
      </c>
      <c r="N516" s="2">
        <f t="shared" si="106"/>
        <v>1</v>
      </c>
      <c r="O516" s="2">
        <f t="shared" si="107"/>
        <v>0</v>
      </c>
      <c r="P516" s="112">
        <f t="shared" si="108"/>
        <v>2</v>
      </c>
      <c r="Q516" s="112">
        <f t="shared" si="109"/>
        <v>0</v>
      </c>
      <c r="R516" s="53"/>
      <c r="S516" s="53" t="str">
        <f t="shared" si="110"/>
        <v>Base S1|Red Parallel - Season 1|15|Red</v>
      </c>
      <c r="T516" s="57" t="str">
        <f>IF($S516="","",IFERROR(VLOOKUP($S516,'Pop Estimates (Non-#d)'!$N$2:$O$500,2,FALSE),""))</f>
        <v/>
      </c>
      <c r="U516" s="57" t="str">
        <f t="shared" si="111"/>
        <v/>
      </c>
      <c r="V516" s="53" t="str">
        <f t="shared" si="112"/>
        <v/>
      </c>
      <c r="W516" s="53" t="str">
        <f t="shared" si="113"/>
        <v/>
      </c>
      <c r="X516" s="53" t="str">
        <f t="shared" si="114"/>
        <v/>
      </c>
      <c r="Y516" s="57" t="str">
        <f>IF($X516="","",IFERROR(VLOOKUP($X516,'Char Popularity'!$A$2:$C$500,2,FALSE),""))</f>
        <v/>
      </c>
      <c r="Z516" s="56">
        <f>IF($X516="",1,IFERROR(VLOOKUP($X516,'Char Popularity'!$A$2:$C$500,3,FALSE),1))</f>
        <v>1</v>
      </c>
      <c r="AA516" s="62">
        <f>IF($H516&lt;&gt;"Y",0,(IF($F516&lt;&gt;"",ROUND(Dashboard!$R$4/$F516,1),IF(AND($I516="Base",$E516="Base"),Dashboard!$R$5,IF(AND($I516="Base",$E516="Red"),Dashboard!$R$6,IF(AND($I516="Base",$E516="Gold"),Dashboard!$R$7,VLOOKUP($I516,Dashboard!$Q$16:$R$21,2,FALSE)))))*VLOOKUP($I516,Dashboard!$Q$9:$R$13,2,FALSE)*IF(AND($I516="Auto",$F516="",OR($B516="Autographs Duals",$B516="Autographs Triples",$B516="Autographs Quads",$B516="Autographs Quads (Inscribed)")),IF($B516="Autographs Duals",2,IF($B516="Autographs Triples",3,4)),1)))</f>
        <v>2</v>
      </c>
      <c r="AB516" s="62">
        <f t="shared" si="115"/>
        <v>2</v>
      </c>
      <c r="AC516" s="62">
        <f t="shared" si="116"/>
        <v>0</v>
      </c>
    </row>
    <row r="517" spans="1:29" ht="28.7" customHeight="1" x14ac:dyDescent="0.25">
      <c r="A517" s="4" t="s">
        <v>17</v>
      </c>
      <c r="B517" s="7" t="s">
        <v>63</v>
      </c>
      <c r="C517" s="2" t="s">
        <v>1415</v>
      </c>
      <c r="D517" s="7" t="s">
        <v>869</v>
      </c>
      <c r="E517" s="4" t="s">
        <v>823</v>
      </c>
      <c r="F517" s="2"/>
      <c r="G517" s="2" t="s">
        <v>1399</v>
      </c>
      <c r="H517" s="2" t="s">
        <v>1400</v>
      </c>
      <c r="I517" s="4" t="s">
        <v>60</v>
      </c>
      <c r="J517" s="112">
        <f>IF($H517&lt;&gt;"Y",0,ROUND(MIN(Dashboard!$R$24,IF(IFERROR(VLOOKUP($B517,Dashboard!$Q$28:$S$60,2,FALSE),0)&gt;0,IFERROR(VLOOKUP($B517,Dashboard!$Q$28:$S$60,2,FALSE),0),$Z517*IF($U517&lt;&gt;"",ROUND((Dashboard!$R$4/$U517)*VLOOKUP($I517,Dashboard!$Q$9:$R$13,2,FALSE)*IF(ISNUMBER(SEARCH("Duals",$B517)),2,IF(ISNUMBER(SEARCH("Triples",$B517)),3,IF(ISNUMBER(SEARCH("Quads",$B517)),4,1))),2),ROUND(VLOOKUP($I517,Dashboard!$Q$15:$R$20,2,FALSE)*IF($E517="Red",Dashboard!$R$6,IF($E517="Gold",Dashboard!$R$7,Dashboard!$R$5))*IF(ISNUMBER(SEARCH("Duals",$B517)),2,IF(ISNUMBER(SEARCH("Triples",$B517)),3,IF(ISNUMBER(SEARCH("Quads",$B517)),4,1))),2))*IF(IFERROR(VLOOKUP($B517,Dashboard!$Q$28:$S$60,3,FALSE),0)&gt;0,VLOOKUP($B517,Dashboard!$Q$28:$S$60,3,FALSE),1))),0))</f>
        <v>2</v>
      </c>
      <c r="K517" s="2" t="str">
        <f>IF('Base S1'!D17="","",'Base S1'!D17)</f>
        <v>h</v>
      </c>
      <c r="L517" s="2">
        <f t="shared" si="104"/>
        <v>1</v>
      </c>
      <c r="M517" s="2">
        <f t="shared" si="105"/>
        <v>0</v>
      </c>
      <c r="N517" s="2">
        <f t="shared" si="106"/>
        <v>1</v>
      </c>
      <c r="O517" s="2">
        <f t="shared" si="107"/>
        <v>0</v>
      </c>
      <c r="P517" s="112">
        <f t="shared" si="108"/>
        <v>2</v>
      </c>
      <c r="Q517" s="112">
        <f t="shared" si="109"/>
        <v>0</v>
      </c>
      <c r="R517" s="53"/>
      <c r="S517" s="53" t="str">
        <f t="shared" si="110"/>
        <v>Base S1|Red Parallel - Season 1|16|Red</v>
      </c>
      <c r="T517" s="57" t="str">
        <f>IF($S517="","",IFERROR(VLOOKUP($S517,'Pop Estimates (Non-#d)'!$N$2:$O$500,2,FALSE),""))</f>
        <v/>
      </c>
      <c r="U517" s="57" t="str">
        <f t="shared" si="111"/>
        <v/>
      </c>
      <c r="V517" s="53" t="str">
        <f t="shared" si="112"/>
        <v/>
      </c>
      <c r="W517" s="53" t="str">
        <f t="shared" si="113"/>
        <v/>
      </c>
      <c r="X517" s="53" t="str">
        <f t="shared" si="114"/>
        <v/>
      </c>
      <c r="Y517" s="57" t="str">
        <f>IF($X517="","",IFERROR(VLOOKUP($X517,'Char Popularity'!$A$2:$C$500,2,FALSE),""))</f>
        <v/>
      </c>
      <c r="Z517" s="56">
        <f>IF($X517="",1,IFERROR(VLOOKUP($X517,'Char Popularity'!$A$2:$C$500,3,FALSE),1))</f>
        <v>1</v>
      </c>
      <c r="AA517" s="62">
        <f>IF($H517&lt;&gt;"Y",0,(IF($F517&lt;&gt;"",ROUND(Dashboard!$R$4/$F517,1),IF(AND($I517="Base",$E517="Base"),Dashboard!$R$5,IF(AND($I517="Base",$E517="Red"),Dashboard!$R$6,IF(AND($I517="Base",$E517="Gold"),Dashboard!$R$7,VLOOKUP($I517,Dashboard!$Q$16:$R$21,2,FALSE)))))*VLOOKUP($I517,Dashboard!$Q$9:$R$13,2,FALSE)*IF(AND($I517="Auto",$F517="",OR($B517="Autographs Duals",$B517="Autographs Triples",$B517="Autographs Quads",$B517="Autographs Quads (Inscribed)")),IF($B517="Autographs Duals",2,IF($B517="Autographs Triples",3,4)),1)))</f>
        <v>2</v>
      </c>
      <c r="AB517" s="62">
        <f t="shared" si="115"/>
        <v>2</v>
      </c>
      <c r="AC517" s="62">
        <f t="shared" si="116"/>
        <v>0</v>
      </c>
    </row>
    <row r="518" spans="1:29" ht="28.7" customHeight="1" x14ac:dyDescent="0.25">
      <c r="A518" s="4" t="s">
        <v>17</v>
      </c>
      <c r="B518" s="7" t="s">
        <v>63</v>
      </c>
      <c r="C518" s="2" t="s">
        <v>1416</v>
      </c>
      <c r="D518" s="7" t="s">
        <v>874</v>
      </c>
      <c r="E518" s="4" t="s">
        <v>823</v>
      </c>
      <c r="F518" s="2"/>
      <c r="G518" s="2" t="s">
        <v>1399</v>
      </c>
      <c r="H518" s="2" t="s">
        <v>1400</v>
      </c>
      <c r="I518" s="4" t="s">
        <v>60</v>
      </c>
      <c r="J518" s="112">
        <f>IF($H518&lt;&gt;"Y",0,ROUND(MIN(Dashboard!$R$24,IF(IFERROR(VLOOKUP($B518,Dashboard!$Q$28:$S$60,2,FALSE),0)&gt;0,IFERROR(VLOOKUP($B518,Dashboard!$Q$28:$S$60,2,FALSE),0),$Z518*IF($U518&lt;&gt;"",ROUND((Dashboard!$R$4/$U518)*VLOOKUP($I518,Dashboard!$Q$9:$R$13,2,FALSE)*IF(ISNUMBER(SEARCH("Duals",$B518)),2,IF(ISNUMBER(SEARCH("Triples",$B518)),3,IF(ISNUMBER(SEARCH("Quads",$B518)),4,1))),2),ROUND(VLOOKUP($I518,Dashboard!$Q$15:$R$20,2,FALSE)*IF($E518="Red",Dashboard!$R$6,IF($E518="Gold",Dashboard!$R$7,Dashboard!$R$5))*IF(ISNUMBER(SEARCH("Duals",$B518)),2,IF(ISNUMBER(SEARCH("Triples",$B518)),3,IF(ISNUMBER(SEARCH("Quads",$B518)),4,1))),2))*IF(IFERROR(VLOOKUP($B518,Dashboard!$Q$28:$S$60,3,FALSE),0)&gt;0,VLOOKUP($B518,Dashboard!$Q$28:$S$60,3,FALSE),1))),0))</f>
        <v>2</v>
      </c>
      <c r="K518" s="2" t="str">
        <f>IF('Base S1'!D18="","",'Base S1'!D18)</f>
        <v>h</v>
      </c>
      <c r="L518" s="2">
        <f t="shared" si="104"/>
        <v>1</v>
      </c>
      <c r="M518" s="2">
        <f t="shared" si="105"/>
        <v>0</v>
      </c>
      <c r="N518" s="2">
        <f t="shared" si="106"/>
        <v>1</v>
      </c>
      <c r="O518" s="2">
        <f t="shared" si="107"/>
        <v>0</v>
      </c>
      <c r="P518" s="112">
        <f t="shared" si="108"/>
        <v>2</v>
      </c>
      <c r="Q518" s="112">
        <f t="shared" si="109"/>
        <v>0</v>
      </c>
      <c r="R518" s="53"/>
      <c r="S518" s="53" t="str">
        <f t="shared" si="110"/>
        <v>Base S1|Red Parallel - Season 1|17|Red</v>
      </c>
      <c r="T518" s="57" t="str">
        <f>IF($S518="","",IFERROR(VLOOKUP($S518,'Pop Estimates (Non-#d)'!$N$2:$O$500,2,FALSE),""))</f>
        <v/>
      </c>
      <c r="U518" s="57" t="str">
        <f t="shared" si="111"/>
        <v/>
      </c>
      <c r="V518" s="53" t="str">
        <f t="shared" si="112"/>
        <v/>
      </c>
      <c r="W518" s="53" t="str">
        <f t="shared" si="113"/>
        <v/>
      </c>
      <c r="X518" s="53" t="str">
        <f t="shared" si="114"/>
        <v/>
      </c>
      <c r="Y518" s="57" t="str">
        <f>IF($X518="","",IFERROR(VLOOKUP($X518,'Char Popularity'!$A$2:$C$500,2,FALSE),""))</f>
        <v/>
      </c>
      <c r="Z518" s="56">
        <f>IF($X518="",1,IFERROR(VLOOKUP($X518,'Char Popularity'!$A$2:$C$500,3,FALSE),1))</f>
        <v>1</v>
      </c>
      <c r="AA518" s="62">
        <f>IF($H518&lt;&gt;"Y",0,(IF($F518&lt;&gt;"",ROUND(Dashboard!$R$4/$F518,1),IF(AND($I518="Base",$E518="Base"),Dashboard!$R$5,IF(AND($I518="Base",$E518="Red"),Dashboard!$R$6,IF(AND($I518="Base",$E518="Gold"),Dashboard!$R$7,VLOOKUP($I518,Dashboard!$Q$16:$R$21,2,FALSE)))))*VLOOKUP($I518,Dashboard!$Q$9:$R$13,2,FALSE)*IF(AND($I518="Auto",$F518="",OR($B518="Autographs Duals",$B518="Autographs Triples",$B518="Autographs Quads",$B518="Autographs Quads (Inscribed)")),IF($B518="Autographs Duals",2,IF($B518="Autographs Triples",3,4)),1)))</f>
        <v>2</v>
      </c>
      <c r="AB518" s="62">
        <f t="shared" si="115"/>
        <v>2</v>
      </c>
      <c r="AC518" s="62">
        <f t="shared" si="116"/>
        <v>0</v>
      </c>
    </row>
    <row r="519" spans="1:29" ht="28.7" customHeight="1" x14ac:dyDescent="0.25">
      <c r="A519" s="4" t="s">
        <v>17</v>
      </c>
      <c r="B519" s="7" t="s">
        <v>63</v>
      </c>
      <c r="C519" s="2" t="s">
        <v>1417</v>
      </c>
      <c r="D519" s="7" t="s">
        <v>877</v>
      </c>
      <c r="E519" s="4" t="s">
        <v>823</v>
      </c>
      <c r="F519" s="2"/>
      <c r="G519" s="2" t="s">
        <v>1399</v>
      </c>
      <c r="H519" s="2" t="s">
        <v>1400</v>
      </c>
      <c r="I519" s="4" t="s">
        <v>60</v>
      </c>
      <c r="J519" s="112">
        <f>IF($H519&lt;&gt;"Y",0,ROUND(MIN(Dashboard!$R$24,IF(IFERROR(VLOOKUP($B519,Dashboard!$Q$28:$S$60,2,FALSE),0)&gt;0,IFERROR(VLOOKUP($B519,Dashboard!$Q$28:$S$60,2,FALSE),0),$Z519*IF($U519&lt;&gt;"",ROUND((Dashboard!$R$4/$U519)*VLOOKUP($I519,Dashboard!$Q$9:$R$13,2,FALSE)*IF(ISNUMBER(SEARCH("Duals",$B519)),2,IF(ISNUMBER(SEARCH("Triples",$B519)),3,IF(ISNUMBER(SEARCH("Quads",$B519)),4,1))),2),ROUND(VLOOKUP($I519,Dashboard!$Q$15:$R$20,2,FALSE)*IF($E519="Red",Dashboard!$R$6,IF($E519="Gold",Dashboard!$R$7,Dashboard!$R$5))*IF(ISNUMBER(SEARCH("Duals",$B519)),2,IF(ISNUMBER(SEARCH("Triples",$B519)),3,IF(ISNUMBER(SEARCH("Quads",$B519)),4,1))),2))*IF(IFERROR(VLOOKUP($B519,Dashboard!$Q$28:$S$60,3,FALSE),0)&gt;0,VLOOKUP($B519,Dashboard!$Q$28:$S$60,3,FALSE),1))),0))</f>
        <v>2</v>
      </c>
      <c r="K519" s="2" t="str">
        <f>IF('Base S1'!D19="","",'Base S1'!D19)</f>
        <v>h</v>
      </c>
      <c r="L519" s="2">
        <f t="shared" si="104"/>
        <v>1</v>
      </c>
      <c r="M519" s="2">
        <f t="shared" si="105"/>
        <v>0</v>
      </c>
      <c r="N519" s="2">
        <f t="shared" si="106"/>
        <v>1</v>
      </c>
      <c r="O519" s="2">
        <f t="shared" si="107"/>
        <v>0</v>
      </c>
      <c r="P519" s="112">
        <f t="shared" si="108"/>
        <v>2</v>
      </c>
      <c r="Q519" s="112">
        <f t="shared" si="109"/>
        <v>0</v>
      </c>
      <c r="R519" s="53"/>
      <c r="S519" s="53" t="str">
        <f t="shared" si="110"/>
        <v>Base S1|Red Parallel - Season 1|18|Red</v>
      </c>
      <c r="T519" s="57" t="str">
        <f>IF($S519="","",IFERROR(VLOOKUP($S519,'Pop Estimates (Non-#d)'!$N$2:$O$500,2,FALSE),""))</f>
        <v/>
      </c>
      <c r="U519" s="57" t="str">
        <f t="shared" si="111"/>
        <v/>
      </c>
      <c r="V519" s="53" t="str">
        <f t="shared" si="112"/>
        <v/>
      </c>
      <c r="W519" s="53" t="str">
        <f t="shared" si="113"/>
        <v/>
      </c>
      <c r="X519" s="53" t="str">
        <f t="shared" si="114"/>
        <v/>
      </c>
      <c r="Y519" s="57" t="str">
        <f>IF($X519="","",IFERROR(VLOOKUP($X519,'Char Popularity'!$A$2:$C$500,2,FALSE),""))</f>
        <v/>
      </c>
      <c r="Z519" s="56">
        <f>IF($X519="",1,IFERROR(VLOOKUP($X519,'Char Popularity'!$A$2:$C$500,3,FALSE),1))</f>
        <v>1</v>
      </c>
      <c r="AA519" s="62">
        <f>IF($H519&lt;&gt;"Y",0,(IF($F519&lt;&gt;"",ROUND(Dashboard!$R$4/$F519,1),IF(AND($I519="Base",$E519="Base"),Dashboard!$R$5,IF(AND($I519="Base",$E519="Red"),Dashboard!$R$6,IF(AND($I519="Base",$E519="Gold"),Dashboard!$R$7,VLOOKUP($I519,Dashboard!$Q$16:$R$21,2,FALSE)))))*VLOOKUP($I519,Dashboard!$Q$9:$R$13,2,FALSE)*IF(AND($I519="Auto",$F519="",OR($B519="Autographs Duals",$B519="Autographs Triples",$B519="Autographs Quads",$B519="Autographs Quads (Inscribed)")),IF($B519="Autographs Duals",2,IF($B519="Autographs Triples",3,4)),1)))</f>
        <v>2</v>
      </c>
      <c r="AB519" s="62">
        <f t="shared" si="115"/>
        <v>2</v>
      </c>
      <c r="AC519" s="62">
        <f t="shared" si="116"/>
        <v>0</v>
      </c>
    </row>
    <row r="520" spans="1:29" ht="28.7" customHeight="1" x14ac:dyDescent="0.25">
      <c r="A520" s="4" t="s">
        <v>17</v>
      </c>
      <c r="B520" s="7" t="s">
        <v>63</v>
      </c>
      <c r="C520" s="2" t="s">
        <v>1418</v>
      </c>
      <c r="D520" s="7" t="s">
        <v>879</v>
      </c>
      <c r="E520" s="4" t="s">
        <v>823</v>
      </c>
      <c r="F520" s="2"/>
      <c r="G520" s="2" t="s">
        <v>1399</v>
      </c>
      <c r="H520" s="2" t="s">
        <v>1400</v>
      </c>
      <c r="I520" s="4" t="s">
        <v>60</v>
      </c>
      <c r="J520" s="112">
        <f>IF($H520&lt;&gt;"Y",0,ROUND(MIN(Dashboard!$R$24,IF(IFERROR(VLOOKUP($B520,Dashboard!$Q$28:$S$60,2,FALSE),0)&gt;0,IFERROR(VLOOKUP($B520,Dashboard!$Q$28:$S$60,2,FALSE),0),$Z520*IF($U520&lt;&gt;"",ROUND((Dashboard!$R$4/$U520)*VLOOKUP($I520,Dashboard!$Q$9:$R$13,2,FALSE)*IF(ISNUMBER(SEARCH("Duals",$B520)),2,IF(ISNUMBER(SEARCH("Triples",$B520)),3,IF(ISNUMBER(SEARCH("Quads",$B520)),4,1))),2),ROUND(VLOOKUP($I520,Dashboard!$Q$15:$R$20,2,FALSE)*IF($E520="Red",Dashboard!$R$6,IF($E520="Gold",Dashboard!$R$7,Dashboard!$R$5))*IF(ISNUMBER(SEARCH("Duals",$B520)),2,IF(ISNUMBER(SEARCH("Triples",$B520)),3,IF(ISNUMBER(SEARCH("Quads",$B520)),4,1))),2))*IF(IFERROR(VLOOKUP($B520,Dashboard!$Q$28:$S$60,3,FALSE),0)&gt;0,VLOOKUP($B520,Dashboard!$Q$28:$S$60,3,FALSE),1))),0))</f>
        <v>2</v>
      </c>
      <c r="K520" s="2" t="str">
        <f>IF('Base S1'!D20="","",'Base S1'!D20)</f>
        <v>h</v>
      </c>
      <c r="L520" s="2">
        <f t="shared" si="104"/>
        <v>1</v>
      </c>
      <c r="M520" s="2">
        <f t="shared" si="105"/>
        <v>0</v>
      </c>
      <c r="N520" s="2">
        <f t="shared" si="106"/>
        <v>1</v>
      </c>
      <c r="O520" s="2">
        <f t="shared" si="107"/>
        <v>0</v>
      </c>
      <c r="P520" s="112">
        <f t="shared" si="108"/>
        <v>2</v>
      </c>
      <c r="Q520" s="112">
        <f t="shared" si="109"/>
        <v>0</v>
      </c>
      <c r="R520" s="53"/>
      <c r="S520" s="53" t="str">
        <f t="shared" si="110"/>
        <v>Base S1|Red Parallel - Season 1|19|Red</v>
      </c>
      <c r="T520" s="57" t="str">
        <f>IF($S520="","",IFERROR(VLOOKUP($S520,'Pop Estimates (Non-#d)'!$N$2:$O$500,2,FALSE),""))</f>
        <v/>
      </c>
      <c r="U520" s="57" t="str">
        <f t="shared" si="111"/>
        <v/>
      </c>
      <c r="V520" s="53" t="str">
        <f t="shared" si="112"/>
        <v/>
      </c>
      <c r="W520" s="53" t="str">
        <f t="shared" si="113"/>
        <v/>
      </c>
      <c r="X520" s="53" t="str">
        <f t="shared" si="114"/>
        <v/>
      </c>
      <c r="Y520" s="57" t="str">
        <f>IF($X520="","",IFERROR(VLOOKUP($X520,'Char Popularity'!$A$2:$C$500,2,FALSE),""))</f>
        <v/>
      </c>
      <c r="Z520" s="56">
        <f>IF($X520="",1,IFERROR(VLOOKUP($X520,'Char Popularity'!$A$2:$C$500,3,FALSE),1))</f>
        <v>1</v>
      </c>
      <c r="AA520" s="62">
        <f>IF($H520&lt;&gt;"Y",0,(IF($F520&lt;&gt;"",ROUND(Dashboard!$R$4/$F520,1),IF(AND($I520="Base",$E520="Base"),Dashboard!$R$5,IF(AND($I520="Base",$E520="Red"),Dashboard!$R$6,IF(AND($I520="Base",$E520="Gold"),Dashboard!$R$7,VLOOKUP($I520,Dashboard!$Q$16:$R$21,2,FALSE)))))*VLOOKUP($I520,Dashboard!$Q$9:$R$13,2,FALSE)*IF(AND($I520="Auto",$F520="",OR($B520="Autographs Duals",$B520="Autographs Triples",$B520="Autographs Quads",$B520="Autographs Quads (Inscribed)")),IF($B520="Autographs Duals",2,IF($B520="Autographs Triples",3,4)),1)))</f>
        <v>2</v>
      </c>
      <c r="AB520" s="62">
        <f t="shared" si="115"/>
        <v>2</v>
      </c>
      <c r="AC520" s="62">
        <f t="shared" si="116"/>
        <v>0</v>
      </c>
    </row>
    <row r="521" spans="1:29" ht="28.7" customHeight="1" x14ac:dyDescent="0.25">
      <c r="A521" s="4" t="s">
        <v>17</v>
      </c>
      <c r="B521" s="7" t="s">
        <v>63</v>
      </c>
      <c r="C521" s="2" t="s">
        <v>1419</v>
      </c>
      <c r="D521" s="7" t="s">
        <v>881</v>
      </c>
      <c r="E521" s="4" t="s">
        <v>823</v>
      </c>
      <c r="F521" s="2"/>
      <c r="G521" s="2" t="s">
        <v>1399</v>
      </c>
      <c r="H521" s="2" t="s">
        <v>1400</v>
      </c>
      <c r="I521" s="4" t="s">
        <v>60</v>
      </c>
      <c r="J521" s="112">
        <f>IF($H521&lt;&gt;"Y",0,ROUND(MIN(Dashboard!$R$24,IF(IFERROR(VLOOKUP($B521,Dashboard!$Q$28:$S$60,2,FALSE),0)&gt;0,IFERROR(VLOOKUP($B521,Dashboard!$Q$28:$S$60,2,FALSE),0),$Z521*IF($U521&lt;&gt;"",ROUND((Dashboard!$R$4/$U521)*VLOOKUP($I521,Dashboard!$Q$9:$R$13,2,FALSE)*IF(ISNUMBER(SEARCH("Duals",$B521)),2,IF(ISNUMBER(SEARCH("Triples",$B521)),3,IF(ISNUMBER(SEARCH("Quads",$B521)),4,1))),2),ROUND(VLOOKUP($I521,Dashboard!$Q$15:$R$20,2,FALSE)*IF($E521="Red",Dashboard!$R$6,IF($E521="Gold",Dashboard!$R$7,Dashboard!$R$5))*IF(ISNUMBER(SEARCH("Duals",$B521)),2,IF(ISNUMBER(SEARCH("Triples",$B521)),3,IF(ISNUMBER(SEARCH("Quads",$B521)),4,1))),2))*IF(IFERROR(VLOOKUP($B521,Dashboard!$Q$28:$S$60,3,FALSE),0)&gt;0,VLOOKUP($B521,Dashboard!$Q$28:$S$60,3,FALSE),1))),0))</f>
        <v>2</v>
      </c>
      <c r="K521" s="2" t="str">
        <f>IF('Base S1'!D21="","",'Base S1'!D21)</f>
        <v>h</v>
      </c>
      <c r="L521" s="2">
        <f t="shared" si="104"/>
        <v>1</v>
      </c>
      <c r="M521" s="2">
        <f t="shared" si="105"/>
        <v>0</v>
      </c>
      <c r="N521" s="2">
        <f t="shared" si="106"/>
        <v>1</v>
      </c>
      <c r="O521" s="2">
        <f t="shared" si="107"/>
        <v>0</v>
      </c>
      <c r="P521" s="112">
        <f t="shared" si="108"/>
        <v>2</v>
      </c>
      <c r="Q521" s="112">
        <f t="shared" si="109"/>
        <v>0</v>
      </c>
      <c r="R521" s="53"/>
      <c r="S521" s="53" t="str">
        <f t="shared" si="110"/>
        <v>Base S1|Red Parallel - Season 1|20|Red</v>
      </c>
      <c r="T521" s="57" t="str">
        <f>IF($S521="","",IFERROR(VLOOKUP($S521,'Pop Estimates (Non-#d)'!$N$2:$O$500,2,FALSE),""))</f>
        <v/>
      </c>
      <c r="U521" s="57" t="str">
        <f t="shared" si="111"/>
        <v/>
      </c>
      <c r="V521" s="53" t="str">
        <f t="shared" si="112"/>
        <v/>
      </c>
      <c r="W521" s="53" t="str">
        <f t="shared" si="113"/>
        <v/>
      </c>
      <c r="X521" s="53" t="str">
        <f t="shared" si="114"/>
        <v/>
      </c>
      <c r="Y521" s="57" t="str">
        <f>IF($X521="","",IFERROR(VLOOKUP($X521,'Char Popularity'!$A$2:$C$500,2,FALSE),""))</f>
        <v/>
      </c>
      <c r="Z521" s="56">
        <f>IF($X521="",1,IFERROR(VLOOKUP($X521,'Char Popularity'!$A$2:$C$500,3,FALSE),1))</f>
        <v>1</v>
      </c>
      <c r="AA521" s="62">
        <f>IF($H521&lt;&gt;"Y",0,(IF($F521&lt;&gt;"",ROUND(Dashboard!$R$4/$F521,1),IF(AND($I521="Base",$E521="Base"),Dashboard!$R$5,IF(AND($I521="Base",$E521="Red"),Dashboard!$R$6,IF(AND($I521="Base",$E521="Gold"),Dashboard!$R$7,VLOOKUP($I521,Dashboard!$Q$16:$R$21,2,FALSE)))))*VLOOKUP($I521,Dashboard!$Q$9:$R$13,2,FALSE)*IF(AND($I521="Auto",$F521="",OR($B521="Autographs Duals",$B521="Autographs Triples",$B521="Autographs Quads",$B521="Autographs Quads (Inscribed)")),IF($B521="Autographs Duals",2,IF($B521="Autographs Triples",3,4)),1)))</f>
        <v>2</v>
      </c>
      <c r="AB521" s="62">
        <f t="shared" si="115"/>
        <v>2</v>
      </c>
      <c r="AC521" s="62">
        <f t="shared" si="116"/>
        <v>0</v>
      </c>
    </row>
    <row r="522" spans="1:29" ht="28.7" customHeight="1" x14ac:dyDescent="0.25">
      <c r="A522" s="4" t="s">
        <v>17</v>
      </c>
      <c r="B522" s="7" t="s">
        <v>63</v>
      </c>
      <c r="C522" s="2" t="s">
        <v>1420</v>
      </c>
      <c r="D522" s="7" t="s">
        <v>883</v>
      </c>
      <c r="E522" s="4" t="s">
        <v>823</v>
      </c>
      <c r="F522" s="2"/>
      <c r="G522" s="2" t="s">
        <v>1399</v>
      </c>
      <c r="H522" s="2" t="s">
        <v>1400</v>
      </c>
      <c r="I522" s="4" t="s">
        <v>60</v>
      </c>
      <c r="J522" s="112">
        <f>IF($H522&lt;&gt;"Y",0,ROUND(MIN(Dashboard!$R$24,IF(IFERROR(VLOOKUP($B522,Dashboard!$Q$28:$S$60,2,FALSE),0)&gt;0,IFERROR(VLOOKUP($B522,Dashboard!$Q$28:$S$60,2,FALSE),0),$Z522*IF($U522&lt;&gt;"",ROUND((Dashboard!$R$4/$U522)*VLOOKUP($I522,Dashboard!$Q$9:$R$13,2,FALSE)*IF(ISNUMBER(SEARCH("Duals",$B522)),2,IF(ISNUMBER(SEARCH("Triples",$B522)),3,IF(ISNUMBER(SEARCH("Quads",$B522)),4,1))),2),ROUND(VLOOKUP($I522,Dashboard!$Q$15:$R$20,2,FALSE)*IF($E522="Red",Dashboard!$R$6,IF($E522="Gold",Dashboard!$R$7,Dashboard!$R$5))*IF(ISNUMBER(SEARCH("Duals",$B522)),2,IF(ISNUMBER(SEARCH("Triples",$B522)),3,IF(ISNUMBER(SEARCH("Quads",$B522)),4,1))),2))*IF(IFERROR(VLOOKUP($B522,Dashboard!$Q$28:$S$60,3,FALSE),0)&gt;0,VLOOKUP($B522,Dashboard!$Q$28:$S$60,3,FALSE),1))),0))</f>
        <v>2</v>
      </c>
      <c r="K522" s="2" t="str">
        <f>IF('Base S1'!D22="","",'Base S1'!D22)</f>
        <v>h</v>
      </c>
      <c r="L522" s="2">
        <f t="shared" si="104"/>
        <v>1</v>
      </c>
      <c r="M522" s="2">
        <f t="shared" si="105"/>
        <v>0</v>
      </c>
      <c r="N522" s="2">
        <f t="shared" si="106"/>
        <v>1</v>
      </c>
      <c r="O522" s="2">
        <f t="shared" si="107"/>
        <v>0</v>
      </c>
      <c r="P522" s="112">
        <f t="shared" si="108"/>
        <v>2</v>
      </c>
      <c r="Q522" s="112">
        <f t="shared" si="109"/>
        <v>0</v>
      </c>
      <c r="R522" s="53"/>
      <c r="S522" s="53" t="str">
        <f t="shared" si="110"/>
        <v>Base S1|Red Parallel - Season 1|21|Red</v>
      </c>
      <c r="T522" s="57" t="str">
        <f>IF($S522="","",IFERROR(VLOOKUP($S522,'Pop Estimates (Non-#d)'!$N$2:$O$500,2,FALSE),""))</f>
        <v/>
      </c>
      <c r="U522" s="57" t="str">
        <f t="shared" si="111"/>
        <v/>
      </c>
      <c r="V522" s="53" t="str">
        <f t="shared" si="112"/>
        <v/>
      </c>
      <c r="W522" s="53" t="str">
        <f t="shared" si="113"/>
        <v/>
      </c>
      <c r="X522" s="53" t="str">
        <f t="shared" si="114"/>
        <v/>
      </c>
      <c r="Y522" s="57" t="str">
        <f>IF($X522="","",IFERROR(VLOOKUP($X522,'Char Popularity'!$A$2:$C$500,2,FALSE),""))</f>
        <v/>
      </c>
      <c r="Z522" s="56">
        <f>IF($X522="",1,IFERROR(VLOOKUP($X522,'Char Popularity'!$A$2:$C$500,3,FALSE),1))</f>
        <v>1</v>
      </c>
      <c r="AA522" s="62">
        <f>IF($H522&lt;&gt;"Y",0,(IF($F522&lt;&gt;"",ROUND(Dashboard!$R$4/$F522,1),IF(AND($I522="Base",$E522="Base"),Dashboard!$R$5,IF(AND($I522="Base",$E522="Red"),Dashboard!$R$6,IF(AND($I522="Base",$E522="Gold"),Dashboard!$R$7,VLOOKUP($I522,Dashboard!$Q$16:$R$21,2,FALSE)))))*VLOOKUP($I522,Dashboard!$Q$9:$R$13,2,FALSE)*IF(AND($I522="Auto",$F522="",OR($B522="Autographs Duals",$B522="Autographs Triples",$B522="Autographs Quads",$B522="Autographs Quads (Inscribed)")),IF($B522="Autographs Duals",2,IF($B522="Autographs Triples",3,4)),1)))</f>
        <v>2</v>
      </c>
      <c r="AB522" s="62">
        <f t="shared" si="115"/>
        <v>2</v>
      </c>
      <c r="AC522" s="62">
        <f t="shared" si="116"/>
        <v>0</v>
      </c>
    </row>
    <row r="523" spans="1:29" ht="28.7" customHeight="1" x14ac:dyDescent="0.25">
      <c r="A523" s="4" t="s">
        <v>17</v>
      </c>
      <c r="B523" s="7" t="s">
        <v>63</v>
      </c>
      <c r="C523" s="2" t="s">
        <v>1421</v>
      </c>
      <c r="D523" s="7" t="s">
        <v>885</v>
      </c>
      <c r="E523" s="4" t="s">
        <v>823</v>
      </c>
      <c r="F523" s="2"/>
      <c r="G523" s="2" t="s">
        <v>1399</v>
      </c>
      <c r="H523" s="2" t="s">
        <v>1400</v>
      </c>
      <c r="I523" s="4" t="s">
        <v>60</v>
      </c>
      <c r="J523" s="112">
        <f>IF($H523&lt;&gt;"Y",0,ROUND(MIN(Dashboard!$R$24,IF(IFERROR(VLOOKUP($B523,Dashboard!$Q$28:$S$60,2,FALSE),0)&gt;0,IFERROR(VLOOKUP($B523,Dashboard!$Q$28:$S$60,2,FALSE),0),$Z523*IF($U523&lt;&gt;"",ROUND((Dashboard!$R$4/$U523)*VLOOKUP($I523,Dashboard!$Q$9:$R$13,2,FALSE)*IF(ISNUMBER(SEARCH("Duals",$B523)),2,IF(ISNUMBER(SEARCH("Triples",$B523)),3,IF(ISNUMBER(SEARCH("Quads",$B523)),4,1))),2),ROUND(VLOOKUP($I523,Dashboard!$Q$15:$R$20,2,FALSE)*IF($E523="Red",Dashboard!$R$6,IF($E523="Gold",Dashboard!$R$7,Dashboard!$R$5))*IF(ISNUMBER(SEARCH("Duals",$B523)),2,IF(ISNUMBER(SEARCH("Triples",$B523)),3,IF(ISNUMBER(SEARCH("Quads",$B523)),4,1))),2))*IF(IFERROR(VLOOKUP($B523,Dashboard!$Q$28:$S$60,3,FALSE),0)&gt;0,VLOOKUP($B523,Dashboard!$Q$28:$S$60,3,FALSE),1))),0))</f>
        <v>2</v>
      </c>
      <c r="K523" s="2" t="str">
        <f>IF('Base S1'!D23="","",'Base S1'!D23)</f>
        <v>h</v>
      </c>
      <c r="L523" s="2">
        <f t="shared" si="104"/>
        <v>1</v>
      </c>
      <c r="M523" s="2">
        <f t="shared" si="105"/>
        <v>0</v>
      </c>
      <c r="N523" s="2">
        <f t="shared" si="106"/>
        <v>1</v>
      </c>
      <c r="O523" s="2">
        <f t="shared" si="107"/>
        <v>0</v>
      </c>
      <c r="P523" s="112">
        <f t="shared" si="108"/>
        <v>2</v>
      </c>
      <c r="Q523" s="112">
        <f t="shared" si="109"/>
        <v>0</v>
      </c>
      <c r="R523" s="53"/>
      <c r="S523" s="53" t="str">
        <f t="shared" si="110"/>
        <v>Base S1|Red Parallel - Season 1|22|Red</v>
      </c>
      <c r="T523" s="57" t="str">
        <f>IF($S523="","",IFERROR(VLOOKUP($S523,'Pop Estimates (Non-#d)'!$N$2:$O$500,2,FALSE),""))</f>
        <v/>
      </c>
      <c r="U523" s="57" t="str">
        <f t="shared" si="111"/>
        <v/>
      </c>
      <c r="V523" s="53" t="str">
        <f t="shared" si="112"/>
        <v/>
      </c>
      <c r="W523" s="53" t="str">
        <f t="shared" si="113"/>
        <v/>
      </c>
      <c r="X523" s="53" t="str">
        <f t="shared" si="114"/>
        <v/>
      </c>
      <c r="Y523" s="57" t="str">
        <f>IF($X523="","",IFERROR(VLOOKUP($X523,'Char Popularity'!$A$2:$C$500,2,FALSE),""))</f>
        <v/>
      </c>
      <c r="Z523" s="56">
        <f>IF($X523="",1,IFERROR(VLOOKUP($X523,'Char Popularity'!$A$2:$C$500,3,FALSE),1))</f>
        <v>1</v>
      </c>
      <c r="AA523" s="62">
        <f>IF($H523&lt;&gt;"Y",0,(IF($F523&lt;&gt;"",ROUND(Dashboard!$R$4/$F523,1),IF(AND($I523="Base",$E523="Base"),Dashboard!$R$5,IF(AND($I523="Base",$E523="Red"),Dashboard!$R$6,IF(AND($I523="Base",$E523="Gold"),Dashboard!$R$7,VLOOKUP($I523,Dashboard!$Q$16:$R$21,2,FALSE)))))*VLOOKUP($I523,Dashboard!$Q$9:$R$13,2,FALSE)*IF(AND($I523="Auto",$F523="",OR($B523="Autographs Duals",$B523="Autographs Triples",$B523="Autographs Quads",$B523="Autographs Quads (Inscribed)")),IF($B523="Autographs Duals",2,IF($B523="Autographs Triples",3,4)),1)))</f>
        <v>2</v>
      </c>
      <c r="AB523" s="62">
        <f t="shared" si="115"/>
        <v>2</v>
      </c>
      <c r="AC523" s="62">
        <f t="shared" si="116"/>
        <v>0</v>
      </c>
    </row>
    <row r="524" spans="1:29" ht="28.7" customHeight="1" x14ac:dyDescent="0.25">
      <c r="A524" s="4" t="s">
        <v>17</v>
      </c>
      <c r="B524" s="7" t="s">
        <v>63</v>
      </c>
      <c r="C524" s="2" t="s">
        <v>1422</v>
      </c>
      <c r="D524" s="7" t="s">
        <v>888</v>
      </c>
      <c r="E524" s="4" t="s">
        <v>823</v>
      </c>
      <c r="F524" s="2"/>
      <c r="G524" s="2" t="s">
        <v>1399</v>
      </c>
      <c r="H524" s="2" t="s">
        <v>1400</v>
      </c>
      <c r="I524" s="4" t="s">
        <v>60</v>
      </c>
      <c r="J524" s="112">
        <f>IF($H524&lt;&gt;"Y",0,ROUND(MIN(Dashboard!$R$24,IF(IFERROR(VLOOKUP($B524,Dashboard!$Q$28:$S$60,2,FALSE),0)&gt;0,IFERROR(VLOOKUP($B524,Dashboard!$Q$28:$S$60,2,FALSE),0),$Z524*IF($U524&lt;&gt;"",ROUND((Dashboard!$R$4/$U524)*VLOOKUP($I524,Dashboard!$Q$9:$R$13,2,FALSE)*IF(ISNUMBER(SEARCH("Duals",$B524)),2,IF(ISNUMBER(SEARCH("Triples",$B524)),3,IF(ISNUMBER(SEARCH("Quads",$B524)),4,1))),2),ROUND(VLOOKUP($I524,Dashboard!$Q$15:$R$20,2,FALSE)*IF($E524="Red",Dashboard!$R$6,IF($E524="Gold",Dashboard!$R$7,Dashboard!$R$5))*IF(ISNUMBER(SEARCH("Duals",$B524)),2,IF(ISNUMBER(SEARCH("Triples",$B524)),3,IF(ISNUMBER(SEARCH("Quads",$B524)),4,1))),2))*IF(IFERROR(VLOOKUP($B524,Dashboard!$Q$28:$S$60,3,FALSE),0)&gt;0,VLOOKUP($B524,Dashboard!$Q$28:$S$60,3,FALSE),1))),0))</f>
        <v>2</v>
      </c>
      <c r="K524" s="2" t="str">
        <f>IF('Base S1'!D24="","",'Base S1'!D24)</f>
        <v>h</v>
      </c>
      <c r="L524" s="2">
        <f t="shared" si="104"/>
        <v>1</v>
      </c>
      <c r="M524" s="2">
        <f t="shared" si="105"/>
        <v>0</v>
      </c>
      <c r="N524" s="2">
        <f t="shared" si="106"/>
        <v>1</v>
      </c>
      <c r="O524" s="2">
        <f t="shared" si="107"/>
        <v>0</v>
      </c>
      <c r="P524" s="112">
        <f t="shared" si="108"/>
        <v>2</v>
      </c>
      <c r="Q524" s="112">
        <f t="shared" si="109"/>
        <v>0</v>
      </c>
      <c r="R524" s="53"/>
      <c r="S524" s="53" t="str">
        <f t="shared" si="110"/>
        <v>Base S1|Red Parallel - Season 1|23|Red</v>
      </c>
      <c r="T524" s="57" t="str">
        <f>IF($S524="","",IFERROR(VLOOKUP($S524,'Pop Estimates (Non-#d)'!$N$2:$O$500,2,FALSE),""))</f>
        <v/>
      </c>
      <c r="U524" s="57" t="str">
        <f t="shared" si="111"/>
        <v/>
      </c>
      <c r="V524" s="53" t="str">
        <f t="shared" si="112"/>
        <v/>
      </c>
      <c r="W524" s="53" t="str">
        <f t="shared" si="113"/>
        <v/>
      </c>
      <c r="X524" s="53" t="str">
        <f t="shared" si="114"/>
        <v/>
      </c>
      <c r="Y524" s="57" t="str">
        <f>IF($X524="","",IFERROR(VLOOKUP($X524,'Char Popularity'!$A$2:$C$500,2,FALSE),""))</f>
        <v/>
      </c>
      <c r="Z524" s="56">
        <f>IF($X524="",1,IFERROR(VLOOKUP($X524,'Char Popularity'!$A$2:$C$500,3,FALSE),1))</f>
        <v>1</v>
      </c>
      <c r="AA524" s="62">
        <f>IF($H524&lt;&gt;"Y",0,(IF($F524&lt;&gt;"",ROUND(Dashboard!$R$4/$F524,1),IF(AND($I524="Base",$E524="Base"),Dashboard!$R$5,IF(AND($I524="Base",$E524="Red"),Dashboard!$R$6,IF(AND($I524="Base",$E524="Gold"),Dashboard!$R$7,VLOOKUP($I524,Dashboard!$Q$16:$R$21,2,FALSE)))))*VLOOKUP($I524,Dashboard!$Q$9:$R$13,2,FALSE)*IF(AND($I524="Auto",$F524="",OR($B524="Autographs Duals",$B524="Autographs Triples",$B524="Autographs Quads",$B524="Autographs Quads (Inscribed)")),IF($B524="Autographs Duals",2,IF($B524="Autographs Triples",3,4)),1)))</f>
        <v>2</v>
      </c>
      <c r="AB524" s="62">
        <f t="shared" si="115"/>
        <v>2</v>
      </c>
      <c r="AC524" s="62">
        <f t="shared" si="116"/>
        <v>0</v>
      </c>
    </row>
    <row r="525" spans="1:29" ht="28.7" customHeight="1" x14ac:dyDescent="0.25">
      <c r="A525" s="4" t="s">
        <v>17</v>
      </c>
      <c r="B525" s="7" t="s">
        <v>63</v>
      </c>
      <c r="C525" s="2" t="s">
        <v>1423</v>
      </c>
      <c r="D525" s="7" t="s">
        <v>890</v>
      </c>
      <c r="E525" s="4" t="s">
        <v>823</v>
      </c>
      <c r="F525" s="2"/>
      <c r="G525" s="2" t="s">
        <v>1399</v>
      </c>
      <c r="H525" s="2" t="s">
        <v>1400</v>
      </c>
      <c r="I525" s="4" t="s">
        <v>60</v>
      </c>
      <c r="J525" s="112">
        <f>IF($H525&lt;&gt;"Y",0,ROUND(MIN(Dashboard!$R$24,IF(IFERROR(VLOOKUP($B525,Dashboard!$Q$28:$S$60,2,FALSE),0)&gt;0,IFERROR(VLOOKUP($B525,Dashboard!$Q$28:$S$60,2,FALSE),0),$Z525*IF($U525&lt;&gt;"",ROUND((Dashboard!$R$4/$U525)*VLOOKUP($I525,Dashboard!$Q$9:$R$13,2,FALSE)*IF(ISNUMBER(SEARCH("Duals",$B525)),2,IF(ISNUMBER(SEARCH("Triples",$B525)),3,IF(ISNUMBER(SEARCH("Quads",$B525)),4,1))),2),ROUND(VLOOKUP($I525,Dashboard!$Q$15:$R$20,2,FALSE)*IF($E525="Red",Dashboard!$R$6,IF($E525="Gold",Dashboard!$R$7,Dashboard!$R$5))*IF(ISNUMBER(SEARCH("Duals",$B525)),2,IF(ISNUMBER(SEARCH("Triples",$B525)),3,IF(ISNUMBER(SEARCH("Quads",$B525)),4,1))),2))*IF(IFERROR(VLOOKUP($B525,Dashboard!$Q$28:$S$60,3,FALSE),0)&gt;0,VLOOKUP($B525,Dashboard!$Q$28:$S$60,3,FALSE),1))),0))</f>
        <v>2</v>
      </c>
      <c r="K525" s="2" t="str">
        <f>IF('Base S1'!D25="","",'Base S1'!D25)</f>
        <v>h</v>
      </c>
      <c r="L525" s="2">
        <f t="shared" si="104"/>
        <v>1</v>
      </c>
      <c r="M525" s="2">
        <f t="shared" si="105"/>
        <v>0</v>
      </c>
      <c r="N525" s="2">
        <f t="shared" si="106"/>
        <v>1</v>
      </c>
      <c r="O525" s="2">
        <f t="shared" si="107"/>
        <v>0</v>
      </c>
      <c r="P525" s="112">
        <f t="shared" si="108"/>
        <v>2</v>
      </c>
      <c r="Q525" s="112">
        <f t="shared" si="109"/>
        <v>0</v>
      </c>
      <c r="R525" s="53"/>
      <c r="S525" s="53" t="str">
        <f t="shared" si="110"/>
        <v>Base S1|Red Parallel - Season 1|24|Red</v>
      </c>
      <c r="T525" s="57" t="str">
        <f>IF($S525="","",IFERROR(VLOOKUP($S525,'Pop Estimates (Non-#d)'!$N$2:$O$500,2,FALSE),""))</f>
        <v/>
      </c>
      <c r="U525" s="57" t="str">
        <f t="shared" si="111"/>
        <v/>
      </c>
      <c r="V525" s="53" t="str">
        <f t="shared" si="112"/>
        <v/>
      </c>
      <c r="W525" s="53" t="str">
        <f t="shared" si="113"/>
        <v/>
      </c>
      <c r="X525" s="53" t="str">
        <f t="shared" si="114"/>
        <v/>
      </c>
      <c r="Y525" s="57" t="str">
        <f>IF($X525="","",IFERROR(VLOOKUP($X525,'Char Popularity'!$A$2:$C$500,2,FALSE),""))</f>
        <v/>
      </c>
      <c r="Z525" s="56">
        <f>IF($X525="",1,IFERROR(VLOOKUP($X525,'Char Popularity'!$A$2:$C$500,3,FALSE),1))</f>
        <v>1</v>
      </c>
      <c r="AA525" s="62">
        <f>IF($H525&lt;&gt;"Y",0,(IF($F525&lt;&gt;"",ROUND(Dashboard!$R$4/$F525,1),IF(AND($I525="Base",$E525="Base"),Dashboard!$R$5,IF(AND($I525="Base",$E525="Red"),Dashboard!$R$6,IF(AND($I525="Base",$E525="Gold"),Dashboard!$R$7,VLOOKUP($I525,Dashboard!$Q$16:$R$21,2,FALSE)))))*VLOOKUP($I525,Dashboard!$Q$9:$R$13,2,FALSE)*IF(AND($I525="Auto",$F525="",OR($B525="Autographs Duals",$B525="Autographs Triples",$B525="Autographs Quads",$B525="Autographs Quads (Inscribed)")),IF($B525="Autographs Duals",2,IF($B525="Autographs Triples",3,4)),1)))</f>
        <v>2</v>
      </c>
      <c r="AB525" s="62">
        <f t="shared" si="115"/>
        <v>2</v>
      </c>
      <c r="AC525" s="62">
        <f t="shared" si="116"/>
        <v>0</v>
      </c>
    </row>
    <row r="526" spans="1:29" ht="28.7" customHeight="1" x14ac:dyDescent="0.25">
      <c r="A526" s="4" t="s">
        <v>17</v>
      </c>
      <c r="B526" s="7" t="s">
        <v>63</v>
      </c>
      <c r="C526" s="2" t="s">
        <v>1424</v>
      </c>
      <c r="D526" s="7" t="s">
        <v>892</v>
      </c>
      <c r="E526" s="4" t="s">
        <v>823</v>
      </c>
      <c r="F526" s="2"/>
      <c r="G526" s="2" t="s">
        <v>1399</v>
      </c>
      <c r="H526" s="2" t="s">
        <v>1400</v>
      </c>
      <c r="I526" s="4" t="s">
        <v>60</v>
      </c>
      <c r="J526" s="112">
        <f>IF($H526&lt;&gt;"Y",0,ROUND(MIN(Dashboard!$R$24,IF(IFERROR(VLOOKUP($B526,Dashboard!$Q$28:$S$60,2,FALSE),0)&gt;0,IFERROR(VLOOKUP($B526,Dashboard!$Q$28:$S$60,2,FALSE),0),$Z526*IF($U526&lt;&gt;"",ROUND((Dashboard!$R$4/$U526)*VLOOKUP($I526,Dashboard!$Q$9:$R$13,2,FALSE)*IF(ISNUMBER(SEARCH("Duals",$B526)),2,IF(ISNUMBER(SEARCH("Triples",$B526)),3,IF(ISNUMBER(SEARCH("Quads",$B526)),4,1))),2),ROUND(VLOOKUP($I526,Dashboard!$Q$15:$R$20,2,FALSE)*IF($E526="Red",Dashboard!$R$6,IF($E526="Gold",Dashboard!$R$7,Dashboard!$R$5))*IF(ISNUMBER(SEARCH("Duals",$B526)),2,IF(ISNUMBER(SEARCH("Triples",$B526)),3,IF(ISNUMBER(SEARCH("Quads",$B526)),4,1))),2))*IF(IFERROR(VLOOKUP($B526,Dashboard!$Q$28:$S$60,3,FALSE),0)&gt;0,VLOOKUP($B526,Dashboard!$Q$28:$S$60,3,FALSE),1))),0))</f>
        <v>2</v>
      </c>
      <c r="K526" s="2" t="str">
        <f>IF('Base S1'!D26="","",'Base S1'!D26)</f>
        <v>h</v>
      </c>
      <c r="L526" s="2">
        <f t="shared" si="104"/>
        <v>1</v>
      </c>
      <c r="M526" s="2">
        <f t="shared" si="105"/>
        <v>0</v>
      </c>
      <c r="N526" s="2">
        <f t="shared" si="106"/>
        <v>1</v>
      </c>
      <c r="O526" s="2">
        <f t="shared" si="107"/>
        <v>0</v>
      </c>
      <c r="P526" s="112">
        <f t="shared" si="108"/>
        <v>2</v>
      </c>
      <c r="Q526" s="112">
        <f t="shared" si="109"/>
        <v>0</v>
      </c>
      <c r="R526" s="53"/>
      <c r="S526" s="53" t="str">
        <f t="shared" si="110"/>
        <v>Base S1|Red Parallel - Season 1|25|Red</v>
      </c>
      <c r="T526" s="57" t="str">
        <f>IF($S526="","",IFERROR(VLOOKUP($S526,'Pop Estimates (Non-#d)'!$N$2:$O$500,2,FALSE),""))</f>
        <v/>
      </c>
      <c r="U526" s="57" t="str">
        <f t="shared" si="111"/>
        <v/>
      </c>
      <c r="V526" s="53" t="str">
        <f t="shared" si="112"/>
        <v/>
      </c>
      <c r="W526" s="53" t="str">
        <f t="shared" si="113"/>
        <v/>
      </c>
      <c r="X526" s="53" t="str">
        <f t="shared" si="114"/>
        <v/>
      </c>
      <c r="Y526" s="57" t="str">
        <f>IF($X526="","",IFERROR(VLOOKUP($X526,'Char Popularity'!$A$2:$C$500,2,FALSE),""))</f>
        <v/>
      </c>
      <c r="Z526" s="56">
        <f>IF($X526="",1,IFERROR(VLOOKUP($X526,'Char Popularity'!$A$2:$C$500,3,FALSE),1))</f>
        <v>1</v>
      </c>
      <c r="AA526" s="62">
        <f>IF($H526&lt;&gt;"Y",0,(IF($F526&lt;&gt;"",ROUND(Dashboard!$R$4/$F526,1),IF(AND($I526="Base",$E526="Base"),Dashboard!$R$5,IF(AND($I526="Base",$E526="Red"),Dashboard!$R$6,IF(AND($I526="Base",$E526="Gold"),Dashboard!$R$7,VLOOKUP($I526,Dashboard!$Q$16:$R$21,2,FALSE)))))*VLOOKUP($I526,Dashboard!$Q$9:$R$13,2,FALSE)*IF(AND($I526="Auto",$F526="",OR($B526="Autographs Duals",$B526="Autographs Triples",$B526="Autographs Quads",$B526="Autographs Quads (Inscribed)")),IF($B526="Autographs Duals",2,IF($B526="Autographs Triples",3,4)),1)))</f>
        <v>2</v>
      </c>
      <c r="AB526" s="62">
        <f t="shared" si="115"/>
        <v>2</v>
      </c>
      <c r="AC526" s="62">
        <f t="shared" si="116"/>
        <v>0</v>
      </c>
    </row>
    <row r="527" spans="1:29" ht="28.7" customHeight="1" x14ac:dyDescent="0.25">
      <c r="A527" s="4" t="s">
        <v>17</v>
      </c>
      <c r="B527" s="7" t="s">
        <v>63</v>
      </c>
      <c r="C527" s="2" t="s">
        <v>1425</v>
      </c>
      <c r="D527" s="7" t="s">
        <v>895</v>
      </c>
      <c r="E527" s="4" t="s">
        <v>823</v>
      </c>
      <c r="F527" s="2"/>
      <c r="G527" s="2" t="s">
        <v>1399</v>
      </c>
      <c r="H527" s="2" t="s">
        <v>1400</v>
      </c>
      <c r="I527" s="4" t="s">
        <v>60</v>
      </c>
      <c r="J527" s="112">
        <f>IF($H527&lt;&gt;"Y",0,ROUND(MIN(Dashboard!$R$24,IF(IFERROR(VLOOKUP($B527,Dashboard!$Q$28:$S$60,2,FALSE),0)&gt;0,IFERROR(VLOOKUP($B527,Dashboard!$Q$28:$S$60,2,FALSE),0),$Z527*IF($U527&lt;&gt;"",ROUND((Dashboard!$R$4/$U527)*VLOOKUP($I527,Dashboard!$Q$9:$R$13,2,FALSE)*IF(ISNUMBER(SEARCH("Duals",$B527)),2,IF(ISNUMBER(SEARCH("Triples",$B527)),3,IF(ISNUMBER(SEARCH("Quads",$B527)),4,1))),2),ROUND(VLOOKUP($I527,Dashboard!$Q$15:$R$20,2,FALSE)*IF($E527="Red",Dashboard!$R$6,IF($E527="Gold",Dashboard!$R$7,Dashboard!$R$5))*IF(ISNUMBER(SEARCH("Duals",$B527)),2,IF(ISNUMBER(SEARCH("Triples",$B527)),3,IF(ISNUMBER(SEARCH("Quads",$B527)),4,1))),2))*IF(IFERROR(VLOOKUP($B527,Dashboard!$Q$28:$S$60,3,FALSE),0)&gt;0,VLOOKUP($B527,Dashboard!$Q$28:$S$60,3,FALSE),1))),0))</f>
        <v>2</v>
      </c>
      <c r="K527" s="2" t="str">
        <f>IF('Base S1'!D27="","",'Base S1'!D27)</f>
        <v>h</v>
      </c>
      <c r="L527" s="2">
        <f t="shared" si="104"/>
        <v>1</v>
      </c>
      <c r="M527" s="2">
        <f t="shared" si="105"/>
        <v>0</v>
      </c>
      <c r="N527" s="2">
        <f t="shared" si="106"/>
        <v>1</v>
      </c>
      <c r="O527" s="2">
        <f t="shared" si="107"/>
        <v>0</v>
      </c>
      <c r="P527" s="112">
        <f t="shared" si="108"/>
        <v>2</v>
      </c>
      <c r="Q527" s="112">
        <f t="shared" si="109"/>
        <v>0</v>
      </c>
      <c r="R527" s="53"/>
      <c r="S527" s="53" t="str">
        <f t="shared" si="110"/>
        <v>Base S1|Red Parallel - Season 1|26|Red</v>
      </c>
      <c r="T527" s="57" t="str">
        <f>IF($S527="","",IFERROR(VLOOKUP($S527,'Pop Estimates (Non-#d)'!$N$2:$O$500,2,FALSE),""))</f>
        <v/>
      </c>
      <c r="U527" s="57" t="str">
        <f t="shared" si="111"/>
        <v/>
      </c>
      <c r="V527" s="53" t="str">
        <f t="shared" si="112"/>
        <v/>
      </c>
      <c r="W527" s="53" t="str">
        <f t="shared" si="113"/>
        <v/>
      </c>
      <c r="X527" s="53" t="str">
        <f t="shared" si="114"/>
        <v/>
      </c>
      <c r="Y527" s="57" t="str">
        <f>IF($X527="","",IFERROR(VLOOKUP($X527,'Char Popularity'!$A$2:$C$500,2,FALSE),""))</f>
        <v/>
      </c>
      <c r="Z527" s="56">
        <f>IF($X527="",1,IFERROR(VLOOKUP($X527,'Char Popularity'!$A$2:$C$500,3,FALSE),1))</f>
        <v>1</v>
      </c>
      <c r="AA527" s="62">
        <f>IF($H527&lt;&gt;"Y",0,(IF($F527&lt;&gt;"",ROUND(Dashboard!$R$4/$F527,1),IF(AND($I527="Base",$E527="Base"),Dashboard!$R$5,IF(AND($I527="Base",$E527="Red"),Dashboard!$R$6,IF(AND($I527="Base",$E527="Gold"),Dashboard!$R$7,VLOOKUP($I527,Dashboard!$Q$16:$R$21,2,FALSE)))))*VLOOKUP($I527,Dashboard!$Q$9:$R$13,2,FALSE)*IF(AND($I527="Auto",$F527="",OR($B527="Autographs Duals",$B527="Autographs Triples",$B527="Autographs Quads",$B527="Autographs Quads (Inscribed)")),IF($B527="Autographs Duals",2,IF($B527="Autographs Triples",3,4)),1)))</f>
        <v>2</v>
      </c>
      <c r="AB527" s="62">
        <f t="shared" si="115"/>
        <v>2</v>
      </c>
      <c r="AC527" s="62">
        <f t="shared" si="116"/>
        <v>0</v>
      </c>
    </row>
    <row r="528" spans="1:29" ht="28.7" customHeight="1" x14ac:dyDescent="0.25">
      <c r="A528" s="4" t="s">
        <v>17</v>
      </c>
      <c r="B528" s="7" t="s">
        <v>63</v>
      </c>
      <c r="C528" s="2" t="s">
        <v>1426</v>
      </c>
      <c r="D528" s="7" t="s">
        <v>897</v>
      </c>
      <c r="E528" s="4" t="s">
        <v>823</v>
      </c>
      <c r="F528" s="2"/>
      <c r="G528" s="2" t="s">
        <v>1399</v>
      </c>
      <c r="H528" s="2" t="s">
        <v>1400</v>
      </c>
      <c r="I528" s="4" t="s">
        <v>60</v>
      </c>
      <c r="J528" s="112">
        <f>IF($H528&lt;&gt;"Y",0,ROUND(MIN(Dashboard!$R$24,IF(IFERROR(VLOOKUP($B528,Dashboard!$Q$28:$S$60,2,FALSE),0)&gt;0,IFERROR(VLOOKUP($B528,Dashboard!$Q$28:$S$60,2,FALSE),0),$Z528*IF($U528&lt;&gt;"",ROUND((Dashboard!$R$4/$U528)*VLOOKUP($I528,Dashboard!$Q$9:$R$13,2,FALSE)*IF(ISNUMBER(SEARCH("Duals",$B528)),2,IF(ISNUMBER(SEARCH("Triples",$B528)),3,IF(ISNUMBER(SEARCH("Quads",$B528)),4,1))),2),ROUND(VLOOKUP($I528,Dashboard!$Q$15:$R$20,2,FALSE)*IF($E528="Red",Dashboard!$R$6,IF($E528="Gold",Dashboard!$R$7,Dashboard!$R$5))*IF(ISNUMBER(SEARCH("Duals",$B528)),2,IF(ISNUMBER(SEARCH("Triples",$B528)),3,IF(ISNUMBER(SEARCH("Quads",$B528)),4,1))),2))*IF(IFERROR(VLOOKUP($B528,Dashboard!$Q$28:$S$60,3,FALSE),0)&gt;0,VLOOKUP($B528,Dashboard!$Q$28:$S$60,3,FALSE),1))),0))</f>
        <v>2</v>
      </c>
      <c r="K528" s="2" t="str">
        <f>IF('Base S1'!D28="","",'Base S1'!D28)</f>
        <v>h</v>
      </c>
      <c r="L528" s="2">
        <f t="shared" si="104"/>
        <v>1</v>
      </c>
      <c r="M528" s="2">
        <f t="shared" si="105"/>
        <v>0</v>
      </c>
      <c r="N528" s="2">
        <f t="shared" si="106"/>
        <v>1</v>
      </c>
      <c r="O528" s="2">
        <f t="shared" si="107"/>
        <v>0</v>
      </c>
      <c r="P528" s="112">
        <f t="shared" si="108"/>
        <v>2</v>
      </c>
      <c r="Q528" s="112">
        <f t="shared" si="109"/>
        <v>0</v>
      </c>
      <c r="R528" s="53"/>
      <c r="S528" s="53" t="str">
        <f t="shared" si="110"/>
        <v>Base S1|Red Parallel - Season 1|27|Red</v>
      </c>
      <c r="T528" s="57" t="str">
        <f>IF($S528="","",IFERROR(VLOOKUP($S528,'Pop Estimates (Non-#d)'!$N$2:$O$500,2,FALSE),""))</f>
        <v/>
      </c>
      <c r="U528" s="57" t="str">
        <f t="shared" si="111"/>
        <v/>
      </c>
      <c r="V528" s="53" t="str">
        <f t="shared" si="112"/>
        <v/>
      </c>
      <c r="W528" s="53" t="str">
        <f t="shared" si="113"/>
        <v/>
      </c>
      <c r="X528" s="53" t="str">
        <f t="shared" si="114"/>
        <v/>
      </c>
      <c r="Y528" s="57" t="str">
        <f>IF($X528="","",IFERROR(VLOOKUP($X528,'Char Popularity'!$A$2:$C$500,2,FALSE),""))</f>
        <v/>
      </c>
      <c r="Z528" s="56">
        <f>IF($X528="",1,IFERROR(VLOOKUP($X528,'Char Popularity'!$A$2:$C$500,3,FALSE),1))</f>
        <v>1</v>
      </c>
      <c r="AA528" s="62">
        <f>IF($H528&lt;&gt;"Y",0,(IF($F528&lt;&gt;"",ROUND(Dashboard!$R$4/$F528,1),IF(AND($I528="Base",$E528="Base"),Dashboard!$R$5,IF(AND($I528="Base",$E528="Red"),Dashboard!$R$6,IF(AND($I528="Base",$E528="Gold"),Dashboard!$R$7,VLOOKUP($I528,Dashboard!$Q$16:$R$21,2,FALSE)))))*VLOOKUP($I528,Dashboard!$Q$9:$R$13,2,FALSE)*IF(AND($I528="Auto",$F528="",OR($B528="Autographs Duals",$B528="Autographs Triples",$B528="Autographs Quads",$B528="Autographs Quads (Inscribed)")),IF($B528="Autographs Duals",2,IF($B528="Autographs Triples",3,4)),1)))</f>
        <v>2</v>
      </c>
      <c r="AB528" s="62">
        <f t="shared" si="115"/>
        <v>2</v>
      </c>
      <c r="AC528" s="62">
        <f t="shared" si="116"/>
        <v>0</v>
      </c>
    </row>
    <row r="529" spans="1:29" ht="28.7" customHeight="1" x14ac:dyDescent="0.25">
      <c r="A529" s="4" t="s">
        <v>17</v>
      </c>
      <c r="B529" s="7" t="s">
        <v>63</v>
      </c>
      <c r="C529" s="2" t="s">
        <v>1427</v>
      </c>
      <c r="D529" s="7" t="s">
        <v>900</v>
      </c>
      <c r="E529" s="4" t="s">
        <v>823</v>
      </c>
      <c r="F529" s="2"/>
      <c r="G529" s="2" t="s">
        <v>1399</v>
      </c>
      <c r="H529" s="2" t="s">
        <v>1400</v>
      </c>
      <c r="I529" s="4" t="s">
        <v>60</v>
      </c>
      <c r="J529" s="112">
        <f>IF($H529&lt;&gt;"Y",0,ROUND(MIN(Dashboard!$R$24,IF(IFERROR(VLOOKUP($B529,Dashboard!$Q$28:$S$60,2,FALSE),0)&gt;0,IFERROR(VLOOKUP($B529,Dashboard!$Q$28:$S$60,2,FALSE),0),$Z529*IF($U529&lt;&gt;"",ROUND((Dashboard!$R$4/$U529)*VLOOKUP($I529,Dashboard!$Q$9:$R$13,2,FALSE)*IF(ISNUMBER(SEARCH("Duals",$B529)),2,IF(ISNUMBER(SEARCH("Triples",$B529)),3,IF(ISNUMBER(SEARCH("Quads",$B529)),4,1))),2),ROUND(VLOOKUP($I529,Dashboard!$Q$15:$R$20,2,FALSE)*IF($E529="Red",Dashboard!$R$6,IF($E529="Gold",Dashboard!$R$7,Dashboard!$R$5))*IF(ISNUMBER(SEARCH("Duals",$B529)),2,IF(ISNUMBER(SEARCH("Triples",$B529)),3,IF(ISNUMBER(SEARCH("Quads",$B529)),4,1))),2))*IF(IFERROR(VLOOKUP($B529,Dashboard!$Q$28:$S$60,3,FALSE),0)&gt;0,VLOOKUP($B529,Dashboard!$Q$28:$S$60,3,FALSE),1))),0))</f>
        <v>2</v>
      </c>
      <c r="K529" s="2" t="str">
        <f>IF('Base S1'!D29="","",'Base S1'!D29)</f>
        <v>h</v>
      </c>
      <c r="L529" s="2">
        <f t="shared" si="104"/>
        <v>1</v>
      </c>
      <c r="M529" s="2">
        <f t="shared" si="105"/>
        <v>0</v>
      </c>
      <c r="N529" s="2">
        <f t="shared" si="106"/>
        <v>1</v>
      </c>
      <c r="O529" s="2">
        <f t="shared" si="107"/>
        <v>0</v>
      </c>
      <c r="P529" s="112">
        <f t="shared" si="108"/>
        <v>2</v>
      </c>
      <c r="Q529" s="112">
        <f t="shared" si="109"/>
        <v>0</v>
      </c>
      <c r="R529" s="53"/>
      <c r="S529" s="53" t="str">
        <f t="shared" si="110"/>
        <v>Base S1|Red Parallel - Season 1|28|Red</v>
      </c>
      <c r="T529" s="57" t="str">
        <f>IF($S529="","",IFERROR(VLOOKUP($S529,'Pop Estimates (Non-#d)'!$N$2:$O$500,2,FALSE),""))</f>
        <v/>
      </c>
      <c r="U529" s="57" t="str">
        <f t="shared" si="111"/>
        <v/>
      </c>
      <c r="V529" s="53" t="str">
        <f t="shared" si="112"/>
        <v/>
      </c>
      <c r="W529" s="53" t="str">
        <f t="shared" si="113"/>
        <v/>
      </c>
      <c r="X529" s="53" t="str">
        <f t="shared" si="114"/>
        <v/>
      </c>
      <c r="Y529" s="57" t="str">
        <f>IF($X529="","",IFERROR(VLOOKUP($X529,'Char Popularity'!$A$2:$C$500,2,FALSE),""))</f>
        <v/>
      </c>
      <c r="Z529" s="56">
        <f>IF($X529="",1,IFERROR(VLOOKUP($X529,'Char Popularity'!$A$2:$C$500,3,FALSE),1))</f>
        <v>1</v>
      </c>
      <c r="AA529" s="62">
        <f>IF($H529&lt;&gt;"Y",0,(IF($F529&lt;&gt;"",ROUND(Dashboard!$R$4/$F529,1),IF(AND($I529="Base",$E529="Base"),Dashboard!$R$5,IF(AND($I529="Base",$E529="Red"),Dashboard!$R$6,IF(AND($I529="Base",$E529="Gold"),Dashboard!$R$7,VLOOKUP($I529,Dashboard!$Q$16:$R$21,2,FALSE)))))*VLOOKUP($I529,Dashboard!$Q$9:$R$13,2,FALSE)*IF(AND($I529="Auto",$F529="",OR($B529="Autographs Duals",$B529="Autographs Triples",$B529="Autographs Quads",$B529="Autographs Quads (Inscribed)")),IF($B529="Autographs Duals",2,IF($B529="Autographs Triples",3,4)),1)))</f>
        <v>2</v>
      </c>
      <c r="AB529" s="62">
        <f t="shared" si="115"/>
        <v>2</v>
      </c>
      <c r="AC529" s="62">
        <f t="shared" si="116"/>
        <v>0</v>
      </c>
    </row>
    <row r="530" spans="1:29" ht="28.7" customHeight="1" x14ac:dyDescent="0.25">
      <c r="A530" s="4" t="s">
        <v>17</v>
      </c>
      <c r="B530" s="7" t="s">
        <v>63</v>
      </c>
      <c r="C530" s="2" t="s">
        <v>1428</v>
      </c>
      <c r="D530" s="7" t="s">
        <v>902</v>
      </c>
      <c r="E530" s="4" t="s">
        <v>823</v>
      </c>
      <c r="F530" s="2"/>
      <c r="G530" s="2" t="s">
        <v>1399</v>
      </c>
      <c r="H530" s="2" t="s">
        <v>1400</v>
      </c>
      <c r="I530" s="4" t="s">
        <v>60</v>
      </c>
      <c r="J530" s="112">
        <f>IF($H530&lt;&gt;"Y",0,ROUND(MIN(Dashboard!$R$24,IF(IFERROR(VLOOKUP($B530,Dashboard!$Q$28:$S$60,2,FALSE),0)&gt;0,IFERROR(VLOOKUP($B530,Dashboard!$Q$28:$S$60,2,FALSE),0),$Z530*IF($U530&lt;&gt;"",ROUND((Dashboard!$R$4/$U530)*VLOOKUP($I530,Dashboard!$Q$9:$R$13,2,FALSE)*IF(ISNUMBER(SEARCH("Duals",$B530)),2,IF(ISNUMBER(SEARCH("Triples",$B530)),3,IF(ISNUMBER(SEARCH("Quads",$B530)),4,1))),2),ROUND(VLOOKUP($I530,Dashboard!$Q$15:$R$20,2,FALSE)*IF($E530="Red",Dashboard!$R$6,IF($E530="Gold",Dashboard!$R$7,Dashboard!$R$5))*IF(ISNUMBER(SEARCH("Duals",$B530)),2,IF(ISNUMBER(SEARCH("Triples",$B530)),3,IF(ISNUMBER(SEARCH("Quads",$B530)),4,1))),2))*IF(IFERROR(VLOOKUP($B530,Dashboard!$Q$28:$S$60,3,FALSE),0)&gt;0,VLOOKUP($B530,Dashboard!$Q$28:$S$60,3,FALSE),1))),0))</f>
        <v>2</v>
      </c>
      <c r="K530" s="2" t="str">
        <f>IF('Base S1'!D30="","",'Base S1'!D30)</f>
        <v>h</v>
      </c>
      <c r="L530" s="2">
        <f t="shared" si="104"/>
        <v>1</v>
      </c>
      <c r="M530" s="2">
        <f t="shared" si="105"/>
        <v>0</v>
      </c>
      <c r="N530" s="2">
        <f t="shared" si="106"/>
        <v>1</v>
      </c>
      <c r="O530" s="2">
        <f t="shared" si="107"/>
        <v>0</v>
      </c>
      <c r="P530" s="112">
        <f t="shared" si="108"/>
        <v>2</v>
      </c>
      <c r="Q530" s="112">
        <f t="shared" si="109"/>
        <v>0</v>
      </c>
      <c r="R530" s="53"/>
      <c r="S530" s="53" t="str">
        <f t="shared" si="110"/>
        <v>Base S1|Red Parallel - Season 1|29|Red</v>
      </c>
      <c r="T530" s="57" t="str">
        <f>IF($S530="","",IFERROR(VLOOKUP($S530,'Pop Estimates (Non-#d)'!$N$2:$O$500,2,FALSE),""))</f>
        <v/>
      </c>
      <c r="U530" s="57" t="str">
        <f t="shared" si="111"/>
        <v/>
      </c>
      <c r="V530" s="53" t="str">
        <f t="shared" si="112"/>
        <v/>
      </c>
      <c r="W530" s="53" t="str">
        <f t="shared" si="113"/>
        <v/>
      </c>
      <c r="X530" s="53" t="str">
        <f t="shared" si="114"/>
        <v/>
      </c>
      <c r="Y530" s="57" t="str">
        <f>IF($X530="","",IFERROR(VLOOKUP($X530,'Char Popularity'!$A$2:$C$500,2,FALSE),""))</f>
        <v/>
      </c>
      <c r="Z530" s="56">
        <f>IF($X530="",1,IFERROR(VLOOKUP($X530,'Char Popularity'!$A$2:$C$500,3,FALSE),1))</f>
        <v>1</v>
      </c>
      <c r="AA530" s="62">
        <f>IF($H530&lt;&gt;"Y",0,(IF($F530&lt;&gt;"",ROUND(Dashboard!$R$4/$F530,1),IF(AND($I530="Base",$E530="Base"),Dashboard!$R$5,IF(AND($I530="Base",$E530="Red"),Dashboard!$R$6,IF(AND($I530="Base",$E530="Gold"),Dashboard!$R$7,VLOOKUP($I530,Dashboard!$Q$16:$R$21,2,FALSE)))))*VLOOKUP($I530,Dashboard!$Q$9:$R$13,2,FALSE)*IF(AND($I530="Auto",$F530="",OR($B530="Autographs Duals",$B530="Autographs Triples",$B530="Autographs Quads",$B530="Autographs Quads (Inscribed)")),IF($B530="Autographs Duals",2,IF($B530="Autographs Triples",3,4)),1)))</f>
        <v>2</v>
      </c>
      <c r="AB530" s="62">
        <f t="shared" si="115"/>
        <v>2</v>
      </c>
      <c r="AC530" s="62">
        <f t="shared" si="116"/>
        <v>0</v>
      </c>
    </row>
    <row r="531" spans="1:29" ht="28.7" customHeight="1" x14ac:dyDescent="0.25">
      <c r="A531" s="4" t="s">
        <v>17</v>
      </c>
      <c r="B531" s="7" t="s">
        <v>63</v>
      </c>
      <c r="C531" s="2" t="s">
        <v>1429</v>
      </c>
      <c r="D531" s="7" t="s">
        <v>904</v>
      </c>
      <c r="E531" s="4" t="s">
        <v>823</v>
      </c>
      <c r="F531" s="2"/>
      <c r="G531" s="2" t="s">
        <v>1399</v>
      </c>
      <c r="H531" s="2" t="s">
        <v>1400</v>
      </c>
      <c r="I531" s="4" t="s">
        <v>60</v>
      </c>
      <c r="J531" s="112">
        <f>IF($H531&lt;&gt;"Y",0,ROUND(MIN(Dashboard!$R$24,IF(IFERROR(VLOOKUP($B531,Dashboard!$Q$28:$S$60,2,FALSE),0)&gt;0,IFERROR(VLOOKUP($B531,Dashboard!$Q$28:$S$60,2,FALSE),0),$Z531*IF($U531&lt;&gt;"",ROUND((Dashboard!$R$4/$U531)*VLOOKUP($I531,Dashboard!$Q$9:$R$13,2,FALSE)*IF(ISNUMBER(SEARCH("Duals",$B531)),2,IF(ISNUMBER(SEARCH("Triples",$B531)),3,IF(ISNUMBER(SEARCH("Quads",$B531)),4,1))),2),ROUND(VLOOKUP($I531,Dashboard!$Q$15:$R$20,2,FALSE)*IF($E531="Red",Dashboard!$R$6,IF($E531="Gold",Dashboard!$R$7,Dashboard!$R$5))*IF(ISNUMBER(SEARCH("Duals",$B531)),2,IF(ISNUMBER(SEARCH("Triples",$B531)),3,IF(ISNUMBER(SEARCH("Quads",$B531)),4,1))),2))*IF(IFERROR(VLOOKUP($B531,Dashboard!$Q$28:$S$60,3,FALSE),0)&gt;0,VLOOKUP($B531,Dashboard!$Q$28:$S$60,3,FALSE),1))),0))</f>
        <v>2</v>
      </c>
      <c r="K531" s="2" t="str">
        <f>IF('Base S1'!D31="","",'Base S1'!D31)</f>
        <v>h</v>
      </c>
      <c r="L531" s="2">
        <f t="shared" si="104"/>
        <v>1</v>
      </c>
      <c r="M531" s="2">
        <f t="shared" si="105"/>
        <v>0</v>
      </c>
      <c r="N531" s="2">
        <f t="shared" si="106"/>
        <v>1</v>
      </c>
      <c r="O531" s="2">
        <f t="shared" si="107"/>
        <v>0</v>
      </c>
      <c r="P531" s="112">
        <f t="shared" si="108"/>
        <v>2</v>
      </c>
      <c r="Q531" s="112">
        <f t="shared" si="109"/>
        <v>0</v>
      </c>
      <c r="R531" s="53"/>
      <c r="S531" s="53" t="str">
        <f t="shared" si="110"/>
        <v>Base S1|Red Parallel - Season 1|30|Red</v>
      </c>
      <c r="T531" s="57" t="str">
        <f>IF($S531="","",IFERROR(VLOOKUP($S531,'Pop Estimates (Non-#d)'!$N$2:$O$500,2,FALSE),""))</f>
        <v/>
      </c>
      <c r="U531" s="57" t="str">
        <f t="shared" si="111"/>
        <v/>
      </c>
      <c r="V531" s="53" t="str">
        <f t="shared" si="112"/>
        <v/>
      </c>
      <c r="W531" s="53" t="str">
        <f t="shared" si="113"/>
        <v/>
      </c>
      <c r="X531" s="53" t="str">
        <f t="shared" si="114"/>
        <v/>
      </c>
      <c r="Y531" s="57" t="str">
        <f>IF($X531="","",IFERROR(VLOOKUP($X531,'Char Popularity'!$A$2:$C$500,2,FALSE),""))</f>
        <v/>
      </c>
      <c r="Z531" s="56">
        <f>IF($X531="",1,IFERROR(VLOOKUP($X531,'Char Popularity'!$A$2:$C$500,3,FALSE),1))</f>
        <v>1</v>
      </c>
      <c r="AA531" s="62">
        <f>IF($H531&lt;&gt;"Y",0,(IF($F531&lt;&gt;"",ROUND(Dashboard!$R$4/$F531,1),IF(AND($I531="Base",$E531="Base"),Dashboard!$R$5,IF(AND($I531="Base",$E531="Red"),Dashboard!$R$6,IF(AND($I531="Base",$E531="Gold"),Dashboard!$R$7,VLOOKUP($I531,Dashboard!$Q$16:$R$21,2,FALSE)))))*VLOOKUP($I531,Dashboard!$Q$9:$R$13,2,FALSE)*IF(AND($I531="Auto",$F531="",OR($B531="Autographs Duals",$B531="Autographs Triples",$B531="Autographs Quads",$B531="Autographs Quads (Inscribed)")),IF($B531="Autographs Duals",2,IF($B531="Autographs Triples",3,4)),1)))</f>
        <v>2</v>
      </c>
      <c r="AB531" s="62">
        <f t="shared" si="115"/>
        <v>2</v>
      </c>
      <c r="AC531" s="62">
        <f t="shared" si="116"/>
        <v>0</v>
      </c>
    </row>
    <row r="532" spans="1:29" ht="28.7" customHeight="1" x14ac:dyDescent="0.25">
      <c r="A532" s="4" t="s">
        <v>17</v>
      </c>
      <c r="B532" s="7" t="s">
        <v>63</v>
      </c>
      <c r="C532" s="2" t="s">
        <v>1430</v>
      </c>
      <c r="D532" s="7" t="s">
        <v>906</v>
      </c>
      <c r="E532" s="4" t="s">
        <v>823</v>
      </c>
      <c r="F532" s="2"/>
      <c r="G532" s="2" t="s">
        <v>1399</v>
      </c>
      <c r="H532" s="2" t="s">
        <v>1400</v>
      </c>
      <c r="I532" s="4" t="s">
        <v>60</v>
      </c>
      <c r="J532" s="112">
        <f>IF($H532&lt;&gt;"Y",0,ROUND(MIN(Dashboard!$R$24,IF(IFERROR(VLOOKUP($B532,Dashboard!$Q$28:$S$60,2,FALSE),0)&gt;0,IFERROR(VLOOKUP($B532,Dashboard!$Q$28:$S$60,2,FALSE),0),$Z532*IF($U532&lt;&gt;"",ROUND((Dashboard!$R$4/$U532)*VLOOKUP($I532,Dashboard!$Q$9:$R$13,2,FALSE)*IF(ISNUMBER(SEARCH("Duals",$B532)),2,IF(ISNUMBER(SEARCH("Triples",$B532)),3,IF(ISNUMBER(SEARCH("Quads",$B532)),4,1))),2),ROUND(VLOOKUP($I532,Dashboard!$Q$15:$R$20,2,FALSE)*IF($E532="Red",Dashboard!$R$6,IF($E532="Gold",Dashboard!$R$7,Dashboard!$R$5))*IF(ISNUMBER(SEARCH("Duals",$B532)),2,IF(ISNUMBER(SEARCH("Triples",$B532)),3,IF(ISNUMBER(SEARCH("Quads",$B532)),4,1))),2))*IF(IFERROR(VLOOKUP($B532,Dashboard!$Q$28:$S$60,3,FALSE),0)&gt;0,VLOOKUP($B532,Dashboard!$Q$28:$S$60,3,FALSE),1))),0))</f>
        <v>2</v>
      </c>
      <c r="K532" s="2" t="str">
        <f>IF('Base S1'!D32="","",'Base S1'!D32)</f>
        <v>h</v>
      </c>
      <c r="L532" s="2">
        <f t="shared" si="104"/>
        <v>1</v>
      </c>
      <c r="M532" s="2">
        <f t="shared" si="105"/>
        <v>0</v>
      </c>
      <c r="N532" s="2">
        <f t="shared" si="106"/>
        <v>1</v>
      </c>
      <c r="O532" s="2">
        <f t="shared" si="107"/>
        <v>0</v>
      </c>
      <c r="P532" s="112">
        <f t="shared" si="108"/>
        <v>2</v>
      </c>
      <c r="Q532" s="112">
        <f t="shared" si="109"/>
        <v>0</v>
      </c>
      <c r="R532" s="53"/>
      <c r="S532" s="53" t="str">
        <f t="shared" si="110"/>
        <v>Base S1|Red Parallel - Season 1|31|Red</v>
      </c>
      <c r="T532" s="57" t="str">
        <f>IF($S532="","",IFERROR(VLOOKUP($S532,'Pop Estimates (Non-#d)'!$N$2:$O$500,2,FALSE),""))</f>
        <v/>
      </c>
      <c r="U532" s="57" t="str">
        <f t="shared" si="111"/>
        <v/>
      </c>
      <c r="V532" s="53" t="str">
        <f t="shared" si="112"/>
        <v/>
      </c>
      <c r="W532" s="53" t="str">
        <f t="shared" si="113"/>
        <v/>
      </c>
      <c r="X532" s="53" t="str">
        <f t="shared" si="114"/>
        <v/>
      </c>
      <c r="Y532" s="57" t="str">
        <f>IF($X532="","",IFERROR(VLOOKUP($X532,'Char Popularity'!$A$2:$C$500,2,FALSE),""))</f>
        <v/>
      </c>
      <c r="Z532" s="56">
        <f>IF($X532="",1,IFERROR(VLOOKUP($X532,'Char Popularity'!$A$2:$C$500,3,FALSE),1))</f>
        <v>1</v>
      </c>
      <c r="AA532" s="62">
        <f>IF($H532&lt;&gt;"Y",0,(IF($F532&lt;&gt;"",ROUND(Dashboard!$R$4/$F532,1),IF(AND($I532="Base",$E532="Base"),Dashboard!$R$5,IF(AND($I532="Base",$E532="Red"),Dashboard!$R$6,IF(AND($I532="Base",$E532="Gold"),Dashboard!$R$7,VLOOKUP($I532,Dashboard!$Q$16:$R$21,2,FALSE)))))*VLOOKUP($I532,Dashboard!$Q$9:$R$13,2,FALSE)*IF(AND($I532="Auto",$F532="",OR($B532="Autographs Duals",$B532="Autographs Triples",$B532="Autographs Quads",$B532="Autographs Quads (Inscribed)")),IF($B532="Autographs Duals",2,IF($B532="Autographs Triples",3,4)),1)))</f>
        <v>2</v>
      </c>
      <c r="AB532" s="62">
        <f t="shared" si="115"/>
        <v>2</v>
      </c>
      <c r="AC532" s="62">
        <f t="shared" si="116"/>
        <v>0</v>
      </c>
    </row>
    <row r="533" spans="1:29" ht="28.7" customHeight="1" x14ac:dyDescent="0.25">
      <c r="A533" s="4" t="s">
        <v>17</v>
      </c>
      <c r="B533" s="7" t="s">
        <v>63</v>
      </c>
      <c r="C533" s="2" t="s">
        <v>1431</v>
      </c>
      <c r="D533" s="7" t="s">
        <v>908</v>
      </c>
      <c r="E533" s="4" t="s">
        <v>823</v>
      </c>
      <c r="F533" s="2"/>
      <c r="G533" s="2" t="s">
        <v>1399</v>
      </c>
      <c r="H533" s="2" t="s">
        <v>1400</v>
      </c>
      <c r="I533" s="4" t="s">
        <v>60</v>
      </c>
      <c r="J533" s="112">
        <f>IF($H533&lt;&gt;"Y",0,ROUND(MIN(Dashboard!$R$24,IF(IFERROR(VLOOKUP($B533,Dashboard!$Q$28:$S$60,2,FALSE),0)&gt;0,IFERROR(VLOOKUP($B533,Dashboard!$Q$28:$S$60,2,FALSE),0),$Z533*IF($U533&lt;&gt;"",ROUND((Dashboard!$R$4/$U533)*VLOOKUP($I533,Dashboard!$Q$9:$R$13,2,FALSE)*IF(ISNUMBER(SEARCH("Duals",$B533)),2,IF(ISNUMBER(SEARCH("Triples",$B533)),3,IF(ISNUMBER(SEARCH("Quads",$B533)),4,1))),2),ROUND(VLOOKUP($I533,Dashboard!$Q$15:$R$20,2,FALSE)*IF($E533="Red",Dashboard!$R$6,IF($E533="Gold",Dashboard!$R$7,Dashboard!$R$5))*IF(ISNUMBER(SEARCH("Duals",$B533)),2,IF(ISNUMBER(SEARCH("Triples",$B533)),3,IF(ISNUMBER(SEARCH("Quads",$B533)),4,1))),2))*IF(IFERROR(VLOOKUP($B533,Dashboard!$Q$28:$S$60,3,FALSE),0)&gt;0,VLOOKUP($B533,Dashboard!$Q$28:$S$60,3,FALSE),1))),0))</f>
        <v>2</v>
      </c>
      <c r="K533" s="2" t="str">
        <f>IF('Base S1'!D33="","",'Base S1'!D33)</f>
        <v>h</v>
      </c>
      <c r="L533" s="2">
        <f t="shared" si="104"/>
        <v>1</v>
      </c>
      <c r="M533" s="2">
        <f t="shared" si="105"/>
        <v>0</v>
      </c>
      <c r="N533" s="2">
        <f t="shared" si="106"/>
        <v>1</v>
      </c>
      <c r="O533" s="2">
        <f t="shared" si="107"/>
        <v>0</v>
      </c>
      <c r="P533" s="112">
        <f t="shared" si="108"/>
        <v>2</v>
      </c>
      <c r="Q533" s="112">
        <f t="shared" si="109"/>
        <v>0</v>
      </c>
      <c r="R533" s="53"/>
      <c r="S533" s="53" t="str">
        <f t="shared" si="110"/>
        <v>Base S1|Red Parallel - Season 1|32|Red</v>
      </c>
      <c r="T533" s="57" t="str">
        <f>IF($S533="","",IFERROR(VLOOKUP($S533,'Pop Estimates (Non-#d)'!$N$2:$O$500,2,FALSE),""))</f>
        <v/>
      </c>
      <c r="U533" s="57" t="str">
        <f t="shared" si="111"/>
        <v/>
      </c>
      <c r="V533" s="53" t="str">
        <f t="shared" si="112"/>
        <v/>
      </c>
      <c r="W533" s="53" t="str">
        <f t="shared" si="113"/>
        <v/>
      </c>
      <c r="X533" s="53" t="str">
        <f t="shared" si="114"/>
        <v/>
      </c>
      <c r="Y533" s="57" t="str">
        <f>IF($X533="","",IFERROR(VLOOKUP($X533,'Char Popularity'!$A$2:$C$500,2,FALSE),""))</f>
        <v/>
      </c>
      <c r="Z533" s="56">
        <f>IF($X533="",1,IFERROR(VLOOKUP($X533,'Char Popularity'!$A$2:$C$500,3,FALSE),1))</f>
        <v>1</v>
      </c>
      <c r="AA533" s="62">
        <f>IF($H533&lt;&gt;"Y",0,(IF($F533&lt;&gt;"",ROUND(Dashboard!$R$4/$F533,1),IF(AND($I533="Base",$E533="Base"),Dashboard!$R$5,IF(AND($I533="Base",$E533="Red"),Dashboard!$R$6,IF(AND($I533="Base",$E533="Gold"),Dashboard!$R$7,VLOOKUP($I533,Dashboard!$Q$16:$R$21,2,FALSE)))))*VLOOKUP($I533,Dashboard!$Q$9:$R$13,2,FALSE)*IF(AND($I533="Auto",$F533="",OR($B533="Autographs Duals",$B533="Autographs Triples",$B533="Autographs Quads",$B533="Autographs Quads (Inscribed)")),IF($B533="Autographs Duals",2,IF($B533="Autographs Triples",3,4)),1)))</f>
        <v>2</v>
      </c>
      <c r="AB533" s="62">
        <f t="shared" si="115"/>
        <v>2</v>
      </c>
      <c r="AC533" s="62">
        <f t="shared" si="116"/>
        <v>0</v>
      </c>
    </row>
    <row r="534" spans="1:29" ht="28.7" customHeight="1" x14ac:dyDescent="0.25">
      <c r="A534" s="4" t="s">
        <v>17</v>
      </c>
      <c r="B534" s="7" t="s">
        <v>63</v>
      </c>
      <c r="C534" s="2" t="s">
        <v>1432</v>
      </c>
      <c r="D534" s="7" t="s">
        <v>910</v>
      </c>
      <c r="E534" s="4" t="s">
        <v>823</v>
      </c>
      <c r="F534" s="2"/>
      <c r="G534" s="2" t="s">
        <v>1399</v>
      </c>
      <c r="H534" s="2" t="s">
        <v>1400</v>
      </c>
      <c r="I534" s="4" t="s">
        <v>60</v>
      </c>
      <c r="J534" s="112">
        <f>IF($H534&lt;&gt;"Y",0,ROUND(MIN(Dashboard!$R$24,IF(IFERROR(VLOOKUP($B534,Dashboard!$Q$28:$S$60,2,FALSE),0)&gt;0,IFERROR(VLOOKUP($B534,Dashboard!$Q$28:$S$60,2,FALSE),0),$Z534*IF($U534&lt;&gt;"",ROUND((Dashboard!$R$4/$U534)*VLOOKUP($I534,Dashboard!$Q$9:$R$13,2,FALSE)*IF(ISNUMBER(SEARCH("Duals",$B534)),2,IF(ISNUMBER(SEARCH("Triples",$B534)),3,IF(ISNUMBER(SEARCH("Quads",$B534)),4,1))),2),ROUND(VLOOKUP($I534,Dashboard!$Q$15:$R$20,2,FALSE)*IF($E534="Red",Dashboard!$R$6,IF($E534="Gold",Dashboard!$R$7,Dashboard!$R$5))*IF(ISNUMBER(SEARCH("Duals",$B534)),2,IF(ISNUMBER(SEARCH("Triples",$B534)),3,IF(ISNUMBER(SEARCH("Quads",$B534)),4,1))),2))*IF(IFERROR(VLOOKUP($B534,Dashboard!$Q$28:$S$60,3,FALSE),0)&gt;0,VLOOKUP($B534,Dashboard!$Q$28:$S$60,3,FALSE),1))),0))</f>
        <v>2</v>
      </c>
      <c r="K534" s="2" t="str">
        <f>IF('Base S1'!D34="","",'Base S1'!D34)</f>
        <v>h</v>
      </c>
      <c r="L534" s="2">
        <f t="shared" si="104"/>
        <v>1</v>
      </c>
      <c r="M534" s="2">
        <f t="shared" si="105"/>
        <v>0</v>
      </c>
      <c r="N534" s="2">
        <f t="shared" si="106"/>
        <v>1</v>
      </c>
      <c r="O534" s="2">
        <f t="shared" si="107"/>
        <v>0</v>
      </c>
      <c r="P534" s="112">
        <f t="shared" si="108"/>
        <v>2</v>
      </c>
      <c r="Q534" s="112">
        <f t="shared" si="109"/>
        <v>0</v>
      </c>
      <c r="R534" s="53"/>
      <c r="S534" s="53" t="str">
        <f t="shared" si="110"/>
        <v>Base S1|Red Parallel - Season 1|33|Red</v>
      </c>
      <c r="T534" s="57" t="str">
        <f>IF($S534="","",IFERROR(VLOOKUP($S534,'Pop Estimates (Non-#d)'!$N$2:$O$500,2,FALSE),""))</f>
        <v/>
      </c>
      <c r="U534" s="57" t="str">
        <f t="shared" si="111"/>
        <v/>
      </c>
      <c r="V534" s="53" t="str">
        <f t="shared" si="112"/>
        <v/>
      </c>
      <c r="W534" s="53" t="str">
        <f t="shared" si="113"/>
        <v/>
      </c>
      <c r="X534" s="53" t="str">
        <f t="shared" si="114"/>
        <v/>
      </c>
      <c r="Y534" s="57" t="str">
        <f>IF($X534="","",IFERROR(VLOOKUP($X534,'Char Popularity'!$A$2:$C$500,2,FALSE),""))</f>
        <v/>
      </c>
      <c r="Z534" s="56">
        <f>IF($X534="",1,IFERROR(VLOOKUP($X534,'Char Popularity'!$A$2:$C$500,3,FALSE),1))</f>
        <v>1</v>
      </c>
      <c r="AA534" s="62">
        <f>IF($H534&lt;&gt;"Y",0,(IF($F534&lt;&gt;"",ROUND(Dashboard!$R$4/$F534,1),IF(AND($I534="Base",$E534="Base"),Dashboard!$R$5,IF(AND($I534="Base",$E534="Red"),Dashboard!$R$6,IF(AND($I534="Base",$E534="Gold"),Dashboard!$R$7,VLOOKUP($I534,Dashboard!$Q$16:$R$21,2,FALSE)))))*VLOOKUP($I534,Dashboard!$Q$9:$R$13,2,FALSE)*IF(AND($I534="Auto",$F534="",OR($B534="Autographs Duals",$B534="Autographs Triples",$B534="Autographs Quads",$B534="Autographs Quads (Inscribed)")),IF($B534="Autographs Duals",2,IF($B534="Autographs Triples",3,4)),1)))</f>
        <v>2</v>
      </c>
      <c r="AB534" s="62">
        <f t="shared" si="115"/>
        <v>2</v>
      </c>
      <c r="AC534" s="62">
        <f t="shared" si="116"/>
        <v>0</v>
      </c>
    </row>
    <row r="535" spans="1:29" ht="28.7" customHeight="1" x14ac:dyDescent="0.25">
      <c r="A535" s="4" t="s">
        <v>17</v>
      </c>
      <c r="B535" s="7" t="s">
        <v>63</v>
      </c>
      <c r="C535" s="2" t="s">
        <v>1433</v>
      </c>
      <c r="D535" s="7" t="s">
        <v>912</v>
      </c>
      <c r="E535" s="4" t="s">
        <v>823</v>
      </c>
      <c r="F535" s="2"/>
      <c r="G535" s="2" t="s">
        <v>1399</v>
      </c>
      <c r="H535" s="2" t="s">
        <v>1400</v>
      </c>
      <c r="I535" s="4" t="s">
        <v>60</v>
      </c>
      <c r="J535" s="112">
        <f>IF($H535&lt;&gt;"Y",0,ROUND(MIN(Dashboard!$R$24,IF(IFERROR(VLOOKUP($B535,Dashboard!$Q$28:$S$60,2,FALSE),0)&gt;0,IFERROR(VLOOKUP($B535,Dashboard!$Q$28:$S$60,2,FALSE),0),$Z535*IF($U535&lt;&gt;"",ROUND((Dashboard!$R$4/$U535)*VLOOKUP($I535,Dashboard!$Q$9:$R$13,2,FALSE)*IF(ISNUMBER(SEARCH("Duals",$B535)),2,IF(ISNUMBER(SEARCH("Triples",$B535)),3,IF(ISNUMBER(SEARCH("Quads",$B535)),4,1))),2),ROUND(VLOOKUP($I535,Dashboard!$Q$15:$R$20,2,FALSE)*IF($E535="Red",Dashboard!$R$6,IF($E535="Gold",Dashboard!$R$7,Dashboard!$R$5))*IF(ISNUMBER(SEARCH("Duals",$B535)),2,IF(ISNUMBER(SEARCH("Triples",$B535)),3,IF(ISNUMBER(SEARCH("Quads",$B535)),4,1))),2))*IF(IFERROR(VLOOKUP($B535,Dashboard!$Q$28:$S$60,3,FALSE),0)&gt;0,VLOOKUP($B535,Dashboard!$Q$28:$S$60,3,FALSE),1))),0))</f>
        <v>2</v>
      </c>
      <c r="K535" s="2" t="str">
        <f>IF('Base S1'!D35="","",'Base S1'!D35)</f>
        <v>h</v>
      </c>
      <c r="L535" s="2">
        <f t="shared" si="104"/>
        <v>1</v>
      </c>
      <c r="M535" s="2">
        <f t="shared" si="105"/>
        <v>0</v>
      </c>
      <c r="N535" s="2">
        <f t="shared" si="106"/>
        <v>1</v>
      </c>
      <c r="O535" s="2">
        <f t="shared" si="107"/>
        <v>0</v>
      </c>
      <c r="P535" s="112">
        <f t="shared" si="108"/>
        <v>2</v>
      </c>
      <c r="Q535" s="112">
        <f t="shared" si="109"/>
        <v>0</v>
      </c>
      <c r="R535" s="53"/>
      <c r="S535" s="53" t="str">
        <f t="shared" si="110"/>
        <v>Base S1|Red Parallel - Season 1|34|Red</v>
      </c>
      <c r="T535" s="57" t="str">
        <f>IF($S535="","",IFERROR(VLOOKUP($S535,'Pop Estimates (Non-#d)'!$N$2:$O$500,2,FALSE),""))</f>
        <v/>
      </c>
      <c r="U535" s="57" t="str">
        <f t="shared" si="111"/>
        <v/>
      </c>
      <c r="V535" s="53" t="str">
        <f t="shared" si="112"/>
        <v/>
      </c>
      <c r="W535" s="53" t="str">
        <f t="shared" si="113"/>
        <v/>
      </c>
      <c r="X535" s="53" t="str">
        <f t="shared" si="114"/>
        <v/>
      </c>
      <c r="Y535" s="57" t="str">
        <f>IF($X535="","",IFERROR(VLOOKUP($X535,'Char Popularity'!$A$2:$C$500,2,FALSE),""))</f>
        <v/>
      </c>
      <c r="Z535" s="56">
        <f>IF($X535="",1,IFERROR(VLOOKUP($X535,'Char Popularity'!$A$2:$C$500,3,FALSE),1))</f>
        <v>1</v>
      </c>
      <c r="AA535" s="62">
        <f>IF($H535&lt;&gt;"Y",0,(IF($F535&lt;&gt;"",ROUND(Dashboard!$R$4/$F535,1),IF(AND($I535="Base",$E535="Base"),Dashboard!$R$5,IF(AND($I535="Base",$E535="Red"),Dashboard!$R$6,IF(AND($I535="Base",$E535="Gold"),Dashboard!$R$7,VLOOKUP($I535,Dashboard!$Q$16:$R$21,2,FALSE)))))*VLOOKUP($I535,Dashboard!$Q$9:$R$13,2,FALSE)*IF(AND($I535="Auto",$F535="",OR($B535="Autographs Duals",$B535="Autographs Triples",$B535="Autographs Quads",$B535="Autographs Quads (Inscribed)")),IF($B535="Autographs Duals",2,IF($B535="Autographs Triples",3,4)),1)))</f>
        <v>2</v>
      </c>
      <c r="AB535" s="62">
        <f t="shared" si="115"/>
        <v>2</v>
      </c>
      <c r="AC535" s="62">
        <f t="shared" si="116"/>
        <v>0</v>
      </c>
    </row>
    <row r="536" spans="1:29" ht="28.7" customHeight="1" x14ac:dyDescent="0.25">
      <c r="A536" s="4" t="s">
        <v>17</v>
      </c>
      <c r="B536" s="7" t="s">
        <v>63</v>
      </c>
      <c r="C536" s="2" t="s">
        <v>1434</v>
      </c>
      <c r="D536" s="7" t="s">
        <v>914</v>
      </c>
      <c r="E536" s="4" t="s">
        <v>823</v>
      </c>
      <c r="F536" s="2"/>
      <c r="G536" s="2" t="s">
        <v>1399</v>
      </c>
      <c r="H536" s="2" t="s">
        <v>1400</v>
      </c>
      <c r="I536" s="4" t="s">
        <v>60</v>
      </c>
      <c r="J536" s="112">
        <f>IF($H536&lt;&gt;"Y",0,ROUND(MIN(Dashboard!$R$24,IF(IFERROR(VLOOKUP($B536,Dashboard!$Q$28:$S$60,2,FALSE),0)&gt;0,IFERROR(VLOOKUP($B536,Dashboard!$Q$28:$S$60,2,FALSE),0),$Z536*IF($U536&lt;&gt;"",ROUND((Dashboard!$R$4/$U536)*VLOOKUP($I536,Dashboard!$Q$9:$R$13,2,FALSE)*IF(ISNUMBER(SEARCH("Duals",$B536)),2,IF(ISNUMBER(SEARCH("Triples",$B536)),3,IF(ISNUMBER(SEARCH("Quads",$B536)),4,1))),2),ROUND(VLOOKUP($I536,Dashboard!$Q$15:$R$20,2,FALSE)*IF($E536="Red",Dashboard!$R$6,IF($E536="Gold",Dashboard!$R$7,Dashboard!$R$5))*IF(ISNUMBER(SEARCH("Duals",$B536)),2,IF(ISNUMBER(SEARCH("Triples",$B536)),3,IF(ISNUMBER(SEARCH("Quads",$B536)),4,1))),2))*IF(IFERROR(VLOOKUP($B536,Dashboard!$Q$28:$S$60,3,FALSE),0)&gt;0,VLOOKUP($B536,Dashboard!$Q$28:$S$60,3,FALSE),1))),0))</f>
        <v>2</v>
      </c>
      <c r="K536" s="2" t="str">
        <f>IF('Base S1'!D36="","",'Base S1'!D36)</f>
        <v>h</v>
      </c>
      <c r="L536" s="2">
        <f t="shared" si="104"/>
        <v>1</v>
      </c>
      <c r="M536" s="2">
        <f t="shared" si="105"/>
        <v>0</v>
      </c>
      <c r="N536" s="2">
        <f t="shared" si="106"/>
        <v>1</v>
      </c>
      <c r="O536" s="2">
        <f t="shared" si="107"/>
        <v>0</v>
      </c>
      <c r="P536" s="112">
        <f t="shared" si="108"/>
        <v>2</v>
      </c>
      <c r="Q536" s="112">
        <f t="shared" si="109"/>
        <v>0</v>
      </c>
      <c r="R536" s="53"/>
      <c r="S536" s="53" t="str">
        <f t="shared" si="110"/>
        <v>Base S1|Red Parallel - Season 1|35|Red</v>
      </c>
      <c r="T536" s="57" t="str">
        <f>IF($S536="","",IFERROR(VLOOKUP($S536,'Pop Estimates (Non-#d)'!$N$2:$O$500,2,FALSE),""))</f>
        <v/>
      </c>
      <c r="U536" s="57" t="str">
        <f t="shared" si="111"/>
        <v/>
      </c>
      <c r="V536" s="53" t="str">
        <f t="shared" si="112"/>
        <v/>
      </c>
      <c r="W536" s="53" t="str">
        <f t="shared" si="113"/>
        <v/>
      </c>
      <c r="X536" s="53" t="str">
        <f t="shared" si="114"/>
        <v/>
      </c>
      <c r="Y536" s="57" t="str">
        <f>IF($X536="","",IFERROR(VLOOKUP($X536,'Char Popularity'!$A$2:$C$500,2,FALSE),""))</f>
        <v/>
      </c>
      <c r="Z536" s="56">
        <f>IF($X536="",1,IFERROR(VLOOKUP($X536,'Char Popularity'!$A$2:$C$500,3,FALSE),1))</f>
        <v>1</v>
      </c>
      <c r="AA536" s="62">
        <f>IF($H536&lt;&gt;"Y",0,(IF($F536&lt;&gt;"",ROUND(Dashboard!$R$4/$F536,1),IF(AND($I536="Base",$E536="Base"),Dashboard!$R$5,IF(AND($I536="Base",$E536="Red"),Dashboard!$R$6,IF(AND($I536="Base",$E536="Gold"),Dashboard!$R$7,VLOOKUP($I536,Dashboard!$Q$16:$R$21,2,FALSE)))))*VLOOKUP($I536,Dashboard!$Q$9:$R$13,2,FALSE)*IF(AND($I536="Auto",$F536="",OR($B536="Autographs Duals",$B536="Autographs Triples",$B536="Autographs Quads",$B536="Autographs Quads (Inscribed)")),IF($B536="Autographs Duals",2,IF($B536="Autographs Triples",3,4)),1)))</f>
        <v>2</v>
      </c>
      <c r="AB536" s="62">
        <f t="shared" si="115"/>
        <v>2</v>
      </c>
      <c r="AC536" s="62">
        <f t="shared" si="116"/>
        <v>0</v>
      </c>
    </row>
    <row r="537" spans="1:29" ht="28.7" customHeight="1" x14ac:dyDescent="0.25">
      <c r="A537" s="4" t="s">
        <v>17</v>
      </c>
      <c r="B537" s="7" t="s">
        <v>63</v>
      </c>
      <c r="C537" s="2" t="s">
        <v>1435</v>
      </c>
      <c r="D537" s="7" t="s">
        <v>915</v>
      </c>
      <c r="E537" s="4" t="s">
        <v>823</v>
      </c>
      <c r="F537" s="2"/>
      <c r="G537" s="2" t="s">
        <v>1399</v>
      </c>
      <c r="H537" s="2" t="s">
        <v>1400</v>
      </c>
      <c r="I537" s="4" t="s">
        <v>60</v>
      </c>
      <c r="J537" s="112">
        <f>IF($H537&lt;&gt;"Y",0,ROUND(MIN(Dashboard!$R$24,IF(IFERROR(VLOOKUP($B537,Dashboard!$Q$28:$S$60,2,FALSE),0)&gt;0,IFERROR(VLOOKUP($B537,Dashboard!$Q$28:$S$60,2,FALSE),0),$Z537*IF($U537&lt;&gt;"",ROUND((Dashboard!$R$4/$U537)*VLOOKUP($I537,Dashboard!$Q$9:$R$13,2,FALSE)*IF(ISNUMBER(SEARCH("Duals",$B537)),2,IF(ISNUMBER(SEARCH("Triples",$B537)),3,IF(ISNUMBER(SEARCH("Quads",$B537)),4,1))),2),ROUND(VLOOKUP($I537,Dashboard!$Q$15:$R$20,2,FALSE)*IF($E537="Red",Dashboard!$R$6,IF($E537="Gold",Dashboard!$R$7,Dashboard!$R$5))*IF(ISNUMBER(SEARCH("Duals",$B537)),2,IF(ISNUMBER(SEARCH("Triples",$B537)),3,IF(ISNUMBER(SEARCH("Quads",$B537)),4,1))),2))*IF(IFERROR(VLOOKUP($B537,Dashboard!$Q$28:$S$60,3,FALSE),0)&gt;0,VLOOKUP($B537,Dashboard!$Q$28:$S$60,3,FALSE),1))),0))</f>
        <v>2</v>
      </c>
      <c r="K537" s="2" t="str">
        <f>IF('Base S1'!D37="","",'Base S1'!D37)</f>
        <v>h</v>
      </c>
      <c r="L537" s="2">
        <f t="shared" si="104"/>
        <v>1</v>
      </c>
      <c r="M537" s="2">
        <f t="shared" si="105"/>
        <v>0</v>
      </c>
      <c r="N537" s="2">
        <f t="shared" si="106"/>
        <v>1</v>
      </c>
      <c r="O537" s="2">
        <f t="shared" si="107"/>
        <v>0</v>
      </c>
      <c r="P537" s="112">
        <f t="shared" si="108"/>
        <v>2</v>
      </c>
      <c r="Q537" s="112">
        <f t="shared" si="109"/>
        <v>0</v>
      </c>
      <c r="R537" s="53"/>
      <c r="S537" s="53" t="str">
        <f t="shared" si="110"/>
        <v>Base S1|Red Parallel - Season 1|36|Red</v>
      </c>
      <c r="T537" s="57" t="str">
        <f>IF($S537="","",IFERROR(VLOOKUP($S537,'Pop Estimates (Non-#d)'!$N$2:$O$500,2,FALSE),""))</f>
        <v/>
      </c>
      <c r="U537" s="57" t="str">
        <f t="shared" si="111"/>
        <v/>
      </c>
      <c r="V537" s="53" t="str">
        <f t="shared" si="112"/>
        <v/>
      </c>
      <c r="W537" s="53" t="str">
        <f t="shared" si="113"/>
        <v/>
      </c>
      <c r="X537" s="53" t="str">
        <f t="shared" si="114"/>
        <v/>
      </c>
      <c r="Y537" s="57" t="str">
        <f>IF($X537="","",IFERROR(VLOOKUP($X537,'Char Popularity'!$A$2:$C$500,2,FALSE),""))</f>
        <v/>
      </c>
      <c r="Z537" s="56">
        <f>IF($X537="",1,IFERROR(VLOOKUP($X537,'Char Popularity'!$A$2:$C$500,3,FALSE),1))</f>
        <v>1</v>
      </c>
      <c r="AA537" s="62">
        <f>IF($H537&lt;&gt;"Y",0,(IF($F537&lt;&gt;"",ROUND(Dashboard!$R$4/$F537,1),IF(AND($I537="Base",$E537="Base"),Dashboard!$R$5,IF(AND($I537="Base",$E537="Red"),Dashboard!$R$6,IF(AND($I537="Base",$E537="Gold"),Dashboard!$R$7,VLOOKUP($I537,Dashboard!$Q$16:$R$21,2,FALSE)))))*VLOOKUP($I537,Dashboard!$Q$9:$R$13,2,FALSE)*IF(AND($I537="Auto",$F537="",OR($B537="Autographs Duals",$B537="Autographs Triples",$B537="Autographs Quads",$B537="Autographs Quads (Inscribed)")),IF($B537="Autographs Duals",2,IF($B537="Autographs Triples",3,4)),1)))</f>
        <v>2</v>
      </c>
      <c r="AB537" s="62">
        <f t="shared" si="115"/>
        <v>2</v>
      </c>
      <c r="AC537" s="62">
        <f t="shared" si="116"/>
        <v>0</v>
      </c>
    </row>
    <row r="538" spans="1:29" ht="28.7" customHeight="1" x14ac:dyDescent="0.25">
      <c r="A538" s="4" t="s">
        <v>17</v>
      </c>
      <c r="B538" s="7" t="s">
        <v>63</v>
      </c>
      <c r="C538" s="2" t="s">
        <v>1436</v>
      </c>
      <c r="D538" s="7" t="s">
        <v>917</v>
      </c>
      <c r="E538" s="4" t="s">
        <v>823</v>
      </c>
      <c r="F538" s="2"/>
      <c r="G538" s="2" t="s">
        <v>1399</v>
      </c>
      <c r="H538" s="2" t="s">
        <v>1400</v>
      </c>
      <c r="I538" s="4" t="s">
        <v>60</v>
      </c>
      <c r="J538" s="112">
        <f>IF($H538&lt;&gt;"Y",0,ROUND(MIN(Dashboard!$R$24,IF(IFERROR(VLOOKUP($B538,Dashboard!$Q$28:$S$60,2,FALSE),0)&gt;0,IFERROR(VLOOKUP($B538,Dashboard!$Q$28:$S$60,2,FALSE),0),$Z538*IF($U538&lt;&gt;"",ROUND((Dashboard!$R$4/$U538)*VLOOKUP($I538,Dashboard!$Q$9:$R$13,2,FALSE)*IF(ISNUMBER(SEARCH("Duals",$B538)),2,IF(ISNUMBER(SEARCH("Triples",$B538)),3,IF(ISNUMBER(SEARCH("Quads",$B538)),4,1))),2),ROUND(VLOOKUP($I538,Dashboard!$Q$15:$R$20,2,FALSE)*IF($E538="Red",Dashboard!$R$6,IF($E538="Gold",Dashboard!$R$7,Dashboard!$R$5))*IF(ISNUMBER(SEARCH("Duals",$B538)),2,IF(ISNUMBER(SEARCH("Triples",$B538)),3,IF(ISNUMBER(SEARCH("Quads",$B538)),4,1))),2))*IF(IFERROR(VLOOKUP($B538,Dashboard!$Q$28:$S$60,3,FALSE),0)&gt;0,VLOOKUP($B538,Dashboard!$Q$28:$S$60,3,FALSE),1))),0))</f>
        <v>2</v>
      </c>
      <c r="K538" s="2" t="str">
        <f>IF('Base S1'!D38="","",'Base S1'!D38)</f>
        <v>h</v>
      </c>
      <c r="L538" s="2">
        <f t="shared" si="104"/>
        <v>1</v>
      </c>
      <c r="M538" s="2">
        <f t="shared" si="105"/>
        <v>0</v>
      </c>
      <c r="N538" s="2">
        <f t="shared" si="106"/>
        <v>1</v>
      </c>
      <c r="O538" s="2">
        <f t="shared" si="107"/>
        <v>0</v>
      </c>
      <c r="P538" s="112">
        <f t="shared" si="108"/>
        <v>2</v>
      </c>
      <c r="Q538" s="112">
        <f t="shared" si="109"/>
        <v>0</v>
      </c>
      <c r="R538" s="53"/>
      <c r="S538" s="53" t="str">
        <f t="shared" si="110"/>
        <v>Base S1|Red Parallel - Season 1|37|Red</v>
      </c>
      <c r="T538" s="57" t="str">
        <f>IF($S538="","",IFERROR(VLOOKUP($S538,'Pop Estimates (Non-#d)'!$N$2:$O$500,2,FALSE),""))</f>
        <v/>
      </c>
      <c r="U538" s="57" t="str">
        <f t="shared" si="111"/>
        <v/>
      </c>
      <c r="V538" s="53" t="str">
        <f t="shared" si="112"/>
        <v/>
      </c>
      <c r="W538" s="53" t="str">
        <f t="shared" si="113"/>
        <v/>
      </c>
      <c r="X538" s="53" t="str">
        <f t="shared" si="114"/>
        <v/>
      </c>
      <c r="Y538" s="57" t="str">
        <f>IF($X538="","",IFERROR(VLOOKUP($X538,'Char Popularity'!$A$2:$C$500,2,FALSE),""))</f>
        <v/>
      </c>
      <c r="Z538" s="56">
        <f>IF($X538="",1,IFERROR(VLOOKUP($X538,'Char Popularity'!$A$2:$C$500,3,FALSE),1))</f>
        <v>1</v>
      </c>
      <c r="AA538" s="62">
        <f>IF($H538&lt;&gt;"Y",0,(IF($F538&lt;&gt;"",ROUND(Dashboard!$R$4/$F538,1),IF(AND($I538="Base",$E538="Base"),Dashboard!$R$5,IF(AND($I538="Base",$E538="Red"),Dashboard!$R$6,IF(AND($I538="Base",$E538="Gold"),Dashboard!$R$7,VLOOKUP($I538,Dashboard!$Q$16:$R$21,2,FALSE)))))*VLOOKUP($I538,Dashboard!$Q$9:$R$13,2,FALSE)*IF(AND($I538="Auto",$F538="",OR($B538="Autographs Duals",$B538="Autographs Triples",$B538="Autographs Quads",$B538="Autographs Quads (Inscribed)")),IF($B538="Autographs Duals",2,IF($B538="Autographs Triples",3,4)),1)))</f>
        <v>2</v>
      </c>
      <c r="AB538" s="62">
        <f t="shared" si="115"/>
        <v>2</v>
      </c>
      <c r="AC538" s="62">
        <f t="shared" si="116"/>
        <v>0</v>
      </c>
    </row>
    <row r="539" spans="1:29" ht="28.7" customHeight="1" x14ac:dyDescent="0.25">
      <c r="A539" s="4" t="s">
        <v>17</v>
      </c>
      <c r="B539" s="7" t="s">
        <v>63</v>
      </c>
      <c r="C539" s="2" t="s">
        <v>1437</v>
      </c>
      <c r="D539" s="7" t="s">
        <v>919</v>
      </c>
      <c r="E539" s="4" t="s">
        <v>823</v>
      </c>
      <c r="F539" s="2"/>
      <c r="G539" s="2" t="s">
        <v>1399</v>
      </c>
      <c r="H539" s="2" t="s">
        <v>1400</v>
      </c>
      <c r="I539" s="4" t="s">
        <v>60</v>
      </c>
      <c r="J539" s="112">
        <f>IF($H539&lt;&gt;"Y",0,ROUND(MIN(Dashboard!$R$24,IF(IFERROR(VLOOKUP($B539,Dashboard!$Q$28:$S$60,2,FALSE),0)&gt;0,IFERROR(VLOOKUP($B539,Dashboard!$Q$28:$S$60,2,FALSE),0),$Z539*IF($U539&lt;&gt;"",ROUND((Dashboard!$R$4/$U539)*VLOOKUP($I539,Dashboard!$Q$9:$R$13,2,FALSE)*IF(ISNUMBER(SEARCH("Duals",$B539)),2,IF(ISNUMBER(SEARCH("Triples",$B539)),3,IF(ISNUMBER(SEARCH("Quads",$B539)),4,1))),2),ROUND(VLOOKUP($I539,Dashboard!$Q$15:$R$20,2,FALSE)*IF($E539="Red",Dashboard!$R$6,IF($E539="Gold",Dashboard!$R$7,Dashboard!$R$5))*IF(ISNUMBER(SEARCH("Duals",$B539)),2,IF(ISNUMBER(SEARCH("Triples",$B539)),3,IF(ISNUMBER(SEARCH("Quads",$B539)),4,1))),2))*IF(IFERROR(VLOOKUP($B539,Dashboard!$Q$28:$S$60,3,FALSE),0)&gt;0,VLOOKUP($B539,Dashboard!$Q$28:$S$60,3,FALSE),1))),0))</f>
        <v>2</v>
      </c>
      <c r="K539" s="2" t="str">
        <f>IF('Base S1'!D39="","",'Base S1'!D39)</f>
        <v>h</v>
      </c>
      <c r="L539" s="2">
        <f t="shared" si="104"/>
        <v>1</v>
      </c>
      <c r="M539" s="2">
        <f t="shared" si="105"/>
        <v>0</v>
      </c>
      <c r="N539" s="2">
        <f t="shared" si="106"/>
        <v>1</v>
      </c>
      <c r="O539" s="2">
        <f t="shared" si="107"/>
        <v>0</v>
      </c>
      <c r="P539" s="112">
        <f t="shared" si="108"/>
        <v>2</v>
      </c>
      <c r="Q539" s="112">
        <f t="shared" si="109"/>
        <v>0</v>
      </c>
      <c r="R539" s="53"/>
      <c r="S539" s="53" t="str">
        <f t="shared" si="110"/>
        <v>Base S1|Red Parallel - Season 1|38|Red</v>
      </c>
      <c r="T539" s="57" t="str">
        <f>IF($S539="","",IFERROR(VLOOKUP($S539,'Pop Estimates (Non-#d)'!$N$2:$O$500,2,FALSE),""))</f>
        <v/>
      </c>
      <c r="U539" s="57" t="str">
        <f t="shared" si="111"/>
        <v/>
      </c>
      <c r="V539" s="53" t="str">
        <f t="shared" si="112"/>
        <v/>
      </c>
      <c r="W539" s="53" t="str">
        <f t="shared" si="113"/>
        <v/>
      </c>
      <c r="X539" s="53" t="str">
        <f t="shared" si="114"/>
        <v/>
      </c>
      <c r="Y539" s="57" t="str">
        <f>IF($X539="","",IFERROR(VLOOKUP($X539,'Char Popularity'!$A$2:$C$500,2,FALSE),""))</f>
        <v/>
      </c>
      <c r="Z539" s="56">
        <f>IF($X539="",1,IFERROR(VLOOKUP($X539,'Char Popularity'!$A$2:$C$500,3,FALSE),1))</f>
        <v>1</v>
      </c>
      <c r="AA539" s="62">
        <f>IF($H539&lt;&gt;"Y",0,(IF($F539&lt;&gt;"",ROUND(Dashboard!$R$4/$F539,1),IF(AND($I539="Base",$E539="Base"),Dashboard!$R$5,IF(AND($I539="Base",$E539="Red"),Dashboard!$R$6,IF(AND($I539="Base",$E539="Gold"),Dashboard!$R$7,VLOOKUP($I539,Dashboard!$Q$16:$R$21,2,FALSE)))))*VLOOKUP($I539,Dashboard!$Q$9:$R$13,2,FALSE)*IF(AND($I539="Auto",$F539="",OR($B539="Autographs Duals",$B539="Autographs Triples",$B539="Autographs Quads",$B539="Autographs Quads (Inscribed)")),IF($B539="Autographs Duals",2,IF($B539="Autographs Triples",3,4)),1)))</f>
        <v>2</v>
      </c>
      <c r="AB539" s="62">
        <f t="shared" si="115"/>
        <v>2</v>
      </c>
      <c r="AC539" s="62">
        <f t="shared" si="116"/>
        <v>0</v>
      </c>
    </row>
    <row r="540" spans="1:29" ht="28.7" customHeight="1" x14ac:dyDescent="0.25">
      <c r="A540" s="4" t="s">
        <v>17</v>
      </c>
      <c r="B540" s="7" t="s">
        <v>63</v>
      </c>
      <c r="C540" s="2" t="s">
        <v>1438</v>
      </c>
      <c r="D540" s="7" t="s">
        <v>920</v>
      </c>
      <c r="E540" s="4" t="s">
        <v>823</v>
      </c>
      <c r="F540" s="2"/>
      <c r="G540" s="2" t="s">
        <v>1399</v>
      </c>
      <c r="H540" s="2" t="s">
        <v>1400</v>
      </c>
      <c r="I540" s="4" t="s">
        <v>60</v>
      </c>
      <c r="J540" s="112">
        <f>IF($H540&lt;&gt;"Y",0,ROUND(MIN(Dashboard!$R$24,IF(IFERROR(VLOOKUP($B540,Dashboard!$Q$28:$S$60,2,FALSE),0)&gt;0,IFERROR(VLOOKUP($B540,Dashboard!$Q$28:$S$60,2,FALSE),0),$Z540*IF($U540&lt;&gt;"",ROUND((Dashboard!$R$4/$U540)*VLOOKUP($I540,Dashboard!$Q$9:$R$13,2,FALSE)*IF(ISNUMBER(SEARCH("Duals",$B540)),2,IF(ISNUMBER(SEARCH("Triples",$B540)),3,IF(ISNUMBER(SEARCH("Quads",$B540)),4,1))),2),ROUND(VLOOKUP($I540,Dashboard!$Q$15:$R$20,2,FALSE)*IF($E540="Red",Dashboard!$R$6,IF($E540="Gold",Dashboard!$R$7,Dashboard!$R$5))*IF(ISNUMBER(SEARCH("Duals",$B540)),2,IF(ISNUMBER(SEARCH("Triples",$B540)),3,IF(ISNUMBER(SEARCH("Quads",$B540)),4,1))),2))*IF(IFERROR(VLOOKUP($B540,Dashboard!$Q$28:$S$60,3,FALSE),0)&gt;0,VLOOKUP($B540,Dashboard!$Q$28:$S$60,3,FALSE),1))),0))</f>
        <v>2</v>
      </c>
      <c r="K540" s="2" t="str">
        <f>IF('Base S1'!D40="","",'Base S1'!D40)</f>
        <v>h</v>
      </c>
      <c r="L540" s="2">
        <f t="shared" si="104"/>
        <v>1</v>
      </c>
      <c r="M540" s="2">
        <f t="shared" si="105"/>
        <v>0</v>
      </c>
      <c r="N540" s="2">
        <f t="shared" si="106"/>
        <v>1</v>
      </c>
      <c r="O540" s="2">
        <f t="shared" si="107"/>
        <v>0</v>
      </c>
      <c r="P540" s="112">
        <f t="shared" si="108"/>
        <v>2</v>
      </c>
      <c r="Q540" s="112">
        <f t="shared" si="109"/>
        <v>0</v>
      </c>
      <c r="R540" s="53"/>
      <c r="S540" s="53" t="str">
        <f t="shared" si="110"/>
        <v>Base S1|Red Parallel - Season 1|39|Red</v>
      </c>
      <c r="T540" s="57" t="str">
        <f>IF($S540="","",IFERROR(VLOOKUP($S540,'Pop Estimates (Non-#d)'!$N$2:$O$500,2,FALSE),""))</f>
        <v/>
      </c>
      <c r="U540" s="57" t="str">
        <f t="shared" si="111"/>
        <v/>
      </c>
      <c r="V540" s="53" t="str">
        <f t="shared" si="112"/>
        <v/>
      </c>
      <c r="W540" s="53" t="str">
        <f t="shared" si="113"/>
        <v/>
      </c>
      <c r="X540" s="53" t="str">
        <f t="shared" si="114"/>
        <v/>
      </c>
      <c r="Y540" s="57" t="str">
        <f>IF($X540="","",IFERROR(VLOOKUP($X540,'Char Popularity'!$A$2:$C$500,2,FALSE),""))</f>
        <v/>
      </c>
      <c r="Z540" s="56">
        <f>IF($X540="",1,IFERROR(VLOOKUP($X540,'Char Popularity'!$A$2:$C$500,3,FALSE),1))</f>
        <v>1</v>
      </c>
      <c r="AA540" s="62">
        <f>IF($H540&lt;&gt;"Y",0,(IF($F540&lt;&gt;"",ROUND(Dashboard!$R$4/$F540,1),IF(AND($I540="Base",$E540="Base"),Dashboard!$R$5,IF(AND($I540="Base",$E540="Red"),Dashboard!$R$6,IF(AND($I540="Base",$E540="Gold"),Dashboard!$R$7,VLOOKUP($I540,Dashboard!$Q$16:$R$21,2,FALSE)))))*VLOOKUP($I540,Dashboard!$Q$9:$R$13,2,FALSE)*IF(AND($I540="Auto",$F540="",OR($B540="Autographs Duals",$B540="Autographs Triples",$B540="Autographs Quads",$B540="Autographs Quads (Inscribed)")),IF($B540="Autographs Duals",2,IF($B540="Autographs Triples",3,4)),1)))</f>
        <v>2</v>
      </c>
      <c r="AB540" s="62">
        <f t="shared" si="115"/>
        <v>2</v>
      </c>
      <c r="AC540" s="62">
        <f t="shared" si="116"/>
        <v>0</v>
      </c>
    </row>
    <row r="541" spans="1:29" ht="28.7" customHeight="1" x14ac:dyDescent="0.25">
      <c r="A541" s="4" t="s">
        <v>17</v>
      </c>
      <c r="B541" s="7" t="s">
        <v>63</v>
      </c>
      <c r="C541" s="2" t="s">
        <v>1439</v>
      </c>
      <c r="D541" s="7" t="s">
        <v>922</v>
      </c>
      <c r="E541" s="4" t="s">
        <v>823</v>
      </c>
      <c r="F541" s="2"/>
      <c r="G541" s="2" t="s">
        <v>1399</v>
      </c>
      <c r="H541" s="2" t="s">
        <v>1400</v>
      </c>
      <c r="I541" s="4" t="s">
        <v>60</v>
      </c>
      <c r="J541" s="112">
        <f>IF($H541&lt;&gt;"Y",0,ROUND(MIN(Dashboard!$R$24,IF(IFERROR(VLOOKUP($B541,Dashboard!$Q$28:$S$60,2,FALSE),0)&gt;0,IFERROR(VLOOKUP($B541,Dashboard!$Q$28:$S$60,2,FALSE),0),$Z541*IF($U541&lt;&gt;"",ROUND((Dashboard!$R$4/$U541)*VLOOKUP($I541,Dashboard!$Q$9:$R$13,2,FALSE)*IF(ISNUMBER(SEARCH("Duals",$B541)),2,IF(ISNUMBER(SEARCH("Triples",$B541)),3,IF(ISNUMBER(SEARCH("Quads",$B541)),4,1))),2),ROUND(VLOOKUP($I541,Dashboard!$Q$15:$R$20,2,FALSE)*IF($E541="Red",Dashboard!$R$6,IF($E541="Gold",Dashboard!$R$7,Dashboard!$R$5))*IF(ISNUMBER(SEARCH("Duals",$B541)),2,IF(ISNUMBER(SEARCH("Triples",$B541)),3,IF(ISNUMBER(SEARCH("Quads",$B541)),4,1))),2))*IF(IFERROR(VLOOKUP($B541,Dashboard!$Q$28:$S$60,3,FALSE),0)&gt;0,VLOOKUP($B541,Dashboard!$Q$28:$S$60,3,FALSE),1))),0))</f>
        <v>2</v>
      </c>
      <c r="K541" s="2" t="str">
        <f>IF('Base S1'!D41="","",'Base S1'!D41)</f>
        <v>h</v>
      </c>
      <c r="L541" s="2">
        <f t="shared" si="104"/>
        <v>1</v>
      </c>
      <c r="M541" s="2">
        <f t="shared" si="105"/>
        <v>0</v>
      </c>
      <c r="N541" s="2">
        <f t="shared" si="106"/>
        <v>1</v>
      </c>
      <c r="O541" s="2">
        <f t="shared" si="107"/>
        <v>0</v>
      </c>
      <c r="P541" s="112">
        <f t="shared" si="108"/>
        <v>2</v>
      </c>
      <c r="Q541" s="112">
        <f t="shared" si="109"/>
        <v>0</v>
      </c>
      <c r="R541" s="53"/>
      <c r="S541" s="53" t="str">
        <f t="shared" si="110"/>
        <v>Base S1|Red Parallel - Season 1|40|Red</v>
      </c>
      <c r="T541" s="57" t="str">
        <f>IF($S541="","",IFERROR(VLOOKUP($S541,'Pop Estimates (Non-#d)'!$N$2:$O$500,2,FALSE),""))</f>
        <v/>
      </c>
      <c r="U541" s="57" t="str">
        <f t="shared" si="111"/>
        <v/>
      </c>
      <c r="V541" s="53" t="str">
        <f t="shared" si="112"/>
        <v/>
      </c>
      <c r="W541" s="53" t="str">
        <f t="shared" si="113"/>
        <v/>
      </c>
      <c r="X541" s="53" t="str">
        <f t="shared" si="114"/>
        <v/>
      </c>
      <c r="Y541" s="57" t="str">
        <f>IF($X541="","",IFERROR(VLOOKUP($X541,'Char Popularity'!$A$2:$C$500,2,FALSE),""))</f>
        <v/>
      </c>
      <c r="Z541" s="56">
        <f>IF($X541="",1,IFERROR(VLOOKUP($X541,'Char Popularity'!$A$2:$C$500,3,FALSE),1))</f>
        <v>1</v>
      </c>
      <c r="AA541" s="62">
        <f>IF($H541&lt;&gt;"Y",0,(IF($F541&lt;&gt;"",ROUND(Dashboard!$R$4/$F541,1),IF(AND($I541="Base",$E541="Base"),Dashboard!$R$5,IF(AND($I541="Base",$E541="Red"),Dashboard!$R$6,IF(AND($I541="Base",$E541="Gold"),Dashboard!$R$7,VLOOKUP($I541,Dashboard!$Q$16:$R$21,2,FALSE)))))*VLOOKUP($I541,Dashboard!$Q$9:$R$13,2,FALSE)*IF(AND($I541="Auto",$F541="",OR($B541="Autographs Duals",$B541="Autographs Triples",$B541="Autographs Quads",$B541="Autographs Quads (Inscribed)")),IF($B541="Autographs Duals",2,IF($B541="Autographs Triples",3,4)),1)))</f>
        <v>2</v>
      </c>
      <c r="AB541" s="62">
        <f t="shared" si="115"/>
        <v>2</v>
      </c>
      <c r="AC541" s="62">
        <f t="shared" si="116"/>
        <v>0</v>
      </c>
    </row>
    <row r="542" spans="1:29" ht="28.7" customHeight="1" x14ac:dyDescent="0.25">
      <c r="A542" s="4" t="s">
        <v>17</v>
      </c>
      <c r="B542" s="7" t="s">
        <v>63</v>
      </c>
      <c r="C542" s="2" t="s">
        <v>1440</v>
      </c>
      <c r="D542" s="7" t="s">
        <v>925</v>
      </c>
      <c r="E542" s="4" t="s">
        <v>823</v>
      </c>
      <c r="F542" s="2"/>
      <c r="G542" s="2" t="s">
        <v>1399</v>
      </c>
      <c r="H542" s="2" t="s">
        <v>1400</v>
      </c>
      <c r="I542" s="4" t="s">
        <v>60</v>
      </c>
      <c r="J542" s="112">
        <f>IF($H542&lt;&gt;"Y",0,ROUND(MIN(Dashboard!$R$24,IF(IFERROR(VLOOKUP($B542,Dashboard!$Q$28:$S$60,2,FALSE),0)&gt;0,IFERROR(VLOOKUP($B542,Dashboard!$Q$28:$S$60,2,FALSE),0),$Z542*IF($U542&lt;&gt;"",ROUND((Dashboard!$R$4/$U542)*VLOOKUP($I542,Dashboard!$Q$9:$R$13,2,FALSE)*IF(ISNUMBER(SEARCH("Duals",$B542)),2,IF(ISNUMBER(SEARCH("Triples",$B542)),3,IF(ISNUMBER(SEARCH("Quads",$B542)),4,1))),2),ROUND(VLOOKUP($I542,Dashboard!$Q$15:$R$20,2,FALSE)*IF($E542="Red",Dashboard!$R$6,IF($E542="Gold",Dashboard!$R$7,Dashboard!$R$5))*IF(ISNUMBER(SEARCH("Duals",$B542)),2,IF(ISNUMBER(SEARCH("Triples",$B542)),3,IF(ISNUMBER(SEARCH("Quads",$B542)),4,1))),2))*IF(IFERROR(VLOOKUP($B542,Dashboard!$Q$28:$S$60,3,FALSE),0)&gt;0,VLOOKUP($B542,Dashboard!$Q$28:$S$60,3,FALSE),1))),0))</f>
        <v>2</v>
      </c>
      <c r="K542" s="2" t="str">
        <f>IF('Base S1'!D42="","",'Base S1'!D42)</f>
        <v>h</v>
      </c>
      <c r="L542" s="2">
        <f t="shared" si="104"/>
        <v>1</v>
      </c>
      <c r="M542" s="2">
        <f t="shared" si="105"/>
        <v>0</v>
      </c>
      <c r="N542" s="2">
        <f t="shared" si="106"/>
        <v>1</v>
      </c>
      <c r="O542" s="2">
        <f t="shared" si="107"/>
        <v>0</v>
      </c>
      <c r="P542" s="112">
        <f t="shared" si="108"/>
        <v>2</v>
      </c>
      <c r="Q542" s="112">
        <f t="shared" si="109"/>
        <v>0</v>
      </c>
      <c r="R542" s="53"/>
      <c r="S542" s="53" t="str">
        <f t="shared" si="110"/>
        <v>Base S1|Red Parallel - Season 1|41|Red</v>
      </c>
      <c r="T542" s="57" t="str">
        <f>IF($S542="","",IFERROR(VLOOKUP($S542,'Pop Estimates (Non-#d)'!$N$2:$O$500,2,FALSE),""))</f>
        <v/>
      </c>
      <c r="U542" s="57" t="str">
        <f t="shared" si="111"/>
        <v/>
      </c>
      <c r="V542" s="53" t="str">
        <f t="shared" si="112"/>
        <v/>
      </c>
      <c r="W542" s="53" t="str">
        <f t="shared" si="113"/>
        <v/>
      </c>
      <c r="X542" s="53" t="str">
        <f t="shared" si="114"/>
        <v/>
      </c>
      <c r="Y542" s="57" t="str">
        <f>IF($X542="","",IFERROR(VLOOKUP($X542,'Char Popularity'!$A$2:$C$500,2,FALSE),""))</f>
        <v/>
      </c>
      <c r="Z542" s="56">
        <f>IF($X542="",1,IFERROR(VLOOKUP($X542,'Char Popularity'!$A$2:$C$500,3,FALSE),1))</f>
        <v>1</v>
      </c>
      <c r="AA542" s="62">
        <f>IF($H542&lt;&gt;"Y",0,(IF($F542&lt;&gt;"",ROUND(Dashboard!$R$4/$F542,1),IF(AND($I542="Base",$E542="Base"),Dashboard!$R$5,IF(AND($I542="Base",$E542="Red"),Dashboard!$R$6,IF(AND($I542="Base",$E542="Gold"),Dashboard!$R$7,VLOOKUP($I542,Dashboard!$Q$16:$R$21,2,FALSE)))))*VLOOKUP($I542,Dashboard!$Q$9:$R$13,2,FALSE)*IF(AND($I542="Auto",$F542="",OR($B542="Autographs Duals",$B542="Autographs Triples",$B542="Autographs Quads",$B542="Autographs Quads (Inscribed)")),IF($B542="Autographs Duals",2,IF($B542="Autographs Triples",3,4)),1)))</f>
        <v>2</v>
      </c>
      <c r="AB542" s="62">
        <f t="shared" si="115"/>
        <v>2</v>
      </c>
      <c r="AC542" s="62">
        <f t="shared" si="116"/>
        <v>0</v>
      </c>
    </row>
    <row r="543" spans="1:29" ht="28.7" customHeight="1" x14ac:dyDescent="0.25">
      <c r="A543" s="4" t="s">
        <v>17</v>
      </c>
      <c r="B543" s="7" t="s">
        <v>63</v>
      </c>
      <c r="C543" s="2" t="s">
        <v>1441</v>
      </c>
      <c r="D543" s="7" t="s">
        <v>926</v>
      </c>
      <c r="E543" s="4" t="s">
        <v>823</v>
      </c>
      <c r="F543" s="2"/>
      <c r="G543" s="2" t="s">
        <v>1399</v>
      </c>
      <c r="H543" s="2" t="s">
        <v>1400</v>
      </c>
      <c r="I543" s="4" t="s">
        <v>60</v>
      </c>
      <c r="J543" s="112">
        <f>IF($H543&lt;&gt;"Y",0,ROUND(MIN(Dashboard!$R$24,IF(IFERROR(VLOOKUP($B543,Dashboard!$Q$28:$S$60,2,FALSE),0)&gt;0,IFERROR(VLOOKUP($B543,Dashboard!$Q$28:$S$60,2,FALSE),0),$Z543*IF($U543&lt;&gt;"",ROUND((Dashboard!$R$4/$U543)*VLOOKUP($I543,Dashboard!$Q$9:$R$13,2,FALSE)*IF(ISNUMBER(SEARCH("Duals",$B543)),2,IF(ISNUMBER(SEARCH("Triples",$B543)),3,IF(ISNUMBER(SEARCH("Quads",$B543)),4,1))),2),ROUND(VLOOKUP($I543,Dashboard!$Q$15:$R$20,2,FALSE)*IF($E543="Red",Dashboard!$R$6,IF($E543="Gold",Dashboard!$R$7,Dashboard!$R$5))*IF(ISNUMBER(SEARCH("Duals",$B543)),2,IF(ISNUMBER(SEARCH("Triples",$B543)),3,IF(ISNUMBER(SEARCH("Quads",$B543)),4,1))),2))*IF(IFERROR(VLOOKUP($B543,Dashboard!$Q$28:$S$60,3,FALSE),0)&gt;0,VLOOKUP($B543,Dashboard!$Q$28:$S$60,3,FALSE),1))),0))</f>
        <v>2</v>
      </c>
      <c r="K543" s="2" t="str">
        <f>IF('Base S1'!D43="","",'Base S1'!D43)</f>
        <v>h</v>
      </c>
      <c r="L543" s="2">
        <f t="shared" si="104"/>
        <v>1</v>
      </c>
      <c r="M543" s="2">
        <f t="shared" si="105"/>
        <v>0</v>
      </c>
      <c r="N543" s="2">
        <f t="shared" si="106"/>
        <v>1</v>
      </c>
      <c r="O543" s="2">
        <f t="shared" si="107"/>
        <v>0</v>
      </c>
      <c r="P543" s="112">
        <f t="shared" si="108"/>
        <v>2</v>
      </c>
      <c r="Q543" s="112">
        <f t="shared" si="109"/>
        <v>0</v>
      </c>
      <c r="R543" s="53"/>
      <c r="S543" s="53" t="str">
        <f t="shared" si="110"/>
        <v>Base S1|Red Parallel - Season 1|42|Red</v>
      </c>
      <c r="T543" s="57" t="str">
        <f>IF($S543="","",IFERROR(VLOOKUP($S543,'Pop Estimates (Non-#d)'!$N$2:$O$500,2,FALSE),""))</f>
        <v/>
      </c>
      <c r="U543" s="57" t="str">
        <f t="shared" si="111"/>
        <v/>
      </c>
      <c r="V543" s="53" t="str">
        <f t="shared" si="112"/>
        <v/>
      </c>
      <c r="W543" s="53" t="str">
        <f t="shared" si="113"/>
        <v/>
      </c>
      <c r="X543" s="53" t="str">
        <f t="shared" si="114"/>
        <v/>
      </c>
      <c r="Y543" s="57" t="str">
        <f>IF($X543="","",IFERROR(VLOOKUP($X543,'Char Popularity'!$A$2:$C$500,2,FALSE),""))</f>
        <v/>
      </c>
      <c r="Z543" s="56">
        <f>IF($X543="",1,IFERROR(VLOOKUP($X543,'Char Popularity'!$A$2:$C$500,3,FALSE),1))</f>
        <v>1</v>
      </c>
      <c r="AA543" s="62">
        <f>IF($H543&lt;&gt;"Y",0,(IF($F543&lt;&gt;"",ROUND(Dashboard!$R$4/$F543,1),IF(AND($I543="Base",$E543="Base"),Dashboard!$R$5,IF(AND($I543="Base",$E543="Red"),Dashboard!$R$6,IF(AND($I543="Base",$E543="Gold"),Dashboard!$R$7,VLOOKUP($I543,Dashboard!$Q$16:$R$21,2,FALSE)))))*VLOOKUP($I543,Dashboard!$Q$9:$R$13,2,FALSE)*IF(AND($I543="Auto",$F543="",OR($B543="Autographs Duals",$B543="Autographs Triples",$B543="Autographs Quads",$B543="Autographs Quads (Inscribed)")),IF($B543="Autographs Duals",2,IF($B543="Autographs Triples",3,4)),1)))</f>
        <v>2</v>
      </c>
      <c r="AB543" s="62">
        <f t="shared" si="115"/>
        <v>2</v>
      </c>
      <c r="AC543" s="62">
        <f t="shared" si="116"/>
        <v>0</v>
      </c>
    </row>
    <row r="544" spans="1:29" ht="28.7" customHeight="1" x14ac:dyDescent="0.25">
      <c r="A544" s="4" t="s">
        <v>17</v>
      </c>
      <c r="B544" s="7" t="s">
        <v>63</v>
      </c>
      <c r="C544" s="2" t="s">
        <v>1442</v>
      </c>
      <c r="D544" s="7" t="s">
        <v>928</v>
      </c>
      <c r="E544" s="4" t="s">
        <v>823</v>
      </c>
      <c r="F544" s="2"/>
      <c r="G544" s="2" t="s">
        <v>1399</v>
      </c>
      <c r="H544" s="2" t="s">
        <v>1400</v>
      </c>
      <c r="I544" s="4" t="s">
        <v>60</v>
      </c>
      <c r="J544" s="112">
        <f>IF($H544&lt;&gt;"Y",0,ROUND(MIN(Dashboard!$R$24,IF(IFERROR(VLOOKUP($B544,Dashboard!$Q$28:$S$60,2,FALSE),0)&gt;0,IFERROR(VLOOKUP($B544,Dashboard!$Q$28:$S$60,2,FALSE),0),$Z544*IF($U544&lt;&gt;"",ROUND((Dashboard!$R$4/$U544)*VLOOKUP($I544,Dashboard!$Q$9:$R$13,2,FALSE)*IF(ISNUMBER(SEARCH("Duals",$B544)),2,IF(ISNUMBER(SEARCH("Triples",$B544)),3,IF(ISNUMBER(SEARCH("Quads",$B544)),4,1))),2),ROUND(VLOOKUP($I544,Dashboard!$Q$15:$R$20,2,FALSE)*IF($E544="Red",Dashboard!$R$6,IF($E544="Gold",Dashboard!$R$7,Dashboard!$R$5))*IF(ISNUMBER(SEARCH("Duals",$B544)),2,IF(ISNUMBER(SEARCH("Triples",$B544)),3,IF(ISNUMBER(SEARCH("Quads",$B544)),4,1))),2))*IF(IFERROR(VLOOKUP($B544,Dashboard!$Q$28:$S$60,3,FALSE),0)&gt;0,VLOOKUP($B544,Dashboard!$Q$28:$S$60,3,FALSE),1))),0))</f>
        <v>2</v>
      </c>
      <c r="K544" s="2" t="str">
        <f>IF('Base S1'!D44="","",'Base S1'!D44)</f>
        <v>h</v>
      </c>
      <c r="L544" s="2">
        <f t="shared" si="104"/>
        <v>1</v>
      </c>
      <c r="M544" s="2">
        <f t="shared" si="105"/>
        <v>0</v>
      </c>
      <c r="N544" s="2">
        <f t="shared" si="106"/>
        <v>1</v>
      </c>
      <c r="O544" s="2">
        <f t="shared" si="107"/>
        <v>0</v>
      </c>
      <c r="P544" s="112">
        <f t="shared" si="108"/>
        <v>2</v>
      </c>
      <c r="Q544" s="112">
        <f t="shared" si="109"/>
        <v>0</v>
      </c>
      <c r="R544" s="53"/>
      <c r="S544" s="53" t="str">
        <f t="shared" si="110"/>
        <v>Base S1|Red Parallel - Season 1|43|Red</v>
      </c>
      <c r="T544" s="57" t="str">
        <f>IF($S544="","",IFERROR(VLOOKUP($S544,'Pop Estimates (Non-#d)'!$N$2:$O$500,2,FALSE),""))</f>
        <v/>
      </c>
      <c r="U544" s="57" t="str">
        <f t="shared" si="111"/>
        <v/>
      </c>
      <c r="V544" s="53" t="str">
        <f t="shared" si="112"/>
        <v/>
      </c>
      <c r="W544" s="53" t="str">
        <f t="shared" si="113"/>
        <v/>
      </c>
      <c r="X544" s="53" t="str">
        <f t="shared" si="114"/>
        <v/>
      </c>
      <c r="Y544" s="57" t="str">
        <f>IF($X544="","",IFERROR(VLOOKUP($X544,'Char Popularity'!$A$2:$C$500,2,FALSE),""))</f>
        <v/>
      </c>
      <c r="Z544" s="56">
        <f>IF($X544="",1,IFERROR(VLOOKUP($X544,'Char Popularity'!$A$2:$C$500,3,FALSE),1))</f>
        <v>1</v>
      </c>
      <c r="AA544" s="62">
        <f>IF($H544&lt;&gt;"Y",0,(IF($F544&lt;&gt;"",ROUND(Dashboard!$R$4/$F544,1),IF(AND($I544="Base",$E544="Base"),Dashboard!$R$5,IF(AND($I544="Base",$E544="Red"),Dashboard!$R$6,IF(AND($I544="Base",$E544="Gold"),Dashboard!$R$7,VLOOKUP($I544,Dashboard!$Q$16:$R$21,2,FALSE)))))*VLOOKUP($I544,Dashboard!$Q$9:$R$13,2,FALSE)*IF(AND($I544="Auto",$F544="",OR($B544="Autographs Duals",$B544="Autographs Triples",$B544="Autographs Quads",$B544="Autographs Quads (Inscribed)")),IF($B544="Autographs Duals",2,IF($B544="Autographs Triples",3,4)),1)))</f>
        <v>2</v>
      </c>
      <c r="AB544" s="62">
        <f t="shared" si="115"/>
        <v>2</v>
      </c>
      <c r="AC544" s="62">
        <f t="shared" si="116"/>
        <v>0</v>
      </c>
    </row>
    <row r="545" spans="1:29" ht="28.7" customHeight="1" x14ac:dyDescent="0.25">
      <c r="A545" s="4" t="s">
        <v>17</v>
      </c>
      <c r="B545" s="7" t="s">
        <v>63</v>
      </c>
      <c r="C545" s="2" t="s">
        <v>1443</v>
      </c>
      <c r="D545" s="7" t="s">
        <v>930</v>
      </c>
      <c r="E545" s="4" t="s">
        <v>823</v>
      </c>
      <c r="F545" s="2"/>
      <c r="G545" s="2" t="s">
        <v>1399</v>
      </c>
      <c r="H545" s="2" t="s">
        <v>1400</v>
      </c>
      <c r="I545" s="4" t="s">
        <v>60</v>
      </c>
      <c r="J545" s="112">
        <f>IF($H545&lt;&gt;"Y",0,ROUND(MIN(Dashboard!$R$24,IF(IFERROR(VLOOKUP($B545,Dashboard!$Q$28:$S$60,2,FALSE),0)&gt;0,IFERROR(VLOOKUP($B545,Dashboard!$Q$28:$S$60,2,FALSE),0),$Z545*IF($U545&lt;&gt;"",ROUND((Dashboard!$R$4/$U545)*VLOOKUP($I545,Dashboard!$Q$9:$R$13,2,FALSE)*IF(ISNUMBER(SEARCH("Duals",$B545)),2,IF(ISNUMBER(SEARCH("Triples",$B545)),3,IF(ISNUMBER(SEARCH("Quads",$B545)),4,1))),2),ROUND(VLOOKUP($I545,Dashboard!$Q$15:$R$20,2,FALSE)*IF($E545="Red",Dashboard!$R$6,IF($E545="Gold",Dashboard!$R$7,Dashboard!$R$5))*IF(ISNUMBER(SEARCH("Duals",$B545)),2,IF(ISNUMBER(SEARCH("Triples",$B545)),3,IF(ISNUMBER(SEARCH("Quads",$B545)),4,1))),2))*IF(IFERROR(VLOOKUP($B545,Dashboard!$Q$28:$S$60,3,FALSE),0)&gt;0,VLOOKUP($B545,Dashboard!$Q$28:$S$60,3,FALSE),1))),0))</f>
        <v>2</v>
      </c>
      <c r="K545" s="2" t="str">
        <f>IF('Base S1'!D45="","",'Base S1'!D45)</f>
        <v>h</v>
      </c>
      <c r="L545" s="2">
        <f t="shared" si="104"/>
        <v>1</v>
      </c>
      <c r="M545" s="2">
        <f t="shared" si="105"/>
        <v>0</v>
      </c>
      <c r="N545" s="2">
        <f t="shared" si="106"/>
        <v>1</v>
      </c>
      <c r="O545" s="2">
        <f t="shared" si="107"/>
        <v>0</v>
      </c>
      <c r="P545" s="112">
        <f t="shared" si="108"/>
        <v>2</v>
      </c>
      <c r="Q545" s="112">
        <f t="shared" si="109"/>
        <v>0</v>
      </c>
      <c r="R545" s="53"/>
      <c r="S545" s="53" t="str">
        <f t="shared" si="110"/>
        <v>Base S1|Red Parallel - Season 1|44|Red</v>
      </c>
      <c r="T545" s="57" t="str">
        <f>IF($S545="","",IFERROR(VLOOKUP($S545,'Pop Estimates (Non-#d)'!$N$2:$O$500,2,FALSE),""))</f>
        <v/>
      </c>
      <c r="U545" s="57" t="str">
        <f t="shared" si="111"/>
        <v/>
      </c>
      <c r="V545" s="53" t="str">
        <f t="shared" si="112"/>
        <v/>
      </c>
      <c r="W545" s="53" t="str">
        <f t="shared" si="113"/>
        <v/>
      </c>
      <c r="X545" s="53" t="str">
        <f t="shared" si="114"/>
        <v/>
      </c>
      <c r="Y545" s="57" t="str">
        <f>IF($X545="","",IFERROR(VLOOKUP($X545,'Char Popularity'!$A$2:$C$500,2,FALSE),""))</f>
        <v/>
      </c>
      <c r="Z545" s="56">
        <f>IF($X545="",1,IFERROR(VLOOKUP($X545,'Char Popularity'!$A$2:$C$500,3,FALSE),1))</f>
        <v>1</v>
      </c>
      <c r="AA545" s="62">
        <f>IF($H545&lt;&gt;"Y",0,(IF($F545&lt;&gt;"",ROUND(Dashboard!$R$4/$F545,1),IF(AND($I545="Base",$E545="Base"),Dashboard!$R$5,IF(AND($I545="Base",$E545="Red"),Dashboard!$R$6,IF(AND($I545="Base",$E545="Gold"),Dashboard!$R$7,VLOOKUP($I545,Dashboard!$Q$16:$R$21,2,FALSE)))))*VLOOKUP($I545,Dashboard!$Q$9:$R$13,2,FALSE)*IF(AND($I545="Auto",$F545="",OR($B545="Autographs Duals",$B545="Autographs Triples",$B545="Autographs Quads",$B545="Autographs Quads (Inscribed)")),IF($B545="Autographs Duals",2,IF($B545="Autographs Triples",3,4)),1)))</f>
        <v>2</v>
      </c>
      <c r="AB545" s="62">
        <f t="shared" si="115"/>
        <v>2</v>
      </c>
      <c r="AC545" s="62">
        <f t="shared" si="116"/>
        <v>0</v>
      </c>
    </row>
    <row r="546" spans="1:29" ht="28.7" customHeight="1" x14ac:dyDescent="0.25">
      <c r="A546" s="4" t="s">
        <v>17</v>
      </c>
      <c r="B546" s="7" t="s">
        <v>63</v>
      </c>
      <c r="C546" s="2" t="s">
        <v>1444</v>
      </c>
      <c r="D546" s="7" t="s">
        <v>932</v>
      </c>
      <c r="E546" s="4" t="s">
        <v>823</v>
      </c>
      <c r="F546" s="2"/>
      <c r="G546" s="2" t="s">
        <v>1399</v>
      </c>
      <c r="H546" s="2" t="s">
        <v>1400</v>
      </c>
      <c r="I546" s="4" t="s">
        <v>60</v>
      </c>
      <c r="J546" s="112">
        <f>IF($H546&lt;&gt;"Y",0,ROUND(MIN(Dashboard!$R$24,IF(IFERROR(VLOOKUP($B546,Dashboard!$Q$28:$S$60,2,FALSE),0)&gt;0,IFERROR(VLOOKUP($B546,Dashboard!$Q$28:$S$60,2,FALSE),0),$Z546*IF($U546&lt;&gt;"",ROUND((Dashboard!$R$4/$U546)*VLOOKUP($I546,Dashboard!$Q$9:$R$13,2,FALSE)*IF(ISNUMBER(SEARCH("Duals",$B546)),2,IF(ISNUMBER(SEARCH("Triples",$B546)),3,IF(ISNUMBER(SEARCH("Quads",$B546)),4,1))),2),ROUND(VLOOKUP($I546,Dashboard!$Q$15:$R$20,2,FALSE)*IF($E546="Red",Dashboard!$R$6,IF($E546="Gold",Dashboard!$R$7,Dashboard!$R$5))*IF(ISNUMBER(SEARCH("Duals",$B546)),2,IF(ISNUMBER(SEARCH("Triples",$B546)),3,IF(ISNUMBER(SEARCH("Quads",$B546)),4,1))),2))*IF(IFERROR(VLOOKUP($B546,Dashboard!$Q$28:$S$60,3,FALSE),0)&gt;0,VLOOKUP($B546,Dashboard!$Q$28:$S$60,3,FALSE),1))),0))</f>
        <v>2</v>
      </c>
      <c r="K546" s="2" t="str">
        <f>IF('Base S1'!D46="","",'Base S1'!D46)</f>
        <v>h</v>
      </c>
      <c r="L546" s="2">
        <f t="shared" si="104"/>
        <v>1</v>
      </c>
      <c r="M546" s="2">
        <f t="shared" si="105"/>
        <v>0</v>
      </c>
      <c r="N546" s="2">
        <f t="shared" si="106"/>
        <v>1</v>
      </c>
      <c r="O546" s="2">
        <f t="shared" si="107"/>
        <v>0</v>
      </c>
      <c r="P546" s="112">
        <f t="shared" si="108"/>
        <v>2</v>
      </c>
      <c r="Q546" s="112">
        <f t="shared" si="109"/>
        <v>0</v>
      </c>
      <c r="R546" s="53"/>
      <c r="S546" s="53" t="str">
        <f t="shared" si="110"/>
        <v>Base S1|Red Parallel - Season 1|45|Red</v>
      </c>
      <c r="T546" s="57" t="str">
        <f>IF($S546="","",IFERROR(VLOOKUP($S546,'Pop Estimates (Non-#d)'!$N$2:$O$500,2,FALSE),""))</f>
        <v/>
      </c>
      <c r="U546" s="57" t="str">
        <f t="shared" si="111"/>
        <v/>
      </c>
      <c r="V546" s="53" t="str">
        <f t="shared" si="112"/>
        <v/>
      </c>
      <c r="W546" s="53" t="str">
        <f t="shared" si="113"/>
        <v/>
      </c>
      <c r="X546" s="53" t="str">
        <f t="shared" si="114"/>
        <v/>
      </c>
      <c r="Y546" s="57" t="str">
        <f>IF($X546="","",IFERROR(VLOOKUP($X546,'Char Popularity'!$A$2:$C$500,2,FALSE),""))</f>
        <v/>
      </c>
      <c r="Z546" s="56">
        <f>IF($X546="",1,IFERROR(VLOOKUP($X546,'Char Popularity'!$A$2:$C$500,3,FALSE),1))</f>
        <v>1</v>
      </c>
      <c r="AA546" s="62">
        <f>IF($H546&lt;&gt;"Y",0,(IF($F546&lt;&gt;"",ROUND(Dashboard!$R$4/$F546,1),IF(AND($I546="Base",$E546="Base"),Dashboard!$R$5,IF(AND($I546="Base",$E546="Red"),Dashboard!$R$6,IF(AND($I546="Base",$E546="Gold"),Dashboard!$R$7,VLOOKUP($I546,Dashboard!$Q$16:$R$21,2,FALSE)))))*VLOOKUP($I546,Dashboard!$Q$9:$R$13,2,FALSE)*IF(AND($I546="Auto",$F546="",OR($B546="Autographs Duals",$B546="Autographs Triples",$B546="Autographs Quads",$B546="Autographs Quads (Inscribed)")),IF($B546="Autographs Duals",2,IF($B546="Autographs Triples",3,4)),1)))</f>
        <v>2</v>
      </c>
      <c r="AB546" s="62">
        <f t="shared" si="115"/>
        <v>2</v>
      </c>
      <c r="AC546" s="62">
        <f t="shared" si="116"/>
        <v>0</v>
      </c>
    </row>
    <row r="547" spans="1:29" ht="28.7" customHeight="1" x14ac:dyDescent="0.25">
      <c r="A547" s="4" t="s">
        <v>17</v>
      </c>
      <c r="B547" s="7" t="s">
        <v>63</v>
      </c>
      <c r="C547" s="2" t="s">
        <v>1445</v>
      </c>
      <c r="D547" s="7" t="s">
        <v>934</v>
      </c>
      <c r="E547" s="4" t="s">
        <v>823</v>
      </c>
      <c r="F547" s="2"/>
      <c r="G547" s="2" t="s">
        <v>1399</v>
      </c>
      <c r="H547" s="2" t="s">
        <v>1400</v>
      </c>
      <c r="I547" s="4" t="s">
        <v>60</v>
      </c>
      <c r="J547" s="112">
        <f>IF($H547&lt;&gt;"Y",0,ROUND(MIN(Dashboard!$R$24,IF(IFERROR(VLOOKUP($B547,Dashboard!$Q$28:$S$60,2,FALSE),0)&gt;0,IFERROR(VLOOKUP($B547,Dashboard!$Q$28:$S$60,2,FALSE),0),$Z547*IF($U547&lt;&gt;"",ROUND((Dashboard!$R$4/$U547)*VLOOKUP($I547,Dashboard!$Q$9:$R$13,2,FALSE)*IF(ISNUMBER(SEARCH("Duals",$B547)),2,IF(ISNUMBER(SEARCH("Triples",$B547)),3,IF(ISNUMBER(SEARCH("Quads",$B547)),4,1))),2),ROUND(VLOOKUP($I547,Dashboard!$Q$15:$R$20,2,FALSE)*IF($E547="Red",Dashboard!$R$6,IF($E547="Gold",Dashboard!$R$7,Dashboard!$R$5))*IF(ISNUMBER(SEARCH("Duals",$B547)),2,IF(ISNUMBER(SEARCH("Triples",$B547)),3,IF(ISNUMBER(SEARCH("Quads",$B547)),4,1))),2))*IF(IFERROR(VLOOKUP($B547,Dashboard!$Q$28:$S$60,3,FALSE),0)&gt;0,VLOOKUP($B547,Dashboard!$Q$28:$S$60,3,FALSE),1))),0))</f>
        <v>2</v>
      </c>
      <c r="K547" s="2" t="str">
        <f>IF('Base S1'!D47="","",'Base S1'!D47)</f>
        <v>h</v>
      </c>
      <c r="L547" s="2">
        <f t="shared" si="104"/>
        <v>1</v>
      </c>
      <c r="M547" s="2">
        <f t="shared" si="105"/>
        <v>0</v>
      </c>
      <c r="N547" s="2">
        <f t="shared" si="106"/>
        <v>1</v>
      </c>
      <c r="O547" s="2">
        <f t="shared" si="107"/>
        <v>0</v>
      </c>
      <c r="P547" s="112">
        <f t="shared" si="108"/>
        <v>2</v>
      </c>
      <c r="Q547" s="112">
        <f t="shared" si="109"/>
        <v>0</v>
      </c>
      <c r="R547" s="53"/>
      <c r="S547" s="53" t="str">
        <f t="shared" si="110"/>
        <v>Base S1|Red Parallel - Season 1|46|Red</v>
      </c>
      <c r="T547" s="57" t="str">
        <f>IF($S547="","",IFERROR(VLOOKUP($S547,'Pop Estimates (Non-#d)'!$N$2:$O$500,2,FALSE),""))</f>
        <v/>
      </c>
      <c r="U547" s="57" t="str">
        <f t="shared" si="111"/>
        <v/>
      </c>
      <c r="V547" s="53" t="str">
        <f t="shared" si="112"/>
        <v/>
      </c>
      <c r="W547" s="53" t="str">
        <f t="shared" si="113"/>
        <v/>
      </c>
      <c r="X547" s="53" t="str">
        <f t="shared" si="114"/>
        <v/>
      </c>
      <c r="Y547" s="57" t="str">
        <f>IF($X547="","",IFERROR(VLOOKUP($X547,'Char Popularity'!$A$2:$C$500,2,FALSE),""))</f>
        <v/>
      </c>
      <c r="Z547" s="56">
        <f>IF($X547="",1,IFERROR(VLOOKUP($X547,'Char Popularity'!$A$2:$C$500,3,FALSE),1))</f>
        <v>1</v>
      </c>
      <c r="AA547" s="62">
        <f>IF($H547&lt;&gt;"Y",0,(IF($F547&lt;&gt;"",ROUND(Dashboard!$R$4/$F547,1),IF(AND($I547="Base",$E547="Base"),Dashboard!$R$5,IF(AND($I547="Base",$E547="Red"),Dashboard!$R$6,IF(AND($I547="Base",$E547="Gold"),Dashboard!$R$7,VLOOKUP($I547,Dashboard!$Q$16:$R$21,2,FALSE)))))*VLOOKUP($I547,Dashboard!$Q$9:$R$13,2,FALSE)*IF(AND($I547="Auto",$F547="",OR($B547="Autographs Duals",$B547="Autographs Triples",$B547="Autographs Quads",$B547="Autographs Quads (Inscribed)")),IF($B547="Autographs Duals",2,IF($B547="Autographs Triples",3,4)),1)))</f>
        <v>2</v>
      </c>
      <c r="AB547" s="62">
        <f t="shared" si="115"/>
        <v>2</v>
      </c>
      <c r="AC547" s="62">
        <f t="shared" si="116"/>
        <v>0</v>
      </c>
    </row>
    <row r="548" spans="1:29" ht="28.7" customHeight="1" x14ac:dyDescent="0.25">
      <c r="A548" s="4" t="s">
        <v>17</v>
      </c>
      <c r="B548" s="7" t="s">
        <v>63</v>
      </c>
      <c r="C548" s="2" t="s">
        <v>1446</v>
      </c>
      <c r="D548" s="7" t="s">
        <v>562</v>
      </c>
      <c r="E548" s="4" t="s">
        <v>823</v>
      </c>
      <c r="F548" s="2"/>
      <c r="G548" s="2" t="s">
        <v>1399</v>
      </c>
      <c r="H548" s="2" t="s">
        <v>1400</v>
      </c>
      <c r="I548" s="4" t="s">
        <v>60</v>
      </c>
      <c r="J548" s="112">
        <f>IF($H548&lt;&gt;"Y",0,ROUND(MIN(Dashboard!$R$24,IF(IFERROR(VLOOKUP($B548,Dashboard!$Q$28:$S$60,2,FALSE),0)&gt;0,IFERROR(VLOOKUP($B548,Dashboard!$Q$28:$S$60,2,FALSE),0),$Z548*IF($U548&lt;&gt;"",ROUND((Dashboard!$R$4/$U548)*VLOOKUP($I548,Dashboard!$Q$9:$R$13,2,FALSE)*IF(ISNUMBER(SEARCH("Duals",$B548)),2,IF(ISNUMBER(SEARCH("Triples",$B548)),3,IF(ISNUMBER(SEARCH("Quads",$B548)),4,1))),2),ROUND(VLOOKUP($I548,Dashboard!$Q$15:$R$20,2,FALSE)*IF($E548="Red",Dashboard!$R$6,IF($E548="Gold",Dashboard!$R$7,Dashboard!$R$5))*IF(ISNUMBER(SEARCH("Duals",$B548)),2,IF(ISNUMBER(SEARCH("Triples",$B548)),3,IF(ISNUMBER(SEARCH("Quads",$B548)),4,1))),2))*IF(IFERROR(VLOOKUP($B548,Dashboard!$Q$28:$S$60,3,FALSE),0)&gt;0,VLOOKUP($B548,Dashboard!$Q$28:$S$60,3,FALSE),1))),0))</f>
        <v>2</v>
      </c>
      <c r="K548" s="2" t="str">
        <f>IF('Base S1'!D48="","",'Base S1'!D48)</f>
        <v>h</v>
      </c>
      <c r="L548" s="2">
        <f t="shared" si="104"/>
        <v>1</v>
      </c>
      <c r="M548" s="2">
        <f t="shared" si="105"/>
        <v>0</v>
      </c>
      <c r="N548" s="2">
        <f t="shared" si="106"/>
        <v>1</v>
      </c>
      <c r="O548" s="2">
        <f t="shared" si="107"/>
        <v>0</v>
      </c>
      <c r="P548" s="112">
        <f t="shared" si="108"/>
        <v>2</v>
      </c>
      <c r="Q548" s="112">
        <f t="shared" si="109"/>
        <v>0</v>
      </c>
      <c r="R548" s="53"/>
      <c r="S548" s="53" t="str">
        <f t="shared" si="110"/>
        <v>Base S1|Red Parallel - Season 1|47|Red</v>
      </c>
      <c r="T548" s="57" t="str">
        <f>IF($S548="","",IFERROR(VLOOKUP($S548,'Pop Estimates (Non-#d)'!$N$2:$O$500,2,FALSE),""))</f>
        <v/>
      </c>
      <c r="U548" s="57" t="str">
        <f t="shared" si="111"/>
        <v/>
      </c>
      <c r="V548" s="53" t="str">
        <f t="shared" si="112"/>
        <v/>
      </c>
      <c r="W548" s="53" t="str">
        <f t="shared" si="113"/>
        <v/>
      </c>
      <c r="X548" s="53" t="str">
        <f t="shared" si="114"/>
        <v/>
      </c>
      <c r="Y548" s="57" t="str">
        <f>IF($X548="","",IFERROR(VLOOKUP($X548,'Char Popularity'!$A$2:$C$500,2,FALSE),""))</f>
        <v/>
      </c>
      <c r="Z548" s="56">
        <f>IF($X548="",1,IFERROR(VLOOKUP($X548,'Char Popularity'!$A$2:$C$500,3,FALSE),1))</f>
        <v>1</v>
      </c>
      <c r="AA548" s="62">
        <f>IF($H548&lt;&gt;"Y",0,(IF($F548&lt;&gt;"",ROUND(Dashboard!$R$4/$F548,1),IF(AND($I548="Base",$E548="Base"),Dashboard!$R$5,IF(AND($I548="Base",$E548="Red"),Dashboard!$R$6,IF(AND($I548="Base",$E548="Gold"),Dashboard!$R$7,VLOOKUP($I548,Dashboard!$Q$16:$R$21,2,FALSE)))))*VLOOKUP($I548,Dashboard!$Q$9:$R$13,2,FALSE)*IF(AND($I548="Auto",$F548="",OR($B548="Autographs Duals",$B548="Autographs Triples",$B548="Autographs Quads",$B548="Autographs Quads (Inscribed)")),IF($B548="Autographs Duals",2,IF($B548="Autographs Triples",3,4)),1)))</f>
        <v>2</v>
      </c>
      <c r="AB548" s="62">
        <f t="shared" si="115"/>
        <v>2</v>
      </c>
      <c r="AC548" s="62">
        <f t="shared" si="116"/>
        <v>0</v>
      </c>
    </row>
    <row r="549" spans="1:29" ht="28.7" customHeight="1" x14ac:dyDescent="0.25">
      <c r="A549" s="4" t="s">
        <v>17</v>
      </c>
      <c r="B549" s="7" t="s">
        <v>63</v>
      </c>
      <c r="C549" s="2" t="s">
        <v>1447</v>
      </c>
      <c r="D549" s="7" t="s">
        <v>539</v>
      </c>
      <c r="E549" s="4" t="s">
        <v>823</v>
      </c>
      <c r="F549" s="2"/>
      <c r="G549" s="2" t="s">
        <v>1399</v>
      </c>
      <c r="H549" s="2" t="s">
        <v>1400</v>
      </c>
      <c r="I549" s="4" t="s">
        <v>60</v>
      </c>
      <c r="J549" s="112">
        <f>IF($H549&lt;&gt;"Y",0,ROUND(MIN(Dashboard!$R$24,IF(IFERROR(VLOOKUP($B549,Dashboard!$Q$28:$S$60,2,FALSE),0)&gt;0,IFERROR(VLOOKUP($B549,Dashboard!$Q$28:$S$60,2,FALSE),0),$Z549*IF($U549&lt;&gt;"",ROUND((Dashboard!$R$4/$U549)*VLOOKUP($I549,Dashboard!$Q$9:$R$13,2,FALSE)*IF(ISNUMBER(SEARCH("Duals",$B549)),2,IF(ISNUMBER(SEARCH("Triples",$B549)),3,IF(ISNUMBER(SEARCH("Quads",$B549)),4,1))),2),ROUND(VLOOKUP($I549,Dashboard!$Q$15:$R$20,2,FALSE)*IF($E549="Red",Dashboard!$R$6,IF($E549="Gold",Dashboard!$R$7,Dashboard!$R$5))*IF(ISNUMBER(SEARCH("Duals",$B549)),2,IF(ISNUMBER(SEARCH("Triples",$B549)),3,IF(ISNUMBER(SEARCH("Quads",$B549)),4,1))),2))*IF(IFERROR(VLOOKUP($B549,Dashboard!$Q$28:$S$60,3,FALSE),0)&gt;0,VLOOKUP($B549,Dashboard!$Q$28:$S$60,3,FALSE),1))),0))</f>
        <v>2</v>
      </c>
      <c r="K549" s="2" t="str">
        <f>IF('Base S1'!D49="","",'Base S1'!D49)</f>
        <v>h</v>
      </c>
      <c r="L549" s="2">
        <f t="shared" si="104"/>
        <v>1</v>
      </c>
      <c r="M549" s="2">
        <f t="shared" si="105"/>
        <v>0</v>
      </c>
      <c r="N549" s="2">
        <f t="shared" si="106"/>
        <v>1</v>
      </c>
      <c r="O549" s="2">
        <f t="shared" si="107"/>
        <v>0</v>
      </c>
      <c r="P549" s="112">
        <f t="shared" si="108"/>
        <v>2</v>
      </c>
      <c r="Q549" s="112">
        <f t="shared" si="109"/>
        <v>0</v>
      </c>
      <c r="R549" s="53"/>
      <c r="S549" s="53" t="str">
        <f t="shared" si="110"/>
        <v>Base S1|Red Parallel - Season 1|48|Red</v>
      </c>
      <c r="T549" s="57" t="str">
        <f>IF($S549="","",IFERROR(VLOOKUP($S549,'Pop Estimates (Non-#d)'!$N$2:$O$500,2,FALSE),""))</f>
        <v/>
      </c>
      <c r="U549" s="57" t="str">
        <f t="shared" si="111"/>
        <v/>
      </c>
      <c r="V549" s="53" t="str">
        <f t="shared" si="112"/>
        <v/>
      </c>
      <c r="W549" s="53" t="str">
        <f t="shared" si="113"/>
        <v/>
      </c>
      <c r="X549" s="53" t="str">
        <f t="shared" si="114"/>
        <v/>
      </c>
      <c r="Y549" s="57" t="str">
        <f>IF($X549="","",IFERROR(VLOOKUP($X549,'Char Popularity'!$A$2:$C$500,2,FALSE),""))</f>
        <v/>
      </c>
      <c r="Z549" s="56">
        <f>IF($X549="",1,IFERROR(VLOOKUP($X549,'Char Popularity'!$A$2:$C$500,3,FALSE),1))</f>
        <v>1</v>
      </c>
      <c r="AA549" s="62">
        <f>IF($H549&lt;&gt;"Y",0,(IF($F549&lt;&gt;"",ROUND(Dashboard!$R$4/$F549,1),IF(AND($I549="Base",$E549="Base"),Dashboard!$R$5,IF(AND($I549="Base",$E549="Red"),Dashboard!$R$6,IF(AND($I549="Base",$E549="Gold"),Dashboard!$R$7,VLOOKUP($I549,Dashboard!$Q$16:$R$21,2,FALSE)))))*VLOOKUP($I549,Dashboard!$Q$9:$R$13,2,FALSE)*IF(AND($I549="Auto",$F549="",OR($B549="Autographs Duals",$B549="Autographs Triples",$B549="Autographs Quads",$B549="Autographs Quads (Inscribed)")),IF($B549="Autographs Duals",2,IF($B549="Autographs Triples",3,4)),1)))</f>
        <v>2</v>
      </c>
      <c r="AB549" s="62">
        <f t="shared" si="115"/>
        <v>2</v>
      </c>
      <c r="AC549" s="62">
        <f t="shared" si="116"/>
        <v>0</v>
      </c>
    </row>
    <row r="550" spans="1:29" ht="28.7" customHeight="1" x14ac:dyDescent="0.25">
      <c r="A550" s="4" t="s">
        <v>17</v>
      </c>
      <c r="B550" s="7" t="s">
        <v>63</v>
      </c>
      <c r="C550" s="2" t="s">
        <v>1448</v>
      </c>
      <c r="D550" s="7" t="s">
        <v>938</v>
      </c>
      <c r="E550" s="4" t="s">
        <v>823</v>
      </c>
      <c r="F550" s="2"/>
      <c r="G550" s="2" t="s">
        <v>1399</v>
      </c>
      <c r="H550" s="2" t="s">
        <v>1400</v>
      </c>
      <c r="I550" s="4" t="s">
        <v>60</v>
      </c>
      <c r="J550" s="112">
        <f>IF($H550&lt;&gt;"Y",0,ROUND(MIN(Dashboard!$R$24,IF(IFERROR(VLOOKUP($B550,Dashboard!$Q$28:$S$60,2,FALSE),0)&gt;0,IFERROR(VLOOKUP($B550,Dashboard!$Q$28:$S$60,2,FALSE),0),$Z550*IF($U550&lt;&gt;"",ROUND((Dashboard!$R$4/$U550)*VLOOKUP($I550,Dashboard!$Q$9:$R$13,2,FALSE)*IF(ISNUMBER(SEARCH("Duals",$B550)),2,IF(ISNUMBER(SEARCH("Triples",$B550)),3,IF(ISNUMBER(SEARCH("Quads",$B550)),4,1))),2),ROUND(VLOOKUP($I550,Dashboard!$Q$15:$R$20,2,FALSE)*IF($E550="Red",Dashboard!$R$6,IF($E550="Gold",Dashboard!$R$7,Dashboard!$R$5))*IF(ISNUMBER(SEARCH("Duals",$B550)),2,IF(ISNUMBER(SEARCH("Triples",$B550)),3,IF(ISNUMBER(SEARCH("Quads",$B550)),4,1))),2))*IF(IFERROR(VLOOKUP($B550,Dashboard!$Q$28:$S$60,3,FALSE),0)&gt;0,VLOOKUP($B550,Dashboard!$Q$28:$S$60,3,FALSE),1))),0))</f>
        <v>2</v>
      </c>
      <c r="K550" s="2" t="str">
        <f>IF('Base S1'!D50="","",'Base S1'!D50)</f>
        <v>h</v>
      </c>
      <c r="L550" s="2">
        <f t="shared" si="104"/>
        <v>1</v>
      </c>
      <c r="M550" s="2">
        <f t="shared" si="105"/>
        <v>0</v>
      </c>
      <c r="N550" s="2">
        <f t="shared" si="106"/>
        <v>1</v>
      </c>
      <c r="O550" s="2">
        <f t="shared" si="107"/>
        <v>0</v>
      </c>
      <c r="P550" s="112">
        <f t="shared" si="108"/>
        <v>2</v>
      </c>
      <c r="Q550" s="112">
        <f t="shared" si="109"/>
        <v>0</v>
      </c>
      <c r="R550" s="53"/>
      <c r="S550" s="53" t="str">
        <f t="shared" si="110"/>
        <v>Base S1|Red Parallel - Season 1|49|Red</v>
      </c>
      <c r="T550" s="57" t="str">
        <f>IF($S550="","",IFERROR(VLOOKUP($S550,'Pop Estimates (Non-#d)'!$N$2:$O$500,2,FALSE),""))</f>
        <v/>
      </c>
      <c r="U550" s="57" t="str">
        <f t="shared" si="111"/>
        <v/>
      </c>
      <c r="V550" s="53" t="str">
        <f t="shared" si="112"/>
        <v/>
      </c>
      <c r="W550" s="53" t="str">
        <f t="shared" si="113"/>
        <v/>
      </c>
      <c r="X550" s="53" t="str">
        <f t="shared" si="114"/>
        <v/>
      </c>
      <c r="Y550" s="57" t="str">
        <f>IF($X550="","",IFERROR(VLOOKUP($X550,'Char Popularity'!$A$2:$C$500,2,FALSE),""))</f>
        <v/>
      </c>
      <c r="Z550" s="56">
        <f>IF($X550="",1,IFERROR(VLOOKUP($X550,'Char Popularity'!$A$2:$C$500,3,FALSE),1))</f>
        <v>1</v>
      </c>
      <c r="AA550" s="62">
        <f>IF($H550&lt;&gt;"Y",0,(IF($F550&lt;&gt;"",ROUND(Dashboard!$R$4/$F550,1),IF(AND($I550="Base",$E550="Base"),Dashboard!$R$5,IF(AND($I550="Base",$E550="Red"),Dashboard!$R$6,IF(AND($I550="Base",$E550="Gold"),Dashboard!$R$7,VLOOKUP($I550,Dashboard!$Q$16:$R$21,2,FALSE)))))*VLOOKUP($I550,Dashboard!$Q$9:$R$13,2,FALSE)*IF(AND($I550="Auto",$F550="",OR($B550="Autographs Duals",$B550="Autographs Triples",$B550="Autographs Quads",$B550="Autographs Quads (Inscribed)")),IF($B550="Autographs Duals",2,IF($B550="Autographs Triples",3,4)),1)))</f>
        <v>2</v>
      </c>
      <c r="AB550" s="62">
        <f t="shared" si="115"/>
        <v>2</v>
      </c>
      <c r="AC550" s="62">
        <f t="shared" si="116"/>
        <v>0</v>
      </c>
    </row>
    <row r="551" spans="1:29" ht="28.7" customHeight="1" x14ac:dyDescent="0.25">
      <c r="A551" s="4" t="s">
        <v>17</v>
      </c>
      <c r="B551" s="7" t="s">
        <v>63</v>
      </c>
      <c r="C551" s="2" t="s">
        <v>1449</v>
      </c>
      <c r="D551" s="7" t="s">
        <v>939</v>
      </c>
      <c r="E551" s="4" t="s">
        <v>823</v>
      </c>
      <c r="F551" s="2"/>
      <c r="G551" s="2" t="s">
        <v>1399</v>
      </c>
      <c r="H551" s="2" t="s">
        <v>1400</v>
      </c>
      <c r="I551" s="4" t="s">
        <v>60</v>
      </c>
      <c r="J551" s="112">
        <f>IF($H551&lt;&gt;"Y",0,ROUND(MIN(Dashboard!$R$24,IF(IFERROR(VLOOKUP($B551,Dashboard!$Q$28:$S$60,2,FALSE),0)&gt;0,IFERROR(VLOOKUP($B551,Dashboard!$Q$28:$S$60,2,FALSE),0),$Z551*IF($U551&lt;&gt;"",ROUND((Dashboard!$R$4/$U551)*VLOOKUP($I551,Dashboard!$Q$9:$R$13,2,FALSE)*IF(ISNUMBER(SEARCH("Duals",$B551)),2,IF(ISNUMBER(SEARCH("Triples",$B551)),3,IF(ISNUMBER(SEARCH("Quads",$B551)),4,1))),2),ROUND(VLOOKUP($I551,Dashboard!$Q$15:$R$20,2,FALSE)*IF($E551="Red",Dashboard!$R$6,IF($E551="Gold",Dashboard!$R$7,Dashboard!$R$5))*IF(ISNUMBER(SEARCH("Duals",$B551)),2,IF(ISNUMBER(SEARCH("Triples",$B551)),3,IF(ISNUMBER(SEARCH("Quads",$B551)),4,1))),2))*IF(IFERROR(VLOOKUP($B551,Dashboard!$Q$28:$S$60,3,FALSE),0)&gt;0,VLOOKUP($B551,Dashboard!$Q$28:$S$60,3,FALSE),1))),0))</f>
        <v>2</v>
      </c>
      <c r="K551" s="2" t="str">
        <f>IF('Base S1'!D51="","",'Base S1'!D51)</f>
        <v>h</v>
      </c>
      <c r="L551" s="2">
        <f t="shared" si="104"/>
        <v>1</v>
      </c>
      <c r="M551" s="2">
        <f t="shared" si="105"/>
        <v>0</v>
      </c>
      <c r="N551" s="2">
        <f t="shared" si="106"/>
        <v>1</v>
      </c>
      <c r="O551" s="2">
        <f t="shared" si="107"/>
        <v>0</v>
      </c>
      <c r="P551" s="112">
        <f t="shared" si="108"/>
        <v>2</v>
      </c>
      <c r="Q551" s="112">
        <f t="shared" si="109"/>
        <v>0</v>
      </c>
      <c r="R551" s="53"/>
      <c r="S551" s="53" t="str">
        <f t="shared" si="110"/>
        <v>Base S1|Red Parallel - Season 1|50|Red</v>
      </c>
      <c r="T551" s="57" t="str">
        <f>IF($S551="","",IFERROR(VLOOKUP($S551,'Pop Estimates (Non-#d)'!$N$2:$O$500,2,FALSE),""))</f>
        <v/>
      </c>
      <c r="U551" s="57" t="str">
        <f t="shared" si="111"/>
        <v/>
      </c>
      <c r="V551" s="53" t="str">
        <f t="shared" si="112"/>
        <v/>
      </c>
      <c r="W551" s="53" t="str">
        <f t="shared" si="113"/>
        <v/>
      </c>
      <c r="X551" s="53" t="str">
        <f t="shared" si="114"/>
        <v/>
      </c>
      <c r="Y551" s="57" t="str">
        <f>IF($X551="","",IFERROR(VLOOKUP($X551,'Char Popularity'!$A$2:$C$500,2,FALSE),""))</f>
        <v/>
      </c>
      <c r="Z551" s="56">
        <f>IF($X551="",1,IFERROR(VLOOKUP($X551,'Char Popularity'!$A$2:$C$500,3,FALSE),1))</f>
        <v>1</v>
      </c>
      <c r="AA551" s="62">
        <f>IF($H551&lt;&gt;"Y",0,(IF($F551&lt;&gt;"",ROUND(Dashboard!$R$4/$F551,1),IF(AND($I551="Base",$E551="Base"),Dashboard!$R$5,IF(AND($I551="Base",$E551="Red"),Dashboard!$R$6,IF(AND($I551="Base",$E551="Gold"),Dashboard!$R$7,VLOOKUP($I551,Dashboard!$Q$16:$R$21,2,FALSE)))))*VLOOKUP($I551,Dashboard!$Q$9:$R$13,2,FALSE)*IF(AND($I551="Auto",$F551="",OR($B551="Autographs Duals",$B551="Autographs Triples",$B551="Autographs Quads",$B551="Autographs Quads (Inscribed)")),IF($B551="Autographs Duals",2,IF($B551="Autographs Triples",3,4)),1)))</f>
        <v>2</v>
      </c>
      <c r="AB551" s="62">
        <f t="shared" si="115"/>
        <v>2</v>
      </c>
      <c r="AC551" s="62">
        <f t="shared" si="116"/>
        <v>0</v>
      </c>
    </row>
    <row r="552" spans="1:29" ht="28.7" customHeight="1" x14ac:dyDescent="0.25">
      <c r="A552" s="4" t="s">
        <v>17</v>
      </c>
      <c r="B552" s="7" t="s">
        <v>63</v>
      </c>
      <c r="C552" s="2" t="s">
        <v>1450</v>
      </c>
      <c r="D552" s="7" t="s">
        <v>941</v>
      </c>
      <c r="E552" s="4" t="s">
        <v>823</v>
      </c>
      <c r="F552" s="2"/>
      <c r="G552" s="2" t="s">
        <v>1399</v>
      </c>
      <c r="H552" s="2" t="s">
        <v>1400</v>
      </c>
      <c r="I552" s="4" t="s">
        <v>60</v>
      </c>
      <c r="J552" s="112">
        <f>IF($H552&lt;&gt;"Y",0,ROUND(MIN(Dashboard!$R$24,IF(IFERROR(VLOOKUP($B552,Dashboard!$Q$28:$S$60,2,FALSE),0)&gt;0,IFERROR(VLOOKUP($B552,Dashboard!$Q$28:$S$60,2,FALSE),0),$Z552*IF($U552&lt;&gt;"",ROUND((Dashboard!$R$4/$U552)*VLOOKUP($I552,Dashboard!$Q$9:$R$13,2,FALSE)*IF(ISNUMBER(SEARCH("Duals",$B552)),2,IF(ISNUMBER(SEARCH("Triples",$B552)),3,IF(ISNUMBER(SEARCH("Quads",$B552)),4,1))),2),ROUND(VLOOKUP($I552,Dashboard!$Q$15:$R$20,2,FALSE)*IF($E552="Red",Dashboard!$R$6,IF($E552="Gold",Dashboard!$R$7,Dashboard!$R$5))*IF(ISNUMBER(SEARCH("Duals",$B552)),2,IF(ISNUMBER(SEARCH("Triples",$B552)),3,IF(ISNUMBER(SEARCH("Quads",$B552)),4,1))),2))*IF(IFERROR(VLOOKUP($B552,Dashboard!$Q$28:$S$60,3,FALSE),0)&gt;0,VLOOKUP($B552,Dashboard!$Q$28:$S$60,3,FALSE),1))),0))</f>
        <v>2</v>
      </c>
      <c r="K552" s="2" t="str">
        <f>IF('Base S1'!D52="","",'Base S1'!D52)</f>
        <v>h</v>
      </c>
      <c r="L552" s="2">
        <f t="shared" si="104"/>
        <v>1</v>
      </c>
      <c r="M552" s="2">
        <f t="shared" si="105"/>
        <v>0</v>
      </c>
      <c r="N552" s="2">
        <f t="shared" si="106"/>
        <v>1</v>
      </c>
      <c r="O552" s="2">
        <f t="shared" si="107"/>
        <v>0</v>
      </c>
      <c r="P552" s="112">
        <f t="shared" si="108"/>
        <v>2</v>
      </c>
      <c r="Q552" s="112">
        <f t="shared" si="109"/>
        <v>0</v>
      </c>
      <c r="R552" s="53"/>
      <c r="S552" s="53" t="str">
        <f t="shared" si="110"/>
        <v>Base S1|Red Parallel - Season 1|51|Red</v>
      </c>
      <c r="T552" s="57" t="str">
        <f>IF($S552="","",IFERROR(VLOOKUP($S552,'Pop Estimates (Non-#d)'!$N$2:$O$500,2,FALSE),""))</f>
        <v/>
      </c>
      <c r="U552" s="57" t="str">
        <f t="shared" si="111"/>
        <v/>
      </c>
      <c r="V552" s="53" t="str">
        <f t="shared" si="112"/>
        <v/>
      </c>
      <c r="W552" s="53" t="str">
        <f t="shared" si="113"/>
        <v/>
      </c>
      <c r="X552" s="53" t="str">
        <f t="shared" si="114"/>
        <v/>
      </c>
      <c r="Y552" s="57" t="str">
        <f>IF($X552="","",IFERROR(VLOOKUP($X552,'Char Popularity'!$A$2:$C$500,2,FALSE),""))</f>
        <v/>
      </c>
      <c r="Z552" s="56">
        <f>IF($X552="",1,IFERROR(VLOOKUP($X552,'Char Popularity'!$A$2:$C$500,3,FALSE),1))</f>
        <v>1</v>
      </c>
      <c r="AA552" s="62">
        <f>IF($H552&lt;&gt;"Y",0,(IF($F552&lt;&gt;"",ROUND(Dashboard!$R$4/$F552,1),IF(AND($I552="Base",$E552="Base"),Dashboard!$R$5,IF(AND($I552="Base",$E552="Red"),Dashboard!$R$6,IF(AND($I552="Base",$E552="Gold"),Dashboard!$R$7,VLOOKUP($I552,Dashboard!$Q$16:$R$21,2,FALSE)))))*VLOOKUP($I552,Dashboard!$Q$9:$R$13,2,FALSE)*IF(AND($I552="Auto",$F552="",OR($B552="Autographs Duals",$B552="Autographs Triples",$B552="Autographs Quads",$B552="Autographs Quads (Inscribed)")),IF($B552="Autographs Duals",2,IF($B552="Autographs Triples",3,4)),1)))</f>
        <v>2</v>
      </c>
      <c r="AB552" s="62">
        <f t="shared" si="115"/>
        <v>2</v>
      </c>
      <c r="AC552" s="62">
        <f t="shared" si="116"/>
        <v>0</v>
      </c>
    </row>
    <row r="553" spans="1:29" ht="28.7" customHeight="1" x14ac:dyDescent="0.25">
      <c r="A553" s="4" t="s">
        <v>17</v>
      </c>
      <c r="B553" s="7" t="s">
        <v>63</v>
      </c>
      <c r="C553" s="2" t="s">
        <v>1451</v>
      </c>
      <c r="D553" s="7" t="s">
        <v>944</v>
      </c>
      <c r="E553" s="4" t="s">
        <v>823</v>
      </c>
      <c r="F553" s="2"/>
      <c r="G553" s="2" t="s">
        <v>1399</v>
      </c>
      <c r="H553" s="2" t="s">
        <v>1400</v>
      </c>
      <c r="I553" s="4" t="s">
        <v>60</v>
      </c>
      <c r="J553" s="112">
        <f>IF($H553&lt;&gt;"Y",0,ROUND(MIN(Dashboard!$R$24,IF(IFERROR(VLOOKUP($B553,Dashboard!$Q$28:$S$60,2,FALSE),0)&gt;0,IFERROR(VLOOKUP($B553,Dashboard!$Q$28:$S$60,2,FALSE),0),$Z553*IF($U553&lt;&gt;"",ROUND((Dashboard!$R$4/$U553)*VLOOKUP($I553,Dashboard!$Q$9:$R$13,2,FALSE)*IF(ISNUMBER(SEARCH("Duals",$B553)),2,IF(ISNUMBER(SEARCH("Triples",$B553)),3,IF(ISNUMBER(SEARCH("Quads",$B553)),4,1))),2),ROUND(VLOOKUP($I553,Dashboard!$Q$15:$R$20,2,FALSE)*IF($E553="Red",Dashboard!$R$6,IF($E553="Gold",Dashboard!$R$7,Dashboard!$R$5))*IF(ISNUMBER(SEARCH("Duals",$B553)),2,IF(ISNUMBER(SEARCH("Triples",$B553)),3,IF(ISNUMBER(SEARCH("Quads",$B553)),4,1))),2))*IF(IFERROR(VLOOKUP($B553,Dashboard!$Q$28:$S$60,3,FALSE),0)&gt;0,VLOOKUP($B553,Dashboard!$Q$28:$S$60,3,FALSE),1))),0))</f>
        <v>2</v>
      </c>
      <c r="K553" s="2" t="str">
        <f>IF('Base S1'!D53="","",'Base S1'!D53)</f>
        <v>h</v>
      </c>
      <c r="L553" s="2">
        <f t="shared" si="104"/>
        <v>1</v>
      </c>
      <c r="M553" s="2">
        <f t="shared" si="105"/>
        <v>0</v>
      </c>
      <c r="N553" s="2">
        <f t="shared" si="106"/>
        <v>1</v>
      </c>
      <c r="O553" s="2">
        <f t="shared" si="107"/>
        <v>0</v>
      </c>
      <c r="P553" s="112">
        <f t="shared" si="108"/>
        <v>2</v>
      </c>
      <c r="Q553" s="112">
        <f t="shared" si="109"/>
        <v>0</v>
      </c>
      <c r="R553" s="53"/>
      <c r="S553" s="53" t="str">
        <f t="shared" si="110"/>
        <v>Base S1|Red Parallel - Season 1|52|Red</v>
      </c>
      <c r="T553" s="57" t="str">
        <f>IF($S553="","",IFERROR(VLOOKUP($S553,'Pop Estimates (Non-#d)'!$N$2:$O$500,2,FALSE),""))</f>
        <v/>
      </c>
      <c r="U553" s="57" t="str">
        <f t="shared" si="111"/>
        <v/>
      </c>
      <c r="V553" s="53" t="str">
        <f t="shared" si="112"/>
        <v/>
      </c>
      <c r="W553" s="53" t="str">
        <f t="shared" si="113"/>
        <v/>
      </c>
      <c r="X553" s="53" t="str">
        <f t="shared" si="114"/>
        <v/>
      </c>
      <c r="Y553" s="57" t="str">
        <f>IF($X553="","",IFERROR(VLOOKUP($X553,'Char Popularity'!$A$2:$C$500,2,FALSE),""))</f>
        <v/>
      </c>
      <c r="Z553" s="56">
        <f>IF($X553="",1,IFERROR(VLOOKUP($X553,'Char Popularity'!$A$2:$C$500,3,FALSE),1))</f>
        <v>1</v>
      </c>
      <c r="AA553" s="62">
        <f>IF($H553&lt;&gt;"Y",0,(IF($F553&lt;&gt;"",ROUND(Dashboard!$R$4/$F553,1),IF(AND($I553="Base",$E553="Base"),Dashboard!$R$5,IF(AND($I553="Base",$E553="Red"),Dashboard!$R$6,IF(AND($I553="Base",$E553="Gold"),Dashboard!$R$7,VLOOKUP($I553,Dashboard!$Q$16:$R$21,2,FALSE)))))*VLOOKUP($I553,Dashboard!$Q$9:$R$13,2,FALSE)*IF(AND($I553="Auto",$F553="",OR($B553="Autographs Duals",$B553="Autographs Triples",$B553="Autographs Quads",$B553="Autographs Quads (Inscribed)")),IF($B553="Autographs Duals",2,IF($B553="Autographs Triples",3,4)),1)))</f>
        <v>2</v>
      </c>
      <c r="AB553" s="62">
        <f t="shared" si="115"/>
        <v>2</v>
      </c>
      <c r="AC553" s="62">
        <f t="shared" si="116"/>
        <v>0</v>
      </c>
    </row>
    <row r="554" spans="1:29" ht="28.7" customHeight="1" x14ac:dyDescent="0.25">
      <c r="A554" s="4" t="s">
        <v>17</v>
      </c>
      <c r="B554" s="7" t="s">
        <v>63</v>
      </c>
      <c r="C554" s="2" t="s">
        <v>1452</v>
      </c>
      <c r="D554" s="7" t="s">
        <v>946</v>
      </c>
      <c r="E554" s="4" t="s">
        <v>823</v>
      </c>
      <c r="F554" s="2"/>
      <c r="G554" s="2" t="s">
        <v>1399</v>
      </c>
      <c r="H554" s="2" t="s">
        <v>1400</v>
      </c>
      <c r="I554" s="4" t="s">
        <v>60</v>
      </c>
      <c r="J554" s="112">
        <f>IF($H554&lt;&gt;"Y",0,ROUND(MIN(Dashboard!$R$24,IF(IFERROR(VLOOKUP($B554,Dashboard!$Q$28:$S$60,2,FALSE),0)&gt;0,IFERROR(VLOOKUP($B554,Dashboard!$Q$28:$S$60,2,FALSE),0),$Z554*IF($U554&lt;&gt;"",ROUND((Dashboard!$R$4/$U554)*VLOOKUP($I554,Dashboard!$Q$9:$R$13,2,FALSE)*IF(ISNUMBER(SEARCH("Duals",$B554)),2,IF(ISNUMBER(SEARCH("Triples",$B554)),3,IF(ISNUMBER(SEARCH("Quads",$B554)),4,1))),2),ROUND(VLOOKUP($I554,Dashboard!$Q$15:$R$20,2,FALSE)*IF($E554="Red",Dashboard!$R$6,IF($E554="Gold",Dashboard!$R$7,Dashboard!$R$5))*IF(ISNUMBER(SEARCH("Duals",$B554)),2,IF(ISNUMBER(SEARCH("Triples",$B554)),3,IF(ISNUMBER(SEARCH("Quads",$B554)),4,1))),2))*IF(IFERROR(VLOOKUP($B554,Dashboard!$Q$28:$S$60,3,FALSE),0)&gt;0,VLOOKUP($B554,Dashboard!$Q$28:$S$60,3,FALSE),1))),0))</f>
        <v>2</v>
      </c>
      <c r="K554" s="2" t="str">
        <f>IF('Base S1'!D54="","",'Base S1'!D54)</f>
        <v>h</v>
      </c>
      <c r="L554" s="2">
        <f t="shared" si="104"/>
        <v>1</v>
      </c>
      <c r="M554" s="2">
        <f t="shared" si="105"/>
        <v>0</v>
      </c>
      <c r="N554" s="2">
        <f t="shared" si="106"/>
        <v>1</v>
      </c>
      <c r="O554" s="2">
        <f t="shared" si="107"/>
        <v>0</v>
      </c>
      <c r="P554" s="112">
        <f t="shared" si="108"/>
        <v>2</v>
      </c>
      <c r="Q554" s="112">
        <f t="shared" si="109"/>
        <v>0</v>
      </c>
      <c r="R554" s="53"/>
      <c r="S554" s="53" t="str">
        <f t="shared" si="110"/>
        <v>Base S1|Red Parallel - Season 1|53|Red</v>
      </c>
      <c r="T554" s="57" t="str">
        <f>IF($S554="","",IFERROR(VLOOKUP($S554,'Pop Estimates (Non-#d)'!$N$2:$O$500,2,FALSE),""))</f>
        <v/>
      </c>
      <c r="U554" s="57" t="str">
        <f t="shared" si="111"/>
        <v/>
      </c>
      <c r="V554" s="53" t="str">
        <f t="shared" si="112"/>
        <v/>
      </c>
      <c r="W554" s="53" t="str">
        <f t="shared" si="113"/>
        <v/>
      </c>
      <c r="X554" s="53" t="str">
        <f t="shared" si="114"/>
        <v/>
      </c>
      <c r="Y554" s="57" t="str">
        <f>IF($X554="","",IFERROR(VLOOKUP($X554,'Char Popularity'!$A$2:$C$500,2,FALSE),""))</f>
        <v/>
      </c>
      <c r="Z554" s="56">
        <f>IF($X554="",1,IFERROR(VLOOKUP($X554,'Char Popularity'!$A$2:$C$500,3,FALSE),1))</f>
        <v>1</v>
      </c>
      <c r="AA554" s="62">
        <f>IF($H554&lt;&gt;"Y",0,(IF($F554&lt;&gt;"",ROUND(Dashboard!$R$4/$F554,1),IF(AND($I554="Base",$E554="Base"),Dashboard!$R$5,IF(AND($I554="Base",$E554="Red"),Dashboard!$R$6,IF(AND($I554="Base",$E554="Gold"),Dashboard!$R$7,VLOOKUP($I554,Dashboard!$Q$16:$R$21,2,FALSE)))))*VLOOKUP($I554,Dashboard!$Q$9:$R$13,2,FALSE)*IF(AND($I554="Auto",$F554="",OR($B554="Autographs Duals",$B554="Autographs Triples",$B554="Autographs Quads",$B554="Autographs Quads (Inscribed)")),IF($B554="Autographs Duals",2,IF($B554="Autographs Triples",3,4)),1)))</f>
        <v>2</v>
      </c>
      <c r="AB554" s="62">
        <f t="shared" si="115"/>
        <v>2</v>
      </c>
      <c r="AC554" s="62">
        <f t="shared" si="116"/>
        <v>0</v>
      </c>
    </row>
    <row r="555" spans="1:29" ht="28.7" customHeight="1" x14ac:dyDescent="0.25">
      <c r="A555" s="4" t="s">
        <v>17</v>
      </c>
      <c r="B555" s="7" t="s">
        <v>63</v>
      </c>
      <c r="C555" s="2" t="s">
        <v>1453</v>
      </c>
      <c r="D555" s="7" t="s">
        <v>948</v>
      </c>
      <c r="E555" s="4" t="s">
        <v>823</v>
      </c>
      <c r="F555" s="2"/>
      <c r="G555" s="2" t="s">
        <v>1399</v>
      </c>
      <c r="H555" s="2" t="s">
        <v>1400</v>
      </c>
      <c r="I555" s="4" t="s">
        <v>60</v>
      </c>
      <c r="J555" s="112">
        <f>IF($H555&lt;&gt;"Y",0,ROUND(MIN(Dashboard!$R$24,IF(IFERROR(VLOOKUP($B555,Dashboard!$Q$28:$S$60,2,FALSE),0)&gt;0,IFERROR(VLOOKUP($B555,Dashboard!$Q$28:$S$60,2,FALSE),0),$Z555*IF($U555&lt;&gt;"",ROUND((Dashboard!$R$4/$U555)*VLOOKUP($I555,Dashboard!$Q$9:$R$13,2,FALSE)*IF(ISNUMBER(SEARCH("Duals",$B555)),2,IF(ISNUMBER(SEARCH("Triples",$B555)),3,IF(ISNUMBER(SEARCH("Quads",$B555)),4,1))),2),ROUND(VLOOKUP($I555,Dashboard!$Q$15:$R$20,2,FALSE)*IF($E555="Red",Dashboard!$R$6,IF($E555="Gold",Dashboard!$R$7,Dashboard!$R$5))*IF(ISNUMBER(SEARCH("Duals",$B555)),2,IF(ISNUMBER(SEARCH("Triples",$B555)),3,IF(ISNUMBER(SEARCH("Quads",$B555)),4,1))),2))*IF(IFERROR(VLOOKUP($B555,Dashboard!$Q$28:$S$60,3,FALSE),0)&gt;0,VLOOKUP($B555,Dashboard!$Q$28:$S$60,3,FALSE),1))),0))</f>
        <v>2</v>
      </c>
      <c r="K555" s="2" t="str">
        <f>IF('Base S1'!D55="","",'Base S1'!D55)</f>
        <v>h</v>
      </c>
      <c r="L555" s="2">
        <f t="shared" si="104"/>
        <v>1</v>
      </c>
      <c r="M555" s="2">
        <f t="shared" si="105"/>
        <v>0</v>
      </c>
      <c r="N555" s="2">
        <f t="shared" si="106"/>
        <v>1</v>
      </c>
      <c r="O555" s="2">
        <f t="shared" si="107"/>
        <v>0</v>
      </c>
      <c r="P555" s="112">
        <f t="shared" si="108"/>
        <v>2</v>
      </c>
      <c r="Q555" s="112">
        <f t="shared" si="109"/>
        <v>0</v>
      </c>
      <c r="R555" s="53"/>
      <c r="S555" s="53" t="str">
        <f t="shared" si="110"/>
        <v>Base S1|Red Parallel - Season 1|54|Red</v>
      </c>
      <c r="T555" s="57" t="str">
        <f>IF($S555="","",IFERROR(VLOOKUP($S555,'Pop Estimates (Non-#d)'!$N$2:$O$500,2,FALSE),""))</f>
        <v/>
      </c>
      <c r="U555" s="57" t="str">
        <f t="shared" si="111"/>
        <v/>
      </c>
      <c r="V555" s="53" t="str">
        <f t="shared" si="112"/>
        <v/>
      </c>
      <c r="W555" s="53" t="str">
        <f t="shared" si="113"/>
        <v/>
      </c>
      <c r="X555" s="53" t="str">
        <f t="shared" si="114"/>
        <v/>
      </c>
      <c r="Y555" s="57" t="str">
        <f>IF($X555="","",IFERROR(VLOOKUP($X555,'Char Popularity'!$A$2:$C$500,2,FALSE),""))</f>
        <v/>
      </c>
      <c r="Z555" s="56">
        <f>IF($X555="",1,IFERROR(VLOOKUP($X555,'Char Popularity'!$A$2:$C$500,3,FALSE),1))</f>
        <v>1</v>
      </c>
      <c r="AA555" s="62">
        <f>IF($H555&lt;&gt;"Y",0,(IF($F555&lt;&gt;"",ROUND(Dashboard!$R$4/$F555,1),IF(AND($I555="Base",$E555="Base"),Dashboard!$R$5,IF(AND($I555="Base",$E555="Red"),Dashboard!$R$6,IF(AND($I555="Base",$E555="Gold"),Dashboard!$R$7,VLOOKUP($I555,Dashboard!$Q$16:$R$21,2,FALSE)))))*VLOOKUP($I555,Dashboard!$Q$9:$R$13,2,FALSE)*IF(AND($I555="Auto",$F555="",OR($B555="Autographs Duals",$B555="Autographs Triples",$B555="Autographs Quads",$B555="Autographs Quads (Inscribed)")),IF($B555="Autographs Duals",2,IF($B555="Autographs Triples",3,4)),1)))</f>
        <v>2</v>
      </c>
      <c r="AB555" s="62">
        <f t="shared" si="115"/>
        <v>2</v>
      </c>
      <c r="AC555" s="62">
        <f t="shared" si="116"/>
        <v>0</v>
      </c>
    </row>
    <row r="556" spans="1:29" ht="28.7" customHeight="1" x14ac:dyDescent="0.25">
      <c r="A556" s="4" t="s">
        <v>17</v>
      </c>
      <c r="B556" s="7" t="s">
        <v>63</v>
      </c>
      <c r="C556" s="2" t="s">
        <v>1454</v>
      </c>
      <c r="D556" s="7" t="s">
        <v>950</v>
      </c>
      <c r="E556" s="4" t="s">
        <v>823</v>
      </c>
      <c r="F556" s="2"/>
      <c r="G556" s="2" t="s">
        <v>1399</v>
      </c>
      <c r="H556" s="2" t="s">
        <v>1400</v>
      </c>
      <c r="I556" s="4" t="s">
        <v>60</v>
      </c>
      <c r="J556" s="112">
        <f>IF($H556&lt;&gt;"Y",0,ROUND(MIN(Dashboard!$R$24,IF(IFERROR(VLOOKUP($B556,Dashboard!$Q$28:$S$60,2,FALSE),0)&gt;0,IFERROR(VLOOKUP($B556,Dashboard!$Q$28:$S$60,2,FALSE),0),$Z556*IF($U556&lt;&gt;"",ROUND((Dashboard!$R$4/$U556)*VLOOKUP($I556,Dashboard!$Q$9:$R$13,2,FALSE)*IF(ISNUMBER(SEARCH("Duals",$B556)),2,IF(ISNUMBER(SEARCH("Triples",$B556)),3,IF(ISNUMBER(SEARCH("Quads",$B556)),4,1))),2),ROUND(VLOOKUP($I556,Dashboard!$Q$15:$R$20,2,FALSE)*IF($E556="Red",Dashboard!$R$6,IF($E556="Gold",Dashboard!$R$7,Dashboard!$R$5))*IF(ISNUMBER(SEARCH("Duals",$B556)),2,IF(ISNUMBER(SEARCH("Triples",$B556)),3,IF(ISNUMBER(SEARCH("Quads",$B556)),4,1))),2))*IF(IFERROR(VLOOKUP($B556,Dashboard!$Q$28:$S$60,3,FALSE),0)&gt;0,VLOOKUP($B556,Dashboard!$Q$28:$S$60,3,FALSE),1))),0))</f>
        <v>2</v>
      </c>
      <c r="K556" s="2" t="str">
        <f>IF('Base S1'!D56="","",'Base S1'!D56)</f>
        <v>h</v>
      </c>
      <c r="L556" s="2">
        <f t="shared" si="104"/>
        <v>1</v>
      </c>
      <c r="M556" s="2">
        <f t="shared" si="105"/>
        <v>0</v>
      </c>
      <c r="N556" s="2">
        <f t="shared" si="106"/>
        <v>1</v>
      </c>
      <c r="O556" s="2">
        <f t="shared" si="107"/>
        <v>0</v>
      </c>
      <c r="P556" s="112">
        <f t="shared" si="108"/>
        <v>2</v>
      </c>
      <c r="Q556" s="112">
        <f t="shared" si="109"/>
        <v>0</v>
      </c>
      <c r="R556" s="53"/>
      <c r="S556" s="53" t="str">
        <f t="shared" si="110"/>
        <v>Base S1|Red Parallel - Season 1|55|Red</v>
      </c>
      <c r="T556" s="57" t="str">
        <f>IF($S556="","",IFERROR(VLOOKUP($S556,'Pop Estimates (Non-#d)'!$N$2:$O$500,2,FALSE),""))</f>
        <v/>
      </c>
      <c r="U556" s="57" t="str">
        <f t="shared" si="111"/>
        <v/>
      </c>
      <c r="V556" s="53" t="str">
        <f t="shared" si="112"/>
        <v/>
      </c>
      <c r="W556" s="53" t="str">
        <f t="shared" si="113"/>
        <v/>
      </c>
      <c r="X556" s="53" t="str">
        <f t="shared" si="114"/>
        <v/>
      </c>
      <c r="Y556" s="57" t="str">
        <f>IF($X556="","",IFERROR(VLOOKUP($X556,'Char Popularity'!$A$2:$C$500,2,FALSE),""))</f>
        <v/>
      </c>
      <c r="Z556" s="56">
        <f>IF($X556="",1,IFERROR(VLOOKUP($X556,'Char Popularity'!$A$2:$C$500,3,FALSE),1))</f>
        <v>1</v>
      </c>
      <c r="AA556" s="62">
        <f>IF($H556&lt;&gt;"Y",0,(IF($F556&lt;&gt;"",ROUND(Dashboard!$R$4/$F556,1),IF(AND($I556="Base",$E556="Base"),Dashboard!$R$5,IF(AND($I556="Base",$E556="Red"),Dashboard!$R$6,IF(AND($I556="Base",$E556="Gold"),Dashboard!$R$7,VLOOKUP($I556,Dashboard!$Q$16:$R$21,2,FALSE)))))*VLOOKUP($I556,Dashboard!$Q$9:$R$13,2,FALSE)*IF(AND($I556="Auto",$F556="",OR($B556="Autographs Duals",$B556="Autographs Triples",$B556="Autographs Quads",$B556="Autographs Quads (Inscribed)")),IF($B556="Autographs Duals",2,IF($B556="Autographs Triples",3,4)),1)))</f>
        <v>2</v>
      </c>
      <c r="AB556" s="62">
        <f t="shared" si="115"/>
        <v>2</v>
      </c>
      <c r="AC556" s="62">
        <f t="shared" si="116"/>
        <v>0</v>
      </c>
    </row>
    <row r="557" spans="1:29" ht="28.7" customHeight="1" x14ac:dyDescent="0.25">
      <c r="A557" s="4" t="s">
        <v>17</v>
      </c>
      <c r="B557" s="7" t="s">
        <v>63</v>
      </c>
      <c r="C557" s="2" t="s">
        <v>1455</v>
      </c>
      <c r="D557" s="7" t="s">
        <v>952</v>
      </c>
      <c r="E557" s="4" t="s">
        <v>823</v>
      </c>
      <c r="F557" s="2"/>
      <c r="G557" s="2" t="s">
        <v>1399</v>
      </c>
      <c r="H557" s="2" t="s">
        <v>1400</v>
      </c>
      <c r="I557" s="4" t="s">
        <v>60</v>
      </c>
      <c r="J557" s="112">
        <f>IF($H557&lt;&gt;"Y",0,ROUND(MIN(Dashboard!$R$24,IF(IFERROR(VLOOKUP($B557,Dashboard!$Q$28:$S$60,2,FALSE),0)&gt;0,IFERROR(VLOOKUP($B557,Dashboard!$Q$28:$S$60,2,FALSE),0),$Z557*IF($U557&lt;&gt;"",ROUND((Dashboard!$R$4/$U557)*VLOOKUP($I557,Dashboard!$Q$9:$R$13,2,FALSE)*IF(ISNUMBER(SEARCH("Duals",$B557)),2,IF(ISNUMBER(SEARCH("Triples",$B557)),3,IF(ISNUMBER(SEARCH("Quads",$B557)),4,1))),2),ROUND(VLOOKUP($I557,Dashboard!$Q$15:$R$20,2,FALSE)*IF($E557="Red",Dashboard!$R$6,IF($E557="Gold",Dashboard!$R$7,Dashboard!$R$5))*IF(ISNUMBER(SEARCH("Duals",$B557)),2,IF(ISNUMBER(SEARCH("Triples",$B557)),3,IF(ISNUMBER(SEARCH("Quads",$B557)),4,1))),2))*IF(IFERROR(VLOOKUP($B557,Dashboard!$Q$28:$S$60,3,FALSE),0)&gt;0,VLOOKUP($B557,Dashboard!$Q$28:$S$60,3,FALSE),1))),0))</f>
        <v>2</v>
      </c>
      <c r="K557" s="2" t="str">
        <f>IF('Base S1'!D57="","",'Base S1'!D57)</f>
        <v>h</v>
      </c>
      <c r="L557" s="2">
        <f t="shared" si="104"/>
        <v>1</v>
      </c>
      <c r="M557" s="2">
        <f t="shared" si="105"/>
        <v>0</v>
      </c>
      <c r="N557" s="2">
        <f t="shared" si="106"/>
        <v>1</v>
      </c>
      <c r="O557" s="2">
        <f t="shared" si="107"/>
        <v>0</v>
      </c>
      <c r="P557" s="112">
        <f t="shared" si="108"/>
        <v>2</v>
      </c>
      <c r="Q557" s="112">
        <f t="shared" si="109"/>
        <v>0</v>
      </c>
      <c r="R557" s="53"/>
      <c r="S557" s="53" t="str">
        <f t="shared" si="110"/>
        <v>Base S1|Red Parallel - Season 1|56|Red</v>
      </c>
      <c r="T557" s="57" t="str">
        <f>IF($S557="","",IFERROR(VLOOKUP($S557,'Pop Estimates (Non-#d)'!$N$2:$O$500,2,FALSE),""))</f>
        <v/>
      </c>
      <c r="U557" s="57" t="str">
        <f t="shared" si="111"/>
        <v/>
      </c>
      <c r="V557" s="53" t="str">
        <f t="shared" si="112"/>
        <v/>
      </c>
      <c r="W557" s="53" t="str">
        <f t="shared" si="113"/>
        <v/>
      </c>
      <c r="X557" s="53" t="str">
        <f t="shared" si="114"/>
        <v/>
      </c>
      <c r="Y557" s="57" t="str">
        <f>IF($X557="","",IFERROR(VLOOKUP($X557,'Char Popularity'!$A$2:$C$500,2,FALSE),""))</f>
        <v/>
      </c>
      <c r="Z557" s="56">
        <f>IF($X557="",1,IFERROR(VLOOKUP($X557,'Char Popularity'!$A$2:$C$500,3,FALSE),1))</f>
        <v>1</v>
      </c>
      <c r="AA557" s="62">
        <f>IF($H557&lt;&gt;"Y",0,(IF($F557&lt;&gt;"",ROUND(Dashboard!$R$4/$F557,1),IF(AND($I557="Base",$E557="Base"),Dashboard!$R$5,IF(AND($I557="Base",$E557="Red"),Dashboard!$R$6,IF(AND($I557="Base",$E557="Gold"),Dashboard!$R$7,VLOOKUP($I557,Dashboard!$Q$16:$R$21,2,FALSE)))))*VLOOKUP($I557,Dashboard!$Q$9:$R$13,2,FALSE)*IF(AND($I557="Auto",$F557="",OR($B557="Autographs Duals",$B557="Autographs Triples",$B557="Autographs Quads",$B557="Autographs Quads (Inscribed)")),IF($B557="Autographs Duals",2,IF($B557="Autographs Triples",3,4)),1)))</f>
        <v>2</v>
      </c>
      <c r="AB557" s="62">
        <f t="shared" si="115"/>
        <v>2</v>
      </c>
      <c r="AC557" s="62">
        <f t="shared" si="116"/>
        <v>0</v>
      </c>
    </row>
    <row r="558" spans="1:29" ht="28.7" customHeight="1" x14ac:dyDescent="0.25">
      <c r="A558" s="4" t="s">
        <v>17</v>
      </c>
      <c r="B558" s="7" t="s">
        <v>63</v>
      </c>
      <c r="C558" s="2" t="s">
        <v>1456</v>
      </c>
      <c r="D558" s="7" t="s">
        <v>956</v>
      </c>
      <c r="E558" s="4" t="s">
        <v>823</v>
      </c>
      <c r="F558" s="2"/>
      <c r="G558" s="2" t="s">
        <v>1399</v>
      </c>
      <c r="H558" s="2" t="s">
        <v>1400</v>
      </c>
      <c r="I558" s="4" t="s">
        <v>60</v>
      </c>
      <c r="J558" s="112">
        <f>IF($H558&lt;&gt;"Y",0,ROUND(MIN(Dashboard!$R$24,IF(IFERROR(VLOOKUP($B558,Dashboard!$Q$28:$S$60,2,FALSE),0)&gt;0,IFERROR(VLOOKUP($B558,Dashboard!$Q$28:$S$60,2,FALSE),0),$Z558*IF($U558&lt;&gt;"",ROUND((Dashboard!$R$4/$U558)*VLOOKUP($I558,Dashboard!$Q$9:$R$13,2,FALSE)*IF(ISNUMBER(SEARCH("Duals",$B558)),2,IF(ISNUMBER(SEARCH("Triples",$B558)),3,IF(ISNUMBER(SEARCH("Quads",$B558)),4,1))),2),ROUND(VLOOKUP($I558,Dashboard!$Q$15:$R$20,2,FALSE)*IF($E558="Red",Dashboard!$R$6,IF($E558="Gold",Dashboard!$R$7,Dashboard!$R$5))*IF(ISNUMBER(SEARCH("Duals",$B558)),2,IF(ISNUMBER(SEARCH("Triples",$B558)),3,IF(ISNUMBER(SEARCH("Quads",$B558)),4,1))),2))*IF(IFERROR(VLOOKUP($B558,Dashboard!$Q$28:$S$60,3,FALSE),0)&gt;0,VLOOKUP($B558,Dashboard!$Q$28:$S$60,3,FALSE),1))),0))</f>
        <v>2</v>
      </c>
      <c r="K558" s="2" t="str">
        <f>IF('Base S1'!D58="","",'Base S1'!D58)</f>
        <v>h</v>
      </c>
      <c r="L558" s="2">
        <f t="shared" si="104"/>
        <v>1</v>
      </c>
      <c r="M558" s="2">
        <f t="shared" si="105"/>
        <v>0</v>
      </c>
      <c r="N558" s="2">
        <f t="shared" si="106"/>
        <v>1</v>
      </c>
      <c r="O558" s="2">
        <f t="shared" si="107"/>
        <v>0</v>
      </c>
      <c r="P558" s="112">
        <f t="shared" si="108"/>
        <v>2</v>
      </c>
      <c r="Q558" s="112">
        <f t="shared" si="109"/>
        <v>0</v>
      </c>
      <c r="R558" s="53"/>
      <c r="S558" s="53" t="str">
        <f t="shared" si="110"/>
        <v>Base S1|Red Parallel - Season 1|57|Red</v>
      </c>
      <c r="T558" s="57" t="str">
        <f>IF($S558="","",IFERROR(VLOOKUP($S558,'Pop Estimates (Non-#d)'!$N$2:$O$500,2,FALSE),""))</f>
        <v/>
      </c>
      <c r="U558" s="57" t="str">
        <f t="shared" si="111"/>
        <v/>
      </c>
      <c r="V558" s="53" t="str">
        <f t="shared" si="112"/>
        <v/>
      </c>
      <c r="W558" s="53" t="str">
        <f t="shared" si="113"/>
        <v/>
      </c>
      <c r="X558" s="53" t="str">
        <f t="shared" si="114"/>
        <v/>
      </c>
      <c r="Y558" s="57" t="str">
        <f>IF($X558="","",IFERROR(VLOOKUP($X558,'Char Popularity'!$A$2:$C$500,2,FALSE),""))</f>
        <v/>
      </c>
      <c r="Z558" s="56">
        <f>IF($X558="",1,IFERROR(VLOOKUP($X558,'Char Popularity'!$A$2:$C$500,3,FALSE),1))</f>
        <v>1</v>
      </c>
      <c r="AA558" s="62">
        <f>IF($H558&lt;&gt;"Y",0,(IF($F558&lt;&gt;"",ROUND(Dashboard!$R$4/$F558,1),IF(AND($I558="Base",$E558="Base"),Dashboard!$R$5,IF(AND($I558="Base",$E558="Red"),Dashboard!$R$6,IF(AND($I558="Base",$E558="Gold"),Dashboard!$R$7,VLOOKUP($I558,Dashboard!$Q$16:$R$21,2,FALSE)))))*VLOOKUP($I558,Dashboard!$Q$9:$R$13,2,FALSE)*IF(AND($I558="Auto",$F558="",OR($B558="Autographs Duals",$B558="Autographs Triples",$B558="Autographs Quads",$B558="Autographs Quads (Inscribed)")),IF($B558="Autographs Duals",2,IF($B558="Autographs Triples",3,4)),1)))</f>
        <v>2</v>
      </c>
      <c r="AB558" s="62">
        <f t="shared" si="115"/>
        <v>2</v>
      </c>
      <c r="AC558" s="62">
        <f t="shared" si="116"/>
        <v>0</v>
      </c>
    </row>
    <row r="559" spans="1:29" ht="28.7" customHeight="1" x14ac:dyDescent="0.25">
      <c r="A559" s="4" t="s">
        <v>17</v>
      </c>
      <c r="B559" s="7" t="s">
        <v>63</v>
      </c>
      <c r="C559" s="2" t="s">
        <v>1457</v>
      </c>
      <c r="D559" s="7" t="s">
        <v>957</v>
      </c>
      <c r="E559" s="4" t="s">
        <v>823</v>
      </c>
      <c r="F559" s="2"/>
      <c r="G559" s="2" t="s">
        <v>1399</v>
      </c>
      <c r="H559" s="2" t="s">
        <v>1400</v>
      </c>
      <c r="I559" s="4" t="s">
        <v>60</v>
      </c>
      <c r="J559" s="112">
        <f>IF($H559&lt;&gt;"Y",0,ROUND(MIN(Dashboard!$R$24,IF(IFERROR(VLOOKUP($B559,Dashboard!$Q$28:$S$60,2,FALSE),0)&gt;0,IFERROR(VLOOKUP($B559,Dashboard!$Q$28:$S$60,2,FALSE),0),$Z559*IF($U559&lt;&gt;"",ROUND((Dashboard!$R$4/$U559)*VLOOKUP($I559,Dashboard!$Q$9:$R$13,2,FALSE)*IF(ISNUMBER(SEARCH("Duals",$B559)),2,IF(ISNUMBER(SEARCH("Triples",$B559)),3,IF(ISNUMBER(SEARCH("Quads",$B559)),4,1))),2),ROUND(VLOOKUP($I559,Dashboard!$Q$15:$R$20,2,FALSE)*IF($E559="Red",Dashboard!$R$6,IF($E559="Gold",Dashboard!$R$7,Dashboard!$R$5))*IF(ISNUMBER(SEARCH("Duals",$B559)),2,IF(ISNUMBER(SEARCH("Triples",$B559)),3,IF(ISNUMBER(SEARCH("Quads",$B559)),4,1))),2))*IF(IFERROR(VLOOKUP($B559,Dashboard!$Q$28:$S$60,3,FALSE),0)&gt;0,VLOOKUP($B559,Dashboard!$Q$28:$S$60,3,FALSE),1))),0))</f>
        <v>2</v>
      </c>
      <c r="K559" s="2" t="str">
        <f>IF('Base S1'!D59="","",'Base S1'!D59)</f>
        <v>h</v>
      </c>
      <c r="L559" s="2">
        <f t="shared" si="104"/>
        <v>1</v>
      </c>
      <c r="M559" s="2">
        <f t="shared" si="105"/>
        <v>0</v>
      </c>
      <c r="N559" s="2">
        <f t="shared" si="106"/>
        <v>1</v>
      </c>
      <c r="O559" s="2">
        <f t="shared" si="107"/>
        <v>0</v>
      </c>
      <c r="P559" s="112">
        <f t="shared" si="108"/>
        <v>2</v>
      </c>
      <c r="Q559" s="112">
        <f t="shared" si="109"/>
        <v>0</v>
      </c>
      <c r="R559" s="53"/>
      <c r="S559" s="53" t="str">
        <f t="shared" si="110"/>
        <v>Base S1|Red Parallel - Season 1|58|Red</v>
      </c>
      <c r="T559" s="57" t="str">
        <f>IF($S559="","",IFERROR(VLOOKUP($S559,'Pop Estimates (Non-#d)'!$N$2:$O$500,2,FALSE),""))</f>
        <v/>
      </c>
      <c r="U559" s="57" t="str">
        <f t="shared" si="111"/>
        <v/>
      </c>
      <c r="V559" s="53" t="str">
        <f t="shared" si="112"/>
        <v/>
      </c>
      <c r="W559" s="53" t="str">
        <f t="shared" si="113"/>
        <v/>
      </c>
      <c r="X559" s="53" t="str">
        <f t="shared" si="114"/>
        <v/>
      </c>
      <c r="Y559" s="57" t="str">
        <f>IF($X559="","",IFERROR(VLOOKUP($X559,'Char Popularity'!$A$2:$C$500,2,FALSE),""))</f>
        <v/>
      </c>
      <c r="Z559" s="56">
        <f>IF($X559="",1,IFERROR(VLOOKUP($X559,'Char Popularity'!$A$2:$C$500,3,FALSE),1))</f>
        <v>1</v>
      </c>
      <c r="AA559" s="62">
        <f>IF($H559&lt;&gt;"Y",0,(IF($F559&lt;&gt;"",ROUND(Dashboard!$R$4/$F559,1),IF(AND($I559="Base",$E559="Base"),Dashboard!$R$5,IF(AND($I559="Base",$E559="Red"),Dashboard!$R$6,IF(AND($I559="Base",$E559="Gold"),Dashboard!$R$7,VLOOKUP($I559,Dashboard!$Q$16:$R$21,2,FALSE)))))*VLOOKUP($I559,Dashboard!$Q$9:$R$13,2,FALSE)*IF(AND($I559="Auto",$F559="",OR($B559="Autographs Duals",$B559="Autographs Triples",$B559="Autographs Quads",$B559="Autographs Quads (Inscribed)")),IF($B559="Autographs Duals",2,IF($B559="Autographs Triples",3,4)),1)))</f>
        <v>2</v>
      </c>
      <c r="AB559" s="62">
        <f t="shared" si="115"/>
        <v>2</v>
      </c>
      <c r="AC559" s="62">
        <f t="shared" si="116"/>
        <v>0</v>
      </c>
    </row>
    <row r="560" spans="1:29" ht="28.7" customHeight="1" x14ac:dyDescent="0.25">
      <c r="A560" s="4" t="s">
        <v>17</v>
      </c>
      <c r="B560" s="7" t="s">
        <v>63</v>
      </c>
      <c r="C560" s="2" t="s">
        <v>1458</v>
      </c>
      <c r="D560" s="7" t="s">
        <v>960</v>
      </c>
      <c r="E560" s="4" t="s">
        <v>823</v>
      </c>
      <c r="F560" s="2"/>
      <c r="G560" s="2" t="s">
        <v>1399</v>
      </c>
      <c r="H560" s="2" t="s">
        <v>1400</v>
      </c>
      <c r="I560" s="4" t="s">
        <v>60</v>
      </c>
      <c r="J560" s="112">
        <f>IF($H560&lt;&gt;"Y",0,ROUND(MIN(Dashboard!$R$24,IF(IFERROR(VLOOKUP($B560,Dashboard!$Q$28:$S$60,2,FALSE),0)&gt;0,IFERROR(VLOOKUP($B560,Dashboard!$Q$28:$S$60,2,FALSE),0),$Z560*IF($U560&lt;&gt;"",ROUND((Dashboard!$R$4/$U560)*VLOOKUP($I560,Dashboard!$Q$9:$R$13,2,FALSE)*IF(ISNUMBER(SEARCH("Duals",$B560)),2,IF(ISNUMBER(SEARCH("Triples",$B560)),3,IF(ISNUMBER(SEARCH("Quads",$B560)),4,1))),2),ROUND(VLOOKUP($I560,Dashboard!$Q$15:$R$20,2,FALSE)*IF($E560="Red",Dashboard!$R$6,IF($E560="Gold",Dashboard!$R$7,Dashboard!$R$5))*IF(ISNUMBER(SEARCH("Duals",$B560)),2,IF(ISNUMBER(SEARCH("Triples",$B560)),3,IF(ISNUMBER(SEARCH("Quads",$B560)),4,1))),2))*IF(IFERROR(VLOOKUP($B560,Dashboard!$Q$28:$S$60,3,FALSE),0)&gt;0,VLOOKUP($B560,Dashboard!$Q$28:$S$60,3,FALSE),1))),0))</f>
        <v>2</v>
      </c>
      <c r="K560" s="2" t="str">
        <f>IF('Base S1'!D60="","",'Base S1'!D60)</f>
        <v>h</v>
      </c>
      <c r="L560" s="2">
        <f t="shared" si="104"/>
        <v>1</v>
      </c>
      <c r="M560" s="2">
        <f t="shared" si="105"/>
        <v>0</v>
      </c>
      <c r="N560" s="2">
        <f t="shared" si="106"/>
        <v>1</v>
      </c>
      <c r="O560" s="2">
        <f t="shared" si="107"/>
        <v>0</v>
      </c>
      <c r="P560" s="112">
        <f t="shared" si="108"/>
        <v>2</v>
      </c>
      <c r="Q560" s="112">
        <f t="shared" si="109"/>
        <v>0</v>
      </c>
      <c r="R560" s="53"/>
      <c r="S560" s="53" t="str">
        <f t="shared" si="110"/>
        <v>Base S1|Red Parallel - Season 1|59|Red</v>
      </c>
      <c r="T560" s="57" t="str">
        <f>IF($S560="","",IFERROR(VLOOKUP($S560,'Pop Estimates (Non-#d)'!$N$2:$O$500,2,FALSE),""))</f>
        <v/>
      </c>
      <c r="U560" s="57" t="str">
        <f t="shared" si="111"/>
        <v/>
      </c>
      <c r="V560" s="53" t="str">
        <f t="shared" si="112"/>
        <v/>
      </c>
      <c r="W560" s="53" t="str">
        <f t="shared" si="113"/>
        <v/>
      </c>
      <c r="X560" s="53" t="str">
        <f t="shared" si="114"/>
        <v/>
      </c>
      <c r="Y560" s="57" t="str">
        <f>IF($X560="","",IFERROR(VLOOKUP($X560,'Char Popularity'!$A$2:$C$500,2,FALSE),""))</f>
        <v/>
      </c>
      <c r="Z560" s="56">
        <f>IF($X560="",1,IFERROR(VLOOKUP($X560,'Char Popularity'!$A$2:$C$500,3,FALSE),1))</f>
        <v>1</v>
      </c>
      <c r="AA560" s="62">
        <f>IF($H560&lt;&gt;"Y",0,(IF($F560&lt;&gt;"",ROUND(Dashboard!$R$4/$F560,1),IF(AND($I560="Base",$E560="Base"),Dashboard!$R$5,IF(AND($I560="Base",$E560="Red"),Dashboard!$R$6,IF(AND($I560="Base",$E560="Gold"),Dashboard!$R$7,VLOOKUP($I560,Dashboard!$Q$16:$R$21,2,FALSE)))))*VLOOKUP($I560,Dashboard!$Q$9:$R$13,2,FALSE)*IF(AND($I560="Auto",$F560="",OR($B560="Autographs Duals",$B560="Autographs Triples",$B560="Autographs Quads",$B560="Autographs Quads (Inscribed)")),IF($B560="Autographs Duals",2,IF($B560="Autographs Triples",3,4)),1)))</f>
        <v>2</v>
      </c>
      <c r="AB560" s="62">
        <f t="shared" si="115"/>
        <v>2</v>
      </c>
      <c r="AC560" s="62">
        <f t="shared" si="116"/>
        <v>0</v>
      </c>
    </row>
    <row r="561" spans="1:29" ht="28.7" customHeight="1" x14ac:dyDescent="0.25">
      <c r="A561" s="4" t="s">
        <v>17</v>
      </c>
      <c r="B561" s="7" t="s">
        <v>63</v>
      </c>
      <c r="C561" s="2" t="s">
        <v>1459</v>
      </c>
      <c r="D561" s="7" t="s">
        <v>961</v>
      </c>
      <c r="E561" s="4" t="s">
        <v>823</v>
      </c>
      <c r="F561" s="2"/>
      <c r="G561" s="2" t="s">
        <v>1399</v>
      </c>
      <c r="H561" s="2" t="s">
        <v>1400</v>
      </c>
      <c r="I561" s="4" t="s">
        <v>60</v>
      </c>
      <c r="J561" s="112">
        <f>IF($H561&lt;&gt;"Y",0,ROUND(MIN(Dashboard!$R$24,IF(IFERROR(VLOOKUP($B561,Dashboard!$Q$28:$S$60,2,FALSE),0)&gt;0,IFERROR(VLOOKUP($B561,Dashboard!$Q$28:$S$60,2,FALSE),0),$Z561*IF($U561&lt;&gt;"",ROUND((Dashboard!$R$4/$U561)*VLOOKUP($I561,Dashboard!$Q$9:$R$13,2,FALSE)*IF(ISNUMBER(SEARCH("Duals",$B561)),2,IF(ISNUMBER(SEARCH("Triples",$B561)),3,IF(ISNUMBER(SEARCH("Quads",$B561)),4,1))),2),ROUND(VLOOKUP($I561,Dashboard!$Q$15:$R$20,2,FALSE)*IF($E561="Red",Dashboard!$R$6,IF($E561="Gold",Dashboard!$R$7,Dashboard!$R$5))*IF(ISNUMBER(SEARCH("Duals",$B561)),2,IF(ISNUMBER(SEARCH("Triples",$B561)),3,IF(ISNUMBER(SEARCH("Quads",$B561)),4,1))),2))*IF(IFERROR(VLOOKUP($B561,Dashboard!$Q$28:$S$60,3,FALSE),0)&gt;0,VLOOKUP($B561,Dashboard!$Q$28:$S$60,3,FALSE),1))),0))</f>
        <v>2</v>
      </c>
      <c r="K561" s="2" t="str">
        <f>IF('Base S1'!D61="","",'Base S1'!D61)</f>
        <v>h</v>
      </c>
      <c r="L561" s="2">
        <f t="shared" si="104"/>
        <v>1</v>
      </c>
      <c r="M561" s="2">
        <f t="shared" si="105"/>
        <v>0</v>
      </c>
      <c r="N561" s="2">
        <f t="shared" si="106"/>
        <v>1</v>
      </c>
      <c r="O561" s="2">
        <f t="shared" si="107"/>
        <v>0</v>
      </c>
      <c r="P561" s="112">
        <f t="shared" si="108"/>
        <v>2</v>
      </c>
      <c r="Q561" s="112">
        <f t="shared" si="109"/>
        <v>0</v>
      </c>
      <c r="R561" s="53"/>
      <c r="S561" s="53" t="str">
        <f t="shared" si="110"/>
        <v>Base S1|Red Parallel - Season 1|60|Red</v>
      </c>
      <c r="T561" s="57" t="str">
        <f>IF($S561="","",IFERROR(VLOOKUP($S561,'Pop Estimates (Non-#d)'!$N$2:$O$500,2,FALSE),""))</f>
        <v/>
      </c>
      <c r="U561" s="57" t="str">
        <f t="shared" si="111"/>
        <v/>
      </c>
      <c r="V561" s="53" t="str">
        <f t="shared" si="112"/>
        <v/>
      </c>
      <c r="W561" s="53" t="str">
        <f t="shared" si="113"/>
        <v/>
      </c>
      <c r="X561" s="53" t="str">
        <f t="shared" si="114"/>
        <v/>
      </c>
      <c r="Y561" s="57" t="str">
        <f>IF($X561="","",IFERROR(VLOOKUP($X561,'Char Popularity'!$A$2:$C$500,2,FALSE),""))</f>
        <v/>
      </c>
      <c r="Z561" s="56">
        <f>IF($X561="",1,IFERROR(VLOOKUP($X561,'Char Popularity'!$A$2:$C$500,3,FALSE),1))</f>
        <v>1</v>
      </c>
      <c r="AA561" s="62">
        <f>IF($H561&lt;&gt;"Y",0,(IF($F561&lt;&gt;"",ROUND(Dashboard!$R$4/$F561,1),IF(AND($I561="Base",$E561="Base"),Dashboard!$R$5,IF(AND($I561="Base",$E561="Red"),Dashboard!$R$6,IF(AND($I561="Base",$E561="Gold"),Dashboard!$R$7,VLOOKUP($I561,Dashboard!$Q$16:$R$21,2,FALSE)))))*VLOOKUP($I561,Dashboard!$Q$9:$R$13,2,FALSE)*IF(AND($I561="Auto",$F561="",OR($B561="Autographs Duals",$B561="Autographs Triples",$B561="Autographs Quads",$B561="Autographs Quads (Inscribed)")),IF($B561="Autographs Duals",2,IF($B561="Autographs Triples",3,4)),1)))</f>
        <v>2</v>
      </c>
      <c r="AB561" s="62">
        <f t="shared" si="115"/>
        <v>2</v>
      </c>
      <c r="AC561" s="62">
        <f t="shared" si="116"/>
        <v>0</v>
      </c>
    </row>
    <row r="562" spans="1:29" ht="28.7" customHeight="1" x14ac:dyDescent="0.25">
      <c r="A562" s="4" t="s">
        <v>17</v>
      </c>
      <c r="B562" s="7" t="s">
        <v>63</v>
      </c>
      <c r="C562" s="2" t="s">
        <v>1460</v>
      </c>
      <c r="D562" s="7" t="s">
        <v>962</v>
      </c>
      <c r="E562" s="4" t="s">
        <v>823</v>
      </c>
      <c r="F562" s="2"/>
      <c r="G562" s="2" t="s">
        <v>1399</v>
      </c>
      <c r="H562" s="2" t="s">
        <v>1400</v>
      </c>
      <c r="I562" s="4" t="s">
        <v>60</v>
      </c>
      <c r="J562" s="112">
        <f>IF($H562&lt;&gt;"Y",0,ROUND(MIN(Dashboard!$R$24,IF(IFERROR(VLOOKUP($B562,Dashboard!$Q$28:$S$60,2,FALSE),0)&gt;0,IFERROR(VLOOKUP($B562,Dashboard!$Q$28:$S$60,2,FALSE),0),$Z562*IF($U562&lt;&gt;"",ROUND((Dashboard!$R$4/$U562)*VLOOKUP($I562,Dashboard!$Q$9:$R$13,2,FALSE)*IF(ISNUMBER(SEARCH("Duals",$B562)),2,IF(ISNUMBER(SEARCH("Triples",$B562)),3,IF(ISNUMBER(SEARCH("Quads",$B562)),4,1))),2),ROUND(VLOOKUP($I562,Dashboard!$Q$15:$R$20,2,FALSE)*IF($E562="Red",Dashboard!$R$6,IF($E562="Gold",Dashboard!$R$7,Dashboard!$R$5))*IF(ISNUMBER(SEARCH("Duals",$B562)),2,IF(ISNUMBER(SEARCH("Triples",$B562)),3,IF(ISNUMBER(SEARCH("Quads",$B562)),4,1))),2))*IF(IFERROR(VLOOKUP($B562,Dashboard!$Q$28:$S$60,3,FALSE),0)&gt;0,VLOOKUP($B562,Dashboard!$Q$28:$S$60,3,FALSE),1))),0))</f>
        <v>2</v>
      </c>
      <c r="K562" s="2" t="str">
        <f>IF('Base S1'!D62="","",'Base S1'!D62)</f>
        <v>h</v>
      </c>
      <c r="L562" s="2">
        <f t="shared" si="104"/>
        <v>1</v>
      </c>
      <c r="M562" s="2">
        <f t="shared" si="105"/>
        <v>0</v>
      </c>
      <c r="N562" s="2">
        <f t="shared" si="106"/>
        <v>1</v>
      </c>
      <c r="O562" s="2">
        <f t="shared" si="107"/>
        <v>0</v>
      </c>
      <c r="P562" s="112">
        <f t="shared" si="108"/>
        <v>2</v>
      </c>
      <c r="Q562" s="112">
        <f t="shared" si="109"/>
        <v>0</v>
      </c>
      <c r="R562" s="53"/>
      <c r="S562" s="53" t="str">
        <f t="shared" si="110"/>
        <v>Base S1|Red Parallel - Season 1|61|Red</v>
      </c>
      <c r="T562" s="57" t="str">
        <f>IF($S562="","",IFERROR(VLOOKUP($S562,'Pop Estimates (Non-#d)'!$N$2:$O$500,2,FALSE),""))</f>
        <v/>
      </c>
      <c r="U562" s="57" t="str">
        <f t="shared" si="111"/>
        <v/>
      </c>
      <c r="V562" s="53" t="str">
        <f t="shared" si="112"/>
        <v/>
      </c>
      <c r="W562" s="53" t="str">
        <f t="shared" si="113"/>
        <v/>
      </c>
      <c r="X562" s="53" t="str">
        <f t="shared" si="114"/>
        <v/>
      </c>
      <c r="Y562" s="57" t="str">
        <f>IF($X562="","",IFERROR(VLOOKUP($X562,'Char Popularity'!$A$2:$C$500,2,FALSE),""))</f>
        <v/>
      </c>
      <c r="Z562" s="56">
        <f>IF($X562="",1,IFERROR(VLOOKUP($X562,'Char Popularity'!$A$2:$C$500,3,FALSE),1))</f>
        <v>1</v>
      </c>
      <c r="AA562" s="62">
        <f>IF($H562&lt;&gt;"Y",0,(IF($F562&lt;&gt;"",ROUND(Dashboard!$R$4/$F562,1),IF(AND($I562="Base",$E562="Base"),Dashboard!$R$5,IF(AND($I562="Base",$E562="Red"),Dashboard!$R$6,IF(AND($I562="Base",$E562="Gold"),Dashboard!$R$7,VLOOKUP($I562,Dashboard!$Q$16:$R$21,2,FALSE)))))*VLOOKUP($I562,Dashboard!$Q$9:$R$13,2,FALSE)*IF(AND($I562="Auto",$F562="",OR($B562="Autographs Duals",$B562="Autographs Triples",$B562="Autographs Quads",$B562="Autographs Quads (Inscribed)")),IF($B562="Autographs Duals",2,IF($B562="Autographs Triples",3,4)),1)))</f>
        <v>2</v>
      </c>
      <c r="AB562" s="62">
        <f t="shared" si="115"/>
        <v>2</v>
      </c>
      <c r="AC562" s="62">
        <f t="shared" si="116"/>
        <v>0</v>
      </c>
    </row>
    <row r="563" spans="1:29" ht="28.7" customHeight="1" x14ac:dyDescent="0.25">
      <c r="A563" s="4" t="s">
        <v>17</v>
      </c>
      <c r="B563" s="7" t="s">
        <v>63</v>
      </c>
      <c r="C563" s="2" t="s">
        <v>1461</v>
      </c>
      <c r="D563" s="7" t="s">
        <v>963</v>
      </c>
      <c r="E563" s="4" t="s">
        <v>823</v>
      </c>
      <c r="F563" s="2"/>
      <c r="G563" s="2" t="s">
        <v>1399</v>
      </c>
      <c r="H563" s="2" t="s">
        <v>1400</v>
      </c>
      <c r="I563" s="4" t="s">
        <v>60</v>
      </c>
      <c r="J563" s="112">
        <f>IF($H563&lt;&gt;"Y",0,ROUND(MIN(Dashboard!$R$24,IF(IFERROR(VLOOKUP($B563,Dashboard!$Q$28:$S$60,2,FALSE),0)&gt;0,IFERROR(VLOOKUP($B563,Dashboard!$Q$28:$S$60,2,FALSE),0),$Z563*IF($U563&lt;&gt;"",ROUND((Dashboard!$R$4/$U563)*VLOOKUP($I563,Dashboard!$Q$9:$R$13,2,FALSE)*IF(ISNUMBER(SEARCH("Duals",$B563)),2,IF(ISNUMBER(SEARCH("Triples",$B563)),3,IF(ISNUMBER(SEARCH("Quads",$B563)),4,1))),2),ROUND(VLOOKUP($I563,Dashboard!$Q$15:$R$20,2,FALSE)*IF($E563="Red",Dashboard!$R$6,IF($E563="Gold",Dashboard!$R$7,Dashboard!$R$5))*IF(ISNUMBER(SEARCH("Duals",$B563)),2,IF(ISNUMBER(SEARCH("Triples",$B563)),3,IF(ISNUMBER(SEARCH("Quads",$B563)),4,1))),2))*IF(IFERROR(VLOOKUP($B563,Dashboard!$Q$28:$S$60,3,FALSE),0)&gt;0,VLOOKUP($B563,Dashboard!$Q$28:$S$60,3,FALSE),1))),0))</f>
        <v>2</v>
      </c>
      <c r="K563" s="2" t="str">
        <f>IF('Base S1'!D63="","",'Base S1'!D63)</f>
        <v>h</v>
      </c>
      <c r="L563" s="2">
        <f t="shared" si="104"/>
        <v>1</v>
      </c>
      <c r="M563" s="2">
        <f t="shared" si="105"/>
        <v>0</v>
      </c>
      <c r="N563" s="2">
        <f t="shared" si="106"/>
        <v>1</v>
      </c>
      <c r="O563" s="2">
        <f t="shared" si="107"/>
        <v>0</v>
      </c>
      <c r="P563" s="112">
        <f t="shared" si="108"/>
        <v>2</v>
      </c>
      <c r="Q563" s="112">
        <f t="shared" si="109"/>
        <v>0</v>
      </c>
      <c r="R563" s="53"/>
      <c r="S563" s="53" t="str">
        <f t="shared" si="110"/>
        <v>Base S1|Red Parallel - Season 1|62|Red</v>
      </c>
      <c r="T563" s="57" t="str">
        <f>IF($S563="","",IFERROR(VLOOKUP($S563,'Pop Estimates (Non-#d)'!$N$2:$O$500,2,FALSE),""))</f>
        <v/>
      </c>
      <c r="U563" s="57" t="str">
        <f t="shared" si="111"/>
        <v/>
      </c>
      <c r="V563" s="53" t="str">
        <f t="shared" si="112"/>
        <v/>
      </c>
      <c r="W563" s="53" t="str">
        <f t="shared" si="113"/>
        <v/>
      </c>
      <c r="X563" s="53" t="str">
        <f t="shared" si="114"/>
        <v/>
      </c>
      <c r="Y563" s="57" t="str">
        <f>IF($X563="","",IFERROR(VLOOKUP($X563,'Char Popularity'!$A$2:$C$500,2,FALSE),""))</f>
        <v/>
      </c>
      <c r="Z563" s="56">
        <f>IF($X563="",1,IFERROR(VLOOKUP($X563,'Char Popularity'!$A$2:$C$500,3,FALSE),1))</f>
        <v>1</v>
      </c>
      <c r="AA563" s="62">
        <f>IF($H563&lt;&gt;"Y",0,(IF($F563&lt;&gt;"",ROUND(Dashboard!$R$4/$F563,1),IF(AND($I563="Base",$E563="Base"),Dashboard!$R$5,IF(AND($I563="Base",$E563="Red"),Dashboard!$R$6,IF(AND($I563="Base",$E563="Gold"),Dashboard!$R$7,VLOOKUP($I563,Dashboard!$Q$16:$R$21,2,FALSE)))))*VLOOKUP($I563,Dashboard!$Q$9:$R$13,2,FALSE)*IF(AND($I563="Auto",$F563="",OR($B563="Autographs Duals",$B563="Autographs Triples",$B563="Autographs Quads",$B563="Autographs Quads (Inscribed)")),IF($B563="Autographs Duals",2,IF($B563="Autographs Triples",3,4)),1)))</f>
        <v>2</v>
      </c>
      <c r="AB563" s="62">
        <f t="shared" si="115"/>
        <v>2</v>
      </c>
      <c r="AC563" s="62">
        <f t="shared" si="116"/>
        <v>0</v>
      </c>
    </row>
    <row r="564" spans="1:29" ht="28.7" customHeight="1" x14ac:dyDescent="0.25">
      <c r="A564" s="4" t="s">
        <v>17</v>
      </c>
      <c r="B564" s="7" t="s">
        <v>63</v>
      </c>
      <c r="C564" s="2" t="s">
        <v>1462</v>
      </c>
      <c r="D564" s="7" t="s">
        <v>966</v>
      </c>
      <c r="E564" s="4" t="s">
        <v>823</v>
      </c>
      <c r="F564" s="2"/>
      <c r="G564" s="2" t="s">
        <v>1399</v>
      </c>
      <c r="H564" s="2" t="s">
        <v>1400</v>
      </c>
      <c r="I564" s="4" t="s">
        <v>60</v>
      </c>
      <c r="J564" s="112">
        <f>IF($H564&lt;&gt;"Y",0,ROUND(MIN(Dashboard!$R$24,IF(IFERROR(VLOOKUP($B564,Dashboard!$Q$28:$S$60,2,FALSE),0)&gt;0,IFERROR(VLOOKUP($B564,Dashboard!$Q$28:$S$60,2,FALSE),0),$Z564*IF($U564&lt;&gt;"",ROUND((Dashboard!$R$4/$U564)*VLOOKUP($I564,Dashboard!$Q$9:$R$13,2,FALSE)*IF(ISNUMBER(SEARCH("Duals",$B564)),2,IF(ISNUMBER(SEARCH("Triples",$B564)),3,IF(ISNUMBER(SEARCH("Quads",$B564)),4,1))),2),ROUND(VLOOKUP($I564,Dashboard!$Q$15:$R$20,2,FALSE)*IF($E564="Red",Dashboard!$R$6,IF($E564="Gold",Dashboard!$R$7,Dashboard!$R$5))*IF(ISNUMBER(SEARCH("Duals",$B564)),2,IF(ISNUMBER(SEARCH("Triples",$B564)),3,IF(ISNUMBER(SEARCH("Quads",$B564)),4,1))),2))*IF(IFERROR(VLOOKUP($B564,Dashboard!$Q$28:$S$60,3,FALSE),0)&gt;0,VLOOKUP($B564,Dashboard!$Q$28:$S$60,3,FALSE),1))),0))</f>
        <v>2</v>
      </c>
      <c r="K564" s="2" t="str">
        <f>IF('Base S1'!D64="","",'Base S1'!D64)</f>
        <v>h</v>
      </c>
      <c r="L564" s="2">
        <f t="shared" si="104"/>
        <v>1</v>
      </c>
      <c r="M564" s="2">
        <f t="shared" si="105"/>
        <v>0</v>
      </c>
      <c r="N564" s="2">
        <f t="shared" si="106"/>
        <v>1</v>
      </c>
      <c r="O564" s="2">
        <f t="shared" si="107"/>
        <v>0</v>
      </c>
      <c r="P564" s="112">
        <f t="shared" si="108"/>
        <v>2</v>
      </c>
      <c r="Q564" s="112">
        <f t="shared" si="109"/>
        <v>0</v>
      </c>
      <c r="R564" s="53"/>
      <c r="S564" s="53" t="str">
        <f t="shared" si="110"/>
        <v>Base S1|Red Parallel - Season 1|63|Red</v>
      </c>
      <c r="T564" s="57" t="str">
        <f>IF($S564="","",IFERROR(VLOOKUP($S564,'Pop Estimates (Non-#d)'!$N$2:$O$500,2,FALSE),""))</f>
        <v/>
      </c>
      <c r="U564" s="57" t="str">
        <f t="shared" si="111"/>
        <v/>
      </c>
      <c r="V564" s="53" t="str">
        <f t="shared" si="112"/>
        <v/>
      </c>
      <c r="W564" s="53" t="str">
        <f t="shared" si="113"/>
        <v/>
      </c>
      <c r="X564" s="53" t="str">
        <f t="shared" si="114"/>
        <v/>
      </c>
      <c r="Y564" s="57" t="str">
        <f>IF($X564="","",IFERROR(VLOOKUP($X564,'Char Popularity'!$A$2:$C$500,2,FALSE),""))</f>
        <v/>
      </c>
      <c r="Z564" s="56">
        <f>IF($X564="",1,IFERROR(VLOOKUP($X564,'Char Popularity'!$A$2:$C$500,3,FALSE),1))</f>
        <v>1</v>
      </c>
      <c r="AA564" s="62">
        <f>IF($H564&lt;&gt;"Y",0,(IF($F564&lt;&gt;"",ROUND(Dashboard!$R$4/$F564,1),IF(AND($I564="Base",$E564="Base"),Dashboard!$R$5,IF(AND($I564="Base",$E564="Red"),Dashboard!$R$6,IF(AND($I564="Base",$E564="Gold"),Dashboard!$R$7,VLOOKUP($I564,Dashboard!$Q$16:$R$21,2,FALSE)))))*VLOOKUP($I564,Dashboard!$Q$9:$R$13,2,FALSE)*IF(AND($I564="Auto",$F564="",OR($B564="Autographs Duals",$B564="Autographs Triples",$B564="Autographs Quads",$B564="Autographs Quads (Inscribed)")),IF($B564="Autographs Duals",2,IF($B564="Autographs Triples",3,4)),1)))</f>
        <v>2</v>
      </c>
      <c r="AB564" s="62">
        <f t="shared" si="115"/>
        <v>2</v>
      </c>
      <c r="AC564" s="62">
        <f t="shared" si="116"/>
        <v>0</v>
      </c>
    </row>
    <row r="565" spans="1:29" ht="28.7" customHeight="1" x14ac:dyDescent="0.25">
      <c r="A565" s="4" t="s">
        <v>17</v>
      </c>
      <c r="B565" s="7" t="s">
        <v>63</v>
      </c>
      <c r="C565" s="2" t="s">
        <v>1463</v>
      </c>
      <c r="D565" s="7" t="s">
        <v>968</v>
      </c>
      <c r="E565" s="4" t="s">
        <v>823</v>
      </c>
      <c r="F565" s="2"/>
      <c r="G565" s="2" t="s">
        <v>1399</v>
      </c>
      <c r="H565" s="2" t="s">
        <v>1400</v>
      </c>
      <c r="I565" s="4" t="s">
        <v>60</v>
      </c>
      <c r="J565" s="112">
        <f>IF($H565&lt;&gt;"Y",0,ROUND(MIN(Dashboard!$R$24,IF(IFERROR(VLOOKUP($B565,Dashboard!$Q$28:$S$60,2,FALSE),0)&gt;0,IFERROR(VLOOKUP($B565,Dashboard!$Q$28:$S$60,2,FALSE),0),$Z565*IF($U565&lt;&gt;"",ROUND((Dashboard!$R$4/$U565)*VLOOKUP($I565,Dashboard!$Q$9:$R$13,2,FALSE)*IF(ISNUMBER(SEARCH("Duals",$B565)),2,IF(ISNUMBER(SEARCH("Triples",$B565)),3,IF(ISNUMBER(SEARCH("Quads",$B565)),4,1))),2),ROUND(VLOOKUP($I565,Dashboard!$Q$15:$R$20,2,FALSE)*IF($E565="Red",Dashboard!$R$6,IF($E565="Gold",Dashboard!$R$7,Dashboard!$R$5))*IF(ISNUMBER(SEARCH("Duals",$B565)),2,IF(ISNUMBER(SEARCH("Triples",$B565)),3,IF(ISNUMBER(SEARCH("Quads",$B565)),4,1))),2))*IF(IFERROR(VLOOKUP($B565,Dashboard!$Q$28:$S$60,3,FALSE),0)&gt;0,VLOOKUP($B565,Dashboard!$Q$28:$S$60,3,FALSE),1))),0))</f>
        <v>2</v>
      </c>
      <c r="K565" s="2" t="str">
        <f>IF('Base S1'!D65="","",'Base S1'!D65)</f>
        <v>h</v>
      </c>
      <c r="L565" s="2">
        <f t="shared" si="104"/>
        <v>1</v>
      </c>
      <c r="M565" s="2">
        <f t="shared" si="105"/>
        <v>0</v>
      </c>
      <c r="N565" s="2">
        <f t="shared" si="106"/>
        <v>1</v>
      </c>
      <c r="O565" s="2">
        <f t="shared" si="107"/>
        <v>0</v>
      </c>
      <c r="P565" s="112">
        <f t="shared" si="108"/>
        <v>2</v>
      </c>
      <c r="Q565" s="112">
        <f t="shared" si="109"/>
        <v>0</v>
      </c>
      <c r="R565" s="53"/>
      <c r="S565" s="53" t="str">
        <f t="shared" si="110"/>
        <v>Base S1|Red Parallel - Season 1|64|Red</v>
      </c>
      <c r="T565" s="57" t="str">
        <f>IF($S565="","",IFERROR(VLOOKUP($S565,'Pop Estimates (Non-#d)'!$N$2:$O$500,2,FALSE),""))</f>
        <v/>
      </c>
      <c r="U565" s="57" t="str">
        <f t="shared" si="111"/>
        <v/>
      </c>
      <c r="V565" s="53" t="str">
        <f t="shared" si="112"/>
        <v/>
      </c>
      <c r="W565" s="53" t="str">
        <f t="shared" si="113"/>
        <v/>
      </c>
      <c r="X565" s="53" t="str">
        <f t="shared" si="114"/>
        <v/>
      </c>
      <c r="Y565" s="57" t="str">
        <f>IF($X565="","",IFERROR(VLOOKUP($X565,'Char Popularity'!$A$2:$C$500,2,FALSE),""))</f>
        <v/>
      </c>
      <c r="Z565" s="56">
        <f>IF($X565="",1,IFERROR(VLOOKUP($X565,'Char Popularity'!$A$2:$C$500,3,FALSE),1))</f>
        <v>1</v>
      </c>
      <c r="AA565" s="62">
        <f>IF($H565&lt;&gt;"Y",0,(IF($F565&lt;&gt;"",ROUND(Dashboard!$R$4/$F565,1),IF(AND($I565="Base",$E565="Base"),Dashboard!$R$5,IF(AND($I565="Base",$E565="Red"),Dashboard!$R$6,IF(AND($I565="Base",$E565="Gold"),Dashboard!$R$7,VLOOKUP($I565,Dashboard!$Q$16:$R$21,2,FALSE)))))*VLOOKUP($I565,Dashboard!$Q$9:$R$13,2,FALSE)*IF(AND($I565="Auto",$F565="",OR($B565="Autographs Duals",$B565="Autographs Triples",$B565="Autographs Quads",$B565="Autographs Quads (Inscribed)")),IF($B565="Autographs Duals",2,IF($B565="Autographs Triples",3,4)),1)))</f>
        <v>2</v>
      </c>
      <c r="AB565" s="62">
        <f t="shared" si="115"/>
        <v>2</v>
      </c>
      <c r="AC565" s="62">
        <f t="shared" si="116"/>
        <v>0</v>
      </c>
    </row>
    <row r="566" spans="1:29" ht="28.7" customHeight="1" x14ac:dyDescent="0.25">
      <c r="A566" s="4" t="s">
        <v>17</v>
      </c>
      <c r="B566" s="7" t="s">
        <v>63</v>
      </c>
      <c r="C566" s="2" t="s">
        <v>1464</v>
      </c>
      <c r="D566" s="7" t="s">
        <v>971</v>
      </c>
      <c r="E566" s="4" t="s">
        <v>823</v>
      </c>
      <c r="F566" s="2"/>
      <c r="G566" s="2" t="s">
        <v>1399</v>
      </c>
      <c r="H566" s="2" t="s">
        <v>1400</v>
      </c>
      <c r="I566" s="4" t="s">
        <v>60</v>
      </c>
      <c r="J566" s="112">
        <f>IF($H566&lt;&gt;"Y",0,ROUND(MIN(Dashboard!$R$24,IF(IFERROR(VLOOKUP($B566,Dashboard!$Q$28:$S$60,2,FALSE),0)&gt;0,IFERROR(VLOOKUP($B566,Dashboard!$Q$28:$S$60,2,FALSE),0),$Z566*IF($U566&lt;&gt;"",ROUND((Dashboard!$R$4/$U566)*VLOOKUP($I566,Dashboard!$Q$9:$R$13,2,FALSE)*IF(ISNUMBER(SEARCH("Duals",$B566)),2,IF(ISNUMBER(SEARCH("Triples",$B566)),3,IF(ISNUMBER(SEARCH("Quads",$B566)),4,1))),2),ROUND(VLOOKUP($I566,Dashboard!$Q$15:$R$20,2,FALSE)*IF($E566="Red",Dashboard!$R$6,IF($E566="Gold",Dashboard!$R$7,Dashboard!$R$5))*IF(ISNUMBER(SEARCH("Duals",$B566)),2,IF(ISNUMBER(SEARCH("Triples",$B566)),3,IF(ISNUMBER(SEARCH("Quads",$B566)),4,1))),2))*IF(IFERROR(VLOOKUP($B566,Dashboard!$Q$28:$S$60,3,FALSE),0)&gt;0,VLOOKUP($B566,Dashboard!$Q$28:$S$60,3,FALSE),1))),0))</f>
        <v>2</v>
      </c>
      <c r="K566" s="2" t="str">
        <f>IF('Base S1'!D66="","",'Base S1'!D66)</f>
        <v>h</v>
      </c>
      <c r="L566" s="2">
        <f t="shared" si="104"/>
        <v>1</v>
      </c>
      <c r="M566" s="2">
        <f t="shared" si="105"/>
        <v>0</v>
      </c>
      <c r="N566" s="2">
        <f t="shared" si="106"/>
        <v>1</v>
      </c>
      <c r="O566" s="2">
        <f t="shared" si="107"/>
        <v>0</v>
      </c>
      <c r="P566" s="112">
        <f t="shared" si="108"/>
        <v>2</v>
      </c>
      <c r="Q566" s="112">
        <f t="shared" si="109"/>
        <v>0</v>
      </c>
      <c r="R566" s="53"/>
      <c r="S566" s="53" t="str">
        <f t="shared" si="110"/>
        <v>Base S1|Red Parallel - Season 1|65|Red</v>
      </c>
      <c r="T566" s="57" t="str">
        <f>IF($S566="","",IFERROR(VLOOKUP($S566,'Pop Estimates (Non-#d)'!$N$2:$O$500,2,FALSE),""))</f>
        <v/>
      </c>
      <c r="U566" s="57" t="str">
        <f t="shared" si="111"/>
        <v/>
      </c>
      <c r="V566" s="53" t="str">
        <f t="shared" si="112"/>
        <v/>
      </c>
      <c r="W566" s="53" t="str">
        <f t="shared" si="113"/>
        <v/>
      </c>
      <c r="X566" s="53" t="str">
        <f t="shared" si="114"/>
        <v/>
      </c>
      <c r="Y566" s="57" t="str">
        <f>IF($X566="","",IFERROR(VLOOKUP($X566,'Char Popularity'!$A$2:$C$500,2,FALSE),""))</f>
        <v/>
      </c>
      <c r="Z566" s="56">
        <f>IF($X566="",1,IFERROR(VLOOKUP($X566,'Char Popularity'!$A$2:$C$500,3,FALSE),1))</f>
        <v>1</v>
      </c>
      <c r="AA566" s="62">
        <f>IF($H566&lt;&gt;"Y",0,(IF($F566&lt;&gt;"",ROUND(Dashboard!$R$4/$F566,1),IF(AND($I566="Base",$E566="Base"),Dashboard!$R$5,IF(AND($I566="Base",$E566="Red"),Dashboard!$R$6,IF(AND($I566="Base",$E566="Gold"),Dashboard!$R$7,VLOOKUP($I566,Dashboard!$Q$16:$R$21,2,FALSE)))))*VLOOKUP($I566,Dashboard!$Q$9:$R$13,2,FALSE)*IF(AND($I566="Auto",$F566="",OR($B566="Autographs Duals",$B566="Autographs Triples",$B566="Autographs Quads",$B566="Autographs Quads (Inscribed)")),IF($B566="Autographs Duals",2,IF($B566="Autographs Triples",3,4)),1)))</f>
        <v>2</v>
      </c>
      <c r="AB566" s="62">
        <f t="shared" si="115"/>
        <v>2</v>
      </c>
      <c r="AC566" s="62">
        <f t="shared" si="116"/>
        <v>0</v>
      </c>
    </row>
    <row r="567" spans="1:29" ht="28.7" customHeight="1" x14ac:dyDescent="0.25">
      <c r="A567" s="4" t="s">
        <v>17</v>
      </c>
      <c r="B567" s="7" t="s">
        <v>63</v>
      </c>
      <c r="C567" s="2" t="s">
        <v>1465</v>
      </c>
      <c r="D567" s="7" t="s">
        <v>973</v>
      </c>
      <c r="E567" s="4" t="s">
        <v>823</v>
      </c>
      <c r="F567" s="2"/>
      <c r="G567" s="2" t="s">
        <v>1399</v>
      </c>
      <c r="H567" s="2" t="s">
        <v>1400</v>
      </c>
      <c r="I567" s="4" t="s">
        <v>60</v>
      </c>
      <c r="J567" s="112">
        <f>IF($H567&lt;&gt;"Y",0,ROUND(MIN(Dashboard!$R$24,IF(IFERROR(VLOOKUP($B567,Dashboard!$Q$28:$S$60,2,FALSE),0)&gt;0,IFERROR(VLOOKUP($B567,Dashboard!$Q$28:$S$60,2,FALSE),0),$Z567*IF($U567&lt;&gt;"",ROUND((Dashboard!$R$4/$U567)*VLOOKUP($I567,Dashboard!$Q$9:$R$13,2,FALSE)*IF(ISNUMBER(SEARCH("Duals",$B567)),2,IF(ISNUMBER(SEARCH("Triples",$B567)),3,IF(ISNUMBER(SEARCH("Quads",$B567)),4,1))),2),ROUND(VLOOKUP($I567,Dashboard!$Q$15:$R$20,2,FALSE)*IF($E567="Red",Dashboard!$R$6,IF($E567="Gold",Dashboard!$R$7,Dashboard!$R$5))*IF(ISNUMBER(SEARCH("Duals",$B567)),2,IF(ISNUMBER(SEARCH("Triples",$B567)),3,IF(ISNUMBER(SEARCH("Quads",$B567)),4,1))),2))*IF(IFERROR(VLOOKUP($B567,Dashboard!$Q$28:$S$60,3,FALSE),0)&gt;0,VLOOKUP($B567,Dashboard!$Q$28:$S$60,3,FALSE),1))),0))</f>
        <v>2</v>
      </c>
      <c r="K567" s="2" t="str">
        <f>IF('Base S1'!D67="","",'Base S1'!D67)</f>
        <v>h</v>
      </c>
      <c r="L567" s="2">
        <f t="shared" si="104"/>
        <v>1</v>
      </c>
      <c r="M567" s="2">
        <f t="shared" si="105"/>
        <v>0</v>
      </c>
      <c r="N567" s="2">
        <f t="shared" si="106"/>
        <v>1</v>
      </c>
      <c r="O567" s="2">
        <f t="shared" si="107"/>
        <v>0</v>
      </c>
      <c r="P567" s="112">
        <f t="shared" si="108"/>
        <v>2</v>
      </c>
      <c r="Q567" s="112">
        <f t="shared" si="109"/>
        <v>0</v>
      </c>
      <c r="R567" s="53"/>
      <c r="S567" s="53" t="str">
        <f t="shared" si="110"/>
        <v>Base S1|Red Parallel - Season 1|66|Red</v>
      </c>
      <c r="T567" s="57" t="str">
        <f>IF($S567="","",IFERROR(VLOOKUP($S567,'Pop Estimates (Non-#d)'!$N$2:$O$500,2,FALSE),""))</f>
        <v/>
      </c>
      <c r="U567" s="57" t="str">
        <f t="shared" si="111"/>
        <v/>
      </c>
      <c r="V567" s="53" t="str">
        <f t="shared" si="112"/>
        <v/>
      </c>
      <c r="W567" s="53" t="str">
        <f t="shared" si="113"/>
        <v/>
      </c>
      <c r="X567" s="53" t="str">
        <f t="shared" si="114"/>
        <v/>
      </c>
      <c r="Y567" s="57" t="str">
        <f>IF($X567="","",IFERROR(VLOOKUP($X567,'Char Popularity'!$A$2:$C$500,2,FALSE),""))</f>
        <v/>
      </c>
      <c r="Z567" s="56">
        <f>IF($X567="",1,IFERROR(VLOOKUP($X567,'Char Popularity'!$A$2:$C$500,3,FALSE),1))</f>
        <v>1</v>
      </c>
      <c r="AA567" s="62">
        <f>IF($H567&lt;&gt;"Y",0,(IF($F567&lt;&gt;"",ROUND(Dashboard!$R$4/$F567,1),IF(AND($I567="Base",$E567="Base"),Dashboard!$R$5,IF(AND($I567="Base",$E567="Red"),Dashboard!$R$6,IF(AND($I567="Base",$E567="Gold"),Dashboard!$R$7,VLOOKUP($I567,Dashboard!$Q$16:$R$21,2,FALSE)))))*VLOOKUP($I567,Dashboard!$Q$9:$R$13,2,FALSE)*IF(AND($I567="Auto",$F567="",OR($B567="Autographs Duals",$B567="Autographs Triples",$B567="Autographs Quads",$B567="Autographs Quads (Inscribed)")),IF($B567="Autographs Duals",2,IF($B567="Autographs Triples",3,4)),1)))</f>
        <v>2</v>
      </c>
      <c r="AB567" s="62">
        <f t="shared" si="115"/>
        <v>2</v>
      </c>
      <c r="AC567" s="62">
        <f t="shared" si="116"/>
        <v>0</v>
      </c>
    </row>
    <row r="568" spans="1:29" ht="28.7" customHeight="1" x14ac:dyDescent="0.25">
      <c r="A568" s="4" t="s">
        <v>17</v>
      </c>
      <c r="B568" s="7" t="s">
        <v>63</v>
      </c>
      <c r="C568" s="2" t="s">
        <v>1466</v>
      </c>
      <c r="D568" s="7" t="s">
        <v>974</v>
      </c>
      <c r="E568" s="4" t="s">
        <v>823</v>
      </c>
      <c r="F568" s="2"/>
      <c r="G568" s="2" t="s">
        <v>1399</v>
      </c>
      <c r="H568" s="2" t="s">
        <v>1400</v>
      </c>
      <c r="I568" s="4" t="s">
        <v>60</v>
      </c>
      <c r="J568" s="112">
        <f>IF($H568&lt;&gt;"Y",0,ROUND(MIN(Dashboard!$R$24,IF(IFERROR(VLOOKUP($B568,Dashboard!$Q$28:$S$60,2,FALSE),0)&gt;0,IFERROR(VLOOKUP($B568,Dashboard!$Q$28:$S$60,2,FALSE),0),$Z568*IF($U568&lt;&gt;"",ROUND((Dashboard!$R$4/$U568)*VLOOKUP($I568,Dashboard!$Q$9:$R$13,2,FALSE)*IF(ISNUMBER(SEARCH("Duals",$B568)),2,IF(ISNUMBER(SEARCH("Triples",$B568)),3,IF(ISNUMBER(SEARCH("Quads",$B568)),4,1))),2),ROUND(VLOOKUP($I568,Dashboard!$Q$15:$R$20,2,FALSE)*IF($E568="Red",Dashboard!$R$6,IF($E568="Gold",Dashboard!$R$7,Dashboard!$R$5))*IF(ISNUMBER(SEARCH("Duals",$B568)),2,IF(ISNUMBER(SEARCH("Triples",$B568)),3,IF(ISNUMBER(SEARCH("Quads",$B568)),4,1))),2))*IF(IFERROR(VLOOKUP($B568,Dashboard!$Q$28:$S$60,3,FALSE),0)&gt;0,VLOOKUP($B568,Dashboard!$Q$28:$S$60,3,FALSE),1))),0))</f>
        <v>2</v>
      </c>
      <c r="K568" s="2" t="str">
        <f>IF('Base S1'!D68="","",'Base S1'!D68)</f>
        <v>h</v>
      </c>
      <c r="L568" s="2">
        <f t="shared" si="104"/>
        <v>1</v>
      </c>
      <c r="M568" s="2">
        <f t="shared" si="105"/>
        <v>0</v>
      </c>
      <c r="N568" s="2">
        <f t="shared" si="106"/>
        <v>1</v>
      </c>
      <c r="O568" s="2">
        <f t="shared" si="107"/>
        <v>0</v>
      </c>
      <c r="P568" s="112">
        <f t="shared" si="108"/>
        <v>2</v>
      </c>
      <c r="Q568" s="112">
        <f t="shared" si="109"/>
        <v>0</v>
      </c>
      <c r="R568" s="53"/>
      <c r="S568" s="53" t="str">
        <f t="shared" si="110"/>
        <v>Base S1|Red Parallel - Season 1|67|Red</v>
      </c>
      <c r="T568" s="57" t="str">
        <f>IF($S568="","",IFERROR(VLOOKUP($S568,'Pop Estimates (Non-#d)'!$N$2:$O$500,2,FALSE),""))</f>
        <v/>
      </c>
      <c r="U568" s="57" t="str">
        <f t="shared" si="111"/>
        <v/>
      </c>
      <c r="V568" s="53" t="str">
        <f t="shared" si="112"/>
        <v/>
      </c>
      <c r="W568" s="53" t="str">
        <f t="shared" si="113"/>
        <v/>
      </c>
      <c r="X568" s="53" t="str">
        <f t="shared" si="114"/>
        <v/>
      </c>
      <c r="Y568" s="57" t="str">
        <f>IF($X568="","",IFERROR(VLOOKUP($X568,'Char Popularity'!$A$2:$C$500,2,FALSE),""))</f>
        <v/>
      </c>
      <c r="Z568" s="56">
        <f>IF($X568="",1,IFERROR(VLOOKUP($X568,'Char Popularity'!$A$2:$C$500,3,FALSE),1))</f>
        <v>1</v>
      </c>
      <c r="AA568" s="62">
        <f>IF($H568&lt;&gt;"Y",0,(IF($F568&lt;&gt;"",ROUND(Dashboard!$R$4/$F568,1),IF(AND($I568="Base",$E568="Base"),Dashboard!$R$5,IF(AND($I568="Base",$E568="Red"),Dashboard!$R$6,IF(AND($I568="Base",$E568="Gold"),Dashboard!$R$7,VLOOKUP($I568,Dashboard!$Q$16:$R$21,2,FALSE)))))*VLOOKUP($I568,Dashboard!$Q$9:$R$13,2,FALSE)*IF(AND($I568="Auto",$F568="",OR($B568="Autographs Duals",$B568="Autographs Triples",$B568="Autographs Quads",$B568="Autographs Quads (Inscribed)")),IF($B568="Autographs Duals",2,IF($B568="Autographs Triples",3,4)),1)))</f>
        <v>2</v>
      </c>
      <c r="AB568" s="62">
        <f t="shared" si="115"/>
        <v>2</v>
      </c>
      <c r="AC568" s="62">
        <f t="shared" si="116"/>
        <v>0</v>
      </c>
    </row>
    <row r="569" spans="1:29" ht="28.7" customHeight="1" x14ac:dyDescent="0.25">
      <c r="A569" s="4" t="s">
        <v>17</v>
      </c>
      <c r="B569" s="7" t="s">
        <v>63</v>
      </c>
      <c r="C569" s="2" t="s">
        <v>1467</v>
      </c>
      <c r="D569" s="7" t="s">
        <v>977</v>
      </c>
      <c r="E569" s="4" t="s">
        <v>823</v>
      </c>
      <c r="F569" s="2"/>
      <c r="G569" s="2" t="s">
        <v>1399</v>
      </c>
      <c r="H569" s="2" t="s">
        <v>1400</v>
      </c>
      <c r="I569" s="4" t="s">
        <v>60</v>
      </c>
      <c r="J569" s="112">
        <f>IF($H569&lt;&gt;"Y",0,ROUND(MIN(Dashboard!$R$24,IF(IFERROR(VLOOKUP($B569,Dashboard!$Q$28:$S$60,2,FALSE),0)&gt;0,IFERROR(VLOOKUP($B569,Dashboard!$Q$28:$S$60,2,FALSE),0),$Z569*IF($U569&lt;&gt;"",ROUND((Dashboard!$R$4/$U569)*VLOOKUP($I569,Dashboard!$Q$9:$R$13,2,FALSE)*IF(ISNUMBER(SEARCH("Duals",$B569)),2,IF(ISNUMBER(SEARCH("Triples",$B569)),3,IF(ISNUMBER(SEARCH("Quads",$B569)),4,1))),2),ROUND(VLOOKUP($I569,Dashboard!$Q$15:$R$20,2,FALSE)*IF($E569="Red",Dashboard!$R$6,IF($E569="Gold",Dashboard!$R$7,Dashboard!$R$5))*IF(ISNUMBER(SEARCH("Duals",$B569)),2,IF(ISNUMBER(SEARCH("Triples",$B569)),3,IF(ISNUMBER(SEARCH("Quads",$B569)),4,1))),2))*IF(IFERROR(VLOOKUP($B569,Dashboard!$Q$28:$S$60,3,FALSE),0)&gt;0,VLOOKUP($B569,Dashboard!$Q$28:$S$60,3,FALSE),1))),0))</f>
        <v>2</v>
      </c>
      <c r="K569" s="2" t="str">
        <f>IF('Base S1'!D69="","",'Base S1'!D69)</f>
        <v>h</v>
      </c>
      <c r="L569" s="2">
        <f t="shared" si="104"/>
        <v>1</v>
      </c>
      <c r="M569" s="2">
        <f t="shared" si="105"/>
        <v>0</v>
      </c>
      <c r="N569" s="2">
        <f t="shared" si="106"/>
        <v>1</v>
      </c>
      <c r="O569" s="2">
        <f t="shared" si="107"/>
        <v>0</v>
      </c>
      <c r="P569" s="112">
        <f t="shared" si="108"/>
        <v>2</v>
      </c>
      <c r="Q569" s="112">
        <f t="shared" si="109"/>
        <v>0</v>
      </c>
      <c r="R569" s="53"/>
      <c r="S569" s="53" t="str">
        <f t="shared" si="110"/>
        <v>Base S1|Red Parallel - Season 1|68|Red</v>
      </c>
      <c r="T569" s="57" t="str">
        <f>IF($S569="","",IFERROR(VLOOKUP($S569,'Pop Estimates (Non-#d)'!$N$2:$O$500,2,FALSE),""))</f>
        <v/>
      </c>
      <c r="U569" s="57" t="str">
        <f t="shared" si="111"/>
        <v/>
      </c>
      <c r="V569" s="53" t="str">
        <f t="shared" si="112"/>
        <v/>
      </c>
      <c r="W569" s="53" t="str">
        <f t="shared" si="113"/>
        <v/>
      </c>
      <c r="X569" s="53" t="str">
        <f t="shared" si="114"/>
        <v/>
      </c>
      <c r="Y569" s="57" t="str">
        <f>IF($X569="","",IFERROR(VLOOKUP($X569,'Char Popularity'!$A$2:$C$500,2,FALSE),""))</f>
        <v/>
      </c>
      <c r="Z569" s="56">
        <f>IF($X569="",1,IFERROR(VLOOKUP($X569,'Char Popularity'!$A$2:$C$500,3,FALSE),1))</f>
        <v>1</v>
      </c>
      <c r="AA569" s="62">
        <f>IF($H569&lt;&gt;"Y",0,(IF($F569&lt;&gt;"",ROUND(Dashboard!$R$4/$F569,1),IF(AND($I569="Base",$E569="Base"),Dashboard!$R$5,IF(AND($I569="Base",$E569="Red"),Dashboard!$R$6,IF(AND($I569="Base",$E569="Gold"),Dashboard!$R$7,VLOOKUP($I569,Dashboard!$Q$16:$R$21,2,FALSE)))))*VLOOKUP($I569,Dashboard!$Q$9:$R$13,2,FALSE)*IF(AND($I569="Auto",$F569="",OR($B569="Autographs Duals",$B569="Autographs Triples",$B569="Autographs Quads",$B569="Autographs Quads (Inscribed)")),IF($B569="Autographs Duals",2,IF($B569="Autographs Triples",3,4)),1)))</f>
        <v>2</v>
      </c>
      <c r="AB569" s="62">
        <f t="shared" si="115"/>
        <v>2</v>
      </c>
      <c r="AC569" s="62">
        <f t="shared" si="116"/>
        <v>0</v>
      </c>
    </row>
    <row r="570" spans="1:29" ht="28.7" customHeight="1" x14ac:dyDescent="0.25">
      <c r="A570" s="4" t="s">
        <v>17</v>
      </c>
      <c r="B570" s="7" t="s">
        <v>63</v>
      </c>
      <c r="C570" s="2" t="s">
        <v>1468</v>
      </c>
      <c r="D570" s="7" t="s">
        <v>979</v>
      </c>
      <c r="E570" s="4" t="s">
        <v>823</v>
      </c>
      <c r="F570" s="2"/>
      <c r="G570" s="2" t="s">
        <v>1399</v>
      </c>
      <c r="H570" s="2" t="s">
        <v>1400</v>
      </c>
      <c r="I570" s="4" t="s">
        <v>60</v>
      </c>
      <c r="J570" s="112">
        <f>IF($H570&lt;&gt;"Y",0,ROUND(MIN(Dashboard!$R$24,IF(IFERROR(VLOOKUP($B570,Dashboard!$Q$28:$S$60,2,FALSE),0)&gt;0,IFERROR(VLOOKUP($B570,Dashboard!$Q$28:$S$60,2,FALSE),0),$Z570*IF($U570&lt;&gt;"",ROUND((Dashboard!$R$4/$U570)*VLOOKUP($I570,Dashboard!$Q$9:$R$13,2,FALSE)*IF(ISNUMBER(SEARCH("Duals",$B570)),2,IF(ISNUMBER(SEARCH("Triples",$B570)),3,IF(ISNUMBER(SEARCH("Quads",$B570)),4,1))),2),ROUND(VLOOKUP($I570,Dashboard!$Q$15:$R$20,2,FALSE)*IF($E570="Red",Dashboard!$R$6,IF($E570="Gold",Dashboard!$R$7,Dashboard!$R$5))*IF(ISNUMBER(SEARCH("Duals",$B570)),2,IF(ISNUMBER(SEARCH("Triples",$B570)),3,IF(ISNUMBER(SEARCH("Quads",$B570)),4,1))),2))*IF(IFERROR(VLOOKUP($B570,Dashboard!$Q$28:$S$60,3,FALSE),0)&gt;0,VLOOKUP($B570,Dashboard!$Q$28:$S$60,3,FALSE),1))),0))</f>
        <v>2</v>
      </c>
      <c r="K570" s="2" t="str">
        <f>IF('Base S1'!D70="","",'Base S1'!D70)</f>
        <v>h</v>
      </c>
      <c r="L570" s="2">
        <f t="shared" si="104"/>
        <v>1</v>
      </c>
      <c r="M570" s="2">
        <f t="shared" si="105"/>
        <v>0</v>
      </c>
      <c r="N570" s="2">
        <f t="shared" si="106"/>
        <v>1</v>
      </c>
      <c r="O570" s="2">
        <f t="shared" si="107"/>
        <v>0</v>
      </c>
      <c r="P570" s="112">
        <f t="shared" si="108"/>
        <v>2</v>
      </c>
      <c r="Q570" s="112">
        <f t="shared" si="109"/>
        <v>0</v>
      </c>
      <c r="R570" s="53"/>
      <c r="S570" s="53" t="str">
        <f t="shared" si="110"/>
        <v>Base S1|Red Parallel - Season 1|69|Red</v>
      </c>
      <c r="T570" s="57" t="str">
        <f>IF($S570="","",IFERROR(VLOOKUP($S570,'Pop Estimates (Non-#d)'!$N$2:$O$500,2,FALSE),""))</f>
        <v/>
      </c>
      <c r="U570" s="57" t="str">
        <f t="shared" si="111"/>
        <v/>
      </c>
      <c r="V570" s="53" t="str">
        <f t="shared" si="112"/>
        <v/>
      </c>
      <c r="W570" s="53" t="str">
        <f t="shared" si="113"/>
        <v/>
      </c>
      <c r="X570" s="53" t="str">
        <f t="shared" si="114"/>
        <v/>
      </c>
      <c r="Y570" s="57" t="str">
        <f>IF($X570="","",IFERROR(VLOOKUP($X570,'Char Popularity'!$A$2:$C$500,2,FALSE),""))</f>
        <v/>
      </c>
      <c r="Z570" s="56">
        <f>IF($X570="",1,IFERROR(VLOOKUP($X570,'Char Popularity'!$A$2:$C$500,3,FALSE),1))</f>
        <v>1</v>
      </c>
      <c r="AA570" s="62">
        <f>IF($H570&lt;&gt;"Y",0,(IF($F570&lt;&gt;"",ROUND(Dashboard!$R$4/$F570,1),IF(AND($I570="Base",$E570="Base"),Dashboard!$R$5,IF(AND($I570="Base",$E570="Red"),Dashboard!$R$6,IF(AND($I570="Base",$E570="Gold"),Dashboard!$R$7,VLOOKUP($I570,Dashboard!$Q$16:$R$21,2,FALSE)))))*VLOOKUP($I570,Dashboard!$Q$9:$R$13,2,FALSE)*IF(AND($I570="Auto",$F570="",OR($B570="Autographs Duals",$B570="Autographs Triples",$B570="Autographs Quads",$B570="Autographs Quads (Inscribed)")),IF($B570="Autographs Duals",2,IF($B570="Autographs Triples",3,4)),1)))</f>
        <v>2</v>
      </c>
      <c r="AB570" s="62">
        <f t="shared" si="115"/>
        <v>2</v>
      </c>
      <c r="AC570" s="62">
        <f t="shared" si="116"/>
        <v>0</v>
      </c>
    </row>
    <row r="571" spans="1:29" ht="28.7" customHeight="1" x14ac:dyDescent="0.25">
      <c r="A571" s="4" t="s">
        <v>17</v>
      </c>
      <c r="B571" s="7" t="s">
        <v>63</v>
      </c>
      <c r="C571" s="2" t="s">
        <v>1469</v>
      </c>
      <c r="D571" s="7" t="s">
        <v>980</v>
      </c>
      <c r="E571" s="4" t="s">
        <v>823</v>
      </c>
      <c r="F571" s="2"/>
      <c r="G571" s="2" t="s">
        <v>1399</v>
      </c>
      <c r="H571" s="2" t="s">
        <v>1400</v>
      </c>
      <c r="I571" s="4" t="s">
        <v>60</v>
      </c>
      <c r="J571" s="112">
        <f>IF($H571&lt;&gt;"Y",0,ROUND(MIN(Dashboard!$R$24,IF(IFERROR(VLOOKUP($B571,Dashboard!$Q$28:$S$60,2,FALSE),0)&gt;0,IFERROR(VLOOKUP($B571,Dashboard!$Q$28:$S$60,2,FALSE),0),$Z571*IF($U571&lt;&gt;"",ROUND((Dashboard!$R$4/$U571)*VLOOKUP($I571,Dashboard!$Q$9:$R$13,2,FALSE)*IF(ISNUMBER(SEARCH("Duals",$B571)),2,IF(ISNUMBER(SEARCH("Triples",$B571)),3,IF(ISNUMBER(SEARCH("Quads",$B571)),4,1))),2),ROUND(VLOOKUP($I571,Dashboard!$Q$15:$R$20,2,FALSE)*IF($E571="Red",Dashboard!$R$6,IF($E571="Gold",Dashboard!$R$7,Dashboard!$R$5))*IF(ISNUMBER(SEARCH("Duals",$B571)),2,IF(ISNUMBER(SEARCH("Triples",$B571)),3,IF(ISNUMBER(SEARCH("Quads",$B571)),4,1))),2))*IF(IFERROR(VLOOKUP($B571,Dashboard!$Q$28:$S$60,3,FALSE),0)&gt;0,VLOOKUP($B571,Dashboard!$Q$28:$S$60,3,FALSE),1))),0))</f>
        <v>2</v>
      </c>
      <c r="K571" s="2" t="str">
        <f>IF('Base S1'!D71="","",'Base S1'!D71)</f>
        <v>h</v>
      </c>
      <c r="L571" s="2">
        <f t="shared" si="104"/>
        <v>1</v>
      </c>
      <c r="M571" s="2">
        <f t="shared" si="105"/>
        <v>0</v>
      </c>
      <c r="N571" s="2">
        <f t="shared" si="106"/>
        <v>1</v>
      </c>
      <c r="O571" s="2">
        <f t="shared" si="107"/>
        <v>0</v>
      </c>
      <c r="P571" s="112">
        <f t="shared" si="108"/>
        <v>2</v>
      </c>
      <c r="Q571" s="112">
        <f t="shared" si="109"/>
        <v>0</v>
      </c>
      <c r="R571" s="53"/>
      <c r="S571" s="53" t="str">
        <f t="shared" si="110"/>
        <v>Base S1|Red Parallel - Season 1|70|Red</v>
      </c>
      <c r="T571" s="57" t="str">
        <f>IF($S571="","",IFERROR(VLOOKUP($S571,'Pop Estimates (Non-#d)'!$N$2:$O$500,2,FALSE),""))</f>
        <v/>
      </c>
      <c r="U571" s="57" t="str">
        <f t="shared" si="111"/>
        <v/>
      </c>
      <c r="V571" s="53" t="str">
        <f t="shared" si="112"/>
        <v/>
      </c>
      <c r="W571" s="53" t="str">
        <f t="shared" si="113"/>
        <v/>
      </c>
      <c r="X571" s="53" t="str">
        <f t="shared" si="114"/>
        <v/>
      </c>
      <c r="Y571" s="57" t="str">
        <f>IF($X571="","",IFERROR(VLOOKUP($X571,'Char Popularity'!$A$2:$C$500,2,FALSE),""))</f>
        <v/>
      </c>
      <c r="Z571" s="56">
        <f>IF($X571="",1,IFERROR(VLOOKUP($X571,'Char Popularity'!$A$2:$C$500,3,FALSE),1))</f>
        <v>1</v>
      </c>
      <c r="AA571" s="62">
        <f>IF($H571&lt;&gt;"Y",0,(IF($F571&lt;&gt;"",ROUND(Dashboard!$R$4/$F571,1),IF(AND($I571="Base",$E571="Base"),Dashboard!$R$5,IF(AND($I571="Base",$E571="Red"),Dashboard!$R$6,IF(AND($I571="Base",$E571="Gold"),Dashboard!$R$7,VLOOKUP($I571,Dashboard!$Q$16:$R$21,2,FALSE)))))*VLOOKUP($I571,Dashboard!$Q$9:$R$13,2,FALSE)*IF(AND($I571="Auto",$F571="",OR($B571="Autographs Duals",$B571="Autographs Triples",$B571="Autographs Quads",$B571="Autographs Quads (Inscribed)")),IF($B571="Autographs Duals",2,IF($B571="Autographs Triples",3,4)),1)))</f>
        <v>2</v>
      </c>
      <c r="AB571" s="62">
        <f t="shared" si="115"/>
        <v>2</v>
      </c>
      <c r="AC571" s="62">
        <f t="shared" si="116"/>
        <v>0</v>
      </c>
    </row>
    <row r="572" spans="1:29" ht="28.7" customHeight="1" x14ac:dyDescent="0.25">
      <c r="A572" s="4" t="s">
        <v>17</v>
      </c>
      <c r="B572" s="7" t="s">
        <v>63</v>
      </c>
      <c r="C572" s="2" t="s">
        <v>1470</v>
      </c>
      <c r="D572" s="7" t="s">
        <v>981</v>
      </c>
      <c r="E572" s="4" t="s">
        <v>823</v>
      </c>
      <c r="F572" s="2"/>
      <c r="G572" s="2" t="s">
        <v>1399</v>
      </c>
      <c r="H572" s="2" t="s">
        <v>1400</v>
      </c>
      <c r="I572" s="4" t="s">
        <v>60</v>
      </c>
      <c r="J572" s="112">
        <f>IF($H572&lt;&gt;"Y",0,ROUND(MIN(Dashboard!$R$24,IF(IFERROR(VLOOKUP($B572,Dashboard!$Q$28:$S$60,2,FALSE),0)&gt;0,IFERROR(VLOOKUP($B572,Dashboard!$Q$28:$S$60,2,FALSE),0),$Z572*IF($U572&lt;&gt;"",ROUND((Dashboard!$R$4/$U572)*VLOOKUP($I572,Dashboard!$Q$9:$R$13,2,FALSE)*IF(ISNUMBER(SEARCH("Duals",$B572)),2,IF(ISNUMBER(SEARCH("Triples",$B572)),3,IF(ISNUMBER(SEARCH("Quads",$B572)),4,1))),2),ROUND(VLOOKUP($I572,Dashboard!$Q$15:$R$20,2,FALSE)*IF($E572="Red",Dashboard!$R$6,IF($E572="Gold",Dashboard!$R$7,Dashboard!$R$5))*IF(ISNUMBER(SEARCH("Duals",$B572)),2,IF(ISNUMBER(SEARCH("Triples",$B572)),3,IF(ISNUMBER(SEARCH("Quads",$B572)),4,1))),2))*IF(IFERROR(VLOOKUP($B572,Dashboard!$Q$28:$S$60,3,FALSE),0)&gt;0,VLOOKUP($B572,Dashboard!$Q$28:$S$60,3,FALSE),1))),0))</f>
        <v>2</v>
      </c>
      <c r="K572" s="2" t="str">
        <f>IF('Base S1'!D72="","",'Base S1'!D72)</f>
        <v>h</v>
      </c>
      <c r="L572" s="2">
        <f t="shared" si="104"/>
        <v>1</v>
      </c>
      <c r="M572" s="2">
        <f t="shared" si="105"/>
        <v>0</v>
      </c>
      <c r="N572" s="2">
        <f t="shared" si="106"/>
        <v>1</v>
      </c>
      <c r="O572" s="2">
        <f t="shared" si="107"/>
        <v>0</v>
      </c>
      <c r="P572" s="112">
        <f t="shared" si="108"/>
        <v>2</v>
      </c>
      <c r="Q572" s="112">
        <f t="shared" si="109"/>
        <v>0</v>
      </c>
      <c r="R572" s="53"/>
      <c r="S572" s="53" t="str">
        <f t="shared" si="110"/>
        <v>Base S1|Red Parallel - Season 1|71|Red</v>
      </c>
      <c r="T572" s="57" t="str">
        <f>IF($S572="","",IFERROR(VLOOKUP($S572,'Pop Estimates (Non-#d)'!$N$2:$O$500,2,FALSE),""))</f>
        <v/>
      </c>
      <c r="U572" s="57" t="str">
        <f t="shared" si="111"/>
        <v/>
      </c>
      <c r="V572" s="53" t="str">
        <f t="shared" si="112"/>
        <v/>
      </c>
      <c r="W572" s="53" t="str">
        <f t="shared" si="113"/>
        <v/>
      </c>
      <c r="X572" s="53" t="str">
        <f t="shared" si="114"/>
        <v/>
      </c>
      <c r="Y572" s="57" t="str">
        <f>IF($X572="","",IFERROR(VLOOKUP($X572,'Char Popularity'!$A$2:$C$500,2,FALSE),""))</f>
        <v/>
      </c>
      <c r="Z572" s="56">
        <f>IF($X572="",1,IFERROR(VLOOKUP($X572,'Char Popularity'!$A$2:$C$500,3,FALSE),1))</f>
        <v>1</v>
      </c>
      <c r="AA572" s="62">
        <f>IF($H572&lt;&gt;"Y",0,(IF($F572&lt;&gt;"",ROUND(Dashboard!$R$4/$F572,1),IF(AND($I572="Base",$E572="Base"),Dashboard!$R$5,IF(AND($I572="Base",$E572="Red"),Dashboard!$R$6,IF(AND($I572="Base",$E572="Gold"),Dashboard!$R$7,VLOOKUP($I572,Dashboard!$Q$16:$R$21,2,FALSE)))))*VLOOKUP($I572,Dashboard!$Q$9:$R$13,2,FALSE)*IF(AND($I572="Auto",$F572="",OR($B572="Autographs Duals",$B572="Autographs Triples",$B572="Autographs Quads",$B572="Autographs Quads (Inscribed)")),IF($B572="Autographs Duals",2,IF($B572="Autographs Triples",3,4)),1)))</f>
        <v>2</v>
      </c>
      <c r="AB572" s="62">
        <f t="shared" si="115"/>
        <v>2</v>
      </c>
      <c r="AC572" s="62">
        <f t="shared" si="116"/>
        <v>0</v>
      </c>
    </row>
    <row r="573" spans="1:29" ht="28.7" customHeight="1" x14ac:dyDescent="0.25">
      <c r="A573" s="4" t="s">
        <v>17</v>
      </c>
      <c r="B573" s="7" t="s">
        <v>63</v>
      </c>
      <c r="C573" s="2" t="s">
        <v>1471</v>
      </c>
      <c r="D573" s="7" t="s">
        <v>983</v>
      </c>
      <c r="E573" s="4" t="s">
        <v>823</v>
      </c>
      <c r="F573" s="2"/>
      <c r="G573" s="2" t="s">
        <v>1399</v>
      </c>
      <c r="H573" s="2" t="s">
        <v>1400</v>
      </c>
      <c r="I573" s="4" t="s">
        <v>60</v>
      </c>
      <c r="J573" s="112">
        <f>IF($H573&lt;&gt;"Y",0,ROUND(MIN(Dashboard!$R$24,IF(IFERROR(VLOOKUP($B573,Dashboard!$Q$28:$S$60,2,FALSE),0)&gt;0,IFERROR(VLOOKUP($B573,Dashboard!$Q$28:$S$60,2,FALSE),0),$Z573*IF($U573&lt;&gt;"",ROUND((Dashboard!$R$4/$U573)*VLOOKUP($I573,Dashboard!$Q$9:$R$13,2,FALSE)*IF(ISNUMBER(SEARCH("Duals",$B573)),2,IF(ISNUMBER(SEARCH("Triples",$B573)),3,IF(ISNUMBER(SEARCH("Quads",$B573)),4,1))),2),ROUND(VLOOKUP($I573,Dashboard!$Q$15:$R$20,2,FALSE)*IF($E573="Red",Dashboard!$R$6,IF($E573="Gold",Dashboard!$R$7,Dashboard!$R$5))*IF(ISNUMBER(SEARCH("Duals",$B573)),2,IF(ISNUMBER(SEARCH("Triples",$B573)),3,IF(ISNUMBER(SEARCH("Quads",$B573)),4,1))),2))*IF(IFERROR(VLOOKUP($B573,Dashboard!$Q$28:$S$60,3,FALSE),0)&gt;0,VLOOKUP($B573,Dashboard!$Q$28:$S$60,3,FALSE),1))),0))</f>
        <v>2</v>
      </c>
      <c r="K573" s="2" t="str">
        <f>IF('Base S1'!D73="","",'Base S1'!D73)</f>
        <v>h</v>
      </c>
      <c r="L573" s="2">
        <f t="shared" si="104"/>
        <v>1</v>
      </c>
      <c r="M573" s="2">
        <f t="shared" si="105"/>
        <v>0</v>
      </c>
      <c r="N573" s="2">
        <f t="shared" si="106"/>
        <v>1</v>
      </c>
      <c r="O573" s="2">
        <f t="shared" si="107"/>
        <v>0</v>
      </c>
      <c r="P573" s="112">
        <f t="shared" si="108"/>
        <v>2</v>
      </c>
      <c r="Q573" s="112">
        <f t="shared" si="109"/>
        <v>0</v>
      </c>
      <c r="R573" s="53"/>
      <c r="S573" s="53" t="str">
        <f t="shared" si="110"/>
        <v>Base S1|Red Parallel - Season 1|72|Red</v>
      </c>
      <c r="T573" s="57" t="str">
        <f>IF($S573="","",IFERROR(VLOOKUP($S573,'Pop Estimates (Non-#d)'!$N$2:$O$500,2,FALSE),""))</f>
        <v/>
      </c>
      <c r="U573" s="57" t="str">
        <f t="shared" si="111"/>
        <v/>
      </c>
      <c r="V573" s="53" t="str">
        <f t="shared" si="112"/>
        <v/>
      </c>
      <c r="W573" s="53" t="str">
        <f t="shared" si="113"/>
        <v/>
      </c>
      <c r="X573" s="53" t="str">
        <f t="shared" si="114"/>
        <v/>
      </c>
      <c r="Y573" s="57" t="str">
        <f>IF($X573="","",IFERROR(VLOOKUP($X573,'Char Popularity'!$A$2:$C$500,2,FALSE),""))</f>
        <v/>
      </c>
      <c r="Z573" s="56">
        <f>IF($X573="",1,IFERROR(VLOOKUP($X573,'Char Popularity'!$A$2:$C$500,3,FALSE),1))</f>
        <v>1</v>
      </c>
      <c r="AA573" s="62">
        <f>IF($H573&lt;&gt;"Y",0,(IF($F573&lt;&gt;"",ROUND(Dashboard!$R$4/$F573,1),IF(AND($I573="Base",$E573="Base"),Dashboard!$R$5,IF(AND($I573="Base",$E573="Red"),Dashboard!$R$6,IF(AND($I573="Base",$E573="Gold"),Dashboard!$R$7,VLOOKUP($I573,Dashboard!$Q$16:$R$21,2,FALSE)))))*VLOOKUP($I573,Dashboard!$Q$9:$R$13,2,FALSE)*IF(AND($I573="Auto",$F573="",OR($B573="Autographs Duals",$B573="Autographs Triples",$B573="Autographs Quads",$B573="Autographs Quads (Inscribed)")),IF($B573="Autographs Duals",2,IF($B573="Autographs Triples",3,4)),1)))</f>
        <v>2</v>
      </c>
      <c r="AB573" s="62">
        <f t="shared" si="115"/>
        <v>2</v>
      </c>
      <c r="AC573" s="62">
        <f t="shared" si="116"/>
        <v>0</v>
      </c>
    </row>
    <row r="574" spans="1:29" ht="28.7" customHeight="1" x14ac:dyDescent="0.25">
      <c r="A574" s="4" t="s">
        <v>17</v>
      </c>
      <c r="B574" s="7" t="s">
        <v>63</v>
      </c>
      <c r="C574" s="2" t="s">
        <v>1472</v>
      </c>
      <c r="D574" s="7" t="s">
        <v>985</v>
      </c>
      <c r="E574" s="4" t="s">
        <v>823</v>
      </c>
      <c r="F574" s="2"/>
      <c r="G574" s="2" t="s">
        <v>1399</v>
      </c>
      <c r="H574" s="2" t="s">
        <v>1400</v>
      </c>
      <c r="I574" s="4" t="s">
        <v>60</v>
      </c>
      <c r="J574" s="112">
        <f>IF($H574&lt;&gt;"Y",0,ROUND(MIN(Dashboard!$R$24,IF(IFERROR(VLOOKUP($B574,Dashboard!$Q$28:$S$60,2,FALSE),0)&gt;0,IFERROR(VLOOKUP($B574,Dashboard!$Q$28:$S$60,2,FALSE),0),$Z574*IF($U574&lt;&gt;"",ROUND((Dashboard!$R$4/$U574)*VLOOKUP($I574,Dashboard!$Q$9:$R$13,2,FALSE)*IF(ISNUMBER(SEARCH("Duals",$B574)),2,IF(ISNUMBER(SEARCH("Triples",$B574)),3,IF(ISNUMBER(SEARCH("Quads",$B574)),4,1))),2),ROUND(VLOOKUP($I574,Dashboard!$Q$15:$R$20,2,FALSE)*IF($E574="Red",Dashboard!$R$6,IF($E574="Gold",Dashboard!$R$7,Dashboard!$R$5))*IF(ISNUMBER(SEARCH("Duals",$B574)),2,IF(ISNUMBER(SEARCH("Triples",$B574)),3,IF(ISNUMBER(SEARCH("Quads",$B574)),4,1))),2))*IF(IFERROR(VLOOKUP($B574,Dashboard!$Q$28:$S$60,3,FALSE),0)&gt;0,VLOOKUP($B574,Dashboard!$Q$28:$S$60,3,FALSE),1))),0))</f>
        <v>2</v>
      </c>
      <c r="K574" s="2" t="str">
        <f>IF('Base S1'!D74="","",'Base S1'!D74)</f>
        <v>h</v>
      </c>
      <c r="L574" s="2">
        <f t="shared" si="104"/>
        <v>1</v>
      </c>
      <c r="M574" s="2">
        <f t="shared" si="105"/>
        <v>0</v>
      </c>
      <c r="N574" s="2">
        <f t="shared" si="106"/>
        <v>1</v>
      </c>
      <c r="O574" s="2">
        <f t="shared" si="107"/>
        <v>0</v>
      </c>
      <c r="P574" s="112">
        <f t="shared" si="108"/>
        <v>2</v>
      </c>
      <c r="Q574" s="112">
        <f t="shared" si="109"/>
        <v>0</v>
      </c>
      <c r="R574" s="53"/>
      <c r="S574" s="53" t="str">
        <f t="shared" si="110"/>
        <v>Base S1|Red Parallel - Season 1|73|Red</v>
      </c>
      <c r="T574" s="57" t="str">
        <f>IF($S574="","",IFERROR(VLOOKUP($S574,'Pop Estimates (Non-#d)'!$N$2:$O$500,2,FALSE),""))</f>
        <v/>
      </c>
      <c r="U574" s="57" t="str">
        <f t="shared" si="111"/>
        <v/>
      </c>
      <c r="V574" s="53" t="str">
        <f t="shared" si="112"/>
        <v/>
      </c>
      <c r="W574" s="53" t="str">
        <f t="shared" si="113"/>
        <v/>
      </c>
      <c r="X574" s="53" t="str">
        <f t="shared" si="114"/>
        <v/>
      </c>
      <c r="Y574" s="57" t="str">
        <f>IF($X574="","",IFERROR(VLOOKUP($X574,'Char Popularity'!$A$2:$C$500,2,FALSE),""))</f>
        <v/>
      </c>
      <c r="Z574" s="56">
        <f>IF($X574="",1,IFERROR(VLOOKUP($X574,'Char Popularity'!$A$2:$C$500,3,FALSE),1))</f>
        <v>1</v>
      </c>
      <c r="AA574" s="62">
        <f>IF($H574&lt;&gt;"Y",0,(IF($F574&lt;&gt;"",ROUND(Dashboard!$R$4/$F574,1),IF(AND($I574="Base",$E574="Base"),Dashboard!$R$5,IF(AND($I574="Base",$E574="Red"),Dashboard!$R$6,IF(AND($I574="Base",$E574="Gold"),Dashboard!$R$7,VLOOKUP($I574,Dashboard!$Q$16:$R$21,2,FALSE)))))*VLOOKUP($I574,Dashboard!$Q$9:$R$13,2,FALSE)*IF(AND($I574="Auto",$F574="",OR($B574="Autographs Duals",$B574="Autographs Triples",$B574="Autographs Quads",$B574="Autographs Quads (Inscribed)")),IF($B574="Autographs Duals",2,IF($B574="Autographs Triples",3,4)),1)))</f>
        <v>2</v>
      </c>
      <c r="AB574" s="62">
        <f t="shared" si="115"/>
        <v>2</v>
      </c>
      <c r="AC574" s="62">
        <f t="shared" si="116"/>
        <v>0</v>
      </c>
    </row>
    <row r="575" spans="1:29" ht="28.7" customHeight="1" x14ac:dyDescent="0.25">
      <c r="A575" s="4" t="s">
        <v>17</v>
      </c>
      <c r="B575" s="7" t="s">
        <v>63</v>
      </c>
      <c r="C575" s="2" t="s">
        <v>1473</v>
      </c>
      <c r="D575" s="7" t="s">
        <v>987</v>
      </c>
      <c r="E575" s="4" t="s">
        <v>823</v>
      </c>
      <c r="F575" s="2"/>
      <c r="G575" s="2" t="s">
        <v>1399</v>
      </c>
      <c r="H575" s="2" t="s">
        <v>1400</v>
      </c>
      <c r="I575" s="4" t="s">
        <v>60</v>
      </c>
      <c r="J575" s="112">
        <f>IF($H575&lt;&gt;"Y",0,ROUND(MIN(Dashboard!$R$24,IF(IFERROR(VLOOKUP($B575,Dashboard!$Q$28:$S$60,2,FALSE),0)&gt;0,IFERROR(VLOOKUP($B575,Dashboard!$Q$28:$S$60,2,FALSE),0),$Z575*IF($U575&lt;&gt;"",ROUND((Dashboard!$R$4/$U575)*VLOOKUP($I575,Dashboard!$Q$9:$R$13,2,FALSE)*IF(ISNUMBER(SEARCH("Duals",$B575)),2,IF(ISNUMBER(SEARCH("Triples",$B575)),3,IF(ISNUMBER(SEARCH("Quads",$B575)),4,1))),2),ROUND(VLOOKUP($I575,Dashboard!$Q$15:$R$20,2,FALSE)*IF($E575="Red",Dashboard!$R$6,IF($E575="Gold",Dashboard!$R$7,Dashboard!$R$5))*IF(ISNUMBER(SEARCH("Duals",$B575)),2,IF(ISNUMBER(SEARCH("Triples",$B575)),3,IF(ISNUMBER(SEARCH("Quads",$B575)),4,1))),2))*IF(IFERROR(VLOOKUP($B575,Dashboard!$Q$28:$S$60,3,FALSE),0)&gt;0,VLOOKUP($B575,Dashboard!$Q$28:$S$60,3,FALSE),1))),0))</f>
        <v>2</v>
      </c>
      <c r="K575" s="2" t="str">
        <f>IF('Base S1'!D75="","",'Base S1'!D75)</f>
        <v>h</v>
      </c>
      <c r="L575" s="2">
        <f t="shared" si="104"/>
        <v>1</v>
      </c>
      <c r="M575" s="2">
        <f t="shared" si="105"/>
        <v>0</v>
      </c>
      <c r="N575" s="2">
        <f t="shared" si="106"/>
        <v>1</v>
      </c>
      <c r="O575" s="2">
        <f t="shared" si="107"/>
        <v>0</v>
      </c>
      <c r="P575" s="112">
        <f t="shared" si="108"/>
        <v>2</v>
      </c>
      <c r="Q575" s="112">
        <f t="shared" si="109"/>
        <v>0</v>
      </c>
      <c r="R575" s="53"/>
      <c r="S575" s="53" t="str">
        <f t="shared" si="110"/>
        <v>Base S1|Red Parallel - Season 1|74|Red</v>
      </c>
      <c r="T575" s="57" t="str">
        <f>IF($S575="","",IFERROR(VLOOKUP($S575,'Pop Estimates (Non-#d)'!$N$2:$O$500,2,FALSE),""))</f>
        <v/>
      </c>
      <c r="U575" s="57" t="str">
        <f t="shared" si="111"/>
        <v/>
      </c>
      <c r="V575" s="53" t="str">
        <f t="shared" si="112"/>
        <v/>
      </c>
      <c r="W575" s="53" t="str">
        <f t="shared" si="113"/>
        <v/>
      </c>
      <c r="X575" s="53" t="str">
        <f t="shared" si="114"/>
        <v/>
      </c>
      <c r="Y575" s="57" t="str">
        <f>IF($X575="","",IFERROR(VLOOKUP($X575,'Char Popularity'!$A$2:$C$500,2,FALSE),""))</f>
        <v/>
      </c>
      <c r="Z575" s="56">
        <f>IF($X575="",1,IFERROR(VLOOKUP($X575,'Char Popularity'!$A$2:$C$500,3,FALSE),1))</f>
        <v>1</v>
      </c>
      <c r="AA575" s="62">
        <f>IF($H575&lt;&gt;"Y",0,(IF($F575&lt;&gt;"",ROUND(Dashboard!$R$4/$F575,1),IF(AND($I575="Base",$E575="Base"),Dashboard!$R$5,IF(AND($I575="Base",$E575="Red"),Dashboard!$R$6,IF(AND($I575="Base",$E575="Gold"),Dashboard!$R$7,VLOOKUP($I575,Dashboard!$Q$16:$R$21,2,FALSE)))))*VLOOKUP($I575,Dashboard!$Q$9:$R$13,2,FALSE)*IF(AND($I575="Auto",$F575="",OR($B575="Autographs Duals",$B575="Autographs Triples",$B575="Autographs Quads",$B575="Autographs Quads (Inscribed)")),IF($B575="Autographs Duals",2,IF($B575="Autographs Triples",3,4)),1)))</f>
        <v>2</v>
      </c>
      <c r="AB575" s="62">
        <f t="shared" si="115"/>
        <v>2</v>
      </c>
      <c r="AC575" s="62">
        <f t="shared" si="116"/>
        <v>0</v>
      </c>
    </row>
    <row r="576" spans="1:29" ht="28.7" customHeight="1" x14ac:dyDescent="0.25">
      <c r="A576" s="4" t="s">
        <v>17</v>
      </c>
      <c r="B576" s="7" t="s">
        <v>63</v>
      </c>
      <c r="C576" s="2" t="s">
        <v>1474</v>
      </c>
      <c r="D576" s="7" t="s">
        <v>989</v>
      </c>
      <c r="E576" s="4" t="s">
        <v>823</v>
      </c>
      <c r="F576" s="2"/>
      <c r="G576" s="2" t="s">
        <v>1399</v>
      </c>
      <c r="H576" s="2" t="s">
        <v>1400</v>
      </c>
      <c r="I576" s="4" t="s">
        <v>60</v>
      </c>
      <c r="J576" s="112">
        <f>IF($H576&lt;&gt;"Y",0,ROUND(MIN(Dashboard!$R$24,IF(IFERROR(VLOOKUP($B576,Dashboard!$Q$28:$S$60,2,FALSE),0)&gt;0,IFERROR(VLOOKUP($B576,Dashboard!$Q$28:$S$60,2,FALSE),0),$Z576*IF($U576&lt;&gt;"",ROUND((Dashboard!$R$4/$U576)*VLOOKUP($I576,Dashboard!$Q$9:$R$13,2,FALSE)*IF(ISNUMBER(SEARCH("Duals",$B576)),2,IF(ISNUMBER(SEARCH("Triples",$B576)),3,IF(ISNUMBER(SEARCH("Quads",$B576)),4,1))),2),ROUND(VLOOKUP($I576,Dashboard!$Q$15:$R$20,2,FALSE)*IF($E576="Red",Dashboard!$R$6,IF($E576="Gold",Dashboard!$R$7,Dashboard!$R$5))*IF(ISNUMBER(SEARCH("Duals",$B576)),2,IF(ISNUMBER(SEARCH("Triples",$B576)),3,IF(ISNUMBER(SEARCH("Quads",$B576)),4,1))),2))*IF(IFERROR(VLOOKUP($B576,Dashboard!$Q$28:$S$60,3,FALSE),0)&gt;0,VLOOKUP($B576,Dashboard!$Q$28:$S$60,3,FALSE),1))),0))</f>
        <v>2</v>
      </c>
      <c r="K576" s="2" t="str">
        <f>IF('Base S1'!D76="","",'Base S1'!D76)</f>
        <v>h</v>
      </c>
      <c r="L576" s="2">
        <f t="shared" si="104"/>
        <v>1</v>
      </c>
      <c r="M576" s="2">
        <f t="shared" si="105"/>
        <v>0</v>
      </c>
      <c r="N576" s="2">
        <f t="shared" si="106"/>
        <v>1</v>
      </c>
      <c r="O576" s="2">
        <f t="shared" si="107"/>
        <v>0</v>
      </c>
      <c r="P576" s="112">
        <f t="shared" si="108"/>
        <v>2</v>
      </c>
      <c r="Q576" s="112">
        <f t="shared" si="109"/>
        <v>0</v>
      </c>
      <c r="R576" s="53"/>
      <c r="S576" s="53" t="str">
        <f t="shared" si="110"/>
        <v>Base S1|Red Parallel - Season 1|75|Red</v>
      </c>
      <c r="T576" s="57" t="str">
        <f>IF($S576="","",IFERROR(VLOOKUP($S576,'Pop Estimates (Non-#d)'!$N$2:$O$500,2,FALSE),""))</f>
        <v/>
      </c>
      <c r="U576" s="57" t="str">
        <f t="shared" si="111"/>
        <v/>
      </c>
      <c r="V576" s="53" t="str">
        <f t="shared" si="112"/>
        <v/>
      </c>
      <c r="W576" s="53" t="str">
        <f t="shared" si="113"/>
        <v/>
      </c>
      <c r="X576" s="53" t="str">
        <f t="shared" si="114"/>
        <v/>
      </c>
      <c r="Y576" s="57" t="str">
        <f>IF($X576="","",IFERROR(VLOOKUP($X576,'Char Popularity'!$A$2:$C$500,2,FALSE),""))</f>
        <v/>
      </c>
      <c r="Z576" s="56">
        <f>IF($X576="",1,IFERROR(VLOOKUP($X576,'Char Popularity'!$A$2:$C$500,3,FALSE),1))</f>
        <v>1</v>
      </c>
      <c r="AA576" s="62">
        <f>IF($H576&lt;&gt;"Y",0,(IF($F576&lt;&gt;"",ROUND(Dashboard!$R$4/$F576,1),IF(AND($I576="Base",$E576="Base"),Dashboard!$R$5,IF(AND($I576="Base",$E576="Red"),Dashboard!$R$6,IF(AND($I576="Base",$E576="Gold"),Dashboard!$R$7,VLOOKUP($I576,Dashboard!$Q$16:$R$21,2,FALSE)))))*VLOOKUP($I576,Dashboard!$Q$9:$R$13,2,FALSE)*IF(AND($I576="Auto",$F576="",OR($B576="Autographs Duals",$B576="Autographs Triples",$B576="Autographs Quads",$B576="Autographs Quads (Inscribed)")),IF($B576="Autographs Duals",2,IF($B576="Autographs Triples",3,4)),1)))</f>
        <v>2</v>
      </c>
      <c r="AB576" s="62">
        <f t="shared" si="115"/>
        <v>2</v>
      </c>
      <c r="AC576" s="62">
        <f t="shared" si="116"/>
        <v>0</v>
      </c>
    </row>
    <row r="577" spans="1:29" ht="28.7" customHeight="1" x14ac:dyDescent="0.25">
      <c r="A577" s="4" t="s">
        <v>17</v>
      </c>
      <c r="B577" s="7" t="s">
        <v>63</v>
      </c>
      <c r="C577" s="2" t="s">
        <v>1475</v>
      </c>
      <c r="D577" s="7" t="s">
        <v>991</v>
      </c>
      <c r="E577" s="4" t="s">
        <v>823</v>
      </c>
      <c r="F577" s="2"/>
      <c r="G577" s="2" t="s">
        <v>1399</v>
      </c>
      <c r="H577" s="2" t="s">
        <v>1400</v>
      </c>
      <c r="I577" s="4" t="s">
        <v>60</v>
      </c>
      <c r="J577" s="112">
        <f>IF($H577&lt;&gt;"Y",0,ROUND(MIN(Dashboard!$R$24,IF(IFERROR(VLOOKUP($B577,Dashboard!$Q$28:$S$60,2,FALSE),0)&gt;0,IFERROR(VLOOKUP($B577,Dashboard!$Q$28:$S$60,2,FALSE),0),$Z577*IF($U577&lt;&gt;"",ROUND((Dashboard!$R$4/$U577)*VLOOKUP($I577,Dashboard!$Q$9:$R$13,2,FALSE)*IF(ISNUMBER(SEARCH("Duals",$B577)),2,IF(ISNUMBER(SEARCH("Triples",$B577)),3,IF(ISNUMBER(SEARCH("Quads",$B577)),4,1))),2),ROUND(VLOOKUP($I577,Dashboard!$Q$15:$R$20,2,FALSE)*IF($E577="Red",Dashboard!$R$6,IF($E577="Gold",Dashboard!$R$7,Dashboard!$R$5))*IF(ISNUMBER(SEARCH("Duals",$B577)),2,IF(ISNUMBER(SEARCH("Triples",$B577)),3,IF(ISNUMBER(SEARCH("Quads",$B577)),4,1))),2))*IF(IFERROR(VLOOKUP($B577,Dashboard!$Q$28:$S$60,3,FALSE),0)&gt;0,VLOOKUP($B577,Dashboard!$Q$28:$S$60,3,FALSE),1))),0))</f>
        <v>2</v>
      </c>
      <c r="K577" s="2" t="str">
        <f>IF('Base S1'!D77="","",'Base S1'!D77)</f>
        <v>h</v>
      </c>
      <c r="L577" s="2">
        <f t="shared" si="104"/>
        <v>1</v>
      </c>
      <c r="M577" s="2">
        <f t="shared" si="105"/>
        <v>0</v>
      </c>
      <c r="N577" s="2">
        <f t="shared" si="106"/>
        <v>1</v>
      </c>
      <c r="O577" s="2">
        <f t="shared" si="107"/>
        <v>0</v>
      </c>
      <c r="P577" s="112">
        <f t="shared" si="108"/>
        <v>2</v>
      </c>
      <c r="Q577" s="112">
        <f t="shared" si="109"/>
        <v>0</v>
      </c>
      <c r="R577" s="53"/>
      <c r="S577" s="53" t="str">
        <f t="shared" si="110"/>
        <v>Base S1|Red Parallel - Season 1|76|Red</v>
      </c>
      <c r="T577" s="57" t="str">
        <f>IF($S577="","",IFERROR(VLOOKUP($S577,'Pop Estimates (Non-#d)'!$N$2:$O$500,2,FALSE),""))</f>
        <v/>
      </c>
      <c r="U577" s="57" t="str">
        <f t="shared" si="111"/>
        <v/>
      </c>
      <c r="V577" s="53" t="str">
        <f t="shared" si="112"/>
        <v/>
      </c>
      <c r="W577" s="53" t="str">
        <f t="shared" si="113"/>
        <v/>
      </c>
      <c r="X577" s="53" t="str">
        <f t="shared" si="114"/>
        <v/>
      </c>
      <c r="Y577" s="57" t="str">
        <f>IF($X577="","",IFERROR(VLOOKUP($X577,'Char Popularity'!$A$2:$C$500,2,FALSE),""))</f>
        <v/>
      </c>
      <c r="Z577" s="56">
        <f>IF($X577="",1,IFERROR(VLOOKUP($X577,'Char Popularity'!$A$2:$C$500,3,FALSE),1))</f>
        <v>1</v>
      </c>
      <c r="AA577" s="62">
        <f>IF($H577&lt;&gt;"Y",0,(IF($F577&lt;&gt;"",ROUND(Dashboard!$R$4/$F577,1),IF(AND($I577="Base",$E577="Base"),Dashboard!$R$5,IF(AND($I577="Base",$E577="Red"),Dashboard!$R$6,IF(AND($I577="Base",$E577="Gold"),Dashboard!$R$7,VLOOKUP($I577,Dashboard!$Q$16:$R$21,2,FALSE)))))*VLOOKUP($I577,Dashboard!$Q$9:$R$13,2,FALSE)*IF(AND($I577="Auto",$F577="",OR($B577="Autographs Duals",$B577="Autographs Triples",$B577="Autographs Quads",$B577="Autographs Quads (Inscribed)")),IF($B577="Autographs Duals",2,IF($B577="Autographs Triples",3,4)),1)))</f>
        <v>2</v>
      </c>
      <c r="AB577" s="62">
        <f t="shared" si="115"/>
        <v>2</v>
      </c>
      <c r="AC577" s="62">
        <f t="shared" si="116"/>
        <v>0</v>
      </c>
    </row>
    <row r="578" spans="1:29" ht="28.7" customHeight="1" x14ac:dyDescent="0.25">
      <c r="A578" s="4" t="s">
        <v>17</v>
      </c>
      <c r="B578" s="7" t="s">
        <v>63</v>
      </c>
      <c r="C578" s="2" t="s">
        <v>1476</v>
      </c>
      <c r="D578" s="7" t="s">
        <v>993</v>
      </c>
      <c r="E578" s="4" t="s">
        <v>823</v>
      </c>
      <c r="F578" s="2"/>
      <c r="G578" s="2" t="s">
        <v>1399</v>
      </c>
      <c r="H578" s="2" t="s">
        <v>1400</v>
      </c>
      <c r="I578" s="4" t="s">
        <v>60</v>
      </c>
      <c r="J578" s="112">
        <f>IF($H578&lt;&gt;"Y",0,ROUND(MIN(Dashboard!$R$24,IF(IFERROR(VLOOKUP($B578,Dashboard!$Q$28:$S$60,2,FALSE),0)&gt;0,IFERROR(VLOOKUP($B578,Dashboard!$Q$28:$S$60,2,FALSE),0),$Z578*IF($U578&lt;&gt;"",ROUND((Dashboard!$R$4/$U578)*VLOOKUP($I578,Dashboard!$Q$9:$R$13,2,FALSE)*IF(ISNUMBER(SEARCH("Duals",$B578)),2,IF(ISNUMBER(SEARCH("Triples",$B578)),3,IF(ISNUMBER(SEARCH("Quads",$B578)),4,1))),2),ROUND(VLOOKUP($I578,Dashboard!$Q$15:$R$20,2,FALSE)*IF($E578="Red",Dashboard!$R$6,IF($E578="Gold",Dashboard!$R$7,Dashboard!$R$5))*IF(ISNUMBER(SEARCH("Duals",$B578)),2,IF(ISNUMBER(SEARCH("Triples",$B578)),3,IF(ISNUMBER(SEARCH("Quads",$B578)),4,1))),2))*IF(IFERROR(VLOOKUP($B578,Dashboard!$Q$28:$S$60,3,FALSE),0)&gt;0,VLOOKUP($B578,Dashboard!$Q$28:$S$60,3,FALSE),1))),0))</f>
        <v>2</v>
      </c>
      <c r="K578" s="2" t="str">
        <f>IF('Base S1'!D78="","",'Base S1'!D78)</f>
        <v>h</v>
      </c>
      <c r="L578" s="2">
        <f t="shared" ref="L578:L641" si="117">IF(AND($K578&lt;&gt;"",LEFT($K578,1)&lt;&gt;"Y"),1,0)</f>
        <v>1</v>
      </c>
      <c r="M578" s="2">
        <f t="shared" ref="M578:M641" si="118">IF(LEFT($K578,1)="Y",1,0)</f>
        <v>0</v>
      </c>
      <c r="N578" s="2">
        <f t="shared" ref="N578:N641" si="119">$L578+$M578</f>
        <v>1</v>
      </c>
      <c r="O578" s="2">
        <f t="shared" ref="O578:O641" si="120">IF($H578="Y",1-$N578,0)</f>
        <v>0</v>
      </c>
      <c r="P578" s="112">
        <f t="shared" ref="P578:P641" si="121">IF($L578=1,$J578,0)</f>
        <v>2</v>
      </c>
      <c r="Q578" s="112">
        <f t="shared" ref="Q578:Q641" si="122">IF($M578=1,$J578,0)</f>
        <v>0</v>
      </c>
      <c r="R578" s="53"/>
      <c r="S578" s="53" t="str">
        <f t="shared" ref="S578:S641" si="123">IF($A578="","",$A578&amp;"|"&amp;$B578&amp;"|"&amp;$C578&amp;"|"&amp;$E578)</f>
        <v>Base S1|Red Parallel - Season 1|77|Red</v>
      </c>
      <c r="T578" s="57" t="str">
        <f>IF($S578="","",IFERROR(VLOOKUP($S578,'Pop Estimates (Non-#d)'!$N$2:$O$500,2,FALSE),""))</f>
        <v/>
      </c>
      <c r="U578" s="57" t="str">
        <f t="shared" ref="U578:U641" si="124">IF($A578="","",IF($F578&lt;&gt;"",$F578,$T578))</f>
        <v/>
      </c>
      <c r="V578" s="53" t="str">
        <f t="shared" ref="V578:V641" si="125">IF($A578="","",IF(ISNUMBER(SEARCH(" as ",$D578)),MID($D578,SEARCH(" as ",$D578)+4,255),IF(ISNUMBER(SEARCH("/",$D578)),LEFT($D578,FIND("/",$D578&amp;"/")-1),"")))</f>
        <v/>
      </c>
      <c r="W578" s="53" t="str">
        <f t="shared" ref="W578:W641" si="126">IF($V578="","",TRIM(IFERROR(MID($V578,SEARCH("(", $V578)+1,SEARCH(")",$V578)-SEARCH("(", $V578)-1),$V578)))</f>
        <v/>
      </c>
      <c r="X578" s="53" t="str">
        <f t="shared" ref="X578:X641" si="127">IF($W578="","",TRIM(LEFT($W578&amp;"""",FIND("""",$W578&amp;"""")-1)))</f>
        <v/>
      </c>
      <c r="Y578" s="57" t="str">
        <f>IF($X578="","",IFERROR(VLOOKUP($X578,'Char Popularity'!$A$2:$C$500,2,FALSE),""))</f>
        <v/>
      </c>
      <c r="Z578" s="56">
        <f>IF($X578="",1,IFERROR(VLOOKUP($X578,'Char Popularity'!$A$2:$C$500,3,FALSE),1))</f>
        <v>1</v>
      </c>
      <c r="AA578" s="62">
        <f>IF($H578&lt;&gt;"Y",0,(IF($F578&lt;&gt;"",ROUND(Dashboard!$R$4/$F578,1),IF(AND($I578="Base",$E578="Base"),Dashboard!$R$5,IF(AND($I578="Base",$E578="Red"),Dashboard!$R$6,IF(AND($I578="Base",$E578="Gold"),Dashboard!$R$7,VLOOKUP($I578,Dashboard!$Q$16:$R$21,2,FALSE)))))*VLOOKUP($I578,Dashboard!$Q$9:$R$13,2,FALSE)*IF(AND($I578="Auto",$F578="",OR($B578="Autographs Duals",$B578="Autographs Triples",$B578="Autographs Quads",$B578="Autographs Quads (Inscribed)")),IF($B578="Autographs Duals",2,IF($B578="Autographs Triples",3,4)),1)))</f>
        <v>2</v>
      </c>
      <c r="AB578" s="62">
        <f t="shared" ref="AB578:AB641" si="128">IF($L578=1,$AA578,0)</f>
        <v>2</v>
      </c>
      <c r="AC578" s="62">
        <f t="shared" ref="AC578:AC641" si="129">IF($M578=1,$AA578,0)</f>
        <v>0</v>
      </c>
    </row>
    <row r="579" spans="1:29" ht="28.7" customHeight="1" x14ac:dyDescent="0.25">
      <c r="A579" s="4" t="s">
        <v>17</v>
      </c>
      <c r="B579" s="7" t="s">
        <v>63</v>
      </c>
      <c r="C579" s="2" t="s">
        <v>1477</v>
      </c>
      <c r="D579" s="7" t="s">
        <v>995</v>
      </c>
      <c r="E579" s="4" t="s">
        <v>823</v>
      </c>
      <c r="F579" s="2"/>
      <c r="G579" s="2" t="s">
        <v>1399</v>
      </c>
      <c r="H579" s="2" t="s">
        <v>1400</v>
      </c>
      <c r="I579" s="4" t="s">
        <v>60</v>
      </c>
      <c r="J579" s="112">
        <f>IF($H579&lt;&gt;"Y",0,ROUND(MIN(Dashboard!$R$24,IF(IFERROR(VLOOKUP($B579,Dashboard!$Q$28:$S$60,2,FALSE),0)&gt;0,IFERROR(VLOOKUP($B579,Dashboard!$Q$28:$S$60,2,FALSE),0),$Z579*IF($U579&lt;&gt;"",ROUND((Dashboard!$R$4/$U579)*VLOOKUP($I579,Dashboard!$Q$9:$R$13,2,FALSE)*IF(ISNUMBER(SEARCH("Duals",$B579)),2,IF(ISNUMBER(SEARCH("Triples",$B579)),3,IF(ISNUMBER(SEARCH("Quads",$B579)),4,1))),2),ROUND(VLOOKUP($I579,Dashboard!$Q$15:$R$20,2,FALSE)*IF($E579="Red",Dashboard!$R$6,IF($E579="Gold",Dashboard!$R$7,Dashboard!$R$5))*IF(ISNUMBER(SEARCH("Duals",$B579)),2,IF(ISNUMBER(SEARCH("Triples",$B579)),3,IF(ISNUMBER(SEARCH("Quads",$B579)),4,1))),2))*IF(IFERROR(VLOOKUP($B579,Dashboard!$Q$28:$S$60,3,FALSE),0)&gt;0,VLOOKUP($B579,Dashboard!$Q$28:$S$60,3,FALSE),1))),0))</f>
        <v>2</v>
      </c>
      <c r="K579" s="2" t="str">
        <f>IF('Base S1'!D79="","",'Base S1'!D79)</f>
        <v>h</v>
      </c>
      <c r="L579" s="2">
        <f t="shared" si="117"/>
        <v>1</v>
      </c>
      <c r="M579" s="2">
        <f t="shared" si="118"/>
        <v>0</v>
      </c>
      <c r="N579" s="2">
        <f t="shared" si="119"/>
        <v>1</v>
      </c>
      <c r="O579" s="2">
        <f t="shared" si="120"/>
        <v>0</v>
      </c>
      <c r="P579" s="112">
        <f t="shared" si="121"/>
        <v>2</v>
      </c>
      <c r="Q579" s="112">
        <f t="shared" si="122"/>
        <v>0</v>
      </c>
      <c r="R579" s="53"/>
      <c r="S579" s="53" t="str">
        <f t="shared" si="123"/>
        <v>Base S1|Red Parallel - Season 1|78|Red</v>
      </c>
      <c r="T579" s="57" t="str">
        <f>IF($S579="","",IFERROR(VLOOKUP($S579,'Pop Estimates (Non-#d)'!$N$2:$O$500,2,FALSE),""))</f>
        <v/>
      </c>
      <c r="U579" s="57" t="str">
        <f t="shared" si="124"/>
        <v/>
      </c>
      <c r="V579" s="53" t="str">
        <f t="shared" si="125"/>
        <v/>
      </c>
      <c r="W579" s="53" t="str">
        <f t="shared" si="126"/>
        <v/>
      </c>
      <c r="X579" s="53" t="str">
        <f t="shared" si="127"/>
        <v/>
      </c>
      <c r="Y579" s="57" t="str">
        <f>IF($X579="","",IFERROR(VLOOKUP($X579,'Char Popularity'!$A$2:$C$500,2,FALSE),""))</f>
        <v/>
      </c>
      <c r="Z579" s="56">
        <f>IF($X579="",1,IFERROR(VLOOKUP($X579,'Char Popularity'!$A$2:$C$500,3,FALSE),1))</f>
        <v>1</v>
      </c>
      <c r="AA579" s="62">
        <f>IF($H579&lt;&gt;"Y",0,(IF($F579&lt;&gt;"",ROUND(Dashboard!$R$4/$F579,1),IF(AND($I579="Base",$E579="Base"),Dashboard!$R$5,IF(AND($I579="Base",$E579="Red"),Dashboard!$R$6,IF(AND($I579="Base",$E579="Gold"),Dashboard!$R$7,VLOOKUP($I579,Dashboard!$Q$16:$R$21,2,FALSE)))))*VLOOKUP($I579,Dashboard!$Q$9:$R$13,2,FALSE)*IF(AND($I579="Auto",$F579="",OR($B579="Autographs Duals",$B579="Autographs Triples",$B579="Autographs Quads",$B579="Autographs Quads (Inscribed)")),IF($B579="Autographs Duals",2,IF($B579="Autographs Triples",3,4)),1)))</f>
        <v>2</v>
      </c>
      <c r="AB579" s="62">
        <f t="shared" si="128"/>
        <v>2</v>
      </c>
      <c r="AC579" s="62">
        <f t="shared" si="129"/>
        <v>0</v>
      </c>
    </row>
    <row r="580" spans="1:29" ht="28.7" customHeight="1" x14ac:dyDescent="0.25">
      <c r="A580" s="4" t="s">
        <v>17</v>
      </c>
      <c r="B580" s="7" t="s">
        <v>63</v>
      </c>
      <c r="C580" s="2" t="s">
        <v>1478</v>
      </c>
      <c r="D580" s="7" t="s">
        <v>998</v>
      </c>
      <c r="E580" s="4" t="s">
        <v>823</v>
      </c>
      <c r="F580" s="2"/>
      <c r="G580" s="2" t="s">
        <v>1399</v>
      </c>
      <c r="H580" s="2" t="s">
        <v>1400</v>
      </c>
      <c r="I580" s="4" t="s">
        <v>60</v>
      </c>
      <c r="J580" s="112">
        <f>IF($H580&lt;&gt;"Y",0,ROUND(MIN(Dashboard!$R$24,IF(IFERROR(VLOOKUP($B580,Dashboard!$Q$28:$S$60,2,FALSE),0)&gt;0,IFERROR(VLOOKUP($B580,Dashboard!$Q$28:$S$60,2,FALSE),0),$Z580*IF($U580&lt;&gt;"",ROUND((Dashboard!$R$4/$U580)*VLOOKUP($I580,Dashboard!$Q$9:$R$13,2,FALSE)*IF(ISNUMBER(SEARCH("Duals",$B580)),2,IF(ISNUMBER(SEARCH("Triples",$B580)),3,IF(ISNUMBER(SEARCH("Quads",$B580)),4,1))),2),ROUND(VLOOKUP($I580,Dashboard!$Q$15:$R$20,2,FALSE)*IF($E580="Red",Dashboard!$R$6,IF($E580="Gold",Dashboard!$R$7,Dashboard!$R$5))*IF(ISNUMBER(SEARCH("Duals",$B580)),2,IF(ISNUMBER(SEARCH("Triples",$B580)),3,IF(ISNUMBER(SEARCH("Quads",$B580)),4,1))),2))*IF(IFERROR(VLOOKUP($B580,Dashboard!$Q$28:$S$60,3,FALSE),0)&gt;0,VLOOKUP($B580,Dashboard!$Q$28:$S$60,3,FALSE),1))),0))</f>
        <v>2</v>
      </c>
      <c r="K580" s="2" t="str">
        <f>IF('Base S1'!D80="","",'Base S1'!D80)</f>
        <v>h</v>
      </c>
      <c r="L580" s="2">
        <f t="shared" si="117"/>
        <v>1</v>
      </c>
      <c r="M580" s="2">
        <f t="shared" si="118"/>
        <v>0</v>
      </c>
      <c r="N580" s="2">
        <f t="shared" si="119"/>
        <v>1</v>
      </c>
      <c r="O580" s="2">
        <f t="shared" si="120"/>
        <v>0</v>
      </c>
      <c r="P580" s="112">
        <f t="shared" si="121"/>
        <v>2</v>
      </c>
      <c r="Q580" s="112">
        <f t="shared" si="122"/>
        <v>0</v>
      </c>
      <c r="R580" s="53"/>
      <c r="S580" s="53" t="str">
        <f t="shared" si="123"/>
        <v>Base S1|Red Parallel - Season 1|79|Red</v>
      </c>
      <c r="T580" s="57" t="str">
        <f>IF($S580="","",IFERROR(VLOOKUP($S580,'Pop Estimates (Non-#d)'!$N$2:$O$500,2,FALSE),""))</f>
        <v/>
      </c>
      <c r="U580" s="57" t="str">
        <f t="shared" si="124"/>
        <v/>
      </c>
      <c r="V580" s="53" t="str">
        <f t="shared" si="125"/>
        <v/>
      </c>
      <c r="W580" s="53" t="str">
        <f t="shared" si="126"/>
        <v/>
      </c>
      <c r="X580" s="53" t="str">
        <f t="shared" si="127"/>
        <v/>
      </c>
      <c r="Y580" s="57" t="str">
        <f>IF($X580="","",IFERROR(VLOOKUP($X580,'Char Popularity'!$A$2:$C$500,2,FALSE),""))</f>
        <v/>
      </c>
      <c r="Z580" s="56">
        <f>IF($X580="",1,IFERROR(VLOOKUP($X580,'Char Popularity'!$A$2:$C$500,3,FALSE),1))</f>
        <v>1</v>
      </c>
      <c r="AA580" s="62">
        <f>IF($H580&lt;&gt;"Y",0,(IF($F580&lt;&gt;"",ROUND(Dashboard!$R$4/$F580,1),IF(AND($I580="Base",$E580="Base"),Dashboard!$R$5,IF(AND($I580="Base",$E580="Red"),Dashboard!$R$6,IF(AND($I580="Base",$E580="Gold"),Dashboard!$R$7,VLOOKUP($I580,Dashboard!$Q$16:$R$21,2,FALSE)))))*VLOOKUP($I580,Dashboard!$Q$9:$R$13,2,FALSE)*IF(AND($I580="Auto",$F580="",OR($B580="Autographs Duals",$B580="Autographs Triples",$B580="Autographs Quads",$B580="Autographs Quads (Inscribed)")),IF($B580="Autographs Duals",2,IF($B580="Autographs Triples",3,4)),1)))</f>
        <v>2</v>
      </c>
      <c r="AB580" s="62">
        <f t="shared" si="128"/>
        <v>2</v>
      </c>
      <c r="AC580" s="62">
        <f t="shared" si="129"/>
        <v>0</v>
      </c>
    </row>
    <row r="581" spans="1:29" ht="28.7" customHeight="1" x14ac:dyDescent="0.25">
      <c r="A581" s="4" t="s">
        <v>17</v>
      </c>
      <c r="B581" s="7" t="s">
        <v>63</v>
      </c>
      <c r="C581" s="2" t="s">
        <v>1479</v>
      </c>
      <c r="D581" s="7" t="s">
        <v>1000</v>
      </c>
      <c r="E581" s="4" t="s">
        <v>823</v>
      </c>
      <c r="F581" s="2"/>
      <c r="G581" s="2" t="s">
        <v>1399</v>
      </c>
      <c r="H581" s="2" t="s">
        <v>1400</v>
      </c>
      <c r="I581" s="4" t="s">
        <v>60</v>
      </c>
      <c r="J581" s="112">
        <f>IF($H581&lt;&gt;"Y",0,ROUND(MIN(Dashboard!$R$24,IF(IFERROR(VLOOKUP($B581,Dashboard!$Q$28:$S$60,2,FALSE),0)&gt;0,IFERROR(VLOOKUP($B581,Dashboard!$Q$28:$S$60,2,FALSE),0),$Z581*IF($U581&lt;&gt;"",ROUND((Dashboard!$R$4/$U581)*VLOOKUP($I581,Dashboard!$Q$9:$R$13,2,FALSE)*IF(ISNUMBER(SEARCH("Duals",$B581)),2,IF(ISNUMBER(SEARCH("Triples",$B581)),3,IF(ISNUMBER(SEARCH("Quads",$B581)),4,1))),2),ROUND(VLOOKUP($I581,Dashboard!$Q$15:$R$20,2,FALSE)*IF($E581="Red",Dashboard!$R$6,IF($E581="Gold",Dashboard!$R$7,Dashboard!$R$5))*IF(ISNUMBER(SEARCH("Duals",$B581)),2,IF(ISNUMBER(SEARCH("Triples",$B581)),3,IF(ISNUMBER(SEARCH("Quads",$B581)),4,1))),2))*IF(IFERROR(VLOOKUP($B581,Dashboard!$Q$28:$S$60,3,FALSE),0)&gt;0,VLOOKUP($B581,Dashboard!$Q$28:$S$60,3,FALSE),1))),0))</f>
        <v>2</v>
      </c>
      <c r="K581" s="2" t="str">
        <f>IF('Base S1'!D81="","",'Base S1'!D81)</f>
        <v>h</v>
      </c>
      <c r="L581" s="2">
        <f t="shared" si="117"/>
        <v>1</v>
      </c>
      <c r="M581" s="2">
        <f t="shared" si="118"/>
        <v>0</v>
      </c>
      <c r="N581" s="2">
        <f t="shared" si="119"/>
        <v>1</v>
      </c>
      <c r="O581" s="2">
        <f t="shared" si="120"/>
        <v>0</v>
      </c>
      <c r="P581" s="112">
        <f t="shared" si="121"/>
        <v>2</v>
      </c>
      <c r="Q581" s="112">
        <f t="shared" si="122"/>
        <v>0</v>
      </c>
      <c r="R581" s="53"/>
      <c r="S581" s="53" t="str">
        <f t="shared" si="123"/>
        <v>Base S1|Red Parallel - Season 1|80|Red</v>
      </c>
      <c r="T581" s="57" t="str">
        <f>IF($S581="","",IFERROR(VLOOKUP($S581,'Pop Estimates (Non-#d)'!$N$2:$O$500,2,FALSE),""))</f>
        <v/>
      </c>
      <c r="U581" s="57" t="str">
        <f t="shared" si="124"/>
        <v/>
      </c>
      <c r="V581" s="53" t="str">
        <f t="shared" si="125"/>
        <v/>
      </c>
      <c r="W581" s="53" t="str">
        <f t="shared" si="126"/>
        <v/>
      </c>
      <c r="X581" s="53" t="str">
        <f t="shared" si="127"/>
        <v/>
      </c>
      <c r="Y581" s="57" t="str">
        <f>IF($X581="","",IFERROR(VLOOKUP($X581,'Char Popularity'!$A$2:$C$500,2,FALSE),""))</f>
        <v/>
      </c>
      <c r="Z581" s="56">
        <f>IF($X581="",1,IFERROR(VLOOKUP($X581,'Char Popularity'!$A$2:$C$500,3,FALSE),1))</f>
        <v>1</v>
      </c>
      <c r="AA581" s="62">
        <f>IF($H581&lt;&gt;"Y",0,(IF($F581&lt;&gt;"",ROUND(Dashboard!$R$4/$F581,1),IF(AND($I581="Base",$E581="Base"),Dashboard!$R$5,IF(AND($I581="Base",$E581="Red"),Dashboard!$R$6,IF(AND($I581="Base",$E581="Gold"),Dashboard!$R$7,VLOOKUP($I581,Dashboard!$Q$16:$R$21,2,FALSE)))))*VLOOKUP($I581,Dashboard!$Q$9:$R$13,2,FALSE)*IF(AND($I581="Auto",$F581="",OR($B581="Autographs Duals",$B581="Autographs Triples",$B581="Autographs Quads",$B581="Autographs Quads (Inscribed)")),IF($B581="Autographs Duals",2,IF($B581="Autographs Triples",3,4)),1)))</f>
        <v>2</v>
      </c>
      <c r="AB581" s="62">
        <f t="shared" si="128"/>
        <v>2</v>
      </c>
      <c r="AC581" s="62">
        <f t="shared" si="129"/>
        <v>0</v>
      </c>
    </row>
    <row r="582" spans="1:29" ht="28.7" customHeight="1" x14ac:dyDescent="0.25">
      <c r="A582" s="4" t="s">
        <v>17</v>
      </c>
      <c r="B582" s="7" t="s">
        <v>63</v>
      </c>
      <c r="C582" s="2" t="s">
        <v>1480</v>
      </c>
      <c r="D582" s="7" t="s">
        <v>1003</v>
      </c>
      <c r="E582" s="4" t="s">
        <v>823</v>
      </c>
      <c r="F582" s="2"/>
      <c r="G582" s="2" t="s">
        <v>1399</v>
      </c>
      <c r="H582" s="2" t="s">
        <v>1400</v>
      </c>
      <c r="I582" s="4" t="s">
        <v>60</v>
      </c>
      <c r="J582" s="112">
        <f>IF($H582&lt;&gt;"Y",0,ROUND(MIN(Dashboard!$R$24,IF(IFERROR(VLOOKUP($B582,Dashboard!$Q$28:$S$60,2,FALSE),0)&gt;0,IFERROR(VLOOKUP($B582,Dashboard!$Q$28:$S$60,2,FALSE),0),$Z582*IF($U582&lt;&gt;"",ROUND((Dashboard!$R$4/$U582)*VLOOKUP($I582,Dashboard!$Q$9:$R$13,2,FALSE)*IF(ISNUMBER(SEARCH("Duals",$B582)),2,IF(ISNUMBER(SEARCH("Triples",$B582)),3,IF(ISNUMBER(SEARCH("Quads",$B582)),4,1))),2),ROUND(VLOOKUP($I582,Dashboard!$Q$15:$R$20,2,FALSE)*IF($E582="Red",Dashboard!$R$6,IF($E582="Gold",Dashboard!$R$7,Dashboard!$R$5))*IF(ISNUMBER(SEARCH("Duals",$B582)),2,IF(ISNUMBER(SEARCH("Triples",$B582)),3,IF(ISNUMBER(SEARCH("Quads",$B582)),4,1))),2))*IF(IFERROR(VLOOKUP($B582,Dashboard!$Q$28:$S$60,3,FALSE),0)&gt;0,VLOOKUP($B582,Dashboard!$Q$28:$S$60,3,FALSE),1))),0))</f>
        <v>2</v>
      </c>
      <c r="K582" s="2" t="str">
        <f>IF('Base S1'!D82="","",'Base S1'!D82)</f>
        <v>h</v>
      </c>
      <c r="L582" s="2">
        <f t="shared" si="117"/>
        <v>1</v>
      </c>
      <c r="M582" s="2">
        <f t="shared" si="118"/>
        <v>0</v>
      </c>
      <c r="N582" s="2">
        <f t="shared" si="119"/>
        <v>1</v>
      </c>
      <c r="O582" s="2">
        <f t="shared" si="120"/>
        <v>0</v>
      </c>
      <c r="P582" s="112">
        <f t="shared" si="121"/>
        <v>2</v>
      </c>
      <c r="Q582" s="112">
        <f t="shared" si="122"/>
        <v>0</v>
      </c>
      <c r="R582" s="53"/>
      <c r="S582" s="53" t="str">
        <f t="shared" si="123"/>
        <v>Base S1|Red Parallel - Season 1|81|Red</v>
      </c>
      <c r="T582" s="57" t="str">
        <f>IF($S582="","",IFERROR(VLOOKUP($S582,'Pop Estimates (Non-#d)'!$N$2:$O$500,2,FALSE),""))</f>
        <v/>
      </c>
      <c r="U582" s="57" t="str">
        <f t="shared" si="124"/>
        <v/>
      </c>
      <c r="V582" s="53" t="str">
        <f t="shared" si="125"/>
        <v/>
      </c>
      <c r="W582" s="53" t="str">
        <f t="shared" si="126"/>
        <v/>
      </c>
      <c r="X582" s="53" t="str">
        <f t="shared" si="127"/>
        <v/>
      </c>
      <c r="Y582" s="57" t="str">
        <f>IF($X582="","",IFERROR(VLOOKUP($X582,'Char Popularity'!$A$2:$C$500,2,FALSE),""))</f>
        <v/>
      </c>
      <c r="Z582" s="56">
        <f>IF($X582="",1,IFERROR(VLOOKUP($X582,'Char Popularity'!$A$2:$C$500,3,FALSE),1))</f>
        <v>1</v>
      </c>
      <c r="AA582" s="62">
        <f>IF($H582&lt;&gt;"Y",0,(IF($F582&lt;&gt;"",ROUND(Dashboard!$R$4/$F582,1),IF(AND($I582="Base",$E582="Base"),Dashboard!$R$5,IF(AND($I582="Base",$E582="Red"),Dashboard!$R$6,IF(AND($I582="Base",$E582="Gold"),Dashboard!$R$7,VLOOKUP($I582,Dashboard!$Q$16:$R$21,2,FALSE)))))*VLOOKUP($I582,Dashboard!$Q$9:$R$13,2,FALSE)*IF(AND($I582="Auto",$F582="",OR($B582="Autographs Duals",$B582="Autographs Triples",$B582="Autographs Quads",$B582="Autographs Quads (Inscribed)")),IF($B582="Autographs Duals",2,IF($B582="Autographs Triples",3,4)),1)))</f>
        <v>2</v>
      </c>
      <c r="AB582" s="62">
        <f t="shared" si="128"/>
        <v>2</v>
      </c>
      <c r="AC582" s="62">
        <f t="shared" si="129"/>
        <v>0</v>
      </c>
    </row>
    <row r="583" spans="1:29" ht="28.7" customHeight="1" x14ac:dyDescent="0.25">
      <c r="A583" s="4" t="s">
        <v>17</v>
      </c>
      <c r="B583" s="7" t="s">
        <v>63</v>
      </c>
      <c r="C583" s="2" t="s">
        <v>1481</v>
      </c>
      <c r="D583" s="7" t="s">
        <v>1005</v>
      </c>
      <c r="E583" s="4" t="s">
        <v>823</v>
      </c>
      <c r="F583" s="2"/>
      <c r="G583" s="2" t="s">
        <v>1399</v>
      </c>
      <c r="H583" s="2" t="s">
        <v>1400</v>
      </c>
      <c r="I583" s="4" t="s">
        <v>60</v>
      </c>
      <c r="J583" s="112">
        <f>IF($H583&lt;&gt;"Y",0,ROUND(MIN(Dashboard!$R$24,IF(IFERROR(VLOOKUP($B583,Dashboard!$Q$28:$S$60,2,FALSE),0)&gt;0,IFERROR(VLOOKUP($B583,Dashboard!$Q$28:$S$60,2,FALSE),0),$Z583*IF($U583&lt;&gt;"",ROUND((Dashboard!$R$4/$U583)*VLOOKUP($I583,Dashboard!$Q$9:$R$13,2,FALSE)*IF(ISNUMBER(SEARCH("Duals",$B583)),2,IF(ISNUMBER(SEARCH("Triples",$B583)),3,IF(ISNUMBER(SEARCH("Quads",$B583)),4,1))),2),ROUND(VLOOKUP($I583,Dashboard!$Q$15:$R$20,2,FALSE)*IF($E583="Red",Dashboard!$R$6,IF($E583="Gold",Dashboard!$R$7,Dashboard!$R$5))*IF(ISNUMBER(SEARCH("Duals",$B583)),2,IF(ISNUMBER(SEARCH("Triples",$B583)),3,IF(ISNUMBER(SEARCH("Quads",$B583)),4,1))),2))*IF(IFERROR(VLOOKUP($B583,Dashboard!$Q$28:$S$60,3,FALSE),0)&gt;0,VLOOKUP($B583,Dashboard!$Q$28:$S$60,3,FALSE),1))),0))</f>
        <v>2</v>
      </c>
      <c r="K583" s="2" t="str">
        <f>IF('Base S1'!D83="","",'Base S1'!D83)</f>
        <v>h</v>
      </c>
      <c r="L583" s="2">
        <f t="shared" si="117"/>
        <v>1</v>
      </c>
      <c r="M583" s="2">
        <f t="shared" si="118"/>
        <v>0</v>
      </c>
      <c r="N583" s="2">
        <f t="shared" si="119"/>
        <v>1</v>
      </c>
      <c r="O583" s="2">
        <f t="shared" si="120"/>
        <v>0</v>
      </c>
      <c r="P583" s="112">
        <f t="shared" si="121"/>
        <v>2</v>
      </c>
      <c r="Q583" s="112">
        <f t="shared" si="122"/>
        <v>0</v>
      </c>
      <c r="R583" s="53"/>
      <c r="S583" s="53" t="str">
        <f t="shared" si="123"/>
        <v>Base S1|Red Parallel - Season 1|82|Red</v>
      </c>
      <c r="T583" s="57" t="str">
        <f>IF($S583="","",IFERROR(VLOOKUP($S583,'Pop Estimates (Non-#d)'!$N$2:$O$500,2,FALSE),""))</f>
        <v/>
      </c>
      <c r="U583" s="57" t="str">
        <f t="shared" si="124"/>
        <v/>
      </c>
      <c r="V583" s="53" t="str">
        <f t="shared" si="125"/>
        <v/>
      </c>
      <c r="W583" s="53" t="str">
        <f t="shared" si="126"/>
        <v/>
      </c>
      <c r="X583" s="53" t="str">
        <f t="shared" si="127"/>
        <v/>
      </c>
      <c r="Y583" s="57" t="str">
        <f>IF($X583="","",IFERROR(VLOOKUP($X583,'Char Popularity'!$A$2:$C$500,2,FALSE),""))</f>
        <v/>
      </c>
      <c r="Z583" s="56">
        <f>IF($X583="",1,IFERROR(VLOOKUP($X583,'Char Popularity'!$A$2:$C$500,3,FALSE),1))</f>
        <v>1</v>
      </c>
      <c r="AA583" s="62">
        <f>IF($H583&lt;&gt;"Y",0,(IF($F583&lt;&gt;"",ROUND(Dashboard!$R$4/$F583,1),IF(AND($I583="Base",$E583="Base"),Dashboard!$R$5,IF(AND($I583="Base",$E583="Red"),Dashboard!$R$6,IF(AND($I583="Base",$E583="Gold"),Dashboard!$R$7,VLOOKUP($I583,Dashboard!$Q$16:$R$21,2,FALSE)))))*VLOOKUP($I583,Dashboard!$Q$9:$R$13,2,FALSE)*IF(AND($I583="Auto",$F583="",OR($B583="Autographs Duals",$B583="Autographs Triples",$B583="Autographs Quads",$B583="Autographs Quads (Inscribed)")),IF($B583="Autographs Duals",2,IF($B583="Autographs Triples",3,4)),1)))</f>
        <v>2</v>
      </c>
      <c r="AB583" s="62">
        <f t="shared" si="128"/>
        <v>2</v>
      </c>
      <c r="AC583" s="62">
        <f t="shared" si="129"/>
        <v>0</v>
      </c>
    </row>
    <row r="584" spans="1:29" ht="28.7" customHeight="1" x14ac:dyDescent="0.25">
      <c r="A584" s="4" t="s">
        <v>17</v>
      </c>
      <c r="B584" s="7" t="s">
        <v>63</v>
      </c>
      <c r="C584" s="2" t="s">
        <v>1482</v>
      </c>
      <c r="D584" s="7" t="s">
        <v>1008</v>
      </c>
      <c r="E584" s="4" t="s">
        <v>823</v>
      </c>
      <c r="F584" s="2"/>
      <c r="G584" s="2" t="s">
        <v>1399</v>
      </c>
      <c r="H584" s="2" t="s">
        <v>1400</v>
      </c>
      <c r="I584" s="4" t="s">
        <v>60</v>
      </c>
      <c r="J584" s="112">
        <f>IF($H584&lt;&gt;"Y",0,ROUND(MIN(Dashboard!$R$24,IF(IFERROR(VLOOKUP($B584,Dashboard!$Q$28:$S$60,2,FALSE),0)&gt;0,IFERROR(VLOOKUP($B584,Dashboard!$Q$28:$S$60,2,FALSE),0),$Z584*IF($U584&lt;&gt;"",ROUND((Dashboard!$R$4/$U584)*VLOOKUP($I584,Dashboard!$Q$9:$R$13,2,FALSE)*IF(ISNUMBER(SEARCH("Duals",$B584)),2,IF(ISNUMBER(SEARCH("Triples",$B584)),3,IF(ISNUMBER(SEARCH("Quads",$B584)),4,1))),2),ROUND(VLOOKUP($I584,Dashboard!$Q$15:$R$20,2,FALSE)*IF($E584="Red",Dashboard!$R$6,IF($E584="Gold",Dashboard!$R$7,Dashboard!$R$5))*IF(ISNUMBER(SEARCH("Duals",$B584)),2,IF(ISNUMBER(SEARCH("Triples",$B584)),3,IF(ISNUMBER(SEARCH("Quads",$B584)),4,1))),2))*IF(IFERROR(VLOOKUP($B584,Dashboard!$Q$28:$S$60,3,FALSE),0)&gt;0,VLOOKUP($B584,Dashboard!$Q$28:$S$60,3,FALSE),1))),0))</f>
        <v>2</v>
      </c>
      <c r="K584" s="2" t="str">
        <f>IF('Base S1'!D84="","",'Base S1'!D84)</f>
        <v>h</v>
      </c>
      <c r="L584" s="2">
        <f t="shared" si="117"/>
        <v>1</v>
      </c>
      <c r="M584" s="2">
        <f t="shared" si="118"/>
        <v>0</v>
      </c>
      <c r="N584" s="2">
        <f t="shared" si="119"/>
        <v>1</v>
      </c>
      <c r="O584" s="2">
        <f t="shared" si="120"/>
        <v>0</v>
      </c>
      <c r="P584" s="112">
        <f t="shared" si="121"/>
        <v>2</v>
      </c>
      <c r="Q584" s="112">
        <f t="shared" si="122"/>
        <v>0</v>
      </c>
      <c r="R584" s="53"/>
      <c r="S584" s="53" t="str">
        <f t="shared" si="123"/>
        <v>Base S1|Red Parallel - Season 1|83|Red</v>
      </c>
      <c r="T584" s="57" t="str">
        <f>IF($S584="","",IFERROR(VLOOKUP($S584,'Pop Estimates (Non-#d)'!$N$2:$O$500,2,FALSE),""))</f>
        <v/>
      </c>
      <c r="U584" s="57" t="str">
        <f t="shared" si="124"/>
        <v/>
      </c>
      <c r="V584" s="53" t="str">
        <f t="shared" si="125"/>
        <v/>
      </c>
      <c r="W584" s="53" t="str">
        <f t="shared" si="126"/>
        <v/>
      </c>
      <c r="X584" s="53" t="str">
        <f t="shared" si="127"/>
        <v/>
      </c>
      <c r="Y584" s="57" t="str">
        <f>IF($X584="","",IFERROR(VLOOKUP($X584,'Char Popularity'!$A$2:$C$500,2,FALSE),""))</f>
        <v/>
      </c>
      <c r="Z584" s="56">
        <f>IF($X584="",1,IFERROR(VLOOKUP($X584,'Char Popularity'!$A$2:$C$500,3,FALSE),1))</f>
        <v>1</v>
      </c>
      <c r="AA584" s="62">
        <f>IF($H584&lt;&gt;"Y",0,(IF($F584&lt;&gt;"",ROUND(Dashboard!$R$4/$F584,1),IF(AND($I584="Base",$E584="Base"),Dashboard!$R$5,IF(AND($I584="Base",$E584="Red"),Dashboard!$R$6,IF(AND($I584="Base",$E584="Gold"),Dashboard!$R$7,VLOOKUP($I584,Dashboard!$Q$16:$R$21,2,FALSE)))))*VLOOKUP($I584,Dashboard!$Q$9:$R$13,2,FALSE)*IF(AND($I584="Auto",$F584="",OR($B584="Autographs Duals",$B584="Autographs Triples",$B584="Autographs Quads",$B584="Autographs Quads (Inscribed)")),IF($B584="Autographs Duals",2,IF($B584="Autographs Triples",3,4)),1)))</f>
        <v>2</v>
      </c>
      <c r="AB584" s="62">
        <f t="shared" si="128"/>
        <v>2</v>
      </c>
      <c r="AC584" s="62">
        <f t="shared" si="129"/>
        <v>0</v>
      </c>
    </row>
    <row r="585" spans="1:29" ht="28.7" customHeight="1" x14ac:dyDescent="0.25">
      <c r="A585" s="4" t="s">
        <v>17</v>
      </c>
      <c r="B585" s="7" t="s">
        <v>63</v>
      </c>
      <c r="C585" s="2" t="s">
        <v>1483</v>
      </c>
      <c r="D585" s="7" t="s">
        <v>1010</v>
      </c>
      <c r="E585" s="4" t="s">
        <v>823</v>
      </c>
      <c r="F585" s="2"/>
      <c r="G585" s="2" t="s">
        <v>1399</v>
      </c>
      <c r="H585" s="2" t="s">
        <v>1400</v>
      </c>
      <c r="I585" s="4" t="s">
        <v>60</v>
      </c>
      <c r="J585" s="112">
        <f>IF($H585&lt;&gt;"Y",0,ROUND(MIN(Dashboard!$R$24,IF(IFERROR(VLOOKUP($B585,Dashboard!$Q$28:$S$60,2,FALSE),0)&gt;0,IFERROR(VLOOKUP($B585,Dashboard!$Q$28:$S$60,2,FALSE),0),$Z585*IF($U585&lt;&gt;"",ROUND((Dashboard!$R$4/$U585)*VLOOKUP($I585,Dashboard!$Q$9:$R$13,2,FALSE)*IF(ISNUMBER(SEARCH("Duals",$B585)),2,IF(ISNUMBER(SEARCH("Triples",$B585)),3,IF(ISNUMBER(SEARCH("Quads",$B585)),4,1))),2),ROUND(VLOOKUP($I585,Dashboard!$Q$15:$R$20,2,FALSE)*IF($E585="Red",Dashboard!$R$6,IF($E585="Gold",Dashboard!$R$7,Dashboard!$R$5))*IF(ISNUMBER(SEARCH("Duals",$B585)),2,IF(ISNUMBER(SEARCH("Triples",$B585)),3,IF(ISNUMBER(SEARCH("Quads",$B585)),4,1))),2))*IF(IFERROR(VLOOKUP($B585,Dashboard!$Q$28:$S$60,3,FALSE),0)&gt;0,VLOOKUP($B585,Dashboard!$Q$28:$S$60,3,FALSE),1))),0))</f>
        <v>2</v>
      </c>
      <c r="K585" s="2" t="str">
        <f>IF('Base S1'!D85="","",'Base S1'!D85)</f>
        <v>h</v>
      </c>
      <c r="L585" s="2">
        <f t="shared" si="117"/>
        <v>1</v>
      </c>
      <c r="M585" s="2">
        <f t="shared" si="118"/>
        <v>0</v>
      </c>
      <c r="N585" s="2">
        <f t="shared" si="119"/>
        <v>1</v>
      </c>
      <c r="O585" s="2">
        <f t="shared" si="120"/>
        <v>0</v>
      </c>
      <c r="P585" s="112">
        <f t="shared" si="121"/>
        <v>2</v>
      </c>
      <c r="Q585" s="112">
        <f t="shared" si="122"/>
        <v>0</v>
      </c>
      <c r="R585" s="53"/>
      <c r="S585" s="53" t="str">
        <f t="shared" si="123"/>
        <v>Base S1|Red Parallel - Season 1|84|Red</v>
      </c>
      <c r="T585" s="57" t="str">
        <f>IF($S585="","",IFERROR(VLOOKUP($S585,'Pop Estimates (Non-#d)'!$N$2:$O$500,2,FALSE),""))</f>
        <v/>
      </c>
      <c r="U585" s="57" t="str">
        <f t="shared" si="124"/>
        <v/>
      </c>
      <c r="V585" s="53" t="str">
        <f t="shared" si="125"/>
        <v/>
      </c>
      <c r="W585" s="53" t="str">
        <f t="shared" si="126"/>
        <v/>
      </c>
      <c r="X585" s="53" t="str">
        <f t="shared" si="127"/>
        <v/>
      </c>
      <c r="Y585" s="57" t="str">
        <f>IF($X585="","",IFERROR(VLOOKUP($X585,'Char Popularity'!$A$2:$C$500,2,FALSE),""))</f>
        <v/>
      </c>
      <c r="Z585" s="56">
        <f>IF($X585="",1,IFERROR(VLOOKUP($X585,'Char Popularity'!$A$2:$C$500,3,FALSE),1))</f>
        <v>1</v>
      </c>
      <c r="AA585" s="62">
        <f>IF($H585&lt;&gt;"Y",0,(IF($F585&lt;&gt;"",ROUND(Dashboard!$R$4/$F585,1),IF(AND($I585="Base",$E585="Base"),Dashboard!$R$5,IF(AND($I585="Base",$E585="Red"),Dashboard!$R$6,IF(AND($I585="Base",$E585="Gold"),Dashboard!$R$7,VLOOKUP($I585,Dashboard!$Q$16:$R$21,2,FALSE)))))*VLOOKUP($I585,Dashboard!$Q$9:$R$13,2,FALSE)*IF(AND($I585="Auto",$F585="",OR($B585="Autographs Duals",$B585="Autographs Triples",$B585="Autographs Quads",$B585="Autographs Quads (Inscribed)")),IF($B585="Autographs Duals",2,IF($B585="Autographs Triples",3,4)),1)))</f>
        <v>2</v>
      </c>
      <c r="AB585" s="62">
        <f t="shared" si="128"/>
        <v>2</v>
      </c>
      <c r="AC585" s="62">
        <f t="shared" si="129"/>
        <v>0</v>
      </c>
    </row>
    <row r="586" spans="1:29" ht="28.7" customHeight="1" x14ac:dyDescent="0.25">
      <c r="A586" s="4" t="s">
        <v>17</v>
      </c>
      <c r="B586" s="7" t="s">
        <v>63</v>
      </c>
      <c r="C586" s="2" t="s">
        <v>1484</v>
      </c>
      <c r="D586" s="7" t="s">
        <v>1012</v>
      </c>
      <c r="E586" s="4" t="s">
        <v>823</v>
      </c>
      <c r="F586" s="2"/>
      <c r="G586" s="2" t="s">
        <v>1399</v>
      </c>
      <c r="H586" s="2" t="s">
        <v>1400</v>
      </c>
      <c r="I586" s="4" t="s">
        <v>60</v>
      </c>
      <c r="J586" s="112">
        <f>IF($H586&lt;&gt;"Y",0,ROUND(MIN(Dashboard!$R$24,IF(IFERROR(VLOOKUP($B586,Dashboard!$Q$28:$S$60,2,FALSE),0)&gt;0,IFERROR(VLOOKUP($B586,Dashboard!$Q$28:$S$60,2,FALSE),0),$Z586*IF($U586&lt;&gt;"",ROUND((Dashboard!$R$4/$U586)*VLOOKUP($I586,Dashboard!$Q$9:$R$13,2,FALSE)*IF(ISNUMBER(SEARCH("Duals",$B586)),2,IF(ISNUMBER(SEARCH("Triples",$B586)),3,IF(ISNUMBER(SEARCH("Quads",$B586)),4,1))),2),ROUND(VLOOKUP($I586,Dashboard!$Q$15:$R$20,2,FALSE)*IF($E586="Red",Dashboard!$R$6,IF($E586="Gold",Dashboard!$R$7,Dashboard!$R$5))*IF(ISNUMBER(SEARCH("Duals",$B586)),2,IF(ISNUMBER(SEARCH("Triples",$B586)),3,IF(ISNUMBER(SEARCH("Quads",$B586)),4,1))),2))*IF(IFERROR(VLOOKUP($B586,Dashboard!$Q$28:$S$60,3,FALSE),0)&gt;0,VLOOKUP($B586,Dashboard!$Q$28:$S$60,3,FALSE),1))),0))</f>
        <v>2</v>
      </c>
      <c r="K586" s="2" t="str">
        <f>IF('Base S1'!D86="","",'Base S1'!D86)</f>
        <v>h</v>
      </c>
      <c r="L586" s="2">
        <f t="shared" si="117"/>
        <v>1</v>
      </c>
      <c r="M586" s="2">
        <f t="shared" si="118"/>
        <v>0</v>
      </c>
      <c r="N586" s="2">
        <f t="shared" si="119"/>
        <v>1</v>
      </c>
      <c r="O586" s="2">
        <f t="shared" si="120"/>
        <v>0</v>
      </c>
      <c r="P586" s="112">
        <f t="shared" si="121"/>
        <v>2</v>
      </c>
      <c r="Q586" s="112">
        <f t="shared" si="122"/>
        <v>0</v>
      </c>
      <c r="R586" s="53"/>
      <c r="S586" s="53" t="str">
        <f t="shared" si="123"/>
        <v>Base S1|Red Parallel - Season 1|85|Red</v>
      </c>
      <c r="T586" s="57" t="str">
        <f>IF($S586="","",IFERROR(VLOOKUP($S586,'Pop Estimates (Non-#d)'!$N$2:$O$500,2,FALSE),""))</f>
        <v/>
      </c>
      <c r="U586" s="57" t="str">
        <f t="shared" si="124"/>
        <v/>
      </c>
      <c r="V586" s="53" t="str">
        <f t="shared" si="125"/>
        <v/>
      </c>
      <c r="W586" s="53" t="str">
        <f t="shared" si="126"/>
        <v/>
      </c>
      <c r="X586" s="53" t="str">
        <f t="shared" si="127"/>
        <v/>
      </c>
      <c r="Y586" s="57" t="str">
        <f>IF($X586="","",IFERROR(VLOOKUP($X586,'Char Popularity'!$A$2:$C$500,2,FALSE),""))</f>
        <v/>
      </c>
      <c r="Z586" s="56">
        <f>IF($X586="",1,IFERROR(VLOOKUP($X586,'Char Popularity'!$A$2:$C$500,3,FALSE),1))</f>
        <v>1</v>
      </c>
      <c r="AA586" s="62">
        <f>IF($H586&lt;&gt;"Y",0,(IF($F586&lt;&gt;"",ROUND(Dashboard!$R$4/$F586,1),IF(AND($I586="Base",$E586="Base"),Dashboard!$R$5,IF(AND($I586="Base",$E586="Red"),Dashboard!$R$6,IF(AND($I586="Base",$E586="Gold"),Dashboard!$R$7,VLOOKUP($I586,Dashboard!$Q$16:$R$21,2,FALSE)))))*VLOOKUP($I586,Dashboard!$Q$9:$R$13,2,FALSE)*IF(AND($I586="Auto",$F586="",OR($B586="Autographs Duals",$B586="Autographs Triples",$B586="Autographs Quads",$B586="Autographs Quads (Inscribed)")),IF($B586="Autographs Duals",2,IF($B586="Autographs Triples",3,4)),1)))</f>
        <v>2</v>
      </c>
      <c r="AB586" s="62">
        <f t="shared" si="128"/>
        <v>2</v>
      </c>
      <c r="AC586" s="62">
        <f t="shared" si="129"/>
        <v>0</v>
      </c>
    </row>
    <row r="587" spans="1:29" ht="28.7" customHeight="1" x14ac:dyDescent="0.25">
      <c r="A587" s="4" t="s">
        <v>17</v>
      </c>
      <c r="B587" s="7" t="s">
        <v>63</v>
      </c>
      <c r="C587" s="2" t="s">
        <v>1485</v>
      </c>
      <c r="D587" s="7" t="s">
        <v>1013</v>
      </c>
      <c r="E587" s="4" t="s">
        <v>823</v>
      </c>
      <c r="F587" s="2"/>
      <c r="G587" s="2" t="s">
        <v>1399</v>
      </c>
      <c r="H587" s="2" t="s">
        <v>1400</v>
      </c>
      <c r="I587" s="4" t="s">
        <v>60</v>
      </c>
      <c r="J587" s="112">
        <f>IF($H587&lt;&gt;"Y",0,ROUND(MIN(Dashboard!$R$24,IF(IFERROR(VLOOKUP($B587,Dashboard!$Q$28:$S$60,2,FALSE),0)&gt;0,IFERROR(VLOOKUP($B587,Dashboard!$Q$28:$S$60,2,FALSE),0),$Z587*IF($U587&lt;&gt;"",ROUND((Dashboard!$R$4/$U587)*VLOOKUP($I587,Dashboard!$Q$9:$R$13,2,FALSE)*IF(ISNUMBER(SEARCH("Duals",$B587)),2,IF(ISNUMBER(SEARCH("Triples",$B587)),3,IF(ISNUMBER(SEARCH("Quads",$B587)),4,1))),2),ROUND(VLOOKUP($I587,Dashboard!$Q$15:$R$20,2,FALSE)*IF($E587="Red",Dashboard!$R$6,IF($E587="Gold",Dashboard!$R$7,Dashboard!$R$5))*IF(ISNUMBER(SEARCH("Duals",$B587)),2,IF(ISNUMBER(SEARCH("Triples",$B587)),3,IF(ISNUMBER(SEARCH("Quads",$B587)),4,1))),2))*IF(IFERROR(VLOOKUP($B587,Dashboard!$Q$28:$S$60,3,FALSE),0)&gt;0,VLOOKUP($B587,Dashboard!$Q$28:$S$60,3,FALSE),1))),0))</f>
        <v>2</v>
      </c>
      <c r="K587" s="2" t="str">
        <f>IF('Base S1'!D87="","",'Base S1'!D87)</f>
        <v>h</v>
      </c>
      <c r="L587" s="2">
        <f t="shared" si="117"/>
        <v>1</v>
      </c>
      <c r="M587" s="2">
        <f t="shared" si="118"/>
        <v>0</v>
      </c>
      <c r="N587" s="2">
        <f t="shared" si="119"/>
        <v>1</v>
      </c>
      <c r="O587" s="2">
        <f t="shared" si="120"/>
        <v>0</v>
      </c>
      <c r="P587" s="112">
        <f t="shared" si="121"/>
        <v>2</v>
      </c>
      <c r="Q587" s="112">
        <f t="shared" si="122"/>
        <v>0</v>
      </c>
      <c r="R587" s="53"/>
      <c r="S587" s="53" t="str">
        <f t="shared" si="123"/>
        <v>Base S1|Red Parallel - Season 1|86|Red</v>
      </c>
      <c r="T587" s="57" t="str">
        <f>IF($S587="","",IFERROR(VLOOKUP($S587,'Pop Estimates (Non-#d)'!$N$2:$O$500,2,FALSE),""))</f>
        <v/>
      </c>
      <c r="U587" s="57" t="str">
        <f t="shared" si="124"/>
        <v/>
      </c>
      <c r="V587" s="53" t="str">
        <f t="shared" si="125"/>
        <v/>
      </c>
      <c r="W587" s="53" t="str">
        <f t="shared" si="126"/>
        <v/>
      </c>
      <c r="X587" s="53" t="str">
        <f t="shared" si="127"/>
        <v/>
      </c>
      <c r="Y587" s="57" t="str">
        <f>IF($X587="","",IFERROR(VLOOKUP($X587,'Char Popularity'!$A$2:$C$500,2,FALSE),""))</f>
        <v/>
      </c>
      <c r="Z587" s="56">
        <f>IF($X587="",1,IFERROR(VLOOKUP($X587,'Char Popularity'!$A$2:$C$500,3,FALSE),1))</f>
        <v>1</v>
      </c>
      <c r="AA587" s="62">
        <f>IF($H587&lt;&gt;"Y",0,(IF($F587&lt;&gt;"",ROUND(Dashboard!$R$4/$F587,1),IF(AND($I587="Base",$E587="Base"),Dashboard!$R$5,IF(AND($I587="Base",$E587="Red"),Dashboard!$R$6,IF(AND($I587="Base",$E587="Gold"),Dashboard!$R$7,VLOOKUP($I587,Dashboard!$Q$16:$R$21,2,FALSE)))))*VLOOKUP($I587,Dashboard!$Q$9:$R$13,2,FALSE)*IF(AND($I587="Auto",$F587="",OR($B587="Autographs Duals",$B587="Autographs Triples",$B587="Autographs Quads",$B587="Autographs Quads (Inscribed)")),IF($B587="Autographs Duals",2,IF($B587="Autographs Triples",3,4)),1)))</f>
        <v>2</v>
      </c>
      <c r="AB587" s="62">
        <f t="shared" si="128"/>
        <v>2</v>
      </c>
      <c r="AC587" s="62">
        <f t="shared" si="129"/>
        <v>0</v>
      </c>
    </row>
    <row r="588" spans="1:29" ht="28.7" customHeight="1" x14ac:dyDescent="0.25">
      <c r="A588" s="4" t="s">
        <v>17</v>
      </c>
      <c r="B588" s="7" t="s">
        <v>63</v>
      </c>
      <c r="C588" s="2" t="s">
        <v>1486</v>
      </c>
      <c r="D588" s="7" t="s">
        <v>1015</v>
      </c>
      <c r="E588" s="4" t="s">
        <v>823</v>
      </c>
      <c r="F588" s="2"/>
      <c r="G588" s="2" t="s">
        <v>1399</v>
      </c>
      <c r="H588" s="2" t="s">
        <v>1400</v>
      </c>
      <c r="I588" s="4" t="s">
        <v>60</v>
      </c>
      <c r="J588" s="112">
        <f>IF($H588&lt;&gt;"Y",0,ROUND(MIN(Dashboard!$R$24,IF(IFERROR(VLOOKUP($B588,Dashboard!$Q$28:$S$60,2,FALSE),0)&gt;0,IFERROR(VLOOKUP($B588,Dashboard!$Q$28:$S$60,2,FALSE),0),$Z588*IF($U588&lt;&gt;"",ROUND((Dashboard!$R$4/$U588)*VLOOKUP($I588,Dashboard!$Q$9:$R$13,2,FALSE)*IF(ISNUMBER(SEARCH("Duals",$B588)),2,IF(ISNUMBER(SEARCH("Triples",$B588)),3,IF(ISNUMBER(SEARCH("Quads",$B588)),4,1))),2),ROUND(VLOOKUP($I588,Dashboard!$Q$15:$R$20,2,FALSE)*IF($E588="Red",Dashboard!$R$6,IF($E588="Gold",Dashboard!$R$7,Dashboard!$R$5))*IF(ISNUMBER(SEARCH("Duals",$B588)),2,IF(ISNUMBER(SEARCH("Triples",$B588)),3,IF(ISNUMBER(SEARCH("Quads",$B588)),4,1))),2))*IF(IFERROR(VLOOKUP($B588,Dashboard!$Q$28:$S$60,3,FALSE),0)&gt;0,VLOOKUP($B588,Dashboard!$Q$28:$S$60,3,FALSE),1))),0))</f>
        <v>2</v>
      </c>
      <c r="K588" s="2" t="str">
        <f>IF('Base S1'!D88="","",'Base S1'!D88)</f>
        <v>h</v>
      </c>
      <c r="L588" s="2">
        <f t="shared" si="117"/>
        <v>1</v>
      </c>
      <c r="M588" s="2">
        <f t="shared" si="118"/>
        <v>0</v>
      </c>
      <c r="N588" s="2">
        <f t="shared" si="119"/>
        <v>1</v>
      </c>
      <c r="O588" s="2">
        <f t="shared" si="120"/>
        <v>0</v>
      </c>
      <c r="P588" s="112">
        <f t="shared" si="121"/>
        <v>2</v>
      </c>
      <c r="Q588" s="112">
        <f t="shared" si="122"/>
        <v>0</v>
      </c>
      <c r="R588" s="53"/>
      <c r="S588" s="53" t="str">
        <f t="shared" si="123"/>
        <v>Base S1|Red Parallel - Season 1|87|Red</v>
      </c>
      <c r="T588" s="57" t="str">
        <f>IF($S588="","",IFERROR(VLOOKUP($S588,'Pop Estimates (Non-#d)'!$N$2:$O$500,2,FALSE),""))</f>
        <v/>
      </c>
      <c r="U588" s="57" t="str">
        <f t="shared" si="124"/>
        <v/>
      </c>
      <c r="V588" s="53" t="str">
        <f t="shared" si="125"/>
        <v/>
      </c>
      <c r="W588" s="53" t="str">
        <f t="shared" si="126"/>
        <v/>
      </c>
      <c r="X588" s="53" t="str">
        <f t="shared" si="127"/>
        <v/>
      </c>
      <c r="Y588" s="57" t="str">
        <f>IF($X588="","",IFERROR(VLOOKUP($X588,'Char Popularity'!$A$2:$C$500,2,FALSE),""))</f>
        <v/>
      </c>
      <c r="Z588" s="56">
        <f>IF($X588="",1,IFERROR(VLOOKUP($X588,'Char Popularity'!$A$2:$C$500,3,FALSE),1))</f>
        <v>1</v>
      </c>
      <c r="AA588" s="62">
        <f>IF($H588&lt;&gt;"Y",0,(IF($F588&lt;&gt;"",ROUND(Dashboard!$R$4/$F588,1),IF(AND($I588="Base",$E588="Base"),Dashboard!$R$5,IF(AND($I588="Base",$E588="Red"),Dashboard!$R$6,IF(AND($I588="Base",$E588="Gold"),Dashboard!$R$7,VLOOKUP($I588,Dashboard!$Q$16:$R$21,2,FALSE)))))*VLOOKUP($I588,Dashboard!$Q$9:$R$13,2,FALSE)*IF(AND($I588="Auto",$F588="",OR($B588="Autographs Duals",$B588="Autographs Triples",$B588="Autographs Quads",$B588="Autographs Quads (Inscribed)")),IF($B588="Autographs Duals",2,IF($B588="Autographs Triples",3,4)),1)))</f>
        <v>2</v>
      </c>
      <c r="AB588" s="62">
        <f t="shared" si="128"/>
        <v>2</v>
      </c>
      <c r="AC588" s="62">
        <f t="shared" si="129"/>
        <v>0</v>
      </c>
    </row>
    <row r="589" spans="1:29" ht="28.7" customHeight="1" x14ac:dyDescent="0.25">
      <c r="A589" s="4" t="s">
        <v>17</v>
      </c>
      <c r="B589" s="7" t="s">
        <v>63</v>
      </c>
      <c r="C589" s="2" t="s">
        <v>1487</v>
      </c>
      <c r="D589" s="7" t="s">
        <v>1018</v>
      </c>
      <c r="E589" s="4" t="s">
        <v>823</v>
      </c>
      <c r="F589" s="2"/>
      <c r="G589" s="2" t="s">
        <v>1399</v>
      </c>
      <c r="H589" s="2" t="s">
        <v>1400</v>
      </c>
      <c r="I589" s="4" t="s">
        <v>60</v>
      </c>
      <c r="J589" s="112">
        <f>IF($H589&lt;&gt;"Y",0,ROUND(MIN(Dashboard!$R$24,IF(IFERROR(VLOOKUP($B589,Dashboard!$Q$28:$S$60,2,FALSE),0)&gt;0,IFERROR(VLOOKUP($B589,Dashboard!$Q$28:$S$60,2,FALSE),0),$Z589*IF($U589&lt;&gt;"",ROUND((Dashboard!$R$4/$U589)*VLOOKUP($I589,Dashboard!$Q$9:$R$13,2,FALSE)*IF(ISNUMBER(SEARCH("Duals",$B589)),2,IF(ISNUMBER(SEARCH("Triples",$B589)),3,IF(ISNUMBER(SEARCH("Quads",$B589)),4,1))),2),ROUND(VLOOKUP($I589,Dashboard!$Q$15:$R$20,2,FALSE)*IF($E589="Red",Dashboard!$R$6,IF($E589="Gold",Dashboard!$R$7,Dashboard!$R$5))*IF(ISNUMBER(SEARCH("Duals",$B589)),2,IF(ISNUMBER(SEARCH("Triples",$B589)),3,IF(ISNUMBER(SEARCH("Quads",$B589)),4,1))),2))*IF(IFERROR(VLOOKUP($B589,Dashboard!$Q$28:$S$60,3,FALSE),0)&gt;0,VLOOKUP($B589,Dashboard!$Q$28:$S$60,3,FALSE),1))),0))</f>
        <v>2</v>
      </c>
      <c r="K589" s="2" t="str">
        <f>IF('Base S1'!D89="","",'Base S1'!D89)</f>
        <v>h</v>
      </c>
      <c r="L589" s="2">
        <f t="shared" si="117"/>
        <v>1</v>
      </c>
      <c r="M589" s="2">
        <f t="shared" si="118"/>
        <v>0</v>
      </c>
      <c r="N589" s="2">
        <f t="shared" si="119"/>
        <v>1</v>
      </c>
      <c r="O589" s="2">
        <f t="shared" si="120"/>
        <v>0</v>
      </c>
      <c r="P589" s="112">
        <f t="shared" si="121"/>
        <v>2</v>
      </c>
      <c r="Q589" s="112">
        <f t="shared" si="122"/>
        <v>0</v>
      </c>
      <c r="R589" s="53"/>
      <c r="S589" s="53" t="str">
        <f t="shared" si="123"/>
        <v>Base S1|Red Parallel - Season 1|88|Red</v>
      </c>
      <c r="T589" s="57" t="str">
        <f>IF($S589="","",IFERROR(VLOOKUP($S589,'Pop Estimates (Non-#d)'!$N$2:$O$500,2,FALSE),""))</f>
        <v/>
      </c>
      <c r="U589" s="57" t="str">
        <f t="shared" si="124"/>
        <v/>
      </c>
      <c r="V589" s="53" t="str">
        <f t="shared" si="125"/>
        <v/>
      </c>
      <c r="W589" s="53" t="str">
        <f t="shared" si="126"/>
        <v/>
      </c>
      <c r="X589" s="53" t="str">
        <f t="shared" si="127"/>
        <v/>
      </c>
      <c r="Y589" s="57" t="str">
        <f>IF($X589="","",IFERROR(VLOOKUP($X589,'Char Popularity'!$A$2:$C$500,2,FALSE),""))</f>
        <v/>
      </c>
      <c r="Z589" s="56">
        <f>IF($X589="",1,IFERROR(VLOOKUP($X589,'Char Popularity'!$A$2:$C$500,3,FALSE),1))</f>
        <v>1</v>
      </c>
      <c r="AA589" s="62">
        <f>IF($H589&lt;&gt;"Y",0,(IF($F589&lt;&gt;"",ROUND(Dashboard!$R$4/$F589,1),IF(AND($I589="Base",$E589="Base"),Dashboard!$R$5,IF(AND($I589="Base",$E589="Red"),Dashboard!$R$6,IF(AND($I589="Base",$E589="Gold"),Dashboard!$R$7,VLOOKUP($I589,Dashboard!$Q$16:$R$21,2,FALSE)))))*VLOOKUP($I589,Dashboard!$Q$9:$R$13,2,FALSE)*IF(AND($I589="Auto",$F589="",OR($B589="Autographs Duals",$B589="Autographs Triples",$B589="Autographs Quads",$B589="Autographs Quads (Inscribed)")),IF($B589="Autographs Duals",2,IF($B589="Autographs Triples",3,4)),1)))</f>
        <v>2</v>
      </c>
      <c r="AB589" s="62">
        <f t="shared" si="128"/>
        <v>2</v>
      </c>
      <c r="AC589" s="62">
        <f t="shared" si="129"/>
        <v>0</v>
      </c>
    </row>
    <row r="590" spans="1:29" ht="28.7" customHeight="1" x14ac:dyDescent="0.25">
      <c r="A590" s="4" t="s">
        <v>17</v>
      </c>
      <c r="B590" s="7" t="s">
        <v>63</v>
      </c>
      <c r="C590" s="2" t="s">
        <v>1488</v>
      </c>
      <c r="D590" s="7" t="s">
        <v>1021</v>
      </c>
      <c r="E590" s="4" t="s">
        <v>823</v>
      </c>
      <c r="F590" s="2"/>
      <c r="G590" s="2" t="s">
        <v>1399</v>
      </c>
      <c r="H590" s="2" t="s">
        <v>1400</v>
      </c>
      <c r="I590" s="4" t="s">
        <v>60</v>
      </c>
      <c r="J590" s="112">
        <f>IF($H590&lt;&gt;"Y",0,ROUND(MIN(Dashboard!$R$24,IF(IFERROR(VLOOKUP($B590,Dashboard!$Q$28:$S$60,2,FALSE),0)&gt;0,IFERROR(VLOOKUP($B590,Dashboard!$Q$28:$S$60,2,FALSE),0),$Z590*IF($U590&lt;&gt;"",ROUND((Dashboard!$R$4/$U590)*VLOOKUP($I590,Dashboard!$Q$9:$R$13,2,FALSE)*IF(ISNUMBER(SEARCH("Duals",$B590)),2,IF(ISNUMBER(SEARCH("Triples",$B590)),3,IF(ISNUMBER(SEARCH("Quads",$B590)),4,1))),2),ROUND(VLOOKUP($I590,Dashboard!$Q$15:$R$20,2,FALSE)*IF($E590="Red",Dashboard!$R$6,IF($E590="Gold",Dashboard!$R$7,Dashboard!$R$5))*IF(ISNUMBER(SEARCH("Duals",$B590)),2,IF(ISNUMBER(SEARCH("Triples",$B590)),3,IF(ISNUMBER(SEARCH("Quads",$B590)),4,1))),2))*IF(IFERROR(VLOOKUP($B590,Dashboard!$Q$28:$S$60,3,FALSE),0)&gt;0,VLOOKUP($B590,Dashboard!$Q$28:$S$60,3,FALSE),1))),0))</f>
        <v>2</v>
      </c>
      <c r="K590" s="2" t="str">
        <f>IF('Base S1'!D90="","",'Base S1'!D90)</f>
        <v>h</v>
      </c>
      <c r="L590" s="2">
        <f t="shared" si="117"/>
        <v>1</v>
      </c>
      <c r="M590" s="2">
        <f t="shared" si="118"/>
        <v>0</v>
      </c>
      <c r="N590" s="2">
        <f t="shared" si="119"/>
        <v>1</v>
      </c>
      <c r="O590" s="2">
        <f t="shared" si="120"/>
        <v>0</v>
      </c>
      <c r="P590" s="112">
        <f t="shared" si="121"/>
        <v>2</v>
      </c>
      <c r="Q590" s="112">
        <f t="shared" si="122"/>
        <v>0</v>
      </c>
      <c r="R590" s="53"/>
      <c r="S590" s="53" t="str">
        <f t="shared" si="123"/>
        <v>Base S1|Red Parallel - Season 1|89|Red</v>
      </c>
      <c r="T590" s="57" t="str">
        <f>IF($S590="","",IFERROR(VLOOKUP($S590,'Pop Estimates (Non-#d)'!$N$2:$O$500,2,FALSE),""))</f>
        <v/>
      </c>
      <c r="U590" s="57" t="str">
        <f t="shared" si="124"/>
        <v/>
      </c>
      <c r="V590" s="53" t="str">
        <f t="shared" si="125"/>
        <v/>
      </c>
      <c r="W590" s="53" t="str">
        <f t="shared" si="126"/>
        <v/>
      </c>
      <c r="X590" s="53" t="str">
        <f t="shared" si="127"/>
        <v/>
      </c>
      <c r="Y590" s="57" t="str">
        <f>IF($X590="","",IFERROR(VLOOKUP($X590,'Char Popularity'!$A$2:$C$500,2,FALSE),""))</f>
        <v/>
      </c>
      <c r="Z590" s="56">
        <f>IF($X590="",1,IFERROR(VLOOKUP($X590,'Char Popularity'!$A$2:$C$500,3,FALSE),1))</f>
        <v>1</v>
      </c>
      <c r="AA590" s="62">
        <f>IF($H590&lt;&gt;"Y",0,(IF($F590&lt;&gt;"",ROUND(Dashboard!$R$4/$F590,1),IF(AND($I590="Base",$E590="Base"),Dashboard!$R$5,IF(AND($I590="Base",$E590="Red"),Dashboard!$R$6,IF(AND($I590="Base",$E590="Gold"),Dashboard!$R$7,VLOOKUP($I590,Dashboard!$Q$16:$R$21,2,FALSE)))))*VLOOKUP($I590,Dashboard!$Q$9:$R$13,2,FALSE)*IF(AND($I590="Auto",$F590="",OR($B590="Autographs Duals",$B590="Autographs Triples",$B590="Autographs Quads",$B590="Autographs Quads (Inscribed)")),IF($B590="Autographs Duals",2,IF($B590="Autographs Triples",3,4)),1)))</f>
        <v>2</v>
      </c>
      <c r="AB590" s="62">
        <f t="shared" si="128"/>
        <v>2</v>
      </c>
      <c r="AC590" s="62">
        <f t="shared" si="129"/>
        <v>0</v>
      </c>
    </row>
    <row r="591" spans="1:29" ht="28.7" customHeight="1" x14ac:dyDescent="0.25">
      <c r="A591" s="4" t="s">
        <v>17</v>
      </c>
      <c r="B591" s="7" t="s">
        <v>63</v>
      </c>
      <c r="C591" s="2" t="s">
        <v>1489</v>
      </c>
      <c r="D591" s="7" t="s">
        <v>1023</v>
      </c>
      <c r="E591" s="4" t="s">
        <v>823</v>
      </c>
      <c r="F591" s="2"/>
      <c r="G591" s="2" t="s">
        <v>1399</v>
      </c>
      <c r="H591" s="2" t="s">
        <v>1400</v>
      </c>
      <c r="I591" s="4" t="s">
        <v>60</v>
      </c>
      <c r="J591" s="112">
        <f>IF($H591&lt;&gt;"Y",0,ROUND(MIN(Dashboard!$R$24,IF(IFERROR(VLOOKUP($B591,Dashboard!$Q$28:$S$60,2,FALSE),0)&gt;0,IFERROR(VLOOKUP($B591,Dashboard!$Q$28:$S$60,2,FALSE),0),$Z591*IF($U591&lt;&gt;"",ROUND((Dashboard!$R$4/$U591)*VLOOKUP($I591,Dashboard!$Q$9:$R$13,2,FALSE)*IF(ISNUMBER(SEARCH("Duals",$B591)),2,IF(ISNUMBER(SEARCH("Triples",$B591)),3,IF(ISNUMBER(SEARCH("Quads",$B591)),4,1))),2),ROUND(VLOOKUP($I591,Dashboard!$Q$15:$R$20,2,FALSE)*IF($E591="Red",Dashboard!$R$6,IF($E591="Gold",Dashboard!$R$7,Dashboard!$R$5))*IF(ISNUMBER(SEARCH("Duals",$B591)),2,IF(ISNUMBER(SEARCH("Triples",$B591)),3,IF(ISNUMBER(SEARCH("Quads",$B591)),4,1))),2))*IF(IFERROR(VLOOKUP($B591,Dashboard!$Q$28:$S$60,3,FALSE),0)&gt;0,VLOOKUP($B591,Dashboard!$Q$28:$S$60,3,FALSE),1))),0))</f>
        <v>2</v>
      </c>
      <c r="K591" s="2" t="str">
        <f>IF('Base S1'!D91="","",'Base S1'!D91)</f>
        <v>h</v>
      </c>
      <c r="L591" s="2">
        <f t="shared" si="117"/>
        <v>1</v>
      </c>
      <c r="M591" s="2">
        <f t="shared" si="118"/>
        <v>0</v>
      </c>
      <c r="N591" s="2">
        <f t="shared" si="119"/>
        <v>1</v>
      </c>
      <c r="O591" s="2">
        <f t="shared" si="120"/>
        <v>0</v>
      </c>
      <c r="P591" s="112">
        <f t="shared" si="121"/>
        <v>2</v>
      </c>
      <c r="Q591" s="112">
        <f t="shared" si="122"/>
        <v>0</v>
      </c>
      <c r="R591" s="53"/>
      <c r="S591" s="53" t="str">
        <f t="shared" si="123"/>
        <v>Base S1|Red Parallel - Season 1|90|Red</v>
      </c>
      <c r="T591" s="57" t="str">
        <f>IF($S591="","",IFERROR(VLOOKUP($S591,'Pop Estimates (Non-#d)'!$N$2:$O$500,2,FALSE),""))</f>
        <v/>
      </c>
      <c r="U591" s="57" t="str">
        <f t="shared" si="124"/>
        <v/>
      </c>
      <c r="V591" s="53" t="str">
        <f t="shared" si="125"/>
        <v/>
      </c>
      <c r="W591" s="53" t="str">
        <f t="shared" si="126"/>
        <v/>
      </c>
      <c r="X591" s="53" t="str">
        <f t="shared" si="127"/>
        <v/>
      </c>
      <c r="Y591" s="57" t="str">
        <f>IF($X591="","",IFERROR(VLOOKUP($X591,'Char Popularity'!$A$2:$C$500,2,FALSE),""))</f>
        <v/>
      </c>
      <c r="Z591" s="56">
        <f>IF($X591="",1,IFERROR(VLOOKUP($X591,'Char Popularity'!$A$2:$C$500,3,FALSE),1))</f>
        <v>1</v>
      </c>
      <c r="AA591" s="62">
        <f>IF($H591&lt;&gt;"Y",0,(IF($F591&lt;&gt;"",ROUND(Dashboard!$R$4/$F591,1),IF(AND($I591="Base",$E591="Base"),Dashboard!$R$5,IF(AND($I591="Base",$E591="Red"),Dashboard!$R$6,IF(AND($I591="Base",$E591="Gold"),Dashboard!$R$7,VLOOKUP($I591,Dashboard!$Q$16:$R$21,2,FALSE)))))*VLOOKUP($I591,Dashboard!$Q$9:$R$13,2,FALSE)*IF(AND($I591="Auto",$F591="",OR($B591="Autographs Duals",$B591="Autographs Triples",$B591="Autographs Quads",$B591="Autographs Quads (Inscribed)")),IF($B591="Autographs Duals",2,IF($B591="Autographs Triples",3,4)),1)))</f>
        <v>2</v>
      </c>
      <c r="AB591" s="62">
        <f t="shared" si="128"/>
        <v>2</v>
      </c>
      <c r="AC591" s="62">
        <f t="shared" si="129"/>
        <v>0</v>
      </c>
    </row>
    <row r="592" spans="1:29" ht="28.7" customHeight="1" x14ac:dyDescent="0.25">
      <c r="A592" s="4" t="s">
        <v>17</v>
      </c>
      <c r="B592" s="7" t="s">
        <v>63</v>
      </c>
      <c r="C592" s="2" t="s">
        <v>1490</v>
      </c>
      <c r="D592" s="7" t="s">
        <v>1025</v>
      </c>
      <c r="E592" s="4" t="s">
        <v>823</v>
      </c>
      <c r="F592" s="2"/>
      <c r="G592" s="2" t="s">
        <v>1399</v>
      </c>
      <c r="H592" s="2" t="s">
        <v>1400</v>
      </c>
      <c r="I592" s="4" t="s">
        <v>60</v>
      </c>
      <c r="J592" s="112">
        <f>IF($H592&lt;&gt;"Y",0,ROUND(MIN(Dashboard!$R$24,IF(IFERROR(VLOOKUP($B592,Dashboard!$Q$28:$S$60,2,FALSE),0)&gt;0,IFERROR(VLOOKUP($B592,Dashboard!$Q$28:$S$60,2,FALSE),0),$Z592*IF($U592&lt;&gt;"",ROUND((Dashboard!$R$4/$U592)*VLOOKUP($I592,Dashboard!$Q$9:$R$13,2,FALSE)*IF(ISNUMBER(SEARCH("Duals",$B592)),2,IF(ISNUMBER(SEARCH("Triples",$B592)),3,IF(ISNUMBER(SEARCH("Quads",$B592)),4,1))),2),ROUND(VLOOKUP($I592,Dashboard!$Q$15:$R$20,2,FALSE)*IF($E592="Red",Dashboard!$R$6,IF($E592="Gold",Dashboard!$R$7,Dashboard!$R$5))*IF(ISNUMBER(SEARCH("Duals",$B592)),2,IF(ISNUMBER(SEARCH("Triples",$B592)),3,IF(ISNUMBER(SEARCH("Quads",$B592)),4,1))),2))*IF(IFERROR(VLOOKUP($B592,Dashboard!$Q$28:$S$60,3,FALSE),0)&gt;0,VLOOKUP($B592,Dashboard!$Q$28:$S$60,3,FALSE),1))),0))</f>
        <v>2</v>
      </c>
      <c r="K592" s="2" t="str">
        <f>IF('Base S1'!D92="","",'Base S1'!D92)</f>
        <v>h</v>
      </c>
      <c r="L592" s="2">
        <f t="shared" si="117"/>
        <v>1</v>
      </c>
      <c r="M592" s="2">
        <f t="shared" si="118"/>
        <v>0</v>
      </c>
      <c r="N592" s="2">
        <f t="shared" si="119"/>
        <v>1</v>
      </c>
      <c r="O592" s="2">
        <f t="shared" si="120"/>
        <v>0</v>
      </c>
      <c r="P592" s="112">
        <f t="shared" si="121"/>
        <v>2</v>
      </c>
      <c r="Q592" s="112">
        <f t="shared" si="122"/>
        <v>0</v>
      </c>
      <c r="R592" s="53"/>
      <c r="S592" s="53" t="str">
        <f t="shared" si="123"/>
        <v>Base S1|Red Parallel - Season 1|91|Red</v>
      </c>
      <c r="T592" s="57" t="str">
        <f>IF($S592="","",IFERROR(VLOOKUP($S592,'Pop Estimates (Non-#d)'!$N$2:$O$500,2,FALSE),""))</f>
        <v/>
      </c>
      <c r="U592" s="57" t="str">
        <f t="shared" si="124"/>
        <v/>
      </c>
      <c r="V592" s="53" t="str">
        <f t="shared" si="125"/>
        <v/>
      </c>
      <c r="W592" s="53" t="str">
        <f t="shared" si="126"/>
        <v/>
      </c>
      <c r="X592" s="53" t="str">
        <f t="shared" si="127"/>
        <v/>
      </c>
      <c r="Y592" s="57" t="str">
        <f>IF($X592="","",IFERROR(VLOOKUP($X592,'Char Popularity'!$A$2:$C$500,2,FALSE),""))</f>
        <v/>
      </c>
      <c r="Z592" s="56">
        <f>IF($X592="",1,IFERROR(VLOOKUP($X592,'Char Popularity'!$A$2:$C$500,3,FALSE),1))</f>
        <v>1</v>
      </c>
      <c r="AA592" s="62">
        <f>IF($H592&lt;&gt;"Y",0,(IF($F592&lt;&gt;"",ROUND(Dashboard!$R$4/$F592,1),IF(AND($I592="Base",$E592="Base"),Dashboard!$R$5,IF(AND($I592="Base",$E592="Red"),Dashboard!$R$6,IF(AND($I592="Base",$E592="Gold"),Dashboard!$R$7,VLOOKUP($I592,Dashboard!$Q$16:$R$21,2,FALSE)))))*VLOOKUP($I592,Dashboard!$Q$9:$R$13,2,FALSE)*IF(AND($I592="Auto",$F592="",OR($B592="Autographs Duals",$B592="Autographs Triples",$B592="Autographs Quads",$B592="Autographs Quads (Inscribed)")),IF($B592="Autographs Duals",2,IF($B592="Autographs Triples",3,4)),1)))</f>
        <v>2</v>
      </c>
      <c r="AB592" s="62">
        <f t="shared" si="128"/>
        <v>2</v>
      </c>
      <c r="AC592" s="62">
        <f t="shared" si="129"/>
        <v>0</v>
      </c>
    </row>
    <row r="593" spans="1:29" ht="28.7" customHeight="1" x14ac:dyDescent="0.25">
      <c r="A593" s="4" t="s">
        <v>17</v>
      </c>
      <c r="B593" s="7" t="s">
        <v>63</v>
      </c>
      <c r="C593" s="2" t="s">
        <v>1491</v>
      </c>
      <c r="D593" s="7" t="s">
        <v>1027</v>
      </c>
      <c r="E593" s="4" t="s">
        <v>823</v>
      </c>
      <c r="F593" s="2"/>
      <c r="G593" s="2" t="s">
        <v>1399</v>
      </c>
      <c r="H593" s="2" t="s">
        <v>1400</v>
      </c>
      <c r="I593" s="4" t="s">
        <v>60</v>
      </c>
      <c r="J593" s="112">
        <f>IF($H593&lt;&gt;"Y",0,ROUND(MIN(Dashboard!$R$24,IF(IFERROR(VLOOKUP($B593,Dashboard!$Q$28:$S$60,2,FALSE),0)&gt;0,IFERROR(VLOOKUP($B593,Dashboard!$Q$28:$S$60,2,FALSE),0),$Z593*IF($U593&lt;&gt;"",ROUND((Dashboard!$R$4/$U593)*VLOOKUP($I593,Dashboard!$Q$9:$R$13,2,FALSE)*IF(ISNUMBER(SEARCH("Duals",$B593)),2,IF(ISNUMBER(SEARCH("Triples",$B593)),3,IF(ISNUMBER(SEARCH("Quads",$B593)),4,1))),2),ROUND(VLOOKUP($I593,Dashboard!$Q$15:$R$20,2,FALSE)*IF($E593="Red",Dashboard!$R$6,IF($E593="Gold",Dashboard!$R$7,Dashboard!$R$5))*IF(ISNUMBER(SEARCH("Duals",$B593)),2,IF(ISNUMBER(SEARCH("Triples",$B593)),3,IF(ISNUMBER(SEARCH("Quads",$B593)),4,1))),2))*IF(IFERROR(VLOOKUP($B593,Dashboard!$Q$28:$S$60,3,FALSE),0)&gt;0,VLOOKUP($B593,Dashboard!$Q$28:$S$60,3,FALSE),1))),0))</f>
        <v>2</v>
      </c>
      <c r="K593" s="2" t="str">
        <f>IF('Base S1'!D93="","",'Base S1'!D93)</f>
        <v>h</v>
      </c>
      <c r="L593" s="2">
        <f t="shared" si="117"/>
        <v>1</v>
      </c>
      <c r="M593" s="2">
        <f t="shared" si="118"/>
        <v>0</v>
      </c>
      <c r="N593" s="2">
        <f t="shared" si="119"/>
        <v>1</v>
      </c>
      <c r="O593" s="2">
        <f t="shared" si="120"/>
        <v>0</v>
      </c>
      <c r="P593" s="112">
        <f t="shared" si="121"/>
        <v>2</v>
      </c>
      <c r="Q593" s="112">
        <f t="shared" si="122"/>
        <v>0</v>
      </c>
      <c r="R593" s="53"/>
      <c r="S593" s="53" t="str">
        <f t="shared" si="123"/>
        <v>Base S1|Red Parallel - Season 1|92|Red</v>
      </c>
      <c r="T593" s="57" t="str">
        <f>IF($S593="","",IFERROR(VLOOKUP($S593,'Pop Estimates (Non-#d)'!$N$2:$O$500,2,FALSE),""))</f>
        <v/>
      </c>
      <c r="U593" s="57" t="str">
        <f t="shared" si="124"/>
        <v/>
      </c>
      <c r="V593" s="53" t="str">
        <f t="shared" si="125"/>
        <v/>
      </c>
      <c r="W593" s="53" t="str">
        <f t="shared" si="126"/>
        <v/>
      </c>
      <c r="X593" s="53" t="str">
        <f t="shared" si="127"/>
        <v/>
      </c>
      <c r="Y593" s="57" t="str">
        <f>IF($X593="","",IFERROR(VLOOKUP($X593,'Char Popularity'!$A$2:$C$500,2,FALSE),""))</f>
        <v/>
      </c>
      <c r="Z593" s="56">
        <f>IF($X593="",1,IFERROR(VLOOKUP($X593,'Char Popularity'!$A$2:$C$500,3,FALSE),1))</f>
        <v>1</v>
      </c>
      <c r="AA593" s="62">
        <f>IF($H593&lt;&gt;"Y",0,(IF($F593&lt;&gt;"",ROUND(Dashboard!$R$4/$F593,1),IF(AND($I593="Base",$E593="Base"),Dashboard!$R$5,IF(AND($I593="Base",$E593="Red"),Dashboard!$R$6,IF(AND($I593="Base",$E593="Gold"),Dashboard!$R$7,VLOOKUP($I593,Dashboard!$Q$16:$R$21,2,FALSE)))))*VLOOKUP($I593,Dashboard!$Q$9:$R$13,2,FALSE)*IF(AND($I593="Auto",$F593="",OR($B593="Autographs Duals",$B593="Autographs Triples",$B593="Autographs Quads",$B593="Autographs Quads (Inscribed)")),IF($B593="Autographs Duals",2,IF($B593="Autographs Triples",3,4)),1)))</f>
        <v>2</v>
      </c>
      <c r="AB593" s="62">
        <f t="shared" si="128"/>
        <v>2</v>
      </c>
      <c r="AC593" s="62">
        <f t="shared" si="129"/>
        <v>0</v>
      </c>
    </row>
    <row r="594" spans="1:29" ht="28.7" customHeight="1" x14ac:dyDescent="0.25">
      <c r="A594" s="4" t="s">
        <v>17</v>
      </c>
      <c r="B594" s="7" t="s">
        <v>63</v>
      </c>
      <c r="C594" s="2" t="s">
        <v>1492</v>
      </c>
      <c r="D594" s="7" t="s">
        <v>1029</v>
      </c>
      <c r="E594" s="4" t="s">
        <v>823</v>
      </c>
      <c r="F594" s="2"/>
      <c r="G594" s="2" t="s">
        <v>1399</v>
      </c>
      <c r="H594" s="2" t="s">
        <v>1400</v>
      </c>
      <c r="I594" s="4" t="s">
        <v>60</v>
      </c>
      <c r="J594" s="112">
        <f>IF($H594&lt;&gt;"Y",0,ROUND(MIN(Dashboard!$R$24,IF(IFERROR(VLOOKUP($B594,Dashboard!$Q$28:$S$60,2,FALSE),0)&gt;0,IFERROR(VLOOKUP($B594,Dashboard!$Q$28:$S$60,2,FALSE),0),$Z594*IF($U594&lt;&gt;"",ROUND((Dashboard!$R$4/$U594)*VLOOKUP($I594,Dashboard!$Q$9:$R$13,2,FALSE)*IF(ISNUMBER(SEARCH("Duals",$B594)),2,IF(ISNUMBER(SEARCH("Triples",$B594)),3,IF(ISNUMBER(SEARCH("Quads",$B594)),4,1))),2),ROUND(VLOOKUP($I594,Dashboard!$Q$15:$R$20,2,FALSE)*IF($E594="Red",Dashboard!$R$6,IF($E594="Gold",Dashboard!$R$7,Dashboard!$R$5))*IF(ISNUMBER(SEARCH("Duals",$B594)),2,IF(ISNUMBER(SEARCH("Triples",$B594)),3,IF(ISNUMBER(SEARCH("Quads",$B594)),4,1))),2))*IF(IFERROR(VLOOKUP($B594,Dashboard!$Q$28:$S$60,3,FALSE),0)&gt;0,VLOOKUP($B594,Dashboard!$Q$28:$S$60,3,FALSE),1))),0))</f>
        <v>2</v>
      </c>
      <c r="K594" s="2" t="str">
        <f>IF('Base S1'!D94="","",'Base S1'!D94)</f>
        <v>h</v>
      </c>
      <c r="L594" s="2">
        <f t="shared" si="117"/>
        <v>1</v>
      </c>
      <c r="M594" s="2">
        <f t="shared" si="118"/>
        <v>0</v>
      </c>
      <c r="N594" s="2">
        <f t="shared" si="119"/>
        <v>1</v>
      </c>
      <c r="O594" s="2">
        <f t="shared" si="120"/>
        <v>0</v>
      </c>
      <c r="P594" s="112">
        <f t="shared" si="121"/>
        <v>2</v>
      </c>
      <c r="Q594" s="112">
        <f t="shared" si="122"/>
        <v>0</v>
      </c>
      <c r="R594" s="53"/>
      <c r="S594" s="53" t="str">
        <f t="shared" si="123"/>
        <v>Base S1|Red Parallel - Season 1|93|Red</v>
      </c>
      <c r="T594" s="57" t="str">
        <f>IF($S594="","",IFERROR(VLOOKUP($S594,'Pop Estimates (Non-#d)'!$N$2:$O$500,2,FALSE),""))</f>
        <v/>
      </c>
      <c r="U594" s="57" t="str">
        <f t="shared" si="124"/>
        <v/>
      </c>
      <c r="V594" s="53" t="str">
        <f t="shared" si="125"/>
        <v/>
      </c>
      <c r="W594" s="53" t="str">
        <f t="shared" si="126"/>
        <v/>
      </c>
      <c r="X594" s="53" t="str">
        <f t="shared" si="127"/>
        <v/>
      </c>
      <c r="Y594" s="57" t="str">
        <f>IF($X594="","",IFERROR(VLOOKUP($X594,'Char Popularity'!$A$2:$C$500,2,FALSE),""))</f>
        <v/>
      </c>
      <c r="Z594" s="56">
        <f>IF($X594="",1,IFERROR(VLOOKUP($X594,'Char Popularity'!$A$2:$C$500,3,FALSE),1))</f>
        <v>1</v>
      </c>
      <c r="AA594" s="62">
        <f>IF($H594&lt;&gt;"Y",0,(IF($F594&lt;&gt;"",ROUND(Dashboard!$R$4/$F594,1),IF(AND($I594="Base",$E594="Base"),Dashboard!$R$5,IF(AND($I594="Base",$E594="Red"),Dashboard!$R$6,IF(AND($I594="Base",$E594="Gold"),Dashboard!$R$7,VLOOKUP($I594,Dashboard!$Q$16:$R$21,2,FALSE)))))*VLOOKUP($I594,Dashboard!$Q$9:$R$13,2,FALSE)*IF(AND($I594="Auto",$F594="",OR($B594="Autographs Duals",$B594="Autographs Triples",$B594="Autographs Quads",$B594="Autographs Quads (Inscribed)")),IF($B594="Autographs Duals",2,IF($B594="Autographs Triples",3,4)),1)))</f>
        <v>2</v>
      </c>
      <c r="AB594" s="62">
        <f t="shared" si="128"/>
        <v>2</v>
      </c>
      <c r="AC594" s="62">
        <f t="shared" si="129"/>
        <v>0</v>
      </c>
    </row>
    <row r="595" spans="1:29" ht="28.7" customHeight="1" x14ac:dyDescent="0.25">
      <c r="A595" s="4" t="s">
        <v>17</v>
      </c>
      <c r="B595" s="7" t="s">
        <v>63</v>
      </c>
      <c r="C595" s="2" t="s">
        <v>1493</v>
      </c>
      <c r="D595" s="7" t="s">
        <v>1031</v>
      </c>
      <c r="E595" s="4" t="s">
        <v>823</v>
      </c>
      <c r="F595" s="2"/>
      <c r="G595" s="2" t="s">
        <v>1399</v>
      </c>
      <c r="H595" s="2" t="s">
        <v>1400</v>
      </c>
      <c r="I595" s="4" t="s">
        <v>60</v>
      </c>
      <c r="J595" s="112">
        <f>IF($H595&lt;&gt;"Y",0,ROUND(MIN(Dashboard!$R$24,IF(IFERROR(VLOOKUP($B595,Dashboard!$Q$28:$S$60,2,FALSE),0)&gt;0,IFERROR(VLOOKUP($B595,Dashboard!$Q$28:$S$60,2,FALSE),0),$Z595*IF($U595&lt;&gt;"",ROUND((Dashboard!$R$4/$U595)*VLOOKUP($I595,Dashboard!$Q$9:$R$13,2,FALSE)*IF(ISNUMBER(SEARCH("Duals",$B595)),2,IF(ISNUMBER(SEARCH("Triples",$B595)),3,IF(ISNUMBER(SEARCH("Quads",$B595)),4,1))),2),ROUND(VLOOKUP($I595,Dashboard!$Q$15:$R$20,2,FALSE)*IF($E595="Red",Dashboard!$R$6,IF($E595="Gold",Dashboard!$R$7,Dashboard!$R$5))*IF(ISNUMBER(SEARCH("Duals",$B595)),2,IF(ISNUMBER(SEARCH("Triples",$B595)),3,IF(ISNUMBER(SEARCH("Quads",$B595)),4,1))),2))*IF(IFERROR(VLOOKUP($B595,Dashboard!$Q$28:$S$60,3,FALSE),0)&gt;0,VLOOKUP($B595,Dashboard!$Q$28:$S$60,3,FALSE),1))),0))</f>
        <v>2</v>
      </c>
      <c r="K595" s="2" t="str">
        <f>IF('Base S1'!D95="","",'Base S1'!D95)</f>
        <v>h</v>
      </c>
      <c r="L595" s="2">
        <f t="shared" si="117"/>
        <v>1</v>
      </c>
      <c r="M595" s="2">
        <f t="shared" si="118"/>
        <v>0</v>
      </c>
      <c r="N595" s="2">
        <f t="shared" si="119"/>
        <v>1</v>
      </c>
      <c r="O595" s="2">
        <f t="shared" si="120"/>
        <v>0</v>
      </c>
      <c r="P595" s="112">
        <f t="shared" si="121"/>
        <v>2</v>
      </c>
      <c r="Q595" s="112">
        <f t="shared" si="122"/>
        <v>0</v>
      </c>
      <c r="R595" s="53"/>
      <c r="S595" s="53" t="str">
        <f t="shared" si="123"/>
        <v>Base S1|Red Parallel - Season 1|94|Red</v>
      </c>
      <c r="T595" s="57" t="str">
        <f>IF($S595="","",IFERROR(VLOOKUP($S595,'Pop Estimates (Non-#d)'!$N$2:$O$500,2,FALSE),""))</f>
        <v/>
      </c>
      <c r="U595" s="57" t="str">
        <f t="shared" si="124"/>
        <v/>
      </c>
      <c r="V595" s="53" t="str">
        <f t="shared" si="125"/>
        <v/>
      </c>
      <c r="W595" s="53" t="str">
        <f t="shared" si="126"/>
        <v/>
      </c>
      <c r="X595" s="53" t="str">
        <f t="shared" si="127"/>
        <v/>
      </c>
      <c r="Y595" s="57" t="str">
        <f>IF($X595="","",IFERROR(VLOOKUP($X595,'Char Popularity'!$A$2:$C$500,2,FALSE),""))</f>
        <v/>
      </c>
      <c r="Z595" s="56">
        <f>IF($X595="",1,IFERROR(VLOOKUP($X595,'Char Popularity'!$A$2:$C$500,3,FALSE),1))</f>
        <v>1</v>
      </c>
      <c r="AA595" s="62">
        <f>IF($H595&lt;&gt;"Y",0,(IF($F595&lt;&gt;"",ROUND(Dashboard!$R$4/$F595,1),IF(AND($I595="Base",$E595="Base"),Dashboard!$R$5,IF(AND($I595="Base",$E595="Red"),Dashboard!$R$6,IF(AND($I595="Base",$E595="Gold"),Dashboard!$R$7,VLOOKUP($I595,Dashboard!$Q$16:$R$21,2,FALSE)))))*VLOOKUP($I595,Dashboard!$Q$9:$R$13,2,FALSE)*IF(AND($I595="Auto",$F595="",OR($B595="Autographs Duals",$B595="Autographs Triples",$B595="Autographs Quads",$B595="Autographs Quads (Inscribed)")),IF($B595="Autographs Duals",2,IF($B595="Autographs Triples",3,4)),1)))</f>
        <v>2</v>
      </c>
      <c r="AB595" s="62">
        <f t="shared" si="128"/>
        <v>2</v>
      </c>
      <c r="AC595" s="62">
        <f t="shared" si="129"/>
        <v>0</v>
      </c>
    </row>
    <row r="596" spans="1:29" ht="28.7" customHeight="1" x14ac:dyDescent="0.25">
      <c r="A596" s="4" t="s">
        <v>17</v>
      </c>
      <c r="B596" s="7" t="s">
        <v>63</v>
      </c>
      <c r="C596" s="2" t="s">
        <v>1494</v>
      </c>
      <c r="D596" s="7" t="s">
        <v>1032</v>
      </c>
      <c r="E596" s="4" t="s">
        <v>823</v>
      </c>
      <c r="F596" s="2"/>
      <c r="G596" s="2" t="s">
        <v>1399</v>
      </c>
      <c r="H596" s="2" t="s">
        <v>1400</v>
      </c>
      <c r="I596" s="4" t="s">
        <v>60</v>
      </c>
      <c r="J596" s="112">
        <f>IF($H596&lt;&gt;"Y",0,ROUND(MIN(Dashboard!$R$24,IF(IFERROR(VLOOKUP($B596,Dashboard!$Q$28:$S$60,2,FALSE),0)&gt;0,IFERROR(VLOOKUP($B596,Dashboard!$Q$28:$S$60,2,FALSE),0),$Z596*IF($U596&lt;&gt;"",ROUND((Dashboard!$R$4/$U596)*VLOOKUP($I596,Dashboard!$Q$9:$R$13,2,FALSE)*IF(ISNUMBER(SEARCH("Duals",$B596)),2,IF(ISNUMBER(SEARCH("Triples",$B596)),3,IF(ISNUMBER(SEARCH("Quads",$B596)),4,1))),2),ROUND(VLOOKUP($I596,Dashboard!$Q$15:$R$20,2,FALSE)*IF($E596="Red",Dashboard!$R$6,IF($E596="Gold",Dashboard!$R$7,Dashboard!$R$5))*IF(ISNUMBER(SEARCH("Duals",$B596)),2,IF(ISNUMBER(SEARCH("Triples",$B596)),3,IF(ISNUMBER(SEARCH("Quads",$B596)),4,1))),2))*IF(IFERROR(VLOOKUP($B596,Dashboard!$Q$28:$S$60,3,FALSE),0)&gt;0,VLOOKUP($B596,Dashboard!$Q$28:$S$60,3,FALSE),1))),0))</f>
        <v>2</v>
      </c>
      <c r="K596" s="2" t="str">
        <f>IF('Base S1'!D96="","",'Base S1'!D96)</f>
        <v>h</v>
      </c>
      <c r="L596" s="2">
        <f t="shared" si="117"/>
        <v>1</v>
      </c>
      <c r="M596" s="2">
        <f t="shared" si="118"/>
        <v>0</v>
      </c>
      <c r="N596" s="2">
        <f t="shared" si="119"/>
        <v>1</v>
      </c>
      <c r="O596" s="2">
        <f t="shared" si="120"/>
        <v>0</v>
      </c>
      <c r="P596" s="112">
        <f t="shared" si="121"/>
        <v>2</v>
      </c>
      <c r="Q596" s="112">
        <f t="shared" si="122"/>
        <v>0</v>
      </c>
      <c r="R596" s="53"/>
      <c r="S596" s="53" t="str">
        <f t="shared" si="123"/>
        <v>Base S1|Red Parallel - Season 1|95|Red</v>
      </c>
      <c r="T596" s="57" t="str">
        <f>IF($S596="","",IFERROR(VLOOKUP($S596,'Pop Estimates (Non-#d)'!$N$2:$O$500,2,FALSE),""))</f>
        <v/>
      </c>
      <c r="U596" s="57" t="str">
        <f t="shared" si="124"/>
        <v/>
      </c>
      <c r="V596" s="53" t="str">
        <f t="shared" si="125"/>
        <v/>
      </c>
      <c r="W596" s="53" t="str">
        <f t="shared" si="126"/>
        <v/>
      </c>
      <c r="X596" s="53" t="str">
        <f t="shared" si="127"/>
        <v/>
      </c>
      <c r="Y596" s="57" t="str">
        <f>IF($X596="","",IFERROR(VLOOKUP($X596,'Char Popularity'!$A$2:$C$500,2,FALSE),""))</f>
        <v/>
      </c>
      <c r="Z596" s="56">
        <f>IF($X596="",1,IFERROR(VLOOKUP($X596,'Char Popularity'!$A$2:$C$500,3,FALSE),1))</f>
        <v>1</v>
      </c>
      <c r="AA596" s="62">
        <f>IF($H596&lt;&gt;"Y",0,(IF($F596&lt;&gt;"",ROUND(Dashboard!$R$4/$F596,1),IF(AND($I596="Base",$E596="Base"),Dashboard!$R$5,IF(AND($I596="Base",$E596="Red"),Dashboard!$R$6,IF(AND($I596="Base",$E596="Gold"),Dashboard!$R$7,VLOOKUP($I596,Dashboard!$Q$16:$R$21,2,FALSE)))))*VLOOKUP($I596,Dashboard!$Q$9:$R$13,2,FALSE)*IF(AND($I596="Auto",$F596="",OR($B596="Autographs Duals",$B596="Autographs Triples",$B596="Autographs Quads",$B596="Autographs Quads (Inscribed)")),IF($B596="Autographs Duals",2,IF($B596="Autographs Triples",3,4)),1)))</f>
        <v>2</v>
      </c>
      <c r="AB596" s="62">
        <f t="shared" si="128"/>
        <v>2</v>
      </c>
      <c r="AC596" s="62">
        <f t="shared" si="129"/>
        <v>0</v>
      </c>
    </row>
    <row r="597" spans="1:29" ht="28.7" customHeight="1" x14ac:dyDescent="0.25">
      <c r="A597" s="4" t="s">
        <v>17</v>
      </c>
      <c r="B597" s="7" t="s">
        <v>63</v>
      </c>
      <c r="C597" s="2" t="s">
        <v>1495</v>
      </c>
      <c r="D597" s="7" t="s">
        <v>1034</v>
      </c>
      <c r="E597" s="4" t="s">
        <v>823</v>
      </c>
      <c r="F597" s="2"/>
      <c r="G597" s="2" t="s">
        <v>1399</v>
      </c>
      <c r="H597" s="2" t="s">
        <v>1400</v>
      </c>
      <c r="I597" s="4" t="s">
        <v>60</v>
      </c>
      <c r="J597" s="112">
        <f>IF($H597&lt;&gt;"Y",0,ROUND(MIN(Dashboard!$R$24,IF(IFERROR(VLOOKUP($B597,Dashboard!$Q$28:$S$60,2,FALSE),0)&gt;0,IFERROR(VLOOKUP($B597,Dashboard!$Q$28:$S$60,2,FALSE),0),$Z597*IF($U597&lt;&gt;"",ROUND((Dashboard!$R$4/$U597)*VLOOKUP($I597,Dashboard!$Q$9:$R$13,2,FALSE)*IF(ISNUMBER(SEARCH("Duals",$B597)),2,IF(ISNUMBER(SEARCH("Triples",$B597)),3,IF(ISNUMBER(SEARCH("Quads",$B597)),4,1))),2),ROUND(VLOOKUP($I597,Dashboard!$Q$15:$R$20,2,FALSE)*IF($E597="Red",Dashboard!$R$6,IF($E597="Gold",Dashboard!$R$7,Dashboard!$R$5))*IF(ISNUMBER(SEARCH("Duals",$B597)),2,IF(ISNUMBER(SEARCH("Triples",$B597)),3,IF(ISNUMBER(SEARCH("Quads",$B597)),4,1))),2))*IF(IFERROR(VLOOKUP($B597,Dashboard!$Q$28:$S$60,3,FALSE),0)&gt;0,VLOOKUP($B597,Dashboard!$Q$28:$S$60,3,FALSE),1))),0))</f>
        <v>2</v>
      </c>
      <c r="K597" s="2" t="str">
        <f>IF('Base S1'!D97="","",'Base S1'!D97)</f>
        <v>h</v>
      </c>
      <c r="L597" s="2">
        <f t="shared" si="117"/>
        <v>1</v>
      </c>
      <c r="M597" s="2">
        <f t="shared" si="118"/>
        <v>0</v>
      </c>
      <c r="N597" s="2">
        <f t="shared" si="119"/>
        <v>1</v>
      </c>
      <c r="O597" s="2">
        <f t="shared" si="120"/>
        <v>0</v>
      </c>
      <c r="P597" s="112">
        <f t="shared" si="121"/>
        <v>2</v>
      </c>
      <c r="Q597" s="112">
        <f t="shared" si="122"/>
        <v>0</v>
      </c>
      <c r="R597" s="53"/>
      <c r="S597" s="53" t="str">
        <f t="shared" si="123"/>
        <v>Base S1|Red Parallel - Season 1|96|Red</v>
      </c>
      <c r="T597" s="57" t="str">
        <f>IF($S597="","",IFERROR(VLOOKUP($S597,'Pop Estimates (Non-#d)'!$N$2:$O$500,2,FALSE),""))</f>
        <v/>
      </c>
      <c r="U597" s="57" t="str">
        <f t="shared" si="124"/>
        <v/>
      </c>
      <c r="V597" s="53" t="str">
        <f t="shared" si="125"/>
        <v/>
      </c>
      <c r="W597" s="53" t="str">
        <f t="shared" si="126"/>
        <v/>
      </c>
      <c r="X597" s="53" t="str">
        <f t="shared" si="127"/>
        <v/>
      </c>
      <c r="Y597" s="57" t="str">
        <f>IF($X597="","",IFERROR(VLOOKUP($X597,'Char Popularity'!$A$2:$C$500,2,FALSE),""))</f>
        <v/>
      </c>
      <c r="Z597" s="56">
        <f>IF($X597="",1,IFERROR(VLOOKUP($X597,'Char Popularity'!$A$2:$C$500,3,FALSE),1))</f>
        <v>1</v>
      </c>
      <c r="AA597" s="62">
        <f>IF($H597&lt;&gt;"Y",0,(IF($F597&lt;&gt;"",ROUND(Dashboard!$R$4/$F597,1),IF(AND($I597="Base",$E597="Base"),Dashboard!$R$5,IF(AND($I597="Base",$E597="Red"),Dashboard!$R$6,IF(AND($I597="Base",$E597="Gold"),Dashboard!$R$7,VLOOKUP($I597,Dashboard!$Q$16:$R$21,2,FALSE)))))*VLOOKUP($I597,Dashboard!$Q$9:$R$13,2,FALSE)*IF(AND($I597="Auto",$F597="",OR($B597="Autographs Duals",$B597="Autographs Triples",$B597="Autographs Quads",$B597="Autographs Quads (Inscribed)")),IF($B597="Autographs Duals",2,IF($B597="Autographs Triples",3,4)),1)))</f>
        <v>2</v>
      </c>
      <c r="AB597" s="62">
        <f t="shared" si="128"/>
        <v>2</v>
      </c>
      <c r="AC597" s="62">
        <f t="shared" si="129"/>
        <v>0</v>
      </c>
    </row>
    <row r="598" spans="1:29" ht="28.7" customHeight="1" x14ac:dyDescent="0.25">
      <c r="A598" s="4" t="s">
        <v>17</v>
      </c>
      <c r="B598" s="7" t="s">
        <v>63</v>
      </c>
      <c r="C598" s="2" t="s">
        <v>1496</v>
      </c>
      <c r="D598" s="7" t="s">
        <v>1036</v>
      </c>
      <c r="E598" s="4" t="s">
        <v>823</v>
      </c>
      <c r="F598" s="2"/>
      <c r="G598" s="2" t="s">
        <v>1399</v>
      </c>
      <c r="H598" s="2" t="s">
        <v>1400</v>
      </c>
      <c r="I598" s="4" t="s">
        <v>60</v>
      </c>
      <c r="J598" s="112">
        <f>IF($H598&lt;&gt;"Y",0,ROUND(MIN(Dashboard!$R$24,IF(IFERROR(VLOOKUP($B598,Dashboard!$Q$28:$S$60,2,FALSE),0)&gt;0,IFERROR(VLOOKUP($B598,Dashboard!$Q$28:$S$60,2,FALSE),0),$Z598*IF($U598&lt;&gt;"",ROUND((Dashboard!$R$4/$U598)*VLOOKUP($I598,Dashboard!$Q$9:$R$13,2,FALSE)*IF(ISNUMBER(SEARCH("Duals",$B598)),2,IF(ISNUMBER(SEARCH("Triples",$B598)),3,IF(ISNUMBER(SEARCH("Quads",$B598)),4,1))),2),ROUND(VLOOKUP($I598,Dashboard!$Q$15:$R$20,2,FALSE)*IF($E598="Red",Dashboard!$R$6,IF($E598="Gold",Dashboard!$R$7,Dashboard!$R$5))*IF(ISNUMBER(SEARCH("Duals",$B598)),2,IF(ISNUMBER(SEARCH("Triples",$B598)),3,IF(ISNUMBER(SEARCH("Quads",$B598)),4,1))),2))*IF(IFERROR(VLOOKUP($B598,Dashboard!$Q$28:$S$60,3,FALSE),0)&gt;0,VLOOKUP($B598,Dashboard!$Q$28:$S$60,3,FALSE),1))),0))</f>
        <v>2</v>
      </c>
      <c r="K598" s="2" t="str">
        <f>IF('Base S1'!D98="","",'Base S1'!D98)</f>
        <v>h</v>
      </c>
      <c r="L598" s="2">
        <f t="shared" si="117"/>
        <v>1</v>
      </c>
      <c r="M598" s="2">
        <f t="shared" si="118"/>
        <v>0</v>
      </c>
      <c r="N598" s="2">
        <f t="shared" si="119"/>
        <v>1</v>
      </c>
      <c r="O598" s="2">
        <f t="shared" si="120"/>
        <v>0</v>
      </c>
      <c r="P598" s="112">
        <f t="shared" si="121"/>
        <v>2</v>
      </c>
      <c r="Q598" s="112">
        <f t="shared" si="122"/>
        <v>0</v>
      </c>
      <c r="R598" s="53"/>
      <c r="S598" s="53" t="str">
        <f t="shared" si="123"/>
        <v>Base S1|Red Parallel - Season 1|97|Red</v>
      </c>
      <c r="T598" s="57" t="str">
        <f>IF($S598="","",IFERROR(VLOOKUP($S598,'Pop Estimates (Non-#d)'!$N$2:$O$500,2,FALSE),""))</f>
        <v/>
      </c>
      <c r="U598" s="57" t="str">
        <f t="shared" si="124"/>
        <v/>
      </c>
      <c r="V598" s="53" t="str">
        <f t="shared" si="125"/>
        <v/>
      </c>
      <c r="W598" s="53" t="str">
        <f t="shared" si="126"/>
        <v/>
      </c>
      <c r="X598" s="53" t="str">
        <f t="shared" si="127"/>
        <v/>
      </c>
      <c r="Y598" s="57" t="str">
        <f>IF($X598="","",IFERROR(VLOOKUP($X598,'Char Popularity'!$A$2:$C$500,2,FALSE),""))</f>
        <v/>
      </c>
      <c r="Z598" s="56">
        <f>IF($X598="",1,IFERROR(VLOOKUP($X598,'Char Popularity'!$A$2:$C$500,3,FALSE),1))</f>
        <v>1</v>
      </c>
      <c r="AA598" s="62">
        <f>IF($H598&lt;&gt;"Y",0,(IF($F598&lt;&gt;"",ROUND(Dashboard!$R$4/$F598,1),IF(AND($I598="Base",$E598="Base"),Dashboard!$R$5,IF(AND($I598="Base",$E598="Red"),Dashboard!$R$6,IF(AND($I598="Base",$E598="Gold"),Dashboard!$R$7,VLOOKUP($I598,Dashboard!$Q$16:$R$21,2,FALSE)))))*VLOOKUP($I598,Dashboard!$Q$9:$R$13,2,FALSE)*IF(AND($I598="Auto",$F598="",OR($B598="Autographs Duals",$B598="Autographs Triples",$B598="Autographs Quads",$B598="Autographs Quads (Inscribed)")),IF($B598="Autographs Duals",2,IF($B598="Autographs Triples",3,4)),1)))</f>
        <v>2</v>
      </c>
      <c r="AB598" s="62">
        <f t="shared" si="128"/>
        <v>2</v>
      </c>
      <c r="AC598" s="62">
        <f t="shared" si="129"/>
        <v>0</v>
      </c>
    </row>
    <row r="599" spans="1:29" ht="28.7" customHeight="1" x14ac:dyDescent="0.25">
      <c r="A599" s="4" t="s">
        <v>17</v>
      </c>
      <c r="B599" s="7" t="s">
        <v>63</v>
      </c>
      <c r="C599" s="2" t="s">
        <v>1497</v>
      </c>
      <c r="D599" s="7" t="s">
        <v>1037</v>
      </c>
      <c r="E599" s="4" t="s">
        <v>823</v>
      </c>
      <c r="F599" s="2"/>
      <c r="G599" s="2" t="s">
        <v>1399</v>
      </c>
      <c r="H599" s="2" t="s">
        <v>1400</v>
      </c>
      <c r="I599" s="4" t="s">
        <v>60</v>
      </c>
      <c r="J599" s="112">
        <f>IF($H599&lt;&gt;"Y",0,ROUND(MIN(Dashboard!$R$24,IF(IFERROR(VLOOKUP($B599,Dashboard!$Q$28:$S$60,2,FALSE),0)&gt;0,IFERROR(VLOOKUP($B599,Dashboard!$Q$28:$S$60,2,FALSE),0),$Z599*IF($U599&lt;&gt;"",ROUND((Dashboard!$R$4/$U599)*VLOOKUP($I599,Dashboard!$Q$9:$R$13,2,FALSE)*IF(ISNUMBER(SEARCH("Duals",$B599)),2,IF(ISNUMBER(SEARCH("Triples",$B599)),3,IF(ISNUMBER(SEARCH("Quads",$B599)),4,1))),2),ROUND(VLOOKUP($I599,Dashboard!$Q$15:$R$20,2,FALSE)*IF($E599="Red",Dashboard!$R$6,IF($E599="Gold",Dashboard!$R$7,Dashboard!$R$5))*IF(ISNUMBER(SEARCH("Duals",$B599)),2,IF(ISNUMBER(SEARCH("Triples",$B599)),3,IF(ISNUMBER(SEARCH("Quads",$B599)),4,1))),2))*IF(IFERROR(VLOOKUP($B599,Dashboard!$Q$28:$S$60,3,FALSE),0)&gt;0,VLOOKUP($B599,Dashboard!$Q$28:$S$60,3,FALSE),1))),0))</f>
        <v>2</v>
      </c>
      <c r="K599" s="2" t="str">
        <f>IF('Base S1'!D99="","",'Base S1'!D99)</f>
        <v>h</v>
      </c>
      <c r="L599" s="2">
        <f t="shared" si="117"/>
        <v>1</v>
      </c>
      <c r="M599" s="2">
        <f t="shared" si="118"/>
        <v>0</v>
      </c>
      <c r="N599" s="2">
        <f t="shared" si="119"/>
        <v>1</v>
      </c>
      <c r="O599" s="2">
        <f t="shared" si="120"/>
        <v>0</v>
      </c>
      <c r="P599" s="112">
        <f t="shared" si="121"/>
        <v>2</v>
      </c>
      <c r="Q599" s="112">
        <f t="shared" si="122"/>
        <v>0</v>
      </c>
      <c r="R599" s="53"/>
      <c r="S599" s="53" t="str">
        <f t="shared" si="123"/>
        <v>Base S1|Red Parallel - Season 1|98|Red</v>
      </c>
      <c r="T599" s="57" t="str">
        <f>IF($S599="","",IFERROR(VLOOKUP($S599,'Pop Estimates (Non-#d)'!$N$2:$O$500,2,FALSE),""))</f>
        <v/>
      </c>
      <c r="U599" s="57" t="str">
        <f t="shared" si="124"/>
        <v/>
      </c>
      <c r="V599" s="53" t="str">
        <f t="shared" si="125"/>
        <v/>
      </c>
      <c r="W599" s="53" t="str">
        <f t="shared" si="126"/>
        <v/>
      </c>
      <c r="X599" s="53" t="str">
        <f t="shared" si="127"/>
        <v/>
      </c>
      <c r="Y599" s="57" t="str">
        <f>IF($X599="","",IFERROR(VLOOKUP($X599,'Char Popularity'!$A$2:$C$500,2,FALSE),""))</f>
        <v/>
      </c>
      <c r="Z599" s="56">
        <f>IF($X599="",1,IFERROR(VLOOKUP($X599,'Char Popularity'!$A$2:$C$500,3,FALSE),1))</f>
        <v>1</v>
      </c>
      <c r="AA599" s="62">
        <f>IF($H599&lt;&gt;"Y",0,(IF($F599&lt;&gt;"",ROUND(Dashboard!$R$4/$F599,1),IF(AND($I599="Base",$E599="Base"),Dashboard!$R$5,IF(AND($I599="Base",$E599="Red"),Dashboard!$R$6,IF(AND($I599="Base",$E599="Gold"),Dashboard!$R$7,VLOOKUP($I599,Dashboard!$Q$16:$R$21,2,FALSE)))))*VLOOKUP($I599,Dashboard!$Q$9:$R$13,2,FALSE)*IF(AND($I599="Auto",$F599="",OR($B599="Autographs Duals",$B599="Autographs Triples",$B599="Autographs Quads",$B599="Autographs Quads (Inscribed)")),IF($B599="Autographs Duals",2,IF($B599="Autographs Triples",3,4)),1)))</f>
        <v>2</v>
      </c>
      <c r="AB599" s="62">
        <f t="shared" si="128"/>
        <v>2</v>
      </c>
      <c r="AC599" s="62">
        <f t="shared" si="129"/>
        <v>0</v>
      </c>
    </row>
    <row r="600" spans="1:29" ht="28.7" customHeight="1" x14ac:dyDescent="0.25">
      <c r="A600" s="4" t="s">
        <v>17</v>
      </c>
      <c r="B600" s="7" t="s">
        <v>63</v>
      </c>
      <c r="C600" s="2" t="s">
        <v>1498</v>
      </c>
      <c r="D600" s="7" t="s">
        <v>1039</v>
      </c>
      <c r="E600" s="4" t="s">
        <v>823</v>
      </c>
      <c r="F600" s="2"/>
      <c r="G600" s="2" t="s">
        <v>1399</v>
      </c>
      <c r="H600" s="2" t="s">
        <v>1400</v>
      </c>
      <c r="I600" s="4" t="s">
        <v>60</v>
      </c>
      <c r="J600" s="112">
        <f>IF($H600&lt;&gt;"Y",0,ROUND(MIN(Dashboard!$R$24,IF(IFERROR(VLOOKUP($B600,Dashboard!$Q$28:$S$60,2,FALSE),0)&gt;0,IFERROR(VLOOKUP($B600,Dashboard!$Q$28:$S$60,2,FALSE),0),$Z600*IF($U600&lt;&gt;"",ROUND((Dashboard!$R$4/$U600)*VLOOKUP($I600,Dashboard!$Q$9:$R$13,2,FALSE)*IF(ISNUMBER(SEARCH("Duals",$B600)),2,IF(ISNUMBER(SEARCH("Triples",$B600)),3,IF(ISNUMBER(SEARCH("Quads",$B600)),4,1))),2),ROUND(VLOOKUP($I600,Dashboard!$Q$15:$R$20,2,FALSE)*IF($E600="Red",Dashboard!$R$6,IF($E600="Gold",Dashboard!$R$7,Dashboard!$R$5))*IF(ISNUMBER(SEARCH("Duals",$B600)),2,IF(ISNUMBER(SEARCH("Triples",$B600)),3,IF(ISNUMBER(SEARCH("Quads",$B600)),4,1))),2))*IF(IFERROR(VLOOKUP($B600,Dashboard!$Q$28:$S$60,3,FALSE),0)&gt;0,VLOOKUP($B600,Dashboard!$Q$28:$S$60,3,FALSE),1))),0))</f>
        <v>2</v>
      </c>
      <c r="K600" s="2" t="str">
        <f>IF('Base S1'!D100="","",'Base S1'!D100)</f>
        <v>h</v>
      </c>
      <c r="L600" s="2">
        <f t="shared" si="117"/>
        <v>1</v>
      </c>
      <c r="M600" s="2">
        <f t="shared" si="118"/>
        <v>0</v>
      </c>
      <c r="N600" s="2">
        <f t="shared" si="119"/>
        <v>1</v>
      </c>
      <c r="O600" s="2">
        <f t="shared" si="120"/>
        <v>0</v>
      </c>
      <c r="P600" s="112">
        <f t="shared" si="121"/>
        <v>2</v>
      </c>
      <c r="Q600" s="112">
        <f t="shared" si="122"/>
        <v>0</v>
      </c>
      <c r="R600" s="53"/>
      <c r="S600" s="53" t="str">
        <f t="shared" si="123"/>
        <v>Base S1|Red Parallel - Season 1|99|Red</v>
      </c>
      <c r="T600" s="57" t="str">
        <f>IF($S600="","",IFERROR(VLOOKUP($S600,'Pop Estimates (Non-#d)'!$N$2:$O$500,2,FALSE),""))</f>
        <v/>
      </c>
      <c r="U600" s="57" t="str">
        <f t="shared" si="124"/>
        <v/>
      </c>
      <c r="V600" s="53" t="str">
        <f t="shared" si="125"/>
        <v/>
      </c>
      <c r="W600" s="53" t="str">
        <f t="shared" si="126"/>
        <v/>
      </c>
      <c r="X600" s="53" t="str">
        <f t="shared" si="127"/>
        <v/>
      </c>
      <c r="Y600" s="57" t="str">
        <f>IF($X600="","",IFERROR(VLOOKUP($X600,'Char Popularity'!$A$2:$C$500,2,FALSE),""))</f>
        <v/>
      </c>
      <c r="Z600" s="56">
        <f>IF($X600="",1,IFERROR(VLOOKUP($X600,'Char Popularity'!$A$2:$C$500,3,FALSE),1))</f>
        <v>1</v>
      </c>
      <c r="AA600" s="62">
        <f>IF($H600&lt;&gt;"Y",0,(IF($F600&lt;&gt;"",ROUND(Dashboard!$R$4/$F600,1),IF(AND($I600="Base",$E600="Base"),Dashboard!$R$5,IF(AND($I600="Base",$E600="Red"),Dashboard!$R$6,IF(AND($I600="Base",$E600="Gold"),Dashboard!$R$7,VLOOKUP($I600,Dashboard!$Q$16:$R$21,2,FALSE)))))*VLOOKUP($I600,Dashboard!$Q$9:$R$13,2,FALSE)*IF(AND($I600="Auto",$F600="",OR($B600="Autographs Duals",$B600="Autographs Triples",$B600="Autographs Quads",$B600="Autographs Quads (Inscribed)")),IF($B600="Autographs Duals",2,IF($B600="Autographs Triples",3,4)),1)))</f>
        <v>2</v>
      </c>
      <c r="AB600" s="62">
        <f t="shared" si="128"/>
        <v>2</v>
      </c>
      <c r="AC600" s="62">
        <f t="shared" si="129"/>
        <v>0</v>
      </c>
    </row>
    <row r="601" spans="1:29" ht="28.7" customHeight="1" x14ac:dyDescent="0.25">
      <c r="A601" s="4" t="s">
        <v>17</v>
      </c>
      <c r="B601" s="7" t="s">
        <v>63</v>
      </c>
      <c r="C601" s="2" t="s">
        <v>1499</v>
      </c>
      <c r="D601" s="7" t="s">
        <v>1041</v>
      </c>
      <c r="E601" s="4" t="s">
        <v>823</v>
      </c>
      <c r="F601" s="2"/>
      <c r="G601" s="2" t="s">
        <v>1399</v>
      </c>
      <c r="H601" s="2" t="s">
        <v>1400</v>
      </c>
      <c r="I601" s="4" t="s">
        <v>60</v>
      </c>
      <c r="J601" s="112">
        <f>IF($H601&lt;&gt;"Y",0,ROUND(MIN(Dashboard!$R$24,IF(IFERROR(VLOOKUP($B601,Dashboard!$Q$28:$S$60,2,FALSE),0)&gt;0,IFERROR(VLOOKUP($B601,Dashboard!$Q$28:$S$60,2,FALSE),0),$Z601*IF($U601&lt;&gt;"",ROUND((Dashboard!$R$4/$U601)*VLOOKUP($I601,Dashboard!$Q$9:$R$13,2,FALSE)*IF(ISNUMBER(SEARCH("Duals",$B601)),2,IF(ISNUMBER(SEARCH("Triples",$B601)),3,IF(ISNUMBER(SEARCH("Quads",$B601)),4,1))),2),ROUND(VLOOKUP($I601,Dashboard!$Q$15:$R$20,2,FALSE)*IF($E601="Red",Dashboard!$R$6,IF($E601="Gold",Dashboard!$R$7,Dashboard!$R$5))*IF(ISNUMBER(SEARCH("Duals",$B601)),2,IF(ISNUMBER(SEARCH("Triples",$B601)),3,IF(ISNUMBER(SEARCH("Quads",$B601)),4,1))),2))*IF(IFERROR(VLOOKUP($B601,Dashboard!$Q$28:$S$60,3,FALSE),0)&gt;0,VLOOKUP($B601,Dashboard!$Q$28:$S$60,3,FALSE),1))),0))</f>
        <v>2</v>
      </c>
      <c r="K601" s="2" t="str">
        <f>IF('Base S1'!D101="","",'Base S1'!D101)</f>
        <v>h</v>
      </c>
      <c r="L601" s="2">
        <f t="shared" si="117"/>
        <v>1</v>
      </c>
      <c r="M601" s="2">
        <f t="shared" si="118"/>
        <v>0</v>
      </c>
      <c r="N601" s="2">
        <f t="shared" si="119"/>
        <v>1</v>
      </c>
      <c r="O601" s="2">
        <f t="shared" si="120"/>
        <v>0</v>
      </c>
      <c r="P601" s="112">
        <f t="shared" si="121"/>
        <v>2</v>
      </c>
      <c r="Q601" s="112">
        <f t="shared" si="122"/>
        <v>0</v>
      </c>
      <c r="R601" s="53"/>
      <c r="S601" s="53" t="str">
        <f t="shared" si="123"/>
        <v>Base S1|Red Parallel - Season 1|100|Red</v>
      </c>
      <c r="T601" s="57" t="str">
        <f>IF($S601="","",IFERROR(VLOOKUP($S601,'Pop Estimates (Non-#d)'!$N$2:$O$500,2,FALSE),""))</f>
        <v/>
      </c>
      <c r="U601" s="57" t="str">
        <f t="shared" si="124"/>
        <v/>
      </c>
      <c r="V601" s="53" t="str">
        <f t="shared" si="125"/>
        <v/>
      </c>
      <c r="W601" s="53" t="str">
        <f t="shared" si="126"/>
        <v/>
      </c>
      <c r="X601" s="53" t="str">
        <f t="shared" si="127"/>
        <v/>
      </c>
      <c r="Y601" s="57" t="str">
        <f>IF($X601="","",IFERROR(VLOOKUP($X601,'Char Popularity'!$A$2:$C$500,2,FALSE),""))</f>
        <v/>
      </c>
      <c r="Z601" s="56">
        <f>IF($X601="",1,IFERROR(VLOOKUP($X601,'Char Popularity'!$A$2:$C$500,3,FALSE),1))</f>
        <v>1</v>
      </c>
      <c r="AA601" s="62">
        <f>IF($H601&lt;&gt;"Y",0,(IF($F601&lt;&gt;"",ROUND(Dashboard!$R$4/$F601,1),IF(AND($I601="Base",$E601="Base"),Dashboard!$R$5,IF(AND($I601="Base",$E601="Red"),Dashboard!$R$6,IF(AND($I601="Base",$E601="Gold"),Dashboard!$R$7,VLOOKUP($I601,Dashboard!$Q$16:$R$21,2,FALSE)))))*VLOOKUP($I601,Dashboard!$Q$9:$R$13,2,FALSE)*IF(AND($I601="Auto",$F601="",OR($B601="Autographs Duals",$B601="Autographs Triples",$B601="Autographs Quads",$B601="Autographs Quads (Inscribed)")),IF($B601="Autographs Duals",2,IF($B601="Autographs Triples",3,4)),1)))</f>
        <v>2</v>
      </c>
      <c r="AB601" s="62">
        <f t="shared" si="128"/>
        <v>2</v>
      </c>
      <c r="AC601" s="62">
        <f t="shared" si="129"/>
        <v>0</v>
      </c>
    </row>
    <row r="602" spans="1:29" ht="42.95" customHeight="1" x14ac:dyDescent="0.25">
      <c r="A602" s="4" t="s">
        <v>17</v>
      </c>
      <c r="B602" s="7" t="s">
        <v>72</v>
      </c>
      <c r="C602" s="2" t="s">
        <v>1398</v>
      </c>
      <c r="D602" s="7" t="s">
        <v>830</v>
      </c>
      <c r="E602" s="4" t="s">
        <v>689</v>
      </c>
      <c r="F602" s="2">
        <v>7</v>
      </c>
      <c r="G602" s="2" t="s">
        <v>1399</v>
      </c>
      <c r="H602" s="2" t="s">
        <v>1400</v>
      </c>
      <c r="I602" s="4" t="s">
        <v>60</v>
      </c>
      <c r="J602" s="112">
        <f>IF($H602&lt;&gt;"Y",0,ROUND(MIN(Dashboard!$R$24,IF(IFERROR(VLOOKUP($B602,Dashboard!$Q$28:$S$60,2,FALSE),0)&gt;0,IFERROR(VLOOKUP($B602,Dashboard!$Q$28:$S$60,2,FALSE),0),$Z602*IF($U602&lt;&gt;"",ROUND((Dashboard!$R$4/$U602)*VLOOKUP($I602,Dashboard!$Q$9:$R$13,2,FALSE)*IF(ISNUMBER(SEARCH("Duals",$B602)),2,IF(ISNUMBER(SEARCH("Triples",$B602)),3,IF(ISNUMBER(SEARCH("Quads",$B602)),4,1))),2),ROUND(VLOOKUP($I602,Dashboard!$Q$15:$R$20,2,FALSE)*IF($E602="Red",Dashboard!$R$6,IF($E602="Gold",Dashboard!$R$7,Dashboard!$R$5))*IF(ISNUMBER(SEARCH("Duals",$B602)),2,IF(ISNUMBER(SEARCH("Triples",$B602)),3,IF(ISNUMBER(SEARCH("Quads",$B602)),4,1))),2))*IF(IFERROR(VLOOKUP($B602,Dashboard!$Q$28:$S$60,3,FALSE),0)&gt;0,VLOOKUP($B602,Dashboard!$Q$28:$S$60,3,FALSE),1))),0))</f>
        <v>143</v>
      </c>
      <c r="K602" s="2" t="str">
        <f>IF('Base S1'!I2="","",'Base S1'!I2)</f>
        <v/>
      </c>
      <c r="L602" s="2">
        <f t="shared" si="117"/>
        <v>0</v>
      </c>
      <c r="M602" s="2">
        <f t="shared" si="118"/>
        <v>0</v>
      </c>
      <c r="N602" s="2">
        <f t="shared" si="119"/>
        <v>0</v>
      </c>
      <c r="O602" s="2">
        <f t="shared" si="120"/>
        <v>1</v>
      </c>
      <c r="P602" s="112">
        <f t="shared" si="121"/>
        <v>0</v>
      </c>
      <c r="Q602" s="112">
        <f t="shared" si="122"/>
        <v>0</v>
      </c>
      <c r="R602" s="53"/>
      <c r="S602" s="53" t="str">
        <f t="shared" si="123"/>
        <v>Base S1|The Seven Parallel - Season 1|1|The Seven</v>
      </c>
      <c r="T602" s="57" t="str">
        <f>IF($S602="","",IFERROR(VLOOKUP($S602,'Pop Estimates (Non-#d)'!$N$2:$O$500,2,FALSE),""))</f>
        <v/>
      </c>
      <c r="U602" s="57">
        <f t="shared" si="124"/>
        <v>7</v>
      </c>
      <c r="V602" s="53" t="str">
        <f t="shared" si="125"/>
        <v/>
      </c>
      <c r="W602" s="53" t="str">
        <f t="shared" si="126"/>
        <v/>
      </c>
      <c r="X602" s="53" t="str">
        <f t="shared" si="127"/>
        <v/>
      </c>
      <c r="Y602" s="57" t="str">
        <f>IF($X602="","",IFERROR(VLOOKUP($X602,'Char Popularity'!$A$2:$C$500,2,FALSE),""))</f>
        <v/>
      </c>
      <c r="Z602" s="56">
        <f>IF($X602="",1,IFERROR(VLOOKUP($X602,'Char Popularity'!$A$2:$C$500,3,FALSE),1))</f>
        <v>1</v>
      </c>
      <c r="AA602" s="62">
        <f>IF($H602&lt;&gt;"Y",0,(IF($F602&lt;&gt;"",ROUND(Dashboard!$R$4/$F602,1),IF(AND($I602="Base",$E602="Base"),Dashboard!$R$5,IF(AND($I602="Base",$E602="Red"),Dashboard!$R$6,IF(AND($I602="Base",$E602="Gold"),Dashboard!$R$7,VLOOKUP($I602,Dashboard!$Q$16:$R$21,2,FALSE)))))*VLOOKUP($I602,Dashboard!$Q$9:$R$13,2,FALSE)*IF(AND($I602="Auto",$F602="",OR($B602="Autographs Duals",$B602="Autographs Triples",$B602="Autographs Quads",$B602="Autographs Quads (Inscribed)")),IF($B602="Autographs Duals",2,IF($B602="Autographs Triples",3,4)),1)))</f>
        <v>142.9</v>
      </c>
      <c r="AB602" s="62">
        <f t="shared" si="128"/>
        <v>0</v>
      </c>
      <c r="AC602" s="62">
        <f t="shared" si="129"/>
        <v>0</v>
      </c>
    </row>
    <row r="603" spans="1:29" ht="42.95" customHeight="1" x14ac:dyDescent="0.25">
      <c r="A603" s="4" t="s">
        <v>17</v>
      </c>
      <c r="B603" s="7" t="s">
        <v>72</v>
      </c>
      <c r="C603" s="2" t="s">
        <v>1401</v>
      </c>
      <c r="D603" s="7" t="s">
        <v>834</v>
      </c>
      <c r="E603" s="4" t="s">
        <v>689</v>
      </c>
      <c r="F603" s="2">
        <v>7</v>
      </c>
      <c r="G603" s="2" t="s">
        <v>1399</v>
      </c>
      <c r="H603" s="2" t="s">
        <v>1400</v>
      </c>
      <c r="I603" s="4" t="s">
        <v>60</v>
      </c>
      <c r="J603" s="112">
        <f>IF($H603&lt;&gt;"Y",0,ROUND(MIN(Dashboard!$R$24,IF(IFERROR(VLOOKUP($B603,Dashboard!$Q$28:$S$60,2,FALSE),0)&gt;0,IFERROR(VLOOKUP($B603,Dashboard!$Q$28:$S$60,2,FALSE),0),$Z603*IF($U603&lt;&gt;"",ROUND((Dashboard!$R$4/$U603)*VLOOKUP($I603,Dashboard!$Q$9:$R$13,2,FALSE)*IF(ISNUMBER(SEARCH("Duals",$B603)),2,IF(ISNUMBER(SEARCH("Triples",$B603)),3,IF(ISNUMBER(SEARCH("Quads",$B603)),4,1))),2),ROUND(VLOOKUP($I603,Dashboard!$Q$15:$R$20,2,FALSE)*IF($E603="Red",Dashboard!$R$6,IF($E603="Gold",Dashboard!$R$7,Dashboard!$R$5))*IF(ISNUMBER(SEARCH("Duals",$B603)),2,IF(ISNUMBER(SEARCH("Triples",$B603)),3,IF(ISNUMBER(SEARCH("Quads",$B603)),4,1))),2))*IF(IFERROR(VLOOKUP($B603,Dashboard!$Q$28:$S$60,3,FALSE),0)&gt;0,VLOOKUP($B603,Dashboard!$Q$28:$S$60,3,FALSE),1))),0))</f>
        <v>143</v>
      </c>
      <c r="K603" s="2" t="str">
        <f>IF('Base S1'!I3="","",'Base S1'!I3)</f>
        <v/>
      </c>
      <c r="L603" s="2">
        <f t="shared" si="117"/>
        <v>0</v>
      </c>
      <c r="M603" s="2">
        <f t="shared" si="118"/>
        <v>0</v>
      </c>
      <c r="N603" s="2">
        <f t="shared" si="119"/>
        <v>0</v>
      </c>
      <c r="O603" s="2">
        <f t="shared" si="120"/>
        <v>1</v>
      </c>
      <c r="P603" s="112">
        <f t="shared" si="121"/>
        <v>0</v>
      </c>
      <c r="Q603" s="112">
        <f t="shared" si="122"/>
        <v>0</v>
      </c>
      <c r="R603" s="53"/>
      <c r="S603" s="53" t="str">
        <f t="shared" si="123"/>
        <v>Base S1|The Seven Parallel - Season 1|2|The Seven</v>
      </c>
      <c r="T603" s="57" t="str">
        <f>IF($S603="","",IFERROR(VLOOKUP($S603,'Pop Estimates (Non-#d)'!$N$2:$O$500,2,FALSE),""))</f>
        <v/>
      </c>
      <c r="U603" s="57">
        <f t="shared" si="124"/>
        <v>7</v>
      </c>
      <c r="V603" s="53" t="str">
        <f t="shared" si="125"/>
        <v/>
      </c>
      <c r="W603" s="53" t="str">
        <f t="shared" si="126"/>
        <v/>
      </c>
      <c r="X603" s="53" t="str">
        <f t="shared" si="127"/>
        <v/>
      </c>
      <c r="Y603" s="57" t="str">
        <f>IF($X603="","",IFERROR(VLOOKUP($X603,'Char Popularity'!$A$2:$C$500,2,FALSE),""))</f>
        <v/>
      </c>
      <c r="Z603" s="56">
        <f>IF($X603="",1,IFERROR(VLOOKUP($X603,'Char Popularity'!$A$2:$C$500,3,FALSE),1))</f>
        <v>1</v>
      </c>
      <c r="AA603" s="62">
        <f>IF($H603&lt;&gt;"Y",0,(IF($F603&lt;&gt;"",ROUND(Dashboard!$R$4/$F603,1),IF(AND($I603="Base",$E603="Base"),Dashboard!$R$5,IF(AND($I603="Base",$E603="Red"),Dashboard!$R$6,IF(AND($I603="Base",$E603="Gold"),Dashboard!$R$7,VLOOKUP($I603,Dashboard!$Q$16:$R$21,2,FALSE)))))*VLOOKUP($I603,Dashboard!$Q$9:$R$13,2,FALSE)*IF(AND($I603="Auto",$F603="",OR($B603="Autographs Duals",$B603="Autographs Triples",$B603="Autographs Quads",$B603="Autographs Quads (Inscribed)")),IF($B603="Autographs Duals",2,IF($B603="Autographs Triples",3,4)),1)))</f>
        <v>142.9</v>
      </c>
      <c r="AB603" s="62">
        <f t="shared" si="128"/>
        <v>0</v>
      </c>
      <c r="AC603" s="62">
        <f t="shared" si="129"/>
        <v>0</v>
      </c>
    </row>
    <row r="604" spans="1:29" ht="42.95" customHeight="1" x14ac:dyDescent="0.25">
      <c r="A604" s="4" t="s">
        <v>17</v>
      </c>
      <c r="B604" s="7" t="s">
        <v>72</v>
      </c>
      <c r="C604" s="2" t="s">
        <v>1402</v>
      </c>
      <c r="D604" s="7" t="s">
        <v>837</v>
      </c>
      <c r="E604" s="4" t="s">
        <v>689</v>
      </c>
      <c r="F604" s="2">
        <v>7</v>
      </c>
      <c r="G604" s="2" t="s">
        <v>1399</v>
      </c>
      <c r="H604" s="2" t="s">
        <v>1400</v>
      </c>
      <c r="I604" s="4" t="s">
        <v>60</v>
      </c>
      <c r="J604" s="112">
        <f>IF($H604&lt;&gt;"Y",0,ROUND(MIN(Dashboard!$R$24,IF(IFERROR(VLOOKUP($B604,Dashboard!$Q$28:$S$60,2,FALSE),0)&gt;0,IFERROR(VLOOKUP($B604,Dashboard!$Q$28:$S$60,2,FALSE),0),$Z604*IF($U604&lt;&gt;"",ROUND((Dashboard!$R$4/$U604)*VLOOKUP($I604,Dashboard!$Q$9:$R$13,2,FALSE)*IF(ISNUMBER(SEARCH("Duals",$B604)),2,IF(ISNUMBER(SEARCH("Triples",$B604)),3,IF(ISNUMBER(SEARCH("Quads",$B604)),4,1))),2),ROUND(VLOOKUP($I604,Dashboard!$Q$15:$R$20,2,FALSE)*IF($E604="Red",Dashboard!$R$6,IF($E604="Gold",Dashboard!$R$7,Dashboard!$R$5))*IF(ISNUMBER(SEARCH("Duals",$B604)),2,IF(ISNUMBER(SEARCH("Triples",$B604)),3,IF(ISNUMBER(SEARCH("Quads",$B604)),4,1))),2))*IF(IFERROR(VLOOKUP($B604,Dashboard!$Q$28:$S$60,3,FALSE),0)&gt;0,VLOOKUP($B604,Dashboard!$Q$28:$S$60,3,FALSE),1))),0))</f>
        <v>143</v>
      </c>
      <c r="K604" s="2" t="str">
        <f>IF('Base S1'!I4="","",'Base S1'!I4)</f>
        <v/>
      </c>
      <c r="L604" s="2">
        <f t="shared" si="117"/>
        <v>0</v>
      </c>
      <c r="M604" s="2">
        <f t="shared" si="118"/>
        <v>0</v>
      </c>
      <c r="N604" s="2">
        <f t="shared" si="119"/>
        <v>0</v>
      </c>
      <c r="O604" s="2">
        <f t="shared" si="120"/>
        <v>1</v>
      </c>
      <c r="P604" s="112">
        <f t="shared" si="121"/>
        <v>0</v>
      </c>
      <c r="Q604" s="112">
        <f t="shared" si="122"/>
        <v>0</v>
      </c>
      <c r="R604" s="53"/>
      <c r="S604" s="53" t="str">
        <f t="shared" si="123"/>
        <v>Base S1|The Seven Parallel - Season 1|3|The Seven</v>
      </c>
      <c r="T604" s="57" t="str">
        <f>IF($S604="","",IFERROR(VLOOKUP($S604,'Pop Estimates (Non-#d)'!$N$2:$O$500,2,FALSE),""))</f>
        <v/>
      </c>
      <c r="U604" s="57">
        <f t="shared" si="124"/>
        <v>7</v>
      </c>
      <c r="V604" s="53" t="str">
        <f t="shared" si="125"/>
        <v/>
      </c>
      <c r="W604" s="53" t="str">
        <f t="shared" si="126"/>
        <v/>
      </c>
      <c r="X604" s="53" t="str">
        <f t="shared" si="127"/>
        <v/>
      </c>
      <c r="Y604" s="57" t="str">
        <f>IF($X604="","",IFERROR(VLOOKUP($X604,'Char Popularity'!$A$2:$C$500,2,FALSE),""))</f>
        <v/>
      </c>
      <c r="Z604" s="56">
        <f>IF($X604="",1,IFERROR(VLOOKUP($X604,'Char Popularity'!$A$2:$C$500,3,FALSE),1))</f>
        <v>1</v>
      </c>
      <c r="AA604" s="62">
        <f>IF($H604&lt;&gt;"Y",0,(IF($F604&lt;&gt;"",ROUND(Dashboard!$R$4/$F604,1),IF(AND($I604="Base",$E604="Base"),Dashboard!$R$5,IF(AND($I604="Base",$E604="Red"),Dashboard!$R$6,IF(AND($I604="Base",$E604="Gold"),Dashboard!$R$7,VLOOKUP($I604,Dashboard!$Q$16:$R$21,2,FALSE)))))*VLOOKUP($I604,Dashboard!$Q$9:$R$13,2,FALSE)*IF(AND($I604="Auto",$F604="",OR($B604="Autographs Duals",$B604="Autographs Triples",$B604="Autographs Quads",$B604="Autographs Quads (Inscribed)")),IF($B604="Autographs Duals",2,IF($B604="Autographs Triples",3,4)),1)))</f>
        <v>142.9</v>
      </c>
      <c r="AB604" s="62">
        <f t="shared" si="128"/>
        <v>0</v>
      </c>
      <c r="AC604" s="62">
        <f t="shared" si="129"/>
        <v>0</v>
      </c>
    </row>
    <row r="605" spans="1:29" ht="42.95" customHeight="1" x14ac:dyDescent="0.25">
      <c r="A605" s="4" t="s">
        <v>17</v>
      </c>
      <c r="B605" s="7" t="s">
        <v>72</v>
      </c>
      <c r="C605" s="2" t="s">
        <v>1403</v>
      </c>
      <c r="D605" s="7" t="s">
        <v>839</v>
      </c>
      <c r="E605" s="4" t="s">
        <v>689</v>
      </c>
      <c r="F605" s="2">
        <v>7</v>
      </c>
      <c r="G605" s="2" t="s">
        <v>1399</v>
      </c>
      <c r="H605" s="2" t="s">
        <v>1400</v>
      </c>
      <c r="I605" s="4" t="s">
        <v>60</v>
      </c>
      <c r="J605" s="112">
        <f>IF($H605&lt;&gt;"Y",0,ROUND(MIN(Dashboard!$R$24,IF(IFERROR(VLOOKUP($B605,Dashboard!$Q$28:$S$60,2,FALSE),0)&gt;0,IFERROR(VLOOKUP($B605,Dashboard!$Q$28:$S$60,2,FALSE),0),$Z605*IF($U605&lt;&gt;"",ROUND((Dashboard!$R$4/$U605)*VLOOKUP($I605,Dashboard!$Q$9:$R$13,2,FALSE)*IF(ISNUMBER(SEARCH("Duals",$B605)),2,IF(ISNUMBER(SEARCH("Triples",$B605)),3,IF(ISNUMBER(SEARCH("Quads",$B605)),4,1))),2),ROUND(VLOOKUP($I605,Dashboard!$Q$15:$R$20,2,FALSE)*IF($E605="Red",Dashboard!$R$6,IF($E605="Gold",Dashboard!$R$7,Dashboard!$R$5))*IF(ISNUMBER(SEARCH("Duals",$B605)),2,IF(ISNUMBER(SEARCH("Triples",$B605)),3,IF(ISNUMBER(SEARCH("Quads",$B605)),4,1))),2))*IF(IFERROR(VLOOKUP($B605,Dashboard!$Q$28:$S$60,3,FALSE),0)&gt;0,VLOOKUP($B605,Dashboard!$Q$28:$S$60,3,FALSE),1))),0))</f>
        <v>143</v>
      </c>
      <c r="K605" s="2" t="str">
        <f>IF('Base S1'!I5="","",'Base S1'!I5)</f>
        <v/>
      </c>
      <c r="L605" s="2">
        <f t="shared" si="117"/>
        <v>0</v>
      </c>
      <c r="M605" s="2">
        <f t="shared" si="118"/>
        <v>0</v>
      </c>
      <c r="N605" s="2">
        <f t="shared" si="119"/>
        <v>0</v>
      </c>
      <c r="O605" s="2">
        <f t="shared" si="120"/>
        <v>1</v>
      </c>
      <c r="P605" s="112">
        <f t="shared" si="121"/>
        <v>0</v>
      </c>
      <c r="Q605" s="112">
        <f t="shared" si="122"/>
        <v>0</v>
      </c>
      <c r="R605" s="53"/>
      <c r="S605" s="53" t="str">
        <f t="shared" si="123"/>
        <v>Base S1|The Seven Parallel - Season 1|4|The Seven</v>
      </c>
      <c r="T605" s="57" t="str">
        <f>IF($S605="","",IFERROR(VLOOKUP($S605,'Pop Estimates (Non-#d)'!$N$2:$O$500,2,FALSE),""))</f>
        <v/>
      </c>
      <c r="U605" s="57">
        <f t="shared" si="124"/>
        <v>7</v>
      </c>
      <c r="V605" s="53" t="str">
        <f t="shared" si="125"/>
        <v/>
      </c>
      <c r="W605" s="53" t="str">
        <f t="shared" si="126"/>
        <v/>
      </c>
      <c r="X605" s="53" t="str">
        <f t="shared" si="127"/>
        <v/>
      </c>
      <c r="Y605" s="57" t="str">
        <f>IF($X605="","",IFERROR(VLOOKUP($X605,'Char Popularity'!$A$2:$C$500,2,FALSE),""))</f>
        <v/>
      </c>
      <c r="Z605" s="56">
        <f>IF($X605="",1,IFERROR(VLOOKUP($X605,'Char Popularity'!$A$2:$C$500,3,FALSE),1))</f>
        <v>1</v>
      </c>
      <c r="AA605" s="62">
        <f>IF($H605&lt;&gt;"Y",0,(IF($F605&lt;&gt;"",ROUND(Dashboard!$R$4/$F605,1),IF(AND($I605="Base",$E605="Base"),Dashboard!$R$5,IF(AND($I605="Base",$E605="Red"),Dashboard!$R$6,IF(AND($I605="Base",$E605="Gold"),Dashboard!$R$7,VLOOKUP($I605,Dashboard!$Q$16:$R$21,2,FALSE)))))*VLOOKUP($I605,Dashboard!$Q$9:$R$13,2,FALSE)*IF(AND($I605="Auto",$F605="",OR($B605="Autographs Duals",$B605="Autographs Triples",$B605="Autographs Quads",$B605="Autographs Quads (Inscribed)")),IF($B605="Autographs Duals",2,IF($B605="Autographs Triples",3,4)),1)))</f>
        <v>142.9</v>
      </c>
      <c r="AB605" s="62">
        <f t="shared" si="128"/>
        <v>0</v>
      </c>
      <c r="AC605" s="62">
        <f t="shared" si="129"/>
        <v>0</v>
      </c>
    </row>
    <row r="606" spans="1:29" ht="42.95" customHeight="1" x14ac:dyDescent="0.25">
      <c r="A606" s="4" t="s">
        <v>17</v>
      </c>
      <c r="B606" s="7" t="s">
        <v>72</v>
      </c>
      <c r="C606" s="2" t="s">
        <v>1404</v>
      </c>
      <c r="D606" s="7" t="s">
        <v>841</v>
      </c>
      <c r="E606" s="4" t="s">
        <v>689</v>
      </c>
      <c r="F606" s="2">
        <v>7</v>
      </c>
      <c r="G606" s="2" t="s">
        <v>1399</v>
      </c>
      <c r="H606" s="2" t="s">
        <v>1400</v>
      </c>
      <c r="I606" s="4" t="s">
        <v>60</v>
      </c>
      <c r="J606" s="112">
        <f>IF($H606&lt;&gt;"Y",0,ROUND(MIN(Dashboard!$R$24,IF(IFERROR(VLOOKUP($B606,Dashboard!$Q$28:$S$60,2,FALSE),0)&gt;0,IFERROR(VLOOKUP($B606,Dashboard!$Q$28:$S$60,2,FALSE),0),$Z606*IF($U606&lt;&gt;"",ROUND((Dashboard!$R$4/$U606)*VLOOKUP($I606,Dashboard!$Q$9:$R$13,2,FALSE)*IF(ISNUMBER(SEARCH("Duals",$B606)),2,IF(ISNUMBER(SEARCH("Triples",$B606)),3,IF(ISNUMBER(SEARCH("Quads",$B606)),4,1))),2),ROUND(VLOOKUP($I606,Dashboard!$Q$15:$R$20,2,FALSE)*IF($E606="Red",Dashboard!$R$6,IF($E606="Gold",Dashboard!$R$7,Dashboard!$R$5))*IF(ISNUMBER(SEARCH("Duals",$B606)),2,IF(ISNUMBER(SEARCH("Triples",$B606)),3,IF(ISNUMBER(SEARCH("Quads",$B606)),4,1))),2))*IF(IFERROR(VLOOKUP($B606,Dashboard!$Q$28:$S$60,3,FALSE),0)&gt;0,VLOOKUP($B606,Dashboard!$Q$28:$S$60,3,FALSE),1))),0))</f>
        <v>143</v>
      </c>
      <c r="K606" s="2" t="str">
        <f>IF('Base S1'!I6="","",'Base S1'!I6)</f>
        <v/>
      </c>
      <c r="L606" s="2">
        <f t="shared" si="117"/>
        <v>0</v>
      </c>
      <c r="M606" s="2">
        <f t="shared" si="118"/>
        <v>0</v>
      </c>
      <c r="N606" s="2">
        <f t="shared" si="119"/>
        <v>0</v>
      </c>
      <c r="O606" s="2">
        <f t="shared" si="120"/>
        <v>1</v>
      </c>
      <c r="P606" s="112">
        <f t="shared" si="121"/>
        <v>0</v>
      </c>
      <c r="Q606" s="112">
        <f t="shared" si="122"/>
        <v>0</v>
      </c>
      <c r="R606" s="53"/>
      <c r="S606" s="53" t="str">
        <f t="shared" si="123"/>
        <v>Base S1|The Seven Parallel - Season 1|5|The Seven</v>
      </c>
      <c r="T606" s="57" t="str">
        <f>IF($S606="","",IFERROR(VLOOKUP($S606,'Pop Estimates (Non-#d)'!$N$2:$O$500,2,FALSE),""))</f>
        <v/>
      </c>
      <c r="U606" s="57">
        <f t="shared" si="124"/>
        <v>7</v>
      </c>
      <c r="V606" s="53" t="str">
        <f t="shared" si="125"/>
        <v/>
      </c>
      <c r="W606" s="53" t="str">
        <f t="shared" si="126"/>
        <v/>
      </c>
      <c r="X606" s="53" t="str">
        <f t="shared" si="127"/>
        <v/>
      </c>
      <c r="Y606" s="57" t="str">
        <f>IF($X606="","",IFERROR(VLOOKUP($X606,'Char Popularity'!$A$2:$C$500,2,FALSE),""))</f>
        <v/>
      </c>
      <c r="Z606" s="56">
        <f>IF($X606="",1,IFERROR(VLOOKUP($X606,'Char Popularity'!$A$2:$C$500,3,FALSE),1))</f>
        <v>1</v>
      </c>
      <c r="AA606" s="62">
        <f>IF($H606&lt;&gt;"Y",0,(IF($F606&lt;&gt;"",ROUND(Dashboard!$R$4/$F606,1),IF(AND($I606="Base",$E606="Base"),Dashboard!$R$5,IF(AND($I606="Base",$E606="Red"),Dashboard!$R$6,IF(AND($I606="Base",$E606="Gold"),Dashboard!$R$7,VLOOKUP($I606,Dashboard!$Q$16:$R$21,2,FALSE)))))*VLOOKUP($I606,Dashboard!$Q$9:$R$13,2,FALSE)*IF(AND($I606="Auto",$F606="",OR($B606="Autographs Duals",$B606="Autographs Triples",$B606="Autographs Quads",$B606="Autographs Quads (Inscribed)")),IF($B606="Autographs Duals",2,IF($B606="Autographs Triples",3,4)),1)))</f>
        <v>142.9</v>
      </c>
      <c r="AB606" s="62">
        <f t="shared" si="128"/>
        <v>0</v>
      </c>
      <c r="AC606" s="62">
        <f t="shared" si="129"/>
        <v>0</v>
      </c>
    </row>
    <row r="607" spans="1:29" ht="42.95" customHeight="1" x14ac:dyDescent="0.25">
      <c r="A607" s="4" t="s">
        <v>17</v>
      </c>
      <c r="B607" s="7" t="s">
        <v>72</v>
      </c>
      <c r="C607" s="2" t="s">
        <v>1405</v>
      </c>
      <c r="D607" s="7" t="s">
        <v>843</v>
      </c>
      <c r="E607" s="4" t="s">
        <v>689</v>
      </c>
      <c r="F607" s="2">
        <v>7</v>
      </c>
      <c r="G607" s="2" t="s">
        <v>1399</v>
      </c>
      <c r="H607" s="2" t="s">
        <v>1400</v>
      </c>
      <c r="I607" s="4" t="s">
        <v>60</v>
      </c>
      <c r="J607" s="112">
        <f>IF($H607&lt;&gt;"Y",0,ROUND(MIN(Dashboard!$R$24,IF(IFERROR(VLOOKUP($B607,Dashboard!$Q$28:$S$60,2,FALSE),0)&gt;0,IFERROR(VLOOKUP($B607,Dashboard!$Q$28:$S$60,2,FALSE),0),$Z607*IF($U607&lt;&gt;"",ROUND((Dashboard!$R$4/$U607)*VLOOKUP($I607,Dashboard!$Q$9:$R$13,2,FALSE)*IF(ISNUMBER(SEARCH("Duals",$B607)),2,IF(ISNUMBER(SEARCH("Triples",$B607)),3,IF(ISNUMBER(SEARCH("Quads",$B607)),4,1))),2),ROUND(VLOOKUP($I607,Dashboard!$Q$15:$R$20,2,FALSE)*IF($E607="Red",Dashboard!$R$6,IF($E607="Gold",Dashboard!$R$7,Dashboard!$R$5))*IF(ISNUMBER(SEARCH("Duals",$B607)),2,IF(ISNUMBER(SEARCH("Triples",$B607)),3,IF(ISNUMBER(SEARCH("Quads",$B607)),4,1))),2))*IF(IFERROR(VLOOKUP($B607,Dashboard!$Q$28:$S$60,3,FALSE),0)&gt;0,VLOOKUP($B607,Dashboard!$Q$28:$S$60,3,FALSE),1))),0))</f>
        <v>143</v>
      </c>
      <c r="K607" s="2" t="str">
        <f>IF('Base S1'!I7="","",'Base S1'!I7)</f>
        <v/>
      </c>
      <c r="L607" s="2">
        <f t="shared" si="117"/>
        <v>0</v>
      </c>
      <c r="M607" s="2">
        <f t="shared" si="118"/>
        <v>0</v>
      </c>
      <c r="N607" s="2">
        <f t="shared" si="119"/>
        <v>0</v>
      </c>
      <c r="O607" s="2">
        <f t="shared" si="120"/>
        <v>1</v>
      </c>
      <c r="P607" s="112">
        <f t="shared" si="121"/>
        <v>0</v>
      </c>
      <c r="Q607" s="112">
        <f t="shared" si="122"/>
        <v>0</v>
      </c>
      <c r="R607" s="53"/>
      <c r="S607" s="53" t="str">
        <f t="shared" si="123"/>
        <v>Base S1|The Seven Parallel - Season 1|6|The Seven</v>
      </c>
      <c r="T607" s="57" t="str">
        <f>IF($S607="","",IFERROR(VLOOKUP($S607,'Pop Estimates (Non-#d)'!$N$2:$O$500,2,FALSE),""))</f>
        <v/>
      </c>
      <c r="U607" s="57">
        <f t="shared" si="124"/>
        <v>7</v>
      </c>
      <c r="V607" s="53" t="str">
        <f t="shared" si="125"/>
        <v/>
      </c>
      <c r="W607" s="53" t="str">
        <f t="shared" si="126"/>
        <v/>
      </c>
      <c r="X607" s="53" t="str">
        <f t="shared" si="127"/>
        <v/>
      </c>
      <c r="Y607" s="57" t="str">
        <f>IF($X607="","",IFERROR(VLOOKUP($X607,'Char Popularity'!$A$2:$C$500,2,FALSE),""))</f>
        <v/>
      </c>
      <c r="Z607" s="56">
        <f>IF($X607="",1,IFERROR(VLOOKUP($X607,'Char Popularity'!$A$2:$C$500,3,FALSE),1))</f>
        <v>1</v>
      </c>
      <c r="AA607" s="62">
        <f>IF($H607&lt;&gt;"Y",0,(IF($F607&lt;&gt;"",ROUND(Dashboard!$R$4/$F607,1),IF(AND($I607="Base",$E607="Base"),Dashboard!$R$5,IF(AND($I607="Base",$E607="Red"),Dashboard!$R$6,IF(AND($I607="Base",$E607="Gold"),Dashboard!$R$7,VLOOKUP($I607,Dashboard!$Q$16:$R$21,2,FALSE)))))*VLOOKUP($I607,Dashboard!$Q$9:$R$13,2,FALSE)*IF(AND($I607="Auto",$F607="",OR($B607="Autographs Duals",$B607="Autographs Triples",$B607="Autographs Quads",$B607="Autographs Quads (Inscribed)")),IF($B607="Autographs Duals",2,IF($B607="Autographs Triples",3,4)),1)))</f>
        <v>142.9</v>
      </c>
      <c r="AB607" s="62">
        <f t="shared" si="128"/>
        <v>0</v>
      </c>
      <c r="AC607" s="62">
        <f t="shared" si="129"/>
        <v>0</v>
      </c>
    </row>
    <row r="608" spans="1:29" ht="42.95" customHeight="1" x14ac:dyDescent="0.25">
      <c r="A608" s="4" t="s">
        <v>17</v>
      </c>
      <c r="B608" s="7" t="s">
        <v>72</v>
      </c>
      <c r="C608" s="2" t="s">
        <v>1406</v>
      </c>
      <c r="D608" s="7" t="s">
        <v>845</v>
      </c>
      <c r="E608" s="4" t="s">
        <v>689</v>
      </c>
      <c r="F608" s="2">
        <v>7</v>
      </c>
      <c r="G608" s="2" t="s">
        <v>1399</v>
      </c>
      <c r="H608" s="2" t="s">
        <v>1400</v>
      </c>
      <c r="I608" s="4" t="s">
        <v>60</v>
      </c>
      <c r="J608" s="112">
        <f>IF($H608&lt;&gt;"Y",0,ROUND(MIN(Dashboard!$R$24,IF(IFERROR(VLOOKUP($B608,Dashboard!$Q$28:$S$60,2,FALSE),0)&gt;0,IFERROR(VLOOKUP($B608,Dashboard!$Q$28:$S$60,2,FALSE),0),$Z608*IF($U608&lt;&gt;"",ROUND((Dashboard!$R$4/$U608)*VLOOKUP($I608,Dashboard!$Q$9:$R$13,2,FALSE)*IF(ISNUMBER(SEARCH("Duals",$B608)),2,IF(ISNUMBER(SEARCH("Triples",$B608)),3,IF(ISNUMBER(SEARCH("Quads",$B608)),4,1))),2),ROUND(VLOOKUP($I608,Dashboard!$Q$15:$R$20,2,FALSE)*IF($E608="Red",Dashboard!$R$6,IF($E608="Gold",Dashboard!$R$7,Dashboard!$R$5))*IF(ISNUMBER(SEARCH("Duals",$B608)),2,IF(ISNUMBER(SEARCH("Triples",$B608)),3,IF(ISNUMBER(SEARCH("Quads",$B608)),4,1))),2))*IF(IFERROR(VLOOKUP($B608,Dashboard!$Q$28:$S$60,3,FALSE),0)&gt;0,VLOOKUP($B608,Dashboard!$Q$28:$S$60,3,FALSE),1))),0))</f>
        <v>143</v>
      </c>
      <c r="K608" s="2" t="str">
        <f>IF('Base S1'!I8="","",'Base S1'!I8)</f>
        <v>C 1/7</v>
      </c>
      <c r="L608" s="2">
        <f t="shared" si="117"/>
        <v>1</v>
      </c>
      <c r="M608" s="2">
        <f t="shared" si="118"/>
        <v>0</v>
      </c>
      <c r="N608" s="2">
        <f t="shared" si="119"/>
        <v>1</v>
      </c>
      <c r="O608" s="2">
        <f t="shared" si="120"/>
        <v>0</v>
      </c>
      <c r="P608" s="112">
        <f t="shared" si="121"/>
        <v>143</v>
      </c>
      <c r="Q608" s="112">
        <f t="shared" si="122"/>
        <v>0</v>
      </c>
      <c r="R608" s="53"/>
      <c r="S608" s="53" t="str">
        <f t="shared" si="123"/>
        <v>Base S1|The Seven Parallel - Season 1|7|The Seven</v>
      </c>
      <c r="T608" s="57" t="str">
        <f>IF($S608="","",IFERROR(VLOOKUP($S608,'Pop Estimates (Non-#d)'!$N$2:$O$500,2,FALSE),""))</f>
        <v/>
      </c>
      <c r="U608" s="57">
        <f t="shared" si="124"/>
        <v>7</v>
      </c>
      <c r="V608" s="53" t="str">
        <f t="shared" si="125"/>
        <v/>
      </c>
      <c r="W608" s="53" t="str">
        <f t="shared" si="126"/>
        <v/>
      </c>
      <c r="X608" s="53" t="str">
        <f t="shared" si="127"/>
        <v/>
      </c>
      <c r="Y608" s="57" t="str">
        <f>IF($X608="","",IFERROR(VLOOKUP($X608,'Char Popularity'!$A$2:$C$500,2,FALSE),""))</f>
        <v/>
      </c>
      <c r="Z608" s="56">
        <f>IF($X608="",1,IFERROR(VLOOKUP($X608,'Char Popularity'!$A$2:$C$500,3,FALSE),1))</f>
        <v>1</v>
      </c>
      <c r="AA608" s="62">
        <f>IF($H608&lt;&gt;"Y",0,(IF($F608&lt;&gt;"",ROUND(Dashboard!$R$4/$F608,1),IF(AND($I608="Base",$E608="Base"),Dashboard!$R$5,IF(AND($I608="Base",$E608="Red"),Dashboard!$R$6,IF(AND($I608="Base",$E608="Gold"),Dashboard!$R$7,VLOOKUP($I608,Dashboard!$Q$16:$R$21,2,FALSE)))))*VLOOKUP($I608,Dashboard!$Q$9:$R$13,2,FALSE)*IF(AND($I608="Auto",$F608="",OR($B608="Autographs Duals",$B608="Autographs Triples",$B608="Autographs Quads",$B608="Autographs Quads (Inscribed)")),IF($B608="Autographs Duals",2,IF($B608="Autographs Triples",3,4)),1)))</f>
        <v>142.9</v>
      </c>
      <c r="AB608" s="62">
        <f t="shared" si="128"/>
        <v>142.9</v>
      </c>
      <c r="AC608" s="62">
        <f t="shared" si="129"/>
        <v>0</v>
      </c>
    </row>
    <row r="609" spans="1:29" ht="42.95" customHeight="1" x14ac:dyDescent="0.25">
      <c r="A609" s="4" t="s">
        <v>17</v>
      </c>
      <c r="B609" s="7" t="s">
        <v>72</v>
      </c>
      <c r="C609" s="2" t="s">
        <v>1407</v>
      </c>
      <c r="D609" s="7" t="s">
        <v>848</v>
      </c>
      <c r="E609" s="4" t="s">
        <v>689</v>
      </c>
      <c r="F609" s="2">
        <v>7</v>
      </c>
      <c r="G609" s="2" t="s">
        <v>1399</v>
      </c>
      <c r="H609" s="2" t="s">
        <v>1400</v>
      </c>
      <c r="I609" s="4" t="s">
        <v>60</v>
      </c>
      <c r="J609" s="112">
        <f>IF($H609&lt;&gt;"Y",0,ROUND(MIN(Dashboard!$R$24,IF(IFERROR(VLOOKUP($B609,Dashboard!$Q$28:$S$60,2,FALSE),0)&gt;0,IFERROR(VLOOKUP($B609,Dashboard!$Q$28:$S$60,2,FALSE),0),$Z609*IF($U609&lt;&gt;"",ROUND((Dashboard!$R$4/$U609)*VLOOKUP($I609,Dashboard!$Q$9:$R$13,2,FALSE)*IF(ISNUMBER(SEARCH("Duals",$B609)),2,IF(ISNUMBER(SEARCH("Triples",$B609)),3,IF(ISNUMBER(SEARCH("Quads",$B609)),4,1))),2),ROUND(VLOOKUP($I609,Dashboard!$Q$15:$R$20,2,FALSE)*IF($E609="Red",Dashboard!$R$6,IF($E609="Gold",Dashboard!$R$7,Dashboard!$R$5))*IF(ISNUMBER(SEARCH("Duals",$B609)),2,IF(ISNUMBER(SEARCH("Triples",$B609)),3,IF(ISNUMBER(SEARCH("Quads",$B609)),4,1))),2))*IF(IFERROR(VLOOKUP($B609,Dashboard!$Q$28:$S$60,3,FALSE),0)&gt;0,VLOOKUP($B609,Dashboard!$Q$28:$S$60,3,FALSE),1))),0))</f>
        <v>143</v>
      </c>
      <c r="K609" s="2" t="str">
        <f>IF('Base S1'!I9="","",'Base S1'!I9)</f>
        <v/>
      </c>
      <c r="L609" s="2">
        <f t="shared" si="117"/>
        <v>0</v>
      </c>
      <c r="M609" s="2">
        <f t="shared" si="118"/>
        <v>0</v>
      </c>
      <c r="N609" s="2">
        <f t="shared" si="119"/>
        <v>0</v>
      </c>
      <c r="O609" s="2">
        <f t="shared" si="120"/>
        <v>1</v>
      </c>
      <c r="P609" s="112">
        <f t="shared" si="121"/>
        <v>0</v>
      </c>
      <c r="Q609" s="112">
        <f t="shared" si="122"/>
        <v>0</v>
      </c>
      <c r="R609" s="53"/>
      <c r="S609" s="53" t="str">
        <f t="shared" si="123"/>
        <v>Base S1|The Seven Parallel - Season 1|8|The Seven</v>
      </c>
      <c r="T609" s="57" t="str">
        <f>IF($S609="","",IFERROR(VLOOKUP($S609,'Pop Estimates (Non-#d)'!$N$2:$O$500,2,FALSE),""))</f>
        <v/>
      </c>
      <c r="U609" s="57">
        <f t="shared" si="124"/>
        <v>7</v>
      </c>
      <c r="V609" s="53" t="str">
        <f t="shared" si="125"/>
        <v/>
      </c>
      <c r="W609" s="53" t="str">
        <f t="shared" si="126"/>
        <v/>
      </c>
      <c r="X609" s="53" t="str">
        <f t="shared" si="127"/>
        <v/>
      </c>
      <c r="Y609" s="57" t="str">
        <f>IF($X609="","",IFERROR(VLOOKUP($X609,'Char Popularity'!$A$2:$C$500,2,FALSE),""))</f>
        <v/>
      </c>
      <c r="Z609" s="56">
        <f>IF($X609="",1,IFERROR(VLOOKUP($X609,'Char Popularity'!$A$2:$C$500,3,FALSE),1))</f>
        <v>1</v>
      </c>
      <c r="AA609" s="62">
        <f>IF($H609&lt;&gt;"Y",0,(IF($F609&lt;&gt;"",ROUND(Dashboard!$R$4/$F609,1),IF(AND($I609="Base",$E609="Base"),Dashboard!$R$5,IF(AND($I609="Base",$E609="Red"),Dashboard!$R$6,IF(AND($I609="Base",$E609="Gold"),Dashboard!$R$7,VLOOKUP($I609,Dashboard!$Q$16:$R$21,2,FALSE)))))*VLOOKUP($I609,Dashboard!$Q$9:$R$13,2,FALSE)*IF(AND($I609="Auto",$F609="",OR($B609="Autographs Duals",$B609="Autographs Triples",$B609="Autographs Quads",$B609="Autographs Quads (Inscribed)")),IF($B609="Autographs Duals",2,IF($B609="Autographs Triples",3,4)),1)))</f>
        <v>142.9</v>
      </c>
      <c r="AB609" s="62">
        <f t="shared" si="128"/>
        <v>0</v>
      </c>
      <c r="AC609" s="62">
        <f t="shared" si="129"/>
        <v>0</v>
      </c>
    </row>
    <row r="610" spans="1:29" ht="42.95" customHeight="1" x14ac:dyDescent="0.25">
      <c r="A610" s="4" t="s">
        <v>17</v>
      </c>
      <c r="B610" s="7" t="s">
        <v>72</v>
      </c>
      <c r="C610" s="2" t="s">
        <v>1408</v>
      </c>
      <c r="D610" s="7" t="s">
        <v>850</v>
      </c>
      <c r="E610" s="4" t="s">
        <v>689</v>
      </c>
      <c r="F610" s="2">
        <v>7</v>
      </c>
      <c r="G610" s="2" t="s">
        <v>1399</v>
      </c>
      <c r="H610" s="2" t="s">
        <v>1400</v>
      </c>
      <c r="I610" s="4" t="s">
        <v>60</v>
      </c>
      <c r="J610" s="112">
        <f>IF($H610&lt;&gt;"Y",0,ROUND(MIN(Dashboard!$R$24,IF(IFERROR(VLOOKUP($B610,Dashboard!$Q$28:$S$60,2,FALSE),0)&gt;0,IFERROR(VLOOKUP($B610,Dashboard!$Q$28:$S$60,2,FALSE),0),$Z610*IF($U610&lt;&gt;"",ROUND((Dashboard!$R$4/$U610)*VLOOKUP($I610,Dashboard!$Q$9:$R$13,2,FALSE)*IF(ISNUMBER(SEARCH("Duals",$B610)),2,IF(ISNUMBER(SEARCH("Triples",$B610)),3,IF(ISNUMBER(SEARCH("Quads",$B610)),4,1))),2),ROUND(VLOOKUP($I610,Dashboard!$Q$15:$R$20,2,FALSE)*IF($E610="Red",Dashboard!$R$6,IF($E610="Gold",Dashboard!$R$7,Dashboard!$R$5))*IF(ISNUMBER(SEARCH("Duals",$B610)),2,IF(ISNUMBER(SEARCH("Triples",$B610)),3,IF(ISNUMBER(SEARCH("Quads",$B610)),4,1))),2))*IF(IFERROR(VLOOKUP($B610,Dashboard!$Q$28:$S$60,3,FALSE),0)&gt;0,VLOOKUP($B610,Dashboard!$Q$28:$S$60,3,FALSE),1))),0))</f>
        <v>143</v>
      </c>
      <c r="K610" s="2" t="str">
        <f>IF('Base S1'!I10="","",'Base S1'!I10)</f>
        <v/>
      </c>
      <c r="L610" s="2">
        <f t="shared" si="117"/>
        <v>0</v>
      </c>
      <c r="M610" s="2">
        <f t="shared" si="118"/>
        <v>0</v>
      </c>
      <c r="N610" s="2">
        <f t="shared" si="119"/>
        <v>0</v>
      </c>
      <c r="O610" s="2">
        <f t="shared" si="120"/>
        <v>1</v>
      </c>
      <c r="P610" s="112">
        <f t="shared" si="121"/>
        <v>0</v>
      </c>
      <c r="Q610" s="112">
        <f t="shared" si="122"/>
        <v>0</v>
      </c>
      <c r="R610" s="53"/>
      <c r="S610" s="53" t="str">
        <f t="shared" si="123"/>
        <v>Base S1|The Seven Parallel - Season 1|9|The Seven</v>
      </c>
      <c r="T610" s="57" t="str">
        <f>IF($S610="","",IFERROR(VLOOKUP($S610,'Pop Estimates (Non-#d)'!$N$2:$O$500,2,FALSE),""))</f>
        <v/>
      </c>
      <c r="U610" s="57">
        <f t="shared" si="124"/>
        <v>7</v>
      </c>
      <c r="V610" s="53" t="str">
        <f t="shared" si="125"/>
        <v/>
      </c>
      <c r="W610" s="53" t="str">
        <f t="shared" si="126"/>
        <v/>
      </c>
      <c r="X610" s="53" t="str">
        <f t="shared" si="127"/>
        <v/>
      </c>
      <c r="Y610" s="57" t="str">
        <f>IF($X610="","",IFERROR(VLOOKUP($X610,'Char Popularity'!$A$2:$C$500,2,FALSE),""))</f>
        <v/>
      </c>
      <c r="Z610" s="56">
        <f>IF($X610="",1,IFERROR(VLOOKUP($X610,'Char Popularity'!$A$2:$C$500,3,FALSE),1))</f>
        <v>1</v>
      </c>
      <c r="AA610" s="62">
        <f>IF($H610&lt;&gt;"Y",0,(IF($F610&lt;&gt;"",ROUND(Dashboard!$R$4/$F610,1),IF(AND($I610="Base",$E610="Base"),Dashboard!$R$5,IF(AND($I610="Base",$E610="Red"),Dashboard!$R$6,IF(AND($I610="Base",$E610="Gold"),Dashboard!$R$7,VLOOKUP($I610,Dashboard!$Q$16:$R$21,2,FALSE)))))*VLOOKUP($I610,Dashboard!$Q$9:$R$13,2,FALSE)*IF(AND($I610="Auto",$F610="",OR($B610="Autographs Duals",$B610="Autographs Triples",$B610="Autographs Quads",$B610="Autographs Quads (Inscribed)")),IF($B610="Autographs Duals",2,IF($B610="Autographs Triples",3,4)),1)))</f>
        <v>142.9</v>
      </c>
      <c r="AB610" s="62">
        <f t="shared" si="128"/>
        <v>0</v>
      </c>
      <c r="AC610" s="62">
        <f t="shared" si="129"/>
        <v>0</v>
      </c>
    </row>
    <row r="611" spans="1:29" ht="42.95" customHeight="1" x14ac:dyDescent="0.25">
      <c r="A611" s="4" t="s">
        <v>17</v>
      </c>
      <c r="B611" s="7" t="s">
        <v>72</v>
      </c>
      <c r="C611" s="2" t="s">
        <v>1409</v>
      </c>
      <c r="D611" s="7" t="s">
        <v>853</v>
      </c>
      <c r="E611" s="4" t="s">
        <v>689</v>
      </c>
      <c r="F611" s="2">
        <v>7</v>
      </c>
      <c r="G611" s="2" t="s">
        <v>1399</v>
      </c>
      <c r="H611" s="2" t="s">
        <v>1400</v>
      </c>
      <c r="I611" s="4" t="s">
        <v>60</v>
      </c>
      <c r="J611" s="112">
        <f>IF($H611&lt;&gt;"Y",0,ROUND(MIN(Dashboard!$R$24,IF(IFERROR(VLOOKUP($B611,Dashboard!$Q$28:$S$60,2,FALSE),0)&gt;0,IFERROR(VLOOKUP($B611,Dashboard!$Q$28:$S$60,2,FALSE),0),$Z611*IF($U611&lt;&gt;"",ROUND((Dashboard!$R$4/$U611)*VLOOKUP($I611,Dashboard!$Q$9:$R$13,2,FALSE)*IF(ISNUMBER(SEARCH("Duals",$B611)),2,IF(ISNUMBER(SEARCH("Triples",$B611)),3,IF(ISNUMBER(SEARCH("Quads",$B611)),4,1))),2),ROUND(VLOOKUP($I611,Dashboard!$Q$15:$R$20,2,FALSE)*IF($E611="Red",Dashboard!$R$6,IF($E611="Gold",Dashboard!$R$7,Dashboard!$R$5))*IF(ISNUMBER(SEARCH("Duals",$B611)),2,IF(ISNUMBER(SEARCH("Triples",$B611)),3,IF(ISNUMBER(SEARCH("Quads",$B611)),4,1))),2))*IF(IFERROR(VLOOKUP($B611,Dashboard!$Q$28:$S$60,3,FALSE),0)&gt;0,VLOOKUP($B611,Dashboard!$Q$28:$S$60,3,FALSE),1))),0))</f>
        <v>143</v>
      </c>
      <c r="K611" s="2" t="str">
        <f>IF('Base S1'!I11="","",'Base S1'!I11)</f>
        <v/>
      </c>
      <c r="L611" s="2">
        <f t="shared" si="117"/>
        <v>0</v>
      </c>
      <c r="M611" s="2">
        <f t="shared" si="118"/>
        <v>0</v>
      </c>
      <c r="N611" s="2">
        <f t="shared" si="119"/>
        <v>0</v>
      </c>
      <c r="O611" s="2">
        <f t="shared" si="120"/>
        <v>1</v>
      </c>
      <c r="P611" s="112">
        <f t="shared" si="121"/>
        <v>0</v>
      </c>
      <c r="Q611" s="112">
        <f t="shared" si="122"/>
        <v>0</v>
      </c>
      <c r="R611" s="53"/>
      <c r="S611" s="53" t="str">
        <f t="shared" si="123"/>
        <v>Base S1|The Seven Parallel - Season 1|10|The Seven</v>
      </c>
      <c r="T611" s="57" t="str">
        <f>IF($S611="","",IFERROR(VLOOKUP($S611,'Pop Estimates (Non-#d)'!$N$2:$O$500,2,FALSE),""))</f>
        <v/>
      </c>
      <c r="U611" s="57">
        <f t="shared" si="124"/>
        <v>7</v>
      </c>
      <c r="V611" s="53" t="str">
        <f t="shared" si="125"/>
        <v/>
      </c>
      <c r="W611" s="53" t="str">
        <f t="shared" si="126"/>
        <v/>
      </c>
      <c r="X611" s="53" t="str">
        <f t="shared" si="127"/>
        <v/>
      </c>
      <c r="Y611" s="57" t="str">
        <f>IF($X611="","",IFERROR(VLOOKUP($X611,'Char Popularity'!$A$2:$C$500,2,FALSE),""))</f>
        <v/>
      </c>
      <c r="Z611" s="56">
        <f>IF($X611="",1,IFERROR(VLOOKUP($X611,'Char Popularity'!$A$2:$C$500,3,FALSE),1))</f>
        <v>1</v>
      </c>
      <c r="AA611" s="62">
        <f>IF($H611&lt;&gt;"Y",0,(IF($F611&lt;&gt;"",ROUND(Dashboard!$R$4/$F611,1),IF(AND($I611="Base",$E611="Base"),Dashboard!$R$5,IF(AND($I611="Base",$E611="Red"),Dashboard!$R$6,IF(AND($I611="Base",$E611="Gold"),Dashboard!$R$7,VLOOKUP($I611,Dashboard!$Q$16:$R$21,2,FALSE)))))*VLOOKUP($I611,Dashboard!$Q$9:$R$13,2,FALSE)*IF(AND($I611="Auto",$F611="",OR($B611="Autographs Duals",$B611="Autographs Triples",$B611="Autographs Quads",$B611="Autographs Quads (Inscribed)")),IF($B611="Autographs Duals",2,IF($B611="Autographs Triples",3,4)),1)))</f>
        <v>142.9</v>
      </c>
      <c r="AB611" s="62">
        <f t="shared" si="128"/>
        <v>0</v>
      </c>
      <c r="AC611" s="62">
        <f t="shared" si="129"/>
        <v>0</v>
      </c>
    </row>
    <row r="612" spans="1:29" ht="42.95" customHeight="1" x14ac:dyDescent="0.25">
      <c r="A612" s="4" t="s">
        <v>17</v>
      </c>
      <c r="B612" s="7" t="s">
        <v>72</v>
      </c>
      <c r="C612" s="2" t="s">
        <v>1410</v>
      </c>
      <c r="D612" s="7" t="s">
        <v>856</v>
      </c>
      <c r="E612" s="4" t="s">
        <v>689</v>
      </c>
      <c r="F612" s="2">
        <v>7</v>
      </c>
      <c r="G612" s="2" t="s">
        <v>1399</v>
      </c>
      <c r="H612" s="2" t="s">
        <v>1400</v>
      </c>
      <c r="I612" s="4" t="s">
        <v>60</v>
      </c>
      <c r="J612" s="112">
        <f>IF($H612&lt;&gt;"Y",0,ROUND(MIN(Dashboard!$R$24,IF(IFERROR(VLOOKUP($B612,Dashboard!$Q$28:$S$60,2,FALSE),0)&gt;0,IFERROR(VLOOKUP($B612,Dashboard!$Q$28:$S$60,2,FALSE),0),$Z612*IF($U612&lt;&gt;"",ROUND((Dashboard!$R$4/$U612)*VLOOKUP($I612,Dashboard!$Q$9:$R$13,2,FALSE)*IF(ISNUMBER(SEARCH("Duals",$B612)),2,IF(ISNUMBER(SEARCH("Triples",$B612)),3,IF(ISNUMBER(SEARCH("Quads",$B612)),4,1))),2),ROUND(VLOOKUP($I612,Dashboard!$Q$15:$R$20,2,FALSE)*IF($E612="Red",Dashboard!$R$6,IF($E612="Gold",Dashboard!$R$7,Dashboard!$R$5))*IF(ISNUMBER(SEARCH("Duals",$B612)),2,IF(ISNUMBER(SEARCH("Triples",$B612)),3,IF(ISNUMBER(SEARCH("Quads",$B612)),4,1))),2))*IF(IFERROR(VLOOKUP($B612,Dashboard!$Q$28:$S$60,3,FALSE),0)&gt;0,VLOOKUP($B612,Dashboard!$Q$28:$S$60,3,FALSE),1))),0))</f>
        <v>143</v>
      </c>
      <c r="K612" s="2" t="str">
        <f>IF('Base S1'!I12="","",'Base S1'!I12)</f>
        <v/>
      </c>
      <c r="L612" s="2">
        <f t="shared" si="117"/>
        <v>0</v>
      </c>
      <c r="M612" s="2">
        <f t="shared" si="118"/>
        <v>0</v>
      </c>
      <c r="N612" s="2">
        <f t="shared" si="119"/>
        <v>0</v>
      </c>
      <c r="O612" s="2">
        <f t="shared" si="120"/>
        <v>1</v>
      </c>
      <c r="P612" s="112">
        <f t="shared" si="121"/>
        <v>0</v>
      </c>
      <c r="Q612" s="112">
        <f t="shared" si="122"/>
        <v>0</v>
      </c>
      <c r="R612" s="53"/>
      <c r="S612" s="53" t="str">
        <f t="shared" si="123"/>
        <v>Base S1|The Seven Parallel - Season 1|11|The Seven</v>
      </c>
      <c r="T612" s="57" t="str">
        <f>IF($S612="","",IFERROR(VLOOKUP($S612,'Pop Estimates (Non-#d)'!$N$2:$O$500,2,FALSE),""))</f>
        <v/>
      </c>
      <c r="U612" s="57">
        <f t="shared" si="124"/>
        <v>7</v>
      </c>
      <c r="V612" s="53" t="str">
        <f t="shared" si="125"/>
        <v/>
      </c>
      <c r="W612" s="53" t="str">
        <f t="shared" si="126"/>
        <v/>
      </c>
      <c r="X612" s="53" t="str">
        <f t="shared" si="127"/>
        <v/>
      </c>
      <c r="Y612" s="57" t="str">
        <f>IF($X612="","",IFERROR(VLOOKUP($X612,'Char Popularity'!$A$2:$C$500,2,FALSE),""))</f>
        <v/>
      </c>
      <c r="Z612" s="56">
        <f>IF($X612="",1,IFERROR(VLOOKUP($X612,'Char Popularity'!$A$2:$C$500,3,FALSE),1))</f>
        <v>1</v>
      </c>
      <c r="AA612" s="62">
        <f>IF($H612&lt;&gt;"Y",0,(IF($F612&lt;&gt;"",ROUND(Dashboard!$R$4/$F612,1),IF(AND($I612="Base",$E612="Base"),Dashboard!$R$5,IF(AND($I612="Base",$E612="Red"),Dashboard!$R$6,IF(AND($I612="Base",$E612="Gold"),Dashboard!$R$7,VLOOKUP($I612,Dashboard!$Q$16:$R$21,2,FALSE)))))*VLOOKUP($I612,Dashboard!$Q$9:$R$13,2,FALSE)*IF(AND($I612="Auto",$F612="",OR($B612="Autographs Duals",$B612="Autographs Triples",$B612="Autographs Quads",$B612="Autographs Quads (Inscribed)")),IF($B612="Autographs Duals",2,IF($B612="Autographs Triples",3,4)),1)))</f>
        <v>142.9</v>
      </c>
      <c r="AB612" s="62">
        <f t="shared" si="128"/>
        <v>0</v>
      </c>
      <c r="AC612" s="62">
        <f t="shared" si="129"/>
        <v>0</v>
      </c>
    </row>
    <row r="613" spans="1:29" ht="42.95" customHeight="1" x14ac:dyDescent="0.25">
      <c r="A613" s="4" t="s">
        <v>17</v>
      </c>
      <c r="B613" s="7" t="s">
        <v>72</v>
      </c>
      <c r="C613" s="2" t="s">
        <v>1411</v>
      </c>
      <c r="D613" s="7" t="s">
        <v>858</v>
      </c>
      <c r="E613" s="4" t="s">
        <v>689</v>
      </c>
      <c r="F613" s="2">
        <v>7</v>
      </c>
      <c r="G613" s="2" t="s">
        <v>1399</v>
      </c>
      <c r="H613" s="2" t="s">
        <v>1400</v>
      </c>
      <c r="I613" s="4" t="s">
        <v>60</v>
      </c>
      <c r="J613" s="112">
        <f>IF($H613&lt;&gt;"Y",0,ROUND(MIN(Dashboard!$R$24,IF(IFERROR(VLOOKUP($B613,Dashboard!$Q$28:$S$60,2,FALSE),0)&gt;0,IFERROR(VLOOKUP($B613,Dashboard!$Q$28:$S$60,2,FALSE),0),$Z613*IF($U613&lt;&gt;"",ROUND((Dashboard!$R$4/$U613)*VLOOKUP($I613,Dashboard!$Q$9:$R$13,2,FALSE)*IF(ISNUMBER(SEARCH("Duals",$B613)),2,IF(ISNUMBER(SEARCH("Triples",$B613)),3,IF(ISNUMBER(SEARCH("Quads",$B613)),4,1))),2),ROUND(VLOOKUP($I613,Dashboard!$Q$15:$R$20,2,FALSE)*IF($E613="Red",Dashboard!$R$6,IF($E613="Gold",Dashboard!$R$7,Dashboard!$R$5))*IF(ISNUMBER(SEARCH("Duals",$B613)),2,IF(ISNUMBER(SEARCH("Triples",$B613)),3,IF(ISNUMBER(SEARCH("Quads",$B613)),4,1))),2))*IF(IFERROR(VLOOKUP($B613,Dashboard!$Q$28:$S$60,3,FALSE),0)&gt;0,VLOOKUP($B613,Dashboard!$Q$28:$S$60,3,FALSE),1))),0))</f>
        <v>143</v>
      </c>
      <c r="K613" s="2" t="str">
        <f>IF('Base S1'!I13="","",'Base S1'!I13)</f>
        <v>C 3/7</v>
      </c>
      <c r="L613" s="2">
        <f t="shared" si="117"/>
        <v>1</v>
      </c>
      <c r="M613" s="2">
        <f t="shared" si="118"/>
        <v>0</v>
      </c>
      <c r="N613" s="2">
        <f t="shared" si="119"/>
        <v>1</v>
      </c>
      <c r="O613" s="2">
        <f t="shared" si="120"/>
        <v>0</v>
      </c>
      <c r="P613" s="112">
        <f t="shared" si="121"/>
        <v>143</v>
      </c>
      <c r="Q613" s="112">
        <f t="shared" si="122"/>
        <v>0</v>
      </c>
      <c r="R613" s="53"/>
      <c r="S613" s="53" t="str">
        <f t="shared" si="123"/>
        <v>Base S1|The Seven Parallel - Season 1|12|The Seven</v>
      </c>
      <c r="T613" s="57" t="str">
        <f>IF($S613="","",IFERROR(VLOOKUP($S613,'Pop Estimates (Non-#d)'!$N$2:$O$500,2,FALSE),""))</f>
        <v/>
      </c>
      <c r="U613" s="57">
        <f t="shared" si="124"/>
        <v>7</v>
      </c>
      <c r="V613" s="53" t="str">
        <f t="shared" si="125"/>
        <v/>
      </c>
      <c r="W613" s="53" t="str">
        <f t="shared" si="126"/>
        <v/>
      </c>
      <c r="X613" s="53" t="str">
        <f t="shared" si="127"/>
        <v/>
      </c>
      <c r="Y613" s="57" t="str">
        <f>IF($X613="","",IFERROR(VLOOKUP($X613,'Char Popularity'!$A$2:$C$500,2,FALSE),""))</f>
        <v/>
      </c>
      <c r="Z613" s="56">
        <f>IF($X613="",1,IFERROR(VLOOKUP($X613,'Char Popularity'!$A$2:$C$500,3,FALSE),1))</f>
        <v>1</v>
      </c>
      <c r="AA613" s="62">
        <f>IF($H613&lt;&gt;"Y",0,(IF($F613&lt;&gt;"",ROUND(Dashboard!$R$4/$F613,1),IF(AND($I613="Base",$E613="Base"),Dashboard!$R$5,IF(AND($I613="Base",$E613="Red"),Dashboard!$R$6,IF(AND($I613="Base",$E613="Gold"),Dashboard!$R$7,VLOOKUP($I613,Dashboard!$Q$16:$R$21,2,FALSE)))))*VLOOKUP($I613,Dashboard!$Q$9:$R$13,2,FALSE)*IF(AND($I613="Auto",$F613="",OR($B613="Autographs Duals",$B613="Autographs Triples",$B613="Autographs Quads",$B613="Autographs Quads (Inscribed)")),IF($B613="Autographs Duals",2,IF($B613="Autographs Triples",3,4)),1)))</f>
        <v>142.9</v>
      </c>
      <c r="AB613" s="62">
        <f t="shared" si="128"/>
        <v>142.9</v>
      </c>
      <c r="AC613" s="62">
        <f t="shared" si="129"/>
        <v>0</v>
      </c>
    </row>
    <row r="614" spans="1:29" ht="42.95" customHeight="1" x14ac:dyDescent="0.25">
      <c r="A614" s="4" t="s">
        <v>17</v>
      </c>
      <c r="B614" s="7" t="s">
        <v>72</v>
      </c>
      <c r="C614" s="2" t="s">
        <v>1412</v>
      </c>
      <c r="D614" s="7" t="s">
        <v>861</v>
      </c>
      <c r="E614" s="4" t="s">
        <v>689</v>
      </c>
      <c r="F614" s="2">
        <v>7</v>
      </c>
      <c r="G614" s="2" t="s">
        <v>1399</v>
      </c>
      <c r="H614" s="2" t="s">
        <v>1400</v>
      </c>
      <c r="I614" s="4" t="s">
        <v>60</v>
      </c>
      <c r="J614" s="112">
        <f>IF($H614&lt;&gt;"Y",0,ROUND(MIN(Dashboard!$R$24,IF(IFERROR(VLOOKUP($B614,Dashboard!$Q$28:$S$60,2,FALSE),0)&gt;0,IFERROR(VLOOKUP($B614,Dashboard!$Q$28:$S$60,2,FALSE),0),$Z614*IF($U614&lt;&gt;"",ROUND((Dashboard!$R$4/$U614)*VLOOKUP($I614,Dashboard!$Q$9:$R$13,2,FALSE)*IF(ISNUMBER(SEARCH("Duals",$B614)),2,IF(ISNUMBER(SEARCH("Triples",$B614)),3,IF(ISNUMBER(SEARCH("Quads",$B614)),4,1))),2),ROUND(VLOOKUP($I614,Dashboard!$Q$15:$R$20,2,FALSE)*IF($E614="Red",Dashboard!$R$6,IF($E614="Gold",Dashboard!$R$7,Dashboard!$R$5))*IF(ISNUMBER(SEARCH("Duals",$B614)),2,IF(ISNUMBER(SEARCH("Triples",$B614)),3,IF(ISNUMBER(SEARCH("Quads",$B614)),4,1))),2))*IF(IFERROR(VLOOKUP($B614,Dashboard!$Q$28:$S$60,3,FALSE),0)&gt;0,VLOOKUP($B614,Dashboard!$Q$28:$S$60,3,FALSE),1))),0))</f>
        <v>143</v>
      </c>
      <c r="K614" s="2" t="str">
        <f>IF('Base S1'!I14="","",'Base S1'!I14)</f>
        <v/>
      </c>
      <c r="L614" s="2">
        <f t="shared" si="117"/>
        <v>0</v>
      </c>
      <c r="M614" s="2">
        <f t="shared" si="118"/>
        <v>0</v>
      </c>
      <c r="N614" s="2">
        <f t="shared" si="119"/>
        <v>0</v>
      </c>
      <c r="O614" s="2">
        <f t="shared" si="120"/>
        <v>1</v>
      </c>
      <c r="P614" s="112">
        <f t="shared" si="121"/>
        <v>0</v>
      </c>
      <c r="Q614" s="112">
        <f t="shared" si="122"/>
        <v>0</v>
      </c>
      <c r="R614" s="53"/>
      <c r="S614" s="53" t="str">
        <f t="shared" si="123"/>
        <v>Base S1|The Seven Parallel - Season 1|13|The Seven</v>
      </c>
      <c r="T614" s="57" t="str">
        <f>IF($S614="","",IFERROR(VLOOKUP($S614,'Pop Estimates (Non-#d)'!$N$2:$O$500,2,FALSE),""))</f>
        <v/>
      </c>
      <c r="U614" s="57">
        <f t="shared" si="124"/>
        <v>7</v>
      </c>
      <c r="V614" s="53" t="str">
        <f t="shared" si="125"/>
        <v/>
      </c>
      <c r="W614" s="53" t="str">
        <f t="shared" si="126"/>
        <v/>
      </c>
      <c r="X614" s="53" t="str">
        <f t="shared" si="127"/>
        <v/>
      </c>
      <c r="Y614" s="57" t="str">
        <f>IF($X614="","",IFERROR(VLOOKUP($X614,'Char Popularity'!$A$2:$C$500,2,FALSE),""))</f>
        <v/>
      </c>
      <c r="Z614" s="56">
        <f>IF($X614="",1,IFERROR(VLOOKUP($X614,'Char Popularity'!$A$2:$C$500,3,FALSE),1))</f>
        <v>1</v>
      </c>
      <c r="AA614" s="62">
        <f>IF($H614&lt;&gt;"Y",0,(IF($F614&lt;&gt;"",ROUND(Dashboard!$R$4/$F614,1),IF(AND($I614="Base",$E614="Base"),Dashboard!$R$5,IF(AND($I614="Base",$E614="Red"),Dashboard!$R$6,IF(AND($I614="Base",$E614="Gold"),Dashboard!$R$7,VLOOKUP($I614,Dashboard!$Q$16:$R$21,2,FALSE)))))*VLOOKUP($I614,Dashboard!$Q$9:$R$13,2,FALSE)*IF(AND($I614="Auto",$F614="",OR($B614="Autographs Duals",$B614="Autographs Triples",$B614="Autographs Quads",$B614="Autographs Quads (Inscribed)")),IF($B614="Autographs Duals",2,IF($B614="Autographs Triples",3,4)),1)))</f>
        <v>142.9</v>
      </c>
      <c r="AB614" s="62">
        <f t="shared" si="128"/>
        <v>0</v>
      </c>
      <c r="AC614" s="62">
        <f t="shared" si="129"/>
        <v>0</v>
      </c>
    </row>
    <row r="615" spans="1:29" ht="42.95" customHeight="1" x14ac:dyDescent="0.25">
      <c r="A615" s="4" t="s">
        <v>17</v>
      </c>
      <c r="B615" s="7" t="s">
        <v>72</v>
      </c>
      <c r="C615" s="2" t="s">
        <v>1413</v>
      </c>
      <c r="D615" s="7" t="s">
        <v>863</v>
      </c>
      <c r="E615" s="4" t="s">
        <v>689</v>
      </c>
      <c r="F615" s="2">
        <v>7</v>
      </c>
      <c r="G615" s="2" t="s">
        <v>1399</v>
      </c>
      <c r="H615" s="2" t="s">
        <v>1400</v>
      </c>
      <c r="I615" s="4" t="s">
        <v>60</v>
      </c>
      <c r="J615" s="112">
        <f>IF($H615&lt;&gt;"Y",0,ROUND(MIN(Dashboard!$R$24,IF(IFERROR(VLOOKUP($B615,Dashboard!$Q$28:$S$60,2,FALSE),0)&gt;0,IFERROR(VLOOKUP($B615,Dashboard!$Q$28:$S$60,2,FALSE),0),$Z615*IF($U615&lt;&gt;"",ROUND((Dashboard!$R$4/$U615)*VLOOKUP($I615,Dashboard!$Q$9:$R$13,2,FALSE)*IF(ISNUMBER(SEARCH("Duals",$B615)),2,IF(ISNUMBER(SEARCH("Triples",$B615)),3,IF(ISNUMBER(SEARCH("Quads",$B615)),4,1))),2),ROUND(VLOOKUP($I615,Dashboard!$Q$15:$R$20,2,FALSE)*IF($E615="Red",Dashboard!$R$6,IF($E615="Gold",Dashboard!$R$7,Dashboard!$R$5))*IF(ISNUMBER(SEARCH("Duals",$B615)),2,IF(ISNUMBER(SEARCH("Triples",$B615)),3,IF(ISNUMBER(SEARCH("Quads",$B615)),4,1))),2))*IF(IFERROR(VLOOKUP($B615,Dashboard!$Q$28:$S$60,3,FALSE),0)&gt;0,VLOOKUP($B615,Dashboard!$Q$28:$S$60,3,FALSE),1))),0))</f>
        <v>143</v>
      </c>
      <c r="K615" s="2" t="str">
        <f>IF('Base S1'!I15="","",'Base S1'!I15)</f>
        <v/>
      </c>
      <c r="L615" s="2">
        <f t="shared" si="117"/>
        <v>0</v>
      </c>
      <c r="M615" s="2">
        <f t="shared" si="118"/>
        <v>0</v>
      </c>
      <c r="N615" s="2">
        <f t="shared" si="119"/>
        <v>0</v>
      </c>
      <c r="O615" s="2">
        <f t="shared" si="120"/>
        <v>1</v>
      </c>
      <c r="P615" s="112">
        <f t="shared" si="121"/>
        <v>0</v>
      </c>
      <c r="Q615" s="112">
        <f t="shared" si="122"/>
        <v>0</v>
      </c>
      <c r="R615" s="53"/>
      <c r="S615" s="53" t="str">
        <f t="shared" si="123"/>
        <v>Base S1|The Seven Parallel - Season 1|14|The Seven</v>
      </c>
      <c r="T615" s="57" t="str">
        <f>IF($S615="","",IFERROR(VLOOKUP($S615,'Pop Estimates (Non-#d)'!$N$2:$O$500,2,FALSE),""))</f>
        <v/>
      </c>
      <c r="U615" s="57">
        <f t="shared" si="124"/>
        <v>7</v>
      </c>
      <c r="V615" s="53" t="str">
        <f t="shared" si="125"/>
        <v/>
      </c>
      <c r="W615" s="53" t="str">
        <f t="shared" si="126"/>
        <v/>
      </c>
      <c r="X615" s="53" t="str">
        <f t="shared" si="127"/>
        <v/>
      </c>
      <c r="Y615" s="57" t="str">
        <f>IF($X615="","",IFERROR(VLOOKUP($X615,'Char Popularity'!$A$2:$C$500,2,FALSE),""))</f>
        <v/>
      </c>
      <c r="Z615" s="56">
        <f>IF($X615="",1,IFERROR(VLOOKUP($X615,'Char Popularity'!$A$2:$C$500,3,FALSE),1))</f>
        <v>1</v>
      </c>
      <c r="AA615" s="62">
        <f>IF($H615&lt;&gt;"Y",0,(IF($F615&lt;&gt;"",ROUND(Dashboard!$R$4/$F615,1),IF(AND($I615="Base",$E615="Base"),Dashboard!$R$5,IF(AND($I615="Base",$E615="Red"),Dashboard!$R$6,IF(AND($I615="Base",$E615="Gold"),Dashboard!$R$7,VLOOKUP($I615,Dashboard!$Q$16:$R$21,2,FALSE)))))*VLOOKUP($I615,Dashboard!$Q$9:$R$13,2,FALSE)*IF(AND($I615="Auto",$F615="",OR($B615="Autographs Duals",$B615="Autographs Triples",$B615="Autographs Quads",$B615="Autographs Quads (Inscribed)")),IF($B615="Autographs Duals",2,IF($B615="Autographs Triples",3,4)),1)))</f>
        <v>142.9</v>
      </c>
      <c r="AB615" s="62">
        <f t="shared" si="128"/>
        <v>0</v>
      </c>
      <c r="AC615" s="62">
        <f t="shared" si="129"/>
        <v>0</v>
      </c>
    </row>
    <row r="616" spans="1:29" ht="42.95" customHeight="1" x14ac:dyDescent="0.25">
      <c r="A616" s="4" t="s">
        <v>17</v>
      </c>
      <c r="B616" s="7" t="s">
        <v>72</v>
      </c>
      <c r="C616" s="2" t="s">
        <v>1414</v>
      </c>
      <c r="D616" s="7" t="s">
        <v>866</v>
      </c>
      <c r="E616" s="4" t="s">
        <v>689</v>
      </c>
      <c r="F616" s="2">
        <v>7</v>
      </c>
      <c r="G616" s="2" t="s">
        <v>1399</v>
      </c>
      <c r="H616" s="2" t="s">
        <v>1400</v>
      </c>
      <c r="I616" s="4" t="s">
        <v>60</v>
      </c>
      <c r="J616" s="112">
        <f>IF($H616&lt;&gt;"Y",0,ROUND(MIN(Dashboard!$R$24,IF(IFERROR(VLOOKUP($B616,Dashboard!$Q$28:$S$60,2,FALSE),0)&gt;0,IFERROR(VLOOKUP($B616,Dashboard!$Q$28:$S$60,2,FALSE),0),$Z616*IF($U616&lt;&gt;"",ROUND((Dashboard!$R$4/$U616)*VLOOKUP($I616,Dashboard!$Q$9:$R$13,2,FALSE)*IF(ISNUMBER(SEARCH("Duals",$B616)),2,IF(ISNUMBER(SEARCH("Triples",$B616)),3,IF(ISNUMBER(SEARCH("Quads",$B616)),4,1))),2),ROUND(VLOOKUP($I616,Dashboard!$Q$15:$R$20,2,FALSE)*IF($E616="Red",Dashboard!$R$6,IF($E616="Gold",Dashboard!$R$7,Dashboard!$R$5))*IF(ISNUMBER(SEARCH("Duals",$B616)),2,IF(ISNUMBER(SEARCH("Triples",$B616)),3,IF(ISNUMBER(SEARCH("Quads",$B616)),4,1))),2))*IF(IFERROR(VLOOKUP($B616,Dashboard!$Q$28:$S$60,3,FALSE),0)&gt;0,VLOOKUP($B616,Dashboard!$Q$28:$S$60,3,FALSE),1))),0))</f>
        <v>143</v>
      </c>
      <c r="K616" s="2" t="str">
        <f>IF('Base S1'!I16="","",'Base S1'!I16)</f>
        <v/>
      </c>
      <c r="L616" s="2">
        <f t="shared" si="117"/>
        <v>0</v>
      </c>
      <c r="M616" s="2">
        <f t="shared" si="118"/>
        <v>0</v>
      </c>
      <c r="N616" s="2">
        <f t="shared" si="119"/>
        <v>0</v>
      </c>
      <c r="O616" s="2">
        <f t="shared" si="120"/>
        <v>1</v>
      </c>
      <c r="P616" s="112">
        <f t="shared" si="121"/>
        <v>0</v>
      </c>
      <c r="Q616" s="112">
        <f t="shared" si="122"/>
        <v>0</v>
      </c>
      <c r="R616" s="53"/>
      <c r="S616" s="53" t="str">
        <f t="shared" si="123"/>
        <v>Base S1|The Seven Parallel - Season 1|15|The Seven</v>
      </c>
      <c r="T616" s="57" t="str">
        <f>IF($S616="","",IFERROR(VLOOKUP($S616,'Pop Estimates (Non-#d)'!$N$2:$O$500,2,FALSE),""))</f>
        <v/>
      </c>
      <c r="U616" s="57">
        <f t="shared" si="124"/>
        <v>7</v>
      </c>
      <c r="V616" s="53" t="str">
        <f t="shared" si="125"/>
        <v/>
      </c>
      <c r="W616" s="53" t="str">
        <f t="shared" si="126"/>
        <v/>
      </c>
      <c r="X616" s="53" t="str">
        <f t="shared" si="127"/>
        <v/>
      </c>
      <c r="Y616" s="57" t="str">
        <f>IF($X616="","",IFERROR(VLOOKUP($X616,'Char Popularity'!$A$2:$C$500,2,FALSE),""))</f>
        <v/>
      </c>
      <c r="Z616" s="56">
        <f>IF($X616="",1,IFERROR(VLOOKUP($X616,'Char Popularity'!$A$2:$C$500,3,FALSE),1))</f>
        <v>1</v>
      </c>
      <c r="AA616" s="62">
        <f>IF($H616&lt;&gt;"Y",0,(IF($F616&lt;&gt;"",ROUND(Dashboard!$R$4/$F616,1),IF(AND($I616="Base",$E616="Base"),Dashboard!$R$5,IF(AND($I616="Base",$E616="Red"),Dashboard!$R$6,IF(AND($I616="Base",$E616="Gold"),Dashboard!$R$7,VLOOKUP($I616,Dashboard!$Q$16:$R$21,2,FALSE)))))*VLOOKUP($I616,Dashboard!$Q$9:$R$13,2,FALSE)*IF(AND($I616="Auto",$F616="",OR($B616="Autographs Duals",$B616="Autographs Triples",$B616="Autographs Quads",$B616="Autographs Quads (Inscribed)")),IF($B616="Autographs Duals",2,IF($B616="Autographs Triples",3,4)),1)))</f>
        <v>142.9</v>
      </c>
      <c r="AB616" s="62">
        <f t="shared" si="128"/>
        <v>0</v>
      </c>
      <c r="AC616" s="62">
        <f t="shared" si="129"/>
        <v>0</v>
      </c>
    </row>
    <row r="617" spans="1:29" ht="42.95" customHeight="1" x14ac:dyDescent="0.25">
      <c r="A617" s="4" t="s">
        <v>17</v>
      </c>
      <c r="B617" s="7" t="s">
        <v>72</v>
      </c>
      <c r="C617" s="2" t="s">
        <v>1415</v>
      </c>
      <c r="D617" s="7" t="s">
        <v>869</v>
      </c>
      <c r="E617" s="4" t="s">
        <v>689</v>
      </c>
      <c r="F617" s="2">
        <v>7</v>
      </c>
      <c r="G617" s="2" t="s">
        <v>1399</v>
      </c>
      <c r="H617" s="2" t="s">
        <v>1400</v>
      </c>
      <c r="I617" s="4" t="s">
        <v>60</v>
      </c>
      <c r="J617" s="112">
        <f>IF($H617&lt;&gt;"Y",0,ROUND(MIN(Dashboard!$R$24,IF(IFERROR(VLOOKUP($B617,Dashboard!$Q$28:$S$60,2,FALSE),0)&gt;0,IFERROR(VLOOKUP($B617,Dashboard!$Q$28:$S$60,2,FALSE),0),$Z617*IF($U617&lt;&gt;"",ROUND((Dashboard!$R$4/$U617)*VLOOKUP($I617,Dashboard!$Q$9:$R$13,2,FALSE)*IF(ISNUMBER(SEARCH("Duals",$B617)),2,IF(ISNUMBER(SEARCH("Triples",$B617)),3,IF(ISNUMBER(SEARCH("Quads",$B617)),4,1))),2),ROUND(VLOOKUP($I617,Dashboard!$Q$15:$R$20,2,FALSE)*IF($E617="Red",Dashboard!$R$6,IF($E617="Gold",Dashboard!$R$7,Dashboard!$R$5))*IF(ISNUMBER(SEARCH("Duals",$B617)),2,IF(ISNUMBER(SEARCH("Triples",$B617)),3,IF(ISNUMBER(SEARCH("Quads",$B617)),4,1))),2))*IF(IFERROR(VLOOKUP($B617,Dashboard!$Q$28:$S$60,3,FALSE),0)&gt;0,VLOOKUP($B617,Dashboard!$Q$28:$S$60,3,FALSE),1))),0))</f>
        <v>143</v>
      </c>
      <c r="K617" s="2" t="str">
        <f>IF('Base S1'!I17="","",'Base S1'!I17)</f>
        <v>C 4/7</v>
      </c>
      <c r="L617" s="2">
        <f t="shared" si="117"/>
        <v>1</v>
      </c>
      <c r="M617" s="2">
        <f t="shared" si="118"/>
        <v>0</v>
      </c>
      <c r="N617" s="2">
        <f t="shared" si="119"/>
        <v>1</v>
      </c>
      <c r="O617" s="2">
        <f t="shared" si="120"/>
        <v>0</v>
      </c>
      <c r="P617" s="112">
        <f t="shared" si="121"/>
        <v>143</v>
      </c>
      <c r="Q617" s="112">
        <f t="shared" si="122"/>
        <v>0</v>
      </c>
      <c r="R617" s="53"/>
      <c r="S617" s="53" t="str">
        <f t="shared" si="123"/>
        <v>Base S1|The Seven Parallel - Season 1|16|The Seven</v>
      </c>
      <c r="T617" s="57" t="str">
        <f>IF($S617="","",IFERROR(VLOOKUP($S617,'Pop Estimates (Non-#d)'!$N$2:$O$500,2,FALSE),""))</f>
        <v/>
      </c>
      <c r="U617" s="57">
        <f t="shared" si="124"/>
        <v>7</v>
      </c>
      <c r="V617" s="53" t="str">
        <f t="shared" si="125"/>
        <v/>
      </c>
      <c r="W617" s="53" t="str">
        <f t="shared" si="126"/>
        <v/>
      </c>
      <c r="X617" s="53" t="str">
        <f t="shared" si="127"/>
        <v/>
      </c>
      <c r="Y617" s="57" t="str">
        <f>IF($X617="","",IFERROR(VLOOKUP($X617,'Char Popularity'!$A$2:$C$500,2,FALSE),""))</f>
        <v/>
      </c>
      <c r="Z617" s="56">
        <f>IF($X617="",1,IFERROR(VLOOKUP($X617,'Char Popularity'!$A$2:$C$500,3,FALSE),1))</f>
        <v>1</v>
      </c>
      <c r="AA617" s="62">
        <f>IF($H617&lt;&gt;"Y",0,(IF($F617&lt;&gt;"",ROUND(Dashboard!$R$4/$F617,1),IF(AND($I617="Base",$E617="Base"),Dashboard!$R$5,IF(AND($I617="Base",$E617="Red"),Dashboard!$R$6,IF(AND($I617="Base",$E617="Gold"),Dashboard!$R$7,VLOOKUP($I617,Dashboard!$Q$16:$R$21,2,FALSE)))))*VLOOKUP($I617,Dashboard!$Q$9:$R$13,2,FALSE)*IF(AND($I617="Auto",$F617="",OR($B617="Autographs Duals",$B617="Autographs Triples",$B617="Autographs Quads",$B617="Autographs Quads (Inscribed)")),IF($B617="Autographs Duals",2,IF($B617="Autographs Triples",3,4)),1)))</f>
        <v>142.9</v>
      </c>
      <c r="AB617" s="62">
        <f t="shared" si="128"/>
        <v>142.9</v>
      </c>
      <c r="AC617" s="62">
        <f t="shared" si="129"/>
        <v>0</v>
      </c>
    </row>
    <row r="618" spans="1:29" ht="42.95" customHeight="1" x14ac:dyDescent="0.25">
      <c r="A618" s="4" t="s">
        <v>17</v>
      </c>
      <c r="B618" s="7" t="s">
        <v>72</v>
      </c>
      <c r="C618" s="2" t="s">
        <v>1416</v>
      </c>
      <c r="D618" s="7" t="s">
        <v>874</v>
      </c>
      <c r="E618" s="4" t="s">
        <v>689</v>
      </c>
      <c r="F618" s="2">
        <v>7</v>
      </c>
      <c r="G618" s="2" t="s">
        <v>1399</v>
      </c>
      <c r="H618" s="2" t="s">
        <v>1400</v>
      </c>
      <c r="I618" s="4" t="s">
        <v>60</v>
      </c>
      <c r="J618" s="112">
        <f>IF($H618&lt;&gt;"Y",0,ROUND(MIN(Dashboard!$R$24,IF(IFERROR(VLOOKUP($B618,Dashboard!$Q$28:$S$60,2,FALSE),0)&gt;0,IFERROR(VLOOKUP($B618,Dashboard!$Q$28:$S$60,2,FALSE),0),$Z618*IF($U618&lt;&gt;"",ROUND((Dashboard!$R$4/$U618)*VLOOKUP($I618,Dashboard!$Q$9:$R$13,2,FALSE)*IF(ISNUMBER(SEARCH("Duals",$B618)),2,IF(ISNUMBER(SEARCH("Triples",$B618)),3,IF(ISNUMBER(SEARCH("Quads",$B618)),4,1))),2),ROUND(VLOOKUP($I618,Dashboard!$Q$15:$R$20,2,FALSE)*IF($E618="Red",Dashboard!$R$6,IF($E618="Gold",Dashboard!$R$7,Dashboard!$R$5))*IF(ISNUMBER(SEARCH("Duals",$B618)),2,IF(ISNUMBER(SEARCH("Triples",$B618)),3,IF(ISNUMBER(SEARCH("Quads",$B618)),4,1))),2))*IF(IFERROR(VLOOKUP($B618,Dashboard!$Q$28:$S$60,3,FALSE),0)&gt;0,VLOOKUP($B618,Dashboard!$Q$28:$S$60,3,FALSE),1))),0))</f>
        <v>143</v>
      </c>
      <c r="K618" s="2" t="str">
        <f>IF('Base S1'!I18="","",'Base S1'!I18)</f>
        <v/>
      </c>
      <c r="L618" s="2">
        <f t="shared" si="117"/>
        <v>0</v>
      </c>
      <c r="M618" s="2">
        <f t="shared" si="118"/>
        <v>0</v>
      </c>
      <c r="N618" s="2">
        <f t="shared" si="119"/>
        <v>0</v>
      </c>
      <c r="O618" s="2">
        <f t="shared" si="120"/>
        <v>1</v>
      </c>
      <c r="P618" s="112">
        <f t="shared" si="121"/>
        <v>0</v>
      </c>
      <c r="Q618" s="112">
        <f t="shared" si="122"/>
        <v>0</v>
      </c>
      <c r="R618" s="53"/>
      <c r="S618" s="53" t="str">
        <f t="shared" si="123"/>
        <v>Base S1|The Seven Parallel - Season 1|17|The Seven</v>
      </c>
      <c r="T618" s="57" t="str">
        <f>IF($S618="","",IFERROR(VLOOKUP($S618,'Pop Estimates (Non-#d)'!$N$2:$O$500,2,FALSE),""))</f>
        <v/>
      </c>
      <c r="U618" s="57">
        <f t="shared" si="124"/>
        <v>7</v>
      </c>
      <c r="V618" s="53" t="str">
        <f t="shared" si="125"/>
        <v/>
      </c>
      <c r="W618" s="53" t="str">
        <f t="shared" si="126"/>
        <v/>
      </c>
      <c r="X618" s="53" t="str">
        <f t="shared" si="127"/>
        <v/>
      </c>
      <c r="Y618" s="57" t="str">
        <f>IF($X618="","",IFERROR(VLOOKUP($X618,'Char Popularity'!$A$2:$C$500,2,FALSE),""))</f>
        <v/>
      </c>
      <c r="Z618" s="56">
        <f>IF($X618="",1,IFERROR(VLOOKUP($X618,'Char Popularity'!$A$2:$C$500,3,FALSE),1))</f>
        <v>1</v>
      </c>
      <c r="AA618" s="62">
        <f>IF($H618&lt;&gt;"Y",0,(IF($F618&lt;&gt;"",ROUND(Dashboard!$R$4/$F618,1),IF(AND($I618="Base",$E618="Base"),Dashboard!$R$5,IF(AND($I618="Base",$E618="Red"),Dashboard!$R$6,IF(AND($I618="Base",$E618="Gold"),Dashboard!$R$7,VLOOKUP($I618,Dashboard!$Q$16:$R$21,2,FALSE)))))*VLOOKUP($I618,Dashboard!$Q$9:$R$13,2,FALSE)*IF(AND($I618="Auto",$F618="",OR($B618="Autographs Duals",$B618="Autographs Triples",$B618="Autographs Quads",$B618="Autographs Quads (Inscribed)")),IF($B618="Autographs Duals",2,IF($B618="Autographs Triples",3,4)),1)))</f>
        <v>142.9</v>
      </c>
      <c r="AB618" s="62">
        <f t="shared" si="128"/>
        <v>0</v>
      </c>
      <c r="AC618" s="62">
        <f t="shared" si="129"/>
        <v>0</v>
      </c>
    </row>
    <row r="619" spans="1:29" ht="42.95" customHeight="1" x14ac:dyDescent="0.25">
      <c r="A619" s="4" t="s">
        <v>17</v>
      </c>
      <c r="B619" s="7" t="s">
        <v>72</v>
      </c>
      <c r="C619" s="2" t="s">
        <v>1417</v>
      </c>
      <c r="D619" s="7" t="s">
        <v>877</v>
      </c>
      <c r="E619" s="4" t="s">
        <v>689</v>
      </c>
      <c r="F619" s="2">
        <v>7</v>
      </c>
      <c r="G619" s="2" t="s">
        <v>1399</v>
      </c>
      <c r="H619" s="2" t="s">
        <v>1400</v>
      </c>
      <c r="I619" s="4" t="s">
        <v>60</v>
      </c>
      <c r="J619" s="112">
        <f>IF($H619&lt;&gt;"Y",0,ROUND(MIN(Dashboard!$R$24,IF(IFERROR(VLOOKUP($B619,Dashboard!$Q$28:$S$60,2,FALSE),0)&gt;0,IFERROR(VLOOKUP($B619,Dashboard!$Q$28:$S$60,2,FALSE),0),$Z619*IF($U619&lt;&gt;"",ROUND((Dashboard!$R$4/$U619)*VLOOKUP($I619,Dashboard!$Q$9:$R$13,2,FALSE)*IF(ISNUMBER(SEARCH("Duals",$B619)),2,IF(ISNUMBER(SEARCH("Triples",$B619)),3,IF(ISNUMBER(SEARCH("Quads",$B619)),4,1))),2),ROUND(VLOOKUP($I619,Dashboard!$Q$15:$R$20,2,FALSE)*IF($E619="Red",Dashboard!$R$6,IF($E619="Gold",Dashboard!$R$7,Dashboard!$R$5))*IF(ISNUMBER(SEARCH("Duals",$B619)),2,IF(ISNUMBER(SEARCH("Triples",$B619)),3,IF(ISNUMBER(SEARCH("Quads",$B619)),4,1))),2))*IF(IFERROR(VLOOKUP($B619,Dashboard!$Q$28:$S$60,3,FALSE),0)&gt;0,VLOOKUP($B619,Dashboard!$Q$28:$S$60,3,FALSE),1))),0))</f>
        <v>143</v>
      </c>
      <c r="K619" s="2" t="str">
        <f>IF('Base S1'!I19="","",'Base S1'!I19)</f>
        <v/>
      </c>
      <c r="L619" s="2">
        <f t="shared" si="117"/>
        <v>0</v>
      </c>
      <c r="M619" s="2">
        <f t="shared" si="118"/>
        <v>0</v>
      </c>
      <c r="N619" s="2">
        <f t="shared" si="119"/>
        <v>0</v>
      </c>
      <c r="O619" s="2">
        <f t="shared" si="120"/>
        <v>1</v>
      </c>
      <c r="P619" s="112">
        <f t="shared" si="121"/>
        <v>0</v>
      </c>
      <c r="Q619" s="112">
        <f t="shared" si="122"/>
        <v>0</v>
      </c>
      <c r="R619" s="53"/>
      <c r="S619" s="53" t="str">
        <f t="shared" si="123"/>
        <v>Base S1|The Seven Parallel - Season 1|18|The Seven</v>
      </c>
      <c r="T619" s="57" t="str">
        <f>IF($S619="","",IFERROR(VLOOKUP($S619,'Pop Estimates (Non-#d)'!$N$2:$O$500,2,FALSE),""))</f>
        <v/>
      </c>
      <c r="U619" s="57">
        <f t="shared" si="124"/>
        <v>7</v>
      </c>
      <c r="V619" s="53" t="str">
        <f t="shared" si="125"/>
        <v/>
      </c>
      <c r="W619" s="53" t="str">
        <f t="shared" si="126"/>
        <v/>
      </c>
      <c r="X619" s="53" t="str">
        <f t="shared" si="127"/>
        <v/>
      </c>
      <c r="Y619" s="57" t="str">
        <f>IF($X619="","",IFERROR(VLOOKUP($X619,'Char Popularity'!$A$2:$C$500,2,FALSE),""))</f>
        <v/>
      </c>
      <c r="Z619" s="56">
        <f>IF($X619="",1,IFERROR(VLOOKUP($X619,'Char Popularity'!$A$2:$C$500,3,FALSE),1))</f>
        <v>1</v>
      </c>
      <c r="AA619" s="62">
        <f>IF($H619&lt;&gt;"Y",0,(IF($F619&lt;&gt;"",ROUND(Dashboard!$R$4/$F619,1),IF(AND($I619="Base",$E619="Base"),Dashboard!$R$5,IF(AND($I619="Base",$E619="Red"),Dashboard!$R$6,IF(AND($I619="Base",$E619="Gold"),Dashboard!$R$7,VLOOKUP($I619,Dashboard!$Q$16:$R$21,2,FALSE)))))*VLOOKUP($I619,Dashboard!$Q$9:$R$13,2,FALSE)*IF(AND($I619="Auto",$F619="",OR($B619="Autographs Duals",$B619="Autographs Triples",$B619="Autographs Quads",$B619="Autographs Quads (Inscribed)")),IF($B619="Autographs Duals",2,IF($B619="Autographs Triples",3,4)),1)))</f>
        <v>142.9</v>
      </c>
      <c r="AB619" s="62">
        <f t="shared" si="128"/>
        <v>0</v>
      </c>
      <c r="AC619" s="62">
        <f t="shared" si="129"/>
        <v>0</v>
      </c>
    </row>
    <row r="620" spans="1:29" ht="42.95" customHeight="1" x14ac:dyDescent="0.25">
      <c r="A620" s="4" t="s">
        <v>17</v>
      </c>
      <c r="B620" s="7" t="s">
        <v>72</v>
      </c>
      <c r="C620" s="2" t="s">
        <v>1418</v>
      </c>
      <c r="D620" s="7" t="s">
        <v>879</v>
      </c>
      <c r="E620" s="4" t="s">
        <v>689</v>
      </c>
      <c r="F620" s="2">
        <v>7</v>
      </c>
      <c r="G620" s="2" t="s">
        <v>1399</v>
      </c>
      <c r="H620" s="2" t="s">
        <v>1400</v>
      </c>
      <c r="I620" s="4" t="s">
        <v>60</v>
      </c>
      <c r="J620" s="112">
        <f>IF($H620&lt;&gt;"Y",0,ROUND(MIN(Dashboard!$R$24,IF(IFERROR(VLOOKUP($B620,Dashboard!$Q$28:$S$60,2,FALSE),0)&gt;0,IFERROR(VLOOKUP($B620,Dashboard!$Q$28:$S$60,2,FALSE),0),$Z620*IF($U620&lt;&gt;"",ROUND((Dashboard!$R$4/$U620)*VLOOKUP($I620,Dashboard!$Q$9:$R$13,2,FALSE)*IF(ISNUMBER(SEARCH("Duals",$B620)),2,IF(ISNUMBER(SEARCH("Triples",$B620)),3,IF(ISNUMBER(SEARCH("Quads",$B620)),4,1))),2),ROUND(VLOOKUP($I620,Dashboard!$Q$15:$R$20,2,FALSE)*IF($E620="Red",Dashboard!$R$6,IF($E620="Gold",Dashboard!$R$7,Dashboard!$R$5))*IF(ISNUMBER(SEARCH("Duals",$B620)),2,IF(ISNUMBER(SEARCH("Triples",$B620)),3,IF(ISNUMBER(SEARCH("Quads",$B620)),4,1))),2))*IF(IFERROR(VLOOKUP($B620,Dashboard!$Q$28:$S$60,3,FALSE),0)&gt;0,VLOOKUP($B620,Dashboard!$Q$28:$S$60,3,FALSE),1))),0))</f>
        <v>143</v>
      </c>
      <c r="K620" s="2" t="str">
        <f>IF('Base S1'!I20="","",'Base S1'!I20)</f>
        <v/>
      </c>
      <c r="L620" s="2">
        <f t="shared" si="117"/>
        <v>0</v>
      </c>
      <c r="M620" s="2">
        <f t="shared" si="118"/>
        <v>0</v>
      </c>
      <c r="N620" s="2">
        <f t="shared" si="119"/>
        <v>0</v>
      </c>
      <c r="O620" s="2">
        <f t="shared" si="120"/>
        <v>1</v>
      </c>
      <c r="P620" s="112">
        <f t="shared" si="121"/>
        <v>0</v>
      </c>
      <c r="Q620" s="112">
        <f t="shared" si="122"/>
        <v>0</v>
      </c>
      <c r="R620" s="53"/>
      <c r="S620" s="53" t="str">
        <f t="shared" si="123"/>
        <v>Base S1|The Seven Parallel - Season 1|19|The Seven</v>
      </c>
      <c r="T620" s="57" t="str">
        <f>IF($S620="","",IFERROR(VLOOKUP($S620,'Pop Estimates (Non-#d)'!$N$2:$O$500,2,FALSE),""))</f>
        <v/>
      </c>
      <c r="U620" s="57">
        <f t="shared" si="124"/>
        <v>7</v>
      </c>
      <c r="V620" s="53" t="str">
        <f t="shared" si="125"/>
        <v/>
      </c>
      <c r="W620" s="53" t="str">
        <f t="shared" si="126"/>
        <v/>
      </c>
      <c r="X620" s="53" t="str">
        <f t="shared" si="127"/>
        <v/>
      </c>
      <c r="Y620" s="57" t="str">
        <f>IF($X620="","",IFERROR(VLOOKUP($X620,'Char Popularity'!$A$2:$C$500,2,FALSE),""))</f>
        <v/>
      </c>
      <c r="Z620" s="56">
        <f>IF($X620="",1,IFERROR(VLOOKUP($X620,'Char Popularity'!$A$2:$C$500,3,FALSE),1))</f>
        <v>1</v>
      </c>
      <c r="AA620" s="62">
        <f>IF($H620&lt;&gt;"Y",0,(IF($F620&lt;&gt;"",ROUND(Dashboard!$R$4/$F620,1),IF(AND($I620="Base",$E620="Base"),Dashboard!$R$5,IF(AND($I620="Base",$E620="Red"),Dashboard!$R$6,IF(AND($I620="Base",$E620="Gold"),Dashboard!$R$7,VLOOKUP($I620,Dashboard!$Q$16:$R$21,2,FALSE)))))*VLOOKUP($I620,Dashboard!$Q$9:$R$13,2,FALSE)*IF(AND($I620="Auto",$F620="",OR($B620="Autographs Duals",$B620="Autographs Triples",$B620="Autographs Quads",$B620="Autographs Quads (Inscribed)")),IF($B620="Autographs Duals",2,IF($B620="Autographs Triples",3,4)),1)))</f>
        <v>142.9</v>
      </c>
      <c r="AB620" s="62">
        <f t="shared" si="128"/>
        <v>0</v>
      </c>
      <c r="AC620" s="62">
        <f t="shared" si="129"/>
        <v>0</v>
      </c>
    </row>
    <row r="621" spans="1:29" ht="42.95" customHeight="1" x14ac:dyDescent="0.25">
      <c r="A621" s="4" t="s">
        <v>17</v>
      </c>
      <c r="B621" s="7" t="s">
        <v>72</v>
      </c>
      <c r="C621" s="2" t="s">
        <v>1419</v>
      </c>
      <c r="D621" s="7" t="s">
        <v>881</v>
      </c>
      <c r="E621" s="4" t="s">
        <v>689</v>
      </c>
      <c r="F621" s="2">
        <v>7</v>
      </c>
      <c r="G621" s="2" t="s">
        <v>1399</v>
      </c>
      <c r="H621" s="2" t="s">
        <v>1400</v>
      </c>
      <c r="I621" s="4" t="s">
        <v>60</v>
      </c>
      <c r="J621" s="112">
        <f>IF($H621&lt;&gt;"Y",0,ROUND(MIN(Dashboard!$R$24,IF(IFERROR(VLOOKUP($B621,Dashboard!$Q$28:$S$60,2,FALSE),0)&gt;0,IFERROR(VLOOKUP($B621,Dashboard!$Q$28:$S$60,2,FALSE),0),$Z621*IF($U621&lt;&gt;"",ROUND((Dashboard!$R$4/$U621)*VLOOKUP($I621,Dashboard!$Q$9:$R$13,2,FALSE)*IF(ISNUMBER(SEARCH("Duals",$B621)),2,IF(ISNUMBER(SEARCH("Triples",$B621)),3,IF(ISNUMBER(SEARCH("Quads",$B621)),4,1))),2),ROUND(VLOOKUP($I621,Dashboard!$Q$15:$R$20,2,FALSE)*IF($E621="Red",Dashboard!$R$6,IF($E621="Gold",Dashboard!$R$7,Dashboard!$R$5))*IF(ISNUMBER(SEARCH("Duals",$B621)),2,IF(ISNUMBER(SEARCH("Triples",$B621)),3,IF(ISNUMBER(SEARCH("Quads",$B621)),4,1))),2))*IF(IFERROR(VLOOKUP($B621,Dashboard!$Q$28:$S$60,3,FALSE),0)&gt;0,VLOOKUP($B621,Dashboard!$Q$28:$S$60,3,FALSE),1))),0))</f>
        <v>143</v>
      </c>
      <c r="K621" s="2" t="str">
        <f>IF('Base S1'!I21="","",'Base S1'!I21)</f>
        <v/>
      </c>
      <c r="L621" s="2">
        <f t="shared" si="117"/>
        <v>0</v>
      </c>
      <c r="M621" s="2">
        <f t="shared" si="118"/>
        <v>0</v>
      </c>
      <c r="N621" s="2">
        <f t="shared" si="119"/>
        <v>0</v>
      </c>
      <c r="O621" s="2">
        <f t="shared" si="120"/>
        <v>1</v>
      </c>
      <c r="P621" s="112">
        <f t="shared" si="121"/>
        <v>0</v>
      </c>
      <c r="Q621" s="112">
        <f t="shared" si="122"/>
        <v>0</v>
      </c>
      <c r="R621" s="53"/>
      <c r="S621" s="53" t="str">
        <f t="shared" si="123"/>
        <v>Base S1|The Seven Parallel - Season 1|20|The Seven</v>
      </c>
      <c r="T621" s="57" t="str">
        <f>IF($S621="","",IFERROR(VLOOKUP($S621,'Pop Estimates (Non-#d)'!$N$2:$O$500,2,FALSE),""))</f>
        <v/>
      </c>
      <c r="U621" s="57">
        <f t="shared" si="124"/>
        <v>7</v>
      </c>
      <c r="V621" s="53" t="str">
        <f t="shared" si="125"/>
        <v/>
      </c>
      <c r="W621" s="53" t="str">
        <f t="shared" si="126"/>
        <v/>
      </c>
      <c r="X621" s="53" t="str">
        <f t="shared" si="127"/>
        <v/>
      </c>
      <c r="Y621" s="57" t="str">
        <f>IF($X621="","",IFERROR(VLOOKUP($X621,'Char Popularity'!$A$2:$C$500,2,FALSE),""))</f>
        <v/>
      </c>
      <c r="Z621" s="56">
        <f>IF($X621="",1,IFERROR(VLOOKUP($X621,'Char Popularity'!$A$2:$C$500,3,FALSE),1))</f>
        <v>1</v>
      </c>
      <c r="AA621" s="62">
        <f>IF($H621&lt;&gt;"Y",0,(IF($F621&lt;&gt;"",ROUND(Dashboard!$R$4/$F621,1),IF(AND($I621="Base",$E621="Base"),Dashboard!$R$5,IF(AND($I621="Base",$E621="Red"),Dashboard!$R$6,IF(AND($I621="Base",$E621="Gold"),Dashboard!$R$7,VLOOKUP($I621,Dashboard!$Q$16:$R$21,2,FALSE)))))*VLOOKUP($I621,Dashboard!$Q$9:$R$13,2,FALSE)*IF(AND($I621="Auto",$F621="",OR($B621="Autographs Duals",$B621="Autographs Triples",$B621="Autographs Quads",$B621="Autographs Quads (Inscribed)")),IF($B621="Autographs Duals",2,IF($B621="Autographs Triples",3,4)),1)))</f>
        <v>142.9</v>
      </c>
      <c r="AB621" s="62">
        <f t="shared" si="128"/>
        <v>0</v>
      </c>
      <c r="AC621" s="62">
        <f t="shared" si="129"/>
        <v>0</v>
      </c>
    </row>
    <row r="622" spans="1:29" ht="42.95" customHeight="1" x14ac:dyDescent="0.25">
      <c r="A622" s="4" t="s">
        <v>17</v>
      </c>
      <c r="B622" s="7" t="s">
        <v>72</v>
      </c>
      <c r="C622" s="2" t="s">
        <v>1420</v>
      </c>
      <c r="D622" s="7" t="s">
        <v>883</v>
      </c>
      <c r="E622" s="4" t="s">
        <v>689</v>
      </c>
      <c r="F622" s="2">
        <v>7</v>
      </c>
      <c r="G622" s="2" t="s">
        <v>1399</v>
      </c>
      <c r="H622" s="2" t="s">
        <v>1400</v>
      </c>
      <c r="I622" s="4" t="s">
        <v>60</v>
      </c>
      <c r="J622" s="112">
        <f>IF($H622&lt;&gt;"Y",0,ROUND(MIN(Dashboard!$R$24,IF(IFERROR(VLOOKUP($B622,Dashboard!$Q$28:$S$60,2,FALSE),0)&gt;0,IFERROR(VLOOKUP($B622,Dashboard!$Q$28:$S$60,2,FALSE),0),$Z622*IF($U622&lt;&gt;"",ROUND((Dashboard!$R$4/$U622)*VLOOKUP($I622,Dashboard!$Q$9:$R$13,2,FALSE)*IF(ISNUMBER(SEARCH("Duals",$B622)),2,IF(ISNUMBER(SEARCH("Triples",$B622)),3,IF(ISNUMBER(SEARCH("Quads",$B622)),4,1))),2),ROUND(VLOOKUP($I622,Dashboard!$Q$15:$R$20,2,FALSE)*IF($E622="Red",Dashboard!$R$6,IF($E622="Gold",Dashboard!$R$7,Dashboard!$R$5))*IF(ISNUMBER(SEARCH("Duals",$B622)),2,IF(ISNUMBER(SEARCH("Triples",$B622)),3,IF(ISNUMBER(SEARCH("Quads",$B622)),4,1))),2))*IF(IFERROR(VLOOKUP($B622,Dashboard!$Q$28:$S$60,3,FALSE),0)&gt;0,VLOOKUP($B622,Dashboard!$Q$28:$S$60,3,FALSE),1))),0))</f>
        <v>143</v>
      </c>
      <c r="K622" s="2" t="str">
        <f>IF('Base S1'!I22="","",'Base S1'!I22)</f>
        <v/>
      </c>
      <c r="L622" s="2">
        <f t="shared" si="117"/>
        <v>0</v>
      </c>
      <c r="M622" s="2">
        <f t="shared" si="118"/>
        <v>0</v>
      </c>
      <c r="N622" s="2">
        <f t="shared" si="119"/>
        <v>0</v>
      </c>
      <c r="O622" s="2">
        <f t="shared" si="120"/>
        <v>1</v>
      </c>
      <c r="P622" s="112">
        <f t="shared" si="121"/>
        <v>0</v>
      </c>
      <c r="Q622" s="112">
        <f t="shared" si="122"/>
        <v>0</v>
      </c>
      <c r="R622" s="53"/>
      <c r="S622" s="53" t="str">
        <f t="shared" si="123"/>
        <v>Base S1|The Seven Parallel - Season 1|21|The Seven</v>
      </c>
      <c r="T622" s="57" t="str">
        <f>IF($S622="","",IFERROR(VLOOKUP($S622,'Pop Estimates (Non-#d)'!$N$2:$O$500,2,FALSE),""))</f>
        <v/>
      </c>
      <c r="U622" s="57">
        <f t="shared" si="124"/>
        <v>7</v>
      </c>
      <c r="V622" s="53" t="str">
        <f t="shared" si="125"/>
        <v/>
      </c>
      <c r="W622" s="53" t="str">
        <f t="shared" si="126"/>
        <v/>
      </c>
      <c r="X622" s="53" t="str">
        <f t="shared" si="127"/>
        <v/>
      </c>
      <c r="Y622" s="57" t="str">
        <f>IF($X622="","",IFERROR(VLOOKUP($X622,'Char Popularity'!$A$2:$C$500,2,FALSE),""))</f>
        <v/>
      </c>
      <c r="Z622" s="56">
        <f>IF($X622="",1,IFERROR(VLOOKUP($X622,'Char Popularity'!$A$2:$C$500,3,FALSE),1))</f>
        <v>1</v>
      </c>
      <c r="AA622" s="62">
        <f>IF($H622&lt;&gt;"Y",0,(IF($F622&lt;&gt;"",ROUND(Dashboard!$R$4/$F622,1),IF(AND($I622="Base",$E622="Base"),Dashboard!$R$5,IF(AND($I622="Base",$E622="Red"),Dashboard!$R$6,IF(AND($I622="Base",$E622="Gold"),Dashboard!$R$7,VLOOKUP($I622,Dashboard!$Q$16:$R$21,2,FALSE)))))*VLOOKUP($I622,Dashboard!$Q$9:$R$13,2,FALSE)*IF(AND($I622="Auto",$F622="",OR($B622="Autographs Duals",$B622="Autographs Triples",$B622="Autographs Quads",$B622="Autographs Quads (Inscribed)")),IF($B622="Autographs Duals",2,IF($B622="Autographs Triples",3,4)),1)))</f>
        <v>142.9</v>
      </c>
      <c r="AB622" s="62">
        <f t="shared" si="128"/>
        <v>0</v>
      </c>
      <c r="AC622" s="62">
        <f t="shared" si="129"/>
        <v>0</v>
      </c>
    </row>
    <row r="623" spans="1:29" ht="42.95" customHeight="1" x14ac:dyDescent="0.25">
      <c r="A623" s="4" t="s">
        <v>17</v>
      </c>
      <c r="B623" s="7" t="s">
        <v>72</v>
      </c>
      <c r="C623" s="2" t="s">
        <v>1421</v>
      </c>
      <c r="D623" s="7" t="s">
        <v>885</v>
      </c>
      <c r="E623" s="4" t="s">
        <v>689</v>
      </c>
      <c r="F623" s="2">
        <v>7</v>
      </c>
      <c r="G623" s="2" t="s">
        <v>1399</v>
      </c>
      <c r="H623" s="2" t="s">
        <v>1400</v>
      </c>
      <c r="I623" s="4" t="s">
        <v>60</v>
      </c>
      <c r="J623" s="112">
        <f>IF($H623&lt;&gt;"Y",0,ROUND(MIN(Dashboard!$R$24,IF(IFERROR(VLOOKUP($B623,Dashboard!$Q$28:$S$60,2,FALSE),0)&gt;0,IFERROR(VLOOKUP($B623,Dashboard!$Q$28:$S$60,2,FALSE),0),$Z623*IF($U623&lt;&gt;"",ROUND((Dashboard!$R$4/$U623)*VLOOKUP($I623,Dashboard!$Q$9:$R$13,2,FALSE)*IF(ISNUMBER(SEARCH("Duals",$B623)),2,IF(ISNUMBER(SEARCH("Triples",$B623)),3,IF(ISNUMBER(SEARCH("Quads",$B623)),4,1))),2),ROUND(VLOOKUP($I623,Dashboard!$Q$15:$R$20,2,FALSE)*IF($E623="Red",Dashboard!$R$6,IF($E623="Gold",Dashboard!$R$7,Dashboard!$R$5))*IF(ISNUMBER(SEARCH("Duals",$B623)),2,IF(ISNUMBER(SEARCH("Triples",$B623)),3,IF(ISNUMBER(SEARCH("Quads",$B623)),4,1))),2))*IF(IFERROR(VLOOKUP($B623,Dashboard!$Q$28:$S$60,3,FALSE),0)&gt;0,VLOOKUP($B623,Dashboard!$Q$28:$S$60,3,FALSE),1))),0))</f>
        <v>143</v>
      </c>
      <c r="K623" s="2" t="str">
        <f>IF('Base S1'!I23="","",'Base S1'!I23)</f>
        <v>C 7/7</v>
      </c>
      <c r="L623" s="2">
        <f t="shared" si="117"/>
        <v>1</v>
      </c>
      <c r="M623" s="2">
        <f t="shared" si="118"/>
        <v>0</v>
      </c>
      <c r="N623" s="2">
        <f t="shared" si="119"/>
        <v>1</v>
      </c>
      <c r="O623" s="2">
        <f t="shared" si="120"/>
        <v>0</v>
      </c>
      <c r="P623" s="112">
        <f t="shared" si="121"/>
        <v>143</v>
      </c>
      <c r="Q623" s="112">
        <f t="shared" si="122"/>
        <v>0</v>
      </c>
      <c r="R623" s="53"/>
      <c r="S623" s="53" t="str">
        <f t="shared" si="123"/>
        <v>Base S1|The Seven Parallel - Season 1|22|The Seven</v>
      </c>
      <c r="T623" s="57" t="str">
        <f>IF($S623="","",IFERROR(VLOOKUP($S623,'Pop Estimates (Non-#d)'!$N$2:$O$500,2,FALSE),""))</f>
        <v/>
      </c>
      <c r="U623" s="57">
        <f t="shared" si="124"/>
        <v>7</v>
      </c>
      <c r="V623" s="53" t="str">
        <f t="shared" si="125"/>
        <v/>
      </c>
      <c r="W623" s="53" t="str">
        <f t="shared" si="126"/>
        <v/>
      </c>
      <c r="X623" s="53" t="str">
        <f t="shared" si="127"/>
        <v/>
      </c>
      <c r="Y623" s="57" t="str">
        <f>IF($X623="","",IFERROR(VLOOKUP($X623,'Char Popularity'!$A$2:$C$500,2,FALSE),""))</f>
        <v/>
      </c>
      <c r="Z623" s="56">
        <f>IF($X623="",1,IFERROR(VLOOKUP($X623,'Char Popularity'!$A$2:$C$500,3,FALSE),1))</f>
        <v>1</v>
      </c>
      <c r="AA623" s="62">
        <f>IF($H623&lt;&gt;"Y",0,(IF($F623&lt;&gt;"",ROUND(Dashboard!$R$4/$F623,1),IF(AND($I623="Base",$E623="Base"),Dashboard!$R$5,IF(AND($I623="Base",$E623="Red"),Dashboard!$R$6,IF(AND($I623="Base",$E623="Gold"),Dashboard!$R$7,VLOOKUP($I623,Dashboard!$Q$16:$R$21,2,FALSE)))))*VLOOKUP($I623,Dashboard!$Q$9:$R$13,2,FALSE)*IF(AND($I623="Auto",$F623="",OR($B623="Autographs Duals",$B623="Autographs Triples",$B623="Autographs Quads",$B623="Autographs Quads (Inscribed)")),IF($B623="Autographs Duals",2,IF($B623="Autographs Triples",3,4)),1)))</f>
        <v>142.9</v>
      </c>
      <c r="AB623" s="62">
        <f t="shared" si="128"/>
        <v>142.9</v>
      </c>
      <c r="AC623" s="62">
        <f t="shared" si="129"/>
        <v>0</v>
      </c>
    </row>
    <row r="624" spans="1:29" ht="42.95" customHeight="1" x14ac:dyDescent="0.25">
      <c r="A624" s="4" t="s">
        <v>17</v>
      </c>
      <c r="B624" s="7" t="s">
        <v>72</v>
      </c>
      <c r="C624" s="2" t="s">
        <v>1422</v>
      </c>
      <c r="D624" s="7" t="s">
        <v>888</v>
      </c>
      <c r="E624" s="4" t="s">
        <v>689</v>
      </c>
      <c r="F624" s="2">
        <v>7</v>
      </c>
      <c r="G624" s="2" t="s">
        <v>1399</v>
      </c>
      <c r="H624" s="2" t="s">
        <v>1400</v>
      </c>
      <c r="I624" s="4" t="s">
        <v>60</v>
      </c>
      <c r="J624" s="112">
        <f>IF($H624&lt;&gt;"Y",0,ROUND(MIN(Dashboard!$R$24,IF(IFERROR(VLOOKUP($B624,Dashboard!$Q$28:$S$60,2,FALSE),0)&gt;0,IFERROR(VLOOKUP($B624,Dashboard!$Q$28:$S$60,2,FALSE),0),$Z624*IF($U624&lt;&gt;"",ROUND((Dashboard!$R$4/$U624)*VLOOKUP($I624,Dashboard!$Q$9:$R$13,2,FALSE)*IF(ISNUMBER(SEARCH("Duals",$B624)),2,IF(ISNUMBER(SEARCH("Triples",$B624)),3,IF(ISNUMBER(SEARCH("Quads",$B624)),4,1))),2),ROUND(VLOOKUP($I624,Dashboard!$Q$15:$R$20,2,FALSE)*IF($E624="Red",Dashboard!$R$6,IF($E624="Gold",Dashboard!$R$7,Dashboard!$R$5))*IF(ISNUMBER(SEARCH("Duals",$B624)),2,IF(ISNUMBER(SEARCH("Triples",$B624)),3,IF(ISNUMBER(SEARCH("Quads",$B624)),4,1))),2))*IF(IFERROR(VLOOKUP($B624,Dashboard!$Q$28:$S$60,3,FALSE),0)&gt;0,VLOOKUP($B624,Dashboard!$Q$28:$S$60,3,FALSE),1))),0))</f>
        <v>143</v>
      </c>
      <c r="K624" s="2" t="str">
        <f>IF('Base S1'!I24="","",'Base S1'!I24)</f>
        <v/>
      </c>
      <c r="L624" s="2">
        <f t="shared" si="117"/>
        <v>0</v>
      </c>
      <c r="M624" s="2">
        <f t="shared" si="118"/>
        <v>0</v>
      </c>
      <c r="N624" s="2">
        <f t="shared" si="119"/>
        <v>0</v>
      </c>
      <c r="O624" s="2">
        <f t="shared" si="120"/>
        <v>1</v>
      </c>
      <c r="P624" s="112">
        <f t="shared" si="121"/>
        <v>0</v>
      </c>
      <c r="Q624" s="112">
        <f t="shared" si="122"/>
        <v>0</v>
      </c>
      <c r="R624" s="53"/>
      <c r="S624" s="53" t="str">
        <f t="shared" si="123"/>
        <v>Base S1|The Seven Parallel - Season 1|23|The Seven</v>
      </c>
      <c r="T624" s="57" t="str">
        <f>IF($S624="","",IFERROR(VLOOKUP($S624,'Pop Estimates (Non-#d)'!$N$2:$O$500,2,FALSE),""))</f>
        <v/>
      </c>
      <c r="U624" s="57">
        <f t="shared" si="124"/>
        <v>7</v>
      </c>
      <c r="V624" s="53" t="str">
        <f t="shared" si="125"/>
        <v/>
      </c>
      <c r="W624" s="53" t="str">
        <f t="shared" si="126"/>
        <v/>
      </c>
      <c r="X624" s="53" t="str">
        <f t="shared" si="127"/>
        <v/>
      </c>
      <c r="Y624" s="57" t="str">
        <f>IF($X624="","",IFERROR(VLOOKUP($X624,'Char Popularity'!$A$2:$C$500,2,FALSE),""))</f>
        <v/>
      </c>
      <c r="Z624" s="56">
        <f>IF($X624="",1,IFERROR(VLOOKUP($X624,'Char Popularity'!$A$2:$C$500,3,FALSE),1))</f>
        <v>1</v>
      </c>
      <c r="AA624" s="62">
        <f>IF($H624&lt;&gt;"Y",0,(IF($F624&lt;&gt;"",ROUND(Dashboard!$R$4/$F624,1),IF(AND($I624="Base",$E624="Base"),Dashboard!$R$5,IF(AND($I624="Base",$E624="Red"),Dashboard!$R$6,IF(AND($I624="Base",$E624="Gold"),Dashboard!$R$7,VLOOKUP($I624,Dashboard!$Q$16:$R$21,2,FALSE)))))*VLOOKUP($I624,Dashboard!$Q$9:$R$13,2,FALSE)*IF(AND($I624="Auto",$F624="",OR($B624="Autographs Duals",$B624="Autographs Triples",$B624="Autographs Quads",$B624="Autographs Quads (Inscribed)")),IF($B624="Autographs Duals",2,IF($B624="Autographs Triples",3,4)),1)))</f>
        <v>142.9</v>
      </c>
      <c r="AB624" s="62">
        <f t="shared" si="128"/>
        <v>0</v>
      </c>
      <c r="AC624" s="62">
        <f t="shared" si="129"/>
        <v>0</v>
      </c>
    </row>
    <row r="625" spans="1:29" ht="42.95" customHeight="1" x14ac:dyDescent="0.25">
      <c r="A625" s="4" t="s">
        <v>17</v>
      </c>
      <c r="B625" s="7" t="s">
        <v>72</v>
      </c>
      <c r="C625" s="2" t="s">
        <v>1423</v>
      </c>
      <c r="D625" s="7" t="s">
        <v>890</v>
      </c>
      <c r="E625" s="4" t="s">
        <v>689</v>
      </c>
      <c r="F625" s="2">
        <v>7</v>
      </c>
      <c r="G625" s="2" t="s">
        <v>1399</v>
      </c>
      <c r="H625" s="2" t="s">
        <v>1400</v>
      </c>
      <c r="I625" s="4" t="s">
        <v>60</v>
      </c>
      <c r="J625" s="112">
        <f>IF($H625&lt;&gt;"Y",0,ROUND(MIN(Dashboard!$R$24,IF(IFERROR(VLOOKUP($B625,Dashboard!$Q$28:$S$60,2,FALSE),0)&gt;0,IFERROR(VLOOKUP($B625,Dashboard!$Q$28:$S$60,2,FALSE),0),$Z625*IF($U625&lt;&gt;"",ROUND((Dashboard!$R$4/$U625)*VLOOKUP($I625,Dashboard!$Q$9:$R$13,2,FALSE)*IF(ISNUMBER(SEARCH("Duals",$B625)),2,IF(ISNUMBER(SEARCH("Triples",$B625)),3,IF(ISNUMBER(SEARCH("Quads",$B625)),4,1))),2),ROUND(VLOOKUP($I625,Dashboard!$Q$15:$R$20,2,FALSE)*IF($E625="Red",Dashboard!$R$6,IF($E625="Gold",Dashboard!$R$7,Dashboard!$R$5))*IF(ISNUMBER(SEARCH("Duals",$B625)),2,IF(ISNUMBER(SEARCH("Triples",$B625)),3,IF(ISNUMBER(SEARCH("Quads",$B625)),4,1))),2))*IF(IFERROR(VLOOKUP($B625,Dashboard!$Q$28:$S$60,3,FALSE),0)&gt;0,VLOOKUP($B625,Dashboard!$Q$28:$S$60,3,FALSE),1))),0))</f>
        <v>143</v>
      </c>
      <c r="K625" s="2" t="str">
        <f>IF('Base S1'!I25="","",'Base S1'!I25)</f>
        <v/>
      </c>
      <c r="L625" s="2">
        <f t="shared" si="117"/>
        <v>0</v>
      </c>
      <c r="M625" s="2">
        <f t="shared" si="118"/>
        <v>0</v>
      </c>
      <c r="N625" s="2">
        <f t="shared" si="119"/>
        <v>0</v>
      </c>
      <c r="O625" s="2">
        <f t="shared" si="120"/>
        <v>1</v>
      </c>
      <c r="P625" s="112">
        <f t="shared" si="121"/>
        <v>0</v>
      </c>
      <c r="Q625" s="112">
        <f t="shared" si="122"/>
        <v>0</v>
      </c>
      <c r="R625" s="53"/>
      <c r="S625" s="53" t="str">
        <f t="shared" si="123"/>
        <v>Base S1|The Seven Parallel - Season 1|24|The Seven</v>
      </c>
      <c r="T625" s="57" t="str">
        <f>IF($S625="","",IFERROR(VLOOKUP($S625,'Pop Estimates (Non-#d)'!$N$2:$O$500,2,FALSE),""))</f>
        <v/>
      </c>
      <c r="U625" s="57">
        <f t="shared" si="124"/>
        <v>7</v>
      </c>
      <c r="V625" s="53" t="str">
        <f t="shared" si="125"/>
        <v/>
      </c>
      <c r="W625" s="53" t="str">
        <f t="shared" si="126"/>
        <v/>
      </c>
      <c r="X625" s="53" t="str">
        <f t="shared" si="127"/>
        <v/>
      </c>
      <c r="Y625" s="57" t="str">
        <f>IF($X625="","",IFERROR(VLOOKUP($X625,'Char Popularity'!$A$2:$C$500,2,FALSE),""))</f>
        <v/>
      </c>
      <c r="Z625" s="56">
        <f>IF($X625="",1,IFERROR(VLOOKUP($X625,'Char Popularity'!$A$2:$C$500,3,FALSE),1))</f>
        <v>1</v>
      </c>
      <c r="AA625" s="62">
        <f>IF($H625&lt;&gt;"Y",0,(IF($F625&lt;&gt;"",ROUND(Dashboard!$R$4/$F625,1),IF(AND($I625="Base",$E625="Base"),Dashboard!$R$5,IF(AND($I625="Base",$E625="Red"),Dashboard!$R$6,IF(AND($I625="Base",$E625="Gold"),Dashboard!$R$7,VLOOKUP($I625,Dashboard!$Q$16:$R$21,2,FALSE)))))*VLOOKUP($I625,Dashboard!$Q$9:$R$13,2,FALSE)*IF(AND($I625="Auto",$F625="",OR($B625="Autographs Duals",$B625="Autographs Triples",$B625="Autographs Quads",$B625="Autographs Quads (Inscribed)")),IF($B625="Autographs Duals",2,IF($B625="Autographs Triples",3,4)),1)))</f>
        <v>142.9</v>
      </c>
      <c r="AB625" s="62">
        <f t="shared" si="128"/>
        <v>0</v>
      </c>
      <c r="AC625" s="62">
        <f t="shared" si="129"/>
        <v>0</v>
      </c>
    </row>
    <row r="626" spans="1:29" ht="42.95" customHeight="1" x14ac:dyDescent="0.25">
      <c r="A626" s="4" t="s">
        <v>17</v>
      </c>
      <c r="B626" s="7" t="s">
        <v>72</v>
      </c>
      <c r="C626" s="2" t="s">
        <v>1424</v>
      </c>
      <c r="D626" s="7" t="s">
        <v>892</v>
      </c>
      <c r="E626" s="4" t="s">
        <v>689</v>
      </c>
      <c r="F626" s="2">
        <v>7</v>
      </c>
      <c r="G626" s="2" t="s">
        <v>1399</v>
      </c>
      <c r="H626" s="2" t="s">
        <v>1400</v>
      </c>
      <c r="I626" s="4" t="s">
        <v>60</v>
      </c>
      <c r="J626" s="112">
        <f>IF($H626&lt;&gt;"Y",0,ROUND(MIN(Dashboard!$R$24,IF(IFERROR(VLOOKUP($B626,Dashboard!$Q$28:$S$60,2,FALSE),0)&gt;0,IFERROR(VLOOKUP($B626,Dashboard!$Q$28:$S$60,2,FALSE),0),$Z626*IF($U626&lt;&gt;"",ROUND((Dashboard!$R$4/$U626)*VLOOKUP($I626,Dashboard!$Q$9:$R$13,2,FALSE)*IF(ISNUMBER(SEARCH("Duals",$B626)),2,IF(ISNUMBER(SEARCH("Triples",$B626)),3,IF(ISNUMBER(SEARCH("Quads",$B626)),4,1))),2),ROUND(VLOOKUP($I626,Dashboard!$Q$15:$R$20,2,FALSE)*IF($E626="Red",Dashboard!$R$6,IF($E626="Gold",Dashboard!$R$7,Dashboard!$R$5))*IF(ISNUMBER(SEARCH("Duals",$B626)),2,IF(ISNUMBER(SEARCH("Triples",$B626)),3,IF(ISNUMBER(SEARCH("Quads",$B626)),4,1))),2))*IF(IFERROR(VLOOKUP($B626,Dashboard!$Q$28:$S$60,3,FALSE),0)&gt;0,VLOOKUP($B626,Dashboard!$Q$28:$S$60,3,FALSE),1))),0))</f>
        <v>143</v>
      </c>
      <c r="K626" s="2" t="str">
        <f>IF('Base S1'!I26="","",'Base S1'!I26)</f>
        <v/>
      </c>
      <c r="L626" s="2">
        <f t="shared" si="117"/>
        <v>0</v>
      </c>
      <c r="M626" s="2">
        <f t="shared" si="118"/>
        <v>0</v>
      </c>
      <c r="N626" s="2">
        <f t="shared" si="119"/>
        <v>0</v>
      </c>
      <c r="O626" s="2">
        <f t="shared" si="120"/>
        <v>1</v>
      </c>
      <c r="P626" s="112">
        <f t="shared" si="121"/>
        <v>0</v>
      </c>
      <c r="Q626" s="112">
        <f t="shared" si="122"/>
        <v>0</v>
      </c>
      <c r="R626" s="53"/>
      <c r="S626" s="53" t="str">
        <f t="shared" si="123"/>
        <v>Base S1|The Seven Parallel - Season 1|25|The Seven</v>
      </c>
      <c r="T626" s="57" t="str">
        <f>IF($S626="","",IFERROR(VLOOKUP($S626,'Pop Estimates (Non-#d)'!$N$2:$O$500,2,FALSE),""))</f>
        <v/>
      </c>
      <c r="U626" s="57">
        <f t="shared" si="124"/>
        <v>7</v>
      </c>
      <c r="V626" s="53" t="str">
        <f t="shared" si="125"/>
        <v/>
      </c>
      <c r="W626" s="53" t="str">
        <f t="shared" si="126"/>
        <v/>
      </c>
      <c r="X626" s="53" t="str">
        <f t="shared" si="127"/>
        <v/>
      </c>
      <c r="Y626" s="57" t="str">
        <f>IF($X626="","",IFERROR(VLOOKUP($X626,'Char Popularity'!$A$2:$C$500,2,FALSE),""))</f>
        <v/>
      </c>
      <c r="Z626" s="56">
        <f>IF($X626="",1,IFERROR(VLOOKUP($X626,'Char Popularity'!$A$2:$C$500,3,FALSE),1))</f>
        <v>1</v>
      </c>
      <c r="AA626" s="62">
        <f>IF($H626&lt;&gt;"Y",0,(IF($F626&lt;&gt;"",ROUND(Dashboard!$R$4/$F626,1),IF(AND($I626="Base",$E626="Base"),Dashboard!$R$5,IF(AND($I626="Base",$E626="Red"),Dashboard!$R$6,IF(AND($I626="Base",$E626="Gold"),Dashboard!$R$7,VLOOKUP($I626,Dashboard!$Q$16:$R$21,2,FALSE)))))*VLOOKUP($I626,Dashboard!$Q$9:$R$13,2,FALSE)*IF(AND($I626="Auto",$F626="",OR($B626="Autographs Duals",$B626="Autographs Triples",$B626="Autographs Quads",$B626="Autographs Quads (Inscribed)")),IF($B626="Autographs Duals",2,IF($B626="Autographs Triples",3,4)),1)))</f>
        <v>142.9</v>
      </c>
      <c r="AB626" s="62">
        <f t="shared" si="128"/>
        <v>0</v>
      </c>
      <c r="AC626" s="62">
        <f t="shared" si="129"/>
        <v>0</v>
      </c>
    </row>
    <row r="627" spans="1:29" ht="42.95" customHeight="1" x14ac:dyDescent="0.25">
      <c r="A627" s="4" t="s">
        <v>17</v>
      </c>
      <c r="B627" s="7" t="s">
        <v>72</v>
      </c>
      <c r="C627" s="2" t="s">
        <v>1425</v>
      </c>
      <c r="D627" s="7" t="s">
        <v>895</v>
      </c>
      <c r="E627" s="4" t="s">
        <v>689</v>
      </c>
      <c r="F627" s="2">
        <v>7</v>
      </c>
      <c r="G627" s="2" t="s">
        <v>1399</v>
      </c>
      <c r="H627" s="2" t="s">
        <v>1400</v>
      </c>
      <c r="I627" s="4" t="s">
        <v>60</v>
      </c>
      <c r="J627" s="112">
        <f>IF($H627&lt;&gt;"Y",0,ROUND(MIN(Dashboard!$R$24,IF(IFERROR(VLOOKUP($B627,Dashboard!$Q$28:$S$60,2,FALSE),0)&gt;0,IFERROR(VLOOKUP($B627,Dashboard!$Q$28:$S$60,2,FALSE),0),$Z627*IF($U627&lt;&gt;"",ROUND((Dashboard!$R$4/$U627)*VLOOKUP($I627,Dashboard!$Q$9:$R$13,2,FALSE)*IF(ISNUMBER(SEARCH("Duals",$B627)),2,IF(ISNUMBER(SEARCH("Triples",$B627)),3,IF(ISNUMBER(SEARCH("Quads",$B627)),4,1))),2),ROUND(VLOOKUP($I627,Dashboard!$Q$15:$R$20,2,FALSE)*IF($E627="Red",Dashboard!$R$6,IF($E627="Gold",Dashboard!$R$7,Dashboard!$R$5))*IF(ISNUMBER(SEARCH("Duals",$B627)),2,IF(ISNUMBER(SEARCH("Triples",$B627)),3,IF(ISNUMBER(SEARCH("Quads",$B627)),4,1))),2))*IF(IFERROR(VLOOKUP($B627,Dashboard!$Q$28:$S$60,3,FALSE),0)&gt;0,VLOOKUP($B627,Dashboard!$Q$28:$S$60,3,FALSE),1))),0))</f>
        <v>143</v>
      </c>
      <c r="K627" s="2" t="str">
        <f>IF('Base S1'!I27="","",'Base S1'!I27)</f>
        <v/>
      </c>
      <c r="L627" s="2">
        <f t="shared" si="117"/>
        <v>0</v>
      </c>
      <c r="M627" s="2">
        <f t="shared" si="118"/>
        <v>0</v>
      </c>
      <c r="N627" s="2">
        <f t="shared" si="119"/>
        <v>0</v>
      </c>
      <c r="O627" s="2">
        <f t="shared" si="120"/>
        <v>1</v>
      </c>
      <c r="P627" s="112">
        <f t="shared" si="121"/>
        <v>0</v>
      </c>
      <c r="Q627" s="112">
        <f t="shared" si="122"/>
        <v>0</v>
      </c>
      <c r="R627" s="53"/>
      <c r="S627" s="53" t="str">
        <f t="shared" si="123"/>
        <v>Base S1|The Seven Parallel - Season 1|26|The Seven</v>
      </c>
      <c r="T627" s="57" t="str">
        <f>IF($S627="","",IFERROR(VLOOKUP($S627,'Pop Estimates (Non-#d)'!$N$2:$O$500,2,FALSE),""))</f>
        <v/>
      </c>
      <c r="U627" s="57">
        <f t="shared" si="124"/>
        <v>7</v>
      </c>
      <c r="V627" s="53" t="str">
        <f t="shared" si="125"/>
        <v/>
      </c>
      <c r="W627" s="53" t="str">
        <f t="shared" si="126"/>
        <v/>
      </c>
      <c r="X627" s="53" t="str">
        <f t="shared" si="127"/>
        <v/>
      </c>
      <c r="Y627" s="57" t="str">
        <f>IF($X627="","",IFERROR(VLOOKUP($X627,'Char Popularity'!$A$2:$C$500,2,FALSE),""))</f>
        <v/>
      </c>
      <c r="Z627" s="56">
        <f>IF($X627="",1,IFERROR(VLOOKUP($X627,'Char Popularity'!$A$2:$C$500,3,FALSE),1))</f>
        <v>1</v>
      </c>
      <c r="AA627" s="62">
        <f>IF($H627&lt;&gt;"Y",0,(IF($F627&lt;&gt;"",ROUND(Dashboard!$R$4/$F627,1),IF(AND($I627="Base",$E627="Base"),Dashboard!$R$5,IF(AND($I627="Base",$E627="Red"),Dashboard!$R$6,IF(AND($I627="Base",$E627="Gold"),Dashboard!$R$7,VLOOKUP($I627,Dashboard!$Q$16:$R$21,2,FALSE)))))*VLOOKUP($I627,Dashboard!$Q$9:$R$13,2,FALSE)*IF(AND($I627="Auto",$F627="",OR($B627="Autographs Duals",$B627="Autographs Triples",$B627="Autographs Quads",$B627="Autographs Quads (Inscribed)")),IF($B627="Autographs Duals",2,IF($B627="Autographs Triples",3,4)),1)))</f>
        <v>142.9</v>
      </c>
      <c r="AB627" s="62">
        <f t="shared" si="128"/>
        <v>0</v>
      </c>
      <c r="AC627" s="62">
        <f t="shared" si="129"/>
        <v>0</v>
      </c>
    </row>
    <row r="628" spans="1:29" ht="42.95" customHeight="1" x14ac:dyDescent="0.25">
      <c r="A628" s="4" t="s">
        <v>17</v>
      </c>
      <c r="B628" s="7" t="s">
        <v>72</v>
      </c>
      <c r="C628" s="2" t="s">
        <v>1426</v>
      </c>
      <c r="D628" s="7" t="s">
        <v>897</v>
      </c>
      <c r="E628" s="4" t="s">
        <v>689</v>
      </c>
      <c r="F628" s="2">
        <v>7</v>
      </c>
      <c r="G628" s="2" t="s">
        <v>1399</v>
      </c>
      <c r="H628" s="2" t="s">
        <v>1400</v>
      </c>
      <c r="I628" s="4" t="s">
        <v>60</v>
      </c>
      <c r="J628" s="112">
        <f>IF($H628&lt;&gt;"Y",0,ROUND(MIN(Dashboard!$R$24,IF(IFERROR(VLOOKUP($B628,Dashboard!$Q$28:$S$60,2,FALSE),0)&gt;0,IFERROR(VLOOKUP($B628,Dashboard!$Q$28:$S$60,2,FALSE),0),$Z628*IF($U628&lt;&gt;"",ROUND((Dashboard!$R$4/$U628)*VLOOKUP($I628,Dashboard!$Q$9:$R$13,2,FALSE)*IF(ISNUMBER(SEARCH("Duals",$B628)),2,IF(ISNUMBER(SEARCH("Triples",$B628)),3,IF(ISNUMBER(SEARCH("Quads",$B628)),4,1))),2),ROUND(VLOOKUP($I628,Dashboard!$Q$15:$R$20,2,FALSE)*IF($E628="Red",Dashboard!$R$6,IF($E628="Gold",Dashboard!$R$7,Dashboard!$R$5))*IF(ISNUMBER(SEARCH("Duals",$B628)),2,IF(ISNUMBER(SEARCH("Triples",$B628)),3,IF(ISNUMBER(SEARCH("Quads",$B628)),4,1))),2))*IF(IFERROR(VLOOKUP($B628,Dashboard!$Q$28:$S$60,3,FALSE),0)&gt;0,VLOOKUP($B628,Dashboard!$Q$28:$S$60,3,FALSE),1))),0))</f>
        <v>143</v>
      </c>
      <c r="K628" s="2" t="str">
        <f>IF('Base S1'!I28="","",'Base S1'!I28)</f>
        <v/>
      </c>
      <c r="L628" s="2">
        <f t="shared" si="117"/>
        <v>0</v>
      </c>
      <c r="M628" s="2">
        <f t="shared" si="118"/>
        <v>0</v>
      </c>
      <c r="N628" s="2">
        <f t="shared" si="119"/>
        <v>0</v>
      </c>
      <c r="O628" s="2">
        <f t="shared" si="120"/>
        <v>1</v>
      </c>
      <c r="P628" s="112">
        <f t="shared" si="121"/>
        <v>0</v>
      </c>
      <c r="Q628" s="112">
        <f t="shared" si="122"/>
        <v>0</v>
      </c>
      <c r="R628" s="53"/>
      <c r="S628" s="53" t="str">
        <f t="shared" si="123"/>
        <v>Base S1|The Seven Parallel - Season 1|27|The Seven</v>
      </c>
      <c r="T628" s="57" t="str">
        <f>IF($S628="","",IFERROR(VLOOKUP($S628,'Pop Estimates (Non-#d)'!$N$2:$O$500,2,FALSE),""))</f>
        <v/>
      </c>
      <c r="U628" s="57">
        <f t="shared" si="124"/>
        <v>7</v>
      </c>
      <c r="V628" s="53" t="str">
        <f t="shared" si="125"/>
        <v/>
      </c>
      <c r="W628" s="53" t="str">
        <f t="shared" si="126"/>
        <v/>
      </c>
      <c r="X628" s="53" t="str">
        <f t="shared" si="127"/>
        <v/>
      </c>
      <c r="Y628" s="57" t="str">
        <f>IF($X628="","",IFERROR(VLOOKUP($X628,'Char Popularity'!$A$2:$C$500,2,FALSE),""))</f>
        <v/>
      </c>
      <c r="Z628" s="56">
        <f>IF($X628="",1,IFERROR(VLOOKUP($X628,'Char Popularity'!$A$2:$C$500,3,FALSE),1))</f>
        <v>1</v>
      </c>
      <c r="AA628" s="62">
        <f>IF($H628&lt;&gt;"Y",0,(IF($F628&lt;&gt;"",ROUND(Dashboard!$R$4/$F628,1),IF(AND($I628="Base",$E628="Base"),Dashboard!$R$5,IF(AND($I628="Base",$E628="Red"),Dashboard!$R$6,IF(AND($I628="Base",$E628="Gold"),Dashboard!$R$7,VLOOKUP($I628,Dashboard!$Q$16:$R$21,2,FALSE)))))*VLOOKUP($I628,Dashboard!$Q$9:$R$13,2,FALSE)*IF(AND($I628="Auto",$F628="",OR($B628="Autographs Duals",$B628="Autographs Triples",$B628="Autographs Quads",$B628="Autographs Quads (Inscribed)")),IF($B628="Autographs Duals",2,IF($B628="Autographs Triples",3,4)),1)))</f>
        <v>142.9</v>
      </c>
      <c r="AB628" s="62">
        <f t="shared" si="128"/>
        <v>0</v>
      </c>
      <c r="AC628" s="62">
        <f t="shared" si="129"/>
        <v>0</v>
      </c>
    </row>
    <row r="629" spans="1:29" ht="42.95" customHeight="1" x14ac:dyDescent="0.25">
      <c r="A629" s="4" t="s">
        <v>17</v>
      </c>
      <c r="B629" s="7" t="s">
        <v>72</v>
      </c>
      <c r="C629" s="2" t="s">
        <v>1427</v>
      </c>
      <c r="D629" s="7" t="s">
        <v>900</v>
      </c>
      <c r="E629" s="4" t="s">
        <v>689</v>
      </c>
      <c r="F629" s="2">
        <v>7</v>
      </c>
      <c r="G629" s="2" t="s">
        <v>1399</v>
      </c>
      <c r="H629" s="2" t="s">
        <v>1400</v>
      </c>
      <c r="I629" s="4" t="s">
        <v>60</v>
      </c>
      <c r="J629" s="112">
        <f>IF($H629&lt;&gt;"Y",0,ROUND(MIN(Dashboard!$R$24,IF(IFERROR(VLOOKUP($B629,Dashboard!$Q$28:$S$60,2,FALSE),0)&gt;0,IFERROR(VLOOKUP($B629,Dashboard!$Q$28:$S$60,2,FALSE),0),$Z629*IF($U629&lt;&gt;"",ROUND((Dashboard!$R$4/$U629)*VLOOKUP($I629,Dashboard!$Q$9:$R$13,2,FALSE)*IF(ISNUMBER(SEARCH("Duals",$B629)),2,IF(ISNUMBER(SEARCH("Triples",$B629)),3,IF(ISNUMBER(SEARCH("Quads",$B629)),4,1))),2),ROUND(VLOOKUP($I629,Dashboard!$Q$15:$R$20,2,FALSE)*IF($E629="Red",Dashboard!$R$6,IF($E629="Gold",Dashboard!$R$7,Dashboard!$R$5))*IF(ISNUMBER(SEARCH("Duals",$B629)),2,IF(ISNUMBER(SEARCH("Triples",$B629)),3,IF(ISNUMBER(SEARCH("Quads",$B629)),4,1))),2))*IF(IFERROR(VLOOKUP($B629,Dashboard!$Q$28:$S$60,3,FALSE),0)&gt;0,VLOOKUP($B629,Dashboard!$Q$28:$S$60,3,FALSE),1))),0))</f>
        <v>143</v>
      </c>
      <c r="K629" s="2" t="str">
        <f>IF('Base S1'!I29="","",'Base S1'!I29)</f>
        <v>C 5/7</v>
      </c>
      <c r="L629" s="2">
        <f t="shared" si="117"/>
        <v>1</v>
      </c>
      <c r="M629" s="2">
        <f t="shared" si="118"/>
        <v>0</v>
      </c>
      <c r="N629" s="2">
        <f t="shared" si="119"/>
        <v>1</v>
      </c>
      <c r="O629" s="2">
        <f t="shared" si="120"/>
        <v>0</v>
      </c>
      <c r="P629" s="112">
        <f t="shared" si="121"/>
        <v>143</v>
      </c>
      <c r="Q629" s="112">
        <f t="shared" si="122"/>
        <v>0</v>
      </c>
      <c r="R629" s="53"/>
      <c r="S629" s="53" t="str">
        <f t="shared" si="123"/>
        <v>Base S1|The Seven Parallel - Season 1|28|The Seven</v>
      </c>
      <c r="T629" s="57" t="str">
        <f>IF($S629="","",IFERROR(VLOOKUP($S629,'Pop Estimates (Non-#d)'!$N$2:$O$500,2,FALSE),""))</f>
        <v/>
      </c>
      <c r="U629" s="57">
        <f t="shared" si="124"/>
        <v>7</v>
      </c>
      <c r="V629" s="53" t="str">
        <f t="shared" si="125"/>
        <v/>
      </c>
      <c r="W629" s="53" t="str">
        <f t="shared" si="126"/>
        <v/>
      </c>
      <c r="X629" s="53" t="str">
        <f t="shared" si="127"/>
        <v/>
      </c>
      <c r="Y629" s="57" t="str">
        <f>IF($X629="","",IFERROR(VLOOKUP($X629,'Char Popularity'!$A$2:$C$500,2,FALSE),""))</f>
        <v/>
      </c>
      <c r="Z629" s="56">
        <f>IF($X629="",1,IFERROR(VLOOKUP($X629,'Char Popularity'!$A$2:$C$500,3,FALSE),1))</f>
        <v>1</v>
      </c>
      <c r="AA629" s="62">
        <f>IF($H629&lt;&gt;"Y",0,(IF($F629&lt;&gt;"",ROUND(Dashboard!$R$4/$F629,1),IF(AND($I629="Base",$E629="Base"),Dashboard!$R$5,IF(AND($I629="Base",$E629="Red"),Dashboard!$R$6,IF(AND($I629="Base",$E629="Gold"),Dashboard!$R$7,VLOOKUP($I629,Dashboard!$Q$16:$R$21,2,FALSE)))))*VLOOKUP($I629,Dashboard!$Q$9:$R$13,2,FALSE)*IF(AND($I629="Auto",$F629="",OR($B629="Autographs Duals",$B629="Autographs Triples",$B629="Autographs Quads",$B629="Autographs Quads (Inscribed)")),IF($B629="Autographs Duals",2,IF($B629="Autographs Triples",3,4)),1)))</f>
        <v>142.9</v>
      </c>
      <c r="AB629" s="62">
        <f t="shared" si="128"/>
        <v>142.9</v>
      </c>
      <c r="AC629" s="62">
        <f t="shared" si="129"/>
        <v>0</v>
      </c>
    </row>
    <row r="630" spans="1:29" ht="42.95" customHeight="1" x14ac:dyDescent="0.25">
      <c r="A630" s="4" t="s">
        <v>17</v>
      </c>
      <c r="B630" s="7" t="s">
        <v>72</v>
      </c>
      <c r="C630" s="2" t="s">
        <v>1428</v>
      </c>
      <c r="D630" s="7" t="s">
        <v>902</v>
      </c>
      <c r="E630" s="4" t="s">
        <v>689</v>
      </c>
      <c r="F630" s="2">
        <v>7</v>
      </c>
      <c r="G630" s="2" t="s">
        <v>1399</v>
      </c>
      <c r="H630" s="2" t="s">
        <v>1400</v>
      </c>
      <c r="I630" s="4" t="s">
        <v>60</v>
      </c>
      <c r="J630" s="112">
        <f>IF($H630&lt;&gt;"Y",0,ROUND(MIN(Dashboard!$R$24,IF(IFERROR(VLOOKUP($B630,Dashboard!$Q$28:$S$60,2,FALSE),0)&gt;0,IFERROR(VLOOKUP($B630,Dashboard!$Q$28:$S$60,2,FALSE),0),$Z630*IF($U630&lt;&gt;"",ROUND((Dashboard!$R$4/$U630)*VLOOKUP($I630,Dashboard!$Q$9:$R$13,2,FALSE)*IF(ISNUMBER(SEARCH("Duals",$B630)),2,IF(ISNUMBER(SEARCH("Triples",$B630)),3,IF(ISNUMBER(SEARCH("Quads",$B630)),4,1))),2),ROUND(VLOOKUP($I630,Dashboard!$Q$15:$R$20,2,FALSE)*IF($E630="Red",Dashboard!$R$6,IF($E630="Gold",Dashboard!$R$7,Dashboard!$R$5))*IF(ISNUMBER(SEARCH("Duals",$B630)),2,IF(ISNUMBER(SEARCH("Triples",$B630)),3,IF(ISNUMBER(SEARCH("Quads",$B630)),4,1))),2))*IF(IFERROR(VLOOKUP($B630,Dashboard!$Q$28:$S$60,3,FALSE),0)&gt;0,VLOOKUP($B630,Dashboard!$Q$28:$S$60,3,FALSE),1))),0))</f>
        <v>143</v>
      </c>
      <c r="K630" s="2" t="str">
        <f>IF('Base S1'!I30="","",'Base S1'!I30)</f>
        <v/>
      </c>
      <c r="L630" s="2">
        <f t="shared" si="117"/>
        <v>0</v>
      </c>
      <c r="M630" s="2">
        <f t="shared" si="118"/>
        <v>0</v>
      </c>
      <c r="N630" s="2">
        <f t="shared" si="119"/>
        <v>0</v>
      </c>
      <c r="O630" s="2">
        <f t="shared" si="120"/>
        <v>1</v>
      </c>
      <c r="P630" s="112">
        <f t="shared" si="121"/>
        <v>0</v>
      </c>
      <c r="Q630" s="112">
        <f t="shared" si="122"/>
        <v>0</v>
      </c>
      <c r="R630" s="53"/>
      <c r="S630" s="53" t="str">
        <f t="shared" si="123"/>
        <v>Base S1|The Seven Parallel - Season 1|29|The Seven</v>
      </c>
      <c r="T630" s="57" t="str">
        <f>IF($S630="","",IFERROR(VLOOKUP($S630,'Pop Estimates (Non-#d)'!$N$2:$O$500,2,FALSE),""))</f>
        <v/>
      </c>
      <c r="U630" s="57">
        <f t="shared" si="124"/>
        <v>7</v>
      </c>
      <c r="V630" s="53" t="str">
        <f t="shared" si="125"/>
        <v/>
      </c>
      <c r="W630" s="53" t="str">
        <f t="shared" si="126"/>
        <v/>
      </c>
      <c r="X630" s="53" t="str">
        <f t="shared" si="127"/>
        <v/>
      </c>
      <c r="Y630" s="57" t="str">
        <f>IF($X630="","",IFERROR(VLOOKUP($X630,'Char Popularity'!$A$2:$C$500,2,FALSE),""))</f>
        <v/>
      </c>
      <c r="Z630" s="56">
        <f>IF($X630="",1,IFERROR(VLOOKUP($X630,'Char Popularity'!$A$2:$C$500,3,FALSE),1))</f>
        <v>1</v>
      </c>
      <c r="AA630" s="62">
        <f>IF($H630&lt;&gt;"Y",0,(IF($F630&lt;&gt;"",ROUND(Dashboard!$R$4/$F630,1),IF(AND($I630="Base",$E630="Base"),Dashboard!$R$5,IF(AND($I630="Base",$E630="Red"),Dashboard!$R$6,IF(AND($I630="Base",$E630="Gold"),Dashboard!$R$7,VLOOKUP($I630,Dashboard!$Q$16:$R$21,2,FALSE)))))*VLOOKUP($I630,Dashboard!$Q$9:$R$13,2,FALSE)*IF(AND($I630="Auto",$F630="",OR($B630="Autographs Duals",$B630="Autographs Triples",$B630="Autographs Quads",$B630="Autographs Quads (Inscribed)")),IF($B630="Autographs Duals",2,IF($B630="Autographs Triples",3,4)),1)))</f>
        <v>142.9</v>
      </c>
      <c r="AB630" s="62">
        <f t="shared" si="128"/>
        <v>0</v>
      </c>
      <c r="AC630" s="62">
        <f t="shared" si="129"/>
        <v>0</v>
      </c>
    </row>
    <row r="631" spans="1:29" ht="42.95" customHeight="1" x14ac:dyDescent="0.25">
      <c r="A631" s="4" t="s">
        <v>17</v>
      </c>
      <c r="B631" s="7" t="s">
        <v>72</v>
      </c>
      <c r="C631" s="2" t="s">
        <v>1429</v>
      </c>
      <c r="D631" s="7" t="s">
        <v>904</v>
      </c>
      <c r="E631" s="4" t="s">
        <v>689</v>
      </c>
      <c r="F631" s="2">
        <v>7</v>
      </c>
      <c r="G631" s="2" t="s">
        <v>1399</v>
      </c>
      <c r="H631" s="2" t="s">
        <v>1400</v>
      </c>
      <c r="I631" s="4" t="s">
        <v>60</v>
      </c>
      <c r="J631" s="112">
        <f>IF($H631&lt;&gt;"Y",0,ROUND(MIN(Dashboard!$R$24,IF(IFERROR(VLOOKUP($B631,Dashboard!$Q$28:$S$60,2,FALSE),0)&gt;0,IFERROR(VLOOKUP($B631,Dashboard!$Q$28:$S$60,2,FALSE),0),$Z631*IF($U631&lt;&gt;"",ROUND((Dashboard!$R$4/$U631)*VLOOKUP($I631,Dashboard!$Q$9:$R$13,2,FALSE)*IF(ISNUMBER(SEARCH("Duals",$B631)),2,IF(ISNUMBER(SEARCH("Triples",$B631)),3,IF(ISNUMBER(SEARCH("Quads",$B631)),4,1))),2),ROUND(VLOOKUP($I631,Dashboard!$Q$15:$R$20,2,FALSE)*IF($E631="Red",Dashboard!$R$6,IF($E631="Gold",Dashboard!$R$7,Dashboard!$R$5))*IF(ISNUMBER(SEARCH("Duals",$B631)),2,IF(ISNUMBER(SEARCH("Triples",$B631)),3,IF(ISNUMBER(SEARCH("Quads",$B631)),4,1))),2))*IF(IFERROR(VLOOKUP($B631,Dashboard!$Q$28:$S$60,3,FALSE),0)&gt;0,VLOOKUP($B631,Dashboard!$Q$28:$S$60,3,FALSE),1))),0))</f>
        <v>143</v>
      </c>
      <c r="K631" s="2" t="str">
        <f>IF('Base S1'!I31="","",'Base S1'!I31)</f>
        <v/>
      </c>
      <c r="L631" s="2">
        <f t="shared" si="117"/>
        <v>0</v>
      </c>
      <c r="M631" s="2">
        <f t="shared" si="118"/>
        <v>0</v>
      </c>
      <c r="N631" s="2">
        <f t="shared" si="119"/>
        <v>0</v>
      </c>
      <c r="O631" s="2">
        <f t="shared" si="120"/>
        <v>1</v>
      </c>
      <c r="P631" s="112">
        <f t="shared" si="121"/>
        <v>0</v>
      </c>
      <c r="Q631" s="112">
        <f t="shared" si="122"/>
        <v>0</v>
      </c>
      <c r="R631" s="53"/>
      <c r="S631" s="53" t="str">
        <f t="shared" si="123"/>
        <v>Base S1|The Seven Parallel - Season 1|30|The Seven</v>
      </c>
      <c r="T631" s="57" t="str">
        <f>IF($S631="","",IFERROR(VLOOKUP($S631,'Pop Estimates (Non-#d)'!$N$2:$O$500,2,FALSE),""))</f>
        <v/>
      </c>
      <c r="U631" s="57">
        <f t="shared" si="124"/>
        <v>7</v>
      </c>
      <c r="V631" s="53" t="str">
        <f t="shared" si="125"/>
        <v/>
      </c>
      <c r="W631" s="53" t="str">
        <f t="shared" si="126"/>
        <v/>
      </c>
      <c r="X631" s="53" t="str">
        <f t="shared" si="127"/>
        <v/>
      </c>
      <c r="Y631" s="57" t="str">
        <f>IF($X631="","",IFERROR(VLOOKUP($X631,'Char Popularity'!$A$2:$C$500,2,FALSE),""))</f>
        <v/>
      </c>
      <c r="Z631" s="56">
        <f>IF($X631="",1,IFERROR(VLOOKUP($X631,'Char Popularity'!$A$2:$C$500,3,FALSE),1))</f>
        <v>1</v>
      </c>
      <c r="AA631" s="62">
        <f>IF($H631&lt;&gt;"Y",0,(IF($F631&lt;&gt;"",ROUND(Dashboard!$R$4/$F631,1),IF(AND($I631="Base",$E631="Base"),Dashboard!$R$5,IF(AND($I631="Base",$E631="Red"),Dashboard!$R$6,IF(AND($I631="Base",$E631="Gold"),Dashboard!$R$7,VLOOKUP($I631,Dashboard!$Q$16:$R$21,2,FALSE)))))*VLOOKUP($I631,Dashboard!$Q$9:$R$13,2,FALSE)*IF(AND($I631="Auto",$F631="",OR($B631="Autographs Duals",$B631="Autographs Triples",$B631="Autographs Quads",$B631="Autographs Quads (Inscribed)")),IF($B631="Autographs Duals",2,IF($B631="Autographs Triples",3,4)),1)))</f>
        <v>142.9</v>
      </c>
      <c r="AB631" s="62">
        <f t="shared" si="128"/>
        <v>0</v>
      </c>
      <c r="AC631" s="62">
        <f t="shared" si="129"/>
        <v>0</v>
      </c>
    </row>
    <row r="632" spans="1:29" ht="42.95" customHeight="1" x14ac:dyDescent="0.25">
      <c r="A632" s="4" t="s">
        <v>17</v>
      </c>
      <c r="B632" s="7" t="s">
        <v>72</v>
      </c>
      <c r="C632" s="2" t="s">
        <v>1430</v>
      </c>
      <c r="D632" s="7" t="s">
        <v>906</v>
      </c>
      <c r="E632" s="4" t="s">
        <v>689</v>
      </c>
      <c r="F632" s="2">
        <v>7</v>
      </c>
      <c r="G632" s="2" t="s">
        <v>1399</v>
      </c>
      <c r="H632" s="2" t="s">
        <v>1400</v>
      </c>
      <c r="I632" s="4" t="s">
        <v>60</v>
      </c>
      <c r="J632" s="112">
        <f>IF($H632&lt;&gt;"Y",0,ROUND(MIN(Dashboard!$R$24,IF(IFERROR(VLOOKUP($B632,Dashboard!$Q$28:$S$60,2,FALSE),0)&gt;0,IFERROR(VLOOKUP($B632,Dashboard!$Q$28:$S$60,2,FALSE),0),$Z632*IF($U632&lt;&gt;"",ROUND((Dashboard!$R$4/$U632)*VLOOKUP($I632,Dashboard!$Q$9:$R$13,2,FALSE)*IF(ISNUMBER(SEARCH("Duals",$B632)),2,IF(ISNUMBER(SEARCH("Triples",$B632)),3,IF(ISNUMBER(SEARCH("Quads",$B632)),4,1))),2),ROUND(VLOOKUP($I632,Dashboard!$Q$15:$R$20,2,FALSE)*IF($E632="Red",Dashboard!$R$6,IF($E632="Gold",Dashboard!$R$7,Dashboard!$R$5))*IF(ISNUMBER(SEARCH("Duals",$B632)),2,IF(ISNUMBER(SEARCH("Triples",$B632)),3,IF(ISNUMBER(SEARCH("Quads",$B632)),4,1))),2))*IF(IFERROR(VLOOKUP($B632,Dashboard!$Q$28:$S$60,3,FALSE),0)&gt;0,VLOOKUP($B632,Dashboard!$Q$28:$S$60,3,FALSE),1))),0))</f>
        <v>143</v>
      </c>
      <c r="K632" s="2" t="str">
        <f>IF('Base S1'!I32="","",'Base S1'!I32)</f>
        <v/>
      </c>
      <c r="L632" s="2">
        <f t="shared" si="117"/>
        <v>0</v>
      </c>
      <c r="M632" s="2">
        <f t="shared" si="118"/>
        <v>0</v>
      </c>
      <c r="N632" s="2">
        <f t="shared" si="119"/>
        <v>0</v>
      </c>
      <c r="O632" s="2">
        <f t="shared" si="120"/>
        <v>1</v>
      </c>
      <c r="P632" s="112">
        <f t="shared" si="121"/>
        <v>0</v>
      </c>
      <c r="Q632" s="112">
        <f t="shared" si="122"/>
        <v>0</v>
      </c>
      <c r="R632" s="53"/>
      <c r="S632" s="53" t="str">
        <f t="shared" si="123"/>
        <v>Base S1|The Seven Parallel - Season 1|31|The Seven</v>
      </c>
      <c r="T632" s="57" t="str">
        <f>IF($S632="","",IFERROR(VLOOKUP($S632,'Pop Estimates (Non-#d)'!$N$2:$O$500,2,FALSE),""))</f>
        <v/>
      </c>
      <c r="U632" s="57">
        <f t="shared" si="124"/>
        <v>7</v>
      </c>
      <c r="V632" s="53" t="str">
        <f t="shared" si="125"/>
        <v/>
      </c>
      <c r="W632" s="53" t="str">
        <f t="shared" si="126"/>
        <v/>
      </c>
      <c r="X632" s="53" t="str">
        <f t="shared" si="127"/>
        <v/>
      </c>
      <c r="Y632" s="57" t="str">
        <f>IF($X632="","",IFERROR(VLOOKUP($X632,'Char Popularity'!$A$2:$C$500,2,FALSE),""))</f>
        <v/>
      </c>
      <c r="Z632" s="56">
        <f>IF($X632="",1,IFERROR(VLOOKUP($X632,'Char Popularity'!$A$2:$C$500,3,FALSE),1))</f>
        <v>1</v>
      </c>
      <c r="AA632" s="62">
        <f>IF($H632&lt;&gt;"Y",0,(IF($F632&lt;&gt;"",ROUND(Dashboard!$R$4/$F632,1),IF(AND($I632="Base",$E632="Base"),Dashboard!$R$5,IF(AND($I632="Base",$E632="Red"),Dashboard!$R$6,IF(AND($I632="Base",$E632="Gold"),Dashboard!$R$7,VLOOKUP($I632,Dashboard!$Q$16:$R$21,2,FALSE)))))*VLOOKUP($I632,Dashboard!$Q$9:$R$13,2,FALSE)*IF(AND($I632="Auto",$F632="",OR($B632="Autographs Duals",$B632="Autographs Triples",$B632="Autographs Quads",$B632="Autographs Quads (Inscribed)")),IF($B632="Autographs Duals",2,IF($B632="Autographs Triples",3,4)),1)))</f>
        <v>142.9</v>
      </c>
      <c r="AB632" s="62">
        <f t="shared" si="128"/>
        <v>0</v>
      </c>
      <c r="AC632" s="62">
        <f t="shared" si="129"/>
        <v>0</v>
      </c>
    </row>
    <row r="633" spans="1:29" ht="42.95" customHeight="1" x14ac:dyDescent="0.25">
      <c r="A633" s="4" t="s">
        <v>17</v>
      </c>
      <c r="B633" s="7" t="s">
        <v>72</v>
      </c>
      <c r="C633" s="2" t="s">
        <v>1431</v>
      </c>
      <c r="D633" s="7" t="s">
        <v>908</v>
      </c>
      <c r="E633" s="4" t="s">
        <v>689</v>
      </c>
      <c r="F633" s="2">
        <v>7</v>
      </c>
      <c r="G633" s="2" t="s">
        <v>1399</v>
      </c>
      <c r="H633" s="2" t="s">
        <v>1400</v>
      </c>
      <c r="I633" s="4" t="s">
        <v>60</v>
      </c>
      <c r="J633" s="112">
        <f>IF($H633&lt;&gt;"Y",0,ROUND(MIN(Dashboard!$R$24,IF(IFERROR(VLOOKUP($B633,Dashboard!$Q$28:$S$60,2,FALSE),0)&gt;0,IFERROR(VLOOKUP($B633,Dashboard!$Q$28:$S$60,2,FALSE),0),$Z633*IF($U633&lt;&gt;"",ROUND((Dashboard!$R$4/$U633)*VLOOKUP($I633,Dashboard!$Q$9:$R$13,2,FALSE)*IF(ISNUMBER(SEARCH("Duals",$B633)),2,IF(ISNUMBER(SEARCH("Triples",$B633)),3,IF(ISNUMBER(SEARCH("Quads",$B633)),4,1))),2),ROUND(VLOOKUP($I633,Dashboard!$Q$15:$R$20,2,FALSE)*IF($E633="Red",Dashboard!$R$6,IF($E633="Gold",Dashboard!$R$7,Dashboard!$R$5))*IF(ISNUMBER(SEARCH("Duals",$B633)),2,IF(ISNUMBER(SEARCH("Triples",$B633)),3,IF(ISNUMBER(SEARCH("Quads",$B633)),4,1))),2))*IF(IFERROR(VLOOKUP($B633,Dashboard!$Q$28:$S$60,3,FALSE),0)&gt;0,VLOOKUP($B633,Dashboard!$Q$28:$S$60,3,FALSE),1))),0))</f>
        <v>143</v>
      </c>
      <c r="K633" s="2" t="str">
        <f>IF('Base S1'!I33="","",'Base S1'!I33)</f>
        <v/>
      </c>
      <c r="L633" s="2">
        <f t="shared" si="117"/>
        <v>0</v>
      </c>
      <c r="M633" s="2">
        <f t="shared" si="118"/>
        <v>0</v>
      </c>
      <c r="N633" s="2">
        <f t="shared" si="119"/>
        <v>0</v>
      </c>
      <c r="O633" s="2">
        <f t="shared" si="120"/>
        <v>1</v>
      </c>
      <c r="P633" s="112">
        <f t="shared" si="121"/>
        <v>0</v>
      </c>
      <c r="Q633" s="112">
        <f t="shared" si="122"/>
        <v>0</v>
      </c>
      <c r="R633" s="53"/>
      <c r="S633" s="53" t="str">
        <f t="shared" si="123"/>
        <v>Base S1|The Seven Parallel - Season 1|32|The Seven</v>
      </c>
      <c r="T633" s="57" t="str">
        <f>IF($S633="","",IFERROR(VLOOKUP($S633,'Pop Estimates (Non-#d)'!$N$2:$O$500,2,FALSE),""))</f>
        <v/>
      </c>
      <c r="U633" s="57">
        <f t="shared" si="124"/>
        <v>7</v>
      </c>
      <c r="V633" s="53" t="str">
        <f t="shared" si="125"/>
        <v/>
      </c>
      <c r="W633" s="53" t="str">
        <f t="shared" si="126"/>
        <v/>
      </c>
      <c r="X633" s="53" t="str">
        <f t="shared" si="127"/>
        <v/>
      </c>
      <c r="Y633" s="57" t="str">
        <f>IF($X633="","",IFERROR(VLOOKUP($X633,'Char Popularity'!$A$2:$C$500,2,FALSE),""))</f>
        <v/>
      </c>
      <c r="Z633" s="56">
        <f>IF($X633="",1,IFERROR(VLOOKUP($X633,'Char Popularity'!$A$2:$C$500,3,FALSE),1))</f>
        <v>1</v>
      </c>
      <c r="AA633" s="62">
        <f>IF($H633&lt;&gt;"Y",0,(IF($F633&lt;&gt;"",ROUND(Dashboard!$R$4/$F633,1),IF(AND($I633="Base",$E633="Base"),Dashboard!$R$5,IF(AND($I633="Base",$E633="Red"),Dashboard!$R$6,IF(AND($I633="Base",$E633="Gold"),Dashboard!$R$7,VLOOKUP($I633,Dashboard!$Q$16:$R$21,2,FALSE)))))*VLOOKUP($I633,Dashboard!$Q$9:$R$13,2,FALSE)*IF(AND($I633="Auto",$F633="",OR($B633="Autographs Duals",$B633="Autographs Triples",$B633="Autographs Quads",$B633="Autographs Quads (Inscribed)")),IF($B633="Autographs Duals",2,IF($B633="Autographs Triples",3,4)),1)))</f>
        <v>142.9</v>
      </c>
      <c r="AB633" s="62">
        <f t="shared" si="128"/>
        <v>0</v>
      </c>
      <c r="AC633" s="62">
        <f t="shared" si="129"/>
        <v>0</v>
      </c>
    </row>
    <row r="634" spans="1:29" ht="42.95" customHeight="1" x14ac:dyDescent="0.25">
      <c r="A634" s="4" t="s">
        <v>17</v>
      </c>
      <c r="B634" s="7" t="s">
        <v>72</v>
      </c>
      <c r="C634" s="2" t="s">
        <v>1432</v>
      </c>
      <c r="D634" s="7" t="s">
        <v>910</v>
      </c>
      <c r="E634" s="4" t="s">
        <v>689</v>
      </c>
      <c r="F634" s="2">
        <v>7</v>
      </c>
      <c r="G634" s="2" t="s">
        <v>1399</v>
      </c>
      <c r="H634" s="2" t="s">
        <v>1400</v>
      </c>
      <c r="I634" s="4" t="s">
        <v>60</v>
      </c>
      <c r="J634" s="112">
        <f>IF($H634&lt;&gt;"Y",0,ROUND(MIN(Dashboard!$R$24,IF(IFERROR(VLOOKUP($B634,Dashboard!$Q$28:$S$60,2,FALSE),0)&gt;0,IFERROR(VLOOKUP($B634,Dashboard!$Q$28:$S$60,2,FALSE),0),$Z634*IF($U634&lt;&gt;"",ROUND((Dashboard!$R$4/$U634)*VLOOKUP($I634,Dashboard!$Q$9:$R$13,2,FALSE)*IF(ISNUMBER(SEARCH("Duals",$B634)),2,IF(ISNUMBER(SEARCH("Triples",$B634)),3,IF(ISNUMBER(SEARCH("Quads",$B634)),4,1))),2),ROUND(VLOOKUP($I634,Dashboard!$Q$15:$R$20,2,FALSE)*IF($E634="Red",Dashboard!$R$6,IF($E634="Gold",Dashboard!$R$7,Dashboard!$R$5))*IF(ISNUMBER(SEARCH("Duals",$B634)),2,IF(ISNUMBER(SEARCH("Triples",$B634)),3,IF(ISNUMBER(SEARCH("Quads",$B634)),4,1))),2))*IF(IFERROR(VLOOKUP($B634,Dashboard!$Q$28:$S$60,3,FALSE),0)&gt;0,VLOOKUP($B634,Dashboard!$Q$28:$S$60,3,FALSE),1))),0))</f>
        <v>143</v>
      </c>
      <c r="K634" s="2" t="str">
        <f>IF('Base S1'!I34="","",'Base S1'!I34)</f>
        <v/>
      </c>
      <c r="L634" s="2">
        <f t="shared" si="117"/>
        <v>0</v>
      </c>
      <c r="M634" s="2">
        <f t="shared" si="118"/>
        <v>0</v>
      </c>
      <c r="N634" s="2">
        <f t="shared" si="119"/>
        <v>0</v>
      </c>
      <c r="O634" s="2">
        <f t="shared" si="120"/>
        <v>1</v>
      </c>
      <c r="P634" s="112">
        <f t="shared" si="121"/>
        <v>0</v>
      </c>
      <c r="Q634" s="112">
        <f t="shared" si="122"/>
        <v>0</v>
      </c>
      <c r="R634" s="53"/>
      <c r="S634" s="53" t="str">
        <f t="shared" si="123"/>
        <v>Base S1|The Seven Parallel - Season 1|33|The Seven</v>
      </c>
      <c r="T634" s="57" t="str">
        <f>IF($S634="","",IFERROR(VLOOKUP($S634,'Pop Estimates (Non-#d)'!$N$2:$O$500,2,FALSE),""))</f>
        <v/>
      </c>
      <c r="U634" s="57">
        <f t="shared" si="124"/>
        <v>7</v>
      </c>
      <c r="V634" s="53" t="str">
        <f t="shared" si="125"/>
        <v/>
      </c>
      <c r="W634" s="53" t="str">
        <f t="shared" si="126"/>
        <v/>
      </c>
      <c r="X634" s="53" t="str">
        <f t="shared" si="127"/>
        <v/>
      </c>
      <c r="Y634" s="57" t="str">
        <f>IF($X634="","",IFERROR(VLOOKUP($X634,'Char Popularity'!$A$2:$C$500,2,FALSE),""))</f>
        <v/>
      </c>
      <c r="Z634" s="56">
        <f>IF($X634="",1,IFERROR(VLOOKUP($X634,'Char Popularity'!$A$2:$C$500,3,FALSE),1))</f>
        <v>1</v>
      </c>
      <c r="AA634" s="62">
        <f>IF($H634&lt;&gt;"Y",0,(IF($F634&lt;&gt;"",ROUND(Dashboard!$R$4/$F634,1),IF(AND($I634="Base",$E634="Base"),Dashboard!$R$5,IF(AND($I634="Base",$E634="Red"),Dashboard!$R$6,IF(AND($I634="Base",$E634="Gold"),Dashboard!$R$7,VLOOKUP($I634,Dashboard!$Q$16:$R$21,2,FALSE)))))*VLOOKUP($I634,Dashboard!$Q$9:$R$13,2,FALSE)*IF(AND($I634="Auto",$F634="",OR($B634="Autographs Duals",$B634="Autographs Triples",$B634="Autographs Quads",$B634="Autographs Quads (Inscribed)")),IF($B634="Autographs Duals",2,IF($B634="Autographs Triples",3,4)),1)))</f>
        <v>142.9</v>
      </c>
      <c r="AB634" s="62">
        <f t="shared" si="128"/>
        <v>0</v>
      </c>
      <c r="AC634" s="62">
        <f t="shared" si="129"/>
        <v>0</v>
      </c>
    </row>
    <row r="635" spans="1:29" ht="42.95" customHeight="1" x14ac:dyDescent="0.25">
      <c r="A635" s="4" t="s">
        <v>17</v>
      </c>
      <c r="B635" s="7" t="s">
        <v>72</v>
      </c>
      <c r="C635" s="2" t="s">
        <v>1433</v>
      </c>
      <c r="D635" s="7" t="s">
        <v>912</v>
      </c>
      <c r="E635" s="4" t="s">
        <v>689</v>
      </c>
      <c r="F635" s="2">
        <v>7</v>
      </c>
      <c r="G635" s="2" t="s">
        <v>1399</v>
      </c>
      <c r="H635" s="2" t="s">
        <v>1400</v>
      </c>
      <c r="I635" s="4" t="s">
        <v>60</v>
      </c>
      <c r="J635" s="112">
        <f>IF($H635&lt;&gt;"Y",0,ROUND(MIN(Dashboard!$R$24,IF(IFERROR(VLOOKUP($B635,Dashboard!$Q$28:$S$60,2,FALSE),0)&gt;0,IFERROR(VLOOKUP($B635,Dashboard!$Q$28:$S$60,2,FALSE),0),$Z635*IF($U635&lt;&gt;"",ROUND((Dashboard!$R$4/$U635)*VLOOKUP($I635,Dashboard!$Q$9:$R$13,2,FALSE)*IF(ISNUMBER(SEARCH("Duals",$B635)),2,IF(ISNUMBER(SEARCH("Triples",$B635)),3,IF(ISNUMBER(SEARCH("Quads",$B635)),4,1))),2),ROUND(VLOOKUP($I635,Dashboard!$Q$15:$R$20,2,FALSE)*IF($E635="Red",Dashboard!$R$6,IF($E635="Gold",Dashboard!$R$7,Dashboard!$R$5))*IF(ISNUMBER(SEARCH("Duals",$B635)),2,IF(ISNUMBER(SEARCH("Triples",$B635)),3,IF(ISNUMBER(SEARCH("Quads",$B635)),4,1))),2))*IF(IFERROR(VLOOKUP($B635,Dashboard!$Q$28:$S$60,3,FALSE),0)&gt;0,VLOOKUP($B635,Dashboard!$Q$28:$S$60,3,FALSE),1))),0))</f>
        <v>143</v>
      </c>
      <c r="K635" s="2" t="str">
        <f>IF('Base S1'!I35="","",'Base S1'!I35)</f>
        <v/>
      </c>
      <c r="L635" s="2">
        <f t="shared" si="117"/>
        <v>0</v>
      </c>
      <c r="M635" s="2">
        <f t="shared" si="118"/>
        <v>0</v>
      </c>
      <c r="N635" s="2">
        <f t="shared" si="119"/>
        <v>0</v>
      </c>
      <c r="O635" s="2">
        <f t="shared" si="120"/>
        <v>1</v>
      </c>
      <c r="P635" s="112">
        <f t="shared" si="121"/>
        <v>0</v>
      </c>
      <c r="Q635" s="112">
        <f t="shared" si="122"/>
        <v>0</v>
      </c>
      <c r="R635" s="53"/>
      <c r="S635" s="53" t="str">
        <f t="shared" si="123"/>
        <v>Base S1|The Seven Parallel - Season 1|34|The Seven</v>
      </c>
      <c r="T635" s="57" t="str">
        <f>IF($S635="","",IFERROR(VLOOKUP($S635,'Pop Estimates (Non-#d)'!$N$2:$O$500,2,FALSE),""))</f>
        <v/>
      </c>
      <c r="U635" s="57">
        <f t="shared" si="124"/>
        <v>7</v>
      </c>
      <c r="V635" s="53" t="str">
        <f t="shared" si="125"/>
        <v/>
      </c>
      <c r="W635" s="53" t="str">
        <f t="shared" si="126"/>
        <v/>
      </c>
      <c r="X635" s="53" t="str">
        <f t="shared" si="127"/>
        <v/>
      </c>
      <c r="Y635" s="57" t="str">
        <f>IF($X635="","",IFERROR(VLOOKUP($X635,'Char Popularity'!$A$2:$C$500,2,FALSE),""))</f>
        <v/>
      </c>
      <c r="Z635" s="56">
        <f>IF($X635="",1,IFERROR(VLOOKUP($X635,'Char Popularity'!$A$2:$C$500,3,FALSE),1))</f>
        <v>1</v>
      </c>
      <c r="AA635" s="62">
        <f>IF($H635&lt;&gt;"Y",0,(IF($F635&lt;&gt;"",ROUND(Dashboard!$R$4/$F635,1),IF(AND($I635="Base",$E635="Base"),Dashboard!$R$5,IF(AND($I635="Base",$E635="Red"),Dashboard!$R$6,IF(AND($I635="Base",$E635="Gold"),Dashboard!$R$7,VLOOKUP($I635,Dashboard!$Q$16:$R$21,2,FALSE)))))*VLOOKUP($I635,Dashboard!$Q$9:$R$13,2,FALSE)*IF(AND($I635="Auto",$F635="",OR($B635="Autographs Duals",$B635="Autographs Triples",$B635="Autographs Quads",$B635="Autographs Quads (Inscribed)")),IF($B635="Autographs Duals",2,IF($B635="Autographs Triples",3,4)),1)))</f>
        <v>142.9</v>
      </c>
      <c r="AB635" s="62">
        <f t="shared" si="128"/>
        <v>0</v>
      </c>
      <c r="AC635" s="62">
        <f t="shared" si="129"/>
        <v>0</v>
      </c>
    </row>
    <row r="636" spans="1:29" ht="42.95" customHeight="1" x14ac:dyDescent="0.25">
      <c r="A636" s="4" t="s">
        <v>17</v>
      </c>
      <c r="B636" s="7" t="s">
        <v>72</v>
      </c>
      <c r="C636" s="2" t="s">
        <v>1434</v>
      </c>
      <c r="D636" s="7" t="s">
        <v>914</v>
      </c>
      <c r="E636" s="4" t="s">
        <v>689</v>
      </c>
      <c r="F636" s="2">
        <v>7</v>
      </c>
      <c r="G636" s="2" t="s">
        <v>1399</v>
      </c>
      <c r="H636" s="2" t="s">
        <v>1400</v>
      </c>
      <c r="I636" s="4" t="s">
        <v>60</v>
      </c>
      <c r="J636" s="112">
        <f>IF($H636&lt;&gt;"Y",0,ROUND(MIN(Dashboard!$R$24,IF(IFERROR(VLOOKUP($B636,Dashboard!$Q$28:$S$60,2,FALSE),0)&gt;0,IFERROR(VLOOKUP($B636,Dashboard!$Q$28:$S$60,2,FALSE),0),$Z636*IF($U636&lt;&gt;"",ROUND((Dashboard!$R$4/$U636)*VLOOKUP($I636,Dashboard!$Q$9:$R$13,2,FALSE)*IF(ISNUMBER(SEARCH("Duals",$B636)),2,IF(ISNUMBER(SEARCH("Triples",$B636)),3,IF(ISNUMBER(SEARCH("Quads",$B636)),4,1))),2),ROUND(VLOOKUP($I636,Dashboard!$Q$15:$R$20,2,FALSE)*IF($E636="Red",Dashboard!$R$6,IF($E636="Gold",Dashboard!$R$7,Dashboard!$R$5))*IF(ISNUMBER(SEARCH("Duals",$B636)),2,IF(ISNUMBER(SEARCH("Triples",$B636)),3,IF(ISNUMBER(SEARCH("Quads",$B636)),4,1))),2))*IF(IFERROR(VLOOKUP($B636,Dashboard!$Q$28:$S$60,3,FALSE),0)&gt;0,VLOOKUP($B636,Dashboard!$Q$28:$S$60,3,FALSE),1))),0))</f>
        <v>143</v>
      </c>
      <c r="K636" s="2" t="str">
        <f>IF('Base S1'!I36="","",'Base S1'!I36)</f>
        <v/>
      </c>
      <c r="L636" s="2">
        <f t="shared" si="117"/>
        <v>0</v>
      </c>
      <c r="M636" s="2">
        <f t="shared" si="118"/>
        <v>0</v>
      </c>
      <c r="N636" s="2">
        <f t="shared" si="119"/>
        <v>0</v>
      </c>
      <c r="O636" s="2">
        <f t="shared" si="120"/>
        <v>1</v>
      </c>
      <c r="P636" s="112">
        <f t="shared" si="121"/>
        <v>0</v>
      </c>
      <c r="Q636" s="112">
        <f t="shared" si="122"/>
        <v>0</v>
      </c>
      <c r="R636" s="53"/>
      <c r="S636" s="53" t="str">
        <f t="shared" si="123"/>
        <v>Base S1|The Seven Parallel - Season 1|35|The Seven</v>
      </c>
      <c r="T636" s="57" t="str">
        <f>IF($S636="","",IFERROR(VLOOKUP($S636,'Pop Estimates (Non-#d)'!$N$2:$O$500,2,FALSE),""))</f>
        <v/>
      </c>
      <c r="U636" s="57">
        <f t="shared" si="124"/>
        <v>7</v>
      </c>
      <c r="V636" s="53" t="str">
        <f t="shared" si="125"/>
        <v/>
      </c>
      <c r="W636" s="53" t="str">
        <f t="shared" si="126"/>
        <v/>
      </c>
      <c r="X636" s="53" t="str">
        <f t="shared" si="127"/>
        <v/>
      </c>
      <c r="Y636" s="57" t="str">
        <f>IF($X636="","",IFERROR(VLOOKUP($X636,'Char Popularity'!$A$2:$C$500,2,FALSE),""))</f>
        <v/>
      </c>
      <c r="Z636" s="56">
        <f>IF($X636="",1,IFERROR(VLOOKUP($X636,'Char Popularity'!$A$2:$C$500,3,FALSE),1))</f>
        <v>1</v>
      </c>
      <c r="AA636" s="62">
        <f>IF($H636&lt;&gt;"Y",0,(IF($F636&lt;&gt;"",ROUND(Dashboard!$R$4/$F636,1),IF(AND($I636="Base",$E636="Base"),Dashboard!$R$5,IF(AND($I636="Base",$E636="Red"),Dashboard!$R$6,IF(AND($I636="Base",$E636="Gold"),Dashboard!$R$7,VLOOKUP($I636,Dashboard!$Q$16:$R$21,2,FALSE)))))*VLOOKUP($I636,Dashboard!$Q$9:$R$13,2,FALSE)*IF(AND($I636="Auto",$F636="",OR($B636="Autographs Duals",$B636="Autographs Triples",$B636="Autographs Quads",$B636="Autographs Quads (Inscribed)")),IF($B636="Autographs Duals",2,IF($B636="Autographs Triples",3,4)),1)))</f>
        <v>142.9</v>
      </c>
      <c r="AB636" s="62">
        <f t="shared" si="128"/>
        <v>0</v>
      </c>
      <c r="AC636" s="62">
        <f t="shared" si="129"/>
        <v>0</v>
      </c>
    </row>
    <row r="637" spans="1:29" ht="42.95" customHeight="1" x14ac:dyDescent="0.25">
      <c r="A637" s="4" t="s">
        <v>17</v>
      </c>
      <c r="B637" s="7" t="s">
        <v>72</v>
      </c>
      <c r="C637" s="2" t="s">
        <v>1435</v>
      </c>
      <c r="D637" s="7" t="s">
        <v>915</v>
      </c>
      <c r="E637" s="4" t="s">
        <v>689</v>
      </c>
      <c r="F637" s="2">
        <v>7</v>
      </c>
      <c r="G637" s="2" t="s">
        <v>1399</v>
      </c>
      <c r="H637" s="2" t="s">
        <v>1400</v>
      </c>
      <c r="I637" s="4" t="s">
        <v>60</v>
      </c>
      <c r="J637" s="112">
        <f>IF($H637&lt;&gt;"Y",0,ROUND(MIN(Dashboard!$R$24,IF(IFERROR(VLOOKUP($B637,Dashboard!$Q$28:$S$60,2,FALSE),0)&gt;0,IFERROR(VLOOKUP($B637,Dashboard!$Q$28:$S$60,2,FALSE),0),$Z637*IF($U637&lt;&gt;"",ROUND((Dashboard!$R$4/$U637)*VLOOKUP($I637,Dashboard!$Q$9:$R$13,2,FALSE)*IF(ISNUMBER(SEARCH("Duals",$B637)),2,IF(ISNUMBER(SEARCH("Triples",$B637)),3,IF(ISNUMBER(SEARCH("Quads",$B637)),4,1))),2),ROUND(VLOOKUP($I637,Dashboard!$Q$15:$R$20,2,FALSE)*IF($E637="Red",Dashboard!$R$6,IF($E637="Gold",Dashboard!$R$7,Dashboard!$R$5))*IF(ISNUMBER(SEARCH("Duals",$B637)),2,IF(ISNUMBER(SEARCH("Triples",$B637)),3,IF(ISNUMBER(SEARCH("Quads",$B637)),4,1))),2))*IF(IFERROR(VLOOKUP($B637,Dashboard!$Q$28:$S$60,3,FALSE),0)&gt;0,VLOOKUP($B637,Dashboard!$Q$28:$S$60,3,FALSE),1))),0))</f>
        <v>143</v>
      </c>
      <c r="K637" s="2" t="str">
        <f>IF('Base S1'!I37="","",'Base S1'!I37)</f>
        <v/>
      </c>
      <c r="L637" s="2">
        <f t="shared" si="117"/>
        <v>0</v>
      </c>
      <c r="M637" s="2">
        <f t="shared" si="118"/>
        <v>0</v>
      </c>
      <c r="N637" s="2">
        <f t="shared" si="119"/>
        <v>0</v>
      </c>
      <c r="O637" s="2">
        <f t="shared" si="120"/>
        <v>1</v>
      </c>
      <c r="P637" s="112">
        <f t="shared" si="121"/>
        <v>0</v>
      </c>
      <c r="Q637" s="112">
        <f t="shared" si="122"/>
        <v>0</v>
      </c>
      <c r="R637" s="53"/>
      <c r="S637" s="53" t="str">
        <f t="shared" si="123"/>
        <v>Base S1|The Seven Parallel - Season 1|36|The Seven</v>
      </c>
      <c r="T637" s="57" t="str">
        <f>IF($S637="","",IFERROR(VLOOKUP($S637,'Pop Estimates (Non-#d)'!$N$2:$O$500,2,FALSE),""))</f>
        <v/>
      </c>
      <c r="U637" s="57">
        <f t="shared" si="124"/>
        <v>7</v>
      </c>
      <c r="V637" s="53" t="str">
        <f t="shared" si="125"/>
        <v/>
      </c>
      <c r="W637" s="53" t="str">
        <f t="shared" si="126"/>
        <v/>
      </c>
      <c r="X637" s="53" t="str">
        <f t="shared" si="127"/>
        <v/>
      </c>
      <c r="Y637" s="57" t="str">
        <f>IF($X637="","",IFERROR(VLOOKUP($X637,'Char Popularity'!$A$2:$C$500,2,FALSE),""))</f>
        <v/>
      </c>
      <c r="Z637" s="56">
        <f>IF($X637="",1,IFERROR(VLOOKUP($X637,'Char Popularity'!$A$2:$C$500,3,FALSE),1))</f>
        <v>1</v>
      </c>
      <c r="AA637" s="62">
        <f>IF($H637&lt;&gt;"Y",0,(IF($F637&lt;&gt;"",ROUND(Dashboard!$R$4/$F637,1),IF(AND($I637="Base",$E637="Base"),Dashboard!$R$5,IF(AND($I637="Base",$E637="Red"),Dashboard!$R$6,IF(AND($I637="Base",$E637="Gold"),Dashboard!$R$7,VLOOKUP($I637,Dashboard!$Q$16:$R$21,2,FALSE)))))*VLOOKUP($I637,Dashboard!$Q$9:$R$13,2,FALSE)*IF(AND($I637="Auto",$F637="",OR($B637="Autographs Duals",$B637="Autographs Triples",$B637="Autographs Quads",$B637="Autographs Quads (Inscribed)")),IF($B637="Autographs Duals",2,IF($B637="Autographs Triples",3,4)),1)))</f>
        <v>142.9</v>
      </c>
      <c r="AB637" s="62">
        <f t="shared" si="128"/>
        <v>0</v>
      </c>
      <c r="AC637" s="62">
        <f t="shared" si="129"/>
        <v>0</v>
      </c>
    </row>
    <row r="638" spans="1:29" ht="42.95" customHeight="1" x14ac:dyDescent="0.25">
      <c r="A638" s="4" t="s">
        <v>17</v>
      </c>
      <c r="B638" s="7" t="s">
        <v>72</v>
      </c>
      <c r="C638" s="2" t="s">
        <v>1436</v>
      </c>
      <c r="D638" s="7" t="s">
        <v>917</v>
      </c>
      <c r="E638" s="4" t="s">
        <v>689</v>
      </c>
      <c r="F638" s="2">
        <v>7</v>
      </c>
      <c r="G638" s="2" t="s">
        <v>1399</v>
      </c>
      <c r="H638" s="2" t="s">
        <v>1400</v>
      </c>
      <c r="I638" s="4" t="s">
        <v>60</v>
      </c>
      <c r="J638" s="112">
        <f>IF($H638&lt;&gt;"Y",0,ROUND(MIN(Dashboard!$R$24,IF(IFERROR(VLOOKUP($B638,Dashboard!$Q$28:$S$60,2,FALSE),0)&gt;0,IFERROR(VLOOKUP($B638,Dashboard!$Q$28:$S$60,2,FALSE),0),$Z638*IF($U638&lt;&gt;"",ROUND((Dashboard!$R$4/$U638)*VLOOKUP($I638,Dashboard!$Q$9:$R$13,2,FALSE)*IF(ISNUMBER(SEARCH("Duals",$B638)),2,IF(ISNUMBER(SEARCH("Triples",$B638)),3,IF(ISNUMBER(SEARCH("Quads",$B638)),4,1))),2),ROUND(VLOOKUP($I638,Dashboard!$Q$15:$R$20,2,FALSE)*IF($E638="Red",Dashboard!$R$6,IF($E638="Gold",Dashboard!$R$7,Dashboard!$R$5))*IF(ISNUMBER(SEARCH("Duals",$B638)),2,IF(ISNUMBER(SEARCH("Triples",$B638)),3,IF(ISNUMBER(SEARCH("Quads",$B638)),4,1))),2))*IF(IFERROR(VLOOKUP($B638,Dashboard!$Q$28:$S$60,3,FALSE),0)&gt;0,VLOOKUP($B638,Dashboard!$Q$28:$S$60,3,FALSE),1))),0))</f>
        <v>143</v>
      </c>
      <c r="K638" s="2" t="str">
        <f>IF('Base S1'!I38="","",'Base S1'!I38)</f>
        <v/>
      </c>
      <c r="L638" s="2">
        <f t="shared" si="117"/>
        <v>0</v>
      </c>
      <c r="M638" s="2">
        <f t="shared" si="118"/>
        <v>0</v>
      </c>
      <c r="N638" s="2">
        <f t="shared" si="119"/>
        <v>0</v>
      </c>
      <c r="O638" s="2">
        <f t="shared" si="120"/>
        <v>1</v>
      </c>
      <c r="P638" s="112">
        <f t="shared" si="121"/>
        <v>0</v>
      </c>
      <c r="Q638" s="112">
        <f t="shared" si="122"/>
        <v>0</v>
      </c>
      <c r="R638" s="53"/>
      <c r="S638" s="53" t="str">
        <f t="shared" si="123"/>
        <v>Base S1|The Seven Parallel - Season 1|37|The Seven</v>
      </c>
      <c r="T638" s="57" t="str">
        <f>IF($S638="","",IFERROR(VLOOKUP($S638,'Pop Estimates (Non-#d)'!$N$2:$O$500,2,FALSE),""))</f>
        <v/>
      </c>
      <c r="U638" s="57">
        <f t="shared" si="124"/>
        <v>7</v>
      </c>
      <c r="V638" s="53" t="str">
        <f t="shared" si="125"/>
        <v/>
      </c>
      <c r="W638" s="53" t="str">
        <f t="shared" si="126"/>
        <v/>
      </c>
      <c r="X638" s="53" t="str">
        <f t="shared" si="127"/>
        <v/>
      </c>
      <c r="Y638" s="57" t="str">
        <f>IF($X638="","",IFERROR(VLOOKUP($X638,'Char Popularity'!$A$2:$C$500,2,FALSE),""))</f>
        <v/>
      </c>
      <c r="Z638" s="56">
        <f>IF($X638="",1,IFERROR(VLOOKUP($X638,'Char Popularity'!$A$2:$C$500,3,FALSE),1))</f>
        <v>1</v>
      </c>
      <c r="AA638" s="62">
        <f>IF($H638&lt;&gt;"Y",0,(IF($F638&lt;&gt;"",ROUND(Dashboard!$R$4/$F638,1),IF(AND($I638="Base",$E638="Base"),Dashboard!$R$5,IF(AND($I638="Base",$E638="Red"),Dashboard!$R$6,IF(AND($I638="Base",$E638="Gold"),Dashboard!$R$7,VLOOKUP($I638,Dashboard!$Q$16:$R$21,2,FALSE)))))*VLOOKUP($I638,Dashboard!$Q$9:$R$13,2,FALSE)*IF(AND($I638="Auto",$F638="",OR($B638="Autographs Duals",$B638="Autographs Triples",$B638="Autographs Quads",$B638="Autographs Quads (Inscribed)")),IF($B638="Autographs Duals",2,IF($B638="Autographs Triples",3,4)),1)))</f>
        <v>142.9</v>
      </c>
      <c r="AB638" s="62">
        <f t="shared" si="128"/>
        <v>0</v>
      </c>
      <c r="AC638" s="62">
        <f t="shared" si="129"/>
        <v>0</v>
      </c>
    </row>
    <row r="639" spans="1:29" ht="42.95" customHeight="1" x14ac:dyDescent="0.25">
      <c r="A639" s="4" t="s">
        <v>17</v>
      </c>
      <c r="B639" s="7" t="s">
        <v>72</v>
      </c>
      <c r="C639" s="2" t="s">
        <v>1437</v>
      </c>
      <c r="D639" s="7" t="s">
        <v>919</v>
      </c>
      <c r="E639" s="4" t="s">
        <v>689</v>
      </c>
      <c r="F639" s="2">
        <v>7</v>
      </c>
      <c r="G639" s="2" t="s">
        <v>1399</v>
      </c>
      <c r="H639" s="2" t="s">
        <v>1400</v>
      </c>
      <c r="I639" s="4" t="s">
        <v>60</v>
      </c>
      <c r="J639" s="112">
        <f>IF($H639&lt;&gt;"Y",0,ROUND(MIN(Dashboard!$R$24,IF(IFERROR(VLOOKUP($B639,Dashboard!$Q$28:$S$60,2,FALSE),0)&gt;0,IFERROR(VLOOKUP($B639,Dashboard!$Q$28:$S$60,2,FALSE),0),$Z639*IF($U639&lt;&gt;"",ROUND((Dashboard!$R$4/$U639)*VLOOKUP($I639,Dashboard!$Q$9:$R$13,2,FALSE)*IF(ISNUMBER(SEARCH("Duals",$B639)),2,IF(ISNUMBER(SEARCH("Triples",$B639)),3,IF(ISNUMBER(SEARCH("Quads",$B639)),4,1))),2),ROUND(VLOOKUP($I639,Dashboard!$Q$15:$R$20,2,FALSE)*IF($E639="Red",Dashboard!$R$6,IF($E639="Gold",Dashboard!$R$7,Dashboard!$R$5))*IF(ISNUMBER(SEARCH("Duals",$B639)),2,IF(ISNUMBER(SEARCH("Triples",$B639)),3,IF(ISNUMBER(SEARCH("Quads",$B639)),4,1))),2))*IF(IFERROR(VLOOKUP($B639,Dashboard!$Q$28:$S$60,3,FALSE),0)&gt;0,VLOOKUP($B639,Dashboard!$Q$28:$S$60,3,FALSE),1))),0))</f>
        <v>143</v>
      </c>
      <c r="K639" s="2" t="str">
        <f>IF('Base S1'!I39="","",'Base S1'!I39)</f>
        <v>C 5/7</v>
      </c>
      <c r="L639" s="2">
        <f t="shared" si="117"/>
        <v>1</v>
      </c>
      <c r="M639" s="2">
        <f t="shared" si="118"/>
        <v>0</v>
      </c>
      <c r="N639" s="2">
        <f t="shared" si="119"/>
        <v>1</v>
      </c>
      <c r="O639" s="2">
        <f t="shared" si="120"/>
        <v>0</v>
      </c>
      <c r="P639" s="112">
        <f t="shared" si="121"/>
        <v>143</v>
      </c>
      <c r="Q639" s="112">
        <f t="shared" si="122"/>
        <v>0</v>
      </c>
      <c r="R639" s="53"/>
      <c r="S639" s="53" t="str">
        <f t="shared" si="123"/>
        <v>Base S1|The Seven Parallel - Season 1|38|The Seven</v>
      </c>
      <c r="T639" s="57" t="str">
        <f>IF($S639="","",IFERROR(VLOOKUP($S639,'Pop Estimates (Non-#d)'!$N$2:$O$500,2,FALSE),""))</f>
        <v/>
      </c>
      <c r="U639" s="57">
        <f t="shared" si="124"/>
        <v>7</v>
      </c>
      <c r="V639" s="53" t="str">
        <f t="shared" si="125"/>
        <v/>
      </c>
      <c r="W639" s="53" t="str">
        <f t="shared" si="126"/>
        <v/>
      </c>
      <c r="X639" s="53" t="str">
        <f t="shared" si="127"/>
        <v/>
      </c>
      <c r="Y639" s="57" t="str">
        <f>IF($X639="","",IFERROR(VLOOKUP($X639,'Char Popularity'!$A$2:$C$500,2,FALSE),""))</f>
        <v/>
      </c>
      <c r="Z639" s="56">
        <f>IF($X639="",1,IFERROR(VLOOKUP($X639,'Char Popularity'!$A$2:$C$500,3,FALSE),1))</f>
        <v>1</v>
      </c>
      <c r="AA639" s="62">
        <f>IF($H639&lt;&gt;"Y",0,(IF($F639&lt;&gt;"",ROUND(Dashboard!$R$4/$F639,1),IF(AND($I639="Base",$E639="Base"),Dashboard!$R$5,IF(AND($I639="Base",$E639="Red"),Dashboard!$R$6,IF(AND($I639="Base",$E639="Gold"),Dashboard!$R$7,VLOOKUP($I639,Dashboard!$Q$16:$R$21,2,FALSE)))))*VLOOKUP($I639,Dashboard!$Q$9:$R$13,2,FALSE)*IF(AND($I639="Auto",$F639="",OR($B639="Autographs Duals",$B639="Autographs Triples",$B639="Autographs Quads",$B639="Autographs Quads (Inscribed)")),IF($B639="Autographs Duals",2,IF($B639="Autographs Triples",3,4)),1)))</f>
        <v>142.9</v>
      </c>
      <c r="AB639" s="62">
        <f t="shared" si="128"/>
        <v>142.9</v>
      </c>
      <c r="AC639" s="62">
        <f t="shared" si="129"/>
        <v>0</v>
      </c>
    </row>
    <row r="640" spans="1:29" ht="42.95" customHeight="1" x14ac:dyDescent="0.25">
      <c r="A640" s="4" t="s">
        <v>17</v>
      </c>
      <c r="B640" s="7" t="s">
        <v>72</v>
      </c>
      <c r="C640" s="2" t="s">
        <v>1438</v>
      </c>
      <c r="D640" s="7" t="s">
        <v>920</v>
      </c>
      <c r="E640" s="4" t="s">
        <v>689</v>
      </c>
      <c r="F640" s="2">
        <v>7</v>
      </c>
      <c r="G640" s="2" t="s">
        <v>1399</v>
      </c>
      <c r="H640" s="2" t="s">
        <v>1400</v>
      </c>
      <c r="I640" s="4" t="s">
        <v>60</v>
      </c>
      <c r="J640" s="112">
        <f>IF($H640&lt;&gt;"Y",0,ROUND(MIN(Dashboard!$R$24,IF(IFERROR(VLOOKUP($B640,Dashboard!$Q$28:$S$60,2,FALSE),0)&gt;0,IFERROR(VLOOKUP($B640,Dashboard!$Q$28:$S$60,2,FALSE),0),$Z640*IF($U640&lt;&gt;"",ROUND((Dashboard!$R$4/$U640)*VLOOKUP($I640,Dashboard!$Q$9:$R$13,2,FALSE)*IF(ISNUMBER(SEARCH("Duals",$B640)),2,IF(ISNUMBER(SEARCH("Triples",$B640)),3,IF(ISNUMBER(SEARCH("Quads",$B640)),4,1))),2),ROUND(VLOOKUP($I640,Dashboard!$Q$15:$R$20,2,FALSE)*IF($E640="Red",Dashboard!$R$6,IF($E640="Gold",Dashboard!$R$7,Dashboard!$R$5))*IF(ISNUMBER(SEARCH("Duals",$B640)),2,IF(ISNUMBER(SEARCH("Triples",$B640)),3,IF(ISNUMBER(SEARCH("Quads",$B640)),4,1))),2))*IF(IFERROR(VLOOKUP($B640,Dashboard!$Q$28:$S$60,3,FALSE),0)&gt;0,VLOOKUP($B640,Dashboard!$Q$28:$S$60,3,FALSE),1))),0))</f>
        <v>143</v>
      </c>
      <c r="K640" s="2" t="str">
        <f>IF('Base S1'!I40="","",'Base S1'!I40)</f>
        <v>C 7/7</v>
      </c>
      <c r="L640" s="2">
        <f t="shared" si="117"/>
        <v>1</v>
      </c>
      <c r="M640" s="2">
        <f t="shared" si="118"/>
        <v>0</v>
      </c>
      <c r="N640" s="2">
        <f t="shared" si="119"/>
        <v>1</v>
      </c>
      <c r="O640" s="2">
        <f t="shared" si="120"/>
        <v>0</v>
      </c>
      <c r="P640" s="112">
        <f t="shared" si="121"/>
        <v>143</v>
      </c>
      <c r="Q640" s="112">
        <f t="shared" si="122"/>
        <v>0</v>
      </c>
      <c r="R640" s="53"/>
      <c r="S640" s="53" t="str">
        <f t="shared" si="123"/>
        <v>Base S1|The Seven Parallel - Season 1|39|The Seven</v>
      </c>
      <c r="T640" s="57" t="str">
        <f>IF($S640="","",IFERROR(VLOOKUP($S640,'Pop Estimates (Non-#d)'!$N$2:$O$500,2,FALSE),""))</f>
        <v/>
      </c>
      <c r="U640" s="57">
        <f t="shared" si="124"/>
        <v>7</v>
      </c>
      <c r="V640" s="53" t="str">
        <f t="shared" si="125"/>
        <v/>
      </c>
      <c r="W640" s="53" t="str">
        <f t="shared" si="126"/>
        <v/>
      </c>
      <c r="X640" s="53" t="str">
        <f t="shared" si="127"/>
        <v/>
      </c>
      <c r="Y640" s="57" t="str">
        <f>IF($X640="","",IFERROR(VLOOKUP($X640,'Char Popularity'!$A$2:$C$500,2,FALSE),""))</f>
        <v/>
      </c>
      <c r="Z640" s="56">
        <f>IF($X640="",1,IFERROR(VLOOKUP($X640,'Char Popularity'!$A$2:$C$500,3,FALSE),1))</f>
        <v>1</v>
      </c>
      <c r="AA640" s="62">
        <f>IF($H640&lt;&gt;"Y",0,(IF($F640&lt;&gt;"",ROUND(Dashboard!$R$4/$F640,1),IF(AND($I640="Base",$E640="Base"),Dashboard!$R$5,IF(AND($I640="Base",$E640="Red"),Dashboard!$R$6,IF(AND($I640="Base",$E640="Gold"),Dashboard!$R$7,VLOOKUP($I640,Dashboard!$Q$16:$R$21,2,FALSE)))))*VLOOKUP($I640,Dashboard!$Q$9:$R$13,2,FALSE)*IF(AND($I640="Auto",$F640="",OR($B640="Autographs Duals",$B640="Autographs Triples",$B640="Autographs Quads",$B640="Autographs Quads (Inscribed)")),IF($B640="Autographs Duals",2,IF($B640="Autographs Triples",3,4)),1)))</f>
        <v>142.9</v>
      </c>
      <c r="AB640" s="62">
        <f t="shared" si="128"/>
        <v>142.9</v>
      </c>
      <c r="AC640" s="62">
        <f t="shared" si="129"/>
        <v>0</v>
      </c>
    </row>
    <row r="641" spans="1:29" ht="42.95" customHeight="1" x14ac:dyDescent="0.25">
      <c r="A641" s="4" t="s">
        <v>17</v>
      </c>
      <c r="B641" s="7" t="s">
        <v>72</v>
      </c>
      <c r="C641" s="2" t="s">
        <v>1439</v>
      </c>
      <c r="D641" s="7" t="s">
        <v>922</v>
      </c>
      <c r="E641" s="4" t="s">
        <v>689</v>
      </c>
      <c r="F641" s="2">
        <v>7</v>
      </c>
      <c r="G641" s="2" t="s">
        <v>1399</v>
      </c>
      <c r="H641" s="2" t="s">
        <v>1400</v>
      </c>
      <c r="I641" s="4" t="s">
        <v>60</v>
      </c>
      <c r="J641" s="112">
        <f>IF($H641&lt;&gt;"Y",0,ROUND(MIN(Dashboard!$R$24,IF(IFERROR(VLOOKUP($B641,Dashboard!$Q$28:$S$60,2,FALSE),0)&gt;0,IFERROR(VLOOKUP($B641,Dashboard!$Q$28:$S$60,2,FALSE),0),$Z641*IF($U641&lt;&gt;"",ROUND((Dashboard!$R$4/$U641)*VLOOKUP($I641,Dashboard!$Q$9:$R$13,2,FALSE)*IF(ISNUMBER(SEARCH("Duals",$B641)),2,IF(ISNUMBER(SEARCH("Triples",$B641)),3,IF(ISNUMBER(SEARCH("Quads",$B641)),4,1))),2),ROUND(VLOOKUP($I641,Dashboard!$Q$15:$R$20,2,FALSE)*IF($E641="Red",Dashboard!$R$6,IF($E641="Gold",Dashboard!$R$7,Dashboard!$R$5))*IF(ISNUMBER(SEARCH("Duals",$B641)),2,IF(ISNUMBER(SEARCH("Triples",$B641)),3,IF(ISNUMBER(SEARCH("Quads",$B641)),4,1))),2))*IF(IFERROR(VLOOKUP($B641,Dashboard!$Q$28:$S$60,3,FALSE),0)&gt;0,VLOOKUP($B641,Dashboard!$Q$28:$S$60,3,FALSE),1))),0))</f>
        <v>143</v>
      </c>
      <c r="K641" s="2" t="str">
        <f>IF('Base S1'!I41="","",'Base S1'!I41)</f>
        <v/>
      </c>
      <c r="L641" s="2">
        <f t="shared" si="117"/>
        <v>0</v>
      </c>
      <c r="M641" s="2">
        <f t="shared" si="118"/>
        <v>0</v>
      </c>
      <c r="N641" s="2">
        <f t="shared" si="119"/>
        <v>0</v>
      </c>
      <c r="O641" s="2">
        <f t="shared" si="120"/>
        <v>1</v>
      </c>
      <c r="P641" s="112">
        <f t="shared" si="121"/>
        <v>0</v>
      </c>
      <c r="Q641" s="112">
        <f t="shared" si="122"/>
        <v>0</v>
      </c>
      <c r="R641" s="53"/>
      <c r="S641" s="53" t="str">
        <f t="shared" si="123"/>
        <v>Base S1|The Seven Parallel - Season 1|40|The Seven</v>
      </c>
      <c r="T641" s="57" t="str">
        <f>IF($S641="","",IFERROR(VLOOKUP($S641,'Pop Estimates (Non-#d)'!$N$2:$O$500,2,FALSE),""))</f>
        <v/>
      </c>
      <c r="U641" s="57">
        <f t="shared" si="124"/>
        <v>7</v>
      </c>
      <c r="V641" s="53" t="str">
        <f t="shared" si="125"/>
        <v/>
      </c>
      <c r="W641" s="53" t="str">
        <f t="shared" si="126"/>
        <v/>
      </c>
      <c r="X641" s="53" t="str">
        <f t="shared" si="127"/>
        <v/>
      </c>
      <c r="Y641" s="57" t="str">
        <f>IF($X641="","",IFERROR(VLOOKUP($X641,'Char Popularity'!$A$2:$C$500,2,FALSE),""))</f>
        <v/>
      </c>
      <c r="Z641" s="56">
        <f>IF($X641="",1,IFERROR(VLOOKUP($X641,'Char Popularity'!$A$2:$C$500,3,FALSE),1))</f>
        <v>1</v>
      </c>
      <c r="AA641" s="62">
        <f>IF($H641&lt;&gt;"Y",0,(IF($F641&lt;&gt;"",ROUND(Dashboard!$R$4/$F641,1),IF(AND($I641="Base",$E641="Base"),Dashboard!$R$5,IF(AND($I641="Base",$E641="Red"),Dashboard!$R$6,IF(AND($I641="Base",$E641="Gold"),Dashboard!$R$7,VLOOKUP($I641,Dashboard!$Q$16:$R$21,2,FALSE)))))*VLOOKUP($I641,Dashboard!$Q$9:$R$13,2,FALSE)*IF(AND($I641="Auto",$F641="",OR($B641="Autographs Duals",$B641="Autographs Triples",$B641="Autographs Quads",$B641="Autographs Quads (Inscribed)")),IF($B641="Autographs Duals",2,IF($B641="Autographs Triples",3,4)),1)))</f>
        <v>142.9</v>
      </c>
      <c r="AB641" s="62">
        <f t="shared" si="128"/>
        <v>0</v>
      </c>
      <c r="AC641" s="62">
        <f t="shared" si="129"/>
        <v>0</v>
      </c>
    </row>
    <row r="642" spans="1:29" ht="42.95" customHeight="1" x14ac:dyDescent="0.25">
      <c r="A642" s="4" t="s">
        <v>17</v>
      </c>
      <c r="B642" s="7" t="s">
        <v>72</v>
      </c>
      <c r="C642" s="2" t="s">
        <v>1440</v>
      </c>
      <c r="D642" s="7" t="s">
        <v>925</v>
      </c>
      <c r="E642" s="4" t="s">
        <v>689</v>
      </c>
      <c r="F642" s="2">
        <v>7</v>
      </c>
      <c r="G642" s="2" t="s">
        <v>1399</v>
      </c>
      <c r="H642" s="2" t="s">
        <v>1400</v>
      </c>
      <c r="I642" s="4" t="s">
        <v>60</v>
      </c>
      <c r="J642" s="112">
        <f>IF($H642&lt;&gt;"Y",0,ROUND(MIN(Dashboard!$R$24,IF(IFERROR(VLOOKUP($B642,Dashboard!$Q$28:$S$60,2,FALSE),0)&gt;0,IFERROR(VLOOKUP($B642,Dashboard!$Q$28:$S$60,2,FALSE),0),$Z642*IF($U642&lt;&gt;"",ROUND((Dashboard!$R$4/$U642)*VLOOKUP($I642,Dashboard!$Q$9:$R$13,2,FALSE)*IF(ISNUMBER(SEARCH("Duals",$B642)),2,IF(ISNUMBER(SEARCH("Triples",$B642)),3,IF(ISNUMBER(SEARCH("Quads",$B642)),4,1))),2),ROUND(VLOOKUP($I642,Dashboard!$Q$15:$R$20,2,FALSE)*IF($E642="Red",Dashboard!$R$6,IF($E642="Gold",Dashboard!$R$7,Dashboard!$R$5))*IF(ISNUMBER(SEARCH("Duals",$B642)),2,IF(ISNUMBER(SEARCH("Triples",$B642)),3,IF(ISNUMBER(SEARCH("Quads",$B642)),4,1))),2))*IF(IFERROR(VLOOKUP($B642,Dashboard!$Q$28:$S$60,3,FALSE),0)&gt;0,VLOOKUP($B642,Dashboard!$Q$28:$S$60,3,FALSE),1))),0))</f>
        <v>143</v>
      </c>
      <c r="K642" s="2" t="str">
        <f>IF('Base S1'!I42="","",'Base S1'!I42)</f>
        <v/>
      </c>
      <c r="L642" s="2">
        <f t="shared" ref="L642:L705" si="130">IF(AND($K642&lt;&gt;"",LEFT($K642,1)&lt;&gt;"Y"),1,0)</f>
        <v>0</v>
      </c>
      <c r="M642" s="2">
        <f t="shared" ref="M642:M705" si="131">IF(LEFT($K642,1)="Y",1,0)</f>
        <v>0</v>
      </c>
      <c r="N642" s="2">
        <f t="shared" ref="N642:N705" si="132">$L642+$M642</f>
        <v>0</v>
      </c>
      <c r="O642" s="2">
        <f t="shared" ref="O642:O705" si="133">IF($H642="Y",1-$N642,0)</f>
        <v>1</v>
      </c>
      <c r="P642" s="112">
        <f t="shared" ref="P642:P705" si="134">IF($L642=1,$J642,0)</f>
        <v>0</v>
      </c>
      <c r="Q642" s="112">
        <f t="shared" ref="Q642:Q705" si="135">IF($M642=1,$J642,0)</f>
        <v>0</v>
      </c>
      <c r="R642" s="53"/>
      <c r="S642" s="53" t="str">
        <f t="shared" ref="S642:S705" si="136">IF($A642="","",$A642&amp;"|"&amp;$B642&amp;"|"&amp;$C642&amp;"|"&amp;$E642)</f>
        <v>Base S1|The Seven Parallel - Season 1|41|The Seven</v>
      </c>
      <c r="T642" s="57" t="str">
        <f>IF($S642="","",IFERROR(VLOOKUP($S642,'Pop Estimates (Non-#d)'!$N$2:$O$500,2,FALSE),""))</f>
        <v/>
      </c>
      <c r="U642" s="57">
        <f t="shared" ref="U642:U705" si="137">IF($A642="","",IF($F642&lt;&gt;"",$F642,$T642))</f>
        <v>7</v>
      </c>
      <c r="V642" s="53" t="str">
        <f t="shared" ref="V642:V705" si="138">IF($A642="","",IF(ISNUMBER(SEARCH(" as ",$D642)),MID($D642,SEARCH(" as ",$D642)+4,255),IF(ISNUMBER(SEARCH("/",$D642)),LEFT($D642,FIND("/",$D642&amp;"/")-1),"")))</f>
        <v/>
      </c>
      <c r="W642" s="53" t="str">
        <f t="shared" ref="W642:W705" si="139">IF($V642="","",TRIM(IFERROR(MID($V642,SEARCH("(", $V642)+1,SEARCH(")",$V642)-SEARCH("(", $V642)-1),$V642)))</f>
        <v/>
      </c>
      <c r="X642" s="53" t="str">
        <f t="shared" ref="X642:X705" si="140">IF($W642="","",TRIM(LEFT($W642&amp;"""",FIND("""",$W642&amp;"""")-1)))</f>
        <v/>
      </c>
      <c r="Y642" s="57" t="str">
        <f>IF($X642="","",IFERROR(VLOOKUP($X642,'Char Popularity'!$A$2:$C$500,2,FALSE),""))</f>
        <v/>
      </c>
      <c r="Z642" s="56">
        <f>IF($X642="",1,IFERROR(VLOOKUP($X642,'Char Popularity'!$A$2:$C$500,3,FALSE),1))</f>
        <v>1</v>
      </c>
      <c r="AA642" s="62">
        <f>IF($H642&lt;&gt;"Y",0,(IF($F642&lt;&gt;"",ROUND(Dashboard!$R$4/$F642,1),IF(AND($I642="Base",$E642="Base"),Dashboard!$R$5,IF(AND($I642="Base",$E642="Red"),Dashboard!$R$6,IF(AND($I642="Base",$E642="Gold"),Dashboard!$R$7,VLOOKUP($I642,Dashboard!$Q$16:$R$21,2,FALSE)))))*VLOOKUP($I642,Dashboard!$Q$9:$R$13,2,FALSE)*IF(AND($I642="Auto",$F642="",OR($B642="Autographs Duals",$B642="Autographs Triples",$B642="Autographs Quads",$B642="Autographs Quads (Inscribed)")),IF($B642="Autographs Duals",2,IF($B642="Autographs Triples",3,4)),1)))</f>
        <v>142.9</v>
      </c>
      <c r="AB642" s="62">
        <f t="shared" ref="AB642:AB705" si="141">IF($L642=1,$AA642,0)</f>
        <v>0</v>
      </c>
      <c r="AC642" s="62">
        <f t="shared" ref="AC642:AC705" si="142">IF($M642=1,$AA642,0)</f>
        <v>0</v>
      </c>
    </row>
    <row r="643" spans="1:29" ht="42.95" customHeight="1" x14ac:dyDescent="0.25">
      <c r="A643" s="4" t="s">
        <v>17</v>
      </c>
      <c r="B643" s="7" t="s">
        <v>72</v>
      </c>
      <c r="C643" s="2" t="s">
        <v>1441</v>
      </c>
      <c r="D643" s="7" t="s">
        <v>926</v>
      </c>
      <c r="E643" s="4" t="s">
        <v>689</v>
      </c>
      <c r="F643" s="2">
        <v>7</v>
      </c>
      <c r="G643" s="2" t="s">
        <v>1399</v>
      </c>
      <c r="H643" s="2" t="s">
        <v>1400</v>
      </c>
      <c r="I643" s="4" t="s">
        <v>60</v>
      </c>
      <c r="J643" s="112">
        <f>IF($H643&lt;&gt;"Y",0,ROUND(MIN(Dashboard!$R$24,IF(IFERROR(VLOOKUP($B643,Dashboard!$Q$28:$S$60,2,FALSE),0)&gt;0,IFERROR(VLOOKUP($B643,Dashboard!$Q$28:$S$60,2,FALSE),0),$Z643*IF($U643&lt;&gt;"",ROUND((Dashboard!$R$4/$U643)*VLOOKUP($I643,Dashboard!$Q$9:$R$13,2,FALSE)*IF(ISNUMBER(SEARCH("Duals",$B643)),2,IF(ISNUMBER(SEARCH("Triples",$B643)),3,IF(ISNUMBER(SEARCH("Quads",$B643)),4,1))),2),ROUND(VLOOKUP($I643,Dashboard!$Q$15:$R$20,2,FALSE)*IF($E643="Red",Dashboard!$R$6,IF($E643="Gold",Dashboard!$R$7,Dashboard!$R$5))*IF(ISNUMBER(SEARCH("Duals",$B643)),2,IF(ISNUMBER(SEARCH("Triples",$B643)),3,IF(ISNUMBER(SEARCH("Quads",$B643)),4,1))),2))*IF(IFERROR(VLOOKUP($B643,Dashboard!$Q$28:$S$60,3,FALSE),0)&gt;0,VLOOKUP($B643,Dashboard!$Q$28:$S$60,3,FALSE),1))),0))</f>
        <v>143</v>
      </c>
      <c r="K643" s="2" t="str">
        <f>IF('Base S1'!I43="","",'Base S1'!I43)</f>
        <v/>
      </c>
      <c r="L643" s="2">
        <f t="shared" si="130"/>
        <v>0</v>
      </c>
      <c r="M643" s="2">
        <f t="shared" si="131"/>
        <v>0</v>
      </c>
      <c r="N643" s="2">
        <f t="shared" si="132"/>
        <v>0</v>
      </c>
      <c r="O643" s="2">
        <f t="shared" si="133"/>
        <v>1</v>
      </c>
      <c r="P643" s="112">
        <f t="shared" si="134"/>
        <v>0</v>
      </c>
      <c r="Q643" s="112">
        <f t="shared" si="135"/>
        <v>0</v>
      </c>
      <c r="R643" s="53"/>
      <c r="S643" s="53" t="str">
        <f t="shared" si="136"/>
        <v>Base S1|The Seven Parallel - Season 1|42|The Seven</v>
      </c>
      <c r="T643" s="57" t="str">
        <f>IF($S643="","",IFERROR(VLOOKUP($S643,'Pop Estimates (Non-#d)'!$N$2:$O$500,2,FALSE),""))</f>
        <v/>
      </c>
      <c r="U643" s="57">
        <f t="shared" si="137"/>
        <v>7</v>
      </c>
      <c r="V643" s="53" t="str">
        <f t="shared" si="138"/>
        <v/>
      </c>
      <c r="W643" s="53" t="str">
        <f t="shared" si="139"/>
        <v/>
      </c>
      <c r="X643" s="53" t="str">
        <f t="shared" si="140"/>
        <v/>
      </c>
      <c r="Y643" s="57" t="str">
        <f>IF($X643="","",IFERROR(VLOOKUP($X643,'Char Popularity'!$A$2:$C$500,2,FALSE),""))</f>
        <v/>
      </c>
      <c r="Z643" s="56">
        <f>IF($X643="",1,IFERROR(VLOOKUP($X643,'Char Popularity'!$A$2:$C$500,3,FALSE),1))</f>
        <v>1</v>
      </c>
      <c r="AA643" s="62">
        <f>IF($H643&lt;&gt;"Y",0,(IF($F643&lt;&gt;"",ROUND(Dashboard!$R$4/$F643,1),IF(AND($I643="Base",$E643="Base"),Dashboard!$R$5,IF(AND($I643="Base",$E643="Red"),Dashboard!$R$6,IF(AND($I643="Base",$E643="Gold"),Dashboard!$R$7,VLOOKUP($I643,Dashboard!$Q$16:$R$21,2,FALSE)))))*VLOOKUP($I643,Dashboard!$Q$9:$R$13,2,FALSE)*IF(AND($I643="Auto",$F643="",OR($B643="Autographs Duals",$B643="Autographs Triples",$B643="Autographs Quads",$B643="Autographs Quads (Inscribed)")),IF($B643="Autographs Duals",2,IF($B643="Autographs Triples",3,4)),1)))</f>
        <v>142.9</v>
      </c>
      <c r="AB643" s="62">
        <f t="shared" si="141"/>
        <v>0</v>
      </c>
      <c r="AC643" s="62">
        <f t="shared" si="142"/>
        <v>0</v>
      </c>
    </row>
    <row r="644" spans="1:29" ht="42.95" customHeight="1" x14ac:dyDescent="0.25">
      <c r="A644" s="4" t="s">
        <v>17</v>
      </c>
      <c r="B644" s="7" t="s">
        <v>72</v>
      </c>
      <c r="C644" s="2" t="s">
        <v>1442</v>
      </c>
      <c r="D644" s="7" t="s">
        <v>928</v>
      </c>
      <c r="E644" s="4" t="s">
        <v>689</v>
      </c>
      <c r="F644" s="2">
        <v>7</v>
      </c>
      <c r="G644" s="2" t="s">
        <v>1399</v>
      </c>
      <c r="H644" s="2" t="s">
        <v>1400</v>
      </c>
      <c r="I644" s="4" t="s">
        <v>60</v>
      </c>
      <c r="J644" s="112">
        <f>IF($H644&lt;&gt;"Y",0,ROUND(MIN(Dashboard!$R$24,IF(IFERROR(VLOOKUP($B644,Dashboard!$Q$28:$S$60,2,FALSE),0)&gt;0,IFERROR(VLOOKUP($B644,Dashboard!$Q$28:$S$60,2,FALSE),0),$Z644*IF($U644&lt;&gt;"",ROUND((Dashboard!$R$4/$U644)*VLOOKUP($I644,Dashboard!$Q$9:$R$13,2,FALSE)*IF(ISNUMBER(SEARCH("Duals",$B644)),2,IF(ISNUMBER(SEARCH("Triples",$B644)),3,IF(ISNUMBER(SEARCH("Quads",$B644)),4,1))),2),ROUND(VLOOKUP($I644,Dashboard!$Q$15:$R$20,2,FALSE)*IF($E644="Red",Dashboard!$R$6,IF($E644="Gold",Dashboard!$R$7,Dashboard!$R$5))*IF(ISNUMBER(SEARCH("Duals",$B644)),2,IF(ISNUMBER(SEARCH("Triples",$B644)),3,IF(ISNUMBER(SEARCH("Quads",$B644)),4,1))),2))*IF(IFERROR(VLOOKUP($B644,Dashboard!$Q$28:$S$60,3,FALSE),0)&gt;0,VLOOKUP($B644,Dashboard!$Q$28:$S$60,3,FALSE),1))),0))</f>
        <v>143</v>
      </c>
      <c r="K644" s="2" t="str">
        <f>IF('Base S1'!I44="","",'Base S1'!I44)</f>
        <v/>
      </c>
      <c r="L644" s="2">
        <f t="shared" si="130"/>
        <v>0</v>
      </c>
      <c r="M644" s="2">
        <f t="shared" si="131"/>
        <v>0</v>
      </c>
      <c r="N644" s="2">
        <f t="shared" si="132"/>
        <v>0</v>
      </c>
      <c r="O644" s="2">
        <f t="shared" si="133"/>
        <v>1</v>
      </c>
      <c r="P644" s="112">
        <f t="shared" si="134"/>
        <v>0</v>
      </c>
      <c r="Q644" s="112">
        <f t="shared" si="135"/>
        <v>0</v>
      </c>
      <c r="R644" s="53"/>
      <c r="S644" s="53" t="str">
        <f t="shared" si="136"/>
        <v>Base S1|The Seven Parallel - Season 1|43|The Seven</v>
      </c>
      <c r="T644" s="57" t="str">
        <f>IF($S644="","",IFERROR(VLOOKUP($S644,'Pop Estimates (Non-#d)'!$N$2:$O$500,2,FALSE),""))</f>
        <v/>
      </c>
      <c r="U644" s="57">
        <f t="shared" si="137"/>
        <v>7</v>
      </c>
      <c r="V644" s="53" t="str">
        <f t="shared" si="138"/>
        <v/>
      </c>
      <c r="W644" s="53" t="str">
        <f t="shared" si="139"/>
        <v/>
      </c>
      <c r="X644" s="53" t="str">
        <f t="shared" si="140"/>
        <v/>
      </c>
      <c r="Y644" s="57" t="str">
        <f>IF($X644="","",IFERROR(VLOOKUP($X644,'Char Popularity'!$A$2:$C$500,2,FALSE),""))</f>
        <v/>
      </c>
      <c r="Z644" s="56">
        <f>IF($X644="",1,IFERROR(VLOOKUP($X644,'Char Popularity'!$A$2:$C$500,3,FALSE),1))</f>
        <v>1</v>
      </c>
      <c r="AA644" s="62">
        <f>IF($H644&lt;&gt;"Y",0,(IF($F644&lt;&gt;"",ROUND(Dashboard!$R$4/$F644,1),IF(AND($I644="Base",$E644="Base"),Dashboard!$R$5,IF(AND($I644="Base",$E644="Red"),Dashboard!$R$6,IF(AND($I644="Base",$E644="Gold"),Dashboard!$R$7,VLOOKUP($I644,Dashboard!$Q$16:$R$21,2,FALSE)))))*VLOOKUP($I644,Dashboard!$Q$9:$R$13,2,FALSE)*IF(AND($I644="Auto",$F644="",OR($B644="Autographs Duals",$B644="Autographs Triples",$B644="Autographs Quads",$B644="Autographs Quads (Inscribed)")),IF($B644="Autographs Duals",2,IF($B644="Autographs Triples",3,4)),1)))</f>
        <v>142.9</v>
      </c>
      <c r="AB644" s="62">
        <f t="shared" si="141"/>
        <v>0</v>
      </c>
      <c r="AC644" s="62">
        <f t="shared" si="142"/>
        <v>0</v>
      </c>
    </row>
    <row r="645" spans="1:29" ht="42.95" customHeight="1" x14ac:dyDescent="0.25">
      <c r="A645" s="4" t="s">
        <v>17</v>
      </c>
      <c r="B645" s="7" t="s">
        <v>72</v>
      </c>
      <c r="C645" s="2" t="s">
        <v>1443</v>
      </c>
      <c r="D645" s="7" t="s">
        <v>930</v>
      </c>
      <c r="E645" s="4" t="s">
        <v>689</v>
      </c>
      <c r="F645" s="2">
        <v>7</v>
      </c>
      <c r="G645" s="2" t="s">
        <v>1399</v>
      </c>
      <c r="H645" s="2" t="s">
        <v>1400</v>
      </c>
      <c r="I645" s="4" t="s">
        <v>60</v>
      </c>
      <c r="J645" s="112">
        <f>IF($H645&lt;&gt;"Y",0,ROUND(MIN(Dashboard!$R$24,IF(IFERROR(VLOOKUP($B645,Dashboard!$Q$28:$S$60,2,FALSE),0)&gt;0,IFERROR(VLOOKUP($B645,Dashboard!$Q$28:$S$60,2,FALSE),0),$Z645*IF($U645&lt;&gt;"",ROUND((Dashboard!$R$4/$U645)*VLOOKUP($I645,Dashboard!$Q$9:$R$13,2,FALSE)*IF(ISNUMBER(SEARCH("Duals",$B645)),2,IF(ISNUMBER(SEARCH("Triples",$B645)),3,IF(ISNUMBER(SEARCH("Quads",$B645)),4,1))),2),ROUND(VLOOKUP($I645,Dashboard!$Q$15:$R$20,2,FALSE)*IF($E645="Red",Dashboard!$R$6,IF($E645="Gold",Dashboard!$R$7,Dashboard!$R$5))*IF(ISNUMBER(SEARCH("Duals",$B645)),2,IF(ISNUMBER(SEARCH("Triples",$B645)),3,IF(ISNUMBER(SEARCH("Quads",$B645)),4,1))),2))*IF(IFERROR(VLOOKUP($B645,Dashboard!$Q$28:$S$60,3,FALSE),0)&gt;0,VLOOKUP($B645,Dashboard!$Q$28:$S$60,3,FALSE),1))),0))</f>
        <v>143</v>
      </c>
      <c r="K645" s="2" t="str">
        <f>IF('Base S1'!I45="","",'Base S1'!I45)</f>
        <v/>
      </c>
      <c r="L645" s="2">
        <f t="shared" si="130"/>
        <v>0</v>
      </c>
      <c r="M645" s="2">
        <f t="shared" si="131"/>
        <v>0</v>
      </c>
      <c r="N645" s="2">
        <f t="shared" si="132"/>
        <v>0</v>
      </c>
      <c r="O645" s="2">
        <f t="shared" si="133"/>
        <v>1</v>
      </c>
      <c r="P645" s="112">
        <f t="shared" si="134"/>
        <v>0</v>
      </c>
      <c r="Q645" s="112">
        <f t="shared" si="135"/>
        <v>0</v>
      </c>
      <c r="R645" s="53"/>
      <c r="S645" s="53" t="str">
        <f t="shared" si="136"/>
        <v>Base S1|The Seven Parallel - Season 1|44|The Seven</v>
      </c>
      <c r="T645" s="57" t="str">
        <f>IF($S645="","",IFERROR(VLOOKUP($S645,'Pop Estimates (Non-#d)'!$N$2:$O$500,2,FALSE),""))</f>
        <v/>
      </c>
      <c r="U645" s="57">
        <f t="shared" si="137"/>
        <v>7</v>
      </c>
      <c r="V645" s="53" t="str">
        <f t="shared" si="138"/>
        <v/>
      </c>
      <c r="W645" s="53" t="str">
        <f t="shared" si="139"/>
        <v/>
      </c>
      <c r="X645" s="53" t="str">
        <f t="shared" si="140"/>
        <v/>
      </c>
      <c r="Y645" s="57" t="str">
        <f>IF($X645="","",IFERROR(VLOOKUP($X645,'Char Popularity'!$A$2:$C$500,2,FALSE),""))</f>
        <v/>
      </c>
      <c r="Z645" s="56">
        <f>IF($X645="",1,IFERROR(VLOOKUP($X645,'Char Popularity'!$A$2:$C$500,3,FALSE),1))</f>
        <v>1</v>
      </c>
      <c r="AA645" s="62">
        <f>IF($H645&lt;&gt;"Y",0,(IF($F645&lt;&gt;"",ROUND(Dashboard!$R$4/$F645,1),IF(AND($I645="Base",$E645="Base"),Dashboard!$R$5,IF(AND($I645="Base",$E645="Red"),Dashboard!$R$6,IF(AND($I645="Base",$E645="Gold"),Dashboard!$R$7,VLOOKUP($I645,Dashboard!$Q$16:$R$21,2,FALSE)))))*VLOOKUP($I645,Dashboard!$Q$9:$R$13,2,FALSE)*IF(AND($I645="Auto",$F645="",OR($B645="Autographs Duals",$B645="Autographs Triples",$B645="Autographs Quads",$B645="Autographs Quads (Inscribed)")),IF($B645="Autographs Duals",2,IF($B645="Autographs Triples",3,4)),1)))</f>
        <v>142.9</v>
      </c>
      <c r="AB645" s="62">
        <f t="shared" si="141"/>
        <v>0</v>
      </c>
      <c r="AC645" s="62">
        <f t="shared" si="142"/>
        <v>0</v>
      </c>
    </row>
    <row r="646" spans="1:29" ht="42.95" customHeight="1" x14ac:dyDescent="0.25">
      <c r="A646" s="4" t="s">
        <v>17</v>
      </c>
      <c r="B646" s="7" t="s">
        <v>72</v>
      </c>
      <c r="C646" s="2" t="s">
        <v>1444</v>
      </c>
      <c r="D646" s="7" t="s">
        <v>932</v>
      </c>
      <c r="E646" s="4" t="s">
        <v>689</v>
      </c>
      <c r="F646" s="2">
        <v>7</v>
      </c>
      <c r="G646" s="2" t="s">
        <v>1399</v>
      </c>
      <c r="H646" s="2" t="s">
        <v>1400</v>
      </c>
      <c r="I646" s="4" t="s">
        <v>60</v>
      </c>
      <c r="J646" s="112">
        <f>IF($H646&lt;&gt;"Y",0,ROUND(MIN(Dashboard!$R$24,IF(IFERROR(VLOOKUP($B646,Dashboard!$Q$28:$S$60,2,FALSE),0)&gt;0,IFERROR(VLOOKUP($B646,Dashboard!$Q$28:$S$60,2,FALSE),0),$Z646*IF($U646&lt;&gt;"",ROUND((Dashboard!$R$4/$U646)*VLOOKUP($I646,Dashboard!$Q$9:$R$13,2,FALSE)*IF(ISNUMBER(SEARCH("Duals",$B646)),2,IF(ISNUMBER(SEARCH("Triples",$B646)),3,IF(ISNUMBER(SEARCH("Quads",$B646)),4,1))),2),ROUND(VLOOKUP($I646,Dashboard!$Q$15:$R$20,2,FALSE)*IF($E646="Red",Dashboard!$R$6,IF($E646="Gold",Dashboard!$R$7,Dashboard!$R$5))*IF(ISNUMBER(SEARCH("Duals",$B646)),2,IF(ISNUMBER(SEARCH("Triples",$B646)),3,IF(ISNUMBER(SEARCH("Quads",$B646)),4,1))),2))*IF(IFERROR(VLOOKUP($B646,Dashboard!$Q$28:$S$60,3,FALSE),0)&gt;0,VLOOKUP($B646,Dashboard!$Q$28:$S$60,3,FALSE),1))),0))</f>
        <v>143</v>
      </c>
      <c r="K646" s="2" t="str">
        <f>IF('Base S1'!I46="","",'Base S1'!I46)</f>
        <v/>
      </c>
      <c r="L646" s="2">
        <f t="shared" si="130"/>
        <v>0</v>
      </c>
      <c r="M646" s="2">
        <f t="shared" si="131"/>
        <v>0</v>
      </c>
      <c r="N646" s="2">
        <f t="shared" si="132"/>
        <v>0</v>
      </c>
      <c r="O646" s="2">
        <f t="shared" si="133"/>
        <v>1</v>
      </c>
      <c r="P646" s="112">
        <f t="shared" si="134"/>
        <v>0</v>
      </c>
      <c r="Q646" s="112">
        <f t="shared" si="135"/>
        <v>0</v>
      </c>
      <c r="R646" s="53"/>
      <c r="S646" s="53" t="str">
        <f t="shared" si="136"/>
        <v>Base S1|The Seven Parallel - Season 1|45|The Seven</v>
      </c>
      <c r="T646" s="57" t="str">
        <f>IF($S646="","",IFERROR(VLOOKUP($S646,'Pop Estimates (Non-#d)'!$N$2:$O$500,2,FALSE),""))</f>
        <v/>
      </c>
      <c r="U646" s="57">
        <f t="shared" si="137"/>
        <v>7</v>
      </c>
      <c r="V646" s="53" t="str">
        <f t="shared" si="138"/>
        <v/>
      </c>
      <c r="W646" s="53" t="str">
        <f t="shared" si="139"/>
        <v/>
      </c>
      <c r="X646" s="53" t="str">
        <f t="shared" si="140"/>
        <v/>
      </c>
      <c r="Y646" s="57" t="str">
        <f>IF($X646="","",IFERROR(VLOOKUP($X646,'Char Popularity'!$A$2:$C$500,2,FALSE),""))</f>
        <v/>
      </c>
      <c r="Z646" s="56">
        <f>IF($X646="",1,IFERROR(VLOOKUP($X646,'Char Popularity'!$A$2:$C$500,3,FALSE),1))</f>
        <v>1</v>
      </c>
      <c r="AA646" s="62">
        <f>IF($H646&lt;&gt;"Y",0,(IF($F646&lt;&gt;"",ROUND(Dashboard!$R$4/$F646,1),IF(AND($I646="Base",$E646="Base"),Dashboard!$R$5,IF(AND($I646="Base",$E646="Red"),Dashboard!$R$6,IF(AND($I646="Base",$E646="Gold"),Dashboard!$R$7,VLOOKUP($I646,Dashboard!$Q$16:$R$21,2,FALSE)))))*VLOOKUP($I646,Dashboard!$Q$9:$R$13,2,FALSE)*IF(AND($I646="Auto",$F646="",OR($B646="Autographs Duals",$B646="Autographs Triples",$B646="Autographs Quads",$B646="Autographs Quads (Inscribed)")),IF($B646="Autographs Duals",2,IF($B646="Autographs Triples",3,4)),1)))</f>
        <v>142.9</v>
      </c>
      <c r="AB646" s="62">
        <f t="shared" si="141"/>
        <v>0</v>
      </c>
      <c r="AC646" s="62">
        <f t="shared" si="142"/>
        <v>0</v>
      </c>
    </row>
    <row r="647" spans="1:29" ht="42.95" customHeight="1" x14ac:dyDescent="0.25">
      <c r="A647" s="4" t="s">
        <v>17</v>
      </c>
      <c r="B647" s="7" t="s">
        <v>72</v>
      </c>
      <c r="C647" s="2" t="s">
        <v>1445</v>
      </c>
      <c r="D647" s="7" t="s">
        <v>934</v>
      </c>
      <c r="E647" s="4" t="s">
        <v>689</v>
      </c>
      <c r="F647" s="2">
        <v>7</v>
      </c>
      <c r="G647" s="2" t="s">
        <v>1399</v>
      </c>
      <c r="H647" s="2" t="s">
        <v>1400</v>
      </c>
      <c r="I647" s="4" t="s">
        <v>60</v>
      </c>
      <c r="J647" s="112">
        <f>IF($H647&lt;&gt;"Y",0,ROUND(MIN(Dashboard!$R$24,IF(IFERROR(VLOOKUP($B647,Dashboard!$Q$28:$S$60,2,FALSE),0)&gt;0,IFERROR(VLOOKUP($B647,Dashboard!$Q$28:$S$60,2,FALSE),0),$Z647*IF($U647&lt;&gt;"",ROUND((Dashboard!$R$4/$U647)*VLOOKUP($I647,Dashboard!$Q$9:$R$13,2,FALSE)*IF(ISNUMBER(SEARCH("Duals",$B647)),2,IF(ISNUMBER(SEARCH("Triples",$B647)),3,IF(ISNUMBER(SEARCH("Quads",$B647)),4,1))),2),ROUND(VLOOKUP($I647,Dashboard!$Q$15:$R$20,2,FALSE)*IF($E647="Red",Dashboard!$R$6,IF($E647="Gold",Dashboard!$R$7,Dashboard!$R$5))*IF(ISNUMBER(SEARCH("Duals",$B647)),2,IF(ISNUMBER(SEARCH("Triples",$B647)),3,IF(ISNUMBER(SEARCH("Quads",$B647)),4,1))),2))*IF(IFERROR(VLOOKUP($B647,Dashboard!$Q$28:$S$60,3,FALSE),0)&gt;0,VLOOKUP($B647,Dashboard!$Q$28:$S$60,3,FALSE),1))),0))</f>
        <v>143</v>
      </c>
      <c r="K647" s="2" t="str">
        <f>IF('Base S1'!I47="","",'Base S1'!I47)</f>
        <v/>
      </c>
      <c r="L647" s="2">
        <f t="shared" si="130"/>
        <v>0</v>
      </c>
      <c r="M647" s="2">
        <f t="shared" si="131"/>
        <v>0</v>
      </c>
      <c r="N647" s="2">
        <f t="shared" si="132"/>
        <v>0</v>
      </c>
      <c r="O647" s="2">
        <f t="shared" si="133"/>
        <v>1</v>
      </c>
      <c r="P647" s="112">
        <f t="shared" si="134"/>
        <v>0</v>
      </c>
      <c r="Q647" s="112">
        <f t="shared" si="135"/>
        <v>0</v>
      </c>
      <c r="R647" s="53"/>
      <c r="S647" s="53" t="str">
        <f t="shared" si="136"/>
        <v>Base S1|The Seven Parallel - Season 1|46|The Seven</v>
      </c>
      <c r="T647" s="57" t="str">
        <f>IF($S647="","",IFERROR(VLOOKUP($S647,'Pop Estimates (Non-#d)'!$N$2:$O$500,2,FALSE),""))</f>
        <v/>
      </c>
      <c r="U647" s="57">
        <f t="shared" si="137"/>
        <v>7</v>
      </c>
      <c r="V647" s="53" t="str">
        <f t="shared" si="138"/>
        <v/>
      </c>
      <c r="W647" s="53" t="str">
        <f t="shared" si="139"/>
        <v/>
      </c>
      <c r="X647" s="53" t="str">
        <f t="shared" si="140"/>
        <v/>
      </c>
      <c r="Y647" s="57" t="str">
        <f>IF($X647="","",IFERROR(VLOOKUP($X647,'Char Popularity'!$A$2:$C$500,2,FALSE),""))</f>
        <v/>
      </c>
      <c r="Z647" s="56">
        <f>IF($X647="",1,IFERROR(VLOOKUP($X647,'Char Popularity'!$A$2:$C$500,3,FALSE),1))</f>
        <v>1</v>
      </c>
      <c r="AA647" s="62">
        <f>IF($H647&lt;&gt;"Y",0,(IF($F647&lt;&gt;"",ROUND(Dashboard!$R$4/$F647,1),IF(AND($I647="Base",$E647="Base"),Dashboard!$R$5,IF(AND($I647="Base",$E647="Red"),Dashboard!$R$6,IF(AND($I647="Base",$E647="Gold"),Dashboard!$R$7,VLOOKUP($I647,Dashboard!$Q$16:$R$21,2,FALSE)))))*VLOOKUP($I647,Dashboard!$Q$9:$R$13,2,FALSE)*IF(AND($I647="Auto",$F647="",OR($B647="Autographs Duals",$B647="Autographs Triples",$B647="Autographs Quads",$B647="Autographs Quads (Inscribed)")),IF($B647="Autographs Duals",2,IF($B647="Autographs Triples",3,4)),1)))</f>
        <v>142.9</v>
      </c>
      <c r="AB647" s="62">
        <f t="shared" si="141"/>
        <v>0</v>
      </c>
      <c r="AC647" s="62">
        <f t="shared" si="142"/>
        <v>0</v>
      </c>
    </row>
    <row r="648" spans="1:29" ht="42.95" customHeight="1" x14ac:dyDescent="0.25">
      <c r="A648" s="4" t="s">
        <v>17</v>
      </c>
      <c r="B648" s="7" t="s">
        <v>72</v>
      </c>
      <c r="C648" s="2" t="s">
        <v>1446</v>
      </c>
      <c r="D648" s="7" t="s">
        <v>562</v>
      </c>
      <c r="E648" s="4" t="s">
        <v>689</v>
      </c>
      <c r="F648" s="2">
        <v>7</v>
      </c>
      <c r="G648" s="2" t="s">
        <v>1399</v>
      </c>
      <c r="H648" s="2" t="s">
        <v>1400</v>
      </c>
      <c r="I648" s="4" t="s">
        <v>60</v>
      </c>
      <c r="J648" s="112">
        <f>IF($H648&lt;&gt;"Y",0,ROUND(MIN(Dashboard!$R$24,IF(IFERROR(VLOOKUP($B648,Dashboard!$Q$28:$S$60,2,FALSE),0)&gt;0,IFERROR(VLOOKUP($B648,Dashboard!$Q$28:$S$60,2,FALSE),0),$Z648*IF($U648&lt;&gt;"",ROUND((Dashboard!$R$4/$U648)*VLOOKUP($I648,Dashboard!$Q$9:$R$13,2,FALSE)*IF(ISNUMBER(SEARCH("Duals",$B648)),2,IF(ISNUMBER(SEARCH("Triples",$B648)),3,IF(ISNUMBER(SEARCH("Quads",$B648)),4,1))),2),ROUND(VLOOKUP($I648,Dashboard!$Q$15:$R$20,2,FALSE)*IF($E648="Red",Dashboard!$R$6,IF($E648="Gold",Dashboard!$R$7,Dashboard!$R$5))*IF(ISNUMBER(SEARCH("Duals",$B648)),2,IF(ISNUMBER(SEARCH("Triples",$B648)),3,IF(ISNUMBER(SEARCH("Quads",$B648)),4,1))),2))*IF(IFERROR(VLOOKUP($B648,Dashboard!$Q$28:$S$60,3,FALSE),0)&gt;0,VLOOKUP($B648,Dashboard!$Q$28:$S$60,3,FALSE),1))),0))</f>
        <v>143</v>
      </c>
      <c r="K648" s="2" t="str">
        <f>IF('Base S1'!I48="","",'Base S1'!I48)</f>
        <v/>
      </c>
      <c r="L648" s="2">
        <f t="shared" si="130"/>
        <v>0</v>
      </c>
      <c r="M648" s="2">
        <f t="shared" si="131"/>
        <v>0</v>
      </c>
      <c r="N648" s="2">
        <f t="shared" si="132"/>
        <v>0</v>
      </c>
      <c r="O648" s="2">
        <f t="shared" si="133"/>
        <v>1</v>
      </c>
      <c r="P648" s="112">
        <f t="shared" si="134"/>
        <v>0</v>
      </c>
      <c r="Q648" s="112">
        <f t="shared" si="135"/>
        <v>0</v>
      </c>
      <c r="R648" s="53"/>
      <c r="S648" s="53" t="str">
        <f t="shared" si="136"/>
        <v>Base S1|The Seven Parallel - Season 1|47|The Seven</v>
      </c>
      <c r="T648" s="57" t="str">
        <f>IF($S648="","",IFERROR(VLOOKUP($S648,'Pop Estimates (Non-#d)'!$N$2:$O$500,2,FALSE),""))</f>
        <v/>
      </c>
      <c r="U648" s="57">
        <f t="shared" si="137"/>
        <v>7</v>
      </c>
      <c r="V648" s="53" t="str">
        <f t="shared" si="138"/>
        <v/>
      </c>
      <c r="W648" s="53" t="str">
        <f t="shared" si="139"/>
        <v/>
      </c>
      <c r="X648" s="53" t="str">
        <f t="shared" si="140"/>
        <v/>
      </c>
      <c r="Y648" s="57" t="str">
        <f>IF($X648="","",IFERROR(VLOOKUP($X648,'Char Popularity'!$A$2:$C$500,2,FALSE),""))</f>
        <v/>
      </c>
      <c r="Z648" s="56">
        <f>IF($X648="",1,IFERROR(VLOOKUP($X648,'Char Popularity'!$A$2:$C$500,3,FALSE),1))</f>
        <v>1</v>
      </c>
      <c r="AA648" s="62">
        <f>IF($H648&lt;&gt;"Y",0,(IF($F648&lt;&gt;"",ROUND(Dashboard!$R$4/$F648,1),IF(AND($I648="Base",$E648="Base"),Dashboard!$R$5,IF(AND($I648="Base",$E648="Red"),Dashboard!$R$6,IF(AND($I648="Base",$E648="Gold"),Dashboard!$R$7,VLOOKUP($I648,Dashboard!$Q$16:$R$21,2,FALSE)))))*VLOOKUP($I648,Dashboard!$Q$9:$R$13,2,FALSE)*IF(AND($I648="Auto",$F648="",OR($B648="Autographs Duals",$B648="Autographs Triples",$B648="Autographs Quads",$B648="Autographs Quads (Inscribed)")),IF($B648="Autographs Duals",2,IF($B648="Autographs Triples",3,4)),1)))</f>
        <v>142.9</v>
      </c>
      <c r="AB648" s="62">
        <f t="shared" si="141"/>
        <v>0</v>
      </c>
      <c r="AC648" s="62">
        <f t="shared" si="142"/>
        <v>0</v>
      </c>
    </row>
    <row r="649" spans="1:29" ht="42.95" customHeight="1" x14ac:dyDescent="0.25">
      <c r="A649" s="4" t="s">
        <v>17</v>
      </c>
      <c r="B649" s="7" t="s">
        <v>72</v>
      </c>
      <c r="C649" s="2" t="s">
        <v>1447</v>
      </c>
      <c r="D649" s="7" t="s">
        <v>539</v>
      </c>
      <c r="E649" s="4" t="s">
        <v>689</v>
      </c>
      <c r="F649" s="2">
        <v>7</v>
      </c>
      <c r="G649" s="2" t="s">
        <v>1399</v>
      </c>
      <c r="H649" s="2" t="s">
        <v>1400</v>
      </c>
      <c r="I649" s="4" t="s">
        <v>60</v>
      </c>
      <c r="J649" s="112">
        <f>IF($H649&lt;&gt;"Y",0,ROUND(MIN(Dashboard!$R$24,IF(IFERROR(VLOOKUP($B649,Dashboard!$Q$28:$S$60,2,FALSE),0)&gt;0,IFERROR(VLOOKUP($B649,Dashboard!$Q$28:$S$60,2,FALSE),0),$Z649*IF($U649&lt;&gt;"",ROUND((Dashboard!$R$4/$U649)*VLOOKUP($I649,Dashboard!$Q$9:$R$13,2,FALSE)*IF(ISNUMBER(SEARCH("Duals",$B649)),2,IF(ISNUMBER(SEARCH("Triples",$B649)),3,IF(ISNUMBER(SEARCH("Quads",$B649)),4,1))),2),ROUND(VLOOKUP($I649,Dashboard!$Q$15:$R$20,2,FALSE)*IF($E649="Red",Dashboard!$R$6,IF($E649="Gold",Dashboard!$R$7,Dashboard!$R$5))*IF(ISNUMBER(SEARCH("Duals",$B649)),2,IF(ISNUMBER(SEARCH("Triples",$B649)),3,IF(ISNUMBER(SEARCH("Quads",$B649)),4,1))),2))*IF(IFERROR(VLOOKUP($B649,Dashboard!$Q$28:$S$60,3,FALSE),0)&gt;0,VLOOKUP($B649,Dashboard!$Q$28:$S$60,3,FALSE),1))),0))</f>
        <v>143</v>
      </c>
      <c r="K649" s="2" t="str">
        <f>IF('Base S1'!I49="","",'Base S1'!I49)</f>
        <v/>
      </c>
      <c r="L649" s="2">
        <f t="shared" si="130"/>
        <v>0</v>
      </c>
      <c r="M649" s="2">
        <f t="shared" si="131"/>
        <v>0</v>
      </c>
      <c r="N649" s="2">
        <f t="shared" si="132"/>
        <v>0</v>
      </c>
      <c r="O649" s="2">
        <f t="shared" si="133"/>
        <v>1</v>
      </c>
      <c r="P649" s="112">
        <f t="shared" si="134"/>
        <v>0</v>
      </c>
      <c r="Q649" s="112">
        <f t="shared" si="135"/>
        <v>0</v>
      </c>
      <c r="R649" s="53"/>
      <c r="S649" s="53" t="str">
        <f t="shared" si="136"/>
        <v>Base S1|The Seven Parallel - Season 1|48|The Seven</v>
      </c>
      <c r="T649" s="57" t="str">
        <f>IF($S649="","",IFERROR(VLOOKUP($S649,'Pop Estimates (Non-#d)'!$N$2:$O$500,2,FALSE),""))</f>
        <v/>
      </c>
      <c r="U649" s="57">
        <f t="shared" si="137"/>
        <v>7</v>
      </c>
      <c r="V649" s="53" t="str">
        <f t="shared" si="138"/>
        <v/>
      </c>
      <c r="W649" s="53" t="str">
        <f t="shared" si="139"/>
        <v/>
      </c>
      <c r="X649" s="53" t="str">
        <f t="shared" si="140"/>
        <v/>
      </c>
      <c r="Y649" s="57" t="str">
        <f>IF($X649="","",IFERROR(VLOOKUP($X649,'Char Popularity'!$A$2:$C$500,2,FALSE),""))</f>
        <v/>
      </c>
      <c r="Z649" s="56">
        <f>IF($X649="",1,IFERROR(VLOOKUP($X649,'Char Popularity'!$A$2:$C$500,3,FALSE),1))</f>
        <v>1</v>
      </c>
      <c r="AA649" s="62">
        <f>IF($H649&lt;&gt;"Y",0,(IF($F649&lt;&gt;"",ROUND(Dashboard!$R$4/$F649,1),IF(AND($I649="Base",$E649="Base"),Dashboard!$R$5,IF(AND($I649="Base",$E649="Red"),Dashboard!$R$6,IF(AND($I649="Base",$E649="Gold"),Dashboard!$R$7,VLOOKUP($I649,Dashboard!$Q$16:$R$21,2,FALSE)))))*VLOOKUP($I649,Dashboard!$Q$9:$R$13,2,FALSE)*IF(AND($I649="Auto",$F649="",OR($B649="Autographs Duals",$B649="Autographs Triples",$B649="Autographs Quads",$B649="Autographs Quads (Inscribed)")),IF($B649="Autographs Duals",2,IF($B649="Autographs Triples",3,4)),1)))</f>
        <v>142.9</v>
      </c>
      <c r="AB649" s="62">
        <f t="shared" si="141"/>
        <v>0</v>
      </c>
      <c r="AC649" s="62">
        <f t="shared" si="142"/>
        <v>0</v>
      </c>
    </row>
    <row r="650" spans="1:29" ht="42.95" customHeight="1" x14ac:dyDescent="0.25">
      <c r="A650" s="4" t="s">
        <v>17</v>
      </c>
      <c r="B650" s="7" t="s">
        <v>72</v>
      </c>
      <c r="C650" s="2" t="s">
        <v>1448</v>
      </c>
      <c r="D650" s="7" t="s">
        <v>938</v>
      </c>
      <c r="E650" s="4" t="s">
        <v>689</v>
      </c>
      <c r="F650" s="2">
        <v>7</v>
      </c>
      <c r="G650" s="2" t="s">
        <v>1399</v>
      </c>
      <c r="H650" s="2" t="s">
        <v>1400</v>
      </c>
      <c r="I650" s="4" t="s">
        <v>60</v>
      </c>
      <c r="J650" s="112">
        <f>IF($H650&lt;&gt;"Y",0,ROUND(MIN(Dashboard!$R$24,IF(IFERROR(VLOOKUP($B650,Dashboard!$Q$28:$S$60,2,FALSE),0)&gt;0,IFERROR(VLOOKUP($B650,Dashboard!$Q$28:$S$60,2,FALSE),0),$Z650*IF($U650&lt;&gt;"",ROUND((Dashboard!$R$4/$U650)*VLOOKUP($I650,Dashboard!$Q$9:$R$13,2,FALSE)*IF(ISNUMBER(SEARCH("Duals",$B650)),2,IF(ISNUMBER(SEARCH("Triples",$B650)),3,IF(ISNUMBER(SEARCH("Quads",$B650)),4,1))),2),ROUND(VLOOKUP($I650,Dashboard!$Q$15:$R$20,2,FALSE)*IF($E650="Red",Dashboard!$R$6,IF($E650="Gold",Dashboard!$R$7,Dashboard!$R$5))*IF(ISNUMBER(SEARCH("Duals",$B650)),2,IF(ISNUMBER(SEARCH("Triples",$B650)),3,IF(ISNUMBER(SEARCH("Quads",$B650)),4,1))),2))*IF(IFERROR(VLOOKUP($B650,Dashboard!$Q$28:$S$60,3,FALSE),0)&gt;0,VLOOKUP($B650,Dashboard!$Q$28:$S$60,3,FALSE),1))),0))</f>
        <v>143</v>
      </c>
      <c r="K650" s="2" t="str">
        <f>IF('Base S1'!I50="","",'Base S1'!I50)</f>
        <v/>
      </c>
      <c r="L650" s="2">
        <f t="shared" si="130"/>
        <v>0</v>
      </c>
      <c r="M650" s="2">
        <f t="shared" si="131"/>
        <v>0</v>
      </c>
      <c r="N650" s="2">
        <f t="shared" si="132"/>
        <v>0</v>
      </c>
      <c r="O650" s="2">
        <f t="shared" si="133"/>
        <v>1</v>
      </c>
      <c r="P650" s="112">
        <f t="shared" si="134"/>
        <v>0</v>
      </c>
      <c r="Q650" s="112">
        <f t="shared" si="135"/>
        <v>0</v>
      </c>
      <c r="R650" s="53"/>
      <c r="S650" s="53" t="str">
        <f t="shared" si="136"/>
        <v>Base S1|The Seven Parallel - Season 1|49|The Seven</v>
      </c>
      <c r="T650" s="57" t="str">
        <f>IF($S650="","",IFERROR(VLOOKUP($S650,'Pop Estimates (Non-#d)'!$N$2:$O$500,2,FALSE),""))</f>
        <v/>
      </c>
      <c r="U650" s="57">
        <f t="shared" si="137"/>
        <v>7</v>
      </c>
      <c r="V650" s="53" t="str">
        <f t="shared" si="138"/>
        <v/>
      </c>
      <c r="W650" s="53" t="str">
        <f t="shared" si="139"/>
        <v/>
      </c>
      <c r="X650" s="53" t="str">
        <f t="shared" si="140"/>
        <v/>
      </c>
      <c r="Y650" s="57" t="str">
        <f>IF($X650="","",IFERROR(VLOOKUP($X650,'Char Popularity'!$A$2:$C$500,2,FALSE),""))</f>
        <v/>
      </c>
      <c r="Z650" s="56">
        <f>IF($X650="",1,IFERROR(VLOOKUP($X650,'Char Popularity'!$A$2:$C$500,3,FALSE),1))</f>
        <v>1</v>
      </c>
      <c r="AA650" s="62">
        <f>IF($H650&lt;&gt;"Y",0,(IF($F650&lt;&gt;"",ROUND(Dashboard!$R$4/$F650,1),IF(AND($I650="Base",$E650="Base"),Dashboard!$R$5,IF(AND($I650="Base",$E650="Red"),Dashboard!$R$6,IF(AND($I650="Base",$E650="Gold"),Dashboard!$R$7,VLOOKUP($I650,Dashboard!$Q$16:$R$21,2,FALSE)))))*VLOOKUP($I650,Dashboard!$Q$9:$R$13,2,FALSE)*IF(AND($I650="Auto",$F650="",OR($B650="Autographs Duals",$B650="Autographs Triples",$B650="Autographs Quads",$B650="Autographs Quads (Inscribed)")),IF($B650="Autographs Duals",2,IF($B650="Autographs Triples",3,4)),1)))</f>
        <v>142.9</v>
      </c>
      <c r="AB650" s="62">
        <f t="shared" si="141"/>
        <v>0</v>
      </c>
      <c r="AC650" s="62">
        <f t="shared" si="142"/>
        <v>0</v>
      </c>
    </row>
    <row r="651" spans="1:29" ht="42.95" customHeight="1" x14ac:dyDescent="0.25">
      <c r="A651" s="4" t="s">
        <v>17</v>
      </c>
      <c r="B651" s="7" t="s">
        <v>72</v>
      </c>
      <c r="C651" s="2" t="s">
        <v>1449</v>
      </c>
      <c r="D651" s="7" t="s">
        <v>939</v>
      </c>
      <c r="E651" s="4" t="s">
        <v>689</v>
      </c>
      <c r="F651" s="2">
        <v>7</v>
      </c>
      <c r="G651" s="2" t="s">
        <v>1399</v>
      </c>
      <c r="H651" s="2" t="s">
        <v>1400</v>
      </c>
      <c r="I651" s="4" t="s">
        <v>60</v>
      </c>
      <c r="J651" s="112">
        <f>IF($H651&lt;&gt;"Y",0,ROUND(MIN(Dashboard!$R$24,IF(IFERROR(VLOOKUP($B651,Dashboard!$Q$28:$S$60,2,FALSE),0)&gt;0,IFERROR(VLOOKUP($B651,Dashboard!$Q$28:$S$60,2,FALSE),0),$Z651*IF($U651&lt;&gt;"",ROUND((Dashboard!$R$4/$U651)*VLOOKUP($I651,Dashboard!$Q$9:$R$13,2,FALSE)*IF(ISNUMBER(SEARCH("Duals",$B651)),2,IF(ISNUMBER(SEARCH("Triples",$B651)),3,IF(ISNUMBER(SEARCH("Quads",$B651)),4,1))),2),ROUND(VLOOKUP($I651,Dashboard!$Q$15:$R$20,2,FALSE)*IF($E651="Red",Dashboard!$R$6,IF($E651="Gold",Dashboard!$R$7,Dashboard!$R$5))*IF(ISNUMBER(SEARCH("Duals",$B651)),2,IF(ISNUMBER(SEARCH("Triples",$B651)),3,IF(ISNUMBER(SEARCH("Quads",$B651)),4,1))),2))*IF(IFERROR(VLOOKUP($B651,Dashboard!$Q$28:$S$60,3,FALSE),0)&gt;0,VLOOKUP($B651,Dashboard!$Q$28:$S$60,3,FALSE),1))),0))</f>
        <v>143</v>
      </c>
      <c r="K651" s="2" t="str">
        <f>IF('Base S1'!I51="","",'Base S1'!I51)</f>
        <v/>
      </c>
      <c r="L651" s="2">
        <f t="shared" si="130"/>
        <v>0</v>
      </c>
      <c r="M651" s="2">
        <f t="shared" si="131"/>
        <v>0</v>
      </c>
      <c r="N651" s="2">
        <f t="shared" si="132"/>
        <v>0</v>
      </c>
      <c r="O651" s="2">
        <f t="shared" si="133"/>
        <v>1</v>
      </c>
      <c r="P651" s="112">
        <f t="shared" si="134"/>
        <v>0</v>
      </c>
      <c r="Q651" s="112">
        <f t="shared" si="135"/>
        <v>0</v>
      </c>
      <c r="R651" s="53"/>
      <c r="S651" s="53" t="str">
        <f t="shared" si="136"/>
        <v>Base S1|The Seven Parallel - Season 1|50|The Seven</v>
      </c>
      <c r="T651" s="57" t="str">
        <f>IF($S651="","",IFERROR(VLOOKUP($S651,'Pop Estimates (Non-#d)'!$N$2:$O$500,2,FALSE),""))</f>
        <v/>
      </c>
      <c r="U651" s="57">
        <f t="shared" si="137"/>
        <v>7</v>
      </c>
      <c r="V651" s="53" t="str">
        <f t="shared" si="138"/>
        <v/>
      </c>
      <c r="W651" s="53" t="str">
        <f t="shared" si="139"/>
        <v/>
      </c>
      <c r="X651" s="53" t="str">
        <f t="shared" si="140"/>
        <v/>
      </c>
      <c r="Y651" s="57" t="str">
        <f>IF($X651="","",IFERROR(VLOOKUP($X651,'Char Popularity'!$A$2:$C$500,2,FALSE),""))</f>
        <v/>
      </c>
      <c r="Z651" s="56">
        <f>IF($X651="",1,IFERROR(VLOOKUP($X651,'Char Popularity'!$A$2:$C$500,3,FALSE),1))</f>
        <v>1</v>
      </c>
      <c r="AA651" s="62">
        <f>IF($H651&lt;&gt;"Y",0,(IF($F651&lt;&gt;"",ROUND(Dashboard!$R$4/$F651,1),IF(AND($I651="Base",$E651="Base"),Dashboard!$R$5,IF(AND($I651="Base",$E651="Red"),Dashboard!$R$6,IF(AND($I651="Base",$E651="Gold"),Dashboard!$R$7,VLOOKUP($I651,Dashboard!$Q$16:$R$21,2,FALSE)))))*VLOOKUP($I651,Dashboard!$Q$9:$R$13,2,FALSE)*IF(AND($I651="Auto",$F651="",OR($B651="Autographs Duals",$B651="Autographs Triples",$B651="Autographs Quads",$B651="Autographs Quads (Inscribed)")),IF($B651="Autographs Duals",2,IF($B651="Autographs Triples",3,4)),1)))</f>
        <v>142.9</v>
      </c>
      <c r="AB651" s="62">
        <f t="shared" si="141"/>
        <v>0</v>
      </c>
      <c r="AC651" s="62">
        <f t="shared" si="142"/>
        <v>0</v>
      </c>
    </row>
    <row r="652" spans="1:29" ht="42.95" customHeight="1" x14ac:dyDescent="0.25">
      <c r="A652" s="4" t="s">
        <v>17</v>
      </c>
      <c r="B652" s="7" t="s">
        <v>72</v>
      </c>
      <c r="C652" s="2" t="s">
        <v>1450</v>
      </c>
      <c r="D652" s="7" t="s">
        <v>941</v>
      </c>
      <c r="E652" s="4" t="s">
        <v>689</v>
      </c>
      <c r="F652" s="2">
        <v>7</v>
      </c>
      <c r="G652" s="2" t="s">
        <v>1399</v>
      </c>
      <c r="H652" s="2" t="s">
        <v>1400</v>
      </c>
      <c r="I652" s="4" t="s">
        <v>60</v>
      </c>
      <c r="J652" s="112">
        <f>IF($H652&lt;&gt;"Y",0,ROUND(MIN(Dashboard!$R$24,IF(IFERROR(VLOOKUP($B652,Dashboard!$Q$28:$S$60,2,FALSE),0)&gt;0,IFERROR(VLOOKUP($B652,Dashboard!$Q$28:$S$60,2,FALSE),0),$Z652*IF($U652&lt;&gt;"",ROUND((Dashboard!$R$4/$U652)*VLOOKUP($I652,Dashboard!$Q$9:$R$13,2,FALSE)*IF(ISNUMBER(SEARCH("Duals",$B652)),2,IF(ISNUMBER(SEARCH("Triples",$B652)),3,IF(ISNUMBER(SEARCH("Quads",$B652)),4,1))),2),ROUND(VLOOKUP($I652,Dashboard!$Q$15:$R$20,2,FALSE)*IF($E652="Red",Dashboard!$R$6,IF($E652="Gold",Dashboard!$R$7,Dashboard!$R$5))*IF(ISNUMBER(SEARCH("Duals",$B652)),2,IF(ISNUMBER(SEARCH("Triples",$B652)),3,IF(ISNUMBER(SEARCH("Quads",$B652)),4,1))),2))*IF(IFERROR(VLOOKUP($B652,Dashboard!$Q$28:$S$60,3,FALSE),0)&gt;0,VLOOKUP($B652,Dashboard!$Q$28:$S$60,3,FALSE),1))),0))</f>
        <v>143</v>
      </c>
      <c r="K652" s="2" t="str">
        <f>IF('Base S1'!I52="","",'Base S1'!I52)</f>
        <v/>
      </c>
      <c r="L652" s="2">
        <f t="shared" si="130"/>
        <v>0</v>
      </c>
      <c r="M652" s="2">
        <f t="shared" si="131"/>
        <v>0</v>
      </c>
      <c r="N652" s="2">
        <f t="shared" si="132"/>
        <v>0</v>
      </c>
      <c r="O652" s="2">
        <f t="shared" si="133"/>
        <v>1</v>
      </c>
      <c r="P652" s="112">
        <f t="shared" si="134"/>
        <v>0</v>
      </c>
      <c r="Q652" s="112">
        <f t="shared" si="135"/>
        <v>0</v>
      </c>
      <c r="R652" s="53"/>
      <c r="S652" s="53" t="str">
        <f t="shared" si="136"/>
        <v>Base S1|The Seven Parallel - Season 1|51|The Seven</v>
      </c>
      <c r="T652" s="57" t="str">
        <f>IF($S652="","",IFERROR(VLOOKUP($S652,'Pop Estimates (Non-#d)'!$N$2:$O$500,2,FALSE),""))</f>
        <v/>
      </c>
      <c r="U652" s="57">
        <f t="shared" si="137"/>
        <v>7</v>
      </c>
      <c r="V652" s="53" t="str">
        <f t="shared" si="138"/>
        <v/>
      </c>
      <c r="W652" s="53" t="str">
        <f t="shared" si="139"/>
        <v/>
      </c>
      <c r="X652" s="53" t="str">
        <f t="shared" si="140"/>
        <v/>
      </c>
      <c r="Y652" s="57" t="str">
        <f>IF($X652="","",IFERROR(VLOOKUP($X652,'Char Popularity'!$A$2:$C$500,2,FALSE),""))</f>
        <v/>
      </c>
      <c r="Z652" s="56">
        <f>IF($X652="",1,IFERROR(VLOOKUP($X652,'Char Popularity'!$A$2:$C$500,3,FALSE),1))</f>
        <v>1</v>
      </c>
      <c r="AA652" s="62">
        <f>IF($H652&lt;&gt;"Y",0,(IF($F652&lt;&gt;"",ROUND(Dashboard!$R$4/$F652,1),IF(AND($I652="Base",$E652="Base"),Dashboard!$R$5,IF(AND($I652="Base",$E652="Red"),Dashboard!$R$6,IF(AND($I652="Base",$E652="Gold"),Dashboard!$R$7,VLOOKUP($I652,Dashboard!$Q$16:$R$21,2,FALSE)))))*VLOOKUP($I652,Dashboard!$Q$9:$R$13,2,FALSE)*IF(AND($I652="Auto",$F652="",OR($B652="Autographs Duals",$B652="Autographs Triples",$B652="Autographs Quads",$B652="Autographs Quads (Inscribed)")),IF($B652="Autographs Duals",2,IF($B652="Autographs Triples",3,4)),1)))</f>
        <v>142.9</v>
      </c>
      <c r="AB652" s="62">
        <f t="shared" si="141"/>
        <v>0</v>
      </c>
      <c r="AC652" s="62">
        <f t="shared" si="142"/>
        <v>0</v>
      </c>
    </row>
    <row r="653" spans="1:29" ht="42.95" customHeight="1" x14ac:dyDescent="0.25">
      <c r="A653" s="4" t="s">
        <v>17</v>
      </c>
      <c r="B653" s="7" t="s">
        <v>72</v>
      </c>
      <c r="C653" s="2" t="s">
        <v>1451</v>
      </c>
      <c r="D653" s="7" t="s">
        <v>944</v>
      </c>
      <c r="E653" s="4" t="s">
        <v>689</v>
      </c>
      <c r="F653" s="2">
        <v>7</v>
      </c>
      <c r="G653" s="2" t="s">
        <v>1399</v>
      </c>
      <c r="H653" s="2" t="s">
        <v>1400</v>
      </c>
      <c r="I653" s="4" t="s">
        <v>60</v>
      </c>
      <c r="J653" s="112">
        <f>IF($H653&lt;&gt;"Y",0,ROUND(MIN(Dashboard!$R$24,IF(IFERROR(VLOOKUP($B653,Dashboard!$Q$28:$S$60,2,FALSE),0)&gt;0,IFERROR(VLOOKUP($B653,Dashboard!$Q$28:$S$60,2,FALSE),0),$Z653*IF($U653&lt;&gt;"",ROUND((Dashboard!$R$4/$U653)*VLOOKUP($I653,Dashboard!$Q$9:$R$13,2,FALSE)*IF(ISNUMBER(SEARCH("Duals",$B653)),2,IF(ISNUMBER(SEARCH("Triples",$B653)),3,IF(ISNUMBER(SEARCH("Quads",$B653)),4,1))),2),ROUND(VLOOKUP($I653,Dashboard!$Q$15:$R$20,2,FALSE)*IF($E653="Red",Dashboard!$R$6,IF($E653="Gold",Dashboard!$R$7,Dashboard!$R$5))*IF(ISNUMBER(SEARCH("Duals",$B653)),2,IF(ISNUMBER(SEARCH("Triples",$B653)),3,IF(ISNUMBER(SEARCH("Quads",$B653)),4,1))),2))*IF(IFERROR(VLOOKUP($B653,Dashboard!$Q$28:$S$60,3,FALSE),0)&gt;0,VLOOKUP($B653,Dashboard!$Q$28:$S$60,3,FALSE),1))),0))</f>
        <v>143</v>
      </c>
      <c r="K653" s="2" t="str">
        <f>IF('Base S1'!I53="","",'Base S1'!I53)</f>
        <v>C 3/7</v>
      </c>
      <c r="L653" s="2">
        <f t="shared" si="130"/>
        <v>1</v>
      </c>
      <c r="M653" s="2">
        <f t="shared" si="131"/>
        <v>0</v>
      </c>
      <c r="N653" s="2">
        <f t="shared" si="132"/>
        <v>1</v>
      </c>
      <c r="O653" s="2">
        <f t="shared" si="133"/>
        <v>0</v>
      </c>
      <c r="P653" s="112">
        <f t="shared" si="134"/>
        <v>143</v>
      </c>
      <c r="Q653" s="112">
        <f t="shared" si="135"/>
        <v>0</v>
      </c>
      <c r="R653" s="53"/>
      <c r="S653" s="53" t="str">
        <f t="shared" si="136"/>
        <v>Base S1|The Seven Parallel - Season 1|52|The Seven</v>
      </c>
      <c r="T653" s="57" t="str">
        <f>IF($S653="","",IFERROR(VLOOKUP($S653,'Pop Estimates (Non-#d)'!$N$2:$O$500,2,FALSE),""))</f>
        <v/>
      </c>
      <c r="U653" s="57">
        <f t="shared" si="137"/>
        <v>7</v>
      </c>
      <c r="V653" s="53" t="str">
        <f t="shared" si="138"/>
        <v/>
      </c>
      <c r="W653" s="53" t="str">
        <f t="shared" si="139"/>
        <v/>
      </c>
      <c r="X653" s="53" t="str">
        <f t="shared" si="140"/>
        <v/>
      </c>
      <c r="Y653" s="57" t="str">
        <f>IF($X653="","",IFERROR(VLOOKUP($X653,'Char Popularity'!$A$2:$C$500,2,FALSE),""))</f>
        <v/>
      </c>
      <c r="Z653" s="56">
        <f>IF($X653="",1,IFERROR(VLOOKUP($X653,'Char Popularity'!$A$2:$C$500,3,FALSE),1))</f>
        <v>1</v>
      </c>
      <c r="AA653" s="62">
        <f>IF($H653&lt;&gt;"Y",0,(IF($F653&lt;&gt;"",ROUND(Dashboard!$R$4/$F653,1),IF(AND($I653="Base",$E653="Base"),Dashboard!$R$5,IF(AND($I653="Base",$E653="Red"),Dashboard!$R$6,IF(AND($I653="Base",$E653="Gold"),Dashboard!$R$7,VLOOKUP($I653,Dashboard!$Q$16:$R$21,2,FALSE)))))*VLOOKUP($I653,Dashboard!$Q$9:$R$13,2,FALSE)*IF(AND($I653="Auto",$F653="",OR($B653="Autographs Duals",$B653="Autographs Triples",$B653="Autographs Quads",$B653="Autographs Quads (Inscribed)")),IF($B653="Autographs Duals",2,IF($B653="Autographs Triples",3,4)),1)))</f>
        <v>142.9</v>
      </c>
      <c r="AB653" s="62">
        <f t="shared" si="141"/>
        <v>142.9</v>
      </c>
      <c r="AC653" s="62">
        <f t="shared" si="142"/>
        <v>0</v>
      </c>
    </row>
    <row r="654" spans="1:29" ht="42.95" customHeight="1" x14ac:dyDescent="0.25">
      <c r="A654" s="4" t="s">
        <v>17</v>
      </c>
      <c r="B654" s="7" t="s">
        <v>72</v>
      </c>
      <c r="C654" s="2" t="s">
        <v>1452</v>
      </c>
      <c r="D654" s="7" t="s">
        <v>946</v>
      </c>
      <c r="E654" s="4" t="s">
        <v>689</v>
      </c>
      <c r="F654" s="2">
        <v>7</v>
      </c>
      <c r="G654" s="2" t="s">
        <v>1399</v>
      </c>
      <c r="H654" s="2" t="s">
        <v>1400</v>
      </c>
      <c r="I654" s="4" t="s">
        <v>60</v>
      </c>
      <c r="J654" s="112">
        <f>IF($H654&lt;&gt;"Y",0,ROUND(MIN(Dashboard!$R$24,IF(IFERROR(VLOOKUP($B654,Dashboard!$Q$28:$S$60,2,FALSE),0)&gt;0,IFERROR(VLOOKUP($B654,Dashboard!$Q$28:$S$60,2,FALSE),0),$Z654*IF($U654&lt;&gt;"",ROUND((Dashboard!$R$4/$U654)*VLOOKUP($I654,Dashboard!$Q$9:$R$13,2,FALSE)*IF(ISNUMBER(SEARCH("Duals",$B654)),2,IF(ISNUMBER(SEARCH("Triples",$B654)),3,IF(ISNUMBER(SEARCH("Quads",$B654)),4,1))),2),ROUND(VLOOKUP($I654,Dashboard!$Q$15:$R$20,2,FALSE)*IF($E654="Red",Dashboard!$R$6,IF($E654="Gold",Dashboard!$R$7,Dashboard!$R$5))*IF(ISNUMBER(SEARCH("Duals",$B654)),2,IF(ISNUMBER(SEARCH("Triples",$B654)),3,IF(ISNUMBER(SEARCH("Quads",$B654)),4,1))),2))*IF(IFERROR(VLOOKUP($B654,Dashboard!$Q$28:$S$60,3,FALSE),0)&gt;0,VLOOKUP($B654,Dashboard!$Q$28:$S$60,3,FALSE),1))),0))</f>
        <v>143</v>
      </c>
      <c r="K654" s="2" t="str">
        <f>IF('Base S1'!I54="","",'Base S1'!I54)</f>
        <v/>
      </c>
      <c r="L654" s="2">
        <f t="shared" si="130"/>
        <v>0</v>
      </c>
      <c r="M654" s="2">
        <f t="shared" si="131"/>
        <v>0</v>
      </c>
      <c r="N654" s="2">
        <f t="shared" si="132"/>
        <v>0</v>
      </c>
      <c r="O654" s="2">
        <f t="shared" si="133"/>
        <v>1</v>
      </c>
      <c r="P654" s="112">
        <f t="shared" si="134"/>
        <v>0</v>
      </c>
      <c r="Q654" s="112">
        <f t="shared" si="135"/>
        <v>0</v>
      </c>
      <c r="R654" s="53"/>
      <c r="S654" s="53" t="str">
        <f t="shared" si="136"/>
        <v>Base S1|The Seven Parallel - Season 1|53|The Seven</v>
      </c>
      <c r="T654" s="57" t="str">
        <f>IF($S654="","",IFERROR(VLOOKUP($S654,'Pop Estimates (Non-#d)'!$N$2:$O$500,2,FALSE),""))</f>
        <v/>
      </c>
      <c r="U654" s="57">
        <f t="shared" si="137"/>
        <v>7</v>
      </c>
      <c r="V654" s="53" t="str">
        <f t="shared" si="138"/>
        <v/>
      </c>
      <c r="W654" s="53" t="str">
        <f t="shared" si="139"/>
        <v/>
      </c>
      <c r="X654" s="53" t="str">
        <f t="shared" si="140"/>
        <v/>
      </c>
      <c r="Y654" s="57" t="str">
        <f>IF($X654="","",IFERROR(VLOOKUP($X654,'Char Popularity'!$A$2:$C$500,2,FALSE),""))</f>
        <v/>
      </c>
      <c r="Z654" s="56">
        <f>IF($X654="",1,IFERROR(VLOOKUP($X654,'Char Popularity'!$A$2:$C$500,3,FALSE),1))</f>
        <v>1</v>
      </c>
      <c r="AA654" s="62">
        <f>IF($H654&lt;&gt;"Y",0,(IF($F654&lt;&gt;"",ROUND(Dashboard!$R$4/$F654,1),IF(AND($I654="Base",$E654="Base"),Dashboard!$R$5,IF(AND($I654="Base",$E654="Red"),Dashboard!$R$6,IF(AND($I654="Base",$E654="Gold"),Dashboard!$R$7,VLOOKUP($I654,Dashboard!$Q$16:$R$21,2,FALSE)))))*VLOOKUP($I654,Dashboard!$Q$9:$R$13,2,FALSE)*IF(AND($I654="Auto",$F654="",OR($B654="Autographs Duals",$B654="Autographs Triples",$B654="Autographs Quads",$B654="Autographs Quads (Inscribed)")),IF($B654="Autographs Duals",2,IF($B654="Autographs Triples",3,4)),1)))</f>
        <v>142.9</v>
      </c>
      <c r="AB654" s="62">
        <f t="shared" si="141"/>
        <v>0</v>
      </c>
      <c r="AC654" s="62">
        <f t="shared" si="142"/>
        <v>0</v>
      </c>
    </row>
    <row r="655" spans="1:29" ht="42.95" customHeight="1" x14ac:dyDescent="0.25">
      <c r="A655" s="4" t="s">
        <v>17</v>
      </c>
      <c r="B655" s="7" t="s">
        <v>72</v>
      </c>
      <c r="C655" s="2" t="s">
        <v>1453</v>
      </c>
      <c r="D655" s="7" t="s">
        <v>948</v>
      </c>
      <c r="E655" s="4" t="s">
        <v>689</v>
      </c>
      <c r="F655" s="2">
        <v>7</v>
      </c>
      <c r="G655" s="2" t="s">
        <v>1399</v>
      </c>
      <c r="H655" s="2" t="s">
        <v>1400</v>
      </c>
      <c r="I655" s="4" t="s">
        <v>60</v>
      </c>
      <c r="J655" s="112">
        <f>IF($H655&lt;&gt;"Y",0,ROUND(MIN(Dashboard!$R$24,IF(IFERROR(VLOOKUP($B655,Dashboard!$Q$28:$S$60,2,FALSE),0)&gt;0,IFERROR(VLOOKUP($B655,Dashboard!$Q$28:$S$60,2,FALSE),0),$Z655*IF($U655&lt;&gt;"",ROUND((Dashboard!$R$4/$U655)*VLOOKUP($I655,Dashboard!$Q$9:$R$13,2,FALSE)*IF(ISNUMBER(SEARCH("Duals",$B655)),2,IF(ISNUMBER(SEARCH("Triples",$B655)),3,IF(ISNUMBER(SEARCH("Quads",$B655)),4,1))),2),ROUND(VLOOKUP($I655,Dashboard!$Q$15:$R$20,2,FALSE)*IF($E655="Red",Dashboard!$R$6,IF($E655="Gold",Dashboard!$R$7,Dashboard!$R$5))*IF(ISNUMBER(SEARCH("Duals",$B655)),2,IF(ISNUMBER(SEARCH("Triples",$B655)),3,IF(ISNUMBER(SEARCH("Quads",$B655)),4,1))),2))*IF(IFERROR(VLOOKUP($B655,Dashboard!$Q$28:$S$60,3,FALSE),0)&gt;0,VLOOKUP($B655,Dashboard!$Q$28:$S$60,3,FALSE),1))),0))</f>
        <v>143</v>
      </c>
      <c r="K655" s="2" t="str">
        <f>IF('Base S1'!I55="","",'Base S1'!I55)</f>
        <v/>
      </c>
      <c r="L655" s="2">
        <f t="shared" si="130"/>
        <v>0</v>
      </c>
      <c r="M655" s="2">
        <f t="shared" si="131"/>
        <v>0</v>
      </c>
      <c r="N655" s="2">
        <f t="shared" si="132"/>
        <v>0</v>
      </c>
      <c r="O655" s="2">
        <f t="shared" si="133"/>
        <v>1</v>
      </c>
      <c r="P655" s="112">
        <f t="shared" si="134"/>
        <v>0</v>
      </c>
      <c r="Q655" s="112">
        <f t="shared" si="135"/>
        <v>0</v>
      </c>
      <c r="R655" s="53"/>
      <c r="S655" s="53" t="str">
        <f t="shared" si="136"/>
        <v>Base S1|The Seven Parallel - Season 1|54|The Seven</v>
      </c>
      <c r="T655" s="57" t="str">
        <f>IF($S655="","",IFERROR(VLOOKUP($S655,'Pop Estimates (Non-#d)'!$N$2:$O$500,2,FALSE),""))</f>
        <v/>
      </c>
      <c r="U655" s="57">
        <f t="shared" si="137"/>
        <v>7</v>
      </c>
      <c r="V655" s="53" t="str">
        <f t="shared" si="138"/>
        <v/>
      </c>
      <c r="W655" s="53" t="str">
        <f t="shared" si="139"/>
        <v/>
      </c>
      <c r="X655" s="53" t="str">
        <f t="shared" si="140"/>
        <v/>
      </c>
      <c r="Y655" s="57" t="str">
        <f>IF($X655="","",IFERROR(VLOOKUP($X655,'Char Popularity'!$A$2:$C$500,2,FALSE),""))</f>
        <v/>
      </c>
      <c r="Z655" s="56">
        <f>IF($X655="",1,IFERROR(VLOOKUP($X655,'Char Popularity'!$A$2:$C$500,3,FALSE),1))</f>
        <v>1</v>
      </c>
      <c r="AA655" s="62">
        <f>IF($H655&lt;&gt;"Y",0,(IF($F655&lt;&gt;"",ROUND(Dashboard!$R$4/$F655,1),IF(AND($I655="Base",$E655="Base"),Dashboard!$R$5,IF(AND($I655="Base",$E655="Red"),Dashboard!$R$6,IF(AND($I655="Base",$E655="Gold"),Dashboard!$R$7,VLOOKUP($I655,Dashboard!$Q$16:$R$21,2,FALSE)))))*VLOOKUP($I655,Dashboard!$Q$9:$R$13,2,FALSE)*IF(AND($I655="Auto",$F655="",OR($B655="Autographs Duals",$B655="Autographs Triples",$B655="Autographs Quads",$B655="Autographs Quads (Inscribed)")),IF($B655="Autographs Duals",2,IF($B655="Autographs Triples",3,4)),1)))</f>
        <v>142.9</v>
      </c>
      <c r="AB655" s="62">
        <f t="shared" si="141"/>
        <v>0</v>
      </c>
      <c r="AC655" s="62">
        <f t="shared" si="142"/>
        <v>0</v>
      </c>
    </row>
    <row r="656" spans="1:29" ht="42.95" customHeight="1" x14ac:dyDescent="0.25">
      <c r="A656" s="4" t="s">
        <v>17</v>
      </c>
      <c r="B656" s="7" t="s">
        <v>72</v>
      </c>
      <c r="C656" s="2" t="s">
        <v>1454</v>
      </c>
      <c r="D656" s="7" t="s">
        <v>950</v>
      </c>
      <c r="E656" s="4" t="s">
        <v>689</v>
      </c>
      <c r="F656" s="2">
        <v>7</v>
      </c>
      <c r="G656" s="2" t="s">
        <v>1399</v>
      </c>
      <c r="H656" s="2" t="s">
        <v>1400</v>
      </c>
      <c r="I656" s="4" t="s">
        <v>60</v>
      </c>
      <c r="J656" s="112">
        <f>IF($H656&lt;&gt;"Y",0,ROUND(MIN(Dashboard!$R$24,IF(IFERROR(VLOOKUP($B656,Dashboard!$Q$28:$S$60,2,FALSE),0)&gt;0,IFERROR(VLOOKUP($B656,Dashboard!$Q$28:$S$60,2,FALSE),0),$Z656*IF($U656&lt;&gt;"",ROUND((Dashboard!$R$4/$U656)*VLOOKUP($I656,Dashboard!$Q$9:$R$13,2,FALSE)*IF(ISNUMBER(SEARCH("Duals",$B656)),2,IF(ISNUMBER(SEARCH("Triples",$B656)),3,IF(ISNUMBER(SEARCH("Quads",$B656)),4,1))),2),ROUND(VLOOKUP($I656,Dashboard!$Q$15:$R$20,2,FALSE)*IF($E656="Red",Dashboard!$R$6,IF($E656="Gold",Dashboard!$R$7,Dashboard!$R$5))*IF(ISNUMBER(SEARCH("Duals",$B656)),2,IF(ISNUMBER(SEARCH("Triples",$B656)),3,IF(ISNUMBER(SEARCH("Quads",$B656)),4,1))),2))*IF(IFERROR(VLOOKUP($B656,Dashboard!$Q$28:$S$60,3,FALSE),0)&gt;0,VLOOKUP($B656,Dashboard!$Q$28:$S$60,3,FALSE),1))),0))</f>
        <v>143</v>
      </c>
      <c r="K656" s="2" t="str">
        <f>IF('Base S1'!I56="","",'Base S1'!I56)</f>
        <v>C 4/7</v>
      </c>
      <c r="L656" s="2">
        <f t="shared" si="130"/>
        <v>1</v>
      </c>
      <c r="M656" s="2">
        <f t="shared" si="131"/>
        <v>0</v>
      </c>
      <c r="N656" s="2">
        <f t="shared" si="132"/>
        <v>1</v>
      </c>
      <c r="O656" s="2">
        <f t="shared" si="133"/>
        <v>0</v>
      </c>
      <c r="P656" s="112">
        <f t="shared" si="134"/>
        <v>143</v>
      </c>
      <c r="Q656" s="112">
        <f t="shared" si="135"/>
        <v>0</v>
      </c>
      <c r="R656" s="53"/>
      <c r="S656" s="53" t="str">
        <f t="shared" si="136"/>
        <v>Base S1|The Seven Parallel - Season 1|55|The Seven</v>
      </c>
      <c r="T656" s="57" t="str">
        <f>IF($S656="","",IFERROR(VLOOKUP($S656,'Pop Estimates (Non-#d)'!$N$2:$O$500,2,FALSE),""))</f>
        <v/>
      </c>
      <c r="U656" s="57">
        <f t="shared" si="137"/>
        <v>7</v>
      </c>
      <c r="V656" s="53" t="str">
        <f t="shared" si="138"/>
        <v/>
      </c>
      <c r="W656" s="53" t="str">
        <f t="shared" si="139"/>
        <v/>
      </c>
      <c r="X656" s="53" t="str">
        <f t="shared" si="140"/>
        <v/>
      </c>
      <c r="Y656" s="57" t="str">
        <f>IF($X656="","",IFERROR(VLOOKUP($X656,'Char Popularity'!$A$2:$C$500,2,FALSE),""))</f>
        <v/>
      </c>
      <c r="Z656" s="56">
        <f>IF($X656="",1,IFERROR(VLOOKUP($X656,'Char Popularity'!$A$2:$C$500,3,FALSE),1))</f>
        <v>1</v>
      </c>
      <c r="AA656" s="62">
        <f>IF($H656&lt;&gt;"Y",0,(IF($F656&lt;&gt;"",ROUND(Dashboard!$R$4/$F656,1),IF(AND($I656="Base",$E656="Base"),Dashboard!$R$5,IF(AND($I656="Base",$E656="Red"),Dashboard!$R$6,IF(AND($I656="Base",$E656="Gold"),Dashboard!$R$7,VLOOKUP($I656,Dashboard!$Q$16:$R$21,2,FALSE)))))*VLOOKUP($I656,Dashboard!$Q$9:$R$13,2,FALSE)*IF(AND($I656="Auto",$F656="",OR($B656="Autographs Duals",$B656="Autographs Triples",$B656="Autographs Quads",$B656="Autographs Quads (Inscribed)")),IF($B656="Autographs Duals",2,IF($B656="Autographs Triples",3,4)),1)))</f>
        <v>142.9</v>
      </c>
      <c r="AB656" s="62">
        <f t="shared" si="141"/>
        <v>142.9</v>
      </c>
      <c r="AC656" s="62">
        <f t="shared" si="142"/>
        <v>0</v>
      </c>
    </row>
    <row r="657" spans="1:29" ht="42.95" customHeight="1" x14ac:dyDescent="0.25">
      <c r="A657" s="4" t="s">
        <v>17</v>
      </c>
      <c r="B657" s="7" t="s">
        <v>72</v>
      </c>
      <c r="C657" s="2" t="s">
        <v>1455</v>
      </c>
      <c r="D657" s="7" t="s">
        <v>952</v>
      </c>
      <c r="E657" s="4" t="s">
        <v>689</v>
      </c>
      <c r="F657" s="2">
        <v>7</v>
      </c>
      <c r="G657" s="2" t="s">
        <v>1399</v>
      </c>
      <c r="H657" s="2" t="s">
        <v>1400</v>
      </c>
      <c r="I657" s="4" t="s">
        <v>60</v>
      </c>
      <c r="J657" s="112">
        <f>IF($H657&lt;&gt;"Y",0,ROUND(MIN(Dashboard!$R$24,IF(IFERROR(VLOOKUP($B657,Dashboard!$Q$28:$S$60,2,FALSE),0)&gt;0,IFERROR(VLOOKUP($B657,Dashboard!$Q$28:$S$60,2,FALSE),0),$Z657*IF($U657&lt;&gt;"",ROUND((Dashboard!$R$4/$U657)*VLOOKUP($I657,Dashboard!$Q$9:$R$13,2,FALSE)*IF(ISNUMBER(SEARCH("Duals",$B657)),2,IF(ISNUMBER(SEARCH("Triples",$B657)),3,IF(ISNUMBER(SEARCH("Quads",$B657)),4,1))),2),ROUND(VLOOKUP($I657,Dashboard!$Q$15:$R$20,2,FALSE)*IF($E657="Red",Dashboard!$R$6,IF($E657="Gold",Dashboard!$R$7,Dashboard!$R$5))*IF(ISNUMBER(SEARCH("Duals",$B657)),2,IF(ISNUMBER(SEARCH("Triples",$B657)),3,IF(ISNUMBER(SEARCH("Quads",$B657)),4,1))),2))*IF(IFERROR(VLOOKUP($B657,Dashboard!$Q$28:$S$60,3,FALSE),0)&gt;0,VLOOKUP($B657,Dashboard!$Q$28:$S$60,3,FALSE),1))),0))</f>
        <v>143</v>
      </c>
      <c r="K657" s="2" t="str">
        <f>IF('Base S1'!I57="","",'Base S1'!I57)</f>
        <v/>
      </c>
      <c r="L657" s="2">
        <f t="shared" si="130"/>
        <v>0</v>
      </c>
      <c r="M657" s="2">
        <f t="shared" si="131"/>
        <v>0</v>
      </c>
      <c r="N657" s="2">
        <f t="shared" si="132"/>
        <v>0</v>
      </c>
      <c r="O657" s="2">
        <f t="shared" si="133"/>
        <v>1</v>
      </c>
      <c r="P657" s="112">
        <f t="shared" si="134"/>
        <v>0</v>
      </c>
      <c r="Q657" s="112">
        <f t="shared" si="135"/>
        <v>0</v>
      </c>
      <c r="R657" s="53"/>
      <c r="S657" s="53" t="str">
        <f t="shared" si="136"/>
        <v>Base S1|The Seven Parallel - Season 1|56|The Seven</v>
      </c>
      <c r="T657" s="57" t="str">
        <f>IF($S657="","",IFERROR(VLOOKUP($S657,'Pop Estimates (Non-#d)'!$N$2:$O$500,2,FALSE),""))</f>
        <v/>
      </c>
      <c r="U657" s="57">
        <f t="shared" si="137"/>
        <v>7</v>
      </c>
      <c r="V657" s="53" t="str">
        <f t="shared" si="138"/>
        <v/>
      </c>
      <c r="W657" s="53" t="str">
        <f t="shared" si="139"/>
        <v/>
      </c>
      <c r="X657" s="53" t="str">
        <f t="shared" si="140"/>
        <v/>
      </c>
      <c r="Y657" s="57" t="str">
        <f>IF($X657="","",IFERROR(VLOOKUP($X657,'Char Popularity'!$A$2:$C$500,2,FALSE),""))</f>
        <v/>
      </c>
      <c r="Z657" s="56">
        <f>IF($X657="",1,IFERROR(VLOOKUP($X657,'Char Popularity'!$A$2:$C$500,3,FALSE),1))</f>
        <v>1</v>
      </c>
      <c r="AA657" s="62">
        <f>IF($H657&lt;&gt;"Y",0,(IF($F657&lt;&gt;"",ROUND(Dashboard!$R$4/$F657,1),IF(AND($I657="Base",$E657="Base"),Dashboard!$R$5,IF(AND($I657="Base",$E657="Red"),Dashboard!$R$6,IF(AND($I657="Base",$E657="Gold"),Dashboard!$R$7,VLOOKUP($I657,Dashboard!$Q$16:$R$21,2,FALSE)))))*VLOOKUP($I657,Dashboard!$Q$9:$R$13,2,FALSE)*IF(AND($I657="Auto",$F657="",OR($B657="Autographs Duals",$B657="Autographs Triples",$B657="Autographs Quads",$B657="Autographs Quads (Inscribed)")),IF($B657="Autographs Duals",2,IF($B657="Autographs Triples",3,4)),1)))</f>
        <v>142.9</v>
      </c>
      <c r="AB657" s="62">
        <f t="shared" si="141"/>
        <v>0</v>
      </c>
      <c r="AC657" s="62">
        <f t="shared" si="142"/>
        <v>0</v>
      </c>
    </row>
    <row r="658" spans="1:29" ht="42.95" customHeight="1" x14ac:dyDescent="0.25">
      <c r="A658" s="4" t="s">
        <v>17</v>
      </c>
      <c r="B658" s="7" t="s">
        <v>72</v>
      </c>
      <c r="C658" s="2" t="s">
        <v>1456</v>
      </c>
      <c r="D658" s="7" t="s">
        <v>956</v>
      </c>
      <c r="E658" s="4" t="s">
        <v>689</v>
      </c>
      <c r="F658" s="2">
        <v>7</v>
      </c>
      <c r="G658" s="2" t="s">
        <v>1399</v>
      </c>
      <c r="H658" s="2" t="s">
        <v>1400</v>
      </c>
      <c r="I658" s="4" t="s">
        <v>60</v>
      </c>
      <c r="J658" s="112">
        <f>IF($H658&lt;&gt;"Y",0,ROUND(MIN(Dashboard!$R$24,IF(IFERROR(VLOOKUP($B658,Dashboard!$Q$28:$S$60,2,FALSE),0)&gt;0,IFERROR(VLOOKUP($B658,Dashboard!$Q$28:$S$60,2,FALSE),0),$Z658*IF($U658&lt;&gt;"",ROUND((Dashboard!$R$4/$U658)*VLOOKUP($I658,Dashboard!$Q$9:$R$13,2,FALSE)*IF(ISNUMBER(SEARCH("Duals",$B658)),2,IF(ISNUMBER(SEARCH("Triples",$B658)),3,IF(ISNUMBER(SEARCH("Quads",$B658)),4,1))),2),ROUND(VLOOKUP($I658,Dashboard!$Q$15:$R$20,2,FALSE)*IF($E658="Red",Dashboard!$R$6,IF($E658="Gold",Dashboard!$R$7,Dashboard!$R$5))*IF(ISNUMBER(SEARCH("Duals",$B658)),2,IF(ISNUMBER(SEARCH("Triples",$B658)),3,IF(ISNUMBER(SEARCH("Quads",$B658)),4,1))),2))*IF(IFERROR(VLOOKUP($B658,Dashboard!$Q$28:$S$60,3,FALSE),0)&gt;0,VLOOKUP($B658,Dashboard!$Q$28:$S$60,3,FALSE),1))),0))</f>
        <v>143</v>
      </c>
      <c r="K658" s="2" t="str">
        <f>IF('Base S1'!I58="","",'Base S1'!I58)</f>
        <v/>
      </c>
      <c r="L658" s="2">
        <f t="shared" si="130"/>
        <v>0</v>
      </c>
      <c r="M658" s="2">
        <f t="shared" si="131"/>
        <v>0</v>
      </c>
      <c r="N658" s="2">
        <f t="shared" si="132"/>
        <v>0</v>
      </c>
      <c r="O658" s="2">
        <f t="shared" si="133"/>
        <v>1</v>
      </c>
      <c r="P658" s="112">
        <f t="shared" si="134"/>
        <v>0</v>
      </c>
      <c r="Q658" s="112">
        <f t="shared" si="135"/>
        <v>0</v>
      </c>
      <c r="R658" s="53"/>
      <c r="S658" s="53" t="str">
        <f t="shared" si="136"/>
        <v>Base S1|The Seven Parallel - Season 1|57|The Seven</v>
      </c>
      <c r="T658" s="57" t="str">
        <f>IF($S658="","",IFERROR(VLOOKUP($S658,'Pop Estimates (Non-#d)'!$N$2:$O$500,2,FALSE),""))</f>
        <v/>
      </c>
      <c r="U658" s="57">
        <f t="shared" si="137"/>
        <v>7</v>
      </c>
      <c r="V658" s="53" t="str">
        <f t="shared" si="138"/>
        <v/>
      </c>
      <c r="W658" s="53" t="str">
        <f t="shared" si="139"/>
        <v/>
      </c>
      <c r="X658" s="53" t="str">
        <f t="shared" si="140"/>
        <v/>
      </c>
      <c r="Y658" s="57" t="str">
        <f>IF($X658="","",IFERROR(VLOOKUP($X658,'Char Popularity'!$A$2:$C$500,2,FALSE),""))</f>
        <v/>
      </c>
      <c r="Z658" s="56">
        <f>IF($X658="",1,IFERROR(VLOOKUP($X658,'Char Popularity'!$A$2:$C$500,3,FALSE),1))</f>
        <v>1</v>
      </c>
      <c r="AA658" s="62">
        <f>IF($H658&lt;&gt;"Y",0,(IF($F658&lt;&gt;"",ROUND(Dashboard!$R$4/$F658,1),IF(AND($I658="Base",$E658="Base"),Dashboard!$R$5,IF(AND($I658="Base",$E658="Red"),Dashboard!$R$6,IF(AND($I658="Base",$E658="Gold"),Dashboard!$R$7,VLOOKUP($I658,Dashboard!$Q$16:$R$21,2,FALSE)))))*VLOOKUP($I658,Dashboard!$Q$9:$R$13,2,FALSE)*IF(AND($I658="Auto",$F658="",OR($B658="Autographs Duals",$B658="Autographs Triples",$B658="Autographs Quads",$B658="Autographs Quads (Inscribed)")),IF($B658="Autographs Duals",2,IF($B658="Autographs Triples",3,4)),1)))</f>
        <v>142.9</v>
      </c>
      <c r="AB658" s="62">
        <f t="shared" si="141"/>
        <v>0</v>
      </c>
      <c r="AC658" s="62">
        <f t="shared" si="142"/>
        <v>0</v>
      </c>
    </row>
    <row r="659" spans="1:29" ht="42.95" customHeight="1" x14ac:dyDescent="0.25">
      <c r="A659" s="4" t="s">
        <v>17</v>
      </c>
      <c r="B659" s="7" t="s">
        <v>72</v>
      </c>
      <c r="C659" s="2" t="s">
        <v>1457</v>
      </c>
      <c r="D659" s="7" t="s">
        <v>957</v>
      </c>
      <c r="E659" s="4" t="s">
        <v>689</v>
      </c>
      <c r="F659" s="2">
        <v>7</v>
      </c>
      <c r="G659" s="2" t="s">
        <v>1399</v>
      </c>
      <c r="H659" s="2" t="s">
        <v>1400</v>
      </c>
      <c r="I659" s="4" t="s">
        <v>60</v>
      </c>
      <c r="J659" s="112">
        <f>IF($H659&lt;&gt;"Y",0,ROUND(MIN(Dashboard!$R$24,IF(IFERROR(VLOOKUP($B659,Dashboard!$Q$28:$S$60,2,FALSE),0)&gt;0,IFERROR(VLOOKUP($B659,Dashboard!$Q$28:$S$60,2,FALSE),0),$Z659*IF($U659&lt;&gt;"",ROUND((Dashboard!$R$4/$U659)*VLOOKUP($I659,Dashboard!$Q$9:$R$13,2,FALSE)*IF(ISNUMBER(SEARCH("Duals",$B659)),2,IF(ISNUMBER(SEARCH("Triples",$B659)),3,IF(ISNUMBER(SEARCH("Quads",$B659)),4,1))),2),ROUND(VLOOKUP($I659,Dashboard!$Q$15:$R$20,2,FALSE)*IF($E659="Red",Dashboard!$R$6,IF($E659="Gold",Dashboard!$R$7,Dashboard!$R$5))*IF(ISNUMBER(SEARCH("Duals",$B659)),2,IF(ISNUMBER(SEARCH("Triples",$B659)),3,IF(ISNUMBER(SEARCH("Quads",$B659)),4,1))),2))*IF(IFERROR(VLOOKUP($B659,Dashboard!$Q$28:$S$60,3,FALSE),0)&gt;0,VLOOKUP($B659,Dashboard!$Q$28:$S$60,3,FALSE),1))),0))</f>
        <v>143</v>
      </c>
      <c r="K659" s="2" t="str">
        <f>IF('Base S1'!I59="","",'Base S1'!I59)</f>
        <v/>
      </c>
      <c r="L659" s="2">
        <f t="shared" si="130"/>
        <v>0</v>
      </c>
      <c r="M659" s="2">
        <f t="shared" si="131"/>
        <v>0</v>
      </c>
      <c r="N659" s="2">
        <f t="shared" si="132"/>
        <v>0</v>
      </c>
      <c r="O659" s="2">
        <f t="shared" si="133"/>
        <v>1</v>
      </c>
      <c r="P659" s="112">
        <f t="shared" si="134"/>
        <v>0</v>
      </c>
      <c r="Q659" s="112">
        <f t="shared" si="135"/>
        <v>0</v>
      </c>
      <c r="R659" s="53"/>
      <c r="S659" s="53" t="str">
        <f t="shared" si="136"/>
        <v>Base S1|The Seven Parallel - Season 1|58|The Seven</v>
      </c>
      <c r="T659" s="57" t="str">
        <f>IF($S659="","",IFERROR(VLOOKUP($S659,'Pop Estimates (Non-#d)'!$N$2:$O$500,2,FALSE),""))</f>
        <v/>
      </c>
      <c r="U659" s="57">
        <f t="shared" si="137"/>
        <v>7</v>
      </c>
      <c r="V659" s="53" t="str">
        <f t="shared" si="138"/>
        <v/>
      </c>
      <c r="W659" s="53" t="str">
        <f t="shared" si="139"/>
        <v/>
      </c>
      <c r="X659" s="53" t="str">
        <f t="shared" si="140"/>
        <v/>
      </c>
      <c r="Y659" s="57" t="str">
        <f>IF($X659="","",IFERROR(VLOOKUP($X659,'Char Popularity'!$A$2:$C$500,2,FALSE),""))</f>
        <v/>
      </c>
      <c r="Z659" s="56">
        <f>IF($X659="",1,IFERROR(VLOOKUP($X659,'Char Popularity'!$A$2:$C$500,3,FALSE),1))</f>
        <v>1</v>
      </c>
      <c r="AA659" s="62">
        <f>IF($H659&lt;&gt;"Y",0,(IF($F659&lt;&gt;"",ROUND(Dashboard!$R$4/$F659,1),IF(AND($I659="Base",$E659="Base"),Dashboard!$R$5,IF(AND($I659="Base",$E659="Red"),Dashboard!$R$6,IF(AND($I659="Base",$E659="Gold"),Dashboard!$R$7,VLOOKUP($I659,Dashboard!$Q$16:$R$21,2,FALSE)))))*VLOOKUP($I659,Dashboard!$Q$9:$R$13,2,FALSE)*IF(AND($I659="Auto",$F659="",OR($B659="Autographs Duals",$B659="Autographs Triples",$B659="Autographs Quads",$B659="Autographs Quads (Inscribed)")),IF($B659="Autographs Duals",2,IF($B659="Autographs Triples",3,4)),1)))</f>
        <v>142.9</v>
      </c>
      <c r="AB659" s="62">
        <f t="shared" si="141"/>
        <v>0</v>
      </c>
      <c r="AC659" s="62">
        <f t="shared" si="142"/>
        <v>0</v>
      </c>
    </row>
    <row r="660" spans="1:29" ht="42.95" customHeight="1" x14ac:dyDescent="0.25">
      <c r="A660" s="4" t="s">
        <v>17</v>
      </c>
      <c r="B660" s="7" t="s">
        <v>72</v>
      </c>
      <c r="C660" s="2" t="s">
        <v>1458</v>
      </c>
      <c r="D660" s="7" t="s">
        <v>960</v>
      </c>
      <c r="E660" s="4" t="s">
        <v>689</v>
      </c>
      <c r="F660" s="2">
        <v>7</v>
      </c>
      <c r="G660" s="2" t="s">
        <v>1399</v>
      </c>
      <c r="H660" s="2" t="s">
        <v>1400</v>
      </c>
      <c r="I660" s="4" t="s">
        <v>60</v>
      </c>
      <c r="J660" s="112">
        <f>IF($H660&lt;&gt;"Y",0,ROUND(MIN(Dashboard!$R$24,IF(IFERROR(VLOOKUP($B660,Dashboard!$Q$28:$S$60,2,FALSE),0)&gt;0,IFERROR(VLOOKUP($B660,Dashboard!$Q$28:$S$60,2,FALSE),0),$Z660*IF($U660&lt;&gt;"",ROUND((Dashboard!$R$4/$U660)*VLOOKUP($I660,Dashboard!$Q$9:$R$13,2,FALSE)*IF(ISNUMBER(SEARCH("Duals",$B660)),2,IF(ISNUMBER(SEARCH("Triples",$B660)),3,IF(ISNUMBER(SEARCH("Quads",$B660)),4,1))),2),ROUND(VLOOKUP($I660,Dashboard!$Q$15:$R$20,2,FALSE)*IF($E660="Red",Dashboard!$R$6,IF($E660="Gold",Dashboard!$R$7,Dashboard!$R$5))*IF(ISNUMBER(SEARCH("Duals",$B660)),2,IF(ISNUMBER(SEARCH("Triples",$B660)),3,IF(ISNUMBER(SEARCH("Quads",$B660)),4,1))),2))*IF(IFERROR(VLOOKUP($B660,Dashboard!$Q$28:$S$60,3,FALSE),0)&gt;0,VLOOKUP($B660,Dashboard!$Q$28:$S$60,3,FALSE),1))),0))</f>
        <v>143</v>
      </c>
      <c r="K660" s="2" t="str">
        <f>IF('Base S1'!I60="","",'Base S1'!I60)</f>
        <v/>
      </c>
      <c r="L660" s="2">
        <f t="shared" si="130"/>
        <v>0</v>
      </c>
      <c r="M660" s="2">
        <f t="shared" si="131"/>
        <v>0</v>
      </c>
      <c r="N660" s="2">
        <f t="shared" si="132"/>
        <v>0</v>
      </c>
      <c r="O660" s="2">
        <f t="shared" si="133"/>
        <v>1</v>
      </c>
      <c r="P660" s="112">
        <f t="shared" si="134"/>
        <v>0</v>
      </c>
      <c r="Q660" s="112">
        <f t="shared" si="135"/>
        <v>0</v>
      </c>
      <c r="R660" s="53"/>
      <c r="S660" s="53" t="str">
        <f t="shared" si="136"/>
        <v>Base S1|The Seven Parallel - Season 1|59|The Seven</v>
      </c>
      <c r="T660" s="57" t="str">
        <f>IF($S660="","",IFERROR(VLOOKUP($S660,'Pop Estimates (Non-#d)'!$N$2:$O$500,2,FALSE),""))</f>
        <v/>
      </c>
      <c r="U660" s="57">
        <f t="shared" si="137"/>
        <v>7</v>
      </c>
      <c r="V660" s="53" t="str">
        <f t="shared" si="138"/>
        <v/>
      </c>
      <c r="W660" s="53" t="str">
        <f t="shared" si="139"/>
        <v/>
      </c>
      <c r="X660" s="53" t="str">
        <f t="shared" si="140"/>
        <v/>
      </c>
      <c r="Y660" s="57" t="str">
        <f>IF($X660="","",IFERROR(VLOOKUP($X660,'Char Popularity'!$A$2:$C$500,2,FALSE),""))</f>
        <v/>
      </c>
      <c r="Z660" s="56">
        <f>IF($X660="",1,IFERROR(VLOOKUP($X660,'Char Popularity'!$A$2:$C$500,3,FALSE),1))</f>
        <v>1</v>
      </c>
      <c r="AA660" s="62">
        <f>IF($H660&lt;&gt;"Y",0,(IF($F660&lt;&gt;"",ROUND(Dashboard!$R$4/$F660,1),IF(AND($I660="Base",$E660="Base"),Dashboard!$R$5,IF(AND($I660="Base",$E660="Red"),Dashboard!$R$6,IF(AND($I660="Base",$E660="Gold"),Dashboard!$R$7,VLOOKUP($I660,Dashboard!$Q$16:$R$21,2,FALSE)))))*VLOOKUP($I660,Dashboard!$Q$9:$R$13,2,FALSE)*IF(AND($I660="Auto",$F660="",OR($B660="Autographs Duals",$B660="Autographs Triples",$B660="Autographs Quads",$B660="Autographs Quads (Inscribed)")),IF($B660="Autographs Duals",2,IF($B660="Autographs Triples",3,4)),1)))</f>
        <v>142.9</v>
      </c>
      <c r="AB660" s="62">
        <f t="shared" si="141"/>
        <v>0</v>
      </c>
      <c r="AC660" s="62">
        <f t="shared" si="142"/>
        <v>0</v>
      </c>
    </row>
    <row r="661" spans="1:29" ht="42.95" customHeight="1" x14ac:dyDescent="0.25">
      <c r="A661" s="4" t="s">
        <v>17</v>
      </c>
      <c r="B661" s="7" t="s">
        <v>72</v>
      </c>
      <c r="C661" s="2" t="s">
        <v>1459</v>
      </c>
      <c r="D661" s="7" t="s">
        <v>961</v>
      </c>
      <c r="E661" s="4" t="s">
        <v>689</v>
      </c>
      <c r="F661" s="2">
        <v>7</v>
      </c>
      <c r="G661" s="2" t="s">
        <v>1399</v>
      </c>
      <c r="H661" s="2" t="s">
        <v>1400</v>
      </c>
      <c r="I661" s="4" t="s">
        <v>60</v>
      </c>
      <c r="J661" s="112">
        <f>IF($H661&lt;&gt;"Y",0,ROUND(MIN(Dashboard!$R$24,IF(IFERROR(VLOOKUP($B661,Dashboard!$Q$28:$S$60,2,FALSE),0)&gt;0,IFERROR(VLOOKUP($B661,Dashboard!$Q$28:$S$60,2,FALSE),0),$Z661*IF($U661&lt;&gt;"",ROUND((Dashboard!$R$4/$U661)*VLOOKUP($I661,Dashboard!$Q$9:$R$13,2,FALSE)*IF(ISNUMBER(SEARCH("Duals",$B661)),2,IF(ISNUMBER(SEARCH("Triples",$B661)),3,IF(ISNUMBER(SEARCH("Quads",$B661)),4,1))),2),ROUND(VLOOKUP($I661,Dashboard!$Q$15:$R$20,2,FALSE)*IF($E661="Red",Dashboard!$R$6,IF($E661="Gold",Dashboard!$R$7,Dashboard!$R$5))*IF(ISNUMBER(SEARCH("Duals",$B661)),2,IF(ISNUMBER(SEARCH("Triples",$B661)),3,IF(ISNUMBER(SEARCH("Quads",$B661)),4,1))),2))*IF(IFERROR(VLOOKUP($B661,Dashboard!$Q$28:$S$60,3,FALSE),0)&gt;0,VLOOKUP($B661,Dashboard!$Q$28:$S$60,3,FALSE),1))),0))</f>
        <v>143</v>
      </c>
      <c r="K661" s="2" t="str">
        <f>IF('Base S1'!I61="","",'Base S1'!I61)</f>
        <v/>
      </c>
      <c r="L661" s="2">
        <f t="shared" si="130"/>
        <v>0</v>
      </c>
      <c r="M661" s="2">
        <f t="shared" si="131"/>
        <v>0</v>
      </c>
      <c r="N661" s="2">
        <f t="shared" si="132"/>
        <v>0</v>
      </c>
      <c r="O661" s="2">
        <f t="shared" si="133"/>
        <v>1</v>
      </c>
      <c r="P661" s="112">
        <f t="shared" si="134"/>
        <v>0</v>
      </c>
      <c r="Q661" s="112">
        <f t="shared" si="135"/>
        <v>0</v>
      </c>
      <c r="R661" s="53"/>
      <c r="S661" s="53" t="str">
        <f t="shared" si="136"/>
        <v>Base S1|The Seven Parallel - Season 1|60|The Seven</v>
      </c>
      <c r="T661" s="57" t="str">
        <f>IF($S661="","",IFERROR(VLOOKUP($S661,'Pop Estimates (Non-#d)'!$N$2:$O$500,2,FALSE),""))</f>
        <v/>
      </c>
      <c r="U661" s="57">
        <f t="shared" si="137"/>
        <v>7</v>
      </c>
      <c r="V661" s="53" t="str">
        <f t="shared" si="138"/>
        <v/>
      </c>
      <c r="W661" s="53" t="str">
        <f t="shared" si="139"/>
        <v/>
      </c>
      <c r="X661" s="53" t="str">
        <f t="shared" si="140"/>
        <v/>
      </c>
      <c r="Y661" s="57" t="str">
        <f>IF($X661="","",IFERROR(VLOOKUP($X661,'Char Popularity'!$A$2:$C$500,2,FALSE),""))</f>
        <v/>
      </c>
      <c r="Z661" s="56">
        <f>IF($X661="",1,IFERROR(VLOOKUP($X661,'Char Popularity'!$A$2:$C$500,3,FALSE),1))</f>
        <v>1</v>
      </c>
      <c r="AA661" s="62">
        <f>IF($H661&lt;&gt;"Y",0,(IF($F661&lt;&gt;"",ROUND(Dashboard!$R$4/$F661,1),IF(AND($I661="Base",$E661="Base"),Dashboard!$R$5,IF(AND($I661="Base",$E661="Red"),Dashboard!$R$6,IF(AND($I661="Base",$E661="Gold"),Dashboard!$R$7,VLOOKUP($I661,Dashboard!$Q$16:$R$21,2,FALSE)))))*VLOOKUP($I661,Dashboard!$Q$9:$R$13,2,FALSE)*IF(AND($I661="Auto",$F661="",OR($B661="Autographs Duals",$B661="Autographs Triples",$B661="Autographs Quads",$B661="Autographs Quads (Inscribed)")),IF($B661="Autographs Duals",2,IF($B661="Autographs Triples",3,4)),1)))</f>
        <v>142.9</v>
      </c>
      <c r="AB661" s="62">
        <f t="shared" si="141"/>
        <v>0</v>
      </c>
      <c r="AC661" s="62">
        <f t="shared" si="142"/>
        <v>0</v>
      </c>
    </row>
    <row r="662" spans="1:29" ht="42.95" customHeight="1" x14ac:dyDescent="0.25">
      <c r="A662" s="4" t="s">
        <v>17</v>
      </c>
      <c r="B662" s="7" t="s">
        <v>72</v>
      </c>
      <c r="C662" s="2" t="s">
        <v>1460</v>
      </c>
      <c r="D662" s="7" t="s">
        <v>962</v>
      </c>
      <c r="E662" s="4" t="s">
        <v>689</v>
      </c>
      <c r="F662" s="2">
        <v>7</v>
      </c>
      <c r="G662" s="2" t="s">
        <v>1399</v>
      </c>
      <c r="H662" s="2" t="s">
        <v>1400</v>
      </c>
      <c r="I662" s="4" t="s">
        <v>60</v>
      </c>
      <c r="J662" s="112">
        <f>IF($H662&lt;&gt;"Y",0,ROUND(MIN(Dashboard!$R$24,IF(IFERROR(VLOOKUP($B662,Dashboard!$Q$28:$S$60,2,FALSE),0)&gt;0,IFERROR(VLOOKUP($B662,Dashboard!$Q$28:$S$60,2,FALSE),0),$Z662*IF($U662&lt;&gt;"",ROUND((Dashboard!$R$4/$U662)*VLOOKUP($I662,Dashboard!$Q$9:$R$13,2,FALSE)*IF(ISNUMBER(SEARCH("Duals",$B662)),2,IF(ISNUMBER(SEARCH("Triples",$B662)),3,IF(ISNUMBER(SEARCH("Quads",$B662)),4,1))),2),ROUND(VLOOKUP($I662,Dashboard!$Q$15:$R$20,2,FALSE)*IF($E662="Red",Dashboard!$R$6,IF($E662="Gold",Dashboard!$R$7,Dashboard!$R$5))*IF(ISNUMBER(SEARCH("Duals",$B662)),2,IF(ISNUMBER(SEARCH("Triples",$B662)),3,IF(ISNUMBER(SEARCH("Quads",$B662)),4,1))),2))*IF(IFERROR(VLOOKUP($B662,Dashboard!$Q$28:$S$60,3,FALSE),0)&gt;0,VLOOKUP($B662,Dashboard!$Q$28:$S$60,3,FALSE),1))),0))</f>
        <v>143</v>
      </c>
      <c r="K662" s="2" t="str">
        <f>IF('Base S1'!I62="","",'Base S1'!I62)</f>
        <v/>
      </c>
      <c r="L662" s="2">
        <f t="shared" si="130"/>
        <v>0</v>
      </c>
      <c r="M662" s="2">
        <f t="shared" si="131"/>
        <v>0</v>
      </c>
      <c r="N662" s="2">
        <f t="shared" si="132"/>
        <v>0</v>
      </c>
      <c r="O662" s="2">
        <f t="shared" si="133"/>
        <v>1</v>
      </c>
      <c r="P662" s="112">
        <f t="shared" si="134"/>
        <v>0</v>
      </c>
      <c r="Q662" s="112">
        <f t="shared" si="135"/>
        <v>0</v>
      </c>
      <c r="R662" s="53"/>
      <c r="S662" s="53" t="str">
        <f t="shared" si="136"/>
        <v>Base S1|The Seven Parallel - Season 1|61|The Seven</v>
      </c>
      <c r="T662" s="57" t="str">
        <f>IF($S662="","",IFERROR(VLOOKUP($S662,'Pop Estimates (Non-#d)'!$N$2:$O$500,2,FALSE),""))</f>
        <v/>
      </c>
      <c r="U662" s="57">
        <f t="shared" si="137"/>
        <v>7</v>
      </c>
      <c r="V662" s="53" t="str">
        <f t="shared" si="138"/>
        <v/>
      </c>
      <c r="W662" s="53" t="str">
        <f t="shared" si="139"/>
        <v/>
      </c>
      <c r="X662" s="53" t="str">
        <f t="shared" si="140"/>
        <v/>
      </c>
      <c r="Y662" s="57" t="str">
        <f>IF($X662="","",IFERROR(VLOOKUP($X662,'Char Popularity'!$A$2:$C$500,2,FALSE),""))</f>
        <v/>
      </c>
      <c r="Z662" s="56">
        <f>IF($X662="",1,IFERROR(VLOOKUP($X662,'Char Popularity'!$A$2:$C$500,3,FALSE),1))</f>
        <v>1</v>
      </c>
      <c r="AA662" s="62">
        <f>IF($H662&lt;&gt;"Y",0,(IF($F662&lt;&gt;"",ROUND(Dashboard!$R$4/$F662,1),IF(AND($I662="Base",$E662="Base"),Dashboard!$R$5,IF(AND($I662="Base",$E662="Red"),Dashboard!$R$6,IF(AND($I662="Base",$E662="Gold"),Dashboard!$R$7,VLOOKUP($I662,Dashboard!$Q$16:$R$21,2,FALSE)))))*VLOOKUP($I662,Dashboard!$Q$9:$R$13,2,FALSE)*IF(AND($I662="Auto",$F662="",OR($B662="Autographs Duals",$B662="Autographs Triples",$B662="Autographs Quads",$B662="Autographs Quads (Inscribed)")),IF($B662="Autographs Duals",2,IF($B662="Autographs Triples",3,4)),1)))</f>
        <v>142.9</v>
      </c>
      <c r="AB662" s="62">
        <f t="shared" si="141"/>
        <v>0</v>
      </c>
      <c r="AC662" s="62">
        <f t="shared" si="142"/>
        <v>0</v>
      </c>
    </row>
    <row r="663" spans="1:29" ht="42.95" customHeight="1" x14ac:dyDescent="0.25">
      <c r="A663" s="4" t="s">
        <v>17</v>
      </c>
      <c r="B663" s="7" t="s">
        <v>72</v>
      </c>
      <c r="C663" s="2" t="s">
        <v>1461</v>
      </c>
      <c r="D663" s="7" t="s">
        <v>963</v>
      </c>
      <c r="E663" s="4" t="s">
        <v>689</v>
      </c>
      <c r="F663" s="2">
        <v>7</v>
      </c>
      <c r="G663" s="2" t="s">
        <v>1399</v>
      </c>
      <c r="H663" s="2" t="s">
        <v>1400</v>
      </c>
      <c r="I663" s="4" t="s">
        <v>60</v>
      </c>
      <c r="J663" s="112">
        <f>IF($H663&lt;&gt;"Y",0,ROUND(MIN(Dashboard!$R$24,IF(IFERROR(VLOOKUP($B663,Dashboard!$Q$28:$S$60,2,FALSE),0)&gt;0,IFERROR(VLOOKUP($B663,Dashboard!$Q$28:$S$60,2,FALSE),0),$Z663*IF($U663&lt;&gt;"",ROUND((Dashboard!$R$4/$U663)*VLOOKUP($I663,Dashboard!$Q$9:$R$13,2,FALSE)*IF(ISNUMBER(SEARCH("Duals",$B663)),2,IF(ISNUMBER(SEARCH("Triples",$B663)),3,IF(ISNUMBER(SEARCH("Quads",$B663)),4,1))),2),ROUND(VLOOKUP($I663,Dashboard!$Q$15:$R$20,2,FALSE)*IF($E663="Red",Dashboard!$R$6,IF($E663="Gold",Dashboard!$R$7,Dashboard!$R$5))*IF(ISNUMBER(SEARCH("Duals",$B663)),2,IF(ISNUMBER(SEARCH("Triples",$B663)),3,IF(ISNUMBER(SEARCH("Quads",$B663)),4,1))),2))*IF(IFERROR(VLOOKUP($B663,Dashboard!$Q$28:$S$60,3,FALSE),0)&gt;0,VLOOKUP($B663,Dashboard!$Q$28:$S$60,3,FALSE),1))),0))</f>
        <v>143</v>
      </c>
      <c r="K663" s="2" t="str">
        <f>IF('Base S1'!I63="","",'Base S1'!I63)</f>
        <v/>
      </c>
      <c r="L663" s="2">
        <f t="shared" si="130"/>
        <v>0</v>
      </c>
      <c r="M663" s="2">
        <f t="shared" si="131"/>
        <v>0</v>
      </c>
      <c r="N663" s="2">
        <f t="shared" si="132"/>
        <v>0</v>
      </c>
      <c r="O663" s="2">
        <f t="shared" si="133"/>
        <v>1</v>
      </c>
      <c r="P663" s="112">
        <f t="shared" si="134"/>
        <v>0</v>
      </c>
      <c r="Q663" s="112">
        <f t="shared" si="135"/>
        <v>0</v>
      </c>
      <c r="R663" s="53"/>
      <c r="S663" s="53" t="str">
        <f t="shared" si="136"/>
        <v>Base S1|The Seven Parallel - Season 1|62|The Seven</v>
      </c>
      <c r="T663" s="57" t="str">
        <f>IF($S663="","",IFERROR(VLOOKUP($S663,'Pop Estimates (Non-#d)'!$N$2:$O$500,2,FALSE),""))</f>
        <v/>
      </c>
      <c r="U663" s="57">
        <f t="shared" si="137"/>
        <v>7</v>
      </c>
      <c r="V663" s="53" t="str">
        <f t="shared" si="138"/>
        <v/>
      </c>
      <c r="W663" s="53" t="str">
        <f t="shared" si="139"/>
        <v/>
      </c>
      <c r="X663" s="53" t="str">
        <f t="shared" si="140"/>
        <v/>
      </c>
      <c r="Y663" s="57" t="str">
        <f>IF($X663="","",IFERROR(VLOOKUP($X663,'Char Popularity'!$A$2:$C$500,2,FALSE),""))</f>
        <v/>
      </c>
      <c r="Z663" s="56">
        <f>IF($X663="",1,IFERROR(VLOOKUP($X663,'Char Popularity'!$A$2:$C$500,3,FALSE),1))</f>
        <v>1</v>
      </c>
      <c r="AA663" s="62">
        <f>IF($H663&lt;&gt;"Y",0,(IF($F663&lt;&gt;"",ROUND(Dashboard!$R$4/$F663,1),IF(AND($I663="Base",$E663="Base"),Dashboard!$R$5,IF(AND($I663="Base",$E663="Red"),Dashboard!$R$6,IF(AND($I663="Base",$E663="Gold"),Dashboard!$R$7,VLOOKUP($I663,Dashboard!$Q$16:$R$21,2,FALSE)))))*VLOOKUP($I663,Dashboard!$Q$9:$R$13,2,FALSE)*IF(AND($I663="Auto",$F663="",OR($B663="Autographs Duals",$B663="Autographs Triples",$B663="Autographs Quads",$B663="Autographs Quads (Inscribed)")),IF($B663="Autographs Duals",2,IF($B663="Autographs Triples",3,4)),1)))</f>
        <v>142.9</v>
      </c>
      <c r="AB663" s="62">
        <f t="shared" si="141"/>
        <v>0</v>
      </c>
      <c r="AC663" s="62">
        <f t="shared" si="142"/>
        <v>0</v>
      </c>
    </row>
    <row r="664" spans="1:29" ht="42.95" customHeight="1" x14ac:dyDescent="0.25">
      <c r="A664" s="4" t="s">
        <v>17</v>
      </c>
      <c r="B664" s="7" t="s">
        <v>72</v>
      </c>
      <c r="C664" s="2" t="s">
        <v>1462</v>
      </c>
      <c r="D664" s="7" t="s">
        <v>966</v>
      </c>
      <c r="E664" s="4" t="s">
        <v>689</v>
      </c>
      <c r="F664" s="2">
        <v>7</v>
      </c>
      <c r="G664" s="2" t="s">
        <v>1399</v>
      </c>
      <c r="H664" s="2" t="s">
        <v>1400</v>
      </c>
      <c r="I664" s="4" t="s">
        <v>60</v>
      </c>
      <c r="J664" s="112">
        <f>IF($H664&lt;&gt;"Y",0,ROUND(MIN(Dashboard!$R$24,IF(IFERROR(VLOOKUP($B664,Dashboard!$Q$28:$S$60,2,FALSE),0)&gt;0,IFERROR(VLOOKUP($B664,Dashboard!$Q$28:$S$60,2,FALSE),0),$Z664*IF($U664&lt;&gt;"",ROUND((Dashboard!$R$4/$U664)*VLOOKUP($I664,Dashboard!$Q$9:$R$13,2,FALSE)*IF(ISNUMBER(SEARCH("Duals",$B664)),2,IF(ISNUMBER(SEARCH("Triples",$B664)),3,IF(ISNUMBER(SEARCH("Quads",$B664)),4,1))),2),ROUND(VLOOKUP($I664,Dashboard!$Q$15:$R$20,2,FALSE)*IF($E664="Red",Dashboard!$R$6,IF($E664="Gold",Dashboard!$R$7,Dashboard!$R$5))*IF(ISNUMBER(SEARCH("Duals",$B664)),2,IF(ISNUMBER(SEARCH("Triples",$B664)),3,IF(ISNUMBER(SEARCH("Quads",$B664)),4,1))),2))*IF(IFERROR(VLOOKUP($B664,Dashboard!$Q$28:$S$60,3,FALSE),0)&gt;0,VLOOKUP($B664,Dashboard!$Q$28:$S$60,3,FALSE),1))),0))</f>
        <v>143</v>
      </c>
      <c r="K664" s="2" t="str">
        <f>IF('Base S1'!I64="","",'Base S1'!I64)</f>
        <v/>
      </c>
      <c r="L664" s="2">
        <f t="shared" si="130"/>
        <v>0</v>
      </c>
      <c r="M664" s="2">
        <f t="shared" si="131"/>
        <v>0</v>
      </c>
      <c r="N664" s="2">
        <f t="shared" si="132"/>
        <v>0</v>
      </c>
      <c r="O664" s="2">
        <f t="shared" si="133"/>
        <v>1</v>
      </c>
      <c r="P664" s="112">
        <f t="shared" si="134"/>
        <v>0</v>
      </c>
      <c r="Q664" s="112">
        <f t="shared" si="135"/>
        <v>0</v>
      </c>
      <c r="R664" s="53"/>
      <c r="S664" s="53" t="str">
        <f t="shared" si="136"/>
        <v>Base S1|The Seven Parallel - Season 1|63|The Seven</v>
      </c>
      <c r="T664" s="57" t="str">
        <f>IF($S664="","",IFERROR(VLOOKUP($S664,'Pop Estimates (Non-#d)'!$N$2:$O$500,2,FALSE),""))</f>
        <v/>
      </c>
      <c r="U664" s="57">
        <f t="shared" si="137"/>
        <v>7</v>
      </c>
      <c r="V664" s="53" t="str">
        <f t="shared" si="138"/>
        <v/>
      </c>
      <c r="W664" s="53" t="str">
        <f t="shared" si="139"/>
        <v/>
      </c>
      <c r="X664" s="53" t="str">
        <f t="shared" si="140"/>
        <v/>
      </c>
      <c r="Y664" s="57" t="str">
        <f>IF($X664="","",IFERROR(VLOOKUP($X664,'Char Popularity'!$A$2:$C$500,2,FALSE),""))</f>
        <v/>
      </c>
      <c r="Z664" s="56">
        <f>IF($X664="",1,IFERROR(VLOOKUP($X664,'Char Popularity'!$A$2:$C$500,3,FALSE),1))</f>
        <v>1</v>
      </c>
      <c r="AA664" s="62">
        <f>IF($H664&lt;&gt;"Y",0,(IF($F664&lt;&gt;"",ROUND(Dashboard!$R$4/$F664,1),IF(AND($I664="Base",$E664="Base"),Dashboard!$R$5,IF(AND($I664="Base",$E664="Red"),Dashboard!$R$6,IF(AND($I664="Base",$E664="Gold"),Dashboard!$R$7,VLOOKUP($I664,Dashboard!$Q$16:$R$21,2,FALSE)))))*VLOOKUP($I664,Dashboard!$Q$9:$R$13,2,FALSE)*IF(AND($I664="Auto",$F664="",OR($B664="Autographs Duals",$B664="Autographs Triples",$B664="Autographs Quads",$B664="Autographs Quads (Inscribed)")),IF($B664="Autographs Duals",2,IF($B664="Autographs Triples",3,4)),1)))</f>
        <v>142.9</v>
      </c>
      <c r="AB664" s="62">
        <f t="shared" si="141"/>
        <v>0</v>
      </c>
      <c r="AC664" s="62">
        <f t="shared" si="142"/>
        <v>0</v>
      </c>
    </row>
    <row r="665" spans="1:29" ht="42.95" customHeight="1" x14ac:dyDescent="0.25">
      <c r="A665" s="4" t="s">
        <v>17</v>
      </c>
      <c r="B665" s="7" t="s">
        <v>72</v>
      </c>
      <c r="C665" s="2" t="s">
        <v>1463</v>
      </c>
      <c r="D665" s="7" t="s">
        <v>968</v>
      </c>
      <c r="E665" s="4" t="s">
        <v>689</v>
      </c>
      <c r="F665" s="2">
        <v>7</v>
      </c>
      <c r="G665" s="2" t="s">
        <v>1399</v>
      </c>
      <c r="H665" s="2" t="s">
        <v>1400</v>
      </c>
      <c r="I665" s="4" t="s">
        <v>60</v>
      </c>
      <c r="J665" s="112">
        <f>IF($H665&lt;&gt;"Y",0,ROUND(MIN(Dashboard!$R$24,IF(IFERROR(VLOOKUP($B665,Dashboard!$Q$28:$S$60,2,FALSE),0)&gt;0,IFERROR(VLOOKUP($B665,Dashboard!$Q$28:$S$60,2,FALSE),0),$Z665*IF($U665&lt;&gt;"",ROUND((Dashboard!$R$4/$U665)*VLOOKUP($I665,Dashboard!$Q$9:$R$13,2,FALSE)*IF(ISNUMBER(SEARCH("Duals",$B665)),2,IF(ISNUMBER(SEARCH("Triples",$B665)),3,IF(ISNUMBER(SEARCH("Quads",$B665)),4,1))),2),ROUND(VLOOKUP($I665,Dashboard!$Q$15:$R$20,2,FALSE)*IF($E665="Red",Dashboard!$R$6,IF($E665="Gold",Dashboard!$R$7,Dashboard!$R$5))*IF(ISNUMBER(SEARCH("Duals",$B665)),2,IF(ISNUMBER(SEARCH("Triples",$B665)),3,IF(ISNUMBER(SEARCH("Quads",$B665)),4,1))),2))*IF(IFERROR(VLOOKUP($B665,Dashboard!$Q$28:$S$60,3,FALSE),0)&gt;0,VLOOKUP($B665,Dashboard!$Q$28:$S$60,3,FALSE),1))),0))</f>
        <v>143</v>
      </c>
      <c r="K665" s="2" t="str">
        <f>IF('Base S1'!I65="","",'Base S1'!I65)</f>
        <v/>
      </c>
      <c r="L665" s="2">
        <f t="shared" si="130"/>
        <v>0</v>
      </c>
      <c r="M665" s="2">
        <f t="shared" si="131"/>
        <v>0</v>
      </c>
      <c r="N665" s="2">
        <f t="shared" si="132"/>
        <v>0</v>
      </c>
      <c r="O665" s="2">
        <f t="shared" si="133"/>
        <v>1</v>
      </c>
      <c r="P665" s="112">
        <f t="shared" si="134"/>
        <v>0</v>
      </c>
      <c r="Q665" s="112">
        <f t="shared" si="135"/>
        <v>0</v>
      </c>
      <c r="R665" s="53"/>
      <c r="S665" s="53" t="str">
        <f t="shared" si="136"/>
        <v>Base S1|The Seven Parallel - Season 1|64|The Seven</v>
      </c>
      <c r="T665" s="57" t="str">
        <f>IF($S665="","",IFERROR(VLOOKUP($S665,'Pop Estimates (Non-#d)'!$N$2:$O$500,2,FALSE),""))</f>
        <v/>
      </c>
      <c r="U665" s="57">
        <f t="shared" si="137"/>
        <v>7</v>
      </c>
      <c r="V665" s="53" t="str">
        <f t="shared" si="138"/>
        <v/>
      </c>
      <c r="W665" s="53" t="str">
        <f t="shared" si="139"/>
        <v/>
      </c>
      <c r="X665" s="53" t="str">
        <f t="shared" si="140"/>
        <v/>
      </c>
      <c r="Y665" s="57" t="str">
        <f>IF($X665="","",IFERROR(VLOOKUP($X665,'Char Popularity'!$A$2:$C$500,2,FALSE),""))</f>
        <v/>
      </c>
      <c r="Z665" s="56">
        <f>IF($X665="",1,IFERROR(VLOOKUP($X665,'Char Popularity'!$A$2:$C$500,3,FALSE),1))</f>
        <v>1</v>
      </c>
      <c r="AA665" s="62">
        <f>IF($H665&lt;&gt;"Y",0,(IF($F665&lt;&gt;"",ROUND(Dashboard!$R$4/$F665,1),IF(AND($I665="Base",$E665="Base"),Dashboard!$R$5,IF(AND($I665="Base",$E665="Red"),Dashboard!$R$6,IF(AND($I665="Base",$E665="Gold"),Dashboard!$R$7,VLOOKUP($I665,Dashboard!$Q$16:$R$21,2,FALSE)))))*VLOOKUP($I665,Dashboard!$Q$9:$R$13,2,FALSE)*IF(AND($I665="Auto",$F665="",OR($B665="Autographs Duals",$B665="Autographs Triples",$B665="Autographs Quads",$B665="Autographs Quads (Inscribed)")),IF($B665="Autographs Duals",2,IF($B665="Autographs Triples",3,4)),1)))</f>
        <v>142.9</v>
      </c>
      <c r="AB665" s="62">
        <f t="shared" si="141"/>
        <v>0</v>
      </c>
      <c r="AC665" s="62">
        <f t="shared" si="142"/>
        <v>0</v>
      </c>
    </row>
    <row r="666" spans="1:29" ht="42.95" customHeight="1" x14ac:dyDescent="0.25">
      <c r="A666" s="4" t="s">
        <v>17</v>
      </c>
      <c r="B666" s="7" t="s">
        <v>72</v>
      </c>
      <c r="C666" s="2" t="s">
        <v>1464</v>
      </c>
      <c r="D666" s="7" t="s">
        <v>971</v>
      </c>
      <c r="E666" s="4" t="s">
        <v>689</v>
      </c>
      <c r="F666" s="2">
        <v>7</v>
      </c>
      <c r="G666" s="2" t="s">
        <v>1399</v>
      </c>
      <c r="H666" s="2" t="s">
        <v>1400</v>
      </c>
      <c r="I666" s="4" t="s">
        <v>60</v>
      </c>
      <c r="J666" s="112">
        <f>IF($H666&lt;&gt;"Y",0,ROUND(MIN(Dashboard!$R$24,IF(IFERROR(VLOOKUP($B666,Dashboard!$Q$28:$S$60,2,FALSE),0)&gt;0,IFERROR(VLOOKUP($B666,Dashboard!$Q$28:$S$60,2,FALSE),0),$Z666*IF($U666&lt;&gt;"",ROUND((Dashboard!$R$4/$U666)*VLOOKUP($I666,Dashboard!$Q$9:$R$13,2,FALSE)*IF(ISNUMBER(SEARCH("Duals",$B666)),2,IF(ISNUMBER(SEARCH("Triples",$B666)),3,IF(ISNUMBER(SEARCH("Quads",$B666)),4,1))),2),ROUND(VLOOKUP($I666,Dashboard!$Q$15:$R$20,2,FALSE)*IF($E666="Red",Dashboard!$R$6,IF($E666="Gold",Dashboard!$R$7,Dashboard!$R$5))*IF(ISNUMBER(SEARCH("Duals",$B666)),2,IF(ISNUMBER(SEARCH("Triples",$B666)),3,IF(ISNUMBER(SEARCH("Quads",$B666)),4,1))),2))*IF(IFERROR(VLOOKUP($B666,Dashboard!$Q$28:$S$60,3,FALSE),0)&gt;0,VLOOKUP($B666,Dashboard!$Q$28:$S$60,3,FALSE),1))),0))</f>
        <v>143</v>
      </c>
      <c r="K666" s="2" t="str">
        <f>IF('Base S1'!I66="","",'Base S1'!I66)</f>
        <v/>
      </c>
      <c r="L666" s="2">
        <f t="shared" si="130"/>
        <v>0</v>
      </c>
      <c r="M666" s="2">
        <f t="shared" si="131"/>
        <v>0</v>
      </c>
      <c r="N666" s="2">
        <f t="shared" si="132"/>
        <v>0</v>
      </c>
      <c r="O666" s="2">
        <f t="shared" si="133"/>
        <v>1</v>
      </c>
      <c r="P666" s="112">
        <f t="shared" si="134"/>
        <v>0</v>
      </c>
      <c r="Q666" s="112">
        <f t="shared" si="135"/>
        <v>0</v>
      </c>
      <c r="R666" s="53"/>
      <c r="S666" s="53" t="str">
        <f t="shared" si="136"/>
        <v>Base S1|The Seven Parallel - Season 1|65|The Seven</v>
      </c>
      <c r="T666" s="57" t="str">
        <f>IF($S666="","",IFERROR(VLOOKUP($S666,'Pop Estimates (Non-#d)'!$N$2:$O$500,2,FALSE),""))</f>
        <v/>
      </c>
      <c r="U666" s="57">
        <f t="shared" si="137"/>
        <v>7</v>
      </c>
      <c r="V666" s="53" t="str">
        <f t="shared" si="138"/>
        <v/>
      </c>
      <c r="W666" s="53" t="str">
        <f t="shared" si="139"/>
        <v/>
      </c>
      <c r="X666" s="53" t="str">
        <f t="shared" si="140"/>
        <v/>
      </c>
      <c r="Y666" s="57" t="str">
        <f>IF($X666="","",IFERROR(VLOOKUP($X666,'Char Popularity'!$A$2:$C$500,2,FALSE),""))</f>
        <v/>
      </c>
      <c r="Z666" s="56">
        <f>IF($X666="",1,IFERROR(VLOOKUP($X666,'Char Popularity'!$A$2:$C$500,3,FALSE),1))</f>
        <v>1</v>
      </c>
      <c r="AA666" s="62">
        <f>IF($H666&lt;&gt;"Y",0,(IF($F666&lt;&gt;"",ROUND(Dashboard!$R$4/$F666,1),IF(AND($I666="Base",$E666="Base"),Dashboard!$R$5,IF(AND($I666="Base",$E666="Red"),Dashboard!$R$6,IF(AND($I666="Base",$E666="Gold"),Dashboard!$R$7,VLOOKUP($I666,Dashboard!$Q$16:$R$21,2,FALSE)))))*VLOOKUP($I666,Dashboard!$Q$9:$R$13,2,FALSE)*IF(AND($I666="Auto",$F666="",OR($B666="Autographs Duals",$B666="Autographs Triples",$B666="Autographs Quads",$B666="Autographs Quads (Inscribed)")),IF($B666="Autographs Duals",2,IF($B666="Autographs Triples",3,4)),1)))</f>
        <v>142.9</v>
      </c>
      <c r="AB666" s="62">
        <f t="shared" si="141"/>
        <v>0</v>
      </c>
      <c r="AC666" s="62">
        <f t="shared" si="142"/>
        <v>0</v>
      </c>
    </row>
    <row r="667" spans="1:29" ht="42.95" customHeight="1" x14ac:dyDescent="0.25">
      <c r="A667" s="4" t="s">
        <v>17</v>
      </c>
      <c r="B667" s="7" t="s">
        <v>72</v>
      </c>
      <c r="C667" s="2" t="s">
        <v>1465</v>
      </c>
      <c r="D667" s="7" t="s">
        <v>973</v>
      </c>
      <c r="E667" s="4" t="s">
        <v>689</v>
      </c>
      <c r="F667" s="2">
        <v>7</v>
      </c>
      <c r="G667" s="2" t="s">
        <v>1399</v>
      </c>
      <c r="H667" s="2" t="s">
        <v>1400</v>
      </c>
      <c r="I667" s="4" t="s">
        <v>60</v>
      </c>
      <c r="J667" s="112">
        <f>IF($H667&lt;&gt;"Y",0,ROUND(MIN(Dashboard!$R$24,IF(IFERROR(VLOOKUP($B667,Dashboard!$Q$28:$S$60,2,FALSE),0)&gt;0,IFERROR(VLOOKUP($B667,Dashboard!$Q$28:$S$60,2,FALSE),0),$Z667*IF($U667&lt;&gt;"",ROUND((Dashboard!$R$4/$U667)*VLOOKUP($I667,Dashboard!$Q$9:$R$13,2,FALSE)*IF(ISNUMBER(SEARCH("Duals",$B667)),2,IF(ISNUMBER(SEARCH("Triples",$B667)),3,IF(ISNUMBER(SEARCH("Quads",$B667)),4,1))),2),ROUND(VLOOKUP($I667,Dashboard!$Q$15:$R$20,2,FALSE)*IF($E667="Red",Dashboard!$R$6,IF($E667="Gold",Dashboard!$R$7,Dashboard!$R$5))*IF(ISNUMBER(SEARCH("Duals",$B667)),2,IF(ISNUMBER(SEARCH("Triples",$B667)),3,IF(ISNUMBER(SEARCH("Quads",$B667)),4,1))),2))*IF(IFERROR(VLOOKUP($B667,Dashboard!$Q$28:$S$60,3,FALSE),0)&gt;0,VLOOKUP($B667,Dashboard!$Q$28:$S$60,3,FALSE),1))),0))</f>
        <v>143</v>
      </c>
      <c r="K667" s="2" t="str">
        <f>IF('Base S1'!I67="","",'Base S1'!I67)</f>
        <v/>
      </c>
      <c r="L667" s="2">
        <f t="shared" si="130"/>
        <v>0</v>
      </c>
      <c r="M667" s="2">
        <f t="shared" si="131"/>
        <v>0</v>
      </c>
      <c r="N667" s="2">
        <f t="shared" si="132"/>
        <v>0</v>
      </c>
      <c r="O667" s="2">
        <f t="shared" si="133"/>
        <v>1</v>
      </c>
      <c r="P667" s="112">
        <f t="shared" si="134"/>
        <v>0</v>
      </c>
      <c r="Q667" s="112">
        <f t="shared" si="135"/>
        <v>0</v>
      </c>
      <c r="R667" s="53"/>
      <c r="S667" s="53" t="str">
        <f t="shared" si="136"/>
        <v>Base S1|The Seven Parallel - Season 1|66|The Seven</v>
      </c>
      <c r="T667" s="57" t="str">
        <f>IF($S667="","",IFERROR(VLOOKUP($S667,'Pop Estimates (Non-#d)'!$N$2:$O$500,2,FALSE),""))</f>
        <v/>
      </c>
      <c r="U667" s="57">
        <f t="shared" si="137"/>
        <v>7</v>
      </c>
      <c r="V667" s="53" t="str">
        <f t="shared" si="138"/>
        <v/>
      </c>
      <c r="W667" s="53" t="str">
        <f t="shared" si="139"/>
        <v/>
      </c>
      <c r="X667" s="53" t="str">
        <f t="shared" si="140"/>
        <v/>
      </c>
      <c r="Y667" s="57" t="str">
        <f>IF($X667="","",IFERROR(VLOOKUP($X667,'Char Popularity'!$A$2:$C$500,2,FALSE),""))</f>
        <v/>
      </c>
      <c r="Z667" s="56">
        <f>IF($X667="",1,IFERROR(VLOOKUP($X667,'Char Popularity'!$A$2:$C$500,3,FALSE),1))</f>
        <v>1</v>
      </c>
      <c r="AA667" s="62">
        <f>IF($H667&lt;&gt;"Y",0,(IF($F667&lt;&gt;"",ROUND(Dashboard!$R$4/$F667,1),IF(AND($I667="Base",$E667="Base"),Dashboard!$R$5,IF(AND($I667="Base",$E667="Red"),Dashboard!$R$6,IF(AND($I667="Base",$E667="Gold"),Dashboard!$R$7,VLOOKUP($I667,Dashboard!$Q$16:$R$21,2,FALSE)))))*VLOOKUP($I667,Dashboard!$Q$9:$R$13,2,FALSE)*IF(AND($I667="Auto",$F667="",OR($B667="Autographs Duals",$B667="Autographs Triples",$B667="Autographs Quads",$B667="Autographs Quads (Inscribed)")),IF($B667="Autographs Duals",2,IF($B667="Autographs Triples",3,4)),1)))</f>
        <v>142.9</v>
      </c>
      <c r="AB667" s="62">
        <f t="shared" si="141"/>
        <v>0</v>
      </c>
      <c r="AC667" s="62">
        <f t="shared" si="142"/>
        <v>0</v>
      </c>
    </row>
    <row r="668" spans="1:29" ht="42.95" customHeight="1" x14ac:dyDescent="0.25">
      <c r="A668" s="4" t="s">
        <v>17</v>
      </c>
      <c r="B668" s="7" t="s">
        <v>72</v>
      </c>
      <c r="C668" s="2" t="s">
        <v>1466</v>
      </c>
      <c r="D668" s="7" t="s">
        <v>974</v>
      </c>
      <c r="E668" s="4" t="s">
        <v>689</v>
      </c>
      <c r="F668" s="2">
        <v>7</v>
      </c>
      <c r="G668" s="2" t="s">
        <v>1399</v>
      </c>
      <c r="H668" s="2" t="s">
        <v>1400</v>
      </c>
      <c r="I668" s="4" t="s">
        <v>60</v>
      </c>
      <c r="J668" s="112">
        <f>IF($H668&lt;&gt;"Y",0,ROUND(MIN(Dashboard!$R$24,IF(IFERROR(VLOOKUP($B668,Dashboard!$Q$28:$S$60,2,FALSE),0)&gt;0,IFERROR(VLOOKUP($B668,Dashboard!$Q$28:$S$60,2,FALSE),0),$Z668*IF($U668&lt;&gt;"",ROUND((Dashboard!$R$4/$U668)*VLOOKUP($I668,Dashboard!$Q$9:$R$13,2,FALSE)*IF(ISNUMBER(SEARCH("Duals",$B668)),2,IF(ISNUMBER(SEARCH("Triples",$B668)),3,IF(ISNUMBER(SEARCH("Quads",$B668)),4,1))),2),ROUND(VLOOKUP($I668,Dashboard!$Q$15:$R$20,2,FALSE)*IF($E668="Red",Dashboard!$R$6,IF($E668="Gold",Dashboard!$R$7,Dashboard!$R$5))*IF(ISNUMBER(SEARCH("Duals",$B668)),2,IF(ISNUMBER(SEARCH("Triples",$B668)),3,IF(ISNUMBER(SEARCH("Quads",$B668)),4,1))),2))*IF(IFERROR(VLOOKUP($B668,Dashboard!$Q$28:$S$60,3,FALSE),0)&gt;0,VLOOKUP($B668,Dashboard!$Q$28:$S$60,3,FALSE),1))),0))</f>
        <v>143</v>
      </c>
      <c r="K668" s="2" t="str">
        <f>IF('Base S1'!I68="","",'Base S1'!I68)</f>
        <v/>
      </c>
      <c r="L668" s="2">
        <f t="shared" si="130"/>
        <v>0</v>
      </c>
      <c r="M668" s="2">
        <f t="shared" si="131"/>
        <v>0</v>
      </c>
      <c r="N668" s="2">
        <f t="shared" si="132"/>
        <v>0</v>
      </c>
      <c r="O668" s="2">
        <f t="shared" si="133"/>
        <v>1</v>
      </c>
      <c r="P668" s="112">
        <f t="shared" si="134"/>
        <v>0</v>
      </c>
      <c r="Q668" s="112">
        <f t="shared" si="135"/>
        <v>0</v>
      </c>
      <c r="R668" s="53"/>
      <c r="S668" s="53" t="str">
        <f t="shared" si="136"/>
        <v>Base S1|The Seven Parallel - Season 1|67|The Seven</v>
      </c>
      <c r="T668" s="57" t="str">
        <f>IF($S668="","",IFERROR(VLOOKUP($S668,'Pop Estimates (Non-#d)'!$N$2:$O$500,2,FALSE),""))</f>
        <v/>
      </c>
      <c r="U668" s="57">
        <f t="shared" si="137"/>
        <v>7</v>
      </c>
      <c r="V668" s="53" t="str">
        <f t="shared" si="138"/>
        <v/>
      </c>
      <c r="W668" s="53" t="str">
        <f t="shared" si="139"/>
        <v/>
      </c>
      <c r="X668" s="53" t="str">
        <f t="shared" si="140"/>
        <v/>
      </c>
      <c r="Y668" s="57" t="str">
        <f>IF($X668="","",IFERROR(VLOOKUP($X668,'Char Popularity'!$A$2:$C$500,2,FALSE),""))</f>
        <v/>
      </c>
      <c r="Z668" s="56">
        <f>IF($X668="",1,IFERROR(VLOOKUP($X668,'Char Popularity'!$A$2:$C$500,3,FALSE),1))</f>
        <v>1</v>
      </c>
      <c r="AA668" s="62">
        <f>IF($H668&lt;&gt;"Y",0,(IF($F668&lt;&gt;"",ROUND(Dashboard!$R$4/$F668,1),IF(AND($I668="Base",$E668="Base"),Dashboard!$R$5,IF(AND($I668="Base",$E668="Red"),Dashboard!$R$6,IF(AND($I668="Base",$E668="Gold"),Dashboard!$R$7,VLOOKUP($I668,Dashboard!$Q$16:$R$21,2,FALSE)))))*VLOOKUP($I668,Dashboard!$Q$9:$R$13,2,FALSE)*IF(AND($I668="Auto",$F668="",OR($B668="Autographs Duals",$B668="Autographs Triples",$B668="Autographs Quads",$B668="Autographs Quads (Inscribed)")),IF($B668="Autographs Duals",2,IF($B668="Autographs Triples",3,4)),1)))</f>
        <v>142.9</v>
      </c>
      <c r="AB668" s="62">
        <f t="shared" si="141"/>
        <v>0</v>
      </c>
      <c r="AC668" s="62">
        <f t="shared" si="142"/>
        <v>0</v>
      </c>
    </row>
    <row r="669" spans="1:29" ht="42.95" customHeight="1" x14ac:dyDescent="0.25">
      <c r="A669" s="4" t="s">
        <v>17</v>
      </c>
      <c r="B669" s="7" t="s">
        <v>72</v>
      </c>
      <c r="C669" s="2" t="s">
        <v>1467</v>
      </c>
      <c r="D669" s="7" t="s">
        <v>977</v>
      </c>
      <c r="E669" s="4" t="s">
        <v>689</v>
      </c>
      <c r="F669" s="2">
        <v>7</v>
      </c>
      <c r="G669" s="2" t="s">
        <v>1399</v>
      </c>
      <c r="H669" s="2" t="s">
        <v>1400</v>
      </c>
      <c r="I669" s="4" t="s">
        <v>60</v>
      </c>
      <c r="J669" s="112">
        <f>IF($H669&lt;&gt;"Y",0,ROUND(MIN(Dashboard!$R$24,IF(IFERROR(VLOOKUP($B669,Dashboard!$Q$28:$S$60,2,FALSE),0)&gt;0,IFERROR(VLOOKUP($B669,Dashboard!$Q$28:$S$60,2,FALSE),0),$Z669*IF($U669&lt;&gt;"",ROUND((Dashboard!$R$4/$U669)*VLOOKUP($I669,Dashboard!$Q$9:$R$13,2,FALSE)*IF(ISNUMBER(SEARCH("Duals",$B669)),2,IF(ISNUMBER(SEARCH("Triples",$B669)),3,IF(ISNUMBER(SEARCH("Quads",$B669)),4,1))),2),ROUND(VLOOKUP($I669,Dashboard!$Q$15:$R$20,2,FALSE)*IF($E669="Red",Dashboard!$R$6,IF($E669="Gold",Dashboard!$R$7,Dashboard!$R$5))*IF(ISNUMBER(SEARCH("Duals",$B669)),2,IF(ISNUMBER(SEARCH("Triples",$B669)),3,IF(ISNUMBER(SEARCH("Quads",$B669)),4,1))),2))*IF(IFERROR(VLOOKUP($B669,Dashboard!$Q$28:$S$60,3,FALSE),0)&gt;0,VLOOKUP($B669,Dashboard!$Q$28:$S$60,3,FALSE),1))),0))</f>
        <v>143</v>
      </c>
      <c r="K669" s="2" t="str">
        <f>IF('Base S1'!I69="","",'Base S1'!I69)</f>
        <v/>
      </c>
      <c r="L669" s="2">
        <f t="shared" si="130"/>
        <v>0</v>
      </c>
      <c r="M669" s="2">
        <f t="shared" si="131"/>
        <v>0</v>
      </c>
      <c r="N669" s="2">
        <f t="shared" si="132"/>
        <v>0</v>
      </c>
      <c r="O669" s="2">
        <f t="shared" si="133"/>
        <v>1</v>
      </c>
      <c r="P669" s="112">
        <f t="shared" si="134"/>
        <v>0</v>
      </c>
      <c r="Q669" s="112">
        <f t="shared" si="135"/>
        <v>0</v>
      </c>
      <c r="R669" s="53"/>
      <c r="S669" s="53" t="str">
        <f t="shared" si="136"/>
        <v>Base S1|The Seven Parallel - Season 1|68|The Seven</v>
      </c>
      <c r="T669" s="57" t="str">
        <f>IF($S669="","",IFERROR(VLOOKUP($S669,'Pop Estimates (Non-#d)'!$N$2:$O$500,2,FALSE),""))</f>
        <v/>
      </c>
      <c r="U669" s="57">
        <f t="shared" si="137"/>
        <v>7</v>
      </c>
      <c r="V669" s="53" t="str">
        <f t="shared" si="138"/>
        <v/>
      </c>
      <c r="W669" s="53" t="str">
        <f t="shared" si="139"/>
        <v/>
      </c>
      <c r="X669" s="53" t="str">
        <f t="shared" si="140"/>
        <v/>
      </c>
      <c r="Y669" s="57" t="str">
        <f>IF($X669="","",IFERROR(VLOOKUP($X669,'Char Popularity'!$A$2:$C$500,2,FALSE),""))</f>
        <v/>
      </c>
      <c r="Z669" s="56">
        <f>IF($X669="",1,IFERROR(VLOOKUP($X669,'Char Popularity'!$A$2:$C$500,3,FALSE),1))</f>
        <v>1</v>
      </c>
      <c r="AA669" s="62">
        <f>IF($H669&lt;&gt;"Y",0,(IF($F669&lt;&gt;"",ROUND(Dashboard!$R$4/$F669,1),IF(AND($I669="Base",$E669="Base"),Dashboard!$R$5,IF(AND($I669="Base",$E669="Red"),Dashboard!$R$6,IF(AND($I669="Base",$E669="Gold"),Dashboard!$R$7,VLOOKUP($I669,Dashboard!$Q$16:$R$21,2,FALSE)))))*VLOOKUP($I669,Dashboard!$Q$9:$R$13,2,FALSE)*IF(AND($I669="Auto",$F669="",OR($B669="Autographs Duals",$B669="Autographs Triples",$B669="Autographs Quads",$B669="Autographs Quads (Inscribed)")),IF($B669="Autographs Duals",2,IF($B669="Autographs Triples",3,4)),1)))</f>
        <v>142.9</v>
      </c>
      <c r="AB669" s="62">
        <f t="shared" si="141"/>
        <v>0</v>
      </c>
      <c r="AC669" s="62">
        <f t="shared" si="142"/>
        <v>0</v>
      </c>
    </row>
    <row r="670" spans="1:29" ht="42.95" customHeight="1" x14ac:dyDescent="0.25">
      <c r="A670" s="4" t="s">
        <v>17</v>
      </c>
      <c r="B670" s="7" t="s">
        <v>72</v>
      </c>
      <c r="C670" s="2" t="s">
        <v>1468</v>
      </c>
      <c r="D670" s="7" t="s">
        <v>979</v>
      </c>
      <c r="E670" s="4" t="s">
        <v>689</v>
      </c>
      <c r="F670" s="2">
        <v>7</v>
      </c>
      <c r="G670" s="2" t="s">
        <v>1399</v>
      </c>
      <c r="H670" s="2" t="s">
        <v>1400</v>
      </c>
      <c r="I670" s="4" t="s">
        <v>60</v>
      </c>
      <c r="J670" s="112">
        <f>IF($H670&lt;&gt;"Y",0,ROUND(MIN(Dashboard!$R$24,IF(IFERROR(VLOOKUP($B670,Dashboard!$Q$28:$S$60,2,FALSE),0)&gt;0,IFERROR(VLOOKUP($B670,Dashboard!$Q$28:$S$60,2,FALSE),0),$Z670*IF($U670&lt;&gt;"",ROUND((Dashboard!$R$4/$U670)*VLOOKUP($I670,Dashboard!$Q$9:$R$13,2,FALSE)*IF(ISNUMBER(SEARCH("Duals",$B670)),2,IF(ISNUMBER(SEARCH("Triples",$B670)),3,IF(ISNUMBER(SEARCH("Quads",$B670)),4,1))),2),ROUND(VLOOKUP($I670,Dashboard!$Q$15:$R$20,2,FALSE)*IF($E670="Red",Dashboard!$R$6,IF($E670="Gold",Dashboard!$R$7,Dashboard!$R$5))*IF(ISNUMBER(SEARCH("Duals",$B670)),2,IF(ISNUMBER(SEARCH("Triples",$B670)),3,IF(ISNUMBER(SEARCH("Quads",$B670)),4,1))),2))*IF(IFERROR(VLOOKUP($B670,Dashboard!$Q$28:$S$60,3,FALSE),0)&gt;0,VLOOKUP($B670,Dashboard!$Q$28:$S$60,3,FALSE),1))),0))</f>
        <v>143</v>
      </c>
      <c r="K670" s="2" t="str">
        <f>IF('Base S1'!I70="","",'Base S1'!I70)</f>
        <v/>
      </c>
      <c r="L670" s="2">
        <f t="shared" si="130"/>
        <v>0</v>
      </c>
      <c r="M670" s="2">
        <f t="shared" si="131"/>
        <v>0</v>
      </c>
      <c r="N670" s="2">
        <f t="shared" si="132"/>
        <v>0</v>
      </c>
      <c r="O670" s="2">
        <f t="shared" si="133"/>
        <v>1</v>
      </c>
      <c r="P670" s="112">
        <f t="shared" si="134"/>
        <v>0</v>
      </c>
      <c r="Q670" s="112">
        <f t="shared" si="135"/>
        <v>0</v>
      </c>
      <c r="R670" s="53"/>
      <c r="S670" s="53" t="str">
        <f t="shared" si="136"/>
        <v>Base S1|The Seven Parallel - Season 1|69|The Seven</v>
      </c>
      <c r="T670" s="57" t="str">
        <f>IF($S670="","",IFERROR(VLOOKUP($S670,'Pop Estimates (Non-#d)'!$N$2:$O$500,2,FALSE),""))</f>
        <v/>
      </c>
      <c r="U670" s="57">
        <f t="shared" si="137"/>
        <v>7</v>
      </c>
      <c r="V670" s="53" t="str">
        <f t="shared" si="138"/>
        <v/>
      </c>
      <c r="W670" s="53" t="str">
        <f t="shared" si="139"/>
        <v/>
      </c>
      <c r="X670" s="53" t="str">
        <f t="shared" si="140"/>
        <v/>
      </c>
      <c r="Y670" s="57" t="str">
        <f>IF($X670="","",IFERROR(VLOOKUP($X670,'Char Popularity'!$A$2:$C$500,2,FALSE),""))</f>
        <v/>
      </c>
      <c r="Z670" s="56">
        <f>IF($X670="",1,IFERROR(VLOOKUP($X670,'Char Popularity'!$A$2:$C$500,3,FALSE),1))</f>
        <v>1</v>
      </c>
      <c r="AA670" s="62">
        <f>IF($H670&lt;&gt;"Y",0,(IF($F670&lt;&gt;"",ROUND(Dashboard!$R$4/$F670,1),IF(AND($I670="Base",$E670="Base"),Dashboard!$R$5,IF(AND($I670="Base",$E670="Red"),Dashboard!$R$6,IF(AND($I670="Base",$E670="Gold"),Dashboard!$R$7,VLOOKUP($I670,Dashboard!$Q$16:$R$21,2,FALSE)))))*VLOOKUP($I670,Dashboard!$Q$9:$R$13,2,FALSE)*IF(AND($I670="Auto",$F670="",OR($B670="Autographs Duals",$B670="Autographs Triples",$B670="Autographs Quads",$B670="Autographs Quads (Inscribed)")),IF($B670="Autographs Duals",2,IF($B670="Autographs Triples",3,4)),1)))</f>
        <v>142.9</v>
      </c>
      <c r="AB670" s="62">
        <f t="shared" si="141"/>
        <v>0</v>
      </c>
      <c r="AC670" s="62">
        <f t="shared" si="142"/>
        <v>0</v>
      </c>
    </row>
    <row r="671" spans="1:29" ht="42.95" customHeight="1" x14ac:dyDescent="0.25">
      <c r="A671" s="4" t="s">
        <v>17</v>
      </c>
      <c r="B671" s="7" t="s">
        <v>72</v>
      </c>
      <c r="C671" s="2" t="s">
        <v>1469</v>
      </c>
      <c r="D671" s="7" t="s">
        <v>980</v>
      </c>
      <c r="E671" s="4" t="s">
        <v>689</v>
      </c>
      <c r="F671" s="2">
        <v>7</v>
      </c>
      <c r="G671" s="2" t="s">
        <v>1399</v>
      </c>
      <c r="H671" s="2" t="s">
        <v>1400</v>
      </c>
      <c r="I671" s="4" t="s">
        <v>60</v>
      </c>
      <c r="J671" s="112">
        <f>IF($H671&lt;&gt;"Y",0,ROUND(MIN(Dashboard!$R$24,IF(IFERROR(VLOOKUP($B671,Dashboard!$Q$28:$S$60,2,FALSE),0)&gt;0,IFERROR(VLOOKUP($B671,Dashboard!$Q$28:$S$60,2,FALSE),0),$Z671*IF($U671&lt;&gt;"",ROUND((Dashboard!$R$4/$U671)*VLOOKUP($I671,Dashboard!$Q$9:$R$13,2,FALSE)*IF(ISNUMBER(SEARCH("Duals",$B671)),2,IF(ISNUMBER(SEARCH("Triples",$B671)),3,IF(ISNUMBER(SEARCH("Quads",$B671)),4,1))),2),ROUND(VLOOKUP($I671,Dashboard!$Q$15:$R$20,2,FALSE)*IF($E671="Red",Dashboard!$R$6,IF($E671="Gold",Dashboard!$R$7,Dashboard!$R$5))*IF(ISNUMBER(SEARCH("Duals",$B671)),2,IF(ISNUMBER(SEARCH("Triples",$B671)),3,IF(ISNUMBER(SEARCH("Quads",$B671)),4,1))),2))*IF(IFERROR(VLOOKUP($B671,Dashboard!$Q$28:$S$60,3,FALSE),0)&gt;0,VLOOKUP($B671,Dashboard!$Q$28:$S$60,3,FALSE),1))),0))</f>
        <v>143</v>
      </c>
      <c r="K671" s="2" t="str">
        <f>IF('Base S1'!I71="","",'Base S1'!I71)</f>
        <v/>
      </c>
      <c r="L671" s="2">
        <f t="shared" si="130"/>
        <v>0</v>
      </c>
      <c r="M671" s="2">
        <f t="shared" si="131"/>
        <v>0</v>
      </c>
      <c r="N671" s="2">
        <f t="shared" si="132"/>
        <v>0</v>
      </c>
      <c r="O671" s="2">
        <f t="shared" si="133"/>
        <v>1</v>
      </c>
      <c r="P671" s="112">
        <f t="shared" si="134"/>
        <v>0</v>
      </c>
      <c r="Q671" s="112">
        <f t="shared" si="135"/>
        <v>0</v>
      </c>
      <c r="R671" s="53"/>
      <c r="S671" s="53" t="str">
        <f t="shared" si="136"/>
        <v>Base S1|The Seven Parallel - Season 1|70|The Seven</v>
      </c>
      <c r="T671" s="57" t="str">
        <f>IF($S671="","",IFERROR(VLOOKUP($S671,'Pop Estimates (Non-#d)'!$N$2:$O$500,2,FALSE),""))</f>
        <v/>
      </c>
      <c r="U671" s="57">
        <f t="shared" si="137"/>
        <v>7</v>
      </c>
      <c r="V671" s="53" t="str">
        <f t="shared" si="138"/>
        <v/>
      </c>
      <c r="W671" s="53" t="str">
        <f t="shared" si="139"/>
        <v/>
      </c>
      <c r="X671" s="53" t="str">
        <f t="shared" si="140"/>
        <v/>
      </c>
      <c r="Y671" s="57" t="str">
        <f>IF($X671="","",IFERROR(VLOOKUP($X671,'Char Popularity'!$A$2:$C$500,2,FALSE),""))</f>
        <v/>
      </c>
      <c r="Z671" s="56">
        <f>IF($X671="",1,IFERROR(VLOOKUP($X671,'Char Popularity'!$A$2:$C$500,3,FALSE),1))</f>
        <v>1</v>
      </c>
      <c r="AA671" s="62">
        <f>IF($H671&lt;&gt;"Y",0,(IF($F671&lt;&gt;"",ROUND(Dashboard!$R$4/$F671,1),IF(AND($I671="Base",$E671="Base"),Dashboard!$R$5,IF(AND($I671="Base",$E671="Red"),Dashboard!$R$6,IF(AND($I671="Base",$E671="Gold"),Dashboard!$R$7,VLOOKUP($I671,Dashboard!$Q$16:$R$21,2,FALSE)))))*VLOOKUP($I671,Dashboard!$Q$9:$R$13,2,FALSE)*IF(AND($I671="Auto",$F671="",OR($B671="Autographs Duals",$B671="Autographs Triples",$B671="Autographs Quads",$B671="Autographs Quads (Inscribed)")),IF($B671="Autographs Duals",2,IF($B671="Autographs Triples",3,4)),1)))</f>
        <v>142.9</v>
      </c>
      <c r="AB671" s="62">
        <f t="shared" si="141"/>
        <v>0</v>
      </c>
      <c r="AC671" s="62">
        <f t="shared" si="142"/>
        <v>0</v>
      </c>
    </row>
    <row r="672" spans="1:29" ht="42.95" customHeight="1" x14ac:dyDescent="0.25">
      <c r="A672" s="4" t="s">
        <v>17</v>
      </c>
      <c r="B672" s="7" t="s">
        <v>72</v>
      </c>
      <c r="C672" s="2" t="s">
        <v>1470</v>
      </c>
      <c r="D672" s="7" t="s">
        <v>981</v>
      </c>
      <c r="E672" s="4" t="s">
        <v>689</v>
      </c>
      <c r="F672" s="2">
        <v>7</v>
      </c>
      <c r="G672" s="2" t="s">
        <v>1399</v>
      </c>
      <c r="H672" s="2" t="s">
        <v>1400</v>
      </c>
      <c r="I672" s="4" t="s">
        <v>60</v>
      </c>
      <c r="J672" s="112">
        <f>IF($H672&lt;&gt;"Y",0,ROUND(MIN(Dashboard!$R$24,IF(IFERROR(VLOOKUP($B672,Dashboard!$Q$28:$S$60,2,FALSE),0)&gt;0,IFERROR(VLOOKUP($B672,Dashboard!$Q$28:$S$60,2,FALSE),0),$Z672*IF($U672&lt;&gt;"",ROUND((Dashboard!$R$4/$U672)*VLOOKUP($I672,Dashboard!$Q$9:$R$13,2,FALSE)*IF(ISNUMBER(SEARCH("Duals",$B672)),2,IF(ISNUMBER(SEARCH("Triples",$B672)),3,IF(ISNUMBER(SEARCH("Quads",$B672)),4,1))),2),ROUND(VLOOKUP($I672,Dashboard!$Q$15:$R$20,2,FALSE)*IF($E672="Red",Dashboard!$R$6,IF($E672="Gold",Dashboard!$R$7,Dashboard!$R$5))*IF(ISNUMBER(SEARCH("Duals",$B672)),2,IF(ISNUMBER(SEARCH("Triples",$B672)),3,IF(ISNUMBER(SEARCH("Quads",$B672)),4,1))),2))*IF(IFERROR(VLOOKUP($B672,Dashboard!$Q$28:$S$60,3,FALSE),0)&gt;0,VLOOKUP($B672,Dashboard!$Q$28:$S$60,3,FALSE),1))),0))</f>
        <v>143</v>
      </c>
      <c r="K672" s="2" t="str">
        <f>IF('Base S1'!I72="","",'Base S1'!I72)</f>
        <v/>
      </c>
      <c r="L672" s="2">
        <f t="shared" si="130"/>
        <v>0</v>
      </c>
      <c r="M672" s="2">
        <f t="shared" si="131"/>
        <v>0</v>
      </c>
      <c r="N672" s="2">
        <f t="shared" si="132"/>
        <v>0</v>
      </c>
      <c r="O672" s="2">
        <f t="shared" si="133"/>
        <v>1</v>
      </c>
      <c r="P672" s="112">
        <f t="shared" si="134"/>
        <v>0</v>
      </c>
      <c r="Q672" s="112">
        <f t="shared" si="135"/>
        <v>0</v>
      </c>
      <c r="R672" s="53"/>
      <c r="S672" s="53" t="str">
        <f t="shared" si="136"/>
        <v>Base S1|The Seven Parallel - Season 1|71|The Seven</v>
      </c>
      <c r="T672" s="57" t="str">
        <f>IF($S672="","",IFERROR(VLOOKUP($S672,'Pop Estimates (Non-#d)'!$N$2:$O$500,2,FALSE),""))</f>
        <v/>
      </c>
      <c r="U672" s="57">
        <f t="shared" si="137"/>
        <v>7</v>
      </c>
      <c r="V672" s="53" t="str">
        <f t="shared" si="138"/>
        <v/>
      </c>
      <c r="W672" s="53" t="str">
        <f t="shared" si="139"/>
        <v/>
      </c>
      <c r="X672" s="53" t="str">
        <f t="shared" si="140"/>
        <v/>
      </c>
      <c r="Y672" s="57" t="str">
        <f>IF($X672="","",IFERROR(VLOOKUP($X672,'Char Popularity'!$A$2:$C$500,2,FALSE),""))</f>
        <v/>
      </c>
      <c r="Z672" s="56">
        <f>IF($X672="",1,IFERROR(VLOOKUP($X672,'Char Popularity'!$A$2:$C$500,3,FALSE),1))</f>
        <v>1</v>
      </c>
      <c r="AA672" s="62">
        <f>IF($H672&lt;&gt;"Y",0,(IF($F672&lt;&gt;"",ROUND(Dashboard!$R$4/$F672,1),IF(AND($I672="Base",$E672="Base"),Dashboard!$R$5,IF(AND($I672="Base",$E672="Red"),Dashboard!$R$6,IF(AND($I672="Base",$E672="Gold"),Dashboard!$R$7,VLOOKUP($I672,Dashboard!$Q$16:$R$21,2,FALSE)))))*VLOOKUP($I672,Dashboard!$Q$9:$R$13,2,FALSE)*IF(AND($I672="Auto",$F672="",OR($B672="Autographs Duals",$B672="Autographs Triples",$B672="Autographs Quads",$B672="Autographs Quads (Inscribed)")),IF($B672="Autographs Duals",2,IF($B672="Autographs Triples",3,4)),1)))</f>
        <v>142.9</v>
      </c>
      <c r="AB672" s="62">
        <f t="shared" si="141"/>
        <v>0</v>
      </c>
      <c r="AC672" s="62">
        <f t="shared" si="142"/>
        <v>0</v>
      </c>
    </row>
    <row r="673" spans="1:29" ht="42.95" customHeight="1" x14ac:dyDescent="0.25">
      <c r="A673" s="4" t="s">
        <v>17</v>
      </c>
      <c r="B673" s="7" t="s">
        <v>72</v>
      </c>
      <c r="C673" s="2" t="s">
        <v>1471</v>
      </c>
      <c r="D673" s="7" t="s">
        <v>983</v>
      </c>
      <c r="E673" s="4" t="s">
        <v>689</v>
      </c>
      <c r="F673" s="2">
        <v>7</v>
      </c>
      <c r="G673" s="2" t="s">
        <v>1399</v>
      </c>
      <c r="H673" s="2" t="s">
        <v>1400</v>
      </c>
      <c r="I673" s="4" t="s">
        <v>60</v>
      </c>
      <c r="J673" s="112">
        <f>IF($H673&lt;&gt;"Y",0,ROUND(MIN(Dashboard!$R$24,IF(IFERROR(VLOOKUP($B673,Dashboard!$Q$28:$S$60,2,FALSE),0)&gt;0,IFERROR(VLOOKUP($B673,Dashboard!$Q$28:$S$60,2,FALSE),0),$Z673*IF($U673&lt;&gt;"",ROUND((Dashboard!$R$4/$U673)*VLOOKUP($I673,Dashboard!$Q$9:$R$13,2,FALSE)*IF(ISNUMBER(SEARCH("Duals",$B673)),2,IF(ISNUMBER(SEARCH("Triples",$B673)),3,IF(ISNUMBER(SEARCH("Quads",$B673)),4,1))),2),ROUND(VLOOKUP($I673,Dashboard!$Q$15:$R$20,2,FALSE)*IF($E673="Red",Dashboard!$R$6,IF($E673="Gold",Dashboard!$R$7,Dashboard!$R$5))*IF(ISNUMBER(SEARCH("Duals",$B673)),2,IF(ISNUMBER(SEARCH("Triples",$B673)),3,IF(ISNUMBER(SEARCH("Quads",$B673)),4,1))),2))*IF(IFERROR(VLOOKUP($B673,Dashboard!$Q$28:$S$60,3,FALSE),0)&gt;0,VLOOKUP($B673,Dashboard!$Q$28:$S$60,3,FALSE),1))),0))</f>
        <v>143</v>
      </c>
      <c r="K673" s="2" t="str">
        <f>IF('Base S1'!I73="","",'Base S1'!I73)</f>
        <v/>
      </c>
      <c r="L673" s="2">
        <f t="shared" si="130"/>
        <v>0</v>
      </c>
      <c r="M673" s="2">
        <f t="shared" si="131"/>
        <v>0</v>
      </c>
      <c r="N673" s="2">
        <f t="shared" si="132"/>
        <v>0</v>
      </c>
      <c r="O673" s="2">
        <f t="shared" si="133"/>
        <v>1</v>
      </c>
      <c r="P673" s="112">
        <f t="shared" si="134"/>
        <v>0</v>
      </c>
      <c r="Q673" s="112">
        <f t="shared" si="135"/>
        <v>0</v>
      </c>
      <c r="R673" s="53"/>
      <c r="S673" s="53" t="str">
        <f t="shared" si="136"/>
        <v>Base S1|The Seven Parallel - Season 1|72|The Seven</v>
      </c>
      <c r="T673" s="57" t="str">
        <f>IF($S673="","",IFERROR(VLOOKUP($S673,'Pop Estimates (Non-#d)'!$N$2:$O$500,2,FALSE),""))</f>
        <v/>
      </c>
      <c r="U673" s="57">
        <f t="shared" si="137"/>
        <v>7</v>
      </c>
      <c r="V673" s="53" t="str">
        <f t="shared" si="138"/>
        <v/>
      </c>
      <c r="W673" s="53" t="str">
        <f t="shared" si="139"/>
        <v/>
      </c>
      <c r="X673" s="53" t="str">
        <f t="shared" si="140"/>
        <v/>
      </c>
      <c r="Y673" s="57" t="str">
        <f>IF($X673="","",IFERROR(VLOOKUP($X673,'Char Popularity'!$A$2:$C$500,2,FALSE),""))</f>
        <v/>
      </c>
      <c r="Z673" s="56">
        <f>IF($X673="",1,IFERROR(VLOOKUP($X673,'Char Popularity'!$A$2:$C$500,3,FALSE),1))</f>
        <v>1</v>
      </c>
      <c r="AA673" s="62">
        <f>IF($H673&lt;&gt;"Y",0,(IF($F673&lt;&gt;"",ROUND(Dashboard!$R$4/$F673,1),IF(AND($I673="Base",$E673="Base"),Dashboard!$R$5,IF(AND($I673="Base",$E673="Red"),Dashboard!$R$6,IF(AND($I673="Base",$E673="Gold"),Dashboard!$R$7,VLOOKUP($I673,Dashboard!$Q$16:$R$21,2,FALSE)))))*VLOOKUP($I673,Dashboard!$Q$9:$R$13,2,FALSE)*IF(AND($I673="Auto",$F673="",OR($B673="Autographs Duals",$B673="Autographs Triples",$B673="Autographs Quads",$B673="Autographs Quads (Inscribed)")),IF($B673="Autographs Duals",2,IF($B673="Autographs Triples",3,4)),1)))</f>
        <v>142.9</v>
      </c>
      <c r="AB673" s="62">
        <f t="shared" si="141"/>
        <v>0</v>
      </c>
      <c r="AC673" s="62">
        <f t="shared" si="142"/>
        <v>0</v>
      </c>
    </row>
    <row r="674" spans="1:29" ht="42.95" customHeight="1" x14ac:dyDescent="0.25">
      <c r="A674" s="4" t="s">
        <v>17</v>
      </c>
      <c r="B674" s="7" t="s">
        <v>72</v>
      </c>
      <c r="C674" s="2" t="s">
        <v>1472</v>
      </c>
      <c r="D674" s="7" t="s">
        <v>985</v>
      </c>
      <c r="E674" s="4" t="s">
        <v>689</v>
      </c>
      <c r="F674" s="2">
        <v>7</v>
      </c>
      <c r="G674" s="2" t="s">
        <v>1399</v>
      </c>
      <c r="H674" s="2" t="s">
        <v>1400</v>
      </c>
      <c r="I674" s="4" t="s">
        <v>60</v>
      </c>
      <c r="J674" s="112">
        <f>IF($H674&lt;&gt;"Y",0,ROUND(MIN(Dashboard!$R$24,IF(IFERROR(VLOOKUP($B674,Dashboard!$Q$28:$S$60,2,FALSE),0)&gt;0,IFERROR(VLOOKUP($B674,Dashboard!$Q$28:$S$60,2,FALSE),0),$Z674*IF($U674&lt;&gt;"",ROUND((Dashboard!$R$4/$U674)*VLOOKUP($I674,Dashboard!$Q$9:$R$13,2,FALSE)*IF(ISNUMBER(SEARCH("Duals",$B674)),2,IF(ISNUMBER(SEARCH("Triples",$B674)),3,IF(ISNUMBER(SEARCH("Quads",$B674)),4,1))),2),ROUND(VLOOKUP($I674,Dashboard!$Q$15:$R$20,2,FALSE)*IF($E674="Red",Dashboard!$R$6,IF($E674="Gold",Dashboard!$R$7,Dashboard!$R$5))*IF(ISNUMBER(SEARCH("Duals",$B674)),2,IF(ISNUMBER(SEARCH("Triples",$B674)),3,IF(ISNUMBER(SEARCH("Quads",$B674)),4,1))),2))*IF(IFERROR(VLOOKUP($B674,Dashboard!$Q$28:$S$60,3,FALSE),0)&gt;0,VLOOKUP($B674,Dashboard!$Q$28:$S$60,3,FALSE),1))),0))</f>
        <v>143</v>
      </c>
      <c r="K674" s="2" t="str">
        <f>IF('Base S1'!I74="","",'Base S1'!I74)</f>
        <v/>
      </c>
      <c r="L674" s="2">
        <f t="shared" si="130"/>
        <v>0</v>
      </c>
      <c r="M674" s="2">
        <f t="shared" si="131"/>
        <v>0</v>
      </c>
      <c r="N674" s="2">
        <f t="shared" si="132"/>
        <v>0</v>
      </c>
      <c r="O674" s="2">
        <f t="shared" si="133"/>
        <v>1</v>
      </c>
      <c r="P674" s="112">
        <f t="shared" si="134"/>
        <v>0</v>
      </c>
      <c r="Q674" s="112">
        <f t="shared" si="135"/>
        <v>0</v>
      </c>
      <c r="R674" s="53"/>
      <c r="S674" s="53" t="str">
        <f t="shared" si="136"/>
        <v>Base S1|The Seven Parallel - Season 1|73|The Seven</v>
      </c>
      <c r="T674" s="57" t="str">
        <f>IF($S674="","",IFERROR(VLOOKUP($S674,'Pop Estimates (Non-#d)'!$N$2:$O$500,2,FALSE),""))</f>
        <v/>
      </c>
      <c r="U674" s="57">
        <f t="shared" si="137"/>
        <v>7</v>
      </c>
      <c r="V674" s="53" t="str">
        <f t="shared" si="138"/>
        <v/>
      </c>
      <c r="W674" s="53" t="str">
        <f t="shared" si="139"/>
        <v/>
      </c>
      <c r="X674" s="53" t="str">
        <f t="shared" si="140"/>
        <v/>
      </c>
      <c r="Y674" s="57" t="str">
        <f>IF($X674="","",IFERROR(VLOOKUP($X674,'Char Popularity'!$A$2:$C$500,2,FALSE),""))</f>
        <v/>
      </c>
      <c r="Z674" s="56">
        <f>IF($X674="",1,IFERROR(VLOOKUP($X674,'Char Popularity'!$A$2:$C$500,3,FALSE),1))</f>
        <v>1</v>
      </c>
      <c r="AA674" s="62">
        <f>IF($H674&lt;&gt;"Y",0,(IF($F674&lt;&gt;"",ROUND(Dashboard!$R$4/$F674,1),IF(AND($I674="Base",$E674="Base"),Dashboard!$R$5,IF(AND($I674="Base",$E674="Red"),Dashboard!$R$6,IF(AND($I674="Base",$E674="Gold"),Dashboard!$R$7,VLOOKUP($I674,Dashboard!$Q$16:$R$21,2,FALSE)))))*VLOOKUP($I674,Dashboard!$Q$9:$R$13,2,FALSE)*IF(AND($I674="Auto",$F674="",OR($B674="Autographs Duals",$B674="Autographs Triples",$B674="Autographs Quads",$B674="Autographs Quads (Inscribed)")),IF($B674="Autographs Duals",2,IF($B674="Autographs Triples",3,4)),1)))</f>
        <v>142.9</v>
      </c>
      <c r="AB674" s="62">
        <f t="shared" si="141"/>
        <v>0</v>
      </c>
      <c r="AC674" s="62">
        <f t="shared" si="142"/>
        <v>0</v>
      </c>
    </row>
    <row r="675" spans="1:29" ht="42.95" customHeight="1" x14ac:dyDescent="0.25">
      <c r="A675" s="4" t="s">
        <v>17</v>
      </c>
      <c r="B675" s="7" t="s">
        <v>72</v>
      </c>
      <c r="C675" s="2" t="s">
        <v>1473</v>
      </c>
      <c r="D675" s="7" t="s">
        <v>987</v>
      </c>
      <c r="E675" s="4" t="s">
        <v>689</v>
      </c>
      <c r="F675" s="2">
        <v>7</v>
      </c>
      <c r="G675" s="2" t="s">
        <v>1399</v>
      </c>
      <c r="H675" s="2" t="s">
        <v>1400</v>
      </c>
      <c r="I675" s="4" t="s">
        <v>60</v>
      </c>
      <c r="J675" s="112">
        <f>IF($H675&lt;&gt;"Y",0,ROUND(MIN(Dashboard!$R$24,IF(IFERROR(VLOOKUP($B675,Dashboard!$Q$28:$S$60,2,FALSE),0)&gt;0,IFERROR(VLOOKUP($B675,Dashboard!$Q$28:$S$60,2,FALSE),0),$Z675*IF($U675&lt;&gt;"",ROUND((Dashboard!$R$4/$U675)*VLOOKUP($I675,Dashboard!$Q$9:$R$13,2,FALSE)*IF(ISNUMBER(SEARCH("Duals",$B675)),2,IF(ISNUMBER(SEARCH("Triples",$B675)),3,IF(ISNUMBER(SEARCH("Quads",$B675)),4,1))),2),ROUND(VLOOKUP($I675,Dashboard!$Q$15:$R$20,2,FALSE)*IF($E675="Red",Dashboard!$R$6,IF($E675="Gold",Dashboard!$R$7,Dashboard!$R$5))*IF(ISNUMBER(SEARCH("Duals",$B675)),2,IF(ISNUMBER(SEARCH("Triples",$B675)),3,IF(ISNUMBER(SEARCH("Quads",$B675)),4,1))),2))*IF(IFERROR(VLOOKUP($B675,Dashboard!$Q$28:$S$60,3,FALSE),0)&gt;0,VLOOKUP($B675,Dashboard!$Q$28:$S$60,3,FALSE),1))),0))</f>
        <v>143</v>
      </c>
      <c r="K675" s="2" t="str">
        <f>IF('Base S1'!I75="","",'Base S1'!I75)</f>
        <v/>
      </c>
      <c r="L675" s="2">
        <f t="shared" si="130"/>
        <v>0</v>
      </c>
      <c r="M675" s="2">
        <f t="shared" si="131"/>
        <v>0</v>
      </c>
      <c r="N675" s="2">
        <f t="shared" si="132"/>
        <v>0</v>
      </c>
      <c r="O675" s="2">
        <f t="shared" si="133"/>
        <v>1</v>
      </c>
      <c r="P675" s="112">
        <f t="shared" si="134"/>
        <v>0</v>
      </c>
      <c r="Q675" s="112">
        <f t="shared" si="135"/>
        <v>0</v>
      </c>
      <c r="R675" s="53"/>
      <c r="S675" s="53" t="str">
        <f t="shared" si="136"/>
        <v>Base S1|The Seven Parallel - Season 1|74|The Seven</v>
      </c>
      <c r="T675" s="57" t="str">
        <f>IF($S675="","",IFERROR(VLOOKUP($S675,'Pop Estimates (Non-#d)'!$N$2:$O$500,2,FALSE),""))</f>
        <v/>
      </c>
      <c r="U675" s="57">
        <f t="shared" si="137"/>
        <v>7</v>
      </c>
      <c r="V675" s="53" t="str">
        <f t="shared" si="138"/>
        <v/>
      </c>
      <c r="W675" s="53" t="str">
        <f t="shared" si="139"/>
        <v/>
      </c>
      <c r="X675" s="53" t="str">
        <f t="shared" si="140"/>
        <v/>
      </c>
      <c r="Y675" s="57" t="str">
        <f>IF($X675="","",IFERROR(VLOOKUP($X675,'Char Popularity'!$A$2:$C$500,2,FALSE),""))</f>
        <v/>
      </c>
      <c r="Z675" s="56">
        <f>IF($X675="",1,IFERROR(VLOOKUP($X675,'Char Popularity'!$A$2:$C$500,3,FALSE),1))</f>
        <v>1</v>
      </c>
      <c r="AA675" s="62">
        <f>IF($H675&lt;&gt;"Y",0,(IF($F675&lt;&gt;"",ROUND(Dashboard!$R$4/$F675,1),IF(AND($I675="Base",$E675="Base"),Dashboard!$R$5,IF(AND($I675="Base",$E675="Red"),Dashboard!$R$6,IF(AND($I675="Base",$E675="Gold"),Dashboard!$R$7,VLOOKUP($I675,Dashboard!$Q$16:$R$21,2,FALSE)))))*VLOOKUP($I675,Dashboard!$Q$9:$R$13,2,FALSE)*IF(AND($I675="Auto",$F675="",OR($B675="Autographs Duals",$B675="Autographs Triples",$B675="Autographs Quads",$B675="Autographs Quads (Inscribed)")),IF($B675="Autographs Duals",2,IF($B675="Autographs Triples",3,4)),1)))</f>
        <v>142.9</v>
      </c>
      <c r="AB675" s="62">
        <f t="shared" si="141"/>
        <v>0</v>
      </c>
      <c r="AC675" s="62">
        <f t="shared" si="142"/>
        <v>0</v>
      </c>
    </row>
    <row r="676" spans="1:29" ht="42.95" customHeight="1" x14ac:dyDescent="0.25">
      <c r="A676" s="4" t="s">
        <v>17</v>
      </c>
      <c r="B676" s="7" t="s">
        <v>72</v>
      </c>
      <c r="C676" s="2" t="s">
        <v>1474</v>
      </c>
      <c r="D676" s="7" t="s">
        <v>989</v>
      </c>
      <c r="E676" s="4" t="s">
        <v>689</v>
      </c>
      <c r="F676" s="2">
        <v>7</v>
      </c>
      <c r="G676" s="2" t="s">
        <v>1399</v>
      </c>
      <c r="H676" s="2" t="s">
        <v>1400</v>
      </c>
      <c r="I676" s="4" t="s">
        <v>60</v>
      </c>
      <c r="J676" s="112">
        <f>IF($H676&lt;&gt;"Y",0,ROUND(MIN(Dashboard!$R$24,IF(IFERROR(VLOOKUP($B676,Dashboard!$Q$28:$S$60,2,FALSE),0)&gt;0,IFERROR(VLOOKUP($B676,Dashboard!$Q$28:$S$60,2,FALSE),0),$Z676*IF($U676&lt;&gt;"",ROUND((Dashboard!$R$4/$U676)*VLOOKUP($I676,Dashboard!$Q$9:$R$13,2,FALSE)*IF(ISNUMBER(SEARCH("Duals",$B676)),2,IF(ISNUMBER(SEARCH("Triples",$B676)),3,IF(ISNUMBER(SEARCH("Quads",$B676)),4,1))),2),ROUND(VLOOKUP($I676,Dashboard!$Q$15:$R$20,2,FALSE)*IF($E676="Red",Dashboard!$R$6,IF($E676="Gold",Dashboard!$R$7,Dashboard!$R$5))*IF(ISNUMBER(SEARCH("Duals",$B676)),2,IF(ISNUMBER(SEARCH("Triples",$B676)),3,IF(ISNUMBER(SEARCH("Quads",$B676)),4,1))),2))*IF(IFERROR(VLOOKUP($B676,Dashboard!$Q$28:$S$60,3,FALSE),0)&gt;0,VLOOKUP($B676,Dashboard!$Q$28:$S$60,3,FALSE),1))),0))</f>
        <v>143</v>
      </c>
      <c r="K676" s="2" t="str">
        <f>IF('Base S1'!I76="","",'Base S1'!I76)</f>
        <v/>
      </c>
      <c r="L676" s="2">
        <f t="shared" si="130"/>
        <v>0</v>
      </c>
      <c r="M676" s="2">
        <f t="shared" si="131"/>
        <v>0</v>
      </c>
      <c r="N676" s="2">
        <f t="shared" si="132"/>
        <v>0</v>
      </c>
      <c r="O676" s="2">
        <f t="shared" si="133"/>
        <v>1</v>
      </c>
      <c r="P676" s="112">
        <f t="shared" si="134"/>
        <v>0</v>
      </c>
      <c r="Q676" s="112">
        <f t="shared" si="135"/>
        <v>0</v>
      </c>
      <c r="R676" s="53"/>
      <c r="S676" s="53" t="str">
        <f t="shared" si="136"/>
        <v>Base S1|The Seven Parallel - Season 1|75|The Seven</v>
      </c>
      <c r="T676" s="57" t="str">
        <f>IF($S676="","",IFERROR(VLOOKUP($S676,'Pop Estimates (Non-#d)'!$N$2:$O$500,2,FALSE),""))</f>
        <v/>
      </c>
      <c r="U676" s="57">
        <f t="shared" si="137"/>
        <v>7</v>
      </c>
      <c r="V676" s="53" t="str">
        <f t="shared" si="138"/>
        <v/>
      </c>
      <c r="W676" s="53" t="str">
        <f t="shared" si="139"/>
        <v/>
      </c>
      <c r="X676" s="53" t="str">
        <f t="shared" si="140"/>
        <v/>
      </c>
      <c r="Y676" s="57" t="str">
        <f>IF($X676="","",IFERROR(VLOOKUP($X676,'Char Popularity'!$A$2:$C$500,2,FALSE),""))</f>
        <v/>
      </c>
      <c r="Z676" s="56">
        <f>IF($X676="",1,IFERROR(VLOOKUP($X676,'Char Popularity'!$A$2:$C$500,3,FALSE),1))</f>
        <v>1</v>
      </c>
      <c r="AA676" s="62">
        <f>IF($H676&lt;&gt;"Y",0,(IF($F676&lt;&gt;"",ROUND(Dashboard!$R$4/$F676,1),IF(AND($I676="Base",$E676="Base"),Dashboard!$R$5,IF(AND($I676="Base",$E676="Red"),Dashboard!$R$6,IF(AND($I676="Base",$E676="Gold"),Dashboard!$R$7,VLOOKUP($I676,Dashboard!$Q$16:$R$21,2,FALSE)))))*VLOOKUP($I676,Dashboard!$Q$9:$R$13,2,FALSE)*IF(AND($I676="Auto",$F676="",OR($B676="Autographs Duals",$B676="Autographs Triples",$B676="Autographs Quads",$B676="Autographs Quads (Inscribed)")),IF($B676="Autographs Duals",2,IF($B676="Autographs Triples",3,4)),1)))</f>
        <v>142.9</v>
      </c>
      <c r="AB676" s="62">
        <f t="shared" si="141"/>
        <v>0</v>
      </c>
      <c r="AC676" s="62">
        <f t="shared" si="142"/>
        <v>0</v>
      </c>
    </row>
    <row r="677" spans="1:29" ht="42.95" customHeight="1" x14ac:dyDescent="0.25">
      <c r="A677" s="4" t="s">
        <v>17</v>
      </c>
      <c r="B677" s="7" t="s">
        <v>72</v>
      </c>
      <c r="C677" s="2" t="s">
        <v>1475</v>
      </c>
      <c r="D677" s="7" t="s">
        <v>991</v>
      </c>
      <c r="E677" s="4" t="s">
        <v>689</v>
      </c>
      <c r="F677" s="2">
        <v>7</v>
      </c>
      <c r="G677" s="2" t="s">
        <v>1399</v>
      </c>
      <c r="H677" s="2" t="s">
        <v>1400</v>
      </c>
      <c r="I677" s="4" t="s">
        <v>60</v>
      </c>
      <c r="J677" s="112">
        <f>IF($H677&lt;&gt;"Y",0,ROUND(MIN(Dashboard!$R$24,IF(IFERROR(VLOOKUP($B677,Dashboard!$Q$28:$S$60,2,FALSE),0)&gt;0,IFERROR(VLOOKUP($B677,Dashboard!$Q$28:$S$60,2,FALSE),0),$Z677*IF($U677&lt;&gt;"",ROUND((Dashboard!$R$4/$U677)*VLOOKUP($I677,Dashboard!$Q$9:$R$13,2,FALSE)*IF(ISNUMBER(SEARCH("Duals",$B677)),2,IF(ISNUMBER(SEARCH("Triples",$B677)),3,IF(ISNUMBER(SEARCH("Quads",$B677)),4,1))),2),ROUND(VLOOKUP($I677,Dashboard!$Q$15:$R$20,2,FALSE)*IF($E677="Red",Dashboard!$R$6,IF($E677="Gold",Dashboard!$R$7,Dashboard!$R$5))*IF(ISNUMBER(SEARCH("Duals",$B677)),2,IF(ISNUMBER(SEARCH("Triples",$B677)),3,IF(ISNUMBER(SEARCH("Quads",$B677)),4,1))),2))*IF(IFERROR(VLOOKUP($B677,Dashboard!$Q$28:$S$60,3,FALSE),0)&gt;0,VLOOKUP($B677,Dashboard!$Q$28:$S$60,3,FALSE),1))),0))</f>
        <v>143</v>
      </c>
      <c r="K677" s="2" t="str">
        <f>IF('Base S1'!I77="","",'Base S1'!I77)</f>
        <v/>
      </c>
      <c r="L677" s="2">
        <f t="shared" si="130"/>
        <v>0</v>
      </c>
      <c r="M677" s="2">
        <f t="shared" si="131"/>
        <v>0</v>
      </c>
      <c r="N677" s="2">
        <f t="shared" si="132"/>
        <v>0</v>
      </c>
      <c r="O677" s="2">
        <f t="shared" si="133"/>
        <v>1</v>
      </c>
      <c r="P677" s="112">
        <f t="shared" si="134"/>
        <v>0</v>
      </c>
      <c r="Q677" s="112">
        <f t="shared" si="135"/>
        <v>0</v>
      </c>
      <c r="R677" s="53"/>
      <c r="S677" s="53" t="str">
        <f t="shared" si="136"/>
        <v>Base S1|The Seven Parallel - Season 1|76|The Seven</v>
      </c>
      <c r="T677" s="57" t="str">
        <f>IF($S677="","",IFERROR(VLOOKUP($S677,'Pop Estimates (Non-#d)'!$N$2:$O$500,2,FALSE),""))</f>
        <v/>
      </c>
      <c r="U677" s="57">
        <f t="shared" si="137"/>
        <v>7</v>
      </c>
      <c r="V677" s="53" t="str">
        <f t="shared" si="138"/>
        <v/>
      </c>
      <c r="W677" s="53" t="str">
        <f t="shared" si="139"/>
        <v/>
      </c>
      <c r="X677" s="53" t="str">
        <f t="shared" si="140"/>
        <v/>
      </c>
      <c r="Y677" s="57" t="str">
        <f>IF($X677="","",IFERROR(VLOOKUP($X677,'Char Popularity'!$A$2:$C$500,2,FALSE),""))</f>
        <v/>
      </c>
      <c r="Z677" s="56">
        <f>IF($X677="",1,IFERROR(VLOOKUP($X677,'Char Popularity'!$A$2:$C$500,3,FALSE),1))</f>
        <v>1</v>
      </c>
      <c r="AA677" s="62">
        <f>IF($H677&lt;&gt;"Y",0,(IF($F677&lt;&gt;"",ROUND(Dashboard!$R$4/$F677,1),IF(AND($I677="Base",$E677="Base"),Dashboard!$R$5,IF(AND($I677="Base",$E677="Red"),Dashboard!$R$6,IF(AND($I677="Base",$E677="Gold"),Dashboard!$R$7,VLOOKUP($I677,Dashboard!$Q$16:$R$21,2,FALSE)))))*VLOOKUP($I677,Dashboard!$Q$9:$R$13,2,FALSE)*IF(AND($I677="Auto",$F677="",OR($B677="Autographs Duals",$B677="Autographs Triples",$B677="Autographs Quads",$B677="Autographs Quads (Inscribed)")),IF($B677="Autographs Duals",2,IF($B677="Autographs Triples",3,4)),1)))</f>
        <v>142.9</v>
      </c>
      <c r="AB677" s="62">
        <f t="shared" si="141"/>
        <v>0</v>
      </c>
      <c r="AC677" s="62">
        <f t="shared" si="142"/>
        <v>0</v>
      </c>
    </row>
    <row r="678" spans="1:29" ht="42.95" customHeight="1" x14ac:dyDescent="0.25">
      <c r="A678" s="4" t="s">
        <v>17</v>
      </c>
      <c r="B678" s="7" t="s">
        <v>72</v>
      </c>
      <c r="C678" s="2" t="s">
        <v>1476</v>
      </c>
      <c r="D678" s="7" t="s">
        <v>993</v>
      </c>
      <c r="E678" s="4" t="s">
        <v>689</v>
      </c>
      <c r="F678" s="2">
        <v>7</v>
      </c>
      <c r="G678" s="2" t="s">
        <v>1399</v>
      </c>
      <c r="H678" s="2" t="s">
        <v>1400</v>
      </c>
      <c r="I678" s="4" t="s">
        <v>60</v>
      </c>
      <c r="J678" s="112">
        <f>IF($H678&lt;&gt;"Y",0,ROUND(MIN(Dashboard!$R$24,IF(IFERROR(VLOOKUP($B678,Dashboard!$Q$28:$S$60,2,FALSE),0)&gt;0,IFERROR(VLOOKUP($B678,Dashboard!$Q$28:$S$60,2,FALSE),0),$Z678*IF($U678&lt;&gt;"",ROUND((Dashboard!$R$4/$U678)*VLOOKUP($I678,Dashboard!$Q$9:$R$13,2,FALSE)*IF(ISNUMBER(SEARCH("Duals",$B678)),2,IF(ISNUMBER(SEARCH("Triples",$B678)),3,IF(ISNUMBER(SEARCH("Quads",$B678)),4,1))),2),ROUND(VLOOKUP($I678,Dashboard!$Q$15:$R$20,2,FALSE)*IF($E678="Red",Dashboard!$R$6,IF($E678="Gold",Dashboard!$R$7,Dashboard!$R$5))*IF(ISNUMBER(SEARCH("Duals",$B678)),2,IF(ISNUMBER(SEARCH("Triples",$B678)),3,IF(ISNUMBER(SEARCH("Quads",$B678)),4,1))),2))*IF(IFERROR(VLOOKUP($B678,Dashboard!$Q$28:$S$60,3,FALSE),0)&gt;0,VLOOKUP($B678,Dashboard!$Q$28:$S$60,3,FALSE),1))),0))</f>
        <v>143</v>
      </c>
      <c r="K678" s="2" t="str">
        <f>IF('Base S1'!I78="","",'Base S1'!I78)</f>
        <v/>
      </c>
      <c r="L678" s="2">
        <f t="shared" si="130"/>
        <v>0</v>
      </c>
      <c r="M678" s="2">
        <f t="shared" si="131"/>
        <v>0</v>
      </c>
      <c r="N678" s="2">
        <f t="shared" si="132"/>
        <v>0</v>
      </c>
      <c r="O678" s="2">
        <f t="shared" si="133"/>
        <v>1</v>
      </c>
      <c r="P678" s="112">
        <f t="shared" si="134"/>
        <v>0</v>
      </c>
      <c r="Q678" s="112">
        <f t="shared" si="135"/>
        <v>0</v>
      </c>
      <c r="R678" s="53"/>
      <c r="S678" s="53" t="str">
        <f t="shared" si="136"/>
        <v>Base S1|The Seven Parallel - Season 1|77|The Seven</v>
      </c>
      <c r="T678" s="57" t="str">
        <f>IF($S678="","",IFERROR(VLOOKUP($S678,'Pop Estimates (Non-#d)'!$N$2:$O$500,2,FALSE),""))</f>
        <v/>
      </c>
      <c r="U678" s="57">
        <f t="shared" si="137"/>
        <v>7</v>
      </c>
      <c r="V678" s="53" t="str">
        <f t="shared" si="138"/>
        <v/>
      </c>
      <c r="W678" s="53" t="str">
        <f t="shared" si="139"/>
        <v/>
      </c>
      <c r="X678" s="53" t="str">
        <f t="shared" si="140"/>
        <v/>
      </c>
      <c r="Y678" s="57" t="str">
        <f>IF($X678="","",IFERROR(VLOOKUP($X678,'Char Popularity'!$A$2:$C$500,2,FALSE),""))</f>
        <v/>
      </c>
      <c r="Z678" s="56">
        <f>IF($X678="",1,IFERROR(VLOOKUP($X678,'Char Popularity'!$A$2:$C$500,3,FALSE),1))</f>
        <v>1</v>
      </c>
      <c r="AA678" s="62">
        <f>IF($H678&lt;&gt;"Y",0,(IF($F678&lt;&gt;"",ROUND(Dashboard!$R$4/$F678,1),IF(AND($I678="Base",$E678="Base"),Dashboard!$R$5,IF(AND($I678="Base",$E678="Red"),Dashboard!$R$6,IF(AND($I678="Base",$E678="Gold"),Dashboard!$R$7,VLOOKUP($I678,Dashboard!$Q$16:$R$21,2,FALSE)))))*VLOOKUP($I678,Dashboard!$Q$9:$R$13,2,FALSE)*IF(AND($I678="Auto",$F678="",OR($B678="Autographs Duals",$B678="Autographs Triples",$B678="Autographs Quads",$B678="Autographs Quads (Inscribed)")),IF($B678="Autographs Duals",2,IF($B678="Autographs Triples",3,4)),1)))</f>
        <v>142.9</v>
      </c>
      <c r="AB678" s="62">
        <f t="shared" si="141"/>
        <v>0</v>
      </c>
      <c r="AC678" s="62">
        <f t="shared" si="142"/>
        <v>0</v>
      </c>
    </row>
    <row r="679" spans="1:29" ht="42.95" customHeight="1" x14ac:dyDescent="0.25">
      <c r="A679" s="4" t="s">
        <v>17</v>
      </c>
      <c r="B679" s="7" t="s">
        <v>72</v>
      </c>
      <c r="C679" s="2" t="s">
        <v>1477</v>
      </c>
      <c r="D679" s="7" t="s">
        <v>995</v>
      </c>
      <c r="E679" s="4" t="s">
        <v>689</v>
      </c>
      <c r="F679" s="2">
        <v>7</v>
      </c>
      <c r="G679" s="2" t="s">
        <v>1399</v>
      </c>
      <c r="H679" s="2" t="s">
        <v>1400</v>
      </c>
      <c r="I679" s="4" t="s">
        <v>60</v>
      </c>
      <c r="J679" s="112">
        <f>IF($H679&lt;&gt;"Y",0,ROUND(MIN(Dashboard!$R$24,IF(IFERROR(VLOOKUP($B679,Dashboard!$Q$28:$S$60,2,FALSE),0)&gt;0,IFERROR(VLOOKUP($B679,Dashboard!$Q$28:$S$60,2,FALSE),0),$Z679*IF($U679&lt;&gt;"",ROUND((Dashboard!$R$4/$U679)*VLOOKUP($I679,Dashboard!$Q$9:$R$13,2,FALSE)*IF(ISNUMBER(SEARCH("Duals",$B679)),2,IF(ISNUMBER(SEARCH("Triples",$B679)),3,IF(ISNUMBER(SEARCH("Quads",$B679)),4,1))),2),ROUND(VLOOKUP($I679,Dashboard!$Q$15:$R$20,2,FALSE)*IF($E679="Red",Dashboard!$R$6,IF($E679="Gold",Dashboard!$R$7,Dashboard!$R$5))*IF(ISNUMBER(SEARCH("Duals",$B679)),2,IF(ISNUMBER(SEARCH("Triples",$B679)),3,IF(ISNUMBER(SEARCH("Quads",$B679)),4,1))),2))*IF(IFERROR(VLOOKUP($B679,Dashboard!$Q$28:$S$60,3,FALSE),0)&gt;0,VLOOKUP($B679,Dashboard!$Q$28:$S$60,3,FALSE),1))),0))</f>
        <v>143</v>
      </c>
      <c r="K679" s="2" t="str">
        <f>IF('Base S1'!I79="","",'Base S1'!I79)</f>
        <v/>
      </c>
      <c r="L679" s="2">
        <f t="shared" si="130"/>
        <v>0</v>
      </c>
      <c r="M679" s="2">
        <f t="shared" si="131"/>
        <v>0</v>
      </c>
      <c r="N679" s="2">
        <f t="shared" si="132"/>
        <v>0</v>
      </c>
      <c r="O679" s="2">
        <f t="shared" si="133"/>
        <v>1</v>
      </c>
      <c r="P679" s="112">
        <f t="shared" si="134"/>
        <v>0</v>
      </c>
      <c r="Q679" s="112">
        <f t="shared" si="135"/>
        <v>0</v>
      </c>
      <c r="R679" s="53"/>
      <c r="S679" s="53" t="str">
        <f t="shared" si="136"/>
        <v>Base S1|The Seven Parallel - Season 1|78|The Seven</v>
      </c>
      <c r="T679" s="57" t="str">
        <f>IF($S679="","",IFERROR(VLOOKUP($S679,'Pop Estimates (Non-#d)'!$N$2:$O$500,2,FALSE),""))</f>
        <v/>
      </c>
      <c r="U679" s="57">
        <f t="shared" si="137"/>
        <v>7</v>
      </c>
      <c r="V679" s="53" t="str">
        <f t="shared" si="138"/>
        <v/>
      </c>
      <c r="W679" s="53" t="str">
        <f t="shared" si="139"/>
        <v/>
      </c>
      <c r="X679" s="53" t="str">
        <f t="shared" si="140"/>
        <v/>
      </c>
      <c r="Y679" s="57" t="str">
        <f>IF($X679="","",IFERROR(VLOOKUP($X679,'Char Popularity'!$A$2:$C$500,2,FALSE),""))</f>
        <v/>
      </c>
      <c r="Z679" s="56">
        <f>IF($X679="",1,IFERROR(VLOOKUP($X679,'Char Popularity'!$A$2:$C$500,3,FALSE),1))</f>
        <v>1</v>
      </c>
      <c r="AA679" s="62">
        <f>IF($H679&lt;&gt;"Y",0,(IF($F679&lt;&gt;"",ROUND(Dashboard!$R$4/$F679,1),IF(AND($I679="Base",$E679="Base"),Dashboard!$R$5,IF(AND($I679="Base",$E679="Red"),Dashboard!$R$6,IF(AND($I679="Base",$E679="Gold"),Dashboard!$R$7,VLOOKUP($I679,Dashboard!$Q$16:$R$21,2,FALSE)))))*VLOOKUP($I679,Dashboard!$Q$9:$R$13,2,FALSE)*IF(AND($I679="Auto",$F679="",OR($B679="Autographs Duals",$B679="Autographs Triples",$B679="Autographs Quads",$B679="Autographs Quads (Inscribed)")),IF($B679="Autographs Duals",2,IF($B679="Autographs Triples",3,4)),1)))</f>
        <v>142.9</v>
      </c>
      <c r="AB679" s="62">
        <f t="shared" si="141"/>
        <v>0</v>
      </c>
      <c r="AC679" s="62">
        <f t="shared" si="142"/>
        <v>0</v>
      </c>
    </row>
    <row r="680" spans="1:29" ht="42.95" customHeight="1" x14ac:dyDescent="0.25">
      <c r="A680" s="4" t="s">
        <v>17</v>
      </c>
      <c r="B680" s="7" t="s">
        <v>72</v>
      </c>
      <c r="C680" s="2" t="s">
        <v>1478</v>
      </c>
      <c r="D680" s="7" t="s">
        <v>998</v>
      </c>
      <c r="E680" s="4" t="s">
        <v>689</v>
      </c>
      <c r="F680" s="2">
        <v>7</v>
      </c>
      <c r="G680" s="2" t="s">
        <v>1399</v>
      </c>
      <c r="H680" s="2" t="s">
        <v>1400</v>
      </c>
      <c r="I680" s="4" t="s">
        <v>60</v>
      </c>
      <c r="J680" s="112">
        <f>IF($H680&lt;&gt;"Y",0,ROUND(MIN(Dashboard!$R$24,IF(IFERROR(VLOOKUP($B680,Dashboard!$Q$28:$S$60,2,FALSE),0)&gt;0,IFERROR(VLOOKUP($B680,Dashboard!$Q$28:$S$60,2,FALSE),0),$Z680*IF($U680&lt;&gt;"",ROUND((Dashboard!$R$4/$U680)*VLOOKUP($I680,Dashboard!$Q$9:$R$13,2,FALSE)*IF(ISNUMBER(SEARCH("Duals",$B680)),2,IF(ISNUMBER(SEARCH("Triples",$B680)),3,IF(ISNUMBER(SEARCH("Quads",$B680)),4,1))),2),ROUND(VLOOKUP($I680,Dashboard!$Q$15:$R$20,2,FALSE)*IF($E680="Red",Dashboard!$R$6,IF($E680="Gold",Dashboard!$R$7,Dashboard!$R$5))*IF(ISNUMBER(SEARCH("Duals",$B680)),2,IF(ISNUMBER(SEARCH("Triples",$B680)),3,IF(ISNUMBER(SEARCH("Quads",$B680)),4,1))),2))*IF(IFERROR(VLOOKUP($B680,Dashboard!$Q$28:$S$60,3,FALSE),0)&gt;0,VLOOKUP($B680,Dashboard!$Q$28:$S$60,3,FALSE),1))),0))</f>
        <v>143</v>
      </c>
      <c r="K680" s="2" t="str">
        <f>IF('Base S1'!I80="","",'Base S1'!I80)</f>
        <v/>
      </c>
      <c r="L680" s="2">
        <f t="shared" si="130"/>
        <v>0</v>
      </c>
      <c r="M680" s="2">
        <f t="shared" si="131"/>
        <v>0</v>
      </c>
      <c r="N680" s="2">
        <f t="shared" si="132"/>
        <v>0</v>
      </c>
      <c r="O680" s="2">
        <f t="shared" si="133"/>
        <v>1</v>
      </c>
      <c r="P680" s="112">
        <f t="shared" si="134"/>
        <v>0</v>
      </c>
      <c r="Q680" s="112">
        <f t="shared" si="135"/>
        <v>0</v>
      </c>
      <c r="R680" s="53"/>
      <c r="S680" s="53" t="str">
        <f t="shared" si="136"/>
        <v>Base S1|The Seven Parallel - Season 1|79|The Seven</v>
      </c>
      <c r="T680" s="57" t="str">
        <f>IF($S680="","",IFERROR(VLOOKUP($S680,'Pop Estimates (Non-#d)'!$N$2:$O$500,2,FALSE),""))</f>
        <v/>
      </c>
      <c r="U680" s="57">
        <f t="shared" si="137"/>
        <v>7</v>
      </c>
      <c r="V680" s="53" t="str">
        <f t="shared" si="138"/>
        <v/>
      </c>
      <c r="W680" s="53" t="str">
        <f t="shared" si="139"/>
        <v/>
      </c>
      <c r="X680" s="53" t="str">
        <f t="shared" si="140"/>
        <v/>
      </c>
      <c r="Y680" s="57" t="str">
        <f>IF($X680="","",IFERROR(VLOOKUP($X680,'Char Popularity'!$A$2:$C$500,2,FALSE),""))</f>
        <v/>
      </c>
      <c r="Z680" s="56">
        <f>IF($X680="",1,IFERROR(VLOOKUP($X680,'Char Popularity'!$A$2:$C$500,3,FALSE),1))</f>
        <v>1</v>
      </c>
      <c r="AA680" s="62">
        <f>IF($H680&lt;&gt;"Y",0,(IF($F680&lt;&gt;"",ROUND(Dashboard!$R$4/$F680,1),IF(AND($I680="Base",$E680="Base"),Dashboard!$R$5,IF(AND($I680="Base",$E680="Red"),Dashboard!$R$6,IF(AND($I680="Base",$E680="Gold"),Dashboard!$R$7,VLOOKUP($I680,Dashboard!$Q$16:$R$21,2,FALSE)))))*VLOOKUP($I680,Dashboard!$Q$9:$R$13,2,FALSE)*IF(AND($I680="Auto",$F680="",OR($B680="Autographs Duals",$B680="Autographs Triples",$B680="Autographs Quads",$B680="Autographs Quads (Inscribed)")),IF($B680="Autographs Duals",2,IF($B680="Autographs Triples",3,4)),1)))</f>
        <v>142.9</v>
      </c>
      <c r="AB680" s="62">
        <f t="shared" si="141"/>
        <v>0</v>
      </c>
      <c r="AC680" s="62">
        <f t="shared" si="142"/>
        <v>0</v>
      </c>
    </row>
    <row r="681" spans="1:29" ht="42.95" customHeight="1" x14ac:dyDescent="0.25">
      <c r="A681" s="4" t="s">
        <v>17</v>
      </c>
      <c r="B681" s="7" t="s">
        <v>72</v>
      </c>
      <c r="C681" s="2" t="s">
        <v>1479</v>
      </c>
      <c r="D681" s="7" t="s">
        <v>1000</v>
      </c>
      <c r="E681" s="4" t="s">
        <v>689</v>
      </c>
      <c r="F681" s="2">
        <v>7</v>
      </c>
      <c r="G681" s="2" t="s">
        <v>1399</v>
      </c>
      <c r="H681" s="2" t="s">
        <v>1400</v>
      </c>
      <c r="I681" s="4" t="s">
        <v>60</v>
      </c>
      <c r="J681" s="112">
        <f>IF($H681&lt;&gt;"Y",0,ROUND(MIN(Dashboard!$R$24,IF(IFERROR(VLOOKUP($B681,Dashboard!$Q$28:$S$60,2,FALSE),0)&gt;0,IFERROR(VLOOKUP($B681,Dashboard!$Q$28:$S$60,2,FALSE),0),$Z681*IF($U681&lt;&gt;"",ROUND((Dashboard!$R$4/$U681)*VLOOKUP($I681,Dashboard!$Q$9:$R$13,2,FALSE)*IF(ISNUMBER(SEARCH("Duals",$B681)),2,IF(ISNUMBER(SEARCH("Triples",$B681)),3,IF(ISNUMBER(SEARCH("Quads",$B681)),4,1))),2),ROUND(VLOOKUP($I681,Dashboard!$Q$15:$R$20,2,FALSE)*IF($E681="Red",Dashboard!$R$6,IF($E681="Gold",Dashboard!$R$7,Dashboard!$R$5))*IF(ISNUMBER(SEARCH("Duals",$B681)),2,IF(ISNUMBER(SEARCH("Triples",$B681)),3,IF(ISNUMBER(SEARCH("Quads",$B681)),4,1))),2))*IF(IFERROR(VLOOKUP($B681,Dashboard!$Q$28:$S$60,3,FALSE),0)&gt;0,VLOOKUP($B681,Dashboard!$Q$28:$S$60,3,FALSE),1))),0))</f>
        <v>143</v>
      </c>
      <c r="K681" s="2" t="str">
        <f>IF('Base S1'!I81="","",'Base S1'!I81)</f>
        <v/>
      </c>
      <c r="L681" s="2">
        <f t="shared" si="130"/>
        <v>0</v>
      </c>
      <c r="M681" s="2">
        <f t="shared" si="131"/>
        <v>0</v>
      </c>
      <c r="N681" s="2">
        <f t="shared" si="132"/>
        <v>0</v>
      </c>
      <c r="O681" s="2">
        <f t="shared" si="133"/>
        <v>1</v>
      </c>
      <c r="P681" s="112">
        <f t="shared" si="134"/>
        <v>0</v>
      </c>
      <c r="Q681" s="112">
        <f t="shared" si="135"/>
        <v>0</v>
      </c>
      <c r="R681" s="53"/>
      <c r="S681" s="53" t="str">
        <f t="shared" si="136"/>
        <v>Base S1|The Seven Parallel - Season 1|80|The Seven</v>
      </c>
      <c r="T681" s="57" t="str">
        <f>IF($S681="","",IFERROR(VLOOKUP($S681,'Pop Estimates (Non-#d)'!$N$2:$O$500,2,FALSE),""))</f>
        <v/>
      </c>
      <c r="U681" s="57">
        <f t="shared" si="137"/>
        <v>7</v>
      </c>
      <c r="V681" s="53" t="str">
        <f t="shared" si="138"/>
        <v/>
      </c>
      <c r="W681" s="53" t="str">
        <f t="shared" si="139"/>
        <v/>
      </c>
      <c r="X681" s="53" t="str">
        <f t="shared" si="140"/>
        <v/>
      </c>
      <c r="Y681" s="57" t="str">
        <f>IF($X681="","",IFERROR(VLOOKUP($X681,'Char Popularity'!$A$2:$C$500,2,FALSE),""))</f>
        <v/>
      </c>
      <c r="Z681" s="56">
        <f>IF($X681="",1,IFERROR(VLOOKUP($X681,'Char Popularity'!$A$2:$C$500,3,FALSE),1))</f>
        <v>1</v>
      </c>
      <c r="AA681" s="62">
        <f>IF($H681&lt;&gt;"Y",0,(IF($F681&lt;&gt;"",ROUND(Dashboard!$R$4/$F681,1),IF(AND($I681="Base",$E681="Base"),Dashboard!$R$5,IF(AND($I681="Base",$E681="Red"),Dashboard!$R$6,IF(AND($I681="Base",$E681="Gold"),Dashboard!$R$7,VLOOKUP($I681,Dashboard!$Q$16:$R$21,2,FALSE)))))*VLOOKUP($I681,Dashboard!$Q$9:$R$13,2,FALSE)*IF(AND($I681="Auto",$F681="",OR($B681="Autographs Duals",$B681="Autographs Triples",$B681="Autographs Quads",$B681="Autographs Quads (Inscribed)")),IF($B681="Autographs Duals",2,IF($B681="Autographs Triples",3,4)),1)))</f>
        <v>142.9</v>
      </c>
      <c r="AB681" s="62">
        <f t="shared" si="141"/>
        <v>0</v>
      </c>
      <c r="AC681" s="62">
        <f t="shared" si="142"/>
        <v>0</v>
      </c>
    </row>
    <row r="682" spans="1:29" ht="42.95" customHeight="1" x14ac:dyDescent="0.25">
      <c r="A682" s="4" t="s">
        <v>17</v>
      </c>
      <c r="B682" s="7" t="s">
        <v>72</v>
      </c>
      <c r="C682" s="2" t="s">
        <v>1480</v>
      </c>
      <c r="D682" s="7" t="s">
        <v>1003</v>
      </c>
      <c r="E682" s="4" t="s">
        <v>689</v>
      </c>
      <c r="F682" s="2">
        <v>7</v>
      </c>
      <c r="G682" s="2" t="s">
        <v>1399</v>
      </c>
      <c r="H682" s="2" t="s">
        <v>1400</v>
      </c>
      <c r="I682" s="4" t="s">
        <v>60</v>
      </c>
      <c r="J682" s="112">
        <f>IF($H682&lt;&gt;"Y",0,ROUND(MIN(Dashboard!$R$24,IF(IFERROR(VLOOKUP($B682,Dashboard!$Q$28:$S$60,2,FALSE),0)&gt;0,IFERROR(VLOOKUP($B682,Dashboard!$Q$28:$S$60,2,FALSE),0),$Z682*IF($U682&lt;&gt;"",ROUND((Dashboard!$R$4/$U682)*VLOOKUP($I682,Dashboard!$Q$9:$R$13,2,FALSE)*IF(ISNUMBER(SEARCH("Duals",$B682)),2,IF(ISNUMBER(SEARCH("Triples",$B682)),3,IF(ISNUMBER(SEARCH("Quads",$B682)),4,1))),2),ROUND(VLOOKUP($I682,Dashboard!$Q$15:$R$20,2,FALSE)*IF($E682="Red",Dashboard!$R$6,IF($E682="Gold",Dashboard!$R$7,Dashboard!$R$5))*IF(ISNUMBER(SEARCH("Duals",$B682)),2,IF(ISNUMBER(SEARCH("Triples",$B682)),3,IF(ISNUMBER(SEARCH("Quads",$B682)),4,1))),2))*IF(IFERROR(VLOOKUP($B682,Dashboard!$Q$28:$S$60,3,FALSE),0)&gt;0,VLOOKUP($B682,Dashboard!$Q$28:$S$60,3,FALSE),1))),0))</f>
        <v>143</v>
      </c>
      <c r="K682" s="2" t="str">
        <f>IF('Base S1'!I82="","",'Base S1'!I82)</f>
        <v/>
      </c>
      <c r="L682" s="2">
        <f t="shared" si="130"/>
        <v>0</v>
      </c>
      <c r="M682" s="2">
        <f t="shared" si="131"/>
        <v>0</v>
      </c>
      <c r="N682" s="2">
        <f t="shared" si="132"/>
        <v>0</v>
      </c>
      <c r="O682" s="2">
        <f t="shared" si="133"/>
        <v>1</v>
      </c>
      <c r="P682" s="112">
        <f t="shared" si="134"/>
        <v>0</v>
      </c>
      <c r="Q682" s="112">
        <f t="shared" si="135"/>
        <v>0</v>
      </c>
      <c r="R682" s="53"/>
      <c r="S682" s="53" t="str">
        <f t="shared" si="136"/>
        <v>Base S1|The Seven Parallel - Season 1|81|The Seven</v>
      </c>
      <c r="T682" s="57" t="str">
        <f>IF($S682="","",IFERROR(VLOOKUP($S682,'Pop Estimates (Non-#d)'!$N$2:$O$500,2,FALSE),""))</f>
        <v/>
      </c>
      <c r="U682" s="57">
        <f t="shared" si="137"/>
        <v>7</v>
      </c>
      <c r="V682" s="53" t="str">
        <f t="shared" si="138"/>
        <v/>
      </c>
      <c r="W682" s="53" t="str">
        <f t="shared" si="139"/>
        <v/>
      </c>
      <c r="X682" s="53" t="str">
        <f t="shared" si="140"/>
        <v/>
      </c>
      <c r="Y682" s="57" t="str">
        <f>IF($X682="","",IFERROR(VLOOKUP($X682,'Char Popularity'!$A$2:$C$500,2,FALSE),""))</f>
        <v/>
      </c>
      <c r="Z682" s="56">
        <f>IF($X682="",1,IFERROR(VLOOKUP($X682,'Char Popularity'!$A$2:$C$500,3,FALSE),1))</f>
        <v>1</v>
      </c>
      <c r="AA682" s="62">
        <f>IF($H682&lt;&gt;"Y",0,(IF($F682&lt;&gt;"",ROUND(Dashboard!$R$4/$F682,1),IF(AND($I682="Base",$E682="Base"),Dashboard!$R$5,IF(AND($I682="Base",$E682="Red"),Dashboard!$R$6,IF(AND($I682="Base",$E682="Gold"),Dashboard!$R$7,VLOOKUP($I682,Dashboard!$Q$16:$R$21,2,FALSE)))))*VLOOKUP($I682,Dashboard!$Q$9:$R$13,2,FALSE)*IF(AND($I682="Auto",$F682="",OR($B682="Autographs Duals",$B682="Autographs Triples",$B682="Autographs Quads",$B682="Autographs Quads (Inscribed)")),IF($B682="Autographs Duals",2,IF($B682="Autographs Triples",3,4)),1)))</f>
        <v>142.9</v>
      </c>
      <c r="AB682" s="62">
        <f t="shared" si="141"/>
        <v>0</v>
      </c>
      <c r="AC682" s="62">
        <f t="shared" si="142"/>
        <v>0</v>
      </c>
    </row>
    <row r="683" spans="1:29" ht="42.95" customHeight="1" x14ac:dyDescent="0.25">
      <c r="A683" s="4" t="s">
        <v>17</v>
      </c>
      <c r="B683" s="7" t="s">
        <v>72</v>
      </c>
      <c r="C683" s="2" t="s">
        <v>1481</v>
      </c>
      <c r="D683" s="7" t="s">
        <v>1005</v>
      </c>
      <c r="E683" s="4" t="s">
        <v>689</v>
      </c>
      <c r="F683" s="2">
        <v>7</v>
      </c>
      <c r="G683" s="2" t="s">
        <v>1399</v>
      </c>
      <c r="H683" s="2" t="s">
        <v>1400</v>
      </c>
      <c r="I683" s="4" t="s">
        <v>60</v>
      </c>
      <c r="J683" s="112">
        <f>IF($H683&lt;&gt;"Y",0,ROUND(MIN(Dashboard!$R$24,IF(IFERROR(VLOOKUP($B683,Dashboard!$Q$28:$S$60,2,FALSE),0)&gt;0,IFERROR(VLOOKUP($B683,Dashboard!$Q$28:$S$60,2,FALSE),0),$Z683*IF($U683&lt;&gt;"",ROUND((Dashboard!$R$4/$U683)*VLOOKUP($I683,Dashboard!$Q$9:$R$13,2,FALSE)*IF(ISNUMBER(SEARCH("Duals",$B683)),2,IF(ISNUMBER(SEARCH("Triples",$B683)),3,IF(ISNUMBER(SEARCH("Quads",$B683)),4,1))),2),ROUND(VLOOKUP($I683,Dashboard!$Q$15:$R$20,2,FALSE)*IF($E683="Red",Dashboard!$R$6,IF($E683="Gold",Dashboard!$R$7,Dashboard!$R$5))*IF(ISNUMBER(SEARCH("Duals",$B683)),2,IF(ISNUMBER(SEARCH("Triples",$B683)),3,IF(ISNUMBER(SEARCH("Quads",$B683)),4,1))),2))*IF(IFERROR(VLOOKUP($B683,Dashboard!$Q$28:$S$60,3,FALSE),0)&gt;0,VLOOKUP($B683,Dashboard!$Q$28:$S$60,3,FALSE),1))),0))</f>
        <v>143</v>
      </c>
      <c r="K683" s="2" t="str">
        <f>IF('Base S1'!I83="","",'Base S1'!I83)</f>
        <v/>
      </c>
      <c r="L683" s="2">
        <f t="shared" si="130"/>
        <v>0</v>
      </c>
      <c r="M683" s="2">
        <f t="shared" si="131"/>
        <v>0</v>
      </c>
      <c r="N683" s="2">
        <f t="shared" si="132"/>
        <v>0</v>
      </c>
      <c r="O683" s="2">
        <f t="shared" si="133"/>
        <v>1</v>
      </c>
      <c r="P683" s="112">
        <f t="shared" si="134"/>
        <v>0</v>
      </c>
      <c r="Q683" s="112">
        <f t="shared" si="135"/>
        <v>0</v>
      </c>
      <c r="R683" s="53"/>
      <c r="S683" s="53" t="str">
        <f t="shared" si="136"/>
        <v>Base S1|The Seven Parallel - Season 1|82|The Seven</v>
      </c>
      <c r="T683" s="57" t="str">
        <f>IF($S683="","",IFERROR(VLOOKUP($S683,'Pop Estimates (Non-#d)'!$N$2:$O$500,2,FALSE),""))</f>
        <v/>
      </c>
      <c r="U683" s="57">
        <f t="shared" si="137"/>
        <v>7</v>
      </c>
      <c r="V683" s="53" t="str">
        <f t="shared" si="138"/>
        <v/>
      </c>
      <c r="W683" s="53" t="str">
        <f t="shared" si="139"/>
        <v/>
      </c>
      <c r="X683" s="53" t="str">
        <f t="shared" si="140"/>
        <v/>
      </c>
      <c r="Y683" s="57" t="str">
        <f>IF($X683="","",IFERROR(VLOOKUP($X683,'Char Popularity'!$A$2:$C$500,2,FALSE),""))</f>
        <v/>
      </c>
      <c r="Z683" s="56">
        <f>IF($X683="",1,IFERROR(VLOOKUP($X683,'Char Popularity'!$A$2:$C$500,3,FALSE),1))</f>
        <v>1</v>
      </c>
      <c r="AA683" s="62">
        <f>IF($H683&lt;&gt;"Y",0,(IF($F683&lt;&gt;"",ROUND(Dashboard!$R$4/$F683,1),IF(AND($I683="Base",$E683="Base"),Dashboard!$R$5,IF(AND($I683="Base",$E683="Red"),Dashboard!$R$6,IF(AND($I683="Base",$E683="Gold"),Dashboard!$R$7,VLOOKUP($I683,Dashboard!$Q$16:$R$21,2,FALSE)))))*VLOOKUP($I683,Dashboard!$Q$9:$R$13,2,FALSE)*IF(AND($I683="Auto",$F683="",OR($B683="Autographs Duals",$B683="Autographs Triples",$B683="Autographs Quads",$B683="Autographs Quads (Inscribed)")),IF($B683="Autographs Duals",2,IF($B683="Autographs Triples",3,4)),1)))</f>
        <v>142.9</v>
      </c>
      <c r="AB683" s="62">
        <f t="shared" si="141"/>
        <v>0</v>
      </c>
      <c r="AC683" s="62">
        <f t="shared" si="142"/>
        <v>0</v>
      </c>
    </row>
    <row r="684" spans="1:29" ht="42.95" customHeight="1" x14ac:dyDescent="0.25">
      <c r="A684" s="4" t="s">
        <v>17</v>
      </c>
      <c r="B684" s="7" t="s">
        <v>72</v>
      </c>
      <c r="C684" s="2" t="s">
        <v>1482</v>
      </c>
      <c r="D684" s="7" t="s">
        <v>1008</v>
      </c>
      <c r="E684" s="4" t="s">
        <v>689</v>
      </c>
      <c r="F684" s="2">
        <v>7</v>
      </c>
      <c r="G684" s="2" t="s">
        <v>1399</v>
      </c>
      <c r="H684" s="2" t="s">
        <v>1400</v>
      </c>
      <c r="I684" s="4" t="s">
        <v>60</v>
      </c>
      <c r="J684" s="112">
        <f>IF($H684&lt;&gt;"Y",0,ROUND(MIN(Dashboard!$R$24,IF(IFERROR(VLOOKUP($B684,Dashboard!$Q$28:$S$60,2,FALSE),0)&gt;0,IFERROR(VLOOKUP($B684,Dashboard!$Q$28:$S$60,2,FALSE),0),$Z684*IF($U684&lt;&gt;"",ROUND((Dashboard!$R$4/$U684)*VLOOKUP($I684,Dashboard!$Q$9:$R$13,2,FALSE)*IF(ISNUMBER(SEARCH("Duals",$B684)),2,IF(ISNUMBER(SEARCH("Triples",$B684)),3,IF(ISNUMBER(SEARCH("Quads",$B684)),4,1))),2),ROUND(VLOOKUP($I684,Dashboard!$Q$15:$R$20,2,FALSE)*IF($E684="Red",Dashboard!$R$6,IF($E684="Gold",Dashboard!$R$7,Dashboard!$R$5))*IF(ISNUMBER(SEARCH("Duals",$B684)),2,IF(ISNUMBER(SEARCH("Triples",$B684)),3,IF(ISNUMBER(SEARCH("Quads",$B684)),4,1))),2))*IF(IFERROR(VLOOKUP($B684,Dashboard!$Q$28:$S$60,3,FALSE),0)&gt;0,VLOOKUP($B684,Dashboard!$Q$28:$S$60,3,FALSE),1))),0))</f>
        <v>143</v>
      </c>
      <c r="K684" s="2" t="str">
        <f>IF('Base S1'!I84="","",'Base S1'!I84)</f>
        <v/>
      </c>
      <c r="L684" s="2">
        <f t="shared" si="130"/>
        <v>0</v>
      </c>
      <c r="M684" s="2">
        <f t="shared" si="131"/>
        <v>0</v>
      </c>
      <c r="N684" s="2">
        <f t="shared" si="132"/>
        <v>0</v>
      </c>
      <c r="O684" s="2">
        <f t="shared" si="133"/>
        <v>1</v>
      </c>
      <c r="P684" s="112">
        <f t="shared" si="134"/>
        <v>0</v>
      </c>
      <c r="Q684" s="112">
        <f t="shared" si="135"/>
        <v>0</v>
      </c>
      <c r="R684" s="53"/>
      <c r="S684" s="53" t="str">
        <f t="shared" si="136"/>
        <v>Base S1|The Seven Parallel - Season 1|83|The Seven</v>
      </c>
      <c r="T684" s="57" t="str">
        <f>IF($S684="","",IFERROR(VLOOKUP($S684,'Pop Estimates (Non-#d)'!$N$2:$O$500,2,FALSE),""))</f>
        <v/>
      </c>
      <c r="U684" s="57">
        <f t="shared" si="137"/>
        <v>7</v>
      </c>
      <c r="V684" s="53" t="str">
        <f t="shared" si="138"/>
        <v/>
      </c>
      <c r="W684" s="53" t="str">
        <f t="shared" si="139"/>
        <v/>
      </c>
      <c r="X684" s="53" t="str">
        <f t="shared" si="140"/>
        <v/>
      </c>
      <c r="Y684" s="57" t="str">
        <f>IF($X684="","",IFERROR(VLOOKUP($X684,'Char Popularity'!$A$2:$C$500,2,FALSE),""))</f>
        <v/>
      </c>
      <c r="Z684" s="56">
        <f>IF($X684="",1,IFERROR(VLOOKUP($X684,'Char Popularity'!$A$2:$C$500,3,FALSE),1))</f>
        <v>1</v>
      </c>
      <c r="AA684" s="62">
        <f>IF($H684&lt;&gt;"Y",0,(IF($F684&lt;&gt;"",ROUND(Dashboard!$R$4/$F684,1),IF(AND($I684="Base",$E684="Base"),Dashboard!$R$5,IF(AND($I684="Base",$E684="Red"),Dashboard!$R$6,IF(AND($I684="Base",$E684="Gold"),Dashboard!$R$7,VLOOKUP($I684,Dashboard!$Q$16:$R$21,2,FALSE)))))*VLOOKUP($I684,Dashboard!$Q$9:$R$13,2,FALSE)*IF(AND($I684="Auto",$F684="",OR($B684="Autographs Duals",$B684="Autographs Triples",$B684="Autographs Quads",$B684="Autographs Quads (Inscribed)")),IF($B684="Autographs Duals",2,IF($B684="Autographs Triples",3,4)),1)))</f>
        <v>142.9</v>
      </c>
      <c r="AB684" s="62">
        <f t="shared" si="141"/>
        <v>0</v>
      </c>
      <c r="AC684" s="62">
        <f t="shared" si="142"/>
        <v>0</v>
      </c>
    </row>
    <row r="685" spans="1:29" ht="42.95" customHeight="1" x14ac:dyDescent="0.25">
      <c r="A685" s="4" t="s">
        <v>17</v>
      </c>
      <c r="B685" s="7" t="s">
        <v>72</v>
      </c>
      <c r="C685" s="2" t="s">
        <v>1483</v>
      </c>
      <c r="D685" s="7" t="s">
        <v>1010</v>
      </c>
      <c r="E685" s="4" t="s">
        <v>689</v>
      </c>
      <c r="F685" s="2">
        <v>7</v>
      </c>
      <c r="G685" s="2" t="s">
        <v>1399</v>
      </c>
      <c r="H685" s="2" t="s">
        <v>1400</v>
      </c>
      <c r="I685" s="4" t="s">
        <v>60</v>
      </c>
      <c r="J685" s="112">
        <f>IF($H685&lt;&gt;"Y",0,ROUND(MIN(Dashboard!$R$24,IF(IFERROR(VLOOKUP($B685,Dashboard!$Q$28:$S$60,2,FALSE),0)&gt;0,IFERROR(VLOOKUP($B685,Dashboard!$Q$28:$S$60,2,FALSE),0),$Z685*IF($U685&lt;&gt;"",ROUND((Dashboard!$R$4/$U685)*VLOOKUP($I685,Dashboard!$Q$9:$R$13,2,FALSE)*IF(ISNUMBER(SEARCH("Duals",$B685)),2,IF(ISNUMBER(SEARCH("Triples",$B685)),3,IF(ISNUMBER(SEARCH("Quads",$B685)),4,1))),2),ROUND(VLOOKUP($I685,Dashboard!$Q$15:$R$20,2,FALSE)*IF($E685="Red",Dashboard!$R$6,IF($E685="Gold",Dashboard!$R$7,Dashboard!$R$5))*IF(ISNUMBER(SEARCH("Duals",$B685)),2,IF(ISNUMBER(SEARCH("Triples",$B685)),3,IF(ISNUMBER(SEARCH("Quads",$B685)),4,1))),2))*IF(IFERROR(VLOOKUP($B685,Dashboard!$Q$28:$S$60,3,FALSE),0)&gt;0,VLOOKUP($B685,Dashboard!$Q$28:$S$60,3,FALSE),1))),0))</f>
        <v>143</v>
      </c>
      <c r="K685" s="2" t="str">
        <f>IF('Base S1'!I85="","",'Base S1'!I85)</f>
        <v>C 1/7</v>
      </c>
      <c r="L685" s="2">
        <f t="shared" si="130"/>
        <v>1</v>
      </c>
      <c r="M685" s="2">
        <f t="shared" si="131"/>
        <v>0</v>
      </c>
      <c r="N685" s="2">
        <f t="shared" si="132"/>
        <v>1</v>
      </c>
      <c r="O685" s="2">
        <f t="shared" si="133"/>
        <v>0</v>
      </c>
      <c r="P685" s="112">
        <f t="shared" si="134"/>
        <v>143</v>
      </c>
      <c r="Q685" s="112">
        <f t="shared" si="135"/>
        <v>0</v>
      </c>
      <c r="R685" s="53"/>
      <c r="S685" s="53" t="str">
        <f t="shared" si="136"/>
        <v>Base S1|The Seven Parallel - Season 1|84|The Seven</v>
      </c>
      <c r="T685" s="57" t="str">
        <f>IF($S685="","",IFERROR(VLOOKUP($S685,'Pop Estimates (Non-#d)'!$N$2:$O$500,2,FALSE),""))</f>
        <v/>
      </c>
      <c r="U685" s="57">
        <f t="shared" si="137"/>
        <v>7</v>
      </c>
      <c r="V685" s="53" t="str">
        <f t="shared" si="138"/>
        <v/>
      </c>
      <c r="W685" s="53" t="str">
        <f t="shared" si="139"/>
        <v/>
      </c>
      <c r="X685" s="53" t="str">
        <f t="shared" si="140"/>
        <v/>
      </c>
      <c r="Y685" s="57" t="str">
        <f>IF($X685="","",IFERROR(VLOOKUP($X685,'Char Popularity'!$A$2:$C$500,2,FALSE),""))</f>
        <v/>
      </c>
      <c r="Z685" s="56">
        <f>IF($X685="",1,IFERROR(VLOOKUP($X685,'Char Popularity'!$A$2:$C$500,3,FALSE),1))</f>
        <v>1</v>
      </c>
      <c r="AA685" s="62">
        <f>IF($H685&lt;&gt;"Y",0,(IF($F685&lt;&gt;"",ROUND(Dashboard!$R$4/$F685,1),IF(AND($I685="Base",$E685="Base"),Dashboard!$R$5,IF(AND($I685="Base",$E685="Red"),Dashboard!$R$6,IF(AND($I685="Base",$E685="Gold"),Dashboard!$R$7,VLOOKUP($I685,Dashboard!$Q$16:$R$21,2,FALSE)))))*VLOOKUP($I685,Dashboard!$Q$9:$R$13,2,FALSE)*IF(AND($I685="Auto",$F685="",OR($B685="Autographs Duals",$B685="Autographs Triples",$B685="Autographs Quads",$B685="Autographs Quads (Inscribed)")),IF($B685="Autographs Duals",2,IF($B685="Autographs Triples",3,4)),1)))</f>
        <v>142.9</v>
      </c>
      <c r="AB685" s="62">
        <f t="shared" si="141"/>
        <v>142.9</v>
      </c>
      <c r="AC685" s="62">
        <f t="shared" si="142"/>
        <v>0</v>
      </c>
    </row>
    <row r="686" spans="1:29" ht="42.95" customHeight="1" x14ac:dyDescent="0.25">
      <c r="A686" s="4" t="s">
        <v>17</v>
      </c>
      <c r="B686" s="7" t="s">
        <v>72</v>
      </c>
      <c r="C686" s="2" t="s">
        <v>1484</v>
      </c>
      <c r="D686" s="7" t="s">
        <v>1012</v>
      </c>
      <c r="E686" s="4" t="s">
        <v>689</v>
      </c>
      <c r="F686" s="2">
        <v>7</v>
      </c>
      <c r="G686" s="2" t="s">
        <v>1399</v>
      </c>
      <c r="H686" s="2" t="s">
        <v>1400</v>
      </c>
      <c r="I686" s="4" t="s">
        <v>60</v>
      </c>
      <c r="J686" s="112">
        <f>IF($H686&lt;&gt;"Y",0,ROUND(MIN(Dashboard!$R$24,IF(IFERROR(VLOOKUP($B686,Dashboard!$Q$28:$S$60,2,FALSE),0)&gt;0,IFERROR(VLOOKUP($B686,Dashboard!$Q$28:$S$60,2,FALSE),0),$Z686*IF($U686&lt;&gt;"",ROUND((Dashboard!$R$4/$U686)*VLOOKUP($I686,Dashboard!$Q$9:$R$13,2,FALSE)*IF(ISNUMBER(SEARCH("Duals",$B686)),2,IF(ISNUMBER(SEARCH("Triples",$B686)),3,IF(ISNUMBER(SEARCH("Quads",$B686)),4,1))),2),ROUND(VLOOKUP($I686,Dashboard!$Q$15:$R$20,2,FALSE)*IF($E686="Red",Dashboard!$R$6,IF($E686="Gold",Dashboard!$R$7,Dashboard!$R$5))*IF(ISNUMBER(SEARCH("Duals",$B686)),2,IF(ISNUMBER(SEARCH("Triples",$B686)),3,IF(ISNUMBER(SEARCH("Quads",$B686)),4,1))),2))*IF(IFERROR(VLOOKUP($B686,Dashboard!$Q$28:$S$60,3,FALSE),0)&gt;0,VLOOKUP($B686,Dashboard!$Q$28:$S$60,3,FALSE),1))),0))</f>
        <v>143</v>
      </c>
      <c r="K686" s="2" t="str">
        <f>IF('Base S1'!I86="","",'Base S1'!I86)</f>
        <v/>
      </c>
      <c r="L686" s="2">
        <f t="shared" si="130"/>
        <v>0</v>
      </c>
      <c r="M686" s="2">
        <f t="shared" si="131"/>
        <v>0</v>
      </c>
      <c r="N686" s="2">
        <f t="shared" si="132"/>
        <v>0</v>
      </c>
      <c r="O686" s="2">
        <f t="shared" si="133"/>
        <v>1</v>
      </c>
      <c r="P686" s="112">
        <f t="shared" si="134"/>
        <v>0</v>
      </c>
      <c r="Q686" s="112">
        <f t="shared" si="135"/>
        <v>0</v>
      </c>
      <c r="R686" s="53"/>
      <c r="S686" s="53" t="str">
        <f t="shared" si="136"/>
        <v>Base S1|The Seven Parallel - Season 1|85|The Seven</v>
      </c>
      <c r="T686" s="57" t="str">
        <f>IF($S686="","",IFERROR(VLOOKUP($S686,'Pop Estimates (Non-#d)'!$N$2:$O$500,2,FALSE),""))</f>
        <v/>
      </c>
      <c r="U686" s="57">
        <f t="shared" si="137"/>
        <v>7</v>
      </c>
      <c r="V686" s="53" t="str">
        <f t="shared" si="138"/>
        <v/>
      </c>
      <c r="W686" s="53" t="str">
        <f t="shared" si="139"/>
        <v/>
      </c>
      <c r="X686" s="53" t="str">
        <f t="shared" si="140"/>
        <v/>
      </c>
      <c r="Y686" s="57" t="str">
        <f>IF($X686="","",IFERROR(VLOOKUP($X686,'Char Popularity'!$A$2:$C$500,2,FALSE),""))</f>
        <v/>
      </c>
      <c r="Z686" s="56">
        <f>IF($X686="",1,IFERROR(VLOOKUP($X686,'Char Popularity'!$A$2:$C$500,3,FALSE),1))</f>
        <v>1</v>
      </c>
      <c r="AA686" s="62">
        <f>IF($H686&lt;&gt;"Y",0,(IF($F686&lt;&gt;"",ROUND(Dashboard!$R$4/$F686,1),IF(AND($I686="Base",$E686="Base"),Dashboard!$R$5,IF(AND($I686="Base",$E686="Red"),Dashboard!$R$6,IF(AND($I686="Base",$E686="Gold"),Dashboard!$R$7,VLOOKUP($I686,Dashboard!$Q$16:$R$21,2,FALSE)))))*VLOOKUP($I686,Dashboard!$Q$9:$R$13,2,FALSE)*IF(AND($I686="Auto",$F686="",OR($B686="Autographs Duals",$B686="Autographs Triples",$B686="Autographs Quads",$B686="Autographs Quads (Inscribed)")),IF($B686="Autographs Duals",2,IF($B686="Autographs Triples",3,4)),1)))</f>
        <v>142.9</v>
      </c>
      <c r="AB686" s="62">
        <f t="shared" si="141"/>
        <v>0</v>
      </c>
      <c r="AC686" s="62">
        <f t="shared" si="142"/>
        <v>0</v>
      </c>
    </row>
    <row r="687" spans="1:29" ht="42.95" customHeight="1" x14ac:dyDescent="0.25">
      <c r="A687" s="4" t="s">
        <v>17</v>
      </c>
      <c r="B687" s="7" t="s">
        <v>72</v>
      </c>
      <c r="C687" s="2" t="s">
        <v>1485</v>
      </c>
      <c r="D687" s="7" t="s">
        <v>1013</v>
      </c>
      <c r="E687" s="4" t="s">
        <v>689</v>
      </c>
      <c r="F687" s="2">
        <v>7</v>
      </c>
      <c r="G687" s="2" t="s">
        <v>1399</v>
      </c>
      <c r="H687" s="2" t="s">
        <v>1400</v>
      </c>
      <c r="I687" s="4" t="s">
        <v>60</v>
      </c>
      <c r="J687" s="112">
        <f>IF($H687&lt;&gt;"Y",0,ROUND(MIN(Dashboard!$R$24,IF(IFERROR(VLOOKUP($B687,Dashboard!$Q$28:$S$60,2,FALSE),0)&gt;0,IFERROR(VLOOKUP($B687,Dashboard!$Q$28:$S$60,2,FALSE),0),$Z687*IF($U687&lt;&gt;"",ROUND((Dashboard!$R$4/$U687)*VLOOKUP($I687,Dashboard!$Q$9:$R$13,2,FALSE)*IF(ISNUMBER(SEARCH("Duals",$B687)),2,IF(ISNUMBER(SEARCH("Triples",$B687)),3,IF(ISNUMBER(SEARCH("Quads",$B687)),4,1))),2),ROUND(VLOOKUP($I687,Dashboard!$Q$15:$R$20,2,FALSE)*IF($E687="Red",Dashboard!$R$6,IF($E687="Gold",Dashboard!$R$7,Dashboard!$R$5))*IF(ISNUMBER(SEARCH("Duals",$B687)),2,IF(ISNUMBER(SEARCH("Triples",$B687)),3,IF(ISNUMBER(SEARCH("Quads",$B687)),4,1))),2))*IF(IFERROR(VLOOKUP($B687,Dashboard!$Q$28:$S$60,3,FALSE),0)&gt;0,VLOOKUP($B687,Dashboard!$Q$28:$S$60,3,FALSE),1))),0))</f>
        <v>143</v>
      </c>
      <c r="K687" s="2" t="str">
        <f>IF('Base S1'!I87="","",'Base S1'!I87)</f>
        <v>C 7/7</v>
      </c>
      <c r="L687" s="2">
        <f t="shared" si="130"/>
        <v>1</v>
      </c>
      <c r="M687" s="2">
        <f t="shared" si="131"/>
        <v>0</v>
      </c>
      <c r="N687" s="2">
        <f t="shared" si="132"/>
        <v>1</v>
      </c>
      <c r="O687" s="2">
        <f t="shared" si="133"/>
        <v>0</v>
      </c>
      <c r="P687" s="112">
        <f t="shared" si="134"/>
        <v>143</v>
      </c>
      <c r="Q687" s="112">
        <f t="shared" si="135"/>
        <v>0</v>
      </c>
      <c r="R687" s="53"/>
      <c r="S687" s="53" t="str">
        <f t="shared" si="136"/>
        <v>Base S1|The Seven Parallel - Season 1|86|The Seven</v>
      </c>
      <c r="T687" s="57" t="str">
        <f>IF($S687="","",IFERROR(VLOOKUP($S687,'Pop Estimates (Non-#d)'!$N$2:$O$500,2,FALSE),""))</f>
        <v/>
      </c>
      <c r="U687" s="57">
        <f t="shared" si="137"/>
        <v>7</v>
      </c>
      <c r="V687" s="53" t="str">
        <f t="shared" si="138"/>
        <v/>
      </c>
      <c r="W687" s="53" t="str">
        <f t="shared" si="139"/>
        <v/>
      </c>
      <c r="X687" s="53" t="str">
        <f t="shared" si="140"/>
        <v/>
      </c>
      <c r="Y687" s="57" t="str">
        <f>IF($X687="","",IFERROR(VLOOKUP($X687,'Char Popularity'!$A$2:$C$500,2,FALSE),""))</f>
        <v/>
      </c>
      <c r="Z687" s="56">
        <f>IF($X687="",1,IFERROR(VLOOKUP($X687,'Char Popularity'!$A$2:$C$500,3,FALSE),1))</f>
        <v>1</v>
      </c>
      <c r="AA687" s="62">
        <f>IF($H687&lt;&gt;"Y",0,(IF($F687&lt;&gt;"",ROUND(Dashboard!$R$4/$F687,1),IF(AND($I687="Base",$E687="Base"),Dashboard!$R$5,IF(AND($I687="Base",$E687="Red"),Dashboard!$R$6,IF(AND($I687="Base",$E687="Gold"),Dashboard!$R$7,VLOOKUP($I687,Dashboard!$Q$16:$R$21,2,FALSE)))))*VLOOKUP($I687,Dashboard!$Q$9:$R$13,2,FALSE)*IF(AND($I687="Auto",$F687="",OR($B687="Autographs Duals",$B687="Autographs Triples",$B687="Autographs Quads",$B687="Autographs Quads (Inscribed)")),IF($B687="Autographs Duals",2,IF($B687="Autographs Triples",3,4)),1)))</f>
        <v>142.9</v>
      </c>
      <c r="AB687" s="62">
        <f t="shared" si="141"/>
        <v>142.9</v>
      </c>
      <c r="AC687" s="62">
        <f t="shared" si="142"/>
        <v>0</v>
      </c>
    </row>
    <row r="688" spans="1:29" ht="42.95" customHeight="1" x14ac:dyDescent="0.25">
      <c r="A688" s="4" t="s">
        <v>17</v>
      </c>
      <c r="B688" s="7" t="s">
        <v>72</v>
      </c>
      <c r="C688" s="2" t="s">
        <v>1486</v>
      </c>
      <c r="D688" s="7" t="s">
        <v>1015</v>
      </c>
      <c r="E688" s="4" t="s">
        <v>689</v>
      </c>
      <c r="F688" s="2">
        <v>7</v>
      </c>
      <c r="G688" s="2" t="s">
        <v>1399</v>
      </c>
      <c r="H688" s="2" t="s">
        <v>1400</v>
      </c>
      <c r="I688" s="4" t="s">
        <v>60</v>
      </c>
      <c r="J688" s="112">
        <f>IF($H688&lt;&gt;"Y",0,ROUND(MIN(Dashboard!$R$24,IF(IFERROR(VLOOKUP($B688,Dashboard!$Q$28:$S$60,2,FALSE),0)&gt;0,IFERROR(VLOOKUP($B688,Dashboard!$Q$28:$S$60,2,FALSE),0),$Z688*IF($U688&lt;&gt;"",ROUND((Dashboard!$R$4/$U688)*VLOOKUP($I688,Dashboard!$Q$9:$R$13,2,FALSE)*IF(ISNUMBER(SEARCH("Duals",$B688)),2,IF(ISNUMBER(SEARCH("Triples",$B688)),3,IF(ISNUMBER(SEARCH("Quads",$B688)),4,1))),2),ROUND(VLOOKUP($I688,Dashboard!$Q$15:$R$20,2,FALSE)*IF($E688="Red",Dashboard!$R$6,IF($E688="Gold",Dashboard!$R$7,Dashboard!$R$5))*IF(ISNUMBER(SEARCH("Duals",$B688)),2,IF(ISNUMBER(SEARCH("Triples",$B688)),3,IF(ISNUMBER(SEARCH("Quads",$B688)),4,1))),2))*IF(IFERROR(VLOOKUP($B688,Dashboard!$Q$28:$S$60,3,FALSE),0)&gt;0,VLOOKUP($B688,Dashboard!$Q$28:$S$60,3,FALSE),1))),0))</f>
        <v>143</v>
      </c>
      <c r="K688" s="2" t="str">
        <f>IF('Base S1'!I88="","",'Base S1'!I88)</f>
        <v/>
      </c>
      <c r="L688" s="2">
        <f t="shared" si="130"/>
        <v>0</v>
      </c>
      <c r="M688" s="2">
        <f t="shared" si="131"/>
        <v>0</v>
      </c>
      <c r="N688" s="2">
        <f t="shared" si="132"/>
        <v>0</v>
      </c>
      <c r="O688" s="2">
        <f t="shared" si="133"/>
        <v>1</v>
      </c>
      <c r="P688" s="112">
        <f t="shared" si="134"/>
        <v>0</v>
      </c>
      <c r="Q688" s="112">
        <f t="shared" si="135"/>
        <v>0</v>
      </c>
      <c r="R688" s="53"/>
      <c r="S688" s="53" t="str">
        <f t="shared" si="136"/>
        <v>Base S1|The Seven Parallel - Season 1|87|The Seven</v>
      </c>
      <c r="T688" s="57" t="str">
        <f>IF($S688="","",IFERROR(VLOOKUP($S688,'Pop Estimates (Non-#d)'!$N$2:$O$500,2,FALSE),""))</f>
        <v/>
      </c>
      <c r="U688" s="57">
        <f t="shared" si="137"/>
        <v>7</v>
      </c>
      <c r="V688" s="53" t="str">
        <f t="shared" si="138"/>
        <v/>
      </c>
      <c r="W688" s="53" t="str">
        <f t="shared" si="139"/>
        <v/>
      </c>
      <c r="X688" s="53" t="str">
        <f t="shared" si="140"/>
        <v/>
      </c>
      <c r="Y688" s="57" t="str">
        <f>IF($X688="","",IFERROR(VLOOKUP($X688,'Char Popularity'!$A$2:$C$500,2,FALSE),""))</f>
        <v/>
      </c>
      <c r="Z688" s="56">
        <f>IF($X688="",1,IFERROR(VLOOKUP($X688,'Char Popularity'!$A$2:$C$500,3,FALSE),1))</f>
        <v>1</v>
      </c>
      <c r="AA688" s="62">
        <f>IF($H688&lt;&gt;"Y",0,(IF($F688&lt;&gt;"",ROUND(Dashboard!$R$4/$F688,1),IF(AND($I688="Base",$E688="Base"),Dashboard!$R$5,IF(AND($I688="Base",$E688="Red"),Dashboard!$R$6,IF(AND($I688="Base",$E688="Gold"),Dashboard!$R$7,VLOOKUP($I688,Dashboard!$Q$16:$R$21,2,FALSE)))))*VLOOKUP($I688,Dashboard!$Q$9:$R$13,2,FALSE)*IF(AND($I688="Auto",$F688="",OR($B688="Autographs Duals",$B688="Autographs Triples",$B688="Autographs Quads",$B688="Autographs Quads (Inscribed)")),IF($B688="Autographs Duals",2,IF($B688="Autographs Triples",3,4)),1)))</f>
        <v>142.9</v>
      </c>
      <c r="AB688" s="62">
        <f t="shared" si="141"/>
        <v>0</v>
      </c>
      <c r="AC688" s="62">
        <f t="shared" si="142"/>
        <v>0</v>
      </c>
    </row>
    <row r="689" spans="1:29" ht="42.95" customHeight="1" x14ac:dyDescent="0.25">
      <c r="A689" s="4" t="s">
        <v>17</v>
      </c>
      <c r="B689" s="7" t="s">
        <v>72</v>
      </c>
      <c r="C689" s="2" t="s">
        <v>1487</v>
      </c>
      <c r="D689" s="7" t="s">
        <v>1018</v>
      </c>
      <c r="E689" s="4" t="s">
        <v>689</v>
      </c>
      <c r="F689" s="2">
        <v>7</v>
      </c>
      <c r="G689" s="2" t="s">
        <v>1399</v>
      </c>
      <c r="H689" s="2" t="s">
        <v>1400</v>
      </c>
      <c r="I689" s="4" t="s">
        <v>60</v>
      </c>
      <c r="J689" s="112">
        <f>IF($H689&lt;&gt;"Y",0,ROUND(MIN(Dashboard!$R$24,IF(IFERROR(VLOOKUP($B689,Dashboard!$Q$28:$S$60,2,FALSE),0)&gt;0,IFERROR(VLOOKUP($B689,Dashboard!$Q$28:$S$60,2,FALSE),0),$Z689*IF($U689&lt;&gt;"",ROUND((Dashboard!$R$4/$U689)*VLOOKUP($I689,Dashboard!$Q$9:$R$13,2,FALSE)*IF(ISNUMBER(SEARCH("Duals",$B689)),2,IF(ISNUMBER(SEARCH("Triples",$B689)),3,IF(ISNUMBER(SEARCH("Quads",$B689)),4,1))),2),ROUND(VLOOKUP($I689,Dashboard!$Q$15:$R$20,2,FALSE)*IF($E689="Red",Dashboard!$R$6,IF($E689="Gold",Dashboard!$R$7,Dashboard!$R$5))*IF(ISNUMBER(SEARCH("Duals",$B689)),2,IF(ISNUMBER(SEARCH("Triples",$B689)),3,IF(ISNUMBER(SEARCH("Quads",$B689)),4,1))),2))*IF(IFERROR(VLOOKUP($B689,Dashboard!$Q$28:$S$60,3,FALSE),0)&gt;0,VLOOKUP($B689,Dashboard!$Q$28:$S$60,3,FALSE),1))),0))</f>
        <v>143</v>
      </c>
      <c r="K689" s="2" t="str">
        <f>IF('Base S1'!I89="","",'Base S1'!I89)</f>
        <v>C 1/7</v>
      </c>
      <c r="L689" s="2">
        <f t="shared" si="130"/>
        <v>1</v>
      </c>
      <c r="M689" s="2">
        <f t="shared" si="131"/>
        <v>0</v>
      </c>
      <c r="N689" s="2">
        <f t="shared" si="132"/>
        <v>1</v>
      </c>
      <c r="O689" s="2">
        <f t="shared" si="133"/>
        <v>0</v>
      </c>
      <c r="P689" s="112">
        <f t="shared" si="134"/>
        <v>143</v>
      </c>
      <c r="Q689" s="112">
        <f t="shared" si="135"/>
        <v>0</v>
      </c>
      <c r="R689" s="53"/>
      <c r="S689" s="53" t="str">
        <f t="shared" si="136"/>
        <v>Base S1|The Seven Parallel - Season 1|88|The Seven</v>
      </c>
      <c r="T689" s="57" t="str">
        <f>IF($S689="","",IFERROR(VLOOKUP($S689,'Pop Estimates (Non-#d)'!$N$2:$O$500,2,FALSE),""))</f>
        <v/>
      </c>
      <c r="U689" s="57">
        <f t="shared" si="137"/>
        <v>7</v>
      </c>
      <c r="V689" s="53" t="str">
        <f t="shared" si="138"/>
        <v/>
      </c>
      <c r="W689" s="53" t="str">
        <f t="shared" si="139"/>
        <v/>
      </c>
      <c r="X689" s="53" t="str">
        <f t="shared" si="140"/>
        <v/>
      </c>
      <c r="Y689" s="57" t="str">
        <f>IF($X689="","",IFERROR(VLOOKUP($X689,'Char Popularity'!$A$2:$C$500,2,FALSE),""))</f>
        <v/>
      </c>
      <c r="Z689" s="56">
        <f>IF($X689="",1,IFERROR(VLOOKUP($X689,'Char Popularity'!$A$2:$C$500,3,FALSE),1))</f>
        <v>1</v>
      </c>
      <c r="AA689" s="62">
        <f>IF($H689&lt;&gt;"Y",0,(IF($F689&lt;&gt;"",ROUND(Dashboard!$R$4/$F689,1),IF(AND($I689="Base",$E689="Base"),Dashboard!$R$5,IF(AND($I689="Base",$E689="Red"),Dashboard!$R$6,IF(AND($I689="Base",$E689="Gold"),Dashboard!$R$7,VLOOKUP($I689,Dashboard!$Q$16:$R$21,2,FALSE)))))*VLOOKUP($I689,Dashboard!$Q$9:$R$13,2,FALSE)*IF(AND($I689="Auto",$F689="",OR($B689="Autographs Duals",$B689="Autographs Triples",$B689="Autographs Quads",$B689="Autographs Quads (Inscribed)")),IF($B689="Autographs Duals",2,IF($B689="Autographs Triples",3,4)),1)))</f>
        <v>142.9</v>
      </c>
      <c r="AB689" s="62">
        <f t="shared" si="141"/>
        <v>142.9</v>
      </c>
      <c r="AC689" s="62">
        <f t="shared" si="142"/>
        <v>0</v>
      </c>
    </row>
    <row r="690" spans="1:29" ht="42.95" customHeight="1" x14ac:dyDescent="0.25">
      <c r="A690" s="4" t="s">
        <v>17</v>
      </c>
      <c r="B690" s="7" t="s">
        <v>72</v>
      </c>
      <c r="C690" s="2" t="s">
        <v>1488</v>
      </c>
      <c r="D690" s="7" t="s">
        <v>1021</v>
      </c>
      <c r="E690" s="4" t="s">
        <v>689</v>
      </c>
      <c r="F690" s="2">
        <v>7</v>
      </c>
      <c r="G690" s="2" t="s">
        <v>1399</v>
      </c>
      <c r="H690" s="2" t="s">
        <v>1400</v>
      </c>
      <c r="I690" s="4" t="s">
        <v>60</v>
      </c>
      <c r="J690" s="112">
        <f>IF($H690&lt;&gt;"Y",0,ROUND(MIN(Dashboard!$R$24,IF(IFERROR(VLOOKUP($B690,Dashboard!$Q$28:$S$60,2,FALSE),0)&gt;0,IFERROR(VLOOKUP($B690,Dashboard!$Q$28:$S$60,2,FALSE),0),$Z690*IF($U690&lt;&gt;"",ROUND((Dashboard!$R$4/$U690)*VLOOKUP($I690,Dashboard!$Q$9:$R$13,2,FALSE)*IF(ISNUMBER(SEARCH("Duals",$B690)),2,IF(ISNUMBER(SEARCH("Triples",$B690)),3,IF(ISNUMBER(SEARCH("Quads",$B690)),4,1))),2),ROUND(VLOOKUP($I690,Dashboard!$Q$15:$R$20,2,FALSE)*IF($E690="Red",Dashboard!$R$6,IF($E690="Gold",Dashboard!$R$7,Dashboard!$R$5))*IF(ISNUMBER(SEARCH("Duals",$B690)),2,IF(ISNUMBER(SEARCH("Triples",$B690)),3,IF(ISNUMBER(SEARCH("Quads",$B690)),4,1))),2))*IF(IFERROR(VLOOKUP($B690,Dashboard!$Q$28:$S$60,3,FALSE),0)&gt;0,VLOOKUP($B690,Dashboard!$Q$28:$S$60,3,FALSE),1))),0))</f>
        <v>143</v>
      </c>
      <c r="K690" s="2" t="str">
        <f>IF('Base S1'!I90="","",'Base S1'!I90)</f>
        <v>C 7/7</v>
      </c>
      <c r="L690" s="2">
        <f t="shared" si="130"/>
        <v>1</v>
      </c>
      <c r="M690" s="2">
        <f t="shared" si="131"/>
        <v>0</v>
      </c>
      <c r="N690" s="2">
        <f t="shared" si="132"/>
        <v>1</v>
      </c>
      <c r="O690" s="2">
        <f t="shared" si="133"/>
        <v>0</v>
      </c>
      <c r="P690" s="112">
        <f t="shared" si="134"/>
        <v>143</v>
      </c>
      <c r="Q690" s="112">
        <f t="shared" si="135"/>
        <v>0</v>
      </c>
      <c r="R690" s="53"/>
      <c r="S690" s="53" t="str">
        <f t="shared" si="136"/>
        <v>Base S1|The Seven Parallel - Season 1|89|The Seven</v>
      </c>
      <c r="T690" s="57" t="str">
        <f>IF($S690="","",IFERROR(VLOOKUP($S690,'Pop Estimates (Non-#d)'!$N$2:$O$500,2,FALSE),""))</f>
        <v/>
      </c>
      <c r="U690" s="57">
        <f t="shared" si="137"/>
        <v>7</v>
      </c>
      <c r="V690" s="53" t="str">
        <f t="shared" si="138"/>
        <v/>
      </c>
      <c r="W690" s="53" t="str">
        <f t="shared" si="139"/>
        <v/>
      </c>
      <c r="X690" s="53" t="str">
        <f t="shared" si="140"/>
        <v/>
      </c>
      <c r="Y690" s="57" t="str">
        <f>IF($X690="","",IFERROR(VLOOKUP($X690,'Char Popularity'!$A$2:$C$500,2,FALSE),""))</f>
        <v/>
      </c>
      <c r="Z690" s="56">
        <f>IF($X690="",1,IFERROR(VLOOKUP($X690,'Char Popularity'!$A$2:$C$500,3,FALSE),1))</f>
        <v>1</v>
      </c>
      <c r="AA690" s="62">
        <f>IF($H690&lt;&gt;"Y",0,(IF($F690&lt;&gt;"",ROUND(Dashboard!$R$4/$F690,1),IF(AND($I690="Base",$E690="Base"),Dashboard!$R$5,IF(AND($I690="Base",$E690="Red"),Dashboard!$R$6,IF(AND($I690="Base",$E690="Gold"),Dashboard!$R$7,VLOOKUP($I690,Dashboard!$Q$16:$R$21,2,FALSE)))))*VLOOKUP($I690,Dashboard!$Q$9:$R$13,2,FALSE)*IF(AND($I690="Auto",$F690="",OR($B690="Autographs Duals",$B690="Autographs Triples",$B690="Autographs Quads",$B690="Autographs Quads (Inscribed)")),IF($B690="Autographs Duals",2,IF($B690="Autographs Triples",3,4)),1)))</f>
        <v>142.9</v>
      </c>
      <c r="AB690" s="62">
        <f t="shared" si="141"/>
        <v>142.9</v>
      </c>
      <c r="AC690" s="62">
        <f t="shared" si="142"/>
        <v>0</v>
      </c>
    </row>
    <row r="691" spans="1:29" ht="42.95" customHeight="1" x14ac:dyDescent="0.25">
      <c r="A691" s="4" t="s">
        <v>17</v>
      </c>
      <c r="B691" s="7" t="s">
        <v>72</v>
      </c>
      <c r="C691" s="2" t="s">
        <v>1489</v>
      </c>
      <c r="D691" s="7" t="s">
        <v>1023</v>
      </c>
      <c r="E691" s="4" t="s">
        <v>689</v>
      </c>
      <c r="F691" s="2">
        <v>7</v>
      </c>
      <c r="G691" s="2" t="s">
        <v>1399</v>
      </c>
      <c r="H691" s="2" t="s">
        <v>1400</v>
      </c>
      <c r="I691" s="4" t="s">
        <v>60</v>
      </c>
      <c r="J691" s="112">
        <f>IF($H691&lt;&gt;"Y",0,ROUND(MIN(Dashboard!$R$24,IF(IFERROR(VLOOKUP($B691,Dashboard!$Q$28:$S$60,2,FALSE),0)&gt;0,IFERROR(VLOOKUP($B691,Dashboard!$Q$28:$S$60,2,FALSE),0),$Z691*IF($U691&lt;&gt;"",ROUND((Dashboard!$R$4/$U691)*VLOOKUP($I691,Dashboard!$Q$9:$R$13,2,FALSE)*IF(ISNUMBER(SEARCH("Duals",$B691)),2,IF(ISNUMBER(SEARCH("Triples",$B691)),3,IF(ISNUMBER(SEARCH("Quads",$B691)),4,1))),2),ROUND(VLOOKUP($I691,Dashboard!$Q$15:$R$20,2,FALSE)*IF($E691="Red",Dashboard!$R$6,IF($E691="Gold",Dashboard!$R$7,Dashboard!$R$5))*IF(ISNUMBER(SEARCH("Duals",$B691)),2,IF(ISNUMBER(SEARCH("Triples",$B691)),3,IF(ISNUMBER(SEARCH("Quads",$B691)),4,1))),2))*IF(IFERROR(VLOOKUP($B691,Dashboard!$Q$28:$S$60,3,FALSE),0)&gt;0,VLOOKUP($B691,Dashboard!$Q$28:$S$60,3,FALSE),1))),0))</f>
        <v>143</v>
      </c>
      <c r="K691" s="2" t="str">
        <f>IF('Base S1'!I91="","",'Base S1'!I91)</f>
        <v/>
      </c>
      <c r="L691" s="2">
        <f t="shared" si="130"/>
        <v>0</v>
      </c>
      <c r="M691" s="2">
        <f t="shared" si="131"/>
        <v>0</v>
      </c>
      <c r="N691" s="2">
        <f t="shared" si="132"/>
        <v>0</v>
      </c>
      <c r="O691" s="2">
        <f t="shared" si="133"/>
        <v>1</v>
      </c>
      <c r="P691" s="112">
        <f t="shared" si="134"/>
        <v>0</v>
      </c>
      <c r="Q691" s="112">
        <f t="shared" si="135"/>
        <v>0</v>
      </c>
      <c r="R691" s="53"/>
      <c r="S691" s="53" t="str">
        <f t="shared" si="136"/>
        <v>Base S1|The Seven Parallel - Season 1|90|The Seven</v>
      </c>
      <c r="T691" s="57" t="str">
        <f>IF($S691="","",IFERROR(VLOOKUP($S691,'Pop Estimates (Non-#d)'!$N$2:$O$500,2,FALSE),""))</f>
        <v/>
      </c>
      <c r="U691" s="57">
        <f t="shared" si="137"/>
        <v>7</v>
      </c>
      <c r="V691" s="53" t="str">
        <f t="shared" si="138"/>
        <v/>
      </c>
      <c r="W691" s="53" t="str">
        <f t="shared" si="139"/>
        <v/>
      </c>
      <c r="X691" s="53" t="str">
        <f t="shared" si="140"/>
        <v/>
      </c>
      <c r="Y691" s="57" t="str">
        <f>IF($X691="","",IFERROR(VLOOKUP($X691,'Char Popularity'!$A$2:$C$500,2,FALSE),""))</f>
        <v/>
      </c>
      <c r="Z691" s="56">
        <f>IF($X691="",1,IFERROR(VLOOKUP($X691,'Char Popularity'!$A$2:$C$500,3,FALSE),1))</f>
        <v>1</v>
      </c>
      <c r="AA691" s="62">
        <f>IF($H691&lt;&gt;"Y",0,(IF($F691&lt;&gt;"",ROUND(Dashboard!$R$4/$F691,1),IF(AND($I691="Base",$E691="Base"),Dashboard!$R$5,IF(AND($I691="Base",$E691="Red"),Dashboard!$R$6,IF(AND($I691="Base",$E691="Gold"),Dashboard!$R$7,VLOOKUP($I691,Dashboard!$Q$16:$R$21,2,FALSE)))))*VLOOKUP($I691,Dashboard!$Q$9:$R$13,2,FALSE)*IF(AND($I691="Auto",$F691="",OR($B691="Autographs Duals",$B691="Autographs Triples",$B691="Autographs Quads",$B691="Autographs Quads (Inscribed)")),IF($B691="Autographs Duals",2,IF($B691="Autographs Triples",3,4)),1)))</f>
        <v>142.9</v>
      </c>
      <c r="AB691" s="62">
        <f t="shared" si="141"/>
        <v>0</v>
      </c>
      <c r="AC691" s="62">
        <f t="shared" si="142"/>
        <v>0</v>
      </c>
    </row>
    <row r="692" spans="1:29" ht="42.95" customHeight="1" x14ac:dyDescent="0.25">
      <c r="A692" s="4" t="s">
        <v>17</v>
      </c>
      <c r="B692" s="7" t="s">
        <v>72</v>
      </c>
      <c r="C692" s="2" t="s">
        <v>1490</v>
      </c>
      <c r="D692" s="7" t="s">
        <v>1025</v>
      </c>
      <c r="E692" s="4" t="s">
        <v>689</v>
      </c>
      <c r="F692" s="2">
        <v>7</v>
      </c>
      <c r="G692" s="2" t="s">
        <v>1399</v>
      </c>
      <c r="H692" s="2" t="s">
        <v>1400</v>
      </c>
      <c r="I692" s="4" t="s">
        <v>60</v>
      </c>
      <c r="J692" s="112">
        <f>IF($H692&lt;&gt;"Y",0,ROUND(MIN(Dashboard!$R$24,IF(IFERROR(VLOOKUP($B692,Dashboard!$Q$28:$S$60,2,FALSE),0)&gt;0,IFERROR(VLOOKUP($B692,Dashboard!$Q$28:$S$60,2,FALSE),0),$Z692*IF($U692&lt;&gt;"",ROUND((Dashboard!$R$4/$U692)*VLOOKUP($I692,Dashboard!$Q$9:$R$13,2,FALSE)*IF(ISNUMBER(SEARCH("Duals",$B692)),2,IF(ISNUMBER(SEARCH("Triples",$B692)),3,IF(ISNUMBER(SEARCH("Quads",$B692)),4,1))),2),ROUND(VLOOKUP($I692,Dashboard!$Q$15:$R$20,2,FALSE)*IF($E692="Red",Dashboard!$R$6,IF($E692="Gold",Dashboard!$R$7,Dashboard!$R$5))*IF(ISNUMBER(SEARCH("Duals",$B692)),2,IF(ISNUMBER(SEARCH("Triples",$B692)),3,IF(ISNUMBER(SEARCH("Quads",$B692)),4,1))),2))*IF(IFERROR(VLOOKUP($B692,Dashboard!$Q$28:$S$60,3,FALSE),0)&gt;0,VLOOKUP($B692,Dashboard!$Q$28:$S$60,3,FALSE),1))),0))</f>
        <v>143</v>
      </c>
      <c r="K692" s="2" t="str">
        <f>IF('Base S1'!I92="","",'Base S1'!I92)</f>
        <v/>
      </c>
      <c r="L692" s="2">
        <f t="shared" si="130"/>
        <v>0</v>
      </c>
      <c r="M692" s="2">
        <f t="shared" si="131"/>
        <v>0</v>
      </c>
      <c r="N692" s="2">
        <f t="shared" si="132"/>
        <v>0</v>
      </c>
      <c r="O692" s="2">
        <f t="shared" si="133"/>
        <v>1</v>
      </c>
      <c r="P692" s="112">
        <f t="shared" si="134"/>
        <v>0</v>
      </c>
      <c r="Q692" s="112">
        <f t="shared" si="135"/>
        <v>0</v>
      </c>
      <c r="R692" s="53"/>
      <c r="S692" s="53" t="str">
        <f t="shared" si="136"/>
        <v>Base S1|The Seven Parallel - Season 1|91|The Seven</v>
      </c>
      <c r="T692" s="57" t="str">
        <f>IF($S692="","",IFERROR(VLOOKUP($S692,'Pop Estimates (Non-#d)'!$N$2:$O$500,2,FALSE),""))</f>
        <v/>
      </c>
      <c r="U692" s="57">
        <f t="shared" si="137"/>
        <v>7</v>
      </c>
      <c r="V692" s="53" t="str">
        <f t="shared" si="138"/>
        <v/>
      </c>
      <c r="W692" s="53" t="str">
        <f t="shared" si="139"/>
        <v/>
      </c>
      <c r="X692" s="53" t="str">
        <f t="shared" si="140"/>
        <v/>
      </c>
      <c r="Y692" s="57" t="str">
        <f>IF($X692="","",IFERROR(VLOOKUP($X692,'Char Popularity'!$A$2:$C$500,2,FALSE),""))</f>
        <v/>
      </c>
      <c r="Z692" s="56">
        <f>IF($X692="",1,IFERROR(VLOOKUP($X692,'Char Popularity'!$A$2:$C$500,3,FALSE),1))</f>
        <v>1</v>
      </c>
      <c r="AA692" s="62">
        <f>IF($H692&lt;&gt;"Y",0,(IF($F692&lt;&gt;"",ROUND(Dashboard!$R$4/$F692,1),IF(AND($I692="Base",$E692="Base"),Dashboard!$R$5,IF(AND($I692="Base",$E692="Red"),Dashboard!$R$6,IF(AND($I692="Base",$E692="Gold"),Dashboard!$R$7,VLOOKUP($I692,Dashboard!$Q$16:$R$21,2,FALSE)))))*VLOOKUP($I692,Dashboard!$Q$9:$R$13,2,FALSE)*IF(AND($I692="Auto",$F692="",OR($B692="Autographs Duals",$B692="Autographs Triples",$B692="Autographs Quads",$B692="Autographs Quads (Inscribed)")),IF($B692="Autographs Duals",2,IF($B692="Autographs Triples",3,4)),1)))</f>
        <v>142.9</v>
      </c>
      <c r="AB692" s="62">
        <f t="shared" si="141"/>
        <v>0</v>
      </c>
      <c r="AC692" s="62">
        <f t="shared" si="142"/>
        <v>0</v>
      </c>
    </row>
    <row r="693" spans="1:29" ht="42.95" customHeight="1" x14ac:dyDescent="0.25">
      <c r="A693" s="4" t="s">
        <v>17</v>
      </c>
      <c r="B693" s="7" t="s">
        <v>72</v>
      </c>
      <c r="C693" s="2" t="s">
        <v>1491</v>
      </c>
      <c r="D693" s="7" t="s">
        <v>1027</v>
      </c>
      <c r="E693" s="4" t="s">
        <v>689</v>
      </c>
      <c r="F693" s="2">
        <v>7</v>
      </c>
      <c r="G693" s="2" t="s">
        <v>1399</v>
      </c>
      <c r="H693" s="2" t="s">
        <v>1400</v>
      </c>
      <c r="I693" s="4" t="s">
        <v>60</v>
      </c>
      <c r="J693" s="112">
        <f>IF($H693&lt;&gt;"Y",0,ROUND(MIN(Dashboard!$R$24,IF(IFERROR(VLOOKUP($B693,Dashboard!$Q$28:$S$60,2,FALSE),0)&gt;0,IFERROR(VLOOKUP($B693,Dashboard!$Q$28:$S$60,2,FALSE),0),$Z693*IF($U693&lt;&gt;"",ROUND((Dashboard!$R$4/$U693)*VLOOKUP($I693,Dashboard!$Q$9:$R$13,2,FALSE)*IF(ISNUMBER(SEARCH("Duals",$B693)),2,IF(ISNUMBER(SEARCH("Triples",$B693)),3,IF(ISNUMBER(SEARCH("Quads",$B693)),4,1))),2),ROUND(VLOOKUP($I693,Dashboard!$Q$15:$R$20,2,FALSE)*IF($E693="Red",Dashboard!$R$6,IF($E693="Gold",Dashboard!$R$7,Dashboard!$R$5))*IF(ISNUMBER(SEARCH("Duals",$B693)),2,IF(ISNUMBER(SEARCH("Triples",$B693)),3,IF(ISNUMBER(SEARCH("Quads",$B693)),4,1))),2))*IF(IFERROR(VLOOKUP($B693,Dashboard!$Q$28:$S$60,3,FALSE),0)&gt;0,VLOOKUP($B693,Dashboard!$Q$28:$S$60,3,FALSE),1))),0))</f>
        <v>143</v>
      </c>
      <c r="K693" s="2" t="str">
        <f>IF('Base S1'!I93="","",'Base S1'!I93)</f>
        <v/>
      </c>
      <c r="L693" s="2">
        <f t="shared" si="130"/>
        <v>0</v>
      </c>
      <c r="M693" s="2">
        <f t="shared" si="131"/>
        <v>0</v>
      </c>
      <c r="N693" s="2">
        <f t="shared" si="132"/>
        <v>0</v>
      </c>
      <c r="O693" s="2">
        <f t="shared" si="133"/>
        <v>1</v>
      </c>
      <c r="P693" s="112">
        <f t="shared" si="134"/>
        <v>0</v>
      </c>
      <c r="Q693" s="112">
        <f t="shared" si="135"/>
        <v>0</v>
      </c>
      <c r="R693" s="53"/>
      <c r="S693" s="53" t="str">
        <f t="shared" si="136"/>
        <v>Base S1|The Seven Parallel - Season 1|92|The Seven</v>
      </c>
      <c r="T693" s="57" t="str">
        <f>IF($S693="","",IFERROR(VLOOKUP($S693,'Pop Estimates (Non-#d)'!$N$2:$O$500,2,FALSE),""))</f>
        <v/>
      </c>
      <c r="U693" s="57">
        <f t="shared" si="137"/>
        <v>7</v>
      </c>
      <c r="V693" s="53" t="str">
        <f t="shared" si="138"/>
        <v/>
      </c>
      <c r="W693" s="53" t="str">
        <f t="shared" si="139"/>
        <v/>
      </c>
      <c r="X693" s="53" t="str">
        <f t="shared" si="140"/>
        <v/>
      </c>
      <c r="Y693" s="57" t="str">
        <f>IF($X693="","",IFERROR(VLOOKUP($X693,'Char Popularity'!$A$2:$C$500,2,FALSE),""))</f>
        <v/>
      </c>
      <c r="Z693" s="56">
        <f>IF($X693="",1,IFERROR(VLOOKUP($X693,'Char Popularity'!$A$2:$C$500,3,FALSE),1))</f>
        <v>1</v>
      </c>
      <c r="AA693" s="62">
        <f>IF($H693&lt;&gt;"Y",0,(IF($F693&lt;&gt;"",ROUND(Dashboard!$R$4/$F693,1),IF(AND($I693="Base",$E693="Base"),Dashboard!$R$5,IF(AND($I693="Base",$E693="Red"),Dashboard!$R$6,IF(AND($I693="Base",$E693="Gold"),Dashboard!$R$7,VLOOKUP($I693,Dashboard!$Q$16:$R$21,2,FALSE)))))*VLOOKUP($I693,Dashboard!$Q$9:$R$13,2,FALSE)*IF(AND($I693="Auto",$F693="",OR($B693="Autographs Duals",$B693="Autographs Triples",$B693="Autographs Quads",$B693="Autographs Quads (Inscribed)")),IF($B693="Autographs Duals",2,IF($B693="Autographs Triples",3,4)),1)))</f>
        <v>142.9</v>
      </c>
      <c r="AB693" s="62">
        <f t="shared" si="141"/>
        <v>0</v>
      </c>
      <c r="AC693" s="62">
        <f t="shared" si="142"/>
        <v>0</v>
      </c>
    </row>
    <row r="694" spans="1:29" ht="42.95" customHeight="1" x14ac:dyDescent="0.25">
      <c r="A694" s="4" t="s">
        <v>17</v>
      </c>
      <c r="B694" s="7" t="s">
        <v>72</v>
      </c>
      <c r="C694" s="2" t="s">
        <v>1492</v>
      </c>
      <c r="D694" s="7" t="s">
        <v>1029</v>
      </c>
      <c r="E694" s="4" t="s">
        <v>689</v>
      </c>
      <c r="F694" s="2">
        <v>7</v>
      </c>
      <c r="G694" s="2" t="s">
        <v>1399</v>
      </c>
      <c r="H694" s="2" t="s">
        <v>1400</v>
      </c>
      <c r="I694" s="4" t="s">
        <v>60</v>
      </c>
      <c r="J694" s="112">
        <f>IF($H694&lt;&gt;"Y",0,ROUND(MIN(Dashboard!$R$24,IF(IFERROR(VLOOKUP($B694,Dashboard!$Q$28:$S$60,2,FALSE),0)&gt;0,IFERROR(VLOOKUP($B694,Dashboard!$Q$28:$S$60,2,FALSE),0),$Z694*IF($U694&lt;&gt;"",ROUND((Dashboard!$R$4/$U694)*VLOOKUP($I694,Dashboard!$Q$9:$R$13,2,FALSE)*IF(ISNUMBER(SEARCH("Duals",$B694)),2,IF(ISNUMBER(SEARCH("Triples",$B694)),3,IF(ISNUMBER(SEARCH("Quads",$B694)),4,1))),2),ROUND(VLOOKUP($I694,Dashboard!$Q$15:$R$20,2,FALSE)*IF($E694="Red",Dashboard!$R$6,IF($E694="Gold",Dashboard!$R$7,Dashboard!$R$5))*IF(ISNUMBER(SEARCH("Duals",$B694)),2,IF(ISNUMBER(SEARCH("Triples",$B694)),3,IF(ISNUMBER(SEARCH("Quads",$B694)),4,1))),2))*IF(IFERROR(VLOOKUP($B694,Dashboard!$Q$28:$S$60,3,FALSE),0)&gt;0,VLOOKUP($B694,Dashboard!$Q$28:$S$60,3,FALSE),1))),0))</f>
        <v>143</v>
      </c>
      <c r="K694" s="2" t="str">
        <f>IF('Base S1'!I94="","",'Base S1'!I94)</f>
        <v/>
      </c>
      <c r="L694" s="2">
        <f t="shared" si="130"/>
        <v>0</v>
      </c>
      <c r="M694" s="2">
        <f t="shared" si="131"/>
        <v>0</v>
      </c>
      <c r="N694" s="2">
        <f t="shared" si="132"/>
        <v>0</v>
      </c>
      <c r="O694" s="2">
        <f t="shared" si="133"/>
        <v>1</v>
      </c>
      <c r="P694" s="112">
        <f t="shared" si="134"/>
        <v>0</v>
      </c>
      <c r="Q694" s="112">
        <f t="shared" si="135"/>
        <v>0</v>
      </c>
      <c r="R694" s="53"/>
      <c r="S694" s="53" t="str">
        <f t="shared" si="136"/>
        <v>Base S1|The Seven Parallel - Season 1|93|The Seven</v>
      </c>
      <c r="T694" s="57" t="str">
        <f>IF($S694="","",IFERROR(VLOOKUP($S694,'Pop Estimates (Non-#d)'!$N$2:$O$500,2,FALSE),""))</f>
        <v/>
      </c>
      <c r="U694" s="57">
        <f t="shared" si="137"/>
        <v>7</v>
      </c>
      <c r="V694" s="53" t="str">
        <f t="shared" si="138"/>
        <v/>
      </c>
      <c r="W694" s="53" t="str">
        <f t="shared" si="139"/>
        <v/>
      </c>
      <c r="X694" s="53" t="str">
        <f t="shared" si="140"/>
        <v/>
      </c>
      <c r="Y694" s="57" t="str">
        <f>IF($X694="","",IFERROR(VLOOKUP($X694,'Char Popularity'!$A$2:$C$500,2,FALSE),""))</f>
        <v/>
      </c>
      <c r="Z694" s="56">
        <f>IF($X694="",1,IFERROR(VLOOKUP($X694,'Char Popularity'!$A$2:$C$500,3,FALSE),1))</f>
        <v>1</v>
      </c>
      <c r="AA694" s="62">
        <f>IF($H694&lt;&gt;"Y",0,(IF($F694&lt;&gt;"",ROUND(Dashboard!$R$4/$F694,1),IF(AND($I694="Base",$E694="Base"),Dashboard!$R$5,IF(AND($I694="Base",$E694="Red"),Dashboard!$R$6,IF(AND($I694="Base",$E694="Gold"),Dashboard!$R$7,VLOOKUP($I694,Dashboard!$Q$16:$R$21,2,FALSE)))))*VLOOKUP($I694,Dashboard!$Q$9:$R$13,2,FALSE)*IF(AND($I694="Auto",$F694="",OR($B694="Autographs Duals",$B694="Autographs Triples",$B694="Autographs Quads",$B694="Autographs Quads (Inscribed)")),IF($B694="Autographs Duals",2,IF($B694="Autographs Triples",3,4)),1)))</f>
        <v>142.9</v>
      </c>
      <c r="AB694" s="62">
        <f t="shared" si="141"/>
        <v>0</v>
      </c>
      <c r="AC694" s="62">
        <f t="shared" si="142"/>
        <v>0</v>
      </c>
    </row>
    <row r="695" spans="1:29" ht="42.95" customHeight="1" x14ac:dyDescent="0.25">
      <c r="A695" s="4" t="s">
        <v>17</v>
      </c>
      <c r="B695" s="7" t="s">
        <v>72</v>
      </c>
      <c r="C695" s="2" t="s">
        <v>1493</v>
      </c>
      <c r="D695" s="7" t="s">
        <v>1031</v>
      </c>
      <c r="E695" s="4" t="s">
        <v>689</v>
      </c>
      <c r="F695" s="2">
        <v>7</v>
      </c>
      <c r="G695" s="2" t="s">
        <v>1399</v>
      </c>
      <c r="H695" s="2" t="s">
        <v>1400</v>
      </c>
      <c r="I695" s="4" t="s">
        <v>60</v>
      </c>
      <c r="J695" s="112">
        <f>IF($H695&lt;&gt;"Y",0,ROUND(MIN(Dashboard!$R$24,IF(IFERROR(VLOOKUP($B695,Dashboard!$Q$28:$S$60,2,FALSE),0)&gt;0,IFERROR(VLOOKUP($B695,Dashboard!$Q$28:$S$60,2,FALSE),0),$Z695*IF($U695&lt;&gt;"",ROUND((Dashboard!$R$4/$U695)*VLOOKUP($I695,Dashboard!$Q$9:$R$13,2,FALSE)*IF(ISNUMBER(SEARCH("Duals",$B695)),2,IF(ISNUMBER(SEARCH("Triples",$B695)),3,IF(ISNUMBER(SEARCH("Quads",$B695)),4,1))),2),ROUND(VLOOKUP($I695,Dashboard!$Q$15:$R$20,2,FALSE)*IF($E695="Red",Dashboard!$R$6,IF($E695="Gold",Dashboard!$R$7,Dashboard!$R$5))*IF(ISNUMBER(SEARCH("Duals",$B695)),2,IF(ISNUMBER(SEARCH("Triples",$B695)),3,IF(ISNUMBER(SEARCH("Quads",$B695)),4,1))),2))*IF(IFERROR(VLOOKUP($B695,Dashboard!$Q$28:$S$60,3,FALSE),0)&gt;0,VLOOKUP($B695,Dashboard!$Q$28:$S$60,3,FALSE),1))),0))</f>
        <v>143</v>
      </c>
      <c r="K695" s="2" t="str">
        <f>IF('Base S1'!I95="","",'Base S1'!I95)</f>
        <v/>
      </c>
      <c r="L695" s="2">
        <f t="shared" si="130"/>
        <v>0</v>
      </c>
      <c r="M695" s="2">
        <f t="shared" si="131"/>
        <v>0</v>
      </c>
      <c r="N695" s="2">
        <f t="shared" si="132"/>
        <v>0</v>
      </c>
      <c r="O695" s="2">
        <f t="shared" si="133"/>
        <v>1</v>
      </c>
      <c r="P695" s="112">
        <f t="shared" si="134"/>
        <v>0</v>
      </c>
      <c r="Q695" s="112">
        <f t="shared" si="135"/>
        <v>0</v>
      </c>
      <c r="R695" s="53"/>
      <c r="S695" s="53" t="str">
        <f t="shared" si="136"/>
        <v>Base S1|The Seven Parallel - Season 1|94|The Seven</v>
      </c>
      <c r="T695" s="57" t="str">
        <f>IF($S695="","",IFERROR(VLOOKUP($S695,'Pop Estimates (Non-#d)'!$N$2:$O$500,2,FALSE),""))</f>
        <v/>
      </c>
      <c r="U695" s="57">
        <f t="shared" si="137"/>
        <v>7</v>
      </c>
      <c r="V695" s="53" t="str">
        <f t="shared" si="138"/>
        <v/>
      </c>
      <c r="W695" s="53" t="str">
        <f t="shared" si="139"/>
        <v/>
      </c>
      <c r="X695" s="53" t="str">
        <f t="shared" si="140"/>
        <v/>
      </c>
      <c r="Y695" s="57" t="str">
        <f>IF($X695="","",IFERROR(VLOOKUP($X695,'Char Popularity'!$A$2:$C$500,2,FALSE),""))</f>
        <v/>
      </c>
      <c r="Z695" s="56">
        <f>IF($X695="",1,IFERROR(VLOOKUP($X695,'Char Popularity'!$A$2:$C$500,3,FALSE),1))</f>
        <v>1</v>
      </c>
      <c r="AA695" s="62">
        <f>IF($H695&lt;&gt;"Y",0,(IF($F695&lt;&gt;"",ROUND(Dashboard!$R$4/$F695,1),IF(AND($I695="Base",$E695="Base"),Dashboard!$R$5,IF(AND($I695="Base",$E695="Red"),Dashboard!$R$6,IF(AND($I695="Base",$E695="Gold"),Dashboard!$R$7,VLOOKUP($I695,Dashboard!$Q$16:$R$21,2,FALSE)))))*VLOOKUP($I695,Dashboard!$Q$9:$R$13,2,FALSE)*IF(AND($I695="Auto",$F695="",OR($B695="Autographs Duals",$B695="Autographs Triples",$B695="Autographs Quads",$B695="Autographs Quads (Inscribed)")),IF($B695="Autographs Duals",2,IF($B695="Autographs Triples",3,4)),1)))</f>
        <v>142.9</v>
      </c>
      <c r="AB695" s="62">
        <f t="shared" si="141"/>
        <v>0</v>
      </c>
      <c r="AC695" s="62">
        <f t="shared" si="142"/>
        <v>0</v>
      </c>
    </row>
    <row r="696" spans="1:29" ht="42.95" customHeight="1" x14ac:dyDescent="0.25">
      <c r="A696" s="4" t="s">
        <v>17</v>
      </c>
      <c r="B696" s="7" t="s">
        <v>72</v>
      </c>
      <c r="C696" s="2" t="s">
        <v>1494</v>
      </c>
      <c r="D696" s="7" t="s">
        <v>1032</v>
      </c>
      <c r="E696" s="4" t="s">
        <v>689</v>
      </c>
      <c r="F696" s="2">
        <v>7</v>
      </c>
      <c r="G696" s="2" t="s">
        <v>1399</v>
      </c>
      <c r="H696" s="2" t="s">
        <v>1400</v>
      </c>
      <c r="I696" s="4" t="s">
        <v>60</v>
      </c>
      <c r="J696" s="112">
        <f>IF($H696&lt;&gt;"Y",0,ROUND(MIN(Dashboard!$R$24,IF(IFERROR(VLOOKUP($B696,Dashboard!$Q$28:$S$60,2,FALSE),0)&gt;0,IFERROR(VLOOKUP($B696,Dashboard!$Q$28:$S$60,2,FALSE),0),$Z696*IF($U696&lt;&gt;"",ROUND((Dashboard!$R$4/$U696)*VLOOKUP($I696,Dashboard!$Q$9:$R$13,2,FALSE)*IF(ISNUMBER(SEARCH("Duals",$B696)),2,IF(ISNUMBER(SEARCH("Triples",$B696)),3,IF(ISNUMBER(SEARCH("Quads",$B696)),4,1))),2),ROUND(VLOOKUP($I696,Dashboard!$Q$15:$R$20,2,FALSE)*IF($E696="Red",Dashboard!$R$6,IF($E696="Gold",Dashboard!$R$7,Dashboard!$R$5))*IF(ISNUMBER(SEARCH("Duals",$B696)),2,IF(ISNUMBER(SEARCH("Triples",$B696)),3,IF(ISNUMBER(SEARCH("Quads",$B696)),4,1))),2))*IF(IFERROR(VLOOKUP($B696,Dashboard!$Q$28:$S$60,3,FALSE),0)&gt;0,VLOOKUP($B696,Dashboard!$Q$28:$S$60,3,FALSE),1))),0))</f>
        <v>143</v>
      </c>
      <c r="K696" s="2" t="str">
        <f>IF('Base S1'!I96="","",'Base S1'!I96)</f>
        <v/>
      </c>
      <c r="L696" s="2">
        <f t="shared" si="130"/>
        <v>0</v>
      </c>
      <c r="M696" s="2">
        <f t="shared" si="131"/>
        <v>0</v>
      </c>
      <c r="N696" s="2">
        <f t="shared" si="132"/>
        <v>0</v>
      </c>
      <c r="O696" s="2">
        <f t="shared" si="133"/>
        <v>1</v>
      </c>
      <c r="P696" s="112">
        <f t="shared" si="134"/>
        <v>0</v>
      </c>
      <c r="Q696" s="112">
        <f t="shared" si="135"/>
        <v>0</v>
      </c>
      <c r="R696" s="53"/>
      <c r="S696" s="53" t="str">
        <f t="shared" si="136"/>
        <v>Base S1|The Seven Parallel - Season 1|95|The Seven</v>
      </c>
      <c r="T696" s="57" t="str">
        <f>IF($S696="","",IFERROR(VLOOKUP($S696,'Pop Estimates (Non-#d)'!$N$2:$O$500,2,FALSE),""))</f>
        <v/>
      </c>
      <c r="U696" s="57">
        <f t="shared" si="137"/>
        <v>7</v>
      </c>
      <c r="V696" s="53" t="str">
        <f t="shared" si="138"/>
        <v/>
      </c>
      <c r="W696" s="53" t="str">
        <f t="shared" si="139"/>
        <v/>
      </c>
      <c r="X696" s="53" t="str">
        <f t="shared" si="140"/>
        <v/>
      </c>
      <c r="Y696" s="57" t="str">
        <f>IF($X696="","",IFERROR(VLOOKUP($X696,'Char Popularity'!$A$2:$C$500,2,FALSE),""))</f>
        <v/>
      </c>
      <c r="Z696" s="56">
        <f>IF($X696="",1,IFERROR(VLOOKUP($X696,'Char Popularity'!$A$2:$C$500,3,FALSE),1))</f>
        <v>1</v>
      </c>
      <c r="AA696" s="62">
        <f>IF($H696&lt;&gt;"Y",0,(IF($F696&lt;&gt;"",ROUND(Dashboard!$R$4/$F696,1),IF(AND($I696="Base",$E696="Base"),Dashboard!$R$5,IF(AND($I696="Base",$E696="Red"),Dashboard!$R$6,IF(AND($I696="Base",$E696="Gold"),Dashboard!$R$7,VLOOKUP($I696,Dashboard!$Q$16:$R$21,2,FALSE)))))*VLOOKUP($I696,Dashboard!$Q$9:$R$13,2,FALSE)*IF(AND($I696="Auto",$F696="",OR($B696="Autographs Duals",$B696="Autographs Triples",$B696="Autographs Quads",$B696="Autographs Quads (Inscribed)")),IF($B696="Autographs Duals",2,IF($B696="Autographs Triples",3,4)),1)))</f>
        <v>142.9</v>
      </c>
      <c r="AB696" s="62">
        <f t="shared" si="141"/>
        <v>0</v>
      </c>
      <c r="AC696" s="62">
        <f t="shared" si="142"/>
        <v>0</v>
      </c>
    </row>
    <row r="697" spans="1:29" ht="42.95" customHeight="1" x14ac:dyDescent="0.25">
      <c r="A697" s="4" t="s">
        <v>17</v>
      </c>
      <c r="B697" s="7" t="s">
        <v>72</v>
      </c>
      <c r="C697" s="2" t="s">
        <v>1495</v>
      </c>
      <c r="D697" s="7" t="s">
        <v>1034</v>
      </c>
      <c r="E697" s="4" t="s">
        <v>689</v>
      </c>
      <c r="F697" s="2">
        <v>7</v>
      </c>
      <c r="G697" s="2" t="s">
        <v>1399</v>
      </c>
      <c r="H697" s="2" t="s">
        <v>1400</v>
      </c>
      <c r="I697" s="4" t="s">
        <v>60</v>
      </c>
      <c r="J697" s="112">
        <f>IF($H697&lt;&gt;"Y",0,ROUND(MIN(Dashboard!$R$24,IF(IFERROR(VLOOKUP($B697,Dashboard!$Q$28:$S$60,2,FALSE),0)&gt;0,IFERROR(VLOOKUP($B697,Dashboard!$Q$28:$S$60,2,FALSE),0),$Z697*IF($U697&lt;&gt;"",ROUND((Dashboard!$R$4/$U697)*VLOOKUP($I697,Dashboard!$Q$9:$R$13,2,FALSE)*IF(ISNUMBER(SEARCH("Duals",$B697)),2,IF(ISNUMBER(SEARCH("Triples",$B697)),3,IF(ISNUMBER(SEARCH("Quads",$B697)),4,1))),2),ROUND(VLOOKUP($I697,Dashboard!$Q$15:$R$20,2,FALSE)*IF($E697="Red",Dashboard!$R$6,IF($E697="Gold",Dashboard!$R$7,Dashboard!$R$5))*IF(ISNUMBER(SEARCH("Duals",$B697)),2,IF(ISNUMBER(SEARCH("Triples",$B697)),3,IF(ISNUMBER(SEARCH("Quads",$B697)),4,1))),2))*IF(IFERROR(VLOOKUP($B697,Dashboard!$Q$28:$S$60,3,FALSE),0)&gt;0,VLOOKUP($B697,Dashboard!$Q$28:$S$60,3,FALSE),1))),0))</f>
        <v>143</v>
      </c>
      <c r="K697" s="2" t="str">
        <f>IF('Base S1'!I97="","",'Base S1'!I97)</f>
        <v/>
      </c>
      <c r="L697" s="2">
        <f t="shared" si="130"/>
        <v>0</v>
      </c>
      <c r="M697" s="2">
        <f t="shared" si="131"/>
        <v>0</v>
      </c>
      <c r="N697" s="2">
        <f t="shared" si="132"/>
        <v>0</v>
      </c>
      <c r="O697" s="2">
        <f t="shared" si="133"/>
        <v>1</v>
      </c>
      <c r="P697" s="112">
        <f t="shared" si="134"/>
        <v>0</v>
      </c>
      <c r="Q697" s="112">
        <f t="shared" si="135"/>
        <v>0</v>
      </c>
      <c r="R697" s="53"/>
      <c r="S697" s="53" t="str">
        <f t="shared" si="136"/>
        <v>Base S1|The Seven Parallel - Season 1|96|The Seven</v>
      </c>
      <c r="T697" s="57" t="str">
        <f>IF($S697="","",IFERROR(VLOOKUP($S697,'Pop Estimates (Non-#d)'!$N$2:$O$500,2,FALSE),""))</f>
        <v/>
      </c>
      <c r="U697" s="57">
        <f t="shared" si="137"/>
        <v>7</v>
      </c>
      <c r="V697" s="53" t="str">
        <f t="shared" si="138"/>
        <v/>
      </c>
      <c r="W697" s="53" t="str">
        <f t="shared" si="139"/>
        <v/>
      </c>
      <c r="X697" s="53" t="str">
        <f t="shared" si="140"/>
        <v/>
      </c>
      <c r="Y697" s="57" t="str">
        <f>IF($X697="","",IFERROR(VLOOKUP($X697,'Char Popularity'!$A$2:$C$500,2,FALSE),""))</f>
        <v/>
      </c>
      <c r="Z697" s="56">
        <f>IF($X697="",1,IFERROR(VLOOKUP($X697,'Char Popularity'!$A$2:$C$500,3,FALSE),1))</f>
        <v>1</v>
      </c>
      <c r="AA697" s="62">
        <f>IF($H697&lt;&gt;"Y",0,(IF($F697&lt;&gt;"",ROUND(Dashboard!$R$4/$F697,1),IF(AND($I697="Base",$E697="Base"),Dashboard!$R$5,IF(AND($I697="Base",$E697="Red"),Dashboard!$R$6,IF(AND($I697="Base",$E697="Gold"),Dashboard!$R$7,VLOOKUP($I697,Dashboard!$Q$16:$R$21,2,FALSE)))))*VLOOKUP($I697,Dashboard!$Q$9:$R$13,2,FALSE)*IF(AND($I697="Auto",$F697="",OR($B697="Autographs Duals",$B697="Autographs Triples",$B697="Autographs Quads",$B697="Autographs Quads (Inscribed)")),IF($B697="Autographs Duals",2,IF($B697="Autographs Triples",3,4)),1)))</f>
        <v>142.9</v>
      </c>
      <c r="AB697" s="62">
        <f t="shared" si="141"/>
        <v>0</v>
      </c>
      <c r="AC697" s="62">
        <f t="shared" si="142"/>
        <v>0</v>
      </c>
    </row>
    <row r="698" spans="1:29" ht="42.95" customHeight="1" x14ac:dyDescent="0.25">
      <c r="A698" s="4" t="s">
        <v>17</v>
      </c>
      <c r="B698" s="7" t="s">
        <v>72</v>
      </c>
      <c r="C698" s="2" t="s">
        <v>1496</v>
      </c>
      <c r="D698" s="7" t="s">
        <v>1036</v>
      </c>
      <c r="E698" s="4" t="s">
        <v>689</v>
      </c>
      <c r="F698" s="2">
        <v>7</v>
      </c>
      <c r="G698" s="2" t="s">
        <v>1399</v>
      </c>
      <c r="H698" s="2" t="s">
        <v>1400</v>
      </c>
      <c r="I698" s="4" t="s">
        <v>60</v>
      </c>
      <c r="J698" s="112">
        <f>IF($H698&lt;&gt;"Y",0,ROUND(MIN(Dashboard!$R$24,IF(IFERROR(VLOOKUP($B698,Dashboard!$Q$28:$S$60,2,FALSE),0)&gt;0,IFERROR(VLOOKUP($B698,Dashboard!$Q$28:$S$60,2,FALSE),0),$Z698*IF($U698&lt;&gt;"",ROUND((Dashboard!$R$4/$U698)*VLOOKUP($I698,Dashboard!$Q$9:$R$13,2,FALSE)*IF(ISNUMBER(SEARCH("Duals",$B698)),2,IF(ISNUMBER(SEARCH("Triples",$B698)),3,IF(ISNUMBER(SEARCH("Quads",$B698)),4,1))),2),ROUND(VLOOKUP($I698,Dashboard!$Q$15:$R$20,2,FALSE)*IF($E698="Red",Dashboard!$R$6,IF($E698="Gold",Dashboard!$R$7,Dashboard!$R$5))*IF(ISNUMBER(SEARCH("Duals",$B698)),2,IF(ISNUMBER(SEARCH("Triples",$B698)),3,IF(ISNUMBER(SEARCH("Quads",$B698)),4,1))),2))*IF(IFERROR(VLOOKUP($B698,Dashboard!$Q$28:$S$60,3,FALSE),0)&gt;0,VLOOKUP($B698,Dashboard!$Q$28:$S$60,3,FALSE),1))),0))</f>
        <v>143</v>
      </c>
      <c r="K698" s="2" t="str">
        <f>IF('Base S1'!I98="","",'Base S1'!I98)</f>
        <v/>
      </c>
      <c r="L698" s="2">
        <f t="shared" si="130"/>
        <v>0</v>
      </c>
      <c r="M698" s="2">
        <f t="shared" si="131"/>
        <v>0</v>
      </c>
      <c r="N698" s="2">
        <f t="shared" si="132"/>
        <v>0</v>
      </c>
      <c r="O698" s="2">
        <f t="shared" si="133"/>
        <v>1</v>
      </c>
      <c r="P698" s="112">
        <f t="shared" si="134"/>
        <v>0</v>
      </c>
      <c r="Q698" s="112">
        <f t="shared" si="135"/>
        <v>0</v>
      </c>
      <c r="R698" s="53"/>
      <c r="S698" s="53" t="str">
        <f t="shared" si="136"/>
        <v>Base S1|The Seven Parallel - Season 1|97|The Seven</v>
      </c>
      <c r="T698" s="57" t="str">
        <f>IF($S698="","",IFERROR(VLOOKUP($S698,'Pop Estimates (Non-#d)'!$N$2:$O$500,2,FALSE),""))</f>
        <v/>
      </c>
      <c r="U698" s="57">
        <f t="shared" si="137"/>
        <v>7</v>
      </c>
      <c r="V698" s="53" t="str">
        <f t="shared" si="138"/>
        <v/>
      </c>
      <c r="W698" s="53" t="str">
        <f t="shared" si="139"/>
        <v/>
      </c>
      <c r="X698" s="53" t="str">
        <f t="shared" si="140"/>
        <v/>
      </c>
      <c r="Y698" s="57" t="str">
        <f>IF($X698="","",IFERROR(VLOOKUP($X698,'Char Popularity'!$A$2:$C$500,2,FALSE),""))</f>
        <v/>
      </c>
      <c r="Z698" s="56">
        <f>IF($X698="",1,IFERROR(VLOOKUP($X698,'Char Popularity'!$A$2:$C$500,3,FALSE),1))</f>
        <v>1</v>
      </c>
      <c r="AA698" s="62">
        <f>IF($H698&lt;&gt;"Y",0,(IF($F698&lt;&gt;"",ROUND(Dashboard!$R$4/$F698,1),IF(AND($I698="Base",$E698="Base"),Dashboard!$R$5,IF(AND($I698="Base",$E698="Red"),Dashboard!$R$6,IF(AND($I698="Base",$E698="Gold"),Dashboard!$R$7,VLOOKUP($I698,Dashboard!$Q$16:$R$21,2,FALSE)))))*VLOOKUP($I698,Dashboard!$Q$9:$R$13,2,FALSE)*IF(AND($I698="Auto",$F698="",OR($B698="Autographs Duals",$B698="Autographs Triples",$B698="Autographs Quads",$B698="Autographs Quads (Inscribed)")),IF($B698="Autographs Duals",2,IF($B698="Autographs Triples",3,4)),1)))</f>
        <v>142.9</v>
      </c>
      <c r="AB698" s="62">
        <f t="shared" si="141"/>
        <v>0</v>
      </c>
      <c r="AC698" s="62">
        <f t="shared" si="142"/>
        <v>0</v>
      </c>
    </row>
    <row r="699" spans="1:29" ht="42.95" customHeight="1" x14ac:dyDescent="0.25">
      <c r="A699" s="4" t="s">
        <v>17</v>
      </c>
      <c r="B699" s="7" t="s">
        <v>72</v>
      </c>
      <c r="C699" s="2" t="s">
        <v>1497</v>
      </c>
      <c r="D699" s="7" t="s">
        <v>1037</v>
      </c>
      <c r="E699" s="4" t="s">
        <v>689</v>
      </c>
      <c r="F699" s="2">
        <v>7</v>
      </c>
      <c r="G699" s="2" t="s">
        <v>1399</v>
      </c>
      <c r="H699" s="2" t="s">
        <v>1400</v>
      </c>
      <c r="I699" s="4" t="s">
        <v>60</v>
      </c>
      <c r="J699" s="112">
        <f>IF($H699&lt;&gt;"Y",0,ROUND(MIN(Dashboard!$R$24,IF(IFERROR(VLOOKUP($B699,Dashboard!$Q$28:$S$60,2,FALSE),0)&gt;0,IFERROR(VLOOKUP($B699,Dashboard!$Q$28:$S$60,2,FALSE),0),$Z699*IF($U699&lt;&gt;"",ROUND((Dashboard!$R$4/$U699)*VLOOKUP($I699,Dashboard!$Q$9:$R$13,2,FALSE)*IF(ISNUMBER(SEARCH("Duals",$B699)),2,IF(ISNUMBER(SEARCH("Triples",$B699)),3,IF(ISNUMBER(SEARCH("Quads",$B699)),4,1))),2),ROUND(VLOOKUP($I699,Dashboard!$Q$15:$R$20,2,FALSE)*IF($E699="Red",Dashboard!$R$6,IF($E699="Gold",Dashboard!$R$7,Dashboard!$R$5))*IF(ISNUMBER(SEARCH("Duals",$B699)),2,IF(ISNUMBER(SEARCH("Triples",$B699)),3,IF(ISNUMBER(SEARCH("Quads",$B699)),4,1))),2))*IF(IFERROR(VLOOKUP($B699,Dashboard!$Q$28:$S$60,3,FALSE),0)&gt;0,VLOOKUP($B699,Dashboard!$Q$28:$S$60,3,FALSE),1))),0))</f>
        <v>143</v>
      </c>
      <c r="K699" s="2" t="str">
        <f>IF('Base S1'!I99="","",'Base S1'!I99)</f>
        <v/>
      </c>
      <c r="L699" s="2">
        <f t="shared" si="130"/>
        <v>0</v>
      </c>
      <c r="M699" s="2">
        <f t="shared" si="131"/>
        <v>0</v>
      </c>
      <c r="N699" s="2">
        <f t="shared" si="132"/>
        <v>0</v>
      </c>
      <c r="O699" s="2">
        <f t="shared" si="133"/>
        <v>1</v>
      </c>
      <c r="P699" s="112">
        <f t="shared" si="134"/>
        <v>0</v>
      </c>
      <c r="Q699" s="112">
        <f t="shared" si="135"/>
        <v>0</v>
      </c>
      <c r="R699" s="53"/>
      <c r="S699" s="53" t="str">
        <f t="shared" si="136"/>
        <v>Base S1|The Seven Parallel - Season 1|98|The Seven</v>
      </c>
      <c r="T699" s="57" t="str">
        <f>IF($S699="","",IFERROR(VLOOKUP($S699,'Pop Estimates (Non-#d)'!$N$2:$O$500,2,FALSE),""))</f>
        <v/>
      </c>
      <c r="U699" s="57">
        <f t="shared" si="137"/>
        <v>7</v>
      </c>
      <c r="V699" s="53" t="str">
        <f t="shared" si="138"/>
        <v/>
      </c>
      <c r="W699" s="53" t="str">
        <f t="shared" si="139"/>
        <v/>
      </c>
      <c r="X699" s="53" t="str">
        <f t="shared" si="140"/>
        <v/>
      </c>
      <c r="Y699" s="57" t="str">
        <f>IF($X699="","",IFERROR(VLOOKUP($X699,'Char Popularity'!$A$2:$C$500,2,FALSE),""))</f>
        <v/>
      </c>
      <c r="Z699" s="56">
        <f>IF($X699="",1,IFERROR(VLOOKUP($X699,'Char Popularity'!$A$2:$C$500,3,FALSE),1))</f>
        <v>1</v>
      </c>
      <c r="AA699" s="62">
        <f>IF($H699&lt;&gt;"Y",0,(IF($F699&lt;&gt;"",ROUND(Dashboard!$R$4/$F699,1),IF(AND($I699="Base",$E699="Base"),Dashboard!$R$5,IF(AND($I699="Base",$E699="Red"),Dashboard!$R$6,IF(AND($I699="Base",$E699="Gold"),Dashboard!$R$7,VLOOKUP($I699,Dashboard!$Q$16:$R$21,2,FALSE)))))*VLOOKUP($I699,Dashboard!$Q$9:$R$13,2,FALSE)*IF(AND($I699="Auto",$F699="",OR($B699="Autographs Duals",$B699="Autographs Triples",$B699="Autographs Quads",$B699="Autographs Quads (Inscribed)")),IF($B699="Autographs Duals",2,IF($B699="Autographs Triples",3,4)),1)))</f>
        <v>142.9</v>
      </c>
      <c r="AB699" s="62">
        <f t="shared" si="141"/>
        <v>0</v>
      </c>
      <c r="AC699" s="62">
        <f t="shared" si="142"/>
        <v>0</v>
      </c>
    </row>
    <row r="700" spans="1:29" ht="42.95" customHeight="1" x14ac:dyDescent="0.25">
      <c r="A700" s="4" t="s">
        <v>17</v>
      </c>
      <c r="B700" s="7" t="s">
        <v>72</v>
      </c>
      <c r="C700" s="2" t="s">
        <v>1498</v>
      </c>
      <c r="D700" s="7" t="s">
        <v>1039</v>
      </c>
      <c r="E700" s="4" t="s">
        <v>689</v>
      </c>
      <c r="F700" s="2">
        <v>7</v>
      </c>
      <c r="G700" s="2" t="s">
        <v>1399</v>
      </c>
      <c r="H700" s="2" t="s">
        <v>1400</v>
      </c>
      <c r="I700" s="4" t="s">
        <v>60</v>
      </c>
      <c r="J700" s="112">
        <f>IF($H700&lt;&gt;"Y",0,ROUND(MIN(Dashboard!$R$24,IF(IFERROR(VLOOKUP($B700,Dashboard!$Q$28:$S$60,2,FALSE),0)&gt;0,IFERROR(VLOOKUP($B700,Dashboard!$Q$28:$S$60,2,FALSE),0),$Z700*IF($U700&lt;&gt;"",ROUND((Dashboard!$R$4/$U700)*VLOOKUP($I700,Dashboard!$Q$9:$R$13,2,FALSE)*IF(ISNUMBER(SEARCH("Duals",$B700)),2,IF(ISNUMBER(SEARCH("Triples",$B700)),3,IF(ISNUMBER(SEARCH("Quads",$B700)),4,1))),2),ROUND(VLOOKUP($I700,Dashboard!$Q$15:$R$20,2,FALSE)*IF($E700="Red",Dashboard!$R$6,IF($E700="Gold",Dashboard!$R$7,Dashboard!$R$5))*IF(ISNUMBER(SEARCH("Duals",$B700)),2,IF(ISNUMBER(SEARCH("Triples",$B700)),3,IF(ISNUMBER(SEARCH("Quads",$B700)),4,1))),2))*IF(IFERROR(VLOOKUP($B700,Dashboard!$Q$28:$S$60,3,FALSE),0)&gt;0,VLOOKUP($B700,Dashboard!$Q$28:$S$60,3,FALSE),1))),0))</f>
        <v>143</v>
      </c>
      <c r="K700" s="2" t="str">
        <f>IF('Base S1'!I100="","",'Base S1'!I100)</f>
        <v/>
      </c>
      <c r="L700" s="2">
        <f t="shared" si="130"/>
        <v>0</v>
      </c>
      <c r="M700" s="2">
        <f t="shared" si="131"/>
        <v>0</v>
      </c>
      <c r="N700" s="2">
        <f t="shared" si="132"/>
        <v>0</v>
      </c>
      <c r="O700" s="2">
        <f t="shared" si="133"/>
        <v>1</v>
      </c>
      <c r="P700" s="112">
        <f t="shared" si="134"/>
        <v>0</v>
      </c>
      <c r="Q700" s="112">
        <f t="shared" si="135"/>
        <v>0</v>
      </c>
      <c r="R700" s="53"/>
      <c r="S700" s="53" t="str">
        <f t="shared" si="136"/>
        <v>Base S1|The Seven Parallel - Season 1|99|The Seven</v>
      </c>
      <c r="T700" s="57" t="str">
        <f>IF($S700="","",IFERROR(VLOOKUP($S700,'Pop Estimates (Non-#d)'!$N$2:$O$500,2,FALSE),""))</f>
        <v/>
      </c>
      <c r="U700" s="57">
        <f t="shared" si="137"/>
        <v>7</v>
      </c>
      <c r="V700" s="53" t="str">
        <f t="shared" si="138"/>
        <v/>
      </c>
      <c r="W700" s="53" t="str">
        <f t="shared" si="139"/>
        <v/>
      </c>
      <c r="X700" s="53" t="str">
        <f t="shared" si="140"/>
        <v/>
      </c>
      <c r="Y700" s="57" t="str">
        <f>IF($X700="","",IFERROR(VLOOKUP($X700,'Char Popularity'!$A$2:$C$500,2,FALSE),""))</f>
        <v/>
      </c>
      <c r="Z700" s="56">
        <f>IF($X700="",1,IFERROR(VLOOKUP($X700,'Char Popularity'!$A$2:$C$500,3,FALSE),1))</f>
        <v>1</v>
      </c>
      <c r="AA700" s="62">
        <f>IF($H700&lt;&gt;"Y",0,(IF($F700&lt;&gt;"",ROUND(Dashboard!$R$4/$F700,1),IF(AND($I700="Base",$E700="Base"),Dashboard!$R$5,IF(AND($I700="Base",$E700="Red"),Dashboard!$R$6,IF(AND($I700="Base",$E700="Gold"),Dashboard!$R$7,VLOOKUP($I700,Dashboard!$Q$16:$R$21,2,FALSE)))))*VLOOKUP($I700,Dashboard!$Q$9:$R$13,2,FALSE)*IF(AND($I700="Auto",$F700="",OR($B700="Autographs Duals",$B700="Autographs Triples",$B700="Autographs Quads",$B700="Autographs Quads (Inscribed)")),IF($B700="Autographs Duals",2,IF($B700="Autographs Triples",3,4)),1)))</f>
        <v>142.9</v>
      </c>
      <c r="AB700" s="62">
        <f t="shared" si="141"/>
        <v>0</v>
      </c>
      <c r="AC700" s="62">
        <f t="shared" si="142"/>
        <v>0</v>
      </c>
    </row>
    <row r="701" spans="1:29" ht="42.95" customHeight="1" x14ac:dyDescent="0.25">
      <c r="A701" s="4" t="s">
        <v>17</v>
      </c>
      <c r="B701" s="7" t="s">
        <v>72</v>
      </c>
      <c r="C701" s="2" t="s">
        <v>1499</v>
      </c>
      <c r="D701" s="7" t="s">
        <v>1041</v>
      </c>
      <c r="E701" s="4" t="s">
        <v>689</v>
      </c>
      <c r="F701" s="2">
        <v>7</v>
      </c>
      <c r="G701" s="2" t="s">
        <v>1399</v>
      </c>
      <c r="H701" s="2" t="s">
        <v>1400</v>
      </c>
      <c r="I701" s="4" t="s">
        <v>60</v>
      </c>
      <c r="J701" s="112">
        <f>IF($H701&lt;&gt;"Y",0,ROUND(MIN(Dashboard!$R$24,IF(IFERROR(VLOOKUP($B701,Dashboard!$Q$28:$S$60,2,FALSE),0)&gt;0,IFERROR(VLOOKUP($B701,Dashboard!$Q$28:$S$60,2,FALSE),0),$Z701*IF($U701&lt;&gt;"",ROUND((Dashboard!$R$4/$U701)*VLOOKUP($I701,Dashboard!$Q$9:$R$13,2,FALSE)*IF(ISNUMBER(SEARCH("Duals",$B701)),2,IF(ISNUMBER(SEARCH("Triples",$B701)),3,IF(ISNUMBER(SEARCH("Quads",$B701)),4,1))),2),ROUND(VLOOKUP($I701,Dashboard!$Q$15:$R$20,2,FALSE)*IF($E701="Red",Dashboard!$R$6,IF($E701="Gold",Dashboard!$R$7,Dashboard!$R$5))*IF(ISNUMBER(SEARCH("Duals",$B701)),2,IF(ISNUMBER(SEARCH("Triples",$B701)),3,IF(ISNUMBER(SEARCH("Quads",$B701)),4,1))),2))*IF(IFERROR(VLOOKUP($B701,Dashboard!$Q$28:$S$60,3,FALSE),0)&gt;0,VLOOKUP($B701,Dashboard!$Q$28:$S$60,3,FALSE),1))),0))</f>
        <v>143</v>
      </c>
      <c r="K701" s="2" t="str">
        <f>IF('Base S1'!I101="","",'Base S1'!I101)</f>
        <v/>
      </c>
      <c r="L701" s="2">
        <f t="shared" si="130"/>
        <v>0</v>
      </c>
      <c r="M701" s="2">
        <f t="shared" si="131"/>
        <v>0</v>
      </c>
      <c r="N701" s="2">
        <f t="shared" si="132"/>
        <v>0</v>
      </c>
      <c r="O701" s="2">
        <f t="shared" si="133"/>
        <v>1</v>
      </c>
      <c r="P701" s="112">
        <f t="shared" si="134"/>
        <v>0</v>
      </c>
      <c r="Q701" s="112">
        <f t="shared" si="135"/>
        <v>0</v>
      </c>
      <c r="R701" s="53"/>
      <c r="S701" s="53" t="str">
        <f t="shared" si="136"/>
        <v>Base S1|The Seven Parallel - Season 1|100|The Seven</v>
      </c>
      <c r="T701" s="57" t="str">
        <f>IF($S701="","",IFERROR(VLOOKUP($S701,'Pop Estimates (Non-#d)'!$N$2:$O$500,2,FALSE),""))</f>
        <v/>
      </c>
      <c r="U701" s="57">
        <f t="shared" si="137"/>
        <v>7</v>
      </c>
      <c r="V701" s="53" t="str">
        <f t="shared" si="138"/>
        <v/>
      </c>
      <c r="W701" s="53" t="str">
        <f t="shared" si="139"/>
        <v/>
      </c>
      <c r="X701" s="53" t="str">
        <f t="shared" si="140"/>
        <v/>
      </c>
      <c r="Y701" s="57" t="str">
        <f>IF($X701="","",IFERROR(VLOOKUP($X701,'Char Popularity'!$A$2:$C$500,2,FALSE),""))</f>
        <v/>
      </c>
      <c r="Z701" s="56">
        <f>IF($X701="",1,IFERROR(VLOOKUP($X701,'Char Popularity'!$A$2:$C$500,3,FALSE),1))</f>
        <v>1</v>
      </c>
      <c r="AA701" s="62">
        <f>IF($H701&lt;&gt;"Y",0,(IF($F701&lt;&gt;"",ROUND(Dashboard!$R$4/$F701,1),IF(AND($I701="Base",$E701="Base"),Dashboard!$R$5,IF(AND($I701="Base",$E701="Red"),Dashboard!$R$6,IF(AND($I701="Base",$E701="Gold"),Dashboard!$R$7,VLOOKUP($I701,Dashboard!$Q$16:$R$21,2,FALSE)))))*VLOOKUP($I701,Dashboard!$Q$9:$R$13,2,FALSE)*IF(AND($I701="Auto",$F701="",OR($B701="Autographs Duals",$B701="Autographs Triples",$B701="Autographs Quads",$B701="Autographs Quads (Inscribed)")),IF($B701="Autographs Duals",2,IF($B701="Autographs Triples",3,4)),1)))</f>
        <v>142.9</v>
      </c>
      <c r="AB701" s="62">
        <f t="shared" si="141"/>
        <v>0</v>
      </c>
      <c r="AC701" s="62">
        <f t="shared" si="142"/>
        <v>0</v>
      </c>
    </row>
    <row r="702" spans="1:29" ht="28.7" customHeight="1" x14ac:dyDescent="0.25">
      <c r="A702" s="4" t="s">
        <v>19</v>
      </c>
      <c r="B702" s="7" t="s">
        <v>74</v>
      </c>
      <c r="C702" s="2" t="s">
        <v>1500</v>
      </c>
      <c r="D702" s="7" t="s">
        <v>1043</v>
      </c>
      <c r="E702" s="4" t="s">
        <v>60</v>
      </c>
      <c r="F702" s="2"/>
      <c r="G702" s="2" t="s">
        <v>1399</v>
      </c>
      <c r="H702" s="2" t="s">
        <v>1400</v>
      </c>
      <c r="I702" s="4" t="s">
        <v>60</v>
      </c>
      <c r="J702" s="112">
        <f>IF($H702&lt;&gt;"Y",0,ROUND(MIN(Dashboard!$R$24,IF(IFERROR(VLOOKUP($B702,Dashboard!$Q$28:$S$60,2,FALSE),0)&gt;0,IFERROR(VLOOKUP($B702,Dashboard!$Q$28:$S$60,2,FALSE),0),$Z702*IF($U702&lt;&gt;"",ROUND((Dashboard!$R$4/$U702)*VLOOKUP($I702,Dashboard!$Q$9:$R$13,2,FALSE)*IF(ISNUMBER(SEARCH("Duals",$B702)),2,IF(ISNUMBER(SEARCH("Triples",$B702)),3,IF(ISNUMBER(SEARCH("Quads",$B702)),4,1))),2),ROUND(VLOOKUP($I702,Dashboard!$Q$15:$R$20,2,FALSE)*IF($E702="Red",Dashboard!$R$6,IF($E702="Gold",Dashboard!$R$7,Dashboard!$R$5))*IF(ISNUMBER(SEARCH("Duals",$B702)),2,IF(ISNUMBER(SEARCH("Triples",$B702)),3,IF(ISNUMBER(SEARCH("Quads",$B702)),4,1))),2))*IF(IFERROR(VLOOKUP($B702,Dashboard!$Q$28:$S$60,3,FALSE),0)&gt;0,VLOOKUP($B702,Dashboard!$Q$28:$S$60,3,FALSE),1))),0))</f>
        <v>1</v>
      </c>
      <c r="K702" s="2" t="str">
        <f>IF('Base S2'!C2="","",'Base S2'!C2)</f>
        <v>h</v>
      </c>
      <c r="L702" s="2">
        <f t="shared" si="130"/>
        <v>1</v>
      </c>
      <c r="M702" s="2">
        <f t="shared" si="131"/>
        <v>0</v>
      </c>
      <c r="N702" s="2">
        <f t="shared" si="132"/>
        <v>1</v>
      </c>
      <c r="O702" s="2">
        <f t="shared" si="133"/>
        <v>0</v>
      </c>
      <c r="P702" s="112">
        <f t="shared" si="134"/>
        <v>1</v>
      </c>
      <c r="Q702" s="112">
        <f t="shared" si="135"/>
        <v>0</v>
      </c>
      <c r="R702" s="53"/>
      <c r="S702" s="53" t="str">
        <f t="shared" si="136"/>
        <v>Base S2|Base Set - Season 2|101|Base</v>
      </c>
      <c r="T702" s="57" t="str">
        <f>IF($S702="","",IFERROR(VLOOKUP($S702,'Pop Estimates (Non-#d)'!$N$2:$O$500,2,FALSE),""))</f>
        <v/>
      </c>
      <c r="U702" s="57" t="str">
        <f t="shared" si="137"/>
        <v/>
      </c>
      <c r="V702" s="53" t="str">
        <f t="shared" si="138"/>
        <v/>
      </c>
      <c r="W702" s="53" t="str">
        <f t="shared" si="139"/>
        <v/>
      </c>
      <c r="X702" s="53" t="str">
        <f t="shared" si="140"/>
        <v/>
      </c>
      <c r="Y702" s="57" t="str">
        <f>IF($X702="","",IFERROR(VLOOKUP($X702,'Char Popularity'!$A$2:$C$500,2,FALSE),""))</f>
        <v/>
      </c>
      <c r="Z702" s="56">
        <f>IF($X702="",1,IFERROR(VLOOKUP($X702,'Char Popularity'!$A$2:$C$500,3,FALSE),1))</f>
        <v>1</v>
      </c>
      <c r="AA702" s="62">
        <f>IF($H702&lt;&gt;"Y",0,(IF($F702&lt;&gt;"",ROUND(Dashboard!$R$4/$F702,1),IF(AND($I702="Base",$E702="Base"),Dashboard!$R$5,IF(AND($I702="Base",$E702="Red"),Dashboard!$R$6,IF(AND($I702="Base",$E702="Gold"),Dashboard!$R$7,VLOOKUP($I702,Dashboard!$Q$16:$R$21,2,FALSE)))))*VLOOKUP($I702,Dashboard!$Q$9:$R$13,2,FALSE)*IF(AND($I702="Auto",$F702="",OR($B702="Autographs Duals",$B702="Autographs Triples",$B702="Autographs Quads",$B702="Autographs Quads (Inscribed)")),IF($B702="Autographs Duals",2,IF($B702="Autographs Triples",3,4)),1)))</f>
        <v>1</v>
      </c>
      <c r="AB702" s="62">
        <f t="shared" si="141"/>
        <v>1</v>
      </c>
      <c r="AC702" s="62">
        <f t="shared" si="142"/>
        <v>0</v>
      </c>
    </row>
    <row r="703" spans="1:29" ht="28.7" customHeight="1" x14ac:dyDescent="0.25">
      <c r="A703" s="4" t="s">
        <v>19</v>
      </c>
      <c r="B703" s="7" t="s">
        <v>74</v>
      </c>
      <c r="C703" s="2" t="s">
        <v>1501</v>
      </c>
      <c r="D703" s="7" t="s">
        <v>1045</v>
      </c>
      <c r="E703" s="4" t="s">
        <v>60</v>
      </c>
      <c r="F703" s="2"/>
      <c r="G703" s="2" t="s">
        <v>1399</v>
      </c>
      <c r="H703" s="2" t="s">
        <v>1400</v>
      </c>
      <c r="I703" s="4" t="s">
        <v>60</v>
      </c>
      <c r="J703" s="112">
        <f>IF($H703&lt;&gt;"Y",0,ROUND(MIN(Dashboard!$R$24,IF(IFERROR(VLOOKUP($B703,Dashboard!$Q$28:$S$60,2,FALSE),0)&gt;0,IFERROR(VLOOKUP($B703,Dashboard!$Q$28:$S$60,2,FALSE),0),$Z703*IF($U703&lt;&gt;"",ROUND((Dashboard!$R$4/$U703)*VLOOKUP($I703,Dashboard!$Q$9:$R$13,2,FALSE)*IF(ISNUMBER(SEARCH("Duals",$B703)),2,IF(ISNUMBER(SEARCH("Triples",$B703)),3,IF(ISNUMBER(SEARCH("Quads",$B703)),4,1))),2),ROUND(VLOOKUP($I703,Dashboard!$Q$15:$R$20,2,FALSE)*IF($E703="Red",Dashboard!$R$6,IF($E703="Gold",Dashboard!$R$7,Dashboard!$R$5))*IF(ISNUMBER(SEARCH("Duals",$B703)),2,IF(ISNUMBER(SEARCH("Triples",$B703)),3,IF(ISNUMBER(SEARCH("Quads",$B703)),4,1))),2))*IF(IFERROR(VLOOKUP($B703,Dashboard!$Q$28:$S$60,3,FALSE),0)&gt;0,VLOOKUP($B703,Dashboard!$Q$28:$S$60,3,FALSE),1))),0))</f>
        <v>1</v>
      </c>
      <c r="K703" s="2" t="str">
        <f>IF('Base S2'!C3="","",'Base S2'!C3)</f>
        <v>h</v>
      </c>
      <c r="L703" s="2">
        <f t="shared" si="130"/>
        <v>1</v>
      </c>
      <c r="M703" s="2">
        <f t="shared" si="131"/>
        <v>0</v>
      </c>
      <c r="N703" s="2">
        <f t="shared" si="132"/>
        <v>1</v>
      </c>
      <c r="O703" s="2">
        <f t="shared" si="133"/>
        <v>0</v>
      </c>
      <c r="P703" s="112">
        <f t="shared" si="134"/>
        <v>1</v>
      </c>
      <c r="Q703" s="112">
        <f t="shared" si="135"/>
        <v>0</v>
      </c>
      <c r="R703" s="53"/>
      <c r="S703" s="53" t="str">
        <f t="shared" si="136"/>
        <v>Base S2|Base Set - Season 2|102|Base</v>
      </c>
      <c r="T703" s="57" t="str">
        <f>IF($S703="","",IFERROR(VLOOKUP($S703,'Pop Estimates (Non-#d)'!$N$2:$O$500,2,FALSE),""))</f>
        <v/>
      </c>
      <c r="U703" s="57" t="str">
        <f t="shared" si="137"/>
        <v/>
      </c>
      <c r="V703" s="53" t="str">
        <f t="shared" si="138"/>
        <v/>
      </c>
      <c r="W703" s="53" t="str">
        <f t="shared" si="139"/>
        <v/>
      </c>
      <c r="X703" s="53" t="str">
        <f t="shared" si="140"/>
        <v/>
      </c>
      <c r="Y703" s="57" t="str">
        <f>IF($X703="","",IFERROR(VLOOKUP($X703,'Char Popularity'!$A$2:$C$500,2,FALSE),""))</f>
        <v/>
      </c>
      <c r="Z703" s="56">
        <f>IF($X703="",1,IFERROR(VLOOKUP($X703,'Char Popularity'!$A$2:$C$500,3,FALSE),1))</f>
        <v>1</v>
      </c>
      <c r="AA703" s="62">
        <f>IF($H703&lt;&gt;"Y",0,(IF($F703&lt;&gt;"",ROUND(Dashboard!$R$4/$F703,1),IF(AND($I703="Base",$E703="Base"),Dashboard!$R$5,IF(AND($I703="Base",$E703="Red"),Dashboard!$R$6,IF(AND($I703="Base",$E703="Gold"),Dashboard!$R$7,VLOOKUP($I703,Dashboard!$Q$16:$R$21,2,FALSE)))))*VLOOKUP($I703,Dashboard!$Q$9:$R$13,2,FALSE)*IF(AND($I703="Auto",$F703="",OR($B703="Autographs Duals",$B703="Autographs Triples",$B703="Autographs Quads",$B703="Autographs Quads (Inscribed)")),IF($B703="Autographs Duals",2,IF($B703="Autographs Triples",3,4)),1)))</f>
        <v>1</v>
      </c>
      <c r="AB703" s="62">
        <f t="shared" si="141"/>
        <v>1</v>
      </c>
      <c r="AC703" s="62">
        <f t="shared" si="142"/>
        <v>0</v>
      </c>
    </row>
    <row r="704" spans="1:29" ht="28.7" customHeight="1" x14ac:dyDescent="0.25">
      <c r="A704" s="4" t="s">
        <v>19</v>
      </c>
      <c r="B704" s="7" t="s">
        <v>74</v>
      </c>
      <c r="C704" s="2" t="s">
        <v>1502</v>
      </c>
      <c r="D704" s="7" t="s">
        <v>1047</v>
      </c>
      <c r="E704" s="4" t="s">
        <v>60</v>
      </c>
      <c r="F704" s="2"/>
      <c r="G704" s="2" t="s">
        <v>1399</v>
      </c>
      <c r="H704" s="2" t="s">
        <v>1400</v>
      </c>
      <c r="I704" s="4" t="s">
        <v>60</v>
      </c>
      <c r="J704" s="112">
        <f>IF($H704&lt;&gt;"Y",0,ROUND(MIN(Dashboard!$R$24,IF(IFERROR(VLOOKUP($B704,Dashboard!$Q$28:$S$60,2,FALSE),0)&gt;0,IFERROR(VLOOKUP($B704,Dashboard!$Q$28:$S$60,2,FALSE),0),$Z704*IF($U704&lt;&gt;"",ROUND((Dashboard!$R$4/$U704)*VLOOKUP($I704,Dashboard!$Q$9:$R$13,2,FALSE)*IF(ISNUMBER(SEARCH("Duals",$B704)),2,IF(ISNUMBER(SEARCH("Triples",$B704)),3,IF(ISNUMBER(SEARCH("Quads",$B704)),4,1))),2),ROUND(VLOOKUP($I704,Dashboard!$Q$15:$R$20,2,FALSE)*IF($E704="Red",Dashboard!$R$6,IF($E704="Gold",Dashboard!$R$7,Dashboard!$R$5))*IF(ISNUMBER(SEARCH("Duals",$B704)),2,IF(ISNUMBER(SEARCH("Triples",$B704)),3,IF(ISNUMBER(SEARCH("Quads",$B704)),4,1))),2))*IF(IFERROR(VLOOKUP($B704,Dashboard!$Q$28:$S$60,3,FALSE),0)&gt;0,VLOOKUP($B704,Dashboard!$Q$28:$S$60,3,FALSE),1))),0))</f>
        <v>1</v>
      </c>
      <c r="K704" s="2" t="str">
        <f>IF('Base S2'!C4="","",'Base S2'!C4)</f>
        <v>h</v>
      </c>
      <c r="L704" s="2">
        <f t="shared" si="130"/>
        <v>1</v>
      </c>
      <c r="M704" s="2">
        <f t="shared" si="131"/>
        <v>0</v>
      </c>
      <c r="N704" s="2">
        <f t="shared" si="132"/>
        <v>1</v>
      </c>
      <c r="O704" s="2">
        <f t="shared" si="133"/>
        <v>0</v>
      </c>
      <c r="P704" s="112">
        <f t="shared" si="134"/>
        <v>1</v>
      </c>
      <c r="Q704" s="112">
        <f t="shared" si="135"/>
        <v>0</v>
      </c>
      <c r="R704" s="53"/>
      <c r="S704" s="53" t="str">
        <f t="shared" si="136"/>
        <v>Base S2|Base Set - Season 2|103|Base</v>
      </c>
      <c r="T704" s="57" t="str">
        <f>IF($S704="","",IFERROR(VLOOKUP($S704,'Pop Estimates (Non-#d)'!$N$2:$O$500,2,FALSE),""))</f>
        <v/>
      </c>
      <c r="U704" s="57" t="str">
        <f t="shared" si="137"/>
        <v/>
      </c>
      <c r="V704" s="53" t="str">
        <f t="shared" si="138"/>
        <v/>
      </c>
      <c r="W704" s="53" t="str">
        <f t="shared" si="139"/>
        <v/>
      </c>
      <c r="X704" s="53" t="str">
        <f t="shared" si="140"/>
        <v/>
      </c>
      <c r="Y704" s="57" t="str">
        <f>IF($X704="","",IFERROR(VLOOKUP($X704,'Char Popularity'!$A$2:$C$500,2,FALSE),""))</f>
        <v/>
      </c>
      <c r="Z704" s="56">
        <f>IF($X704="",1,IFERROR(VLOOKUP($X704,'Char Popularity'!$A$2:$C$500,3,FALSE),1))</f>
        <v>1</v>
      </c>
      <c r="AA704" s="62">
        <f>IF($H704&lt;&gt;"Y",0,(IF($F704&lt;&gt;"",ROUND(Dashboard!$R$4/$F704,1),IF(AND($I704="Base",$E704="Base"),Dashboard!$R$5,IF(AND($I704="Base",$E704="Red"),Dashboard!$R$6,IF(AND($I704="Base",$E704="Gold"),Dashboard!$R$7,VLOOKUP($I704,Dashboard!$Q$16:$R$21,2,FALSE)))))*VLOOKUP($I704,Dashboard!$Q$9:$R$13,2,FALSE)*IF(AND($I704="Auto",$F704="",OR($B704="Autographs Duals",$B704="Autographs Triples",$B704="Autographs Quads",$B704="Autographs Quads (Inscribed)")),IF($B704="Autographs Duals",2,IF($B704="Autographs Triples",3,4)),1)))</f>
        <v>1</v>
      </c>
      <c r="AB704" s="62">
        <f t="shared" si="141"/>
        <v>1</v>
      </c>
      <c r="AC704" s="62">
        <f t="shared" si="142"/>
        <v>0</v>
      </c>
    </row>
    <row r="705" spans="1:29" ht="28.7" customHeight="1" x14ac:dyDescent="0.25">
      <c r="A705" s="4" t="s">
        <v>19</v>
      </c>
      <c r="B705" s="7" t="s">
        <v>74</v>
      </c>
      <c r="C705" s="2" t="s">
        <v>1503</v>
      </c>
      <c r="D705" s="7" t="s">
        <v>1048</v>
      </c>
      <c r="E705" s="4" t="s">
        <v>60</v>
      </c>
      <c r="F705" s="2"/>
      <c r="G705" s="2" t="s">
        <v>1399</v>
      </c>
      <c r="H705" s="2" t="s">
        <v>1400</v>
      </c>
      <c r="I705" s="4" t="s">
        <v>60</v>
      </c>
      <c r="J705" s="112">
        <f>IF($H705&lt;&gt;"Y",0,ROUND(MIN(Dashboard!$R$24,IF(IFERROR(VLOOKUP($B705,Dashboard!$Q$28:$S$60,2,FALSE),0)&gt;0,IFERROR(VLOOKUP($B705,Dashboard!$Q$28:$S$60,2,FALSE),0),$Z705*IF($U705&lt;&gt;"",ROUND((Dashboard!$R$4/$U705)*VLOOKUP($I705,Dashboard!$Q$9:$R$13,2,FALSE)*IF(ISNUMBER(SEARCH("Duals",$B705)),2,IF(ISNUMBER(SEARCH("Triples",$B705)),3,IF(ISNUMBER(SEARCH("Quads",$B705)),4,1))),2),ROUND(VLOOKUP($I705,Dashboard!$Q$15:$R$20,2,FALSE)*IF($E705="Red",Dashboard!$R$6,IF($E705="Gold",Dashboard!$R$7,Dashboard!$R$5))*IF(ISNUMBER(SEARCH("Duals",$B705)),2,IF(ISNUMBER(SEARCH("Triples",$B705)),3,IF(ISNUMBER(SEARCH("Quads",$B705)),4,1))),2))*IF(IFERROR(VLOOKUP($B705,Dashboard!$Q$28:$S$60,3,FALSE),0)&gt;0,VLOOKUP($B705,Dashboard!$Q$28:$S$60,3,FALSE),1))),0))</f>
        <v>1</v>
      </c>
      <c r="K705" s="2" t="str">
        <f>IF('Base S2'!C5="","",'Base S2'!C5)</f>
        <v>h</v>
      </c>
      <c r="L705" s="2">
        <f t="shared" si="130"/>
        <v>1</v>
      </c>
      <c r="M705" s="2">
        <f t="shared" si="131"/>
        <v>0</v>
      </c>
      <c r="N705" s="2">
        <f t="shared" si="132"/>
        <v>1</v>
      </c>
      <c r="O705" s="2">
        <f t="shared" si="133"/>
        <v>0</v>
      </c>
      <c r="P705" s="112">
        <f t="shared" si="134"/>
        <v>1</v>
      </c>
      <c r="Q705" s="112">
        <f t="shared" si="135"/>
        <v>0</v>
      </c>
      <c r="R705" s="53"/>
      <c r="S705" s="53" t="str">
        <f t="shared" si="136"/>
        <v>Base S2|Base Set - Season 2|104|Base</v>
      </c>
      <c r="T705" s="57" t="str">
        <f>IF($S705="","",IFERROR(VLOOKUP($S705,'Pop Estimates (Non-#d)'!$N$2:$O$500,2,FALSE),""))</f>
        <v/>
      </c>
      <c r="U705" s="57" t="str">
        <f t="shared" si="137"/>
        <v/>
      </c>
      <c r="V705" s="53" t="str">
        <f t="shared" si="138"/>
        <v/>
      </c>
      <c r="W705" s="53" t="str">
        <f t="shared" si="139"/>
        <v/>
      </c>
      <c r="X705" s="53" t="str">
        <f t="shared" si="140"/>
        <v/>
      </c>
      <c r="Y705" s="57" t="str">
        <f>IF($X705="","",IFERROR(VLOOKUP($X705,'Char Popularity'!$A$2:$C$500,2,FALSE),""))</f>
        <v/>
      </c>
      <c r="Z705" s="56">
        <f>IF($X705="",1,IFERROR(VLOOKUP($X705,'Char Popularity'!$A$2:$C$500,3,FALSE),1))</f>
        <v>1</v>
      </c>
      <c r="AA705" s="62">
        <f>IF($H705&lt;&gt;"Y",0,(IF($F705&lt;&gt;"",ROUND(Dashboard!$R$4/$F705,1),IF(AND($I705="Base",$E705="Base"),Dashboard!$R$5,IF(AND($I705="Base",$E705="Red"),Dashboard!$R$6,IF(AND($I705="Base",$E705="Gold"),Dashboard!$R$7,VLOOKUP($I705,Dashboard!$Q$16:$R$21,2,FALSE)))))*VLOOKUP($I705,Dashboard!$Q$9:$R$13,2,FALSE)*IF(AND($I705="Auto",$F705="",OR($B705="Autographs Duals",$B705="Autographs Triples",$B705="Autographs Quads",$B705="Autographs Quads (Inscribed)")),IF($B705="Autographs Duals",2,IF($B705="Autographs Triples",3,4)),1)))</f>
        <v>1</v>
      </c>
      <c r="AB705" s="62">
        <f t="shared" si="141"/>
        <v>1</v>
      </c>
      <c r="AC705" s="62">
        <f t="shared" si="142"/>
        <v>0</v>
      </c>
    </row>
    <row r="706" spans="1:29" ht="28.7" customHeight="1" x14ac:dyDescent="0.25">
      <c r="A706" s="4" t="s">
        <v>19</v>
      </c>
      <c r="B706" s="7" t="s">
        <v>74</v>
      </c>
      <c r="C706" s="2" t="s">
        <v>1504</v>
      </c>
      <c r="D706" s="7" t="s">
        <v>1049</v>
      </c>
      <c r="E706" s="4" t="s">
        <v>60</v>
      </c>
      <c r="F706" s="2"/>
      <c r="G706" s="2" t="s">
        <v>1399</v>
      </c>
      <c r="H706" s="2" t="s">
        <v>1400</v>
      </c>
      <c r="I706" s="4" t="s">
        <v>60</v>
      </c>
      <c r="J706" s="112">
        <f>IF($H706&lt;&gt;"Y",0,ROUND(MIN(Dashboard!$R$24,IF(IFERROR(VLOOKUP($B706,Dashboard!$Q$28:$S$60,2,FALSE),0)&gt;0,IFERROR(VLOOKUP($B706,Dashboard!$Q$28:$S$60,2,FALSE),0),$Z706*IF($U706&lt;&gt;"",ROUND((Dashboard!$R$4/$U706)*VLOOKUP($I706,Dashboard!$Q$9:$R$13,2,FALSE)*IF(ISNUMBER(SEARCH("Duals",$B706)),2,IF(ISNUMBER(SEARCH("Triples",$B706)),3,IF(ISNUMBER(SEARCH("Quads",$B706)),4,1))),2),ROUND(VLOOKUP($I706,Dashboard!$Q$15:$R$20,2,FALSE)*IF($E706="Red",Dashboard!$R$6,IF($E706="Gold",Dashboard!$R$7,Dashboard!$R$5))*IF(ISNUMBER(SEARCH("Duals",$B706)),2,IF(ISNUMBER(SEARCH("Triples",$B706)),3,IF(ISNUMBER(SEARCH("Quads",$B706)),4,1))),2))*IF(IFERROR(VLOOKUP($B706,Dashboard!$Q$28:$S$60,3,FALSE),0)&gt;0,VLOOKUP($B706,Dashboard!$Q$28:$S$60,3,FALSE),1))),0))</f>
        <v>1</v>
      </c>
      <c r="K706" s="2" t="str">
        <f>IF('Base S2'!C6="","",'Base S2'!C6)</f>
        <v>h</v>
      </c>
      <c r="L706" s="2">
        <f t="shared" ref="L706:L769" si="143">IF(AND($K706&lt;&gt;"",LEFT($K706,1)&lt;&gt;"Y"),1,0)</f>
        <v>1</v>
      </c>
      <c r="M706" s="2">
        <f t="shared" ref="M706:M769" si="144">IF(LEFT($K706,1)="Y",1,0)</f>
        <v>0</v>
      </c>
      <c r="N706" s="2">
        <f t="shared" ref="N706:N769" si="145">$L706+$M706</f>
        <v>1</v>
      </c>
      <c r="O706" s="2">
        <f t="shared" ref="O706:O769" si="146">IF($H706="Y",1-$N706,0)</f>
        <v>0</v>
      </c>
      <c r="P706" s="112">
        <f t="shared" ref="P706:P769" si="147">IF($L706=1,$J706,0)</f>
        <v>1</v>
      </c>
      <c r="Q706" s="112">
        <f t="shared" ref="Q706:Q769" si="148">IF($M706=1,$J706,0)</f>
        <v>0</v>
      </c>
      <c r="R706" s="53"/>
      <c r="S706" s="53" t="str">
        <f t="shared" ref="S706:S769" si="149">IF($A706="","",$A706&amp;"|"&amp;$B706&amp;"|"&amp;$C706&amp;"|"&amp;$E706)</f>
        <v>Base S2|Base Set - Season 2|105|Base</v>
      </c>
      <c r="T706" s="57" t="str">
        <f>IF($S706="","",IFERROR(VLOOKUP($S706,'Pop Estimates (Non-#d)'!$N$2:$O$500,2,FALSE),""))</f>
        <v/>
      </c>
      <c r="U706" s="57" t="str">
        <f t="shared" ref="U706:U769" si="150">IF($A706="","",IF($F706&lt;&gt;"",$F706,$T706))</f>
        <v/>
      </c>
      <c r="V706" s="53" t="str">
        <f t="shared" ref="V706:V769" si="151">IF($A706="","",IF(ISNUMBER(SEARCH(" as ",$D706)),MID($D706,SEARCH(" as ",$D706)+4,255),IF(ISNUMBER(SEARCH("/",$D706)),LEFT($D706,FIND("/",$D706&amp;"/")-1),"")))</f>
        <v/>
      </c>
      <c r="W706" s="53" t="str">
        <f t="shared" ref="W706:W769" si="152">IF($V706="","",TRIM(IFERROR(MID($V706,SEARCH("(", $V706)+1,SEARCH(")",$V706)-SEARCH("(", $V706)-1),$V706)))</f>
        <v/>
      </c>
      <c r="X706" s="53" t="str">
        <f t="shared" ref="X706:X769" si="153">IF($W706="","",TRIM(LEFT($W706&amp;"""",FIND("""",$W706&amp;"""")-1)))</f>
        <v/>
      </c>
      <c r="Y706" s="57" t="str">
        <f>IF($X706="","",IFERROR(VLOOKUP($X706,'Char Popularity'!$A$2:$C$500,2,FALSE),""))</f>
        <v/>
      </c>
      <c r="Z706" s="56">
        <f>IF($X706="",1,IFERROR(VLOOKUP($X706,'Char Popularity'!$A$2:$C$500,3,FALSE),1))</f>
        <v>1</v>
      </c>
      <c r="AA706" s="62">
        <f>IF($H706&lt;&gt;"Y",0,(IF($F706&lt;&gt;"",ROUND(Dashboard!$R$4/$F706,1),IF(AND($I706="Base",$E706="Base"),Dashboard!$R$5,IF(AND($I706="Base",$E706="Red"),Dashboard!$R$6,IF(AND($I706="Base",$E706="Gold"),Dashboard!$R$7,VLOOKUP($I706,Dashboard!$Q$16:$R$21,2,FALSE)))))*VLOOKUP($I706,Dashboard!$Q$9:$R$13,2,FALSE)*IF(AND($I706="Auto",$F706="",OR($B706="Autographs Duals",$B706="Autographs Triples",$B706="Autographs Quads",$B706="Autographs Quads (Inscribed)")),IF($B706="Autographs Duals",2,IF($B706="Autographs Triples",3,4)),1)))</f>
        <v>1</v>
      </c>
      <c r="AB706" s="62">
        <f t="shared" ref="AB706:AB769" si="154">IF($L706=1,$AA706,0)</f>
        <v>1</v>
      </c>
      <c r="AC706" s="62">
        <f t="shared" ref="AC706:AC769" si="155">IF($M706=1,$AA706,0)</f>
        <v>0</v>
      </c>
    </row>
    <row r="707" spans="1:29" ht="28.7" customHeight="1" x14ac:dyDescent="0.25">
      <c r="A707" s="4" t="s">
        <v>19</v>
      </c>
      <c r="B707" s="7" t="s">
        <v>74</v>
      </c>
      <c r="C707" s="2" t="s">
        <v>1505</v>
      </c>
      <c r="D707" s="7" t="s">
        <v>1050</v>
      </c>
      <c r="E707" s="4" t="s">
        <v>60</v>
      </c>
      <c r="F707" s="2"/>
      <c r="G707" s="2" t="s">
        <v>1399</v>
      </c>
      <c r="H707" s="2" t="s">
        <v>1400</v>
      </c>
      <c r="I707" s="4" t="s">
        <v>60</v>
      </c>
      <c r="J707" s="112">
        <f>IF($H707&lt;&gt;"Y",0,ROUND(MIN(Dashboard!$R$24,IF(IFERROR(VLOOKUP($B707,Dashboard!$Q$28:$S$60,2,FALSE),0)&gt;0,IFERROR(VLOOKUP($B707,Dashboard!$Q$28:$S$60,2,FALSE),0),$Z707*IF($U707&lt;&gt;"",ROUND((Dashboard!$R$4/$U707)*VLOOKUP($I707,Dashboard!$Q$9:$R$13,2,FALSE)*IF(ISNUMBER(SEARCH("Duals",$B707)),2,IF(ISNUMBER(SEARCH("Triples",$B707)),3,IF(ISNUMBER(SEARCH("Quads",$B707)),4,1))),2),ROUND(VLOOKUP($I707,Dashboard!$Q$15:$R$20,2,FALSE)*IF($E707="Red",Dashboard!$R$6,IF($E707="Gold",Dashboard!$R$7,Dashboard!$R$5))*IF(ISNUMBER(SEARCH("Duals",$B707)),2,IF(ISNUMBER(SEARCH("Triples",$B707)),3,IF(ISNUMBER(SEARCH("Quads",$B707)),4,1))),2))*IF(IFERROR(VLOOKUP($B707,Dashboard!$Q$28:$S$60,3,FALSE),0)&gt;0,VLOOKUP($B707,Dashboard!$Q$28:$S$60,3,FALSE),1))),0))</f>
        <v>1</v>
      </c>
      <c r="K707" s="2" t="str">
        <f>IF('Base S2'!C7="","",'Base S2'!C7)</f>
        <v>h</v>
      </c>
      <c r="L707" s="2">
        <f t="shared" si="143"/>
        <v>1</v>
      </c>
      <c r="M707" s="2">
        <f t="shared" si="144"/>
        <v>0</v>
      </c>
      <c r="N707" s="2">
        <f t="shared" si="145"/>
        <v>1</v>
      </c>
      <c r="O707" s="2">
        <f t="shared" si="146"/>
        <v>0</v>
      </c>
      <c r="P707" s="112">
        <f t="shared" si="147"/>
        <v>1</v>
      </c>
      <c r="Q707" s="112">
        <f t="shared" si="148"/>
        <v>0</v>
      </c>
      <c r="R707" s="53"/>
      <c r="S707" s="53" t="str">
        <f t="shared" si="149"/>
        <v>Base S2|Base Set - Season 2|106|Base</v>
      </c>
      <c r="T707" s="57" t="str">
        <f>IF($S707="","",IFERROR(VLOOKUP($S707,'Pop Estimates (Non-#d)'!$N$2:$O$500,2,FALSE),""))</f>
        <v/>
      </c>
      <c r="U707" s="57" t="str">
        <f t="shared" si="150"/>
        <v/>
      </c>
      <c r="V707" s="53" t="str">
        <f t="shared" si="151"/>
        <v/>
      </c>
      <c r="W707" s="53" t="str">
        <f t="shared" si="152"/>
        <v/>
      </c>
      <c r="X707" s="53" t="str">
        <f t="shared" si="153"/>
        <v/>
      </c>
      <c r="Y707" s="57" t="str">
        <f>IF($X707="","",IFERROR(VLOOKUP($X707,'Char Popularity'!$A$2:$C$500,2,FALSE),""))</f>
        <v/>
      </c>
      <c r="Z707" s="56">
        <f>IF($X707="",1,IFERROR(VLOOKUP($X707,'Char Popularity'!$A$2:$C$500,3,FALSE),1))</f>
        <v>1</v>
      </c>
      <c r="AA707" s="62">
        <f>IF($H707&lt;&gt;"Y",0,(IF($F707&lt;&gt;"",ROUND(Dashboard!$R$4/$F707,1),IF(AND($I707="Base",$E707="Base"),Dashboard!$R$5,IF(AND($I707="Base",$E707="Red"),Dashboard!$R$6,IF(AND($I707="Base",$E707="Gold"),Dashboard!$R$7,VLOOKUP($I707,Dashboard!$Q$16:$R$21,2,FALSE)))))*VLOOKUP($I707,Dashboard!$Q$9:$R$13,2,FALSE)*IF(AND($I707="Auto",$F707="",OR($B707="Autographs Duals",$B707="Autographs Triples",$B707="Autographs Quads",$B707="Autographs Quads (Inscribed)")),IF($B707="Autographs Duals",2,IF($B707="Autographs Triples",3,4)),1)))</f>
        <v>1</v>
      </c>
      <c r="AB707" s="62">
        <f t="shared" si="154"/>
        <v>1</v>
      </c>
      <c r="AC707" s="62">
        <f t="shared" si="155"/>
        <v>0</v>
      </c>
    </row>
    <row r="708" spans="1:29" ht="28.7" customHeight="1" x14ac:dyDescent="0.25">
      <c r="A708" s="4" t="s">
        <v>19</v>
      </c>
      <c r="B708" s="7" t="s">
        <v>74</v>
      </c>
      <c r="C708" s="2" t="s">
        <v>1506</v>
      </c>
      <c r="D708" s="7" t="s">
        <v>1051</v>
      </c>
      <c r="E708" s="4" t="s">
        <v>60</v>
      </c>
      <c r="F708" s="2"/>
      <c r="G708" s="2" t="s">
        <v>1399</v>
      </c>
      <c r="H708" s="2" t="s">
        <v>1400</v>
      </c>
      <c r="I708" s="4" t="s">
        <v>60</v>
      </c>
      <c r="J708" s="112">
        <f>IF($H708&lt;&gt;"Y",0,ROUND(MIN(Dashboard!$R$24,IF(IFERROR(VLOOKUP($B708,Dashboard!$Q$28:$S$60,2,FALSE),0)&gt;0,IFERROR(VLOOKUP($B708,Dashboard!$Q$28:$S$60,2,FALSE),0),$Z708*IF($U708&lt;&gt;"",ROUND((Dashboard!$R$4/$U708)*VLOOKUP($I708,Dashboard!$Q$9:$R$13,2,FALSE)*IF(ISNUMBER(SEARCH("Duals",$B708)),2,IF(ISNUMBER(SEARCH("Triples",$B708)),3,IF(ISNUMBER(SEARCH("Quads",$B708)),4,1))),2),ROUND(VLOOKUP($I708,Dashboard!$Q$15:$R$20,2,FALSE)*IF($E708="Red",Dashboard!$R$6,IF($E708="Gold",Dashboard!$R$7,Dashboard!$R$5))*IF(ISNUMBER(SEARCH("Duals",$B708)),2,IF(ISNUMBER(SEARCH("Triples",$B708)),3,IF(ISNUMBER(SEARCH("Quads",$B708)),4,1))),2))*IF(IFERROR(VLOOKUP($B708,Dashboard!$Q$28:$S$60,3,FALSE),0)&gt;0,VLOOKUP($B708,Dashboard!$Q$28:$S$60,3,FALSE),1))),0))</f>
        <v>1</v>
      </c>
      <c r="K708" s="2" t="str">
        <f>IF('Base S2'!C8="","",'Base S2'!C8)</f>
        <v>h</v>
      </c>
      <c r="L708" s="2">
        <f t="shared" si="143"/>
        <v>1</v>
      </c>
      <c r="M708" s="2">
        <f t="shared" si="144"/>
        <v>0</v>
      </c>
      <c r="N708" s="2">
        <f t="shared" si="145"/>
        <v>1</v>
      </c>
      <c r="O708" s="2">
        <f t="shared" si="146"/>
        <v>0</v>
      </c>
      <c r="P708" s="112">
        <f t="shared" si="147"/>
        <v>1</v>
      </c>
      <c r="Q708" s="112">
        <f t="shared" si="148"/>
        <v>0</v>
      </c>
      <c r="R708" s="53"/>
      <c r="S708" s="53" t="str">
        <f t="shared" si="149"/>
        <v>Base S2|Base Set - Season 2|107|Base</v>
      </c>
      <c r="T708" s="57" t="str">
        <f>IF($S708="","",IFERROR(VLOOKUP($S708,'Pop Estimates (Non-#d)'!$N$2:$O$500,2,FALSE),""))</f>
        <v/>
      </c>
      <c r="U708" s="57" t="str">
        <f t="shared" si="150"/>
        <v/>
      </c>
      <c r="V708" s="53" t="str">
        <f t="shared" si="151"/>
        <v/>
      </c>
      <c r="W708" s="53" t="str">
        <f t="shared" si="152"/>
        <v/>
      </c>
      <c r="X708" s="53" t="str">
        <f t="shared" si="153"/>
        <v/>
      </c>
      <c r="Y708" s="57" t="str">
        <f>IF($X708="","",IFERROR(VLOOKUP($X708,'Char Popularity'!$A$2:$C$500,2,FALSE),""))</f>
        <v/>
      </c>
      <c r="Z708" s="56">
        <f>IF($X708="",1,IFERROR(VLOOKUP($X708,'Char Popularity'!$A$2:$C$500,3,FALSE),1))</f>
        <v>1</v>
      </c>
      <c r="AA708" s="62">
        <f>IF($H708&lt;&gt;"Y",0,(IF($F708&lt;&gt;"",ROUND(Dashboard!$R$4/$F708,1),IF(AND($I708="Base",$E708="Base"),Dashboard!$R$5,IF(AND($I708="Base",$E708="Red"),Dashboard!$R$6,IF(AND($I708="Base",$E708="Gold"),Dashboard!$R$7,VLOOKUP($I708,Dashboard!$Q$16:$R$21,2,FALSE)))))*VLOOKUP($I708,Dashboard!$Q$9:$R$13,2,FALSE)*IF(AND($I708="Auto",$F708="",OR($B708="Autographs Duals",$B708="Autographs Triples",$B708="Autographs Quads",$B708="Autographs Quads (Inscribed)")),IF($B708="Autographs Duals",2,IF($B708="Autographs Triples",3,4)),1)))</f>
        <v>1</v>
      </c>
      <c r="AB708" s="62">
        <f t="shared" si="154"/>
        <v>1</v>
      </c>
      <c r="AC708" s="62">
        <f t="shared" si="155"/>
        <v>0</v>
      </c>
    </row>
    <row r="709" spans="1:29" ht="28.7" customHeight="1" x14ac:dyDescent="0.25">
      <c r="A709" s="4" t="s">
        <v>19</v>
      </c>
      <c r="B709" s="7" t="s">
        <v>74</v>
      </c>
      <c r="C709" s="2" t="s">
        <v>1507</v>
      </c>
      <c r="D709" s="7" t="s">
        <v>1053</v>
      </c>
      <c r="E709" s="4" t="s">
        <v>60</v>
      </c>
      <c r="F709" s="2"/>
      <c r="G709" s="2" t="s">
        <v>1399</v>
      </c>
      <c r="H709" s="2" t="s">
        <v>1400</v>
      </c>
      <c r="I709" s="4" t="s">
        <v>60</v>
      </c>
      <c r="J709" s="112">
        <f>IF($H709&lt;&gt;"Y",0,ROUND(MIN(Dashboard!$R$24,IF(IFERROR(VLOOKUP($B709,Dashboard!$Q$28:$S$60,2,FALSE),0)&gt;0,IFERROR(VLOOKUP($B709,Dashboard!$Q$28:$S$60,2,FALSE),0),$Z709*IF($U709&lt;&gt;"",ROUND((Dashboard!$R$4/$U709)*VLOOKUP($I709,Dashboard!$Q$9:$R$13,2,FALSE)*IF(ISNUMBER(SEARCH("Duals",$B709)),2,IF(ISNUMBER(SEARCH("Triples",$B709)),3,IF(ISNUMBER(SEARCH("Quads",$B709)),4,1))),2),ROUND(VLOOKUP($I709,Dashboard!$Q$15:$R$20,2,FALSE)*IF($E709="Red",Dashboard!$R$6,IF($E709="Gold",Dashboard!$R$7,Dashboard!$R$5))*IF(ISNUMBER(SEARCH("Duals",$B709)),2,IF(ISNUMBER(SEARCH("Triples",$B709)),3,IF(ISNUMBER(SEARCH("Quads",$B709)),4,1))),2))*IF(IFERROR(VLOOKUP($B709,Dashboard!$Q$28:$S$60,3,FALSE),0)&gt;0,VLOOKUP($B709,Dashboard!$Q$28:$S$60,3,FALSE),1))),0))</f>
        <v>1</v>
      </c>
      <c r="K709" s="2" t="str">
        <f>IF('Base S2'!C9="","",'Base S2'!C9)</f>
        <v>h</v>
      </c>
      <c r="L709" s="2">
        <f t="shared" si="143"/>
        <v>1</v>
      </c>
      <c r="M709" s="2">
        <f t="shared" si="144"/>
        <v>0</v>
      </c>
      <c r="N709" s="2">
        <f t="shared" si="145"/>
        <v>1</v>
      </c>
      <c r="O709" s="2">
        <f t="shared" si="146"/>
        <v>0</v>
      </c>
      <c r="P709" s="112">
        <f t="shared" si="147"/>
        <v>1</v>
      </c>
      <c r="Q709" s="112">
        <f t="shared" si="148"/>
        <v>0</v>
      </c>
      <c r="R709" s="53"/>
      <c r="S709" s="53" t="str">
        <f t="shared" si="149"/>
        <v>Base S2|Base Set - Season 2|108|Base</v>
      </c>
      <c r="T709" s="57" t="str">
        <f>IF($S709="","",IFERROR(VLOOKUP($S709,'Pop Estimates (Non-#d)'!$N$2:$O$500,2,FALSE),""))</f>
        <v/>
      </c>
      <c r="U709" s="57" t="str">
        <f t="shared" si="150"/>
        <v/>
      </c>
      <c r="V709" s="53" t="str">
        <f t="shared" si="151"/>
        <v/>
      </c>
      <c r="W709" s="53" t="str">
        <f t="shared" si="152"/>
        <v/>
      </c>
      <c r="X709" s="53" t="str">
        <f t="shared" si="153"/>
        <v/>
      </c>
      <c r="Y709" s="57" t="str">
        <f>IF($X709="","",IFERROR(VLOOKUP($X709,'Char Popularity'!$A$2:$C$500,2,FALSE),""))</f>
        <v/>
      </c>
      <c r="Z709" s="56">
        <f>IF($X709="",1,IFERROR(VLOOKUP($X709,'Char Popularity'!$A$2:$C$500,3,FALSE),1))</f>
        <v>1</v>
      </c>
      <c r="AA709" s="62">
        <f>IF($H709&lt;&gt;"Y",0,(IF($F709&lt;&gt;"",ROUND(Dashboard!$R$4/$F709,1),IF(AND($I709="Base",$E709="Base"),Dashboard!$R$5,IF(AND($I709="Base",$E709="Red"),Dashboard!$R$6,IF(AND($I709="Base",$E709="Gold"),Dashboard!$R$7,VLOOKUP($I709,Dashboard!$Q$16:$R$21,2,FALSE)))))*VLOOKUP($I709,Dashboard!$Q$9:$R$13,2,FALSE)*IF(AND($I709="Auto",$F709="",OR($B709="Autographs Duals",$B709="Autographs Triples",$B709="Autographs Quads",$B709="Autographs Quads (Inscribed)")),IF($B709="Autographs Duals",2,IF($B709="Autographs Triples",3,4)),1)))</f>
        <v>1</v>
      </c>
      <c r="AB709" s="62">
        <f t="shared" si="154"/>
        <v>1</v>
      </c>
      <c r="AC709" s="62">
        <f t="shared" si="155"/>
        <v>0</v>
      </c>
    </row>
    <row r="710" spans="1:29" ht="28.7" customHeight="1" x14ac:dyDescent="0.25">
      <c r="A710" s="4" t="s">
        <v>19</v>
      </c>
      <c r="B710" s="7" t="s">
        <v>74</v>
      </c>
      <c r="C710" s="2" t="s">
        <v>1508</v>
      </c>
      <c r="D710" s="7" t="s">
        <v>1056</v>
      </c>
      <c r="E710" s="4" t="s">
        <v>60</v>
      </c>
      <c r="F710" s="2"/>
      <c r="G710" s="2" t="s">
        <v>1399</v>
      </c>
      <c r="H710" s="2" t="s">
        <v>1400</v>
      </c>
      <c r="I710" s="4" t="s">
        <v>60</v>
      </c>
      <c r="J710" s="112">
        <f>IF($H710&lt;&gt;"Y",0,ROUND(MIN(Dashboard!$R$24,IF(IFERROR(VLOOKUP($B710,Dashboard!$Q$28:$S$60,2,FALSE),0)&gt;0,IFERROR(VLOOKUP($B710,Dashboard!$Q$28:$S$60,2,FALSE),0),$Z710*IF($U710&lt;&gt;"",ROUND((Dashboard!$R$4/$U710)*VLOOKUP($I710,Dashboard!$Q$9:$R$13,2,FALSE)*IF(ISNUMBER(SEARCH("Duals",$B710)),2,IF(ISNUMBER(SEARCH("Triples",$B710)),3,IF(ISNUMBER(SEARCH("Quads",$B710)),4,1))),2),ROUND(VLOOKUP($I710,Dashboard!$Q$15:$R$20,2,FALSE)*IF($E710="Red",Dashboard!$R$6,IF($E710="Gold",Dashboard!$R$7,Dashboard!$R$5))*IF(ISNUMBER(SEARCH("Duals",$B710)),2,IF(ISNUMBER(SEARCH("Triples",$B710)),3,IF(ISNUMBER(SEARCH("Quads",$B710)),4,1))),2))*IF(IFERROR(VLOOKUP($B710,Dashboard!$Q$28:$S$60,3,FALSE),0)&gt;0,VLOOKUP($B710,Dashboard!$Q$28:$S$60,3,FALSE),1))),0))</f>
        <v>1</v>
      </c>
      <c r="K710" s="2" t="str">
        <f>IF('Base S2'!C10="","",'Base S2'!C10)</f>
        <v>h</v>
      </c>
      <c r="L710" s="2">
        <f t="shared" si="143"/>
        <v>1</v>
      </c>
      <c r="M710" s="2">
        <f t="shared" si="144"/>
        <v>0</v>
      </c>
      <c r="N710" s="2">
        <f t="shared" si="145"/>
        <v>1</v>
      </c>
      <c r="O710" s="2">
        <f t="shared" si="146"/>
        <v>0</v>
      </c>
      <c r="P710" s="112">
        <f t="shared" si="147"/>
        <v>1</v>
      </c>
      <c r="Q710" s="112">
        <f t="shared" si="148"/>
        <v>0</v>
      </c>
      <c r="R710" s="53"/>
      <c r="S710" s="53" t="str">
        <f t="shared" si="149"/>
        <v>Base S2|Base Set - Season 2|109|Base</v>
      </c>
      <c r="T710" s="57" t="str">
        <f>IF($S710="","",IFERROR(VLOOKUP($S710,'Pop Estimates (Non-#d)'!$N$2:$O$500,2,FALSE),""))</f>
        <v/>
      </c>
      <c r="U710" s="57" t="str">
        <f t="shared" si="150"/>
        <v/>
      </c>
      <c r="V710" s="53" t="str">
        <f t="shared" si="151"/>
        <v/>
      </c>
      <c r="W710" s="53" t="str">
        <f t="shared" si="152"/>
        <v/>
      </c>
      <c r="X710" s="53" t="str">
        <f t="shared" si="153"/>
        <v/>
      </c>
      <c r="Y710" s="57" t="str">
        <f>IF($X710="","",IFERROR(VLOOKUP($X710,'Char Popularity'!$A$2:$C$500,2,FALSE),""))</f>
        <v/>
      </c>
      <c r="Z710" s="56">
        <f>IF($X710="",1,IFERROR(VLOOKUP($X710,'Char Popularity'!$A$2:$C$500,3,FALSE),1))</f>
        <v>1</v>
      </c>
      <c r="AA710" s="62">
        <f>IF($H710&lt;&gt;"Y",0,(IF($F710&lt;&gt;"",ROUND(Dashboard!$R$4/$F710,1),IF(AND($I710="Base",$E710="Base"),Dashboard!$R$5,IF(AND($I710="Base",$E710="Red"),Dashboard!$R$6,IF(AND($I710="Base",$E710="Gold"),Dashboard!$R$7,VLOOKUP($I710,Dashboard!$Q$16:$R$21,2,FALSE)))))*VLOOKUP($I710,Dashboard!$Q$9:$R$13,2,FALSE)*IF(AND($I710="Auto",$F710="",OR($B710="Autographs Duals",$B710="Autographs Triples",$B710="Autographs Quads",$B710="Autographs Quads (Inscribed)")),IF($B710="Autographs Duals",2,IF($B710="Autographs Triples",3,4)),1)))</f>
        <v>1</v>
      </c>
      <c r="AB710" s="62">
        <f t="shared" si="154"/>
        <v>1</v>
      </c>
      <c r="AC710" s="62">
        <f t="shared" si="155"/>
        <v>0</v>
      </c>
    </row>
    <row r="711" spans="1:29" ht="28.7" customHeight="1" x14ac:dyDescent="0.25">
      <c r="A711" s="4" t="s">
        <v>19</v>
      </c>
      <c r="B711" s="7" t="s">
        <v>74</v>
      </c>
      <c r="C711" s="2" t="s">
        <v>1509</v>
      </c>
      <c r="D711" s="7" t="s">
        <v>1059</v>
      </c>
      <c r="E711" s="4" t="s">
        <v>60</v>
      </c>
      <c r="F711" s="2"/>
      <c r="G711" s="2" t="s">
        <v>1399</v>
      </c>
      <c r="H711" s="2" t="s">
        <v>1400</v>
      </c>
      <c r="I711" s="4" t="s">
        <v>60</v>
      </c>
      <c r="J711" s="112">
        <f>IF($H711&lt;&gt;"Y",0,ROUND(MIN(Dashboard!$R$24,IF(IFERROR(VLOOKUP($B711,Dashboard!$Q$28:$S$60,2,FALSE),0)&gt;0,IFERROR(VLOOKUP($B711,Dashboard!$Q$28:$S$60,2,FALSE),0),$Z711*IF($U711&lt;&gt;"",ROUND((Dashboard!$R$4/$U711)*VLOOKUP($I711,Dashboard!$Q$9:$R$13,2,FALSE)*IF(ISNUMBER(SEARCH("Duals",$B711)),2,IF(ISNUMBER(SEARCH("Triples",$B711)),3,IF(ISNUMBER(SEARCH("Quads",$B711)),4,1))),2),ROUND(VLOOKUP($I711,Dashboard!$Q$15:$R$20,2,FALSE)*IF($E711="Red",Dashboard!$R$6,IF($E711="Gold",Dashboard!$R$7,Dashboard!$R$5))*IF(ISNUMBER(SEARCH("Duals",$B711)),2,IF(ISNUMBER(SEARCH("Triples",$B711)),3,IF(ISNUMBER(SEARCH("Quads",$B711)),4,1))),2))*IF(IFERROR(VLOOKUP($B711,Dashboard!$Q$28:$S$60,3,FALSE),0)&gt;0,VLOOKUP($B711,Dashboard!$Q$28:$S$60,3,FALSE),1))),0))</f>
        <v>1</v>
      </c>
      <c r="K711" s="2" t="str">
        <f>IF('Base S2'!C11="","",'Base S2'!C11)</f>
        <v>h</v>
      </c>
      <c r="L711" s="2">
        <f t="shared" si="143"/>
        <v>1</v>
      </c>
      <c r="M711" s="2">
        <f t="shared" si="144"/>
        <v>0</v>
      </c>
      <c r="N711" s="2">
        <f t="shared" si="145"/>
        <v>1</v>
      </c>
      <c r="O711" s="2">
        <f t="shared" si="146"/>
        <v>0</v>
      </c>
      <c r="P711" s="112">
        <f t="shared" si="147"/>
        <v>1</v>
      </c>
      <c r="Q711" s="112">
        <f t="shared" si="148"/>
        <v>0</v>
      </c>
      <c r="R711" s="53"/>
      <c r="S711" s="53" t="str">
        <f t="shared" si="149"/>
        <v>Base S2|Base Set - Season 2|110|Base</v>
      </c>
      <c r="T711" s="57" t="str">
        <f>IF($S711="","",IFERROR(VLOOKUP($S711,'Pop Estimates (Non-#d)'!$N$2:$O$500,2,FALSE),""))</f>
        <v/>
      </c>
      <c r="U711" s="57" t="str">
        <f t="shared" si="150"/>
        <v/>
      </c>
      <c r="V711" s="53" t="str">
        <f t="shared" si="151"/>
        <v/>
      </c>
      <c r="W711" s="53" t="str">
        <f t="shared" si="152"/>
        <v/>
      </c>
      <c r="X711" s="53" t="str">
        <f t="shared" si="153"/>
        <v/>
      </c>
      <c r="Y711" s="57" t="str">
        <f>IF($X711="","",IFERROR(VLOOKUP($X711,'Char Popularity'!$A$2:$C$500,2,FALSE),""))</f>
        <v/>
      </c>
      <c r="Z711" s="56">
        <f>IF($X711="",1,IFERROR(VLOOKUP($X711,'Char Popularity'!$A$2:$C$500,3,FALSE),1))</f>
        <v>1</v>
      </c>
      <c r="AA711" s="62">
        <f>IF($H711&lt;&gt;"Y",0,(IF($F711&lt;&gt;"",ROUND(Dashboard!$R$4/$F711,1),IF(AND($I711="Base",$E711="Base"),Dashboard!$R$5,IF(AND($I711="Base",$E711="Red"),Dashboard!$R$6,IF(AND($I711="Base",$E711="Gold"),Dashboard!$R$7,VLOOKUP($I711,Dashboard!$Q$16:$R$21,2,FALSE)))))*VLOOKUP($I711,Dashboard!$Q$9:$R$13,2,FALSE)*IF(AND($I711="Auto",$F711="",OR($B711="Autographs Duals",$B711="Autographs Triples",$B711="Autographs Quads",$B711="Autographs Quads (Inscribed)")),IF($B711="Autographs Duals",2,IF($B711="Autographs Triples",3,4)),1)))</f>
        <v>1</v>
      </c>
      <c r="AB711" s="62">
        <f t="shared" si="154"/>
        <v>1</v>
      </c>
      <c r="AC711" s="62">
        <f t="shared" si="155"/>
        <v>0</v>
      </c>
    </row>
    <row r="712" spans="1:29" ht="28.7" customHeight="1" x14ac:dyDescent="0.25">
      <c r="A712" s="4" t="s">
        <v>19</v>
      </c>
      <c r="B712" s="7" t="s">
        <v>74</v>
      </c>
      <c r="C712" s="2" t="s">
        <v>1510</v>
      </c>
      <c r="D712" s="7" t="s">
        <v>1061</v>
      </c>
      <c r="E712" s="4" t="s">
        <v>60</v>
      </c>
      <c r="F712" s="2"/>
      <c r="G712" s="2" t="s">
        <v>1399</v>
      </c>
      <c r="H712" s="2" t="s">
        <v>1400</v>
      </c>
      <c r="I712" s="4" t="s">
        <v>60</v>
      </c>
      <c r="J712" s="112">
        <f>IF($H712&lt;&gt;"Y",0,ROUND(MIN(Dashboard!$R$24,IF(IFERROR(VLOOKUP($B712,Dashboard!$Q$28:$S$60,2,FALSE),0)&gt;0,IFERROR(VLOOKUP($B712,Dashboard!$Q$28:$S$60,2,FALSE),0),$Z712*IF($U712&lt;&gt;"",ROUND((Dashboard!$R$4/$U712)*VLOOKUP($I712,Dashboard!$Q$9:$R$13,2,FALSE)*IF(ISNUMBER(SEARCH("Duals",$B712)),2,IF(ISNUMBER(SEARCH("Triples",$B712)),3,IF(ISNUMBER(SEARCH("Quads",$B712)),4,1))),2),ROUND(VLOOKUP($I712,Dashboard!$Q$15:$R$20,2,FALSE)*IF($E712="Red",Dashboard!$R$6,IF($E712="Gold",Dashboard!$R$7,Dashboard!$R$5))*IF(ISNUMBER(SEARCH("Duals",$B712)),2,IF(ISNUMBER(SEARCH("Triples",$B712)),3,IF(ISNUMBER(SEARCH("Quads",$B712)),4,1))),2))*IF(IFERROR(VLOOKUP($B712,Dashboard!$Q$28:$S$60,3,FALSE),0)&gt;0,VLOOKUP($B712,Dashboard!$Q$28:$S$60,3,FALSE),1))),0))</f>
        <v>1</v>
      </c>
      <c r="K712" s="2" t="str">
        <f>IF('Base S2'!C12="","",'Base S2'!C12)</f>
        <v>h</v>
      </c>
      <c r="L712" s="2">
        <f t="shared" si="143"/>
        <v>1</v>
      </c>
      <c r="M712" s="2">
        <f t="shared" si="144"/>
        <v>0</v>
      </c>
      <c r="N712" s="2">
        <f t="shared" si="145"/>
        <v>1</v>
      </c>
      <c r="O712" s="2">
        <f t="shared" si="146"/>
        <v>0</v>
      </c>
      <c r="P712" s="112">
        <f t="shared" si="147"/>
        <v>1</v>
      </c>
      <c r="Q712" s="112">
        <f t="shared" si="148"/>
        <v>0</v>
      </c>
      <c r="R712" s="53"/>
      <c r="S712" s="53" t="str">
        <f t="shared" si="149"/>
        <v>Base S2|Base Set - Season 2|111|Base</v>
      </c>
      <c r="T712" s="57" t="str">
        <f>IF($S712="","",IFERROR(VLOOKUP($S712,'Pop Estimates (Non-#d)'!$N$2:$O$500,2,FALSE),""))</f>
        <v/>
      </c>
      <c r="U712" s="57" t="str">
        <f t="shared" si="150"/>
        <v/>
      </c>
      <c r="V712" s="53" t="str">
        <f t="shared" si="151"/>
        <v/>
      </c>
      <c r="W712" s="53" t="str">
        <f t="shared" si="152"/>
        <v/>
      </c>
      <c r="X712" s="53" t="str">
        <f t="shared" si="153"/>
        <v/>
      </c>
      <c r="Y712" s="57" t="str">
        <f>IF($X712="","",IFERROR(VLOOKUP($X712,'Char Popularity'!$A$2:$C$500,2,FALSE),""))</f>
        <v/>
      </c>
      <c r="Z712" s="56">
        <f>IF($X712="",1,IFERROR(VLOOKUP($X712,'Char Popularity'!$A$2:$C$500,3,FALSE),1))</f>
        <v>1</v>
      </c>
      <c r="AA712" s="62">
        <f>IF($H712&lt;&gt;"Y",0,(IF($F712&lt;&gt;"",ROUND(Dashboard!$R$4/$F712,1),IF(AND($I712="Base",$E712="Base"),Dashboard!$R$5,IF(AND($I712="Base",$E712="Red"),Dashboard!$R$6,IF(AND($I712="Base",$E712="Gold"),Dashboard!$R$7,VLOOKUP($I712,Dashboard!$Q$16:$R$21,2,FALSE)))))*VLOOKUP($I712,Dashboard!$Q$9:$R$13,2,FALSE)*IF(AND($I712="Auto",$F712="",OR($B712="Autographs Duals",$B712="Autographs Triples",$B712="Autographs Quads",$B712="Autographs Quads (Inscribed)")),IF($B712="Autographs Duals",2,IF($B712="Autographs Triples",3,4)),1)))</f>
        <v>1</v>
      </c>
      <c r="AB712" s="62">
        <f t="shared" si="154"/>
        <v>1</v>
      </c>
      <c r="AC712" s="62">
        <f t="shared" si="155"/>
        <v>0</v>
      </c>
    </row>
    <row r="713" spans="1:29" ht="28.7" customHeight="1" x14ac:dyDescent="0.25">
      <c r="A713" s="4" t="s">
        <v>19</v>
      </c>
      <c r="B713" s="7" t="s">
        <v>74</v>
      </c>
      <c r="C713" s="2" t="s">
        <v>1511</v>
      </c>
      <c r="D713" s="7" t="s">
        <v>1063</v>
      </c>
      <c r="E713" s="4" t="s">
        <v>60</v>
      </c>
      <c r="F713" s="2"/>
      <c r="G713" s="2" t="s">
        <v>1399</v>
      </c>
      <c r="H713" s="2" t="s">
        <v>1400</v>
      </c>
      <c r="I713" s="4" t="s">
        <v>60</v>
      </c>
      <c r="J713" s="112">
        <f>IF($H713&lt;&gt;"Y",0,ROUND(MIN(Dashboard!$R$24,IF(IFERROR(VLOOKUP($B713,Dashboard!$Q$28:$S$60,2,FALSE),0)&gt;0,IFERROR(VLOOKUP($B713,Dashboard!$Q$28:$S$60,2,FALSE),0),$Z713*IF($U713&lt;&gt;"",ROUND((Dashboard!$R$4/$U713)*VLOOKUP($I713,Dashboard!$Q$9:$R$13,2,FALSE)*IF(ISNUMBER(SEARCH("Duals",$B713)),2,IF(ISNUMBER(SEARCH("Triples",$B713)),3,IF(ISNUMBER(SEARCH("Quads",$B713)),4,1))),2),ROUND(VLOOKUP($I713,Dashboard!$Q$15:$R$20,2,FALSE)*IF($E713="Red",Dashboard!$R$6,IF($E713="Gold",Dashboard!$R$7,Dashboard!$R$5))*IF(ISNUMBER(SEARCH("Duals",$B713)),2,IF(ISNUMBER(SEARCH("Triples",$B713)),3,IF(ISNUMBER(SEARCH("Quads",$B713)),4,1))),2))*IF(IFERROR(VLOOKUP($B713,Dashboard!$Q$28:$S$60,3,FALSE),0)&gt;0,VLOOKUP($B713,Dashboard!$Q$28:$S$60,3,FALSE),1))),0))</f>
        <v>1</v>
      </c>
      <c r="K713" s="2" t="str">
        <f>IF('Base S2'!C13="","",'Base S2'!C13)</f>
        <v>h</v>
      </c>
      <c r="L713" s="2">
        <f t="shared" si="143"/>
        <v>1</v>
      </c>
      <c r="M713" s="2">
        <f t="shared" si="144"/>
        <v>0</v>
      </c>
      <c r="N713" s="2">
        <f t="shared" si="145"/>
        <v>1</v>
      </c>
      <c r="O713" s="2">
        <f t="shared" si="146"/>
        <v>0</v>
      </c>
      <c r="P713" s="112">
        <f t="shared" si="147"/>
        <v>1</v>
      </c>
      <c r="Q713" s="112">
        <f t="shared" si="148"/>
        <v>0</v>
      </c>
      <c r="R713" s="53"/>
      <c r="S713" s="53" t="str">
        <f t="shared" si="149"/>
        <v>Base S2|Base Set - Season 2|112|Base</v>
      </c>
      <c r="T713" s="57" t="str">
        <f>IF($S713="","",IFERROR(VLOOKUP($S713,'Pop Estimates (Non-#d)'!$N$2:$O$500,2,FALSE),""))</f>
        <v/>
      </c>
      <c r="U713" s="57" t="str">
        <f t="shared" si="150"/>
        <v/>
      </c>
      <c r="V713" s="53" t="str">
        <f t="shared" si="151"/>
        <v/>
      </c>
      <c r="W713" s="53" t="str">
        <f t="shared" si="152"/>
        <v/>
      </c>
      <c r="X713" s="53" t="str">
        <f t="shared" si="153"/>
        <v/>
      </c>
      <c r="Y713" s="57" t="str">
        <f>IF($X713="","",IFERROR(VLOOKUP($X713,'Char Popularity'!$A$2:$C$500,2,FALSE),""))</f>
        <v/>
      </c>
      <c r="Z713" s="56">
        <f>IF($X713="",1,IFERROR(VLOOKUP($X713,'Char Popularity'!$A$2:$C$500,3,FALSE),1))</f>
        <v>1</v>
      </c>
      <c r="AA713" s="62">
        <f>IF($H713&lt;&gt;"Y",0,(IF($F713&lt;&gt;"",ROUND(Dashboard!$R$4/$F713,1),IF(AND($I713="Base",$E713="Base"),Dashboard!$R$5,IF(AND($I713="Base",$E713="Red"),Dashboard!$R$6,IF(AND($I713="Base",$E713="Gold"),Dashboard!$R$7,VLOOKUP($I713,Dashboard!$Q$16:$R$21,2,FALSE)))))*VLOOKUP($I713,Dashboard!$Q$9:$R$13,2,FALSE)*IF(AND($I713="Auto",$F713="",OR($B713="Autographs Duals",$B713="Autographs Triples",$B713="Autographs Quads",$B713="Autographs Quads (Inscribed)")),IF($B713="Autographs Duals",2,IF($B713="Autographs Triples",3,4)),1)))</f>
        <v>1</v>
      </c>
      <c r="AB713" s="62">
        <f t="shared" si="154"/>
        <v>1</v>
      </c>
      <c r="AC713" s="62">
        <f t="shared" si="155"/>
        <v>0</v>
      </c>
    </row>
    <row r="714" spans="1:29" ht="28.7" customHeight="1" x14ac:dyDescent="0.25">
      <c r="A714" s="4" t="s">
        <v>19</v>
      </c>
      <c r="B714" s="7" t="s">
        <v>74</v>
      </c>
      <c r="C714" s="2" t="s">
        <v>1512</v>
      </c>
      <c r="D714" s="7" t="s">
        <v>1065</v>
      </c>
      <c r="E714" s="4" t="s">
        <v>60</v>
      </c>
      <c r="F714" s="2"/>
      <c r="G714" s="2" t="s">
        <v>1399</v>
      </c>
      <c r="H714" s="2" t="s">
        <v>1400</v>
      </c>
      <c r="I714" s="4" t="s">
        <v>60</v>
      </c>
      <c r="J714" s="112">
        <f>IF($H714&lt;&gt;"Y",0,ROUND(MIN(Dashboard!$R$24,IF(IFERROR(VLOOKUP($B714,Dashboard!$Q$28:$S$60,2,FALSE),0)&gt;0,IFERROR(VLOOKUP($B714,Dashboard!$Q$28:$S$60,2,FALSE),0),$Z714*IF($U714&lt;&gt;"",ROUND((Dashboard!$R$4/$U714)*VLOOKUP($I714,Dashboard!$Q$9:$R$13,2,FALSE)*IF(ISNUMBER(SEARCH("Duals",$B714)),2,IF(ISNUMBER(SEARCH("Triples",$B714)),3,IF(ISNUMBER(SEARCH("Quads",$B714)),4,1))),2),ROUND(VLOOKUP($I714,Dashboard!$Q$15:$R$20,2,FALSE)*IF($E714="Red",Dashboard!$R$6,IF($E714="Gold",Dashboard!$R$7,Dashboard!$R$5))*IF(ISNUMBER(SEARCH("Duals",$B714)),2,IF(ISNUMBER(SEARCH("Triples",$B714)),3,IF(ISNUMBER(SEARCH("Quads",$B714)),4,1))),2))*IF(IFERROR(VLOOKUP($B714,Dashboard!$Q$28:$S$60,3,FALSE),0)&gt;0,VLOOKUP($B714,Dashboard!$Q$28:$S$60,3,FALSE),1))),0))</f>
        <v>1</v>
      </c>
      <c r="K714" s="2" t="str">
        <f>IF('Base S2'!C14="","",'Base S2'!C14)</f>
        <v>h</v>
      </c>
      <c r="L714" s="2">
        <f t="shared" si="143"/>
        <v>1</v>
      </c>
      <c r="M714" s="2">
        <f t="shared" si="144"/>
        <v>0</v>
      </c>
      <c r="N714" s="2">
        <f t="shared" si="145"/>
        <v>1</v>
      </c>
      <c r="O714" s="2">
        <f t="shared" si="146"/>
        <v>0</v>
      </c>
      <c r="P714" s="112">
        <f t="shared" si="147"/>
        <v>1</v>
      </c>
      <c r="Q714" s="112">
        <f t="shared" si="148"/>
        <v>0</v>
      </c>
      <c r="R714" s="53"/>
      <c r="S714" s="53" t="str">
        <f t="shared" si="149"/>
        <v>Base S2|Base Set - Season 2|113|Base</v>
      </c>
      <c r="T714" s="57" t="str">
        <f>IF($S714="","",IFERROR(VLOOKUP($S714,'Pop Estimates (Non-#d)'!$N$2:$O$500,2,FALSE),""))</f>
        <v/>
      </c>
      <c r="U714" s="57" t="str">
        <f t="shared" si="150"/>
        <v/>
      </c>
      <c r="V714" s="53" t="str">
        <f t="shared" si="151"/>
        <v/>
      </c>
      <c r="W714" s="53" t="str">
        <f t="shared" si="152"/>
        <v/>
      </c>
      <c r="X714" s="53" t="str">
        <f t="shared" si="153"/>
        <v/>
      </c>
      <c r="Y714" s="57" t="str">
        <f>IF($X714="","",IFERROR(VLOOKUP($X714,'Char Popularity'!$A$2:$C$500,2,FALSE),""))</f>
        <v/>
      </c>
      <c r="Z714" s="56">
        <f>IF($X714="",1,IFERROR(VLOOKUP($X714,'Char Popularity'!$A$2:$C$500,3,FALSE),1))</f>
        <v>1</v>
      </c>
      <c r="AA714" s="62">
        <f>IF($H714&lt;&gt;"Y",0,(IF($F714&lt;&gt;"",ROUND(Dashboard!$R$4/$F714,1),IF(AND($I714="Base",$E714="Base"),Dashboard!$R$5,IF(AND($I714="Base",$E714="Red"),Dashboard!$R$6,IF(AND($I714="Base",$E714="Gold"),Dashboard!$R$7,VLOOKUP($I714,Dashboard!$Q$16:$R$21,2,FALSE)))))*VLOOKUP($I714,Dashboard!$Q$9:$R$13,2,FALSE)*IF(AND($I714="Auto",$F714="",OR($B714="Autographs Duals",$B714="Autographs Triples",$B714="Autographs Quads",$B714="Autographs Quads (Inscribed)")),IF($B714="Autographs Duals",2,IF($B714="Autographs Triples",3,4)),1)))</f>
        <v>1</v>
      </c>
      <c r="AB714" s="62">
        <f t="shared" si="154"/>
        <v>1</v>
      </c>
      <c r="AC714" s="62">
        <f t="shared" si="155"/>
        <v>0</v>
      </c>
    </row>
    <row r="715" spans="1:29" ht="28.7" customHeight="1" x14ac:dyDescent="0.25">
      <c r="A715" s="4" t="s">
        <v>19</v>
      </c>
      <c r="B715" s="7" t="s">
        <v>74</v>
      </c>
      <c r="C715" s="2" t="s">
        <v>1513</v>
      </c>
      <c r="D715" s="7" t="s">
        <v>1067</v>
      </c>
      <c r="E715" s="4" t="s">
        <v>60</v>
      </c>
      <c r="F715" s="2"/>
      <c r="G715" s="2" t="s">
        <v>1399</v>
      </c>
      <c r="H715" s="2" t="s">
        <v>1400</v>
      </c>
      <c r="I715" s="4" t="s">
        <v>60</v>
      </c>
      <c r="J715" s="112">
        <f>IF($H715&lt;&gt;"Y",0,ROUND(MIN(Dashboard!$R$24,IF(IFERROR(VLOOKUP($B715,Dashboard!$Q$28:$S$60,2,FALSE),0)&gt;0,IFERROR(VLOOKUP($B715,Dashboard!$Q$28:$S$60,2,FALSE),0),$Z715*IF($U715&lt;&gt;"",ROUND((Dashboard!$R$4/$U715)*VLOOKUP($I715,Dashboard!$Q$9:$R$13,2,FALSE)*IF(ISNUMBER(SEARCH("Duals",$B715)),2,IF(ISNUMBER(SEARCH("Triples",$B715)),3,IF(ISNUMBER(SEARCH("Quads",$B715)),4,1))),2),ROUND(VLOOKUP($I715,Dashboard!$Q$15:$R$20,2,FALSE)*IF($E715="Red",Dashboard!$R$6,IF($E715="Gold",Dashboard!$R$7,Dashboard!$R$5))*IF(ISNUMBER(SEARCH("Duals",$B715)),2,IF(ISNUMBER(SEARCH("Triples",$B715)),3,IF(ISNUMBER(SEARCH("Quads",$B715)),4,1))),2))*IF(IFERROR(VLOOKUP($B715,Dashboard!$Q$28:$S$60,3,FALSE),0)&gt;0,VLOOKUP($B715,Dashboard!$Q$28:$S$60,3,FALSE),1))),0))</f>
        <v>1</v>
      </c>
      <c r="K715" s="2" t="str">
        <f>IF('Base S2'!C15="","",'Base S2'!C15)</f>
        <v>h</v>
      </c>
      <c r="L715" s="2">
        <f t="shared" si="143"/>
        <v>1</v>
      </c>
      <c r="M715" s="2">
        <f t="shared" si="144"/>
        <v>0</v>
      </c>
      <c r="N715" s="2">
        <f t="shared" si="145"/>
        <v>1</v>
      </c>
      <c r="O715" s="2">
        <f t="shared" si="146"/>
        <v>0</v>
      </c>
      <c r="P715" s="112">
        <f t="shared" si="147"/>
        <v>1</v>
      </c>
      <c r="Q715" s="112">
        <f t="shared" si="148"/>
        <v>0</v>
      </c>
      <c r="R715" s="53"/>
      <c r="S715" s="53" t="str">
        <f t="shared" si="149"/>
        <v>Base S2|Base Set - Season 2|114|Base</v>
      </c>
      <c r="T715" s="57" t="str">
        <f>IF($S715="","",IFERROR(VLOOKUP($S715,'Pop Estimates (Non-#d)'!$N$2:$O$500,2,FALSE),""))</f>
        <v/>
      </c>
      <c r="U715" s="57" t="str">
        <f t="shared" si="150"/>
        <v/>
      </c>
      <c r="V715" s="53" t="str">
        <f t="shared" si="151"/>
        <v/>
      </c>
      <c r="W715" s="53" t="str">
        <f t="shared" si="152"/>
        <v/>
      </c>
      <c r="X715" s="53" t="str">
        <f t="shared" si="153"/>
        <v/>
      </c>
      <c r="Y715" s="57" t="str">
        <f>IF($X715="","",IFERROR(VLOOKUP($X715,'Char Popularity'!$A$2:$C$500,2,FALSE),""))</f>
        <v/>
      </c>
      <c r="Z715" s="56">
        <f>IF($X715="",1,IFERROR(VLOOKUP($X715,'Char Popularity'!$A$2:$C$500,3,FALSE),1))</f>
        <v>1</v>
      </c>
      <c r="AA715" s="62">
        <f>IF($H715&lt;&gt;"Y",0,(IF($F715&lt;&gt;"",ROUND(Dashboard!$R$4/$F715,1),IF(AND($I715="Base",$E715="Base"),Dashboard!$R$5,IF(AND($I715="Base",$E715="Red"),Dashboard!$R$6,IF(AND($I715="Base",$E715="Gold"),Dashboard!$R$7,VLOOKUP($I715,Dashboard!$Q$16:$R$21,2,FALSE)))))*VLOOKUP($I715,Dashboard!$Q$9:$R$13,2,FALSE)*IF(AND($I715="Auto",$F715="",OR($B715="Autographs Duals",$B715="Autographs Triples",$B715="Autographs Quads",$B715="Autographs Quads (Inscribed)")),IF($B715="Autographs Duals",2,IF($B715="Autographs Triples",3,4)),1)))</f>
        <v>1</v>
      </c>
      <c r="AB715" s="62">
        <f t="shared" si="154"/>
        <v>1</v>
      </c>
      <c r="AC715" s="62">
        <f t="shared" si="155"/>
        <v>0</v>
      </c>
    </row>
    <row r="716" spans="1:29" ht="28.7" customHeight="1" x14ac:dyDescent="0.25">
      <c r="A716" s="4" t="s">
        <v>19</v>
      </c>
      <c r="B716" s="7" t="s">
        <v>74</v>
      </c>
      <c r="C716" s="2" t="s">
        <v>1514</v>
      </c>
      <c r="D716" s="7" t="s">
        <v>1069</v>
      </c>
      <c r="E716" s="4" t="s">
        <v>60</v>
      </c>
      <c r="F716" s="2"/>
      <c r="G716" s="2" t="s">
        <v>1399</v>
      </c>
      <c r="H716" s="2" t="s">
        <v>1400</v>
      </c>
      <c r="I716" s="4" t="s">
        <v>60</v>
      </c>
      <c r="J716" s="112">
        <f>IF($H716&lt;&gt;"Y",0,ROUND(MIN(Dashboard!$R$24,IF(IFERROR(VLOOKUP($B716,Dashboard!$Q$28:$S$60,2,FALSE),0)&gt;0,IFERROR(VLOOKUP($B716,Dashboard!$Q$28:$S$60,2,FALSE),0),$Z716*IF($U716&lt;&gt;"",ROUND((Dashboard!$R$4/$U716)*VLOOKUP($I716,Dashboard!$Q$9:$R$13,2,FALSE)*IF(ISNUMBER(SEARCH("Duals",$B716)),2,IF(ISNUMBER(SEARCH("Triples",$B716)),3,IF(ISNUMBER(SEARCH("Quads",$B716)),4,1))),2),ROUND(VLOOKUP($I716,Dashboard!$Q$15:$R$20,2,FALSE)*IF($E716="Red",Dashboard!$R$6,IF($E716="Gold",Dashboard!$R$7,Dashboard!$R$5))*IF(ISNUMBER(SEARCH("Duals",$B716)),2,IF(ISNUMBER(SEARCH("Triples",$B716)),3,IF(ISNUMBER(SEARCH("Quads",$B716)),4,1))),2))*IF(IFERROR(VLOOKUP($B716,Dashboard!$Q$28:$S$60,3,FALSE),0)&gt;0,VLOOKUP($B716,Dashboard!$Q$28:$S$60,3,FALSE),1))),0))</f>
        <v>1</v>
      </c>
      <c r="K716" s="2" t="str">
        <f>IF('Base S2'!C16="","",'Base S2'!C16)</f>
        <v>h</v>
      </c>
      <c r="L716" s="2">
        <f t="shared" si="143"/>
        <v>1</v>
      </c>
      <c r="M716" s="2">
        <f t="shared" si="144"/>
        <v>0</v>
      </c>
      <c r="N716" s="2">
        <f t="shared" si="145"/>
        <v>1</v>
      </c>
      <c r="O716" s="2">
        <f t="shared" si="146"/>
        <v>0</v>
      </c>
      <c r="P716" s="112">
        <f t="shared" si="147"/>
        <v>1</v>
      </c>
      <c r="Q716" s="112">
        <f t="shared" si="148"/>
        <v>0</v>
      </c>
      <c r="R716" s="53"/>
      <c r="S716" s="53" t="str">
        <f t="shared" si="149"/>
        <v>Base S2|Base Set - Season 2|115|Base</v>
      </c>
      <c r="T716" s="57" t="str">
        <f>IF($S716="","",IFERROR(VLOOKUP($S716,'Pop Estimates (Non-#d)'!$N$2:$O$500,2,FALSE),""))</f>
        <v/>
      </c>
      <c r="U716" s="57" t="str">
        <f t="shared" si="150"/>
        <v/>
      </c>
      <c r="V716" s="53" t="str">
        <f t="shared" si="151"/>
        <v/>
      </c>
      <c r="W716" s="53" t="str">
        <f t="shared" si="152"/>
        <v/>
      </c>
      <c r="X716" s="53" t="str">
        <f t="shared" si="153"/>
        <v/>
      </c>
      <c r="Y716" s="57" t="str">
        <f>IF($X716="","",IFERROR(VLOOKUP($X716,'Char Popularity'!$A$2:$C$500,2,FALSE),""))</f>
        <v/>
      </c>
      <c r="Z716" s="56">
        <f>IF($X716="",1,IFERROR(VLOOKUP($X716,'Char Popularity'!$A$2:$C$500,3,FALSE),1))</f>
        <v>1</v>
      </c>
      <c r="AA716" s="62">
        <f>IF($H716&lt;&gt;"Y",0,(IF($F716&lt;&gt;"",ROUND(Dashboard!$R$4/$F716,1),IF(AND($I716="Base",$E716="Base"),Dashboard!$R$5,IF(AND($I716="Base",$E716="Red"),Dashboard!$R$6,IF(AND($I716="Base",$E716="Gold"),Dashboard!$R$7,VLOOKUP($I716,Dashboard!$Q$16:$R$21,2,FALSE)))))*VLOOKUP($I716,Dashboard!$Q$9:$R$13,2,FALSE)*IF(AND($I716="Auto",$F716="",OR($B716="Autographs Duals",$B716="Autographs Triples",$B716="Autographs Quads",$B716="Autographs Quads (Inscribed)")),IF($B716="Autographs Duals",2,IF($B716="Autographs Triples",3,4)),1)))</f>
        <v>1</v>
      </c>
      <c r="AB716" s="62">
        <f t="shared" si="154"/>
        <v>1</v>
      </c>
      <c r="AC716" s="62">
        <f t="shared" si="155"/>
        <v>0</v>
      </c>
    </row>
    <row r="717" spans="1:29" ht="28.7" customHeight="1" x14ac:dyDescent="0.25">
      <c r="A717" s="4" t="s">
        <v>19</v>
      </c>
      <c r="B717" s="7" t="s">
        <v>74</v>
      </c>
      <c r="C717" s="2" t="s">
        <v>1515</v>
      </c>
      <c r="D717" s="7" t="s">
        <v>1070</v>
      </c>
      <c r="E717" s="4" t="s">
        <v>60</v>
      </c>
      <c r="F717" s="2"/>
      <c r="G717" s="2" t="s">
        <v>1399</v>
      </c>
      <c r="H717" s="2" t="s">
        <v>1400</v>
      </c>
      <c r="I717" s="4" t="s">
        <v>60</v>
      </c>
      <c r="J717" s="112">
        <f>IF($H717&lt;&gt;"Y",0,ROUND(MIN(Dashboard!$R$24,IF(IFERROR(VLOOKUP($B717,Dashboard!$Q$28:$S$60,2,FALSE),0)&gt;0,IFERROR(VLOOKUP($B717,Dashboard!$Q$28:$S$60,2,FALSE),0),$Z717*IF($U717&lt;&gt;"",ROUND((Dashboard!$R$4/$U717)*VLOOKUP($I717,Dashboard!$Q$9:$R$13,2,FALSE)*IF(ISNUMBER(SEARCH("Duals",$B717)),2,IF(ISNUMBER(SEARCH("Triples",$B717)),3,IF(ISNUMBER(SEARCH("Quads",$B717)),4,1))),2),ROUND(VLOOKUP($I717,Dashboard!$Q$15:$R$20,2,FALSE)*IF($E717="Red",Dashboard!$R$6,IF($E717="Gold",Dashboard!$R$7,Dashboard!$R$5))*IF(ISNUMBER(SEARCH("Duals",$B717)),2,IF(ISNUMBER(SEARCH("Triples",$B717)),3,IF(ISNUMBER(SEARCH("Quads",$B717)),4,1))),2))*IF(IFERROR(VLOOKUP($B717,Dashboard!$Q$28:$S$60,3,FALSE),0)&gt;0,VLOOKUP($B717,Dashboard!$Q$28:$S$60,3,FALSE),1))),0))</f>
        <v>1</v>
      </c>
      <c r="K717" s="2" t="str">
        <f>IF('Base S2'!C17="","",'Base S2'!C17)</f>
        <v>h</v>
      </c>
      <c r="L717" s="2">
        <f t="shared" si="143"/>
        <v>1</v>
      </c>
      <c r="M717" s="2">
        <f t="shared" si="144"/>
        <v>0</v>
      </c>
      <c r="N717" s="2">
        <f t="shared" si="145"/>
        <v>1</v>
      </c>
      <c r="O717" s="2">
        <f t="shared" si="146"/>
        <v>0</v>
      </c>
      <c r="P717" s="112">
        <f t="shared" si="147"/>
        <v>1</v>
      </c>
      <c r="Q717" s="112">
        <f t="shared" si="148"/>
        <v>0</v>
      </c>
      <c r="R717" s="53"/>
      <c r="S717" s="53" t="str">
        <f t="shared" si="149"/>
        <v>Base S2|Base Set - Season 2|116|Base</v>
      </c>
      <c r="T717" s="57" t="str">
        <f>IF($S717="","",IFERROR(VLOOKUP($S717,'Pop Estimates (Non-#d)'!$N$2:$O$500,2,FALSE),""))</f>
        <v/>
      </c>
      <c r="U717" s="57" t="str">
        <f t="shared" si="150"/>
        <v/>
      </c>
      <c r="V717" s="53" t="str">
        <f t="shared" si="151"/>
        <v/>
      </c>
      <c r="W717" s="53" t="str">
        <f t="shared" si="152"/>
        <v/>
      </c>
      <c r="X717" s="53" t="str">
        <f t="shared" si="153"/>
        <v/>
      </c>
      <c r="Y717" s="57" t="str">
        <f>IF($X717="","",IFERROR(VLOOKUP($X717,'Char Popularity'!$A$2:$C$500,2,FALSE),""))</f>
        <v/>
      </c>
      <c r="Z717" s="56">
        <f>IF($X717="",1,IFERROR(VLOOKUP($X717,'Char Popularity'!$A$2:$C$500,3,FALSE),1))</f>
        <v>1</v>
      </c>
      <c r="AA717" s="62">
        <f>IF($H717&lt;&gt;"Y",0,(IF($F717&lt;&gt;"",ROUND(Dashboard!$R$4/$F717,1),IF(AND($I717="Base",$E717="Base"),Dashboard!$R$5,IF(AND($I717="Base",$E717="Red"),Dashboard!$R$6,IF(AND($I717="Base",$E717="Gold"),Dashboard!$R$7,VLOOKUP($I717,Dashboard!$Q$16:$R$21,2,FALSE)))))*VLOOKUP($I717,Dashboard!$Q$9:$R$13,2,FALSE)*IF(AND($I717="Auto",$F717="",OR($B717="Autographs Duals",$B717="Autographs Triples",$B717="Autographs Quads",$B717="Autographs Quads (Inscribed)")),IF($B717="Autographs Duals",2,IF($B717="Autographs Triples",3,4)),1)))</f>
        <v>1</v>
      </c>
      <c r="AB717" s="62">
        <f t="shared" si="154"/>
        <v>1</v>
      </c>
      <c r="AC717" s="62">
        <f t="shared" si="155"/>
        <v>0</v>
      </c>
    </row>
    <row r="718" spans="1:29" ht="28.7" customHeight="1" x14ac:dyDescent="0.25">
      <c r="A718" s="4" t="s">
        <v>19</v>
      </c>
      <c r="B718" s="7" t="s">
        <v>74</v>
      </c>
      <c r="C718" s="2" t="s">
        <v>1516</v>
      </c>
      <c r="D718" s="7" t="s">
        <v>695</v>
      </c>
      <c r="E718" s="4" t="s">
        <v>60</v>
      </c>
      <c r="F718" s="2"/>
      <c r="G718" s="2" t="s">
        <v>1399</v>
      </c>
      <c r="H718" s="2" t="s">
        <v>1400</v>
      </c>
      <c r="I718" s="4" t="s">
        <v>60</v>
      </c>
      <c r="J718" s="112">
        <f>IF($H718&lt;&gt;"Y",0,ROUND(MIN(Dashboard!$R$24,IF(IFERROR(VLOOKUP($B718,Dashboard!$Q$28:$S$60,2,FALSE),0)&gt;0,IFERROR(VLOOKUP($B718,Dashboard!$Q$28:$S$60,2,FALSE),0),$Z718*IF($U718&lt;&gt;"",ROUND((Dashboard!$R$4/$U718)*VLOOKUP($I718,Dashboard!$Q$9:$R$13,2,FALSE)*IF(ISNUMBER(SEARCH("Duals",$B718)),2,IF(ISNUMBER(SEARCH("Triples",$B718)),3,IF(ISNUMBER(SEARCH("Quads",$B718)),4,1))),2),ROUND(VLOOKUP($I718,Dashboard!$Q$15:$R$20,2,FALSE)*IF($E718="Red",Dashboard!$R$6,IF($E718="Gold",Dashboard!$R$7,Dashboard!$R$5))*IF(ISNUMBER(SEARCH("Duals",$B718)),2,IF(ISNUMBER(SEARCH("Triples",$B718)),3,IF(ISNUMBER(SEARCH("Quads",$B718)),4,1))),2))*IF(IFERROR(VLOOKUP($B718,Dashboard!$Q$28:$S$60,3,FALSE),0)&gt;0,VLOOKUP($B718,Dashboard!$Q$28:$S$60,3,FALSE),1))),0))</f>
        <v>1</v>
      </c>
      <c r="K718" s="2" t="str">
        <f>IF('Base S2'!C18="","",'Base S2'!C18)</f>
        <v>h</v>
      </c>
      <c r="L718" s="2">
        <f t="shared" si="143"/>
        <v>1</v>
      </c>
      <c r="M718" s="2">
        <f t="shared" si="144"/>
        <v>0</v>
      </c>
      <c r="N718" s="2">
        <f t="shared" si="145"/>
        <v>1</v>
      </c>
      <c r="O718" s="2">
        <f t="shared" si="146"/>
        <v>0</v>
      </c>
      <c r="P718" s="112">
        <f t="shared" si="147"/>
        <v>1</v>
      </c>
      <c r="Q718" s="112">
        <f t="shared" si="148"/>
        <v>0</v>
      </c>
      <c r="R718" s="53"/>
      <c r="S718" s="53" t="str">
        <f t="shared" si="149"/>
        <v>Base S2|Base Set - Season 2|117|Base</v>
      </c>
      <c r="T718" s="57" t="str">
        <f>IF($S718="","",IFERROR(VLOOKUP($S718,'Pop Estimates (Non-#d)'!$N$2:$O$500,2,FALSE),""))</f>
        <v/>
      </c>
      <c r="U718" s="57" t="str">
        <f t="shared" si="150"/>
        <v/>
      </c>
      <c r="V718" s="53" t="str">
        <f t="shared" si="151"/>
        <v/>
      </c>
      <c r="W718" s="53" t="str">
        <f t="shared" si="152"/>
        <v/>
      </c>
      <c r="X718" s="53" t="str">
        <f t="shared" si="153"/>
        <v/>
      </c>
      <c r="Y718" s="57" t="str">
        <f>IF($X718="","",IFERROR(VLOOKUP($X718,'Char Popularity'!$A$2:$C$500,2,FALSE),""))</f>
        <v/>
      </c>
      <c r="Z718" s="56">
        <f>IF($X718="",1,IFERROR(VLOOKUP($X718,'Char Popularity'!$A$2:$C$500,3,FALSE),1))</f>
        <v>1</v>
      </c>
      <c r="AA718" s="62">
        <f>IF($H718&lt;&gt;"Y",0,(IF($F718&lt;&gt;"",ROUND(Dashboard!$R$4/$F718,1),IF(AND($I718="Base",$E718="Base"),Dashboard!$R$5,IF(AND($I718="Base",$E718="Red"),Dashboard!$R$6,IF(AND($I718="Base",$E718="Gold"),Dashboard!$R$7,VLOOKUP($I718,Dashboard!$Q$16:$R$21,2,FALSE)))))*VLOOKUP($I718,Dashboard!$Q$9:$R$13,2,FALSE)*IF(AND($I718="Auto",$F718="",OR($B718="Autographs Duals",$B718="Autographs Triples",$B718="Autographs Quads",$B718="Autographs Quads (Inscribed)")),IF($B718="Autographs Duals",2,IF($B718="Autographs Triples",3,4)),1)))</f>
        <v>1</v>
      </c>
      <c r="AB718" s="62">
        <f t="shared" si="154"/>
        <v>1</v>
      </c>
      <c r="AC718" s="62">
        <f t="shared" si="155"/>
        <v>0</v>
      </c>
    </row>
    <row r="719" spans="1:29" ht="28.7" customHeight="1" x14ac:dyDescent="0.25">
      <c r="A719" s="4" t="s">
        <v>19</v>
      </c>
      <c r="B719" s="7" t="s">
        <v>74</v>
      </c>
      <c r="C719" s="2" t="s">
        <v>1517</v>
      </c>
      <c r="D719" s="7" t="s">
        <v>1072</v>
      </c>
      <c r="E719" s="4" t="s">
        <v>60</v>
      </c>
      <c r="F719" s="2"/>
      <c r="G719" s="2" t="s">
        <v>1399</v>
      </c>
      <c r="H719" s="2" t="s">
        <v>1400</v>
      </c>
      <c r="I719" s="4" t="s">
        <v>60</v>
      </c>
      <c r="J719" s="112">
        <f>IF($H719&lt;&gt;"Y",0,ROUND(MIN(Dashboard!$R$24,IF(IFERROR(VLOOKUP($B719,Dashboard!$Q$28:$S$60,2,FALSE),0)&gt;0,IFERROR(VLOOKUP($B719,Dashboard!$Q$28:$S$60,2,FALSE),0),$Z719*IF($U719&lt;&gt;"",ROUND((Dashboard!$R$4/$U719)*VLOOKUP($I719,Dashboard!$Q$9:$R$13,2,FALSE)*IF(ISNUMBER(SEARCH("Duals",$B719)),2,IF(ISNUMBER(SEARCH("Triples",$B719)),3,IF(ISNUMBER(SEARCH("Quads",$B719)),4,1))),2),ROUND(VLOOKUP($I719,Dashboard!$Q$15:$R$20,2,FALSE)*IF($E719="Red",Dashboard!$R$6,IF($E719="Gold",Dashboard!$R$7,Dashboard!$R$5))*IF(ISNUMBER(SEARCH("Duals",$B719)),2,IF(ISNUMBER(SEARCH("Triples",$B719)),3,IF(ISNUMBER(SEARCH("Quads",$B719)),4,1))),2))*IF(IFERROR(VLOOKUP($B719,Dashboard!$Q$28:$S$60,3,FALSE),0)&gt;0,VLOOKUP($B719,Dashboard!$Q$28:$S$60,3,FALSE),1))),0))</f>
        <v>1</v>
      </c>
      <c r="K719" s="2" t="str">
        <f>IF('Base S2'!C19="","",'Base S2'!C19)</f>
        <v>h</v>
      </c>
      <c r="L719" s="2">
        <f t="shared" si="143"/>
        <v>1</v>
      </c>
      <c r="M719" s="2">
        <f t="shared" si="144"/>
        <v>0</v>
      </c>
      <c r="N719" s="2">
        <f t="shared" si="145"/>
        <v>1</v>
      </c>
      <c r="O719" s="2">
        <f t="shared" si="146"/>
        <v>0</v>
      </c>
      <c r="P719" s="112">
        <f t="shared" si="147"/>
        <v>1</v>
      </c>
      <c r="Q719" s="112">
        <f t="shared" si="148"/>
        <v>0</v>
      </c>
      <c r="R719" s="53"/>
      <c r="S719" s="53" t="str">
        <f t="shared" si="149"/>
        <v>Base S2|Base Set - Season 2|118|Base</v>
      </c>
      <c r="T719" s="57" t="str">
        <f>IF($S719="","",IFERROR(VLOOKUP($S719,'Pop Estimates (Non-#d)'!$N$2:$O$500,2,FALSE),""))</f>
        <v/>
      </c>
      <c r="U719" s="57" t="str">
        <f t="shared" si="150"/>
        <v/>
      </c>
      <c r="V719" s="53" t="str">
        <f t="shared" si="151"/>
        <v/>
      </c>
      <c r="W719" s="53" t="str">
        <f t="shared" si="152"/>
        <v/>
      </c>
      <c r="X719" s="53" t="str">
        <f t="shared" si="153"/>
        <v/>
      </c>
      <c r="Y719" s="57" t="str">
        <f>IF($X719="","",IFERROR(VLOOKUP($X719,'Char Popularity'!$A$2:$C$500,2,FALSE),""))</f>
        <v/>
      </c>
      <c r="Z719" s="56">
        <f>IF($X719="",1,IFERROR(VLOOKUP($X719,'Char Popularity'!$A$2:$C$500,3,FALSE),1))</f>
        <v>1</v>
      </c>
      <c r="AA719" s="62">
        <f>IF($H719&lt;&gt;"Y",0,(IF($F719&lt;&gt;"",ROUND(Dashboard!$R$4/$F719,1),IF(AND($I719="Base",$E719="Base"),Dashboard!$R$5,IF(AND($I719="Base",$E719="Red"),Dashboard!$R$6,IF(AND($I719="Base",$E719="Gold"),Dashboard!$R$7,VLOOKUP($I719,Dashboard!$Q$16:$R$21,2,FALSE)))))*VLOOKUP($I719,Dashboard!$Q$9:$R$13,2,FALSE)*IF(AND($I719="Auto",$F719="",OR($B719="Autographs Duals",$B719="Autographs Triples",$B719="Autographs Quads",$B719="Autographs Quads (Inscribed)")),IF($B719="Autographs Duals",2,IF($B719="Autographs Triples",3,4)),1)))</f>
        <v>1</v>
      </c>
      <c r="AB719" s="62">
        <f t="shared" si="154"/>
        <v>1</v>
      </c>
      <c r="AC719" s="62">
        <f t="shared" si="155"/>
        <v>0</v>
      </c>
    </row>
    <row r="720" spans="1:29" ht="28.7" customHeight="1" x14ac:dyDescent="0.25">
      <c r="A720" s="4" t="s">
        <v>19</v>
      </c>
      <c r="B720" s="7" t="s">
        <v>74</v>
      </c>
      <c r="C720" s="2" t="s">
        <v>1518</v>
      </c>
      <c r="D720" s="7" t="s">
        <v>1073</v>
      </c>
      <c r="E720" s="4" t="s">
        <v>60</v>
      </c>
      <c r="F720" s="2"/>
      <c r="G720" s="2" t="s">
        <v>1399</v>
      </c>
      <c r="H720" s="2" t="s">
        <v>1400</v>
      </c>
      <c r="I720" s="4" t="s">
        <v>60</v>
      </c>
      <c r="J720" s="112">
        <f>IF($H720&lt;&gt;"Y",0,ROUND(MIN(Dashboard!$R$24,IF(IFERROR(VLOOKUP($B720,Dashboard!$Q$28:$S$60,2,FALSE),0)&gt;0,IFERROR(VLOOKUP($B720,Dashboard!$Q$28:$S$60,2,FALSE),0),$Z720*IF($U720&lt;&gt;"",ROUND((Dashboard!$R$4/$U720)*VLOOKUP($I720,Dashboard!$Q$9:$R$13,2,FALSE)*IF(ISNUMBER(SEARCH("Duals",$B720)),2,IF(ISNUMBER(SEARCH("Triples",$B720)),3,IF(ISNUMBER(SEARCH("Quads",$B720)),4,1))),2),ROUND(VLOOKUP($I720,Dashboard!$Q$15:$R$20,2,FALSE)*IF($E720="Red",Dashboard!$R$6,IF($E720="Gold",Dashboard!$R$7,Dashboard!$R$5))*IF(ISNUMBER(SEARCH("Duals",$B720)),2,IF(ISNUMBER(SEARCH("Triples",$B720)),3,IF(ISNUMBER(SEARCH("Quads",$B720)),4,1))),2))*IF(IFERROR(VLOOKUP($B720,Dashboard!$Q$28:$S$60,3,FALSE),0)&gt;0,VLOOKUP($B720,Dashboard!$Q$28:$S$60,3,FALSE),1))),0))</f>
        <v>1</v>
      </c>
      <c r="K720" s="2" t="str">
        <f>IF('Base S2'!C20="","",'Base S2'!C20)</f>
        <v>h</v>
      </c>
      <c r="L720" s="2">
        <f t="shared" si="143"/>
        <v>1</v>
      </c>
      <c r="M720" s="2">
        <f t="shared" si="144"/>
        <v>0</v>
      </c>
      <c r="N720" s="2">
        <f t="shared" si="145"/>
        <v>1</v>
      </c>
      <c r="O720" s="2">
        <f t="shared" si="146"/>
        <v>0</v>
      </c>
      <c r="P720" s="112">
        <f t="shared" si="147"/>
        <v>1</v>
      </c>
      <c r="Q720" s="112">
        <f t="shared" si="148"/>
        <v>0</v>
      </c>
      <c r="R720" s="53"/>
      <c r="S720" s="53" t="str">
        <f t="shared" si="149"/>
        <v>Base S2|Base Set - Season 2|119|Base</v>
      </c>
      <c r="T720" s="57" t="str">
        <f>IF($S720="","",IFERROR(VLOOKUP($S720,'Pop Estimates (Non-#d)'!$N$2:$O$500,2,FALSE),""))</f>
        <v/>
      </c>
      <c r="U720" s="57" t="str">
        <f t="shared" si="150"/>
        <v/>
      </c>
      <c r="V720" s="53" t="str">
        <f t="shared" si="151"/>
        <v/>
      </c>
      <c r="W720" s="53" t="str">
        <f t="shared" si="152"/>
        <v/>
      </c>
      <c r="X720" s="53" t="str">
        <f t="shared" si="153"/>
        <v/>
      </c>
      <c r="Y720" s="57" t="str">
        <f>IF($X720="","",IFERROR(VLOOKUP($X720,'Char Popularity'!$A$2:$C$500,2,FALSE),""))</f>
        <v/>
      </c>
      <c r="Z720" s="56">
        <f>IF($X720="",1,IFERROR(VLOOKUP($X720,'Char Popularity'!$A$2:$C$500,3,FALSE),1))</f>
        <v>1</v>
      </c>
      <c r="AA720" s="62">
        <f>IF($H720&lt;&gt;"Y",0,(IF($F720&lt;&gt;"",ROUND(Dashboard!$R$4/$F720,1),IF(AND($I720="Base",$E720="Base"),Dashboard!$R$5,IF(AND($I720="Base",$E720="Red"),Dashboard!$R$6,IF(AND($I720="Base",$E720="Gold"),Dashboard!$R$7,VLOOKUP($I720,Dashboard!$Q$16:$R$21,2,FALSE)))))*VLOOKUP($I720,Dashboard!$Q$9:$R$13,2,FALSE)*IF(AND($I720="Auto",$F720="",OR($B720="Autographs Duals",$B720="Autographs Triples",$B720="Autographs Quads",$B720="Autographs Quads (Inscribed)")),IF($B720="Autographs Duals",2,IF($B720="Autographs Triples",3,4)),1)))</f>
        <v>1</v>
      </c>
      <c r="AB720" s="62">
        <f t="shared" si="154"/>
        <v>1</v>
      </c>
      <c r="AC720" s="62">
        <f t="shared" si="155"/>
        <v>0</v>
      </c>
    </row>
    <row r="721" spans="1:29" ht="28.7" customHeight="1" x14ac:dyDescent="0.25">
      <c r="A721" s="4" t="s">
        <v>19</v>
      </c>
      <c r="B721" s="7" t="s">
        <v>74</v>
      </c>
      <c r="C721" s="2" t="s">
        <v>1519</v>
      </c>
      <c r="D721" s="7" t="s">
        <v>1075</v>
      </c>
      <c r="E721" s="4" t="s">
        <v>60</v>
      </c>
      <c r="F721" s="2"/>
      <c r="G721" s="2" t="s">
        <v>1399</v>
      </c>
      <c r="H721" s="2" t="s">
        <v>1400</v>
      </c>
      <c r="I721" s="4" t="s">
        <v>60</v>
      </c>
      <c r="J721" s="112">
        <f>IF($H721&lt;&gt;"Y",0,ROUND(MIN(Dashboard!$R$24,IF(IFERROR(VLOOKUP($B721,Dashboard!$Q$28:$S$60,2,FALSE),0)&gt;0,IFERROR(VLOOKUP($B721,Dashboard!$Q$28:$S$60,2,FALSE),0),$Z721*IF($U721&lt;&gt;"",ROUND((Dashboard!$R$4/$U721)*VLOOKUP($I721,Dashboard!$Q$9:$R$13,2,FALSE)*IF(ISNUMBER(SEARCH("Duals",$B721)),2,IF(ISNUMBER(SEARCH("Triples",$B721)),3,IF(ISNUMBER(SEARCH("Quads",$B721)),4,1))),2),ROUND(VLOOKUP($I721,Dashboard!$Q$15:$R$20,2,FALSE)*IF($E721="Red",Dashboard!$R$6,IF($E721="Gold",Dashboard!$R$7,Dashboard!$R$5))*IF(ISNUMBER(SEARCH("Duals",$B721)),2,IF(ISNUMBER(SEARCH("Triples",$B721)),3,IF(ISNUMBER(SEARCH("Quads",$B721)),4,1))),2))*IF(IFERROR(VLOOKUP($B721,Dashboard!$Q$28:$S$60,3,FALSE),0)&gt;0,VLOOKUP($B721,Dashboard!$Q$28:$S$60,3,FALSE),1))),0))</f>
        <v>1</v>
      </c>
      <c r="K721" s="2" t="str">
        <f>IF('Base S2'!C21="","",'Base S2'!C21)</f>
        <v>h</v>
      </c>
      <c r="L721" s="2">
        <f t="shared" si="143"/>
        <v>1</v>
      </c>
      <c r="M721" s="2">
        <f t="shared" si="144"/>
        <v>0</v>
      </c>
      <c r="N721" s="2">
        <f t="shared" si="145"/>
        <v>1</v>
      </c>
      <c r="O721" s="2">
        <f t="shared" si="146"/>
        <v>0</v>
      </c>
      <c r="P721" s="112">
        <f t="shared" si="147"/>
        <v>1</v>
      </c>
      <c r="Q721" s="112">
        <f t="shared" si="148"/>
        <v>0</v>
      </c>
      <c r="R721" s="53"/>
      <c r="S721" s="53" t="str">
        <f t="shared" si="149"/>
        <v>Base S2|Base Set - Season 2|120|Base</v>
      </c>
      <c r="T721" s="57" t="str">
        <f>IF($S721="","",IFERROR(VLOOKUP($S721,'Pop Estimates (Non-#d)'!$N$2:$O$500,2,FALSE),""))</f>
        <v/>
      </c>
      <c r="U721" s="57" t="str">
        <f t="shared" si="150"/>
        <v/>
      </c>
      <c r="V721" s="53" t="str">
        <f t="shared" si="151"/>
        <v/>
      </c>
      <c r="W721" s="53" t="str">
        <f t="shared" si="152"/>
        <v/>
      </c>
      <c r="X721" s="53" t="str">
        <f t="shared" si="153"/>
        <v/>
      </c>
      <c r="Y721" s="57" t="str">
        <f>IF($X721="","",IFERROR(VLOOKUP($X721,'Char Popularity'!$A$2:$C$500,2,FALSE),""))</f>
        <v/>
      </c>
      <c r="Z721" s="56">
        <f>IF($X721="",1,IFERROR(VLOOKUP($X721,'Char Popularity'!$A$2:$C$500,3,FALSE),1))</f>
        <v>1</v>
      </c>
      <c r="AA721" s="62">
        <f>IF($H721&lt;&gt;"Y",0,(IF($F721&lt;&gt;"",ROUND(Dashboard!$R$4/$F721,1),IF(AND($I721="Base",$E721="Base"),Dashboard!$R$5,IF(AND($I721="Base",$E721="Red"),Dashboard!$R$6,IF(AND($I721="Base",$E721="Gold"),Dashboard!$R$7,VLOOKUP($I721,Dashboard!$Q$16:$R$21,2,FALSE)))))*VLOOKUP($I721,Dashboard!$Q$9:$R$13,2,FALSE)*IF(AND($I721="Auto",$F721="",OR($B721="Autographs Duals",$B721="Autographs Triples",$B721="Autographs Quads",$B721="Autographs Quads (Inscribed)")),IF($B721="Autographs Duals",2,IF($B721="Autographs Triples",3,4)),1)))</f>
        <v>1</v>
      </c>
      <c r="AB721" s="62">
        <f t="shared" si="154"/>
        <v>1</v>
      </c>
      <c r="AC721" s="62">
        <f t="shared" si="155"/>
        <v>0</v>
      </c>
    </row>
    <row r="722" spans="1:29" ht="28.7" customHeight="1" x14ac:dyDescent="0.25">
      <c r="A722" s="4" t="s">
        <v>19</v>
      </c>
      <c r="B722" s="7" t="s">
        <v>74</v>
      </c>
      <c r="C722" s="2" t="s">
        <v>1520</v>
      </c>
      <c r="D722" s="7" t="s">
        <v>1077</v>
      </c>
      <c r="E722" s="4" t="s">
        <v>60</v>
      </c>
      <c r="F722" s="2"/>
      <c r="G722" s="2" t="s">
        <v>1399</v>
      </c>
      <c r="H722" s="2" t="s">
        <v>1400</v>
      </c>
      <c r="I722" s="4" t="s">
        <v>60</v>
      </c>
      <c r="J722" s="112">
        <f>IF($H722&lt;&gt;"Y",0,ROUND(MIN(Dashboard!$R$24,IF(IFERROR(VLOOKUP($B722,Dashboard!$Q$28:$S$60,2,FALSE),0)&gt;0,IFERROR(VLOOKUP($B722,Dashboard!$Q$28:$S$60,2,FALSE),0),$Z722*IF($U722&lt;&gt;"",ROUND((Dashboard!$R$4/$U722)*VLOOKUP($I722,Dashboard!$Q$9:$R$13,2,FALSE)*IF(ISNUMBER(SEARCH("Duals",$B722)),2,IF(ISNUMBER(SEARCH("Triples",$B722)),3,IF(ISNUMBER(SEARCH("Quads",$B722)),4,1))),2),ROUND(VLOOKUP($I722,Dashboard!$Q$15:$R$20,2,FALSE)*IF($E722="Red",Dashboard!$R$6,IF($E722="Gold",Dashboard!$R$7,Dashboard!$R$5))*IF(ISNUMBER(SEARCH("Duals",$B722)),2,IF(ISNUMBER(SEARCH("Triples",$B722)),3,IF(ISNUMBER(SEARCH("Quads",$B722)),4,1))),2))*IF(IFERROR(VLOOKUP($B722,Dashboard!$Q$28:$S$60,3,FALSE),0)&gt;0,VLOOKUP($B722,Dashboard!$Q$28:$S$60,3,FALSE),1))),0))</f>
        <v>1</v>
      </c>
      <c r="K722" s="2" t="str">
        <f>IF('Base S2'!C22="","",'Base S2'!C22)</f>
        <v>h</v>
      </c>
      <c r="L722" s="2">
        <f t="shared" si="143"/>
        <v>1</v>
      </c>
      <c r="M722" s="2">
        <f t="shared" si="144"/>
        <v>0</v>
      </c>
      <c r="N722" s="2">
        <f t="shared" si="145"/>
        <v>1</v>
      </c>
      <c r="O722" s="2">
        <f t="shared" si="146"/>
        <v>0</v>
      </c>
      <c r="P722" s="112">
        <f t="shared" si="147"/>
        <v>1</v>
      </c>
      <c r="Q722" s="112">
        <f t="shared" si="148"/>
        <v>0</v>
      </c>
      <c r="R722" s="53"/>
      <c r="S722" s="53" t="str">
        <f t="shared" si="149"/>
        <v>Base S2|Base Set - Season 2|121|Base</v>
      </c>
      <c r="T722" s="57" t="str">
        <f>IF($S722="","",IFERROR(VLOOKUP($S722,'Pop Estimates (Non-#d)'!$N$2:$O$500,2,FALSE),""))</f>
        <v/>
      </c>
      <c r="U722" s="57" t="str">
        <f t="shared" si="150"/>
        <v/>
      </c>
      <c r="V722" s="53" t="str">
        <f t="shared" si="151"/>
        <v/>
      </c>
      <c r="W722" s="53" t="str">
        <f t="shared" si="152"/>
        <v/>
      </c>
      <c r="X722" s="53" t="str">
        <f t="shared" si="153"/>
        <v/>
      </c>
      <c r="Y722" s="57" t="str">
        <f>IF($X722="","",IFERROR(VLOOKUP($X722,'Char Popularity'!$A$2:$C$500,2,FALSE),""))</f>
        <v/>
      </c>
      <c r="Z722" s="56">
        <f>IF($X722="",1,IFERROR(VLOOKUP($X722,'Char Popularity'!$A$2:$C$500,3,FALSE),1))</f>
        <v>1</v>
      </c>
      <c r="AA722" s="62">
        <f>IF($H722&lt;&gt;"Y",0,(IF($F722&lt;&gt;"",ROUND(Dashboard!$R$4/$F722,1),IF(AND($I722="Base",$E722="Base"),Dashboard!$R$5,IF(AND($I722="Base",$E722="Red"),Dashboard!$R$6,IF(AND($I722="Base",$E722="Gold"),Dashboard!$R$7,VLOOKUP($I722,Dashboard!$Q$16:$R$21,2,FALSE)))))*VLOOKUP($I722,Dashboard!$Q$9:$R$13,2,FALSE)*IF(AND($I722="Auto",$F722="",OR($B722="Autographs Duals",$B722="Autographs Triples",$B722="Autographs Quads",$B722="Autographs Quads (Inscribed)")),IF($B722="Autographs Duals",2,IF($B722="Autographs Triples",3,4)),1)))</f>
        <v>1</v>
      </c>
      <c r="AB722" s="62">
        <f t="shared" si="154"/>
        <v>1</v>
      </c>
      <c r="AC722" s="62">
        <f t="shared" si="155"/>
        <v>0</v>
      </c>
    </row>
    <row r="723" spans="1:29" ht="28.7" customHeight="1" x14ac:dyDescent="0.25">
      <c r="A723" s="4" t="s">
        <v>19</v>
      </c>
      <c r="B723" s="7" t="s">
        <v>74</v>
      </c>
      <c r="C723" s="2" t="s">
        <v>1521</v>
      </c>
      <c r="D723" s="7" t="s">
        <v>1079</v>
      </c>
      <c r="E723" s="4" t="s">
        <v>60</v>
      </c>
      <c r="F723" s="2"/>
      <c r="G723" s="2" t="s">
        <v>1399</v>
      </c>
      <c r="H723" s="2" t="s">
        <v>1400</v>
      </c>
      <c r="I723" s="4" t="s">
        <v>60</v>
      </c>
      <c r="J723" s="112">
        <f>IF($H723&lt;&gt;"Y",0,ROUND(MIN(Dashboard!$R$24,IF(IFERROR(VLOOKUP($B723,Dashboard!$Q$28:$S$60,2,FALSE),0)&gt;0,IFERROR(VLOOKUP($B723,Dashboard!$Q$28:$S$60,2,FALSE),0),$Z723*IF($U723&lt;&gt;"",ROUND((Dashboard!$R$4/$U723)*VLOOKUP($I723,Dashboard!$Q$9:$R$13,2,FALSE)*IF(ISNUMBER(SEARCH("Duals",$B723)),2,IF(ISNUMBER(SEARCH("Triples",$B723)),3,IF(ISNUMBER(SEARCH("Quads",$B723)),4,1))),2),ROUND(VLOOKUP($I723,Dashboard!$Q$15:$R$20,2,FALSE)*IF($E723="Red",Dashboard!$R$6,IF($E723="Gold",Dashboard!$R$7,Dashboard!$R$5))*IF(ISNUMBER(SEARCH("Duals",$B723)),2,IF(ISNUMBER(SEARCH("Triples",$B723)),3,IF(ISNUMBER(SEARCH("Quads",$B723)),4,1))),2))*IF(IFERROR(VLOOKUP($B723,Dashboard!$Q$28:$S$60,3,FALSE),0)&gt;0,VLOOKUP($B723,Dashboard!$Q$28:$S$60,3,FALSE),1))),0))</f>
        <v>1</v>
      </c>
      <c r="K723" s="2" t="str">
        <f>IF('Base S2'!C23="","",'Base S2'!C23)</f>
        <v>h</v>
      </c>
      <c r="L723" s="2">
        <f t="shared" si="143"/>
        <v>1</v>
      </c>
      <c r="M723" s="2">
        <f t="shared" si="144"/>
        <v>0</v>
      </c>
      <c r="N723" s="2">
        <f t="shared" si="145"/>
        <v>1</v>
      </c>
      <c r="O723" s="2">
        <f t="shared" si="146"/>
        <v>0</v>
      </c>
      <c r="P723" s="112">
        <f t="shared" si="147"/>
        <v>1</v>
      </c>
      <c r="Q723" s="112">
        <f t="shared" si="148"/>
        <v>0</v>
      </c>
      <c r="R723" s="53"/>
      <c r="S723" s="53" t="str">
        <f t="shared" si="149"/>
        <v>Base S2|Base Set - Season 2|122|Base</v>
      </c>
      <c r="T723" s="57" t="str">
        <f>IF($S723="","",IFERROR(VLOOKUP($S723,'Pop Estimates (Non-#d)'!$N$2:$O$500,2,FALSE),""))</f>
        <v/>
      </c>
      <c r="U723" s="57" t="str">
        <f t="shared" si="150"/>
        <v/>
      </c>
      <c r="V723" s="53" t="str">
        <f t="shared" si="151"/>
        <v/>
      </c>
      <c r="W723" s="53" t="str">
        <f t="shared" si="152"/>
        <v/>
      </c>
      <c r="X723" s="53" t="str">
        <f t="shared" si="153"/>
        <v/>
      </c>
      <c r="Y723" s="57" t="str">
        <f>IF($X723="","",IFERROR(VLOOKUP($X723,'Char Popularity'!$A$2:$C$500,2,FALSE),""))</f>
        <v/>
      </c>
      <c r="Z723" s="56">
        <f>IF($X723="",1,IFERROR(VLOOKUP($X723,'Char Popularity'!$A$2:$C$500,3,FALSE),1))</f>
        <v>1</v>
      </c>
      <c r="AA723" s="62">
        <f>IF($H723&lt;&gt;"Y",0,(IF($F723&lt;&gt;"",ROUND(Dashboard!$R$4/$F723,1),IF(AND($I723="Base",$E723="Base"),Dashboard!$R$5,IF(AND($I723="Base",$E723="Red"),Dashboard!$R$6,IF(AND($I723="Base",$E723="Gold"),Dashboard!$R$7,VLOOKUP($I723,Dashboard!$Q$16:$R$21,2,FALSE)))))*VLOOKUP($I723,Dashboard!$Q$9:$R$13,2,FALSE)*IF(AND($I723="Auto",$F723="",OR($B723="Autographs Duals",$B723="Autographs Triples",$B723="Autographs Quads",$B723="Autographs Quads (Inscribed)")),IF($B723="Autographs Duals",2,IF($B723="Autographs Triples",3,4)),1)))</f>
        <v>1</v>
      </c>
      <c r="AB723" s="62">
        <f t="shared" si="154"/>
        <v>1</v>
      </c>
      <c r="AC723" s="62">
        <f t="shared" si="155"/>
        <v>0</v>
      </c>
    </row>
    <row r="724" spans="1:29" ht="28.7" customHeight="1" x14ac:dyDescent="0.25">
      <c r="A724" s="4" t="s">
        <v>19</v>
      </c>
      <c r="B724" s="7" t="s">
        <v>74</v>
      </c>
      <c r="C724" s="2" t="s">
        <v>1522</v>
      </c>
      <c r="D724" s="7" t="s">
        <v>1080</v>
      </c>
      <c r="E724" s="4" t="s">
        <v>60</v>
      </c>
      <c r="F724" s="2"/>
      <c r="G724" s="2" t="s">
        <v>1399</v>
      </c>
      <c r="H724" s="2" t="s">
        <v>1400</v>
      </c>
      <c r="I724" s="4" t="s">
        <v>60</v>
      </c>
      <c r="J724" s="112">
        <f>IF($H724&lt;&gt;"Y",0,ROUND(MIN(Dashboard!$R$24,IF(IFERROR(VLOOKUP($B724,Dashboard!$Q$28:$S$60,2,FALSE),0)&gt;0,IFERROR(VLOOKUP($B724,Dashboard!$Q$28:$S$60,2,FALSE),0),$Z724*IF($U724&lt;&gt;"",ROUND((Dashboard!$R$4/$U724)*VLOOKUP($I724,Dashboard!$Q$9:$R$13,2,FALSE)*IF(ISNUMBER(SEARCH("Duals",$B724)),2,IF(ISNUMBER(SEARCH("Triples",$B724)),3,IF(ISNUMBER(SEARCH("Quads",$B724)),4,1))),2),ROUND(VLOOKUP($I724,Dashboard!$Q$15:$R$20,2,FALSE)*IF($E724="Red",Dashboard!$R$6,IF($E724="Gold",Dashboard!$R$7,Dashboard!$R$5))*IF(ISNUMBER(SEARCH("Duals",$B724)),2,IF(ISNUMBER(SEARCH("Triples",$B724)),3,IF(ISNUMBER(SEARCH("Quads",$B724)),4,1))),2))*IF(IFERROR(VLOOKUP($B724,Dashboard!$Q$28:$S$60,3,FALSE),0)&gt;0,VLOOKUP($B724,Dashboard!$Q$28:$S$60,3,FALSE),1))),0))</f>
        <v>1</v>
      </c>
      <c r="K724" s="2" t="str">
        <f>IF('Base S2'!C24="","",'Base S2'!C24)</f>
        <v>h</v>
      </c>
      <c r="L724" s="2">
        <f t="shared" si="143"/>
        <v>1</v>
      </c>
      <c r="M724" s="2">
        <f t="shared" si="144"/>
        <v>0</v>
      </c>
      <c r="N724" s="2">
        <f t="shared" si="145"/>
        <v>1</v>
      </c>
      <c r="O724" s="2">
        <f t="shared" si="146"/>
        <v>0</v>
      </c>
      <c r="P724" s="112">
        <f t="shared" si="147"/>
        <v>1</v>
      </c>
      <c r="Q724" s="112">
        <f t="shared" si="148"/>
        <v>0</v>
      </c>
      <c r="R724" s="53"/>
      <c r="S724" s="53" t="str">
        <f t="shared" si="149"/>
        <v>Base S2|Base Set - Season 2|123|Base</v>
      </c>
      <c r="T724" s="57" t="str">
        <f>IF($S724="","",IFERROR(VLOOKUP($S724,'Pop Estimates (Non-#d)'!$N$2:$O$500,2,FALSE),""))</f>
        <v/>
      </c>
      <c r="U724" s="57" t="str">
        <f t="shared" si="150"/>
        <v/>
      </c>
      <c r="V724" s="53" t="str">
        <f t="shared" si="151"/>
        <v/>
      </c>
      <c r="W724" s="53" t="str">
        <f t="shared" si="152"/>
        <v/>
      </c>
      <c r="X724" s="53" t="str">
        <f t="shared" si="153"/>
        <v/>
      </c>
      <c r="Y724" s="57" t="str">
        <f>IF($X724="","",IFERROR(VLOOKUP($X724,'Char Popularity'!$A$2:$C$500,2,FALSE),""))</f>
        <v/>
      </c>
      <c r="Z724" s="56">
        <f>IF($X724="",1,IFERROR(VLOOKUP($X724,'Char Popularity'!$A$2:$C$500,3,FALSE),1))</f>
        <v>1</v>
      </c>
      <c r="AA724" s="62">
        <f>IF($H724&lt;&gt;"Y",0,(IF($F724&lt;&gt;"",ROUND(Dashboard!$R$4/$F724,1),IF(AND($I724="Base",$E724="Base"),Dashboard!$R$5,IF(AND($I724="Base",$E724="Red"),Dashboard!$R$6,IF(AND($I724="Base",$E724="Gold"),Dashboard!$R$7,VLOOKUP($I724,Dashboard!$Q$16:$R$21,2,FALSE)))))*VLOOKUP($I724,Dashboard!$Q$9:$R$13,2,FALSE)*IF(AND($I724="Auto",$F724="",OR($B724="Autographs Duals",$B724="Autographs Triples",$B724="Autographs Quads",$B724="Autographs Quads (Inscribed)")),IF($B724="Autographs Duals",2,IF($B724="Autographs Triples",3,4)),1)))</f>
        <v>1</v>
      </c>
      <c r="AB724" s="62">
        <f t="shared" si="154"/>
        <v>1</v>
      </c>
      <c r="AC724" s="62">
        <f t="shared" si="155"/>
        <v>0</v>
      </c>
    </row>
    <row r="725" spans="1:29" ht="28.7" customHeight="1" x14ac:dyDescent="0.25">
      <c r="A725" s="4" t="s">
        <v>19</v>
      </c>
      <c r="B725" s="7" t="s">
        <v>74</v>
      </c>
      <c r="C725" s="2" t="s">
        <v>1523</v>
      </c>
      <c r="D725" s="7" t="s">
        <v>1081</v>
      </c>
      <c r="E725" s="4" t="s">
        <v>60</v>
      </c>
      <c r="F725" s="2"/>
      <c r="G725" s="2" t="s">
        <v>1399</v>
      </c>
      <c r="H725" s="2" t="s">
        <v>1400</v>
      </c>
      <c r="I725" s="4" t="s">
        <v>60</v>
      </c>
      <c r="J725" s="112">
        <f>IF($H725&lt;&gt;"Y",0,ROUND(MIN(Dashboard!$R$24,IF(IFERROR(VLOOKUP($B725,Dashboard!$Q$28:$S$60,2,FALSE),0)&gt;0,IFERROR(VLOOKUP($B725,Dashboard!$Q$28:$S$60,2,FALSE),0),$Z725*IF($U725&lt;&gt;"",ROUND((Dashboard!$R$4/$U725)*VLOOKUP($I725,Dashboard!$Q$9:$R$13,2,FALSE)*IF(ISNUMBER(SEARCH("Duals",$B725)),2,IF(ISNUMBER(SEARCH("Triples",$B725)),3,IF(ISNUMBER(SEARCH("Quads",$B725)),4,1))),2),ROUND(VLOOKUP($I725,Dashboard!$Q$15:$R$20,2,FALSE)*IF($E725="Red",Dashboard!$R$6,IF($E725="Gold",Dashboard!$R$7,Dashboard!$R$5))*IF(ISNUMBER(SEARCH("Duals",$B725)),2,IF(ISNUMBER(SEARCH("Triples",$B725)),3,IF(ISNUMBER(SEARCH("Quads",$B725)),4,1))),2))*IF(IFERROR(VLOOKUP($B725,Dashboard!$Q$28:$S$60,3,FALSE),0)&gt;0,VLOOKUP($B725,Dashboard!$Q$28:$S$60,3,FALSE),1))),0))</f>
        <v>1</v>
      </c>
      <c r="K725" s="2" t="str">
        <f>IF('Base S2'!C25="","",'Base S2'!C25)</f>
        <v>h</v>
      </c>
      <c r="L725" s="2">
        <f t="shared" si="143"/>
        <v>1</v>
      </c>
      <c r="M725" s="2">
        <f t="shared" si="144"/>
        <v>0</v>
      </c>
      <c r="N725" s="2">
        <f t="shared" si="145"/>
        <v>1</v>
      </c>
      <c r="O725" s="2">
        <f t="shared" si="146"/>
        <v>0</v>
      </c>
      <c r="P725" s="112">
        <f t="shared" si="147"/>
        <v>1</v>
      </c>
      <c r="Q725" s="112">
        <f t="shared" si="148"/>
        <v>0</v>
      </c>
      <c r="R725" s="53"/>
      <c r="S725" s="53" t="str">
        <f t="shared" si="149"/>
        <v>Base S2|Base Set - Season 2|124|Base</v>
      </c>
      <c r="T725" s="57" t="str">
        <f>IF($S725="","",IFERROR(VLOOKUP($S725,'Pop Estimates (Non-#d)'!$N$2:$O$500,2,FALSE),""))</f>
        <v/>
      </c>
      <c r="U725" s="57" t="str">
        <f t="shared" si="150"/>
        <v/>
      </c>
      <c r="V725" s="53" t="str">
        <f t="shared" si="151"/>
        <v/>
      </c>
      <c r="W725" s="53" t="str">
        <f t="shared" si="152"/>
        <v/>
      </c>
      <c r="X725" s="53" t="str">
        <f t="shared" si="153"/>
        <v/>
      </c>
      <c r="Y725" s="57" t="str">
        <f>IF($X725="","",IFERROR(VLOOKUP($X725,'Char Popularity'!$A$2:$C$500,2,FALSE),""))</f>
        <v/>
      </c>
      <c r="Z725" s="56">
        <f>IF($X725="",1,IFERROR(VLOOKUP($X725,'Char Popularity'!$A$2:$C$500,3,FALSE),1))</f>
        <v>1</v>
      </c>
      <c r="AA725" s="62">
        <f>IF($H725&lt;&gt;"Y",0,(IF($F725&lt;&gt;"",ROUND(Dashboard!$R$4/$F725,1),IF(AND($I725="Base",$E725="Base"),Dashboard!$R$5,IF(AND($I725="Base",$E725="Red"),Dashboard!$R$6,IF(AND($I725="Base",$E725="Gold"),Dashboard!$R$7,VLOOKUP($I725,Dashboard!$Q$16:$R$21,2,FALSE)))))*VLOOKUP($I725,Dashboard!$Q$9:$R$13,2,FALSE)*IF(AND($I725="Auto",$F725="",OR($B725="Autographs Duals",$B725="Autographs Triples",$B725="Autographs Quads",$B725="Autographs Quads (Inscribed)")),IF($B725="Autographs Duals",2,IF($B725="Autographs Triples",3,4)),1)))</f>
        <v>1</v>
      </c>
      <c r="AB725" s="62">
        <f t="shared" si="154"/>
        <v>1</v>
      </c>
      <c r="AC725" s="62">
        <f t="shared" si="155"/>
        <v>0</v>
      </c>
    </row>
    <row r="726" spans="1:29" ht="28.7" customHeight="1" x14ac:dyDescent="0.25">
      <c r="A726" s="4" t="s">
        <v>19</v>
      </c>
      <c r="B726" s="7" t="s">
        <v>74</v>
      </c>
      <c r="C726" s="2" t="s">
        <v>1524</v>
      </c>
      <c r="D726" s="7" t="s">
        <v>1082</v>
      </c>
      <c r="E726" s="4" t="s">
        <v>60</v>
      </c>
      <c r="F726" s="2"/>
      <c r="G726" s="2" t="s">
        <v>1399</v>
      </c>
      <c r="H726" s="2" t="s">
        <v>1400</v>
      </c>
      <c r="I726" s="4" t="s">
        <v>60</v>
      </c>
      <c r="J726" s="112">
        <f>IF($H726&lt;&gt;"Y",0,ROUND(MIN(Dashboard!$R$24,IF(IFERROR(VLOOKUP($B726,Dashboard!$Q$28:$S$60,2,FALSE),0)&gt;0,IFERROR(VLOOKUP($B726,Dashboard!$Q$28:$S$60,2,FALSE),0),$Z726*IF($U726&lt;&gt;"",ROUND((Dashboard!$R$4/$U726)*VLOOKUP($I726,Dashboard!$Q$9:$R$13,2,FALSE)*IF(ISNUMBER(SEARCH("Duals",$B726)),2,IF(ISNUMBER(SEARCH("Triples",$B726)),3,IF(ISNUMBER(SEARCH("Quads",$B726)),4,1))),2),ROUND(VLOOKUP($I726,Dashboard!$Q$15:$R$20,2,FALSE)*IF($E726="Red",Dashboard!$R$6,IF($E726="Gold",Dashboard!$R$7,Dashboard!$R$5))*IF(ISNUMBER(SEARCH("Duals",$B726)),2,IF(ISNUMBER(SEARCH("Triples",$B726)),3,IF(ISNUMBER(SEARCH("Quads",$B726)),4,1))),2))*IF(IFERROR(VLOOKUP($B726,Dashboard!$Q$28:$S$60,3,FALSE),0)&gt;0,VLOOKUP($B726,Dashboard!$Q$28:$S$60,3,FALSE),1))),0))</f>
        <v>1</v>
      </c>
      <c r="K726" s="2" t="str">
        <f>IF('Base S2'!C26="","",'Base S2'!C26)</f>
        <v>h</v>
      </c>
      <c r="L726" s="2">
        <f t="shared" si="143"/>
        <v>1</v>
      </c>
      <c r="M726" s="2">
        <f t="shared" si="144"/>
        <v>0</v>
      </c>
      <c r="N726" s="2">
        <f t="shared" si="145"/>
        <v>1</v>
      </c>
      <c r="O726" s="2">
        <f t="shared" si="146"/>
        <v>0</v>
      </c>
      <c r="P726" s="112">
        <f t="shared" si="147"/>
        <v>1</v>
      </c>
      <c r="Q726" s="112">
        <f t="shared" si="148"/>
        <v>0</v>
      </c>
      <c r="R726" s="53"/>
      <c r="S726" s="53" t="str">
        <f t="shared" si="149"/>
        <v>Base S2|Base Set - Season 2|125|Base</v>
      </c>
      <c r="T726" s="57" t="str">
        <f>IF($S726="","",IFERROR(VLOOKUP($S726,'Pop Estimates (Non-#d)'!$N$2:$O$500,2,FALSE),""))</f>
        <v/>
      </c>
      <c r="U726" s="57" t="str">
        <f t="shared" si="150"/>
        <v/>
      </c>
      <c r="V726" s="53" t="str">
        <f t="shared" si="151"/>
        <v/>
      </c>
      <c r="W726" s="53" t="str">
        <f t="shared" si="152"/>
        <v/>
      </c>
      <c r="X726" s="53" t="str">
        <f t="shared" si="153"/>
        <v/>
      </c>
      <c r="Y726" s="57" t="str">
        <f>IF($X726="","",IFERROR(VLOOKUP($X726,'Char Popularity'!$A$2:$C$500,2,FALSE),""))</f>
        <v/>
      </c>
      <c r="Z726" s="56">
        <f>IF($X726="",1,IFERROR(VLOOKUP($X726,'Char Popularity'!$A$2:$C$500,3,FALSE),1))</f>
        <v>1</v>
      </c>
      <c r="AA726" s="62">
        <f>IF($H726&lt;&gt;"Y",0,(IF($F726&lt;&gt;"",ROUND(Dashboard!$R$4/$F726,1),IF(AND($I726="Base",$E726="Base"),Dashboard!$R$5,IF(AND($I726="Base",$E726="Red"),Dashboard!$R$6,IF(AND($I726="Base",$E726="Gold"),Dashboard!$R$7,VLOOKUP($I726,Dashboard!$Q$16:$R$21,2,FALSE)))))*VLOOKUP($I726,Dashboard!$Q$9:$R$13,2,FALSE)*IF(AND($I726="Auto",$F726="",OR($B726="Autographs Duals",$B726="Autographs Triples",$B726="Autographs Quads",$B726="Autographs Quads (Inscribed)")),IF($B726="Autographs Duals",2,IF($B726="Autographs Triples",3,4)),1)))</f>
        <v>1</v>
      </c>
      <c r="AB726" s="62">
        <f t="shared" si="154"/>
        <v>1</v>
      </c>
      <c r="AC726" s="62">
        <f t="shared" si="155"/>
        <v>0</v>
      </c>
    </row>
    <row r="727" spans="1:29" ht="28.7" customHeight="1" x14ac:dyDescent="0.25">
      <c r="A727" s="4" t="s">
        <v>19</v>
      </c>
      <c r="B727" s="7" t="s">
        <v>74</v>
      </c>
      <c r="C727" s="2" t="s">
        <v>1525</v>
      </c>
      <c r="D727" s="7" t="s">
        <v>1083</v>
      </c>
      <c r="E727" s="4" t="s">
        <v>60</v>
      </c>
      <c r="F727" s="2"/>
      <c r="G727" s="2" t="s">
        <v>1399</v>
      </c>
      <c r="H727" s="2" t="s">
        <v>1400</v>
      </c>
      <c r="I727" s="4" t="s">
        <v>60</v>
      </c>
      <c r="J727" s="112">
        <f>IF($H727&lt;&gt;"Y",0,ROUND(MIN(Dashboard!$R$24,IF(IFERROR(VLOOKUP($B727,Dashboard!$Q$28:$S$60,2,FALSE),0)&gt;0,IFERROR(VLOOKUP($B727,Dashboard!$Q$28:$S$60,2,FALSE),0),$Z727*IF($U727&lt;&gt;"",ROUND((Dashboard!$R$4/$U727)*VLOOKUP($I727,Dashboard!$Q$9:$R$13,2,FALSE)*IF(ISNUMBER(SEARCH("Duals",$B727)),2,IF(ISNUMBER(SEARCH("Triples",$B727)),3,IF(ISNUMBER(SEARCH("Quads",$B727)),4,1))),2),ROUND(VLOOKUP($I727,Dashboard!$Q$15:$R$20,2,FALSE)*IF($E727="Red",Dashboard!$R$6,IF($E727="Gold",Dashboard!$R$7,Dashboard!$R$5))*IF(ISNUMBER(SEARCH("Duals",$B727)),2,IF(ISNUMBER(SEARCH("Triples",$B727)),3,IF(ISNUMBER(SEARCH("Quads",$B727)),4,1))),2))*IF(IFERROR(VLOOKUP($B727,Dashboard!$Q$28:$S$60,3,FALSE),0)&gt;0,VLOOKUP($B727,Dashboard!$Q$28:$S$60,3,FALSE),1))),0))</f>
        <v>1</v>
      </c>
      <c r="K727" s="2" t="str">
        <f>IF('Base S2'!C27="","",'Base S2'!C27)</f>
        <v>h</v>
      </c>
      <c r="L727" s="2">
        <f t="shared" si="143"/>
        <v>1</v>
      </c>
      <c r="M727" s="2">
        <f t="shared" si="144"/>
        <v>0</v>
      </c>
      <c r="N727" s="2">
        <f t="shared" si="145"/>
        <v>1</v>
      </c>
      <c r="O727" s="2">
        <f t="shared" si="146"/>
        <v>0</v>
      </c>
      <c r="P727" s="112">
        <f t="shared" si="147"/>
        <v>1</v>
      </c>
      <c r="Q727" s="112">
        <f t="shared" si="148"/>
        <v>0</v>
      </c>
      <c r="R727" s="53"/>
      <c r="S727" s="53" t="str">
        <f t="shared" si="149"/>
        <v>Base S2|Base Set - Season 2|126|Base</v>
      </c>
      <c r="T727" s="57" t="str">
        <f>IF($S727="","",IFERROR(VLOOKUP($S727,'Pop Estimates (Non-#d)'!$N$2:$O$500,2,FALSE),""))</f>
        <v/>
      </c>
      <c r="U727" s="57" t="str">
        <f t="shared" si="150"/>
        <v/>
      </c>
      <c r="V727" s="53" t="str">
        <f t="shared" si="151"/>
        <v/>
      </c>
      <c r="W727" s="53" t="str">
        <f t="shared" si="152"/>
        <v/>
      </c>
      <c r="X727" s="53" t="str">
        <f t="shared" si="153"/>
        <v/>
      </c>
      <c r="Y727" s="57" t="str">
        <f>IF($X727="","",IFERROR(VLOOKUP($X727,'Char Popularity'!$A$2:$C$500,2,FALSE),""))</f>
        <v/>
      </c>
      <c r="Z727" s="56">
        <f>IF($X727="",1,IFERROR(VLOOKUP($X727,'Char Popularity'!$A$2:$C$500,3,FALSE),1))</f>
        <v>1</v>
      </c>
      <c r="AA727" s="62">
        <f>IF($H727&lt;&gt;"Y",0,(IF($F727&lt;&gt;"",ROUND(Dashboard!$R$4/$F727,1),IF(AND($I727="Base",$E727="Base"),Dashboard!$R$5,IF(AND($I727="Base",$E727="Red"),Dashboard!$R$6,IF(AND($I727="Base",$E727="Gold"),Dashboard!$R$7,VLOOKUP($I727,Dashboard!$Q$16:$R$21,2,FALSE)))))*VLOOKUP($I727,Dashboard!$Q$9:$R$13,2,FALSE)*IF(AND($I727="Auto",$F727="",OR($B727="Autographs Duals",$B727="Autographs Triples",$B727="Autographs Quads",$B727="Autographs Quads (Inscribed)")),IF($B727="Autographs Duals",2,IF($B727="Autographs Triples",3,4)),1)))</f>
        <v>1</v>
      </c>
      <c r="AB727" s="62">
        <f t="shared" si="154"/>
        <v>1</v>
      </c>
      <c r="AC727" s="62">
        <f t="shared" si="155"/>
        <v>0</v>
      </c>
    </row>
    <row r="728" spans="1:29" ht="28.7" customHeight="1" x14ac:dyDescent="0.25">
      <c r="A728" s="4" t="s">
        <v>19</v>
      </c>
      <c r="B728" s="7" t="s">
        <v>74</v>
      </c>
      <c r="C728" s="2" t="s">
        <v>1526</v>
      </c>
      <c r="D728" s="7" t="s">
        <v>1085</v>
      </c>
      <c r="E728" s="4" t="s">
        <v>60</v>
      </c>
      <c r="F728" s="2"/>
      <c r="G728" s="2" t="s">
        <v>1399</v>
      </c>
      <c r="H728" s="2" t="s">
        <v>1400</v>
      </c>
      <c r="I728" s="4" t="s">
        <v>60</v>
      </c>
      <c r="J728" s="112">
        <f>IF($H728&lt;&gt;"Y",0,ROUND(MIN(Dashboard!$R$24,IF(IFERROR(VLOOKUP($B728,Dashboard!$Q$28:$S$60,2,FALSE),0)&gt;0,IFERROR(VLOOKUP($B728,Dashboard!$Q$28:$S$60,2,FALSE),0),$Z728*IF($U728&lt;&gt;"",ROUND((Dashboard!$R$4/$U728)*VLOOKUP($I728,Dashboard!$Q$9:$R$13,2,FALSE)*IF(ISNUMBER(SEARCH("Duals",$B728)),2,IF(ISNUMBER(SEARCH("Triples",$B728)),3,IF(ISNUMBER(SEARCH("Quads",$B728)),4,1))),2),ROUND(VLOOKUP($I728,Dashboard!$Q$15:$R$20,2,FALSE)*IF($E728="Red",Dashboard!$R$6,IF($E728="Gold",Dashboard!$R$7,Dashboard!$R$5))*IF(ISNUMBER(SEARCH("Duals",$B728)),2,IF(ISNUMBER(SEARCH("Triples",$B728)),3,IF(ISNUMBER(SEARCH("Quads",$B728)),4,1))),2))*IF(IFERROR(VLOOKUP($B728,Dashboard!$Q$28:$S$60,3,FALSE),0)&gt;0,VLOOKUP($B728,Dashboard!$Q$28:$S$60,3,FALSE),1))),0))</f>
        <v>1</v>
      </c>
      <c r="K728" s="2" t="str">
        <f>IF('Base S2'!C28="","",'Base S2'!C28)</f>
        <v>h</v>
      </c>
      <c r="L728" s="2">
        <f t="shared" si="143"/>
        <v>1</v>
      </c>
      <c r="M728" s="2">
        <f t="shared" si="144"/>
        <v>0</v>
      </c>
      <c r="N728" s="2">
        <f t="shared" si="145"/>
        <v>1</v>
      </c>
      <c r="O728" s="2">
        <f t="shared" si="146"/>
        <v>0</v>
      </c>
      <c r="P728" s="112">
        <f t="shared" si="147"/>
        <v>1</v>
      </c>
      <c r="Q728" s="112">
        <f t="shared" si="148"/>
        <v>0</v>
      </c>
      <c r="R728" s="53"/>
      <c r="S728" s="53" t="str">
        <f t="shared" si="149"/>
        <v>Base S2|Base Set - Season 2|127|Base</v>
      </c>
      <c r="T728" s="57" t="str">
        <f>IF($S728="","",IFERROR(VLOOKUP($S728,'Pop Estimates (Non-#d)'!$N$2:$O$500,2,FALSE),""))</f>
        <v/>
      </c>
      <c r="U728" s="57" t="str">
        <f t="shared" si="150"/>
        <v/>
      </c>
      <c r="V728" s="53" t="str">
        <f t="shared" si="151"/>
        <v/>
      </c>
      <c r="W728" s="53" t="str">
        <f t="shared" si="152"/>
        <v/>
      </c>
      <c r="X728" s="53" t="str">
        <f t="shared" si="153"/>
        <v/>
      </c>
      <c r="Y728" s="57" t="str">
        <f>IF($X728="","",IFERROR(VLOOKUP($X728,'Char Popularity'!$A$2:$C$500,2,FALSE),""))</f>
        <v/>
      </c>
      <c r="Z728" s="56">
        <f>IF($X728="",1,IFERROR(VLOOKUP($X728,'Char Popularity'!$A$2:$C$500,3,FALSE),1))</f>
        <v>1</v>
      </c>
      <c r="AA728" s="62">
        <f>IF($H728&lt;&gt;"Y",0,(IF($F728&lt;&gt;"",ROUND(Dashboard!$R$4/$F728,1),IF(AND($I728="Base",$E728="Base"),Dashboard!$R$5,IF(AND($I728="Base",$E728="Red"),Dashboard!$R$6,IF(AND($I728="Base",$E728="Gold"),Dashboard!$R$7,VLOOKUP($I728,Dashboard!$Q$16:$R$21,2,FALSE)))))*VLOOKUP($I728,Dashboard!$Q$9:$R$13,2,FALSE)*IF(AND($I728="Auto",$F728="",OR($B728="Autographs Duals",$B728="Autographs Triples",$B728="Autographs Quads",$B728="Autographs Quads (Inscribed)")),IF($B728="Autographs Duals",2,IF($B728="Autographs Triples",3,4)),1)))</f>
        <v>1</v>
      </c>
      <c r="AB728" s="62">
        <f t="shared" si="154"/>
        <v>1</v>
      </c>
      <c r="AC728" s="62">
        <f t="shared" si="155"/>
        <v>0</v>
      </c>
    </row>
    <row r="729" spans="1:29" ht="28.7" customHeight="1" x14ac:dyDescent="0.25">
      <c r="A729" s="4" t="s">
        <v>19</v>
      </c>
      <c r="B729" s="7" t="s">
        <v>74</v>
      </c>
      <c r="C729" s="2" t="s">
        <v>1527</v>
      </c>
      <c r="D729" s="7" t="s">
        <v>1086</v>
      </c>
      <c r="E729" s="4" t="s">
        <v>60</v>
      </c>
      <c r="F729" s="2"/>
      <c r="G729" s="2" t="s">
        <v>1399</v>
      </c>
      <c r="H729" s="2" t="s">
        <v>1400</v>
      </c>
      <c r="I729" s="4" t="s">
        <v>60</v>
      </c>
      <c r="J729" s="112">
        <f>IF($H729&lt;&gt;"Y",0,ROUND(MIN(Dashboard!$R$24,IF(IFERROR(VLOOKUP($B729,Dashboard!$Q$28:$S$60,2,FALSE),0)&gt;0,IFERROR(VLOOKUP($B729,Dashboard!$Q$28:$S$60,2,FALSE),0),$Z729*IF($U729&lt;&gt;"",ROUND((Dashboard!$R$4/$U729)*VLOOKUP($I729,Dashboard!$Q$9:$R$13,2,FALSE)*IF(ISNUMBER(SEARCH("Duals",$B729)),2,IF(ISNUMBER(SEARCH("Triples",$B729)),3,IF(ISNUMBER(SEARCH("Quads",$B729)),4,1))),2),ROUND(VLOOKUP($I729,Dashboard!$Q$15:$R$20,2,FALSE)*IF($E729="Red",Dashboard!$R$6,IF($E729="Gold",Dashboard!$R$7,Dashboard!$R$5))*IF(ISNUMBER(SEARCH("Duals",$B729)),2,IF(ISNUMBER(SEARCH("Triples",$B729)),3,IF(ISNUMBER(SEARCH("Quads",$B729)),4,1))),2))*IF(IFERROR(VLOOKUP($B729,Dashboard!$Q$28:$S$60,3,FALSE),0)&gt;0,VLOOKUP($B729,Dashboard!$Q$28:$S$60,3,FALSE),1))),0))</f>
        <v>1</v>
      </c>
      <c r="K729" s="2" t="str">
        <f>IF('Base S2'!C29="","",'Base S2'!C29)</f>
        <v>h</v>
      </c>
      <c r="L729" s="2">
        <f t="shared" si="143"/>
        <v>1</v>
      </c>
      <c r="M729" s="2">
        <f t="shared" si="144"/>
        <v>0</v>
      </c>
      <c r="N729" s="2">
        <f t="shared" si="145"/>
        <v>1</v>
      </c>
      <c r="O729" s="2">
        <f t="shared" si="146"/>
        <v>0</v>
      </c>
      <c r="P729" s="112">
        <f t="shared" si="147"/>
        <v>1</v>
      </c>
      <c r="Q729" s="112">
        <f t="shared" si="148"/>
        <v>0</v>
      </c>
      <c r="R729" s="53"/>
      <c r="S729" s="53" t="str">
        <f t="shared" si="149"/>
        <v>Base S2|Base Set - Season 2|128|Base</v>
      </c>
      <c r="T729" s="57" t="str">
        <f>IF($S729="","",IFERROR(VLOOKUP($S729,'Pop Estimates (Non-#d)'!$N$2:$O$500,2,FALSE),""))</f>
        <v/>
      </c>
      <c r="U729" s="57" t="str">
        <f t="shared" si="150"/>
        <v/>
      </c>
      <c r="V729" s="53" t="str">
        <f t="shared" si="151"/>
        <v/>
      </c>
      <c r="W729" s="53" t="str">
        <f t="shared" si="152"/>
        <v/>
      </c>
      <c r="X729" s="53" t="str">
        <f t="shared" si="153"/>
        <v/>
      </c>
      <c r="Y729" s="57" t="str">
        <f>IF($X729="","",IFERROR(VLOOKUP($X729,'Char Popularity'!$A$2:$C$500,2,FALSE),""))</f>
        <v/>
      </c>
      <c r="Z729" s="56">
        <f>IF($X729="",1,IFERROR(VLOOKUP($X729,'Char Popularity'!$A$2:$C$500,3,FALSE),1))</f>
        <v>1</v>
      </c>
      <c r="AA729" s="62">
        <f>IF($H729&lt;&gt;"Y",0,(IF($F729&lt;&gt;"",ROUND(Dashboard!$R$4/$F729,1),IF(AND($I729="Base",$E729="Base"),Dashboard!$R$5,IF(AND($I729="Base",$E729="Red"),Dashboard!$R$6,IF(AND($I729="Base",$E729="Gold"),Dashboard!$R$7,VLOOKUP($I729,Dashboard!$Q$16:$R$21,2,FALSE)))))*VLOOKUP($I729,Dashboard!$Q$9:$R$13,2,FALSE)*IF(AND($I729="Auto",$F729="",OR($B729="Autographs Duals",$B729="Autographs Triples",$B729="Autographs Quads",$B729="Autographs Quads (Inscribed)")),IF($B729="Autographs Duals",2,IF($B729="Autographs Triples",3,4)),1)))</f>
        <v>1</v>
      </c>
      <c r="AB729" s="62">
        <f t="shared" si="154"/>
        <v>1</v>
      </c>
      <c r="AC729" s="62">
        <f t="shared" si="155"/>
        <v>0</v>
      </c>
    </row>
    <row r="730" spans="1:29" ht="28.7" customHeight="1" x14ac:dyDescent="0.25">
      <c r="A730" s="4" t="s">
        <v>19</v>
      </c>
      <c r="B730" s="7" t="s">
        <v>74</v>
      </c>
      <c r="C730" s="2" t="s">
        <v>1528</v>
      </c>
      <c r="D730" s="7" t="s">
        <v>1088</v>
      </c>
      <c r="E730" s="4" t="s">
        <v>60</v>
      </c>
      <c r="F730" s="2"/>
      <c r="G730" s="2" t="s">
        <v>1399</v>
      </c>
      <c r="H730" s="2" t="s">
        <v>1400</v>
      </c>
      <c r="I730" s="4" t="s">
        <v>60</v>
      </c>
      <c r="J730" s="112">
        <f>IF($H730&lt;&gt;"Y",0,ROUND(MIN(Dashboard!$R$24,IF(IFERROR(VLOOKUP($B730,Dashboard!$Q$28:$S$60,2,FALSE),0)&gt;0,IFERROR(VLOOKUP($B730,Dashboard!$Q$28:$S$60,2,FALSE),0),$Z730*IF($U730&lt;&gt;"",ROUND((Dashboard!$R$4/$U730)*VLOOKUP($I730,Dashboard!$Q$9:$R$13,2,FALSE)*IF(ISNUMBER(SEARCH("Duals",$B730)),2,IF(ISNUMBER(SEARCH("Triples",$B730)),3,IF(ISNUMBER(SEARCH("Quads",$B730)),4,1))),2),ROUND(VLOOKUP($I730,Dashboard!$Q$15:$R$20,2,FALSE)*IF($E730="Red",Dashboard!$R$6,IF($E730="Gold",Dashboard!$R$7,Dashboard!$R$5))*IF(ISNUMBER(SEARCH("Duals",$B730)),2,IF(ISNUMBER(SEARCH("Triples",$B730)),3,IF(ISNUMBER(SEARCH("Quads",$B730)),4,1))),2))*IF(IFERROR(VLOOKUP($B730,Dashboard!$Q$28:$S$60,3,FALSE),0)&gt;0,VLOOKUP($B730,Dashboard!$Q$28:$S$60,3,FALSE),1))),0))</f>
        <v>1</v>
      </c>
      <c r="K730" s="2" t="str">
        <f>IF('Base S2'!C30="","",'Base S2'!C30)</f>
        <v>h</v>
      </c>
      <c r="L730" s="2">
        <f t="shared" si="143"/>
        <v>1</v>
      </c>
      <c r="M730" s="2">
        <f t="shared" si="144"/>
        <v>0</v>
      </c>
      <c r="N730" s="2">
        <f t="shared" si="145"/>
        <v>1</v>
      </c>
      <c r="O730" s="2">
        <f t="shared" si="146"/>
        <v>0</v>
      </c>
      <c r="P730" s="112">
        <f t="shared" si="147"/>
        <v>1</v>
      </c>
      <c r="Q730" s="112">
        <f t="shared" si="148"/>
        <v>0</v>
      </c>
      <c r="R730" s="53"/>
      <c r="S730" s="53" t="str">
        <f t="shared" si="149"/>
        <v>Base S2|Base Set - Season 2|129|Base</v>
      </c>
      <c r="T730" s="57" t="str">
        <f>IF($S730="","",IFERROR(VLOOKUP($S730,'Pop Estimates (Non-#d)'!$N$2:$O$500,2,FALSE),""))</f>
        <v/>
      </c>
      <c r="U730" s="57" t="str">
        <f t="shared" si="150"/>
        <v/>
      </c>
      <c r="V730" s="53" t="str">
        <f t="shared" si="151"/>
        <v/>
      </c>
      <c r="W730" s="53" t="str">
        <f t="shared" si="152"/>
        <v/>
      </c>
      <c r="X730" s="53" t="str">
        <f t="shared" si="153"/>
        <v/>
      </c>
      <c r="Y730" s="57" t="str">
        <f>IF($X730="","",IFERROR(VLOOKUP($X730,'Char Popularity'!$A$2:$C$500,2,FALSE),""))</f>
        <v/>
      </c>
      <c r="Z730" s="56">
        <f>IF($X730="",1,IFERROR(VLOOKUP($X730,'Char Popularity'!$A$2:$C$500,3,FALSE),1))</f>
        <v>1</v>
      </c>
      <c r="AA730" s="62">
        <f>IF($H730&lt;&gt;"Y",0,(IF($F730&lt;&gt;"",ROUND(Dashboard!$R$4/$F730,1),IF(AND($I730="Base",$E730="Base"),Dashboard!$R$5,IF(AND($I730="Base",$E730="Red"),Dashboard!$R$6,IF(AND($I730="Base",$E730="Gold"),Dashboard!$R$7,VLOOKUP($I730,Dashboard!$Q$16:$R$21,2,FALSE)))))*VLOOKUP($I730,Dashboard!$Q$9:$R$13,2,FALSE)*IF(AND($I730="Auto",$F730="",OR($B730="Autographs Duals",$B730="Autographs Triples",$B730="Autographs Quads",$B730="Autographs Quads (Inscribed)")),IF($B730="Autographs Duals",2,IF($B730="Autographs Triples",3,4)),1)))</f>
        <v>1</v>
      </c>
      <c r="AB730" s="62">
        <f t="shared" si="154"/>
        <v>1</v>
      </c>
      <c r="AC730" s="62">
        <f t="shared" si="155"/>
        <v>0</v>
      </c>
    </row>
    <row r="731" spans="1:29" ht="28.7" customHeight="1" x14ac:dyDescent="0.25">
      <c r="A731" s="4" t="s">
        <v>19</v>
      </c>
      <c r="B731" s="7" t="s">
        <v>74</v>
      </c>
      <c r="C731" s="2" t="s">
        <v>1529</v>
      </c>
      <c r="D731" s="7" t="s">
        <v>1091</v>
      </c>
      <c r="E731" s="4" t="s">
        <v>60</v>
      </c>
      <c r="F731" s="2"/>
      <c r="G731" s="2" t="s">
        <v>1399</v>
      </c>
      <c r="H731" s="2" t="s">
        <v>1400</v>
      </c>
      <c r="I731" s="4" t="s">
        <v>60</v>
      </c>
      <c r="J731" s="112">
        <f>IF($H731&lt;&gt;"Y",0,ROUND(MIN(Dashboard!$R$24,IF(IFERROR(VLOOKUP($B731,Dashboard!$Q$28:$S$60,2,FALSE),0)&gt;0,IFERROR(VLOOKUP($B731,Dashboard!$Q$28:$S$60,2,FALSE),0),$Z731*IF($U731&lt;&gt;"",ROUND((Dashboard!$R$4/$U731)*VLOOKUP($I731,Dashboard!$Q$9:$R$13,2,FALSE)*IF(ISNUMBER(SEARCH("Duals",$B731)),2,IF(ISNUMBER(SEARCH("Triples",$B731)),3,IF(ISNUMBER(SEARCH("Quads",$B731)),4,1))),2),ROUND(VLOOKUP($I731,Dashboard!$Q$15:$R$20,2,FALSE)*IF($E731="Red",Dashboard!$R$6,IF($E731="Gold",Dashboard!$R$7,Dashboard!$R$5))*IF(ISNUMBER(SEARCH("Duals",$B731)),2,IF(ISNUMBER(SEARCH("Triples",$B731)),3,IF(ISNUMBER(SEARCH("Quads",$B731)),4,1))),2))*IF(IFERROR(VLOOKUP($B731,Dashboard!$Q$28:$S$60,3,FALSE),0)&gt;0,VLOOKUP($B731,Dashboard!$Q$28:$S$60,3,FALSE),1))),0))</f>
        <v>1</v>
      </c>
      <c r="K731" s="2" t="str">
        <f>IF('Base S2'!C31="","",'Base S2'!C31)</f>
        <v>h</v>
      </c>
      <c r="L731" s="2">
        <f t="shared" si="143"/>
        <v>1</v>
      </c>
      <c r="M731" s="2">
        <f t="shared" si="144"/>
        <v>0</v>
      </c>
      <c r="N731" s="2">
        <f t="shared" si="145"/>
        <v>1</v>
      </c>
      <c r="O731" s="2">
        <f t="shared" si="146"/>
        <v>0</v>
      </c>
      <c r="P731" s="112">
        <f t="shared" si="147"/>
        <v>1</v>
      </c>
      <c r="Q731" s="112">
        <f t="shared" si="148"/>
        <v>0</v>
      </c>
      <c r="R731" s="53"/>
      <c r="S731" s="53" t="str">
        <f t="shared" si="149"/>
        <v>Base S2|Base Set - Season 2|130|Base</v>
      </c>
      <c r="T731" s="57" t="str">
        <f>IF($S731="","",IFERROR(VLOOKUP($S731,'Pop Estimates (Non-#d)'!$N$2:$O$500,2,FALSE),""))</f>
        <v/>
      </c>
      <c r="U731" s="57" t="str">
        <f t="shared" si="150"/>
        <v/>
      </c>
      <c r="V731" s="53" t="str">
        <f t="shared" si="151"/>
        <v/>
      </c>
      <c r="W731" s="53" t="str">
        <f t="shared" si="152"/>
        <v/>
      </c>
      <c r="X731" s="53" t="str">
        <f t="shared" si="153"/>
        <v/>
      </c>
      <c r="Y731" s="57" t="str">
        <f>IF($X731="","",IFERROR(VLOOKUP($X731,'Char Popularity'!$A$2:$C$500,2,FALSE),""))</f>
        <v/>
      </c>
      <c r="Z731" s="56">
        <f>IF($X731="",1,IFERROR(VLOOKUP($X731,'Char Popularity'!$A$2:$C$500,3,FALSE),1))</f>
        <v>1</v>
      </c>
      <c r="AA731" s="62">
        <f>IF($H731&lt;&gt;"Y",0,(IF($F731&lt;&gt;"",ROUND(Dashboard!$R$4/$F731,1),IF(AND($I731="Base",$E731="Base"),Dashboard!$R$5,IF(AND($I731="Base",$E731="Red"),Dashboard!$R$6,IF(AND($I731="Base",$E731="Gold"),Dashboard!$R$7,VLOOKUP($I731,Dashboard!$Q$16:$R$21,2,FALSE)))))*VLOOKUP($I731,Dashboard!$Q$9:$R$13,2,FALSE)*IF(AND($I731="Auto",$F731="",OR($B731="Autographs Duals",$B731="Autographs Triples",$B731="Autographs Quads",$B731="Autographs Quads (Inscribed)")),IF($B731="Autographs Duals",2,IF($B731="Autographs Triples",3,4)),1)))</f>
        <v>1</v>
      </c>
      <c r="AB731" s="62">
        <f t="shared" si="154"/>
        <v>1</v>
      </c>
      <c r="AC731" s="62">
        <f t="shared" si="155"/>
        <v>0</v>
      </c>
    </row>
    <row r="732" spans="1:29" ht="28.7" customHeight="1" x14ac:dyDescent="0.25">
      <c r="A732" s="4" t="s">
        <v>19</v>
      </c>
      <c r="B732" s="7" t="s">
        <v>74</v>
      </c>
      <c r="C732" s="2" t="s">
        <v>1530</v>
      </c>
      <c r="D732" s="7" t="s">
        <v>1093</v>
      </c>
      <c r="E732" s="4" t="s">
        <v>60</v>
      </c>
      <c r="F732" s="2"/>
      <c r="G732" s="2" t="s">
        <v>1399</v>
      </c>
      <c r="H732" s="2" t="s">
        <v>1400</v>
      </c>
      <c r="I732" s="4" t="s">
        <v>60</v>
      </c>
      <c r="J732" s="112">
        <f>IF($H732&lt;&gt;"Y",0,ROUND(MIN(Dashboard!$R$24,IF(IFERROR(VLOOKUP($B732,Dashboard!$Q$28:$S$60,2,FALSE),0)&gt;0,IFERROR(VLOOKUP($B732,Dashboard!$Q$28:$S$60,2,FALSE),0),$Z732*IF($U732&lt;&gt;"",ROUND((Dashboard!$R$4/$U732)*VLOOKUP($I732,Dashboard!$Q$9:$R$13,2,FALSE)*IF(ISNUMBER(SEARCH("Duals",$B732)),2,IF(ISNUMBER(SEARCH("Triples",$B732)),3,IF(ISNUMBER(SEARCH("Quads",$B732)),4,1))),2),ROUND(VLOOKUP($I732,Dashboard!$Q$15:$R$20,2,FALSE)*IF($E732="Red",Dashboard!$R$6,IF($E732="Gold",Dashboard!$R$7,Dashboard!$R$5))*IF(ISNUMBER(SEARCH("Duals",$B732)),2,IF(ISNUMBER(SEARCH("Triples",$B732)),3,IF(ISNUMBER(SEARCH("Quads",$B732)),4,1))),2))*IF(IFERROR(VLOOKUP($B732,Dashboard!$Q$28:$S$60,3,FALSE),0)&gt;0,VLOOKUP($B732,Dashboard!$Q$28:$S$60,3,FALSE),1))),0))</f>
        <v>1</v>
      </c>
      <c r="K732" s="2" t="str">
        <f>IF('Base S2'!C32="","",'Base S2'!C32)</f>
        <v>h</v>
      </c>
      <c r="L732" s="2">
        <f t="shared" si="143"/>
        <v>1</v>
      </c>
      <c r="M732" s="2">
        <f t="shared" si="144"/>
        <v>0</v>
      </c>
      <c r="N732" s="2">
        <f t="shared" si="145"/>
        <v>1</v>
      </c>
      <c r="O732" s="2">
        <f t="shared" si="146"/>
        <v>0</v>
      </c>
      <c r="P732" s="112">
        <f t="shared" si="147"/>
        <v>1</v>
      </c>
      <c r="Q732" s="112">
        <f t="shared" si="148"/>
        <v>0</v>
      </c>
      <c r="R732" s="53"/>
      <c r="S732" s="53" t="str">
        <f t="shared" si="149"/>
        <v>Base S2|Base Set - Season 2|131|Base</v>
      </c>
      <c r="T732" s="57" t="str">
        <f>IF($S732="","",IFERROR(VLOOKUP($S732,'Pop Estimates (Non-#d)'!$N$2:$O$500,2,FALSE),""))</f>
        <v/>
      </c>
      <c r="U732" s="57" t="str">
        <f t="shared" si="150"/>
        <v/>
      </c>
      <c r="V732" s="53" t="str">
        <f t="shared" si="151"/>
        <v/>
      </c>
      <c r="W732" s="53" t="str">
        <f t="shared" si="152"/>
        <v/>
      </c>
      <c r="X732" s="53" t="str">
        <f t="shared" si="153"/>
        <v/>
      </c>
      <c r="Y732" s="57" t="str">
        <f>IF($X732="","",IFERROR(VLOOKUP($X732,'Char Popularity'!$A$2:$C$500,2,FALSE),""))</f>
        <v/>
      </c>
      <c r="Z732" s="56">
        <f>IF($X732="",1,IFERROR(VLOOKUP($X732,'Char Popularity'!$A$2:$C$500,3,FALSE),1))</f>
        <v>1</v>
      </c>
      <c r="AA732" s="62">
        <f>IF($H732&lt;&gt;"Y",0,(IF($F732&lt;&gt;"",ROUND(Dashboard!$R$4/$F732,1),IF(AND($I732="Base",$E732="Base"),Dashboard!$R$5,IF(AND($I732="Base",$E732="Red"),Dashboard!$R$6,IF(AND($I732="Base",$E732="Gold"),Dashboard!$R$7,VLOOKUP($I732,Dashboard!$Q$16:$R$21,2,FALSE)))))*VLOOKUP($I732,Dashboard!$Q$9:$R$13,2,FALSE)*IF(AND($I732="Auto",$F732="",OR($B732="Autographs Duals",$B732="Autographs Triples",$B732="Autographs Quads",$B732="Autographs Quads (Inscribed)")),IF($B732="Autographs Duals",2,IF($B732="Autographs Triples",3,4)),1)))</f>
        <v>1</v>
      </c>
      <c r="AB732" s="62">
        <f t="shared" si="154"/>
        <v>1</v>
      </c>
      <c r="AC732" s="62">
        <f t="shared" si="155"/>
        <v>0</v>
      </c>
    </row>
    <row r="733" spans="1:29" ht="28.7" customHeight="1" x14ac:dyDescent="0.25">
      <c r="A733" s="4" t="s">
        <v>19</v>
      </c>
      <c r="B733" s="7" t="s">
        <v>74</v>
      </c>
      <c r="C733" s="2" t="s">
        <v>1531</v>
      </c>
      <c r="D733" s="7" t="s">
        <v>1096</v>
      </c>
      <c r="E733" s="4" t="s">
        <v>60</v>
      </c>
      <c r="F733" s="2"/>
      <c r="G733" s="2" t="s">
        <v>1399</v>
      </c>
      <c r="H733" s="2" t="s">
        <v>1400</v>
      </c>
      <c r="I733" s="4" t="s">
        <v>60</v>
      </c>
      <c r="J733" s="112">
        <f>IF($H733&lt;&gt;"Y",0,ROUND(MIN(Dashboard!$R$24,IF(IFERROR(VLOOKUP($B733,Dashboard!$Q$28:$S$60,2,FALSE),0)&gt;0,IFERROR(VLOOKUP($B733,Dashboard!$Q$28:$S$60,2,FALSE),0),$Z733*IF($U733&lt;&gt;"",ROUND((Dashboard!$R$4/$U733)*VLOOKUP($I733,Dashboard!$Q$9:$R$13,2,FALSE)*IF(ISNUMBER(SEARCH("Duals",$B733)),2,IF(ISNUMBER(SEARCH("Triples",$B733)),3,IF(ISNUMBER(SEARCH("Quads",$B733)),4,1))),2),ROUND(VLOOKUP($I733,Dashboard!$Q$15:$R$20,2,FALSE)*IF($E733="Red",Dashboard!$R$6,IF($E733="Gold",Dashboard!$R$7,Dashboard!$R$5))*IF(ISNUMBER(SEARCH("Duals",$B733)),2,IF(ISNUMBER(SEARCH("Triples",$B733)),3,IF(ISNUMBER(SEARCH("Quads",$B733)),4,1))),2))*IF(IFERROR(VLOOKUP($B733,Dashboard!$Q$28:$S$60,3,FALSE),0)&gt;0,VLOOKUP($B733,Dashboard!$Q$28:$S$60,3,FALSE),1))),0))</f>
        <v>1</v>
      </c>
      <c r="K733" s="2" t="str">
        <f>IF('Base S2'!C33="","",'Base S2'!C33)</f>
        <v>h</v>
      </c>
      <c r="L733" s="2">
        <f t="shared" si="143"/>
        <v>1</v>
      </c>
      <c r="M733" s="2">
        <f t="shared" si="144"/>
        <v>0</v>
      </c>
      <c r="N733" s="2">
        <f t="shared" si="145"/>
        <v>1</v>
      </c>
      <c r="O733" s="2">
        <f t="shared" si="146"/>
        <v>0</v>
      </c>
      <c r="P733" s="112">
        <f t="shared" si="147"/>
        <v>1</v>
      </c>
      <c r="Q733" s="112">
        <f t="shared" si="148"/>
        <v>0</v>
      </c>
      <c r="R733" s="53"/>
      <c r="S733" s="53" t="str">
        <f t="shared" si="149"/>
        <v>Base S2|Base Set - Season 2|132|Base</v>
      </c>
      <c r="T733" s="57" t="str">
        <f>IF($S733="","",IFERROR(VLOOKUP($S733,'Pop Estimates (Non-#d)'!$N$2:$O$500,2,FALSE),""))</f>
        <v/>
      </c>
      <c r="U733" s="57" t="str">
        <f t="shared" si="150"/>
        <v/>
      </c>
      <c r="V733" s="53" t="str">
        <f t="shared" si="151"/>
        <v/>
      </c>
      <c r="W733" s="53" t="str">
        <f t="shared" si="152"/>
        <v/>
      </c>
      <c r="X733" s="53" t="str">
        <f t="shared" si="153"/>
        <v/>
      </c>
      <c r="Y733" s="57" t="str">
        <f>IF($X733="","",IFERROR(VLOOKUP($X733,'Char Popularity'!$A$2:$C$500,2,FALSE),""))</f>
        <v/>
      </c>
      <c r="Z733" s="56">
        <f>IF($X733="",1,IFERROR(VLOOKUP($X733,'Char Popularity'!$A$2:$C$500,3,FALSE),1))</f>
        <v>1</v>
      </c>
      <c r="AA733" s="62">
        <f>IF($H733&lt;&gt;"Y",0,(IF($F733&lt;&gt;"",ROUND(Dashboard!$R$4/$F733,1),IF(AND($I733="Base",$E733="Base"),Dashboard!$R$5,IF(AND($I733="Base",$E733="Red"),Dashboard!$R$6,IF(AND($I733="Base",$E733="Gold"),Dashboard!$R$7,VLOOKUP($I733,Dashboard!$Q$16:$R$21,2,FALSE)))))*VLOOKUP($I733,Dashboard!$Q$9:$R$13,2,FALSE)*IF(AND($I733="Auto",$F733="",OR($B733="Autographs Duals",$B733="Autographs Triples",$B733="Autographs Quads",$B733="Autographs Quads (Inscribed)")),IF($B733="Autographs Duals",2,IF($B733="Autographs Triples",3,4)),1)))</f>
        <v>1</v>
      </c>
      <c r="AB733" s="62">
        <f t="shared" si="154"/>
        <v>1</v>
      </c>
      <c r="AC733" s="62">
        <f t="shared" si="155"/>
        <v>0</v>
      </c>
    </row>
    <row r="734" spans="1:29" ht="28.7" customHeight="1" x14ac:dyDescent="0.25">
      <c r="A734" s="4" t="s">
        <v>19</v>
      </c>
      <c r="B734" s="7" t="s">
        <v>74</v>
      </c>
      <c r="C734" s="2" t="s">
        <v>1532</v>
      </c>
      <c r="D734" s="7" t="s">
        <v>1097</v>
      </c>
      <c r="E734" s="4" t="s">
        <v>60</v>
      </c>
      <c r="F734" s="2"/>
      <c r="G734" s="2" t="s">
        <v>1399</v>
      </c>
      <c r="H734" s="2" t="s">
        <v>1400</v>
      </c>
      <c r="I734" s="4" t="s">
        <v>60</v>
      </c>
      <c r="J734" s="112">
        <f>IF($H734&lt;&gt;"Y",0,ROUND(MIN(Dashboard!$R$24,IF(IFERROR(VLOOKUP($B734,Dashboard!$Q$28:$S$60,2,FALSE),0)&gt;0,IFERROR(VLOOKUP($B734,Dashboard!$Q$28:$S$60,2,FALSE),0),$Z734*IF($U734&lt;&gt;"",ROUND((Dashboard!$R$4/$U734)*VLOOKUP($I734,Dashboard!$Q$9:$R$13,2,FALSE)*IF(ISNUMBER(SEARCH("Duals",$B734)),2,IF(ISNUMBER(SEARCH("Triples",$B734)),3,IF(ISNUMBER(SEARCH("Quads",$B734)),4,1))),2),ROUND(VLOOKUP($I734,Dashboard!$Q$15:$R$20,2,FALSE)*IF($E734="Red",Dashboard!$R$6,IF($E734="Gold",Dashboard!$R$7,Dashboard!$R$5))*IF(ISNUMBER(SEARCH("Duals",$B734)),2,IF(ISNUMBER(SEARCH("Triples",$B734)),3,IF(ISNUMBER(SEARCH("Quads",$B734)),4,1))),2))*IF(IFERROR(VLOOKUP($B734,Dashboard!$Q$28:$S$60,3,FALSE),0)&gt;0,VLOOKUP($B734,Dashboard!$Q$28:$S$60,3,FALSE),1))),0))</f>
        <v>1</v>
      </c>
      <c r="K734" s="2" t="str">
        <f>IF('Base S2'!C34="","",'Base S2'!C34)</f>
        <v>h</v>
      </c>
      <c r="L734" s="2">
        <f t="shared" si="143"/>
        <v>1</v>
      </c>
      <c r="M734" s="2">
        <f t="shared" si="144"/>
        <v>0</v>
      </c>
      <c r="N734" s="2">
        <f t="shared" si="145"/>
        <v>1</v>
      </c>
      <c r="O734" s="2">
        <f t="shared" si="146"/>
        <v>0</v>
      </c>
      <c r="P734" s="112">
        <f t="shared" si="147"/>
        <v>1</v>
      </c>
      <c r="Q734" s="112">
        <f t="shared" si="148"/>
        <v>0</v>
      </c>
      <c r="R734" s="53"/>
      <c r="S734" s="53" t="str">
        <f t="shared" si="149"/>
        <v>Base S2|Base Set - Season 2|133|Base</v>
      </c>
      <c r="T734" s="57" t="str">
        <f>IF($S734="","",IFERROR(VLOOKUP($S734,'Pop Estimates (Non-#d)'!$N$2:$O$500,2,FALSE),""))</f>
        <v/>
      </c>
      <c r="U734" s="57" t="str">
        <f t="shared" si="150"/>
        <v/>
      </c>
      <c r="V734" s="53" t="str">
        <f t="shared" si="151"/>
        <v/>
      </c>
      <c r="W734" s="53" t="str">
        <f t="shared" si="152"/>
        <v/>
      </c>
      <c r="X734" s="53" t="str">
        <f t="shared" si="153"/>
        <v/>
      </c>
      <c r="Y734" s="57" t="str">
        <f>IF($X734="","",IFERROR(VLOOKUP($X734,'Char Popularity'!$A$2:$C$500,2,FALSE),""))</f>
        <v/>
      </c>
      <c r="Z734" s="56">
        <f>IF($X734="",1,IFERROR(VLOOKUP($X734,'Char Popularity'!$A$2:$C$500,3,FALSE),1))</f>
        <v>1</v>
      </c>
      <c r="AA734" s="62">
        <f>IF($H734&lt;&gt;"Y",0,(IF($F734&lt;&gt;"",ROUND(Dashboard!$R$4/$F734,1),IF(AND($I734="Base",$E734="Base"),Dashboard!$R$5,IF(AND($I734="Base",$E734="Red"),Dashboard!$R$6,IF(AND($I734="Base",$E734="Gold"),Dashboard!$R$7,VLOOKUP($I734,Dashboard!$Q$16:$R$21,2,FALSE)))))*VLOOKUP($I734,Dashboard!$Q$9:$R$13,2,FALSE)*IF(AND($I734="Auto",$F734="",OR($B734="Autographs Duals",$B734="Autographs Triples",$B734="Autographs Quads",$B734="Autographs Quads (Inscribed)")),IF($B734="Autographs Duals",2,IF($B734="Autographs Triples",3,4)),1)))</f>
        <v>1</v>
      </c>
      <c r="AB734" s="62">
        <f t="shared" si="154"/>
        <v>1</v>
      </c>
      <c r="AC734" s="62">
        <f t="shared" si="155"/>
        <v>0</v>
      </c>
    </row>
    <row r="735" spans="1:29" ht="28.7" customHeight="1" x14ac:dyDescent="0.25">
      <c r="A735" s="4" t="s">
        <v>19</v>
      </c>
      <c r="B735" s="7" t="s">
        <v>74</v>
      </c>
      <c r="C735" s="2" t="s">
        <v>1533</v>
      </c>
      <c r="D735" s="7" t="s">
        <v>1099</v>
      </c>
      <c r="E735" s="4" t="s">
        <v>60</v>
      </c>
      <c r="F735" s="2"/>
      <c r="G735" s="2" t="s">
        <v>1399</v>
      </c>
      <c r="H735" s="2" t="s">
        <v>1400</v>
      </c>
      <c r="I735" s="4" t="s">
        <v>60</v>
      </c>
      <c r="J735" s="112">
        <f>IF($H735&lt;&gt;"Y",0,ROUND(MIN(Dashboard!$R$24,IF(IFERROR(VLOOKUP($B735,Dashboard!$Q$28:$S$60,2,FALSE),0)&gt;0,IFERROR(VLOOKUP($B735,Dashboard!$Q$28:$S$60,2,FALSE),0),$Z735*IF($U735&lt;&gt;"",ROUND((Dashboard!$R$4/$U735)*VLOOKUP($I735,Dashboard!$Q$9:$R$13,2,FALSE)*IF(ISNUMBER(SEARCH("Duals",$B735)),2,IF(ISNUMBER(SEARCH("Triples",$B735)),3,IF(ISNUMBER(SEARCH("Quads",$B735)),4,1))),2),ROUND(VLOOKUP($I735,Dashboard!$Q$15:$R$20,2,FALSE)*IF($E735="Red",Dashboard!$R$6,IF($E735="Gold",Dashboard!$R$7,Dashboard!$R$5))*IF(ISNUMBER(SEARCH("Duals",$B735)),2,IF(ISNUMBER(SEARCH("Triples",$B735)),3,IF(ISNUMBER(SEARCH("Quads",$B735)),4,1))),2))*IF(IFERROR(VLOOKUP($B735,Dashboard!$Q$28:$S$60,3,FALSE),0)&gt;0,VLOOKUP($B735,Dashboard!$Q$28:$S$60,3,FALSE),1))),0))</f>
        <v>1</v>
      </c>
      <c r="K735" s="2" t="str">
        <f>IF('Base S2'!C35="","",'Base S2'!C35)</f>
        <v>h</v>
      </c>
      <c r="L735" s="2">
        <f t="shared" si="143"/>
        <v>1</v>
      </c>
      <c r="M735" s="2">
        <f t="shared" si="144"/>
        <v>0</v>
      </c>
      <c r="N735" s="2">
        <f t="shared" si="145"/>
        <v>1</v>
      </c>
      <c r="O735" s="2">
        <f t="shared" si="146"/>
        <v>0</v>
      </c>
      <c r="P735" s="112">
        <f t="shared" si="147"/>
        <v>1</v>
      </c>
      <c r="Q735" s="112">
        <f t="shared" si="148"/>
        <v>0</v>
      </c>
      <c r="R735" s="53"/>
      <c r="S735" s="53" t="str">
        <f t="shared" si="149"/>
        <v>Base S2|Base Set - Season 2|134|Base</v>
      </c>
      <c r="T735" s="57" t="str">
        <f>IF($S735="","",IFERROR(VLOOKUP($S735,'Pop Estimates (Non-#d)'!$N$2:$O$500,2,FALSE),""))</f>
        <v/>
      </c>
      <c r="U735" s="57" t="str">
        <f t="shared" si="150"/>
        <v/>
      </c>
      <c r="V735" s="53" t="str">
        <f t="shared" si="151"/>
        <v/>
      </c>
      <c r="W735" s="53" t="str">
        <f t="shared" si="152"/>
        <v/>
      </c>
      <c r="X735" s="53" t="str">
        <f t="shared" si="153"/>
        <v/>
      </c>
      <c r="Y735" s="57" t="str">
        <f>IF($X735="","",IFERROR(VLOOKUP($X735,'Char Popularity'!$A$2:$C$500,2,FALSE),""))</f>
        <v/>
      </c>
      <c r="Z735" s="56">
        <f>IF($X735="",1,IFERROR(VLOOKUP($X735,'Char Popularity'!$A$2:$C$500,3,FALSE),1))</f>
        <v>1</v>
      </c>
      <c r="AA735" s="62">
        <f>IF($H735&lt;&gt;"Y",0,(IF($F735&lt;&gt;"",ROUND(Dashboard!$R$4/$F735,1),IF(AND($I735="Base",$E735="Base"),Dashboard!$R$5,IF(AND($I735="Base",$E735="Red"),Dashboard!$R$6,IF(AND($I735="Base",$E735="Gold"),Dashboard!$R$7,VLOOKUP($I735,Dashboard!$Q$16:$R$21,2,FALSE)))))*VLOOKUP($I735,Dashboard!$Q$9:$R$13,2,FALSE)*IF(AND($I735="Auto",$F735="",OR($B735="Autographs Duals",$B735="Autographs Triples",$B735="Autographs Quads",$B735="Autographs Quads (Inscribed)")),IF($B735="Autographs Duals",2,IF($B735="Autographs Triples",3,4)),1)))</f>
        <v>1</v>
      </c>
      <c r="AB735" s="62">
        <f t="shared" si="154"/>
        <v>1</v>
      </c>
      <c r="AC735" s="62">
        <f t="shared" si="155"/>
        <v>0</v>
      </c>
    </row>
    <row r="736" spans="1:29" ht="28.7" customHeight="1" x14ac:dyDescent="0.25">
      <c r="A736" s="4" t="s">
        <v>19</v>
      </c>
      <c r="B736" s="7" t="s">
        <v>74</v>
      </c>
      <c r="C736" s="2" t="s">
        <v>1534</v>
      </c>
      <c r="D736" s="7" t="s">
        <v>1100</v>
      </c>
      <c r="E736" s="4" t="s">
        <v>60</v>
      </c>
      <c r="F736" s="2"/>
      <c r="G736" s="2" t="s">
        <v>1399</v>
      </c>
      <c r="H736" s="2" t="s">
        <v>1400</v>
      </c>
      <c r="I736" s="4" t="s">
        <v>60</v>
      </c>
      <c r="J736" s="112">
        <f>IF($H736&lt;&gt;"Y",0,ROUND(MIN(Dashboard!$R$24,IF(IFERROR(VLOOKUP($B736,Dashboard!$Q$28:$S$60,2,FALSE),0)&gt;0,IFERROR(VLOOKUP($B736,Dashboard!$Q$28:$S$60,2,FALSE),0),$Z736*IF($U736&lt;&gt;"",ROUND((Dashboard!$R$4/$U736)*VLOOKUP($I736,Dashboard!$Q$9:$R$13,2,FALSE)*IF(ISNUMBER(SEARCH("Duals",$B736)),2,IF(ISNUMBER(SEARCH("Triples",$B736)),3,IF(ISNUMBER(SEARCH("Quads",$B736)),4,1))),2),ROUND(VLOOKUP($I736,Dashboard!$Q$15:$R$20,2,FALSE)*IF($E736="Red",Dashboard!$R$6,IF($E736="Gold",Dashboard!$R$7,Dashboard!$R$5))*IF(ISNUMBER(SEARCH("Duals",$B736)),2,IF(ISNUMBER(SEARCH("Triples",$B736)),3,IF(ISNUMBER(SEARCH("Quads",$B736)),4,1))),2))*IF(IFERROR(VLOOKUP($B736,Dashboard!$Q$28:$S$60,3,FALSE),0)&gt;0,VLOOKUP($B736,Dashboard!$Q$28:$S$60,3,FALSE),1))),0))</f>
        <v>1</v>
      </c>
      <c r="K736" s="2" t="str">
        <f>IF('Base S2'!C36="","",'Base S2'!C36)</f>
        <v>h</v>
      </c>
      <c r="L736" s="2">
        <f t="shared" si="143"/>
        <v>1</v>
      </c>
      <c r="M736" s="2">
        <f t="shared" si="144"/>
        <v>0</v>
      </c>
      <c r="N736" s="2">
        <f t="shared" si="145"/>
        <v>1</v>
      </c>
      <c r="O736" s="2">
        <f t="shared" si="146"/>
        <v>0</v>
      </c>
      <c r="P736" s="112">
        <f t="shared" si="147"/>
        <v>1</v>
      </c>
      <c r="Q736" s="112">
        <f t="shared" si="148"/>
        <v>0</v>
      </c>
      <c r="R736" s="53"/>
      <c r="S736" s="53" t="str">
        <f t="shared" si="149"/>
        <v>Base S2|Base Set - Season 2|135|Base</v>
      </c>
      <c r="T736" s="57" t="str">
        <f>IF($S736="","",IFERROR(VLOOKUP($S736,'Pop Estimates (Non-#d)'!$N$2:$O$500,2,FALSE),""))</f>
        <v/>
      </c>
      <c r="U736" s="57" t="str">
        <f t="shared" si="150"/>
        <v/>
      </c>
      <c r="V736" s="53" t="str">
        <f t="shared" si="151"/>
        <v/>
      </c>
      <c r="W736" s="53" t="str">
        <f t="shared" si="152"/>
        <v/>
      </c>
      <c r="X736" s="53" t="str">
        <f t="shared" si="153"/>
        <v/>
      </c>
      <c r="Y736" s="57" t="str">
        <f>IF($X736="","",IFERROR(VLOOKUP($X736,'Char Popularity'!$A$2:$C$500,2,FALSE),""))</f>
        <v/>
      </c>
      <c r="Z736" s="56">
        <f>IF($X736="",1,IFERROR(VLOOKUP($X736,'Char Popularity'!$A$2:$C$500,3,FALSE),1))</f>
        <v>1</v>
      </c>
      <c r="AA736" s="62">
        <f>IF($H736&lt;&gt;"Y",0,(IF($F736&lt;&gt;"",ROUND(Dashboard!$R$4/$F736,1),IF(AND($I736="Base",$E736="Base"),Dashboard!$R$5,IF(AND($I736="Base",$E736="Red"),Dashboard!$R$6,IF(AND($I736="Base",$E736="Gold"),Dashboard!$R$7,VLOOKUP($I736,Dashboard!$Q$16:$R$21,2,FALSE)))))*VLOOKUP($I736,Dashboard!$Q$9:$R$13,2,FALSE)*IF(AND($I736="Auto",$F736="",OR($B736="Autographs Duals",$B736="Autographs Triples",$B736="Autographs Quads",$B736="Autographs Quads (Inscribed)")),IF($B736="Autographs Duals",2,IF($B736="Autographs Triples",3,4)),1)))</f>
        <v>1</v>
      </c>
      <c r="AB736" s="62">
        <f t="shared" si="154"/>
        <v>1</v>
      </c>
      <c r="AC736" s="62">
        <f t="shared" si="155"/>
        <v>0</v>
      </c>
    </row>
    <row r="737" spans="1:29" ht="28.7" customHeight="1" x14ac:dyDescent="0.25">
      <c r="A737" s="4" t="s">
        <v>19</v>
      </c>
      <c r="B737" s="7" t="s">
        <v>74</v>
      </c>
      <c r="C737" s="2" t="s">
        <v>1535</v>
      </c>
      <c r="D737" s="7" t="s">
        <v>1101</v>
      </c>
      <c r="E737" s="4" t="s">
        <v>60</v>
      </c>
      <c r="F737" s="2"/>
      <c r="G737" s="2" t="s">
        <v>1399</v>
      </c>
      <c r="H737" s="2" t="s">
        <v>1400</v>
      </c>
      <c r="I737" s="4" t="s">
        <v>60</v>
      </c>
      <c r="J737" s="112">
        <f>IF($H737&lt;&gt;"Y",0,ROUND(MIN(Dashboard!$R$24,IF(IFERROR(VLOOKUP($B737,Dashboard!$Q$28:$S$60,2,FALSE),0)&gt;0,IFERROR(VLOOKUP($B737,Dashboard!$Q$28:$S$60,2,FALSE),0),$Z737*IF($U737&lt;&gt;"",ROUND((Dashboard!$R$4/$U737)*VLOOKUP($I737,Dashboard!$Q$9:$R$13,2,FALSE)*IF(ISNUMBER(SEARCH("Duals",$B737)),2,IF(ISNUMBER(SEARCH("Triples",$B737)),3,IF(ISNUMBER(SEARCH("Quads",$B737)),4,1))),2),ROUND(VLOOKUP($I737,Dashboard!$Q$15:$R$20,2,FALSE)*IF($E737="Red",Dashboard!$R$6,IF($E737="Gold",Dashboard!$R$7,Dashboard!$R$5))*IF(ISNUMBER(SEARCH("Duals",$B737)),2,IF(ISNUMBER(SEARCH("Triples",$B737)),3,IF(ISNUMBER(SEARCH("Quads",$B737)),4,1))),2))*IF(IFERROR(VLOOKUP($B737,Dashboard!$Q$28:$S$60,3,FALSE),0)&gt;0,VLOOKUP($B737,Dashboard!$Q$28:$S$60,3,FALSE),1))),0))</f>
        <v>1</v>
      </c>
      <c r="K737" s="2" t="str">
        <f>IF('Base S2'!C37="","",'Base S2'!C37)</f>
        <v>h</v>
      </c>
      <c r="L737" s="2">
        <f t="shared" si="143"/>
        <v>1</v>
      </c>
      <c r="M737" s="2">
        <f t="shared" si="144"/>
        <v>0</v>
      </c>
      <c r="N737" s="2">
        <f t="shared" si="145"/>
        <v>1</v>
      </c>
      <c r="O737" s="2">
        <f t="shared" si="146"/>
        <v>0</v>
      </c>
      <c r="P737" s="112">
        <f t="shared" si="147"/>
        <v>1</v>
      </c>
      <c r="Q737" s="112">
        <f t="shared" si="148"/>
        <v>0</v>
      </c>
      <c r="R737" s="53"/>
      <c r="S737" s="53" t="str">
        <f t="shared" si="149"/>
        <v>Base S2|Base Set - Season 2|136|Base</v>
      </c>
      <c r="T737" s="57" t="str">
        <f>IF($S737="","",IFERROR(VLOOKUP($S737,'Pop Estimates (Non-#d)'!$N$2:$O$500,2,FALSE),""))</f>
        <v/>
      </c>
      <c r="U737" s="57" t="str">
        <f t="shared" si="150"/>
        <v/>
      </c>
      <c r="V737" s="53" t="str">
        <f t="shared" si="151"/>
        <v/>
      </c>
      <c r="W737" s="53" t="str">
        <f t="shared" si="152"/>
        <v/>
      </c>
      <c r="X737" s="53" t="str">
        <f t="shared" si="153"/>
        <v/>
      </c>
      <c r="Y737" s="57" t="str">
        <f>IF($X737="","",IFERROR(VLOOKUP($X737,'Char Popularity'!$A$2:$C$500,2,FALSE),""))</f>
        <v/>
      </c>
      <c r="Z737" s="56">
        <f>IF($X737="",1,IFERROR(VLOOKUP($X737,'Char Popularity'!$A$2:$C$500,3,FALSE),1))</f>
        <v>1</v>
      </c>
      <c r="AA737" s="62">
        <f>IF($H737&lt;&gt;"Y",0,(IF($F737&lt;&gt;"",ROUND(Dashboard!$R$4/$F737,1),IF(AND($I737="Base",$E737="Base"),Dashboard!$R$5,IF(AND($I737="Base",$E737="Red"),Dashboard!$R$6,IF(AND($I737="Base",$E737="Gold"),Dashboard!$R$7,VLOOKUP($I737,Dashboard!$Q$16:$R$21,2,FALSE)))))*VLOOKUP($I737,Dashboard!$Q$9:$R$13,2,FALSE)*IF(AND($I737="Auto",$F737="",OR($B737="Autographs Duals",$B737="Autographs Triples",$B737="Autographs Quads",$B737="Autographs Quads (Inscribed)")),IF($B737="Autographs Duals",2,IF($B737="Autographs Triples",3,4)),1)))</f>
        <v>1</v>
      </c>
      <c r="AB737" s="62">
        <f t="shared" si="154"/>
        <v>1</v>
      </c>
      <c r="AC737" s="62">
        <f t="shared" si="155"/>
        <v>0</v>
      </c>
    </row>
    <row r="738" spans="1:29" ht="28.7" customHeight="1" x14ac:dyDescent="0.25">
      <c r="A738" s="4" t="s">
        <v>19</v>
      </c>
      <c r="B738" s="7" t="s">
        <v>74</v>
      </c>
      <c r="C738" s="2" t="s">
        <v>1536</v>
      </c>
      <c r="D738" s="7" t="s">
        <v>1103</v>
      </c>
      <c r="E738" s="4" t="s">
        <v>60</v>
      </c>
      <c r="F738" s="2"/>
      <c r="G738" s="2" t="s">
        <v>1399</v>
      </c>
      <c r="H738" s="2" t="s">
        <v>1400</v>
      </c>
      <c r="I738" s="4" t="s">
        <v>60</v>
      </c>
      <c r="J738" s="112">
        <f>IF($H738&lt;&gt;"Y",0,ROUND(MIN(Dashboard!$R$24,IF(IFERROR(VLOOKUP($B738,Dashboard!$Q$28:$S$60,2,FALSE),0)&gt;0,IFERROR(VLOOKUP($B738,Dashboard!$Q$28:$S$60,2,FALSE),0),$Z738*IF($U738&lt;&gt;"",ROUND((Dashboard!$R$4/$U738)*VLOOKUP($I738,Dashboard!$Q$9:$R$13,2,FALSE)*IF(ISNUMBER(SEARCH("Duals",$B738)),2,IF(ISNUMBER(SEARCH("Triples",$B738)),3,IF(ISNUMBER(SEARCH("Quads",$B738)),4,1))),2),ROUND(VLOOKUP($I738,Dashboard!$Q$15:$R$20,2,FALSE)*IF($E738="Red",Dashboard!$R$6,IF($E738="Gold",Dashboard!$R$7,Dashboard!$R$5))*IF(ISNUMBER(SEARCH("Duals",$B738)),2,IF(ISNUMBER(SEARCH("Triples",$B738)),3,IF(ISNUMBER(SEARCH("Quads",$B738)),4,1))),2))*IF(IFERROR(VLOOKUP($B738,Dashboard!$Q$28:$S$60,3,FALSE),0)&gt;0,VLOOKUP($B738,Dashboard!$Q$28:$S$60,3,FALSE),1))),0))</f>
        <v>1</v>
      </c>
      <c r="K738" s="2" t="str">
        <f>IF('Base S2'!C38="","",'Base S2'!C38)</f>
        <v>h</v>
      </c>
      <c r="L738" s="2">
        <f t="shared" si="143"/>
        <v>1</v>
      </c>
      <c r="M738" s="2">
        <f t="shared" si="144"/>
        <v>0</v>
      </c>
      <c r="N738" s="2">
        <f t="shared" si="145"/>
        <v>1</v>
      </c>
      <c r="O738" s="2">
        <f t="shared" si="146"/>
        <v>0</v>
      </c>
      <c r="P738" s="112">
        <f t="shared" si="147"/>
        <v>1</v>
      </c>
      <c r="Q738" s="112">
        <f t="shared" si="148"/>
        <v>0</v>
      </c>
      <c r="R738" s="53"/>
      <c r="S738" s="53" t="str">
        <f t="shared" si="149"/>
        <v>Base S2|Base Set - Season 2|137|Base</v>
      </c>
      <c r="T738" s="57" t="str">
        <f>IF($S738="","",IFERROR(VLOOKUP($S738,'Pop Estimates (Non-#d)'!$N$2:$O$500,2,FALSE),""))</f>
        <v/>
      </c>
      <c r="U738" s="57" t="str">
        <f t="shared" si="150"/>
        <v/>
      </c>
      <c r="V738" s="53" t="str">
        <f t="shared" si="151"/>
        <v/>
      </c>
      <c r="W738" s="53" t="str">
        <f t="shared" si="152"/>
        <v/>
      </c>
      <c r="X738" s="53" t="str">
        <f t="shared" si="153"/>
        <v/>
      </c>
      <c r="Y738" s="57" t="str">
        <f>IF($X738="","",IFERROR(VLOOKUP($X738,'Char Popularity'!$A$2:$C$500,2,FALSE),""))</f>
        <v/>
      </c>
      <c r="Z738" s="56">
        <f>IF($X738="",1,IFERROR(VLOOKUP($X738,'Char Popularity'!$A$2:$C$500,3,FALSE),1))</f>
        <v>1</v>
      </c>
      <c r="AA738" s="62">
        <f>IF($H738&lt;&gt;"Y",0,(IF($F738&lt;&gt;"",ROUND(Dashboard!$R$4/$F738,1),IF(AND($I738="Base",$E738="Base"),Dashboard!$R$5,IF(AND($I738="Base",$E738="Red"),Dashboard!$R$6,IF(AND($I738="Base",$E738="Gold"),Dashboard!$R$7,VLOOKUP($I738,Dashboard!$Q$16:$R$21,2,FALSE)))))*VLOOKUP($I738,Dashboard!$Q$9:$R$13,2,FALSE)*IF(AND($I738="Auto",$F738="",OR($B738="Autographs Duals",$B738="Autographs Triples",$B738="Autographs Quads",$B738="Autographs Quads (Inscribed)")),IF($B738="Autographs Duals",2,IF($B738="Autographs Triples",3,4)),1)))</f>
        <v>1</v>
      </c>
      <c r="AB738" s="62">
        <f t="shared" si="154"/>
        <v>1</v>
      </c>
      <c r="AC738" s="62">
        <f t="shared" si="155"/>
        <v>0</v>
      </c>
    </row>
    <row r="739" spans="1:29" ht="28.7" customHeight="1" x14ac:dyDescent="0.25">
      <c r="A739" s="4" t="s">
        <v>19</v>
      </c>
      <c r="B739" s="7" t="s">
        <v>74</v>
      </c>
      <c r="C739" s="2" t="s">
        <v>1537</v>
      </c>
      <c r="D739" s="7" t="s">
        <v>1104</v>
      </c>
      <c r="E739" s="4" t="s">
        <v>60</v>
      </c>
      <c r="F739" s="2"/>
      <c r="G739" s="2" t="s">
        <v>1399</v>
      </c>
      <c r="H739" s="2" t="s">
        <v>1400</v>
      </c>
      <c r="I739" s="4" t="s">
        <v>60</v>
      </c>
      <c r="J739" s="112">
        <f>IF($H739&lt;&gt;"Y",0,ROUND(MIN(Dashboard!$R$24,IF(IFERROR(VLOOKUP($B739,Dashboard!$Q$28:$S$60,2,FALSE),0)&gt;0,IFERROR(VLOOKUP($B739,Dashboard!$Q$28:$S$60,2,FALSE),0),$Z739*IF($U739&lt;&gt;"",ROUND((Dashboard!$R$4/$U739)*VLOOKUP($I739,Dashboard!$Q$9:$R$13,2,FALSE)*IF(ISNUMBER(SEARCH("Duals",$B739)),2,IF(ISNUMBER(SEARCH("Triples",$B739)),3,IF(ISNUMBER(SEARCH("Quads",$B739)),4,1))),2),ROUND(VLOOKUP($I739,Dashboard!$Q$15:$R$20,2,FALSE)*IF($E739="Red",Dashboard!$R$6,IF($E739="Gold",Dashboard!$R$7,Dashboard!$R$5))*IF(ISNUMBER(SEARCH("Duals",$B739)),2,IF(ISNUMBER(SEARCH("Triples",$B739)),3,IF(ISNUMBER(SEARCH("Quads",$B739)),4,1))),2))*IF(IFERROR(VLOOKUP($B739,Dashboard!$Q$28:$S$60,3,FALSE),0)&gt;0,VLOOKUP($B739,Dashboard!$Q$28:$S$60,3,FALSE),1))),0))</f>
        <v>1</v>
      </c>
      <c r="K739" s="2" t="str">
        <f>IF('Base S2'!C39="","",'Base S2'!C39)</f>
        <v>h</v>
      </c>
      <c r="L739" s="2">
        <f t="shared" si="143"/>
        <v>1</v>
      </c>
      <c r="M739" s="2">
        <f t="shared" si="144"/>
        <v>0</v>
      </c>
      <c r="N739" s="2">
        <f t="shared" si="145"/>
        <v>1</v>
      </c>
      <c r="O739" s="2">
        <f t="shared" si="146"/>
        <v>0</v>
      </c>
      <c r="P739" s="112">
        <f t="shared" si="147"/>
        <v>1</v>
      </c>
      <c r="Q739" s="112">
        <f t="shared" si="148"/>
        <v>0</v>
      </c>
      <c r="R739" s="53"/>
      <c r="S739" s="53" t="str">
        <f t="shared" si="149"/>
        <v>Base S2|Base Set - Season 2|138|Base</v>
      </c>
      <c r="T739" s="57" t="str">
        <f>IF($S739="","",IFERROR(VLOOKUP($S739,'Pop Estimates (Non-#d)'!$N$2:$O$500,2,FALSE),""))</f>
        <v/>
      </c>
      <c r="U739" s="57" t="str">
        <f t="shared" si="150"/>
        <v/>
      </c>
      <c r="V739" s="53" t="str">
        <f t="shared" si="151"/>
        <v/>
      </c>
      <c r="W739" s="53" t="str">
        <f t="shared" si="152"/>
        <v/>
      </c>
      <c r="X739" s="53" t="str">
        <f t="shared" si="153"/>
        <v/>
      </c>
      <c r="Y739" s="57" t="str">
        <f>IF($X739="","",IFERROR(VLOOKUP($X739,'Char Popularity'!$A$2:$C$500,2,FALSE),""))</f>
        <v/>
      </c>
      <c r="Z739" s="56">
        <f>IF($X739="",1,IFERROR(VLOOKUP($X739,'Char Popularity'!$A$2:$C$500,3,FALSE),1))</f>
        <v>1</v>
      </c>
      <c r="AA739" s="62">
        <f>IF($H739&lt;&gt;"Y",0,(IF($F739&lt;&gt;"",ROUND(Dashboard!$R$4/$F739,1),IF(AND($I739="Base",$E739="Base"),Dashboard!$R$5,IF(AND($I739="Base",$E739="Red"),Dashboard!$R$6,IF(AND($I739="Base",$E739="Gold"),Dashboard!$R$7,VLOOKUP($I739,Dashboard!$Q$16:$R$21,2,FALSE)))))*VLOOKUP($I739,Dashboard!$Q$9:$R$13,2,FALSE)*IF(AND($I739="Auto",$F739="",OR($B739="Autographs Duals",$B739="Autographs Triples",$B739="Autographs Quads",$B739="Autographs Quads (Inscribed)")),IF($B739="Autographs Duals",2,IF($B739="Autographs Triples",3,4)),1)))</f>
        <v>1</v>
      </c>
      <c r="AB739" s="62">
        <f t="shared" si="154"/>
        <v>1</v>
      </c>
      <c r="AC739" s="62">
        <f t="shared" si="155"/>
        <v>0</v>
      </c>
    </row>
    <row r="740" spans="1:29" ht="28.7" customHeight="1" x14ac:dyDescent="0.25">
      <c r="A740" s="4" t="s">
        <v>19</v>
      </c>
      <c r="B740" s="7" t="s">
        <v>74</v>
      </c>
      <c r="C740" s="2" t="s">
        <v>1538</v>
      </c>
      <c r="D740" s="7" t="s">
        <v>1106</v>
      </c>
      <c r="E740" s="4" t="s">
        <v>60</v>
      </c>
      <c r="F740" s="2"/>
      <c r="G740" s="2" t="s">
        <v>1399</v>
      </c>
      <c r="H740" s="2" t="s">
        <v>1400</v>
      </c>
      <c r="I740" s="4" t="s">
        <v>60</v>
      </c>
      <c r="J740" s="112">
        <f>IF($H740&lt;&gt;"Y",0,ROUND(MIN(Dashboard!$R$24,IF(IFERROR(VLOOKUP($B740,Dashboard!$Q$28:$S$60,2,FALSE),0)&gt;0,IFERROR(VLOOKUP($B740,Dashboard!$Q$28:$S$60,2,FALSE),0),$Z740*IF($U740&lt;&gt;"",ROUND((Dashboard!$R$4/$U740)*VLOOKUP($I740,Dashboard!$Q$9:$R$13,2,FALSE)*IF(ISNUMBER(SEARCH("Duals",$B740)),2,IF(ISNUMBER(SEARCH("Triples",$B740)),3,IF(ISNUMBER(SEARCH("Quads",$B740)),4,1))),2),ROUND(VLOOKUP($I740,Dashboard!$Q$15:$R$20,2,FALSE)*IF($E740="Red",Dashboard!$R$6,IF($E740="Gold",Dashboard!$R$7,Dashboard!$R$5))*IF(ISNUMBER(SEARCH("Duals",$B740)),2,IF(ISNUMBER(SEARCH("Triples",$B740)),3,IF(ISNUMBER(SEARCH("Quads",$B740)),4,1))),2))*IF(IFERROR(VLOOKUP($B740,Dashboard!$Q$28:$S$60,3,FALSE),0)&gt;0,VLOOKUP($B740,Dashboard!$Q$28:$S$60,3,FALSE),1))),0))</f>
        <v>1</v>
      </c>
      <c r="K740" s="2" t="str">
        <f>IF('Base S2'!C40="","",'Base S2'!C40)</f>
        <v>h</v>
      </c>
      <c r="L740" s="2">
        <f t="shared" si="143"/>
        <v>1</v>
      </c>
      <c r="M740" s="2">
        <f t="shared" si="144"/>
        <v>0</v>
      </c>
      <c r="N740" s="2">
        <f t="shared" si="145"/>
        <v>1</v>
      </c>
      <c r="O740" s="2">
        <f t="shared" si="146"/>
        <v>0</v>
      </c>
      <c r="P740" s="112">
        <f t="shared" si="147"/>
        <v>1</v>
      </c>
      <c r="Q740" s="112">
        <f t="shared" si="148"/>
        <v>0</v>
      </c>
      <c r="R740" s="53"/>
      <c r="S740" s="53" t="str">
        <f t="shared" si="149"/>
        <v>Base S2|Base Set - Season 2|139|Base</v>
      </c>
      <c r="T740" s="57" t="str">
        <f>IF($S740="","",IFERROR(VLOOKUP($S740,'Pop Estimates (Non-#d)'!$N$2:$O$500,2,FALSE),""))</f>
        <v/>
      </c>
      <c r="U740" s="57" t="str">
        <f t="shared" si="150"/>
        <v/>
      </c>
      <c r="V740" s="53" t="str">
        <f t="shared" si="151"/>
        <v/>
      </c>
      <c r="W740" s="53" t="str">
        <f t="shared" si="152"/>
        <v/>
      </c>
      <c r="X740" s="53" t="str">
        <f t="shared" si="153"/>
        <v/>
      </c>
      <c r="Y740" s="57" t="str">
        <f>IF($X740="","",IFERROR(VLOOKUP($X740,'Char Popularity'!$A$2:$C$500,2,FALSE),""))</f>
        <v/>
      </c>
      <c r="Z740" s="56">
        <f>IF($X740="",1,IFERROR(VLOOKUP($X740,'Char Popularity'!$A$2:$C$500,3,FALSE),1))</f>
        <v>1</v>
      </c>
      <c r="AA740" s="62">
        <f>IF($H740&lt;&gt;"Y",0,(IF($F740&lt;&gt;"",ROUND(Dashboard!$R$4/$F740,1),IF(AND($I740="Base",$E740="Base"),Dashboard!$R$5,IF(AND($I740="Base",$E740="Red"),Dashboard!$R$6,IF(AND($I740="Base",$E740="Gold"),Dashboard!$R$7,VLOOKUP($I740,Dashboard!$Q$16:$R$21,2,FALSE)))))*VLOOKUP($I740,Dashboard!$Q$9:$R$13,2,FALSE)*IF(AND($I740="Auto",$F740="",OR($B740="Autographs Duals",$B740="Autographs Triples",$B740="Autographs Quads",$B740="Autographs Quads (Inscribed)")),IF($B740="Autographs Duals",2,IF($B740="Autographs Triples",3,4)),1)))</f>
        <v>1</v>
      </c>
      <c r="AB740" s="62">
        <f t="shared" si="154"/>
        <v>1</v>
      </c>
      <c r="AC740" s="62">
        <f t="shared" si="155"/>
        <v>0</v>
      </c>
    </row>
    <row r="741" spans="1:29" ht="28.7" customHeight="1" x14ac:dyDescent="0.25">
      <c r="A741" s="4" t="s">
        <v>19</v>
      </c>
      <c r="B741" s="7" t="s">
        <v>74</v>
      </c>
      <c r="C741" s="2" t="s">
        <v>1539</v>
      </c>
      <c r="D741" s="7" t="s">
        <v>1108</v>
      </c>
      <c r="E741" s="4" t="s">
        <v>60</v>
      </c>
      <c r="F741" s="2"/>
      <c r="G741" s="2" t="s">
        <v>1399</v>
      </c>
      <c r="H741" s="2" t="s">
        <v>1400</v>
      </c>
      <c r="I741" s="4" t="s">
        <v>60</v>
      </c>
      <c r="J741" s="112">
        <f>IF($H741&lt;&gt;"Y",0,ROUND(MIN(Dashboard!$R$24,IF(IFERROR(VLOOKUP($B741,Dashboard!$Q$28:$S$60,2,FALSE),0)&gt;0,IFERROR(VLOOKUP($B741,Dashboard!$Q$28:$S$60,2,FALSE),0),$Z741*IF($U741&lt;&gt;"",ROUND((Dashboard!$R$4/$U741)*VLOOKUP($I741,Dashboard!$Q$9:$R$13,2,FALSE)*IF(ISNUMBER(SEARCH("Duals",$B741)),2,IF(ISNUMBER(SEARCH("Triples",$B741)),3,IF(ISNUMBER(SEARCH("Quads",$B741)),4,1))),2),ROUND(VLOOKUP($I741,Dashboard!$Q$15:$R$20,2,FALSE)*IF($E741="Red",Dashboard!$R$6,IF($E741="Gold",Dashboard!$R$7,Dashboard!$R$5))*IF(ISNUMBER(SEARCH("Duals",$B741)),2,IF(ISNUMBER(SEARCH("Triples",$B741)),3,IF(ISNUMBER(SEARCH("Quads",$B741)),4,1))),2))*IF(IFERROR(VLOOKUP($B741,Dashboard!$Q$28:$S$60,3,FALSE),0)&gt;0,VLOOKUP($B741,Dashboard!$Q$28:$S$60,3,FALSE),1))),0))</f>
        <v>1</v>
      </c>
      <c r="K741" s="2" t="str">
        <f>IF('Base S2'!C41="","",'Base S2'!C41)</f>
        <v>h</v>
      </c>
      <c r="L741" s="2">
        <f t="shared" si="143"/>
        <v>1</v>
      </c>
      <c r="M741" s="2">
        <f t="shared" si="144"/>
        <v>0</v>
      </c>
      <c r="N741" s="2">
        <f t="shared" si="145"/>
        <v>1</v>
      </c>
      <c r="O741" s="2">
        <f t="shared" si="146"/>
        <v>0</v>
      </c>
      <c r="P741" s="112">
        <f t="shared" si="147"/>
        <v>1</v>
      </c>
      <c r="Q741" s="112">
        <f t="shared" si="148"/>
        <v>0</v>
      </c>
      <c r="R741" s="53"/>
      <c r="S741" s="53" t="str">
        <f t="shared" si="149"/>
        <v>Base S2|Base Set - Season 2|140|Base</v>
      </c>
      <c r="T741" s="57" t="str">
        <f>IF($S741="","",IFERROR(VLOOKUP($S741,'Pop Estimates (Non-#d)'!$N$2:$O$500,2,FALSE),""))</f>
        <v/>
      </c>
      <c r="U741" s="57" t="str">
        <f t="shared" si="150"/>
        <v/>
      </c>
      <c r="V741" s="53" t="str">
        <f t="shared" si="151"/>
        <v/>
      </c>
      <c r="W741" s="53" t="str">
        <f t="shared" si="152"/>
        <v/>
      </c>
      <c r="X741" s="53" t="str">
        <f t="shared" si="153"/>
        <v/>
      </c>
      <c r="Y741" s="57" t="str">
        <f>IF($X741="","",IFERROR(VLOOKUP($X741,'Char Popularity'!$A$2:$C$500,2,FALSE),""))</f>
        <v/>
      </c>
      <c r="Z741" s="56">
        <f>IF($X741="",1,IFERROR(VLOOKUP($X741,'Char Popularity'!$A$2:$C$500,3,FALSE),1))</f>
        <v>1</v>
      </c>
      <c r="AA741" s="62">
        <f>IF($H741&lt;&gt;"Y",0,(IF($F741&lt;&gt;"",ROUND(Dashboard!$R$4/$F741,1),IF(AND($I741="Base",$E741="Base"),Dashboard!$R$5,IF(AND($I741="Base",$E741="Red"),Dashboard!$R$6,IF(AND($I741="Base",$E741="Gold"),Dashboard!$R$7,VLOOKUP($I741,Dashboard!$Q$16:$R$21,2,FALSE)))))*VLOOKUP($I741,Dashboard!$Q$9:$R$13,2,FALSE)*IF(AND($I741="Auto",$F741="",OR($B741="Autographs Duals",$B741="Autographs Triples",$B741="Autographs Quads",$B741="Autographs Quads (Inscribed)")),IF($B741="Autographs Duals",2,IF($B741="Autographs Triples",3,4)),1)))</f>
        <v>1</v>
      </c>
      <c r="AB741" s="62">
        <f t="shared" si="154"/>
        <v>1</v>
      </c>
      <c r="AC741" s="62">
        <f t="shared" si="155"/>
        <v>0</v>
      </c>
    </row>
    <row r="742" spans="1:29" ht="28.7" customHeight="1" x14ac:dyDescent="0.25">
      <c r="A742" s="4" t="s">
        <v>19</v>
      </c>
      <c r="B742" s="7" t="s">
        <v>74</v>
      </c>
      <c r="C742" s="2" t="s">
        <v>1540</v>
      </c>
      <c r="D742" s="7" t="s">
        <v>1109</v>
      </c>
      <c r="E742" s="4" t="s">
        <v>60</v>
      </c>
      <c r="F742" s="2"/>
      <c r="G742" s="2" t="s">
        <v>1399</v>
      </c>
      <c r="H742" s="2" t="s">
        <v>1400</v>
      </c>
      <c r="I742" s="4" t="s">
        <v>60</v>
      </c>
      <c r="J742" s="112">
        <f>IF($H742&lt;&gt;"Y",0,ROUND(MIN(Dashboard!$R$24,IF(IFERROR(VLOOKUP($B742,Dashboard!$Q$28:$S$60,2,FALSE),0)&gt;0,IFERROR(VLOOKUP($B742,Dashboard!$Q$28:$S$60,2,FALSE),0),$Z742*IF($U742&lt;&gt;"",ROUND((Dashboard!$R$4/$U742)*VLOOKUP($I742,Dashboard!$Q$9:$R$13,2,FALSE)*IF(ISNUMBER(SEARCH("Duals",$B742)),2,IF(ISNUMBER(SEARCH("Triples",$B742)),3,IF(ISNUMBER(SEARCH("Quads",$B742)),4,1))),2),ROUND(VLOOKUP($I742,Dashboard!$Q$15:$R$20,2,FALSE)*IF($E742="Red",Dashboard!$R$6,IF($E742="Gold",Dashboard!$R$7,Dashboard!$R$5))*IF(ISNUMBER(SEARCH("Duals",$B742)),2,IF(ISNUMBER(SEARCH("Triples",$B742)),3,IF(ISNUMBER(SEARCH("Quads",$B742)),4,1))),2))*IF(IFERROR(VLOOKUP($B742,Dashboard!$Q$28:$S$60,3,FALSE),0)&gt;0,VLOOKUP($B742,Dashboard!$Q$28:$S$60,3,FALSE),1))),0))</f>
        <v>1</v>
      </c>
      <c r="K742" s="2" t="str">
        <f>IF('Base S2'!C42="","",'Base S2'!C42)</f>
        <v>h</v>
      </c>
      <c r="L742" s="2">
        <f t="shared" si="143"/>
        <v>1</v>
      </c>
      <c r="M742" s="2">
        <f t="shared" si="144"/>
        <v>0</v>
      </c>
      <c r="N742" s="2">
        <f t="shared" si="145"/>
        <v>1</v>
      </c>
      <c r="O742" s="2">
        <f t="shared" si="146"/>
        <v>0</v>
      </c>
      <c r="P742" s="112">
        <f t="shared" si="147"/>
        <v>1</v>
      </c>
      <c r="Q742" s="112">
        <f t="shared" si="148"/>
        <v>0</v>
      </c>
      <c r="R742" s="53"/>
      <c r="S742" s="53" t="str">
        <f t="shared" si="149"/>
        <v>Base S2|Base Set - Season 2|141|Base</v>
      </c>
      <c r="T742" s="57" t="str">
        <f>IF($S742="","",IFERROR(VLOOKUP($S742,'Pop Estimates (Non-#d)'!$N$2:$O$500,2,FALSE),""))</f>
        <v/>
      </c>
      <c r="U742" s="57" t="str">
        <f t="shared" si="150"/>
        <v/>
      </c>
      <c r="V742" s="53" t="str">
        <f t="shared" si="151"/>
        <v/>
      </c>
      <c r="W742" s="53" t="str">
        <f t="shared" si="152"/>
        <v/>
      </c>
      <c r="X742" s="53" t="str">
        <f t="shared" si="153"/>
        <v/>
      </c>
      <c r="Y742" s="57" t="str">
        <f>IF($X742="","",IFERROR(VLOOKUP($X742,'Char Popularity'!$A$2:$C$500,2,FALSE),""))</f>
        <v/>
      </c>
      <c r="Z742" s="56">
        <f>IF($X742="",1,IFERROR(VLOOKUP($X742,'Char Popularity'!$A$2:$C$500,3,FALSE),1))</f>
        <v>1</v>
      </c>
      <c r="AA742" s="62">
        <f>IF($H742&lt;&gt;"Y",0,(IF($F742&lt;&gt;"",ROUND(Dashboard!$R$4/$F742,1),IF(AND($I742="Base",$E742="Base"),Dashboard!$R$5,IF(AND($I742="Base",$E742="Red"),Dashboard!$R$6,IF(AND($I742="Base",$E742="Gold"),Dashboard!$R$7,VLOOKUP($I742,Dashboard!$Q$16:$R$21,2,FALSE)))))*VLOOKUP($I742,Dashboard!$Q$9:$R$13,2,FALSE)*IF(AND($I742="Auto",$F742="",OR($B742="Autographs Duals",$B742="Autographs Triples",$B742="Autographs Quads",$B742="Autographs Quads (Inscribed)")),IF($B742="Autographs Duals",2,IF($B742="Autographs Triples",3,4)),1)))</f>
        <v>1</v>
      </c>
      <c r="AB742" s="62">
        <f t="shared" si="154"/>
        <v>1</v>
      </c>
      <c r="AC742" s="62">
        <f t="shared" si="155"/>
        <v>0</v>
      </c>
    </row>
    <row r="743" spans="1:29" ht="28.7" customHeight="1" x14ac:dyDescent="0.25">
      <c r="A743" s="4" t="s">
        <v>19</v>
      </c>
      <c r="B743" s="7" t="s">
        <v>74</v>
      </c>
      <c r="C743" s="2" t="s">
        <v>1541</v>
      </c>
      <c r="D743" s="7" t="s">
        <v>1110</v>
      </c>
      <c r="E743" s="4" t="s">
        <v>60</v>
      </c>
      <c r="F743" s="2"/>
      <c r="G743" s="2" t="s">
        <v>1399</v>
      </c>
      <c r="H743" s="2" t="s">
        <v>1400</v>
      </c>
      <c r="I743" s="4" t="s">
        <v>60</v>
      </c>
      <c r="J743" s="112">
        <f>IF($H743&lt;&gt;"Y",0,ROUND(MIN(Dashboard!$R$24,IF(IFERROR(VLOOKUP($B743,Dashboard!$Q$28:$S$60,2,FALSE),0)&gt;0,IFERROR(VLOOKUP($B743,Dashboard!$Q$28:$S$60,2,FALSE),0),$Z743*IF($U743&lt;&gt;"",ROUND((Dashboard!$R$4/$U743)*VLOOKUP($I743,Dashboard!$Q$9:$R$13,2,FALSE)*IF(ISNUMBER(SEARCH("Duals",$B743)),2,IF(ISNUMBER(SEARCH("Triples",$B743)),3,IF(ISNUMBER(SEARCH("Quads",$B743)),4,1))),2),ROUND(VLOOKUP($I743,Dashboard!$Q$15:$R$20,2,FALSE)*IF($E743="Red",Dashboard!$R$6,IF($E743="Gold",Dashboard!$R$7,Dashboard!$R$5))*IF(ISNUMBER(SEARCH("Duals",$B743)),2,IF(ISNUMBER(SEARCH("Triples",$B743)),3,IF(ISNUMBER(SEARCH("Quads",$B743)),4,1))),2))*IF(IFERROR(VLOOKUP($B743,Dashboard!$Q$28:$S$60,3,FALSE),0)&gt;0,VLOOKUP($B743,Dashboard!$Q$28:$S$60,3,FALSE),1))),0))</f>
        <v>1</v>
      </c>
      <c r="K743" s="2" t="str">
        <f>IF('Base S2'!C43="","",'Base S2'!C43)</f>
        <v>h</v>
      </c>
      <c r="L743" s="2">
        <f t="shared" si="143"/>
        <v>1</v>
      </c>
      <c r="M743" s="2">
        <f t="shared" si="144"/>
        <v>0</v>
      </c>
      <c r="N743" s="2">
        <f t="shared" si="145"/>
        <v>1</v>
      </c>
      <c r="O743" s="2">
        <f t="shared" si="146"/>
        <v>0</v>
      </c>
      <c r="P743" s="112">
        <f t="shared" si="147"/>
        <v>1</v>
      </c>
      <c r="Q743" s="112">
        <f t="shared" si="148"/>
        <v>0</v>
      </c>
      <c r="R743" s="53"/>
      <c r="S743" s="53" t="str">
        <f t="shared" si="149"/>
        <v>Base S2|Base Set - Season 2|142|Base</v>
      </c>
      <c r="T743" s="57" t="str">
        <f>IF($S743="","",IFERROR(VLOOKUP($S743,'Pop Estimates (Non-#d)'!$N$2:$O$500,2,FALSE),""))</f>
        <v/>
      </c>
      <c r="U743" s="57" t="str">
        <f t="shared" si="150"/>
        <v/>
      </c>
      <c r="V743" s="53" t="str">
        <f t="shared" si="151"/>
        <v/>
      </c>
      <c r="W743" s="53" t="str">
        <f t="shared" si="152"/>
        <v/>
      </c>
      <c r="X743" s="53" t="str">
        <f t="shared" si="153"/>
        <v/>
      </c>
      <c r="Y743" s="57" t="str">
        <f>IF($X743="","",IFERROR(VLOOKUP($X743,'Char Popularity'!$A$2:$C$500,2,FALSE),""))</f>
        <v/>
      </c>
      <c r="Z743" s="56">
        <f>IF($X743="",1,IFERROR(VLOOKUP($X743,'Char Popularity'!$A$2:$C$500,3,FALSE),1))</f>
        <v>1</v>
      </c>
      <c r="AA743" s="62">
        <f>IF($H743&lt;&gt;"Y",0,(IF($F743&lt;&gt;"",ROUND(Dashboard!$R$4/$F743,1),IF(AND($I743="Base",$E743="Base"),Dashboard!$R$5,IF(AND($I743="Base",$E743="Red"),Dashboard!$R$6,IF(AND($I743="Base",$E743="Gold"),Dashboard!$R$7,VLOOKUP($I743,Dashboard!$Q$16:$R$21,2,FALSE)))))*VLOOKUP($I743,Dashboard!$Q$9:$R$13,2,FALSE)*IF(AND($I743="Auto",$F743="",OR($B743="Autographs Duals",$B743="Autographs Triples",$B743="Autographs Quads",$B743="Autographs Quads (Inscribed)")),IF($B743="Autographs Duals",2,IF($B743="Autographs Triples",3,4)),1)))</f>
        <v>1</v>
      </c>
      <c r="AB743" s="62">
        <f t="shared" si="154"/>
        <v>1</v>
      </c>
      <c r="AC743" s="62">
        <f t="shared" si="155"/>
        <v>0</v>
      </c>
    </row>
    <row r="744" spans="1:29" ht="28.7" customHeight="1" x14ac:dyDescent="0.25">
      <c r="A744" s="4" t="s">
        <v>19</v>
      </c>
      <c r="B744" s="7" t="s">
        <v>74</v>
      </c>
      <c r="C744" s="2" t="s">
        <v>1542</v>
      </c>
      <c r="D744" s="7" t="s">
        <v>1111</v>
      </c>
      <c r="E744" s="4" t="s">
        <v>60</v>
      </c>
      <c r="F744" s="2"/>
      <c r="G744" s="2" t="s">
        <v>1399</v>
      </c>
      <c r="H744" s="2" t="s">
        <v>1400</v>
      </c>
      <c r="I744" s="4" t="s">
        <v>60</v>
      </c>
      <c r="J744" s="112">
        <f>IF($H744&lt;&gt;"Y",0,ROUND(MIN(Dashboard!$R$24,IF(IFERROR(VLOOKUP($B744,Dashboard!$Q$28:$S$60,2,FALSE),0)&gt;0,IFERROR(VLOOKUP($B744,Dashboard!$Q$28:$S$60,2,FALSE),0),$Z744*IF($U744&lt;&gt;"",ROUND((Dashboard!$R$4/$U744)*VLOOKUP($I744,Dashboard!$Q$9:$R$13,2,FALSE)*IF(ISNUMBER(SEARCH("Duals",$B744)),2,IF(ISNUMBER(SEARCH("Triples",$B744)),3,IF(ISNUMBER(SEARCH("Quads",$B744)),4,1))),2),ROUND(VLOOKUP($I744,Dashboard!$Q$15:$R$20,2,FALSE)*IF($E744="Red",Dashboard!$R$6,IF($E744="Gold",Dashboard!$R$7,Dashboard!$R$5))*IF(ISNUMBER(SEARCH("Duals",$B744)),2,IF(ISNUMBER(SEARCH("Triples",$B744)),3,IF(ISNUMBER(SEARCH("Quads",$B744)),4,1))),2))*IF(IFERROR(VLOOKUP($B744,Dashboard!$Q$28:$S$60,3,FALSE),0)&gt;0,VLOOKUP($B744,Dashboard!$Q$28:$S$60,3,FALSE),1))),0))</f>
        <v>1</v>
      </c>
      <c r="K744" s="2" t="str">
        <f>IF('Base S2'!C44="","",'Base S2'!C44)</f>
        <v>h</v>
      </c>
      <c r="L744" s="2">
        <f t="shared" si="143"/>
        <v>1</v>
      </c>
      <c r="M744" s="2">
        <f t="shared" si="144"/>
        <v>0</v>
      </c>
      <c r="N744" s="2">
        <f t="shared" si="145"/>
        <v>1</v>
      </c>
      <c r="O744" s="2">
        <f t="shared" si="146"/>
        <v>0</v>
      </c>
      <c r="P744" s="112">
        <f t="shared" si="147"/>
        <v>1</v>
      </c>
      <c r="Q744" s="112">
        <f t="shared" si="148"/>
        <v>0</v>
      </c>
      <c r="R744" s="53"/>
      <c r="S744" s="53" t="str">
        <f t="shared" si="149"/>
        <v>Base S2|Base Set - Season 2|143|Base</v>
      </c>
      <c r="T744" s="57" t="str">
        <f>IF($S744="","",IFERROR(VLOOKUP($S744,'Pop Estimates (Non-#d)'!$N$2:$O$500,2,FALSE),""))</f>
        <v/>
      </c>
      <c r="U744" s="57" t="str">
        <f t="shared" si="150"/>
        <v/>
      </c>
      <c r="V744" s="53" t="str">
        <f t="shared" si="151"/>
        <v/>
      </c>
      <c r="W744" s="53" t="str">
        <f t="shared" si="152"/>
        <v/>
      </c>
      <c r="X744" s="53" t="str">
        <f t="shared" si="153"/>
        <v/>
      </c>
      <c r="Y744" s="57" t="str">
        <f>IF($X744="","",IFERROR(VLOOKUP($X744,'Char Popularity'!$A$2:$C$500,2,FALSE),""))</f>
        <v/>
      </c>
      <c r="Z744" s="56">
        <f>IF($X744="",1,IFERROR(VLOOKUP($X744,'Char Popularity'!$A$2:$C$500,3,FALSE),1))</f>
        <v>1</v>
      </c>
      <c r="AA744" s="62">
        <f>IF($H744&lt;&gt;"Y",0,(IF($F744&lt;&gt;"",ROUND(Dashboard!$R$4/$F744,1),IF(AND($I744="Base",$E744="Base"),Dashboard!$R$5,IF(AND($I744="Base",$E744="Red"),Dashboard!$R$6,IF(AND($I744="Base",$E744="Gold"),Dashboard!$R$7,VLOOKUP($I744,Dashboard!$Q$16:$R$21,2,FALSE)))))*VLOOKUP($I744,Dashboard!$Q$9:$R$13,2,FALSE)*IF(AND($I744="Auto",$F744="",OR($B744="Autographs Duals",$B744="Autographs Triples",$B744="Autographs Quads",$B744="Autographs Quads (Inscribed)")),IF($B744="Autographs Duals",2,IF($B744="Autographs Triples",3,4)),1)))</f>
        <v>1</v>
      </c>
      <c r="AB744" s="62">
        <f t="shared" si="154"/>
        <v>1</v>
      </c>
      <c r="AC744" s="62">
        <f t="shared" si="155"/>
        <v>0</v>
      </c>
    </row>
    <row r="745" spans="1:29" ht="28.7" customHeight="1" x14ac:dyDescent="0.25">
      <c r="A745" s="4" t="s">
        <v>19</v>
      </c>
      <c r="B745" s="7" t="s">
        <v>74</v>
      </c>
      <c r="C745" s="2" t="s">
        <v>1543</v>
      </c>
      <c r="D745" s="7" t="s">
        <v>1113</v>
      </c>
      <c r="E745" s="4" t="s">
        <v>60</v>
      </c>
      <c r="F745" s="2"/>
      <c r="G745" s="2" t="s">
        <v>1399</v>
      </c>
      <c r="H745" s="2" t="s">
        <v>1400</v>
      </c>
      <c r="I745" s="4" t="s">
        <v>60</v>
      </c>
      <c r="J745" s="112">
        <f>IF($H745&lt;&gt;"Y",0,ROUND(MIN(Dashboard!$R$24,IF(IFERROR(VLOOKUP($B745,Dashboard!$Q$28:$S$60,2,FALSE),0)&gt;0,IFERROR(VLOOKUP($B745,Dashboard!$Q$28:$S$60,2,FALSE),0),$Z745*IF($U745&lt;&gt;"",ROUND((Dashboard!$R$4/$U745)*VLOOKUP($I745,Dashboard!$Q$9:$R$13,2,FALSE)*IF(ISNUMBER(SEARCH("Duals",$B745)),2,IF(ISNUMBER(SEARCH("Triples",$B745)),3,IF(ISNUMBER(SEARCH("Quads",$B745)),4,1))),2),ROUND(VLOOKUP($I745,Dashboard!$Q$15:$R$20,2,FALSE)*IF($E745="Red",Dashboard!$R$6,IF($E745="Gold",Dashboard!$R$7,Dashboard!$R$5))*IF(ISNUMBER(SEARCH("Duals",$B745)),2,IF(ISNUMBER(SEARCH("Triples",$B745)),3,IF(ISNUMBER(SEARCH("Quads",$B745)),4,1))),2))*IF(IFERROR(VLOOKUP($B745,Dashboard!$Q$28:$S$60,3,FALSE),0)&gt;0,VLOOKUP($B745,Dashboard!$Q$28:$S$60,3,FALSE),1))),0))</f>
        <v>1</v>
      </c>
      <c r="K745" s="2" t="str">
        <f>IF('Base S2'!C45="","",'Base S2'!C45)</f>
        <v>h</v>
      </c>
      <c r="L745" s="2">
        <f t="shared" si="143"/>
        <v>1</v>
      </c>
      <c r="M745" s="2">
        <f t="shared" si="144"/>
        <v>0</v>
      </c>
      <c r="N745" s="2">
        <f t="shared" si="145"/>
        <v>1</v>
      </c>
      <c r="O745" s="2">
        <f t="shared" si="146"/>
        <v>0</v>
      </c>
      <c r="P745" s="112">
        <f t="shared" si="147"/>
        <v>1</v>
      </c>
      <c r="Q745" s="112">
        <f t="shared" si="148"/>
        <v>0</v>
      </c>
      <c r="R745" s="53"/>
      <c r="S745" s="53" t="str">
        <f t="shared" si="149"/>
        <v>Base S2|Base Set - Season 2|144|Base</v>
      </c>
      <c r="T745" s="57" t="str">
        <f>IF($S745="","",IFERROR(VLOOKUP($S745,'Pop Estimates (Non-#d)'!$N$2:$O$500,2,FALSE),""))</f>
        <v/>
      </c>
      <c r="U745" s="57" t="str">
        <f t="shared" si="150"/>
        <v/>
      </c>
      <c r="V745" s="53" t="str">
        <f t="shared" si="151"/>
        <v/>
      </c>
      <c r="W745" s="53" t="str">
        <f t="shared" si="152"/>
        <v/>
      </c>
      <c r="X745" s="53" t="str">
        <f t="shared" si="153"/>
        <v/>
      </c>
      <c r="Y745" s="57" t="str">
        <f>IF($X745="","",IFERROR(VLOOKUP($X745,'Char Popularity'!$A$2:$C$500,2,FALSE),""))</f>
        <v/>
      </c>
      <c r="Z745" s="56">
        <f>IF($X745="",1,IFERROR(VLOOKUP($X745,'Char Popularity'!$A$2:$C$500,3,FALSE),1))</f>
        <v>1</v>
      </c>
      <c r="AA745" s="62">
        <f>IF($H745&lt;&gt;"Y",0,(IF($F745&lt;&gt;"",ROUND(Dashboard!$R$4/$F745,1),IF(AND($I745="Base",$E745="Base"),Dashboard!$R$5,IF(AND($I745="Base",$E745="Red"),Dashboard!$R$6,IF(AND($I745="Base",$E745="Gold"),Dashboard!$R$7,VLOOKUP($I745,Dashboard!$Q$16:$R$21,2,FALSE)))))*VLOOKUP($I745,Dashboard!$Q$9:$R$13,2,FALSE)*IF(AND($I745="Auto",$F745="",OR($B745="Autographs Duals",$B745="Autographs Triples",$B745="Autographs Quads",$B745="Autographs Quads (Inscribed)")),IF($B745="Autographs Duals",2,IF($B745="Autographs Triples",3,4)),1)))</f>
        <v>1</v>
      </c>
      <c r="AB745" s="62">
        <f t="shared" si="154"/>
        <v>1</v>
      </c>
      <c r="AC745" s="62">
        <f t="shared" si="155"/>
        <v>0</v>
      </c>
    </row>
    <row r="746" spans="1:29" ht="28.7" customHeight="1" x14ac:dyDescent="0.25">
      <c r="A746" s="4" t="s">
        <v>19</v>
      </c>
      <c r="B746" s="7" t="s">
        <v>74</v>
      </c>
      <c r="C746" s="2" t="s">
        <v>1544</v>
      </c>
      <c r="D746" s="7" t="s">
        <v>1114</v>
      </c>
      <c r="E746" s="4" t="s">
        <v>60</v>
      </c>
      <c r="F746" s="2"/>
      <c r="G746" s="2" t="s">
        <v>1399</v>
      </c>
      <c r="H746" s="2" t="s">
        <v>1400</v>
      </c>
      <c r="I746" s="4" t="s">
        <v>60</v>
      </c>
      <c r="J746" s="112">
        <f>IF($H746&lt;&gt;"Y",0,ROUND(MIN(Dashboard!$R$24,IF(IFERROR(VLOOKUP($B746,Dashboard!$Q$28:$S$60,2,FALSE),0)&gt;0,IFERROR(VLOOKUP($B746,Dashboard!$Q$28:$S$60,2,FALSE),0),$Z746*IF($U746&lt;&gt;"",ROUND((Dashboard!$R$4/$U746)*VLOOKUP($I746,Dashboard!$Q$9:$R$13,2,FALSE)*IF(ISNUMBER(SEARCH("Duals",$B746)),2,IF(ISNUMBER(SEARCH("Triples",$B746)),3,IF(ISNUMBER(SEARCH("Quads",$B746)),4,1))),2),ROUND(VLOOKUP($I746,Dashboard!$Q$15:$R$20,2,FALSE)*IF($E746="Red",Dashboard!$R$6,IF($E746="Gold",Dashboard!$R$7,Dashboard!$R$5))*IF(ISNUMBER(SEARCH("Duals",$B746)),2,IF(ISNUMBER(SEARCH("Triples",$B746)),3,IF(ISNUMBER(SEARCH("Quads",$B746)),4,1))),2))*IF(IFERROR(VLOOKUP($B746,Dashboard!$Q$28:$S$60,3,FALSE),0)&gt;0,VLOOKUP($B746,Dashboard!$Q$28:$S$60,3,FALSE),1))),0))</f>
        <v>1</v>
      </c>
      <c r="K746" s="2" t="str">
        <f>IF('Base S2'!C46="","",'Base S2'!C46)</f>
        <v>h</v>
      </c>
      <c r="L746" s="2">
        <f t="shared" si="143"/>
        <v>1</v>
      </c>
      <c r="M746" s="2">
        <f t="shared" si="144"/>
        <v>0</v>
      </c>
      <c r="N746" s="2">
        <f t="shared" si="145"/>
        <v>1</v>
      </c>
      <c r="O746" s="2">
        <f t="shared" si="146"/>
        <v>0</v>
      </c>
      <c r="P746" s="112">
        <f t="shared" si="147"/>
        <v>1</v>
      </c>
      <c r="Q746" s="112">
        <f t="shared" si="148"/>
        <v>0</v>
      </c>
      <c r="R746" s="53"/>
      <c r="S746" s="53" t="str">
        <f t="shared" si="149"/>
        <v>Base S2|Base Set - Season 2|145|Base</v>
      </c>
      <c r="T746" s="57" t="str">
        <f>IF($S746="","",IFERROR(VLOOKUP($S746,'Pop Estimates (Non-#d)'!$N$2:$O$500,2,FALSE),""))</f>
        <v/>
      </c>
      <c r="U746" s="57" t="str">
        <f t="shared" si="150"/>
        <v/>
      </c>
      <c r="V746" s="53" t="str">
        <f t="shared" si="151"/>
        <v/>
      </c>
      <c r="W746" s="53" t="str">
        <f t="shared" si="152"/>
        <v/>
      </c>
      <c r="X746" s="53" t="str">
        <f t="shared" si="153"/>
        <v/>
      </c>
      <c r="Y746" s="57" t="str">
        <f>IF($X746="","",IFERROR(VLOOKUP($X746,'Char Popularity'!$A$2:$C$500,2,FALSE),""))</f>
        <v/>
      </c>
      <c r="Z746" s="56">
        <f>IF($X746="",1,IFERROR(VLOOKUP($X746,'Char Popularity'!$A$2:$C$500,3,FALSE),1))</f>
        <v>1</v>
      </c>
      <c r="AA746" s="62">
        <f>IF($H746&lt;&gt;"Y",0,(IF($F746&lt;&gt;"",ROUND(Dashboard!$R$4/$F746,1),IF(AND($I746="Base",$E746="Base"),Dashboard!$R$5,IF(AND($I746="Base",$E746="Red"),Dashboard!$R$6,IF(AND($I746="Base",$E746="Gold"),Dashboard!$R$7,VLOOKUP($I746,Dashboard!$Q$16:$R$21,2,FALSE)))))*VLOOKUP($I746,Dashboard!$Q$9:$R$13,2,FALSE)*IF(AND($I746="Auto",$F746="",OR($B746="Autographs Duals",$B746="Autographs Triples",$B746="Autographs Quads",$B746="Autographs Quads (Inscribed)")),IF($B746="Autographs Duals",2,IF($B746="Autographs Triples",3,4)),1)))</f>
        <v>1</v>
      </c>
      <c r="AB746" s="62">
        <f t="shared" si="154"/>
        <v>1</v>
      </c>
      <c r="AC746" s="62">
        <f t="shared" si="155"/>
        <v>0</v>
      </c>
    </row>
    <row r="747" spans="1:29" ht="28.7" customHeight="1" x14ac:dyDescent="0.25">
      <c r="A747" s="4" t="s">
        <v>19</v>
      </c>
      <c r="B747" s="7" t="s">
        <v>74</v>
      </c>
      <c r="C747" s="2" t="s">
        <v>1545</v>
      </c>
      <c r="D747" s="7" t="s">
        <v>1116</v>
      </c>
      <c r="E747" s="4" t="s">
        <v>60</v>
      </c>
      <c r="F747" s="2"/>
      <c r="G747" s="2" t="s">
        <v>1399</v>
      </c>
      <c r="H747" s="2" t="s">
        <v>1400</v>
      </c>
      <c r="I747" s="4" t="s">
        <v>60</v>
      </c>
      <c r="J747" s="112">
        <f>IF($H747&lt;&gt;"Y",0,ROUND(MIN(Dashboard!$R$24,IF(IFERROR(VLOOKUP($B747,Dashboard!$Q$28:$S$60,2,FALSE),0)&gt;0,IFERROR(VLOOKUP($B747,Dashboard!$Q$28:$S$60,2,FALSE),0),$Z747*IF($U747&lt;&gt;"",ROUND((Dashboard!$R$4/$U747)*VLOOKUP($I747,Dashboard!$Q$9:$R$13,2,FALSE)*IF(ISNUMBER(SEARCH("Duals",$B747)),2,IF(ISNUMBER(SEARCH("Triples",$B747)),3,IF(ISNUMBER(SEARCH("Quads",$B747)),4,1))),2),ROUND(VLOOKUP($I747,Dashboard!$Q$15:$R$20,2,FALSE)*IF($E747="Red",Dashboard!$R$6,IF($E747="Gold",Dashboard!$R$7,Dashboard!$R$5))*IF(ISNUMBER(SEARCH("Duals",$B747)),2,IF(ISNUMBER(SEARCH("Triples",$B747)),3,IF(ISNUMBER(SEARCH("Quads",$B747)),4,1))),2))*IF(IFERROR(VLOOKUP($B747,Dashboard!$Q$28:$S$60,3,FALSE),0)&gt;0,VLOOKUP($B747,Dashboard!$Q$28:$S$60,3,FALSE),1))),0))</f>
        <v>1</v>
      </c>
      <c r="K747" s="2" t="str">
        <f>IF('Base S2'!C47="","",'Base S2'!C47)</f>
        <v>h</v>
      </c>
      <c r="L747" s="2">
        <f t="shared" si="143"/>
        <v>1</v>
      </c>
      <c r="M747" s="2">
        <f t="shared" si="144"/>
        <v>0</v>
      </c>
      <c r="N747" s="2">
        <f t="shared" si="145"/>
        <v>1</v>
      </c>
      <c r="O747" s="2">
        <f t="shared" si="146"/>
        <v>0</v>
      </c>
      <c r="P747" s="112">
        <f t="shared" si="147"/>
        <v>1</v>
      </c>
      <c r="Q747" s="112">
        <f t="shared" si="148"/>
        <v>0</v>
      </c>
      <c r="R747" s="53"/>
      <c r="S747" s="53" t="str">
        <f t="shared" si="149"/>
        <v>Base S2|Base Set - Season 2|146|Base</v>
      </c>
      <c r="T747" s="57" t="str">
        <f>IF($S747="","",IFERROR(VLOOKUP($S747,'Pop Estimates (Non-#d)'!$N$2:$O$500,2,FALSE),""))</f>
        <v/>
      </c>
      <c r="U747" s="57" t="str">
        <f t="shared" si="150"/>
        <v/>
      </c>
      <c r="V747" s="53" t="str">
        <f t="shared" si="151"/>
        <v/>
      </c>
      <c r="W747" s="53" t="str">
        <f t="shared" si="152"/>
        <v/>
      </c>
      <c r="X747" s="53" t="str">
        <f t="shared" si="153"/>
        <v/>
      </c>
      <c r="Y747" s="57" t="str">
        <f>IF($X747="","",IFERROR(VLOOKUP($X747,'Char Popularity'!$A$2:$C$500,2,FALSE),""))</f>
        <v/>
      </c>
      <c r="Z747" s="56">
        <f>IF($X747="",1,IFERROR(VLOOKUP($X747,'Char Popularity'!$A$2:$C$500,3,FALSE),1))</f>
        <v>1</v>
      </c>
      <c r="AA747" s="62">
        <f>IF($H747&lt;&gt;"Y",0,(IF($F747&lt;&gt;"",ROUND(Dashboard!$R$4/$F747,1),IF(AND($I747="Base",$E747="Base"),Dashboard!$R$5,IF(AND($I747="Base",$E747="Red"),Dashboard!$R$6,IF(AND($I747="Base",$E747="Gold"),Dashboard!$R$7,VLOOKUP($I747,Dashboard!$Q$16:$R$21,2,FALSE)))))*VLOOKUP($I747,Dashboard!$Q$9:$R$13,2,FALSE)*IF(AND($I747="Auto",$F747="",OR($B747="Autographs Duals",$B747="Autographs Triples",$B747="Autographs Quads",$B747="Autographs Quads (Inscribed)")),IF($B747="Autographs Duals",2,IF($B747="Autographs Triples",3,4)),1)))</f>
        <v>1</v>
      </c>
      <c r="AB747" s="62">
        <f t="shared" si="154"/>
        <v>1</v>
      </c>
      <c r="AC747" s="62">
        <f t="shared" si="155"/>
        <v>0</v>
      </c>
    </row>
    <row r="748" spans="1:29" ht="28.7" customHeight="1" x14ac:dyDescent="0.25">
      <c r="A748" s="4" t="s">
        <v>19</v>
      </c>
      <c r="B748" s="7" t="s">
        <v>74</v>
      </c>
      <c r="C748" s="2" t="s">
        <v>1546</v>
      </c>
      <c r="D748" s="7" t="s">
        <v>1118</v>
      </c>
      <c r="E748" s="4" t="s">
        <v>60</v>
      </c>
      <c r="F748" s="2"/>
      <c r="G748" s="2" t="s">
        <v>1399</v>
      </c>
      <c r="H748" s="2" t="s">
        <v>1400</v>
      </c>
      <c r="I748" s="4" t="s">
        <v>60</v>
      </c>
      <c r="J748" s="112">
        <f>IF($H748&lt;&gt;"Y",0,ROUND(MIN(Dashboard!$R$24,IF(IFERROR(VLOOKUP($B748,Dashboard!$Q$28:$S$60,2,FALSE),0)&gt;0,IFERROR(VLOOKUP($B748,Dashboard!$Q$28:$S$60,2,FALSE),0),$Z748*IF($U748&lt;&gt;"",ROUND((Dashboard!$R$4/$U748)*VLOOKUP($I748,Dashboard!$Q$9:$R$13,2,FALSE)*IF(ISNUMBER(SEARCH("Duals",$B748)),2,IF(ISNUMBER(SEARCH("Triples",$B748)),3,IF(ISNUMBER(SEARCH("Quads",$B748)),4,1))),2),ROUND(VLOOKUP($I748,Dashboard!$Q$15:$R$20,2,FALSE)*IF($E748="Red",Dashboard!$R$6,IF($E748="Gold",Dashboard!$R$7,Dashboard!$R$5))*IF(ISNUMBER(SEARCH("Duals",$B748)),2,IF(ISNUMBER(SEARCH("Triples",$B748)),3,IF(ISNUMBER(SEARCH("Quads",$B748)),4,1))),2))*IF(IFERROR(VLOOKUP($B748,Dashboard!$Q$28:$S$60,3,FALSE),0)&gt;0,VLOOKUP($B748,Dashboard!$Q$28:$S$60,3,FALSE),1))),0))</f>
        <v>1</v>
      </c>
      <c r="K748" s="2" t="str">
        <f>IF('Base S2'!C48="","",'Base S2'!C48)</f>
        <v>h</v>
      </c>
      <c r="L748" s="2">
        <f t="shared" si="143"/>
        <v>1</v>
      </c>
      <c r="M748" s="2">
        <f t="shared" si="144"/>
        <v>0</v>
      </c>
      <c r="N748" s="2">
        <f t="shared" si="145"/>
        <v>1</v>
      </c>
      <c r="O748" s="2">
        <f t="shared" si="146"/>
        <v>0</v>
      </c>
      <c r="P748" s="112">
        <f t="shared" si="147"/>
        <v>1</v>
      </c>
      <c r="Q748" s="112">
        <f t="shared" si="148"/>
        <v>0</v>
      </c>
      <c r="R748" s="53"/>
      <c r="S748" s="53" t="str">
        <f t="shared" si="149"/>
        <v>Base S2|Base Set - Season 2|147|Base</v>
      </c>
      <c r="T748" s="57" t="str">
        <f>IF($S748="","",IFERROR(VLOOKUP($S748,'Pop Estimates (Non-#d)'!$N$2:$O$500,2,FALSE),""))</f>
        <v/>
      </c>
      <c r="U748" s="57" t="str">
        <f t="shared" si="150"/>
        <v/>
      </c>
      <c r="V748" s="53" t="str">
        <f t="shared" si="151"/>
        <v/>
      </c>
      <c r="W748" s="53" t="str">
        <f t="shared" si="152"/>
        <v/>
      </c>
      <c r="X748" s="53" t="str">
        <f t="shared" si="153"/>
        <v/>
      </c>
      <c r="Y748" s="57" t="str">
        <f>IF($X748="","",IFERROR(VLOOKUP($X748,'Char Popularity'!$A$2:$C$500,2,FALSE),""))</f>
        <v/>
      </c>
      <c r="Z748" s="56">
        <f>IF($X748="",1,IFERROR(VLOOKUP($X748,'Char Popularity'!$A$2:$C$500,3,FALSE),1))</f>
        <v>1</v>
      </c>
      <c r="AA748" s="62">
        <f>IF($H748&lt;&gt;"Y",0,(IF($F748&lt;&gt;"",ROUND(Dashboard!$R$4/$F748,1),IF(AND($I748="Base",$E748="Base"),Dashboard!$R$5,IF(AND($I748="Base",$E748="Red"),Dashboard!$R$6,IF(AND($I748="Base",$E748="Gold"),Dashboard!$R$7,VLOOKUP($I748,Dashboard!$Q$16:$R$21,2,FALSE)))))*VLOOKUP($I748,Dashboard!$Q$9:$R$13,2,FALSE)*IF(AND($I748="Auto",$F748="",OR($B748="Autographs Duals",$B748="Autographs Triples",$B748="Autographs Quads",$B748="Autographs Quads (Inscribed)")),IF($B748="Autographs Duals",2,IF($B748="Autographs Triples",3,4)),1)))</f>
        <v>1</v>
      </c>
      <c r="AB748" s="62">
        <f t="shared" si="154"/>
        <v>1</v>
      </c>
      <c r="AC748" s="62">
        <f t="shared" si="155"/>
        <v>0</v>
      </c>
    </row>
    <row r="749" spans="1:29" ht="28.7" customHeight="1" x14ac:dyDescent="0.25">
      <c r="A749" s="4" t="s">
        <v>19</v>
      </c>
      <c r="B749" s="7" t="s">
        <v>74</v>
      </c>
      <c r="C749" s="2" t="s">
        <v>1547</v>
      </c>
      <c r="D749" s="7" t="s">
        <v>1120</v>
      </c>
      <c r="E749" s="4" t="s">
        <v>60</v>
      </c>
      <c r="F749" s="2"/>
      <c r="G749" s="2" t="s">
        <v>1399</v>
      </c>
      <c r="H749" s="2" t="s">
        <v>1400</v>
      </c>
      <c r="I749" s="4" t="s">
        <v>60</v>
      </c>
      <c r="J749" s="112">
        <f>IF($H749&lt;&gt;"Y",0,ROUND(MIN(Dashboard!$R$24,IF(IFERROR(VLOOKUP($B749,Dashboard!$Q$28:$S$60,2,FALSE),0)&gt;0,IFERROR(VLOOKUP($B749,Dashboard!$Q$28:$S$60,2,FALSE),0),$Z749*IF($U749&lt;&gt;"",ROUND((Dashboard!$R$4/$U749)*VLOOKUP($I749,Dashboard!$Q$9:$R$13,2,FALSE)*IF(ISNUMBER(SEARCH("Duals",$B749)),2,IF(ISNUMBER(SEARCH("Triples",$B749)),3,IF(ISNUMBER(SEARCH("Quads",$B749)),4,1))),2),ROUND(VLOOKUP($I749,Dashboard!$Q$15:$R$20,2,FALSE)*IF($E749="Red",Dashboard!$R$6,IF($E749="Gold",Dashboard!$R$7,Dashboard!$R$5))*IF(ISNUMBER(SEARCH("Duals",$B749)),2,IF(ISNUMBER(SEARCH("Triples",$B749)),3,IF(ISNUMBER(SEARCH("Quads",$B749)),4,1))),2))*IF(IFERROR(VLOOKUP($B749,Dashboard!$Q$28:$S$60,3,FALSE),0)&gt;0,VLOOKUP($B749,Dashboard!$Q$28:$S$60,3,FALSE),1))),0))</f>
        <v>1</v>
      </c>
      <c r="K749" s="2" t="str">
        <f>IF('Base S2'!C49="","",'Base S2'!C49)</f>
        <v>h</v>
      </c>
      <c r="L749" s="2">
        <f t="shared" si="143"/>
        <v>1</v>
      </c>
      <c r="M749" s="2">
        <f t="shared" si="144"/>
        <v>0</v>
      </c>
      <c r="N749" s="2">
        <f t="shared" si="145"/>
        <v>1</v>
      </c>
      <c r="O749" s="2">
        <f t="shared" si="146"/>
        <v>0</v>
      </c>
      <c r="P749" s="112">
        <f t="shared" si="147"/>
        <v>1</v>
      </c>
      <c r="Q749" s="112">
        <f t="shared" si="148"/>
        <v>0</v>
      </c>
      <c r="R749" s="53"/>
      <c r="S749" s="53" t="str">
        <f t="shared" si="149"/>
        <v>Base S2|Base Set - Season 2|148|Base</v>
      </c>
      <c r="T749" s="57" t="str">
        <f>IF($S749="","",IFERROR(VLOOKUP($S749,'Pop Estimates (Non-#d)'!$N$2:$O$500,2,FALSE),""))</f>
        <v/>
      </c>
      <c r="U749" s="57" t="str">
        <f t="shared" si="150"/>
        <v/>
      </c>
      <c r="V749" s="53" t="str">
        <f t="shared" si="151"/>
        <v/>
      </c>
      <c r="W749" s="53" t="str">
        <f t="shared" si="152"/>
        <v/>
      </c>
      <c r="X749" s="53" t="str">
        <f t="shared" si="153"/>
        <v/>
      </c>
      <c r="Y749" s="57" t="str">
        <f>IF($X749="","",IFERROR(VLOOKUP($X749,'Char Popularity'!$A$2:$C$500,2,FALSE),""))</f>
        <v/>
      </c>
      <c r="Z749" s="56">
        <f>IF($X749="",1,IFERROR(VLOOKUP($X749,'Char Popularity'!$A$2:$C$500,3,FALSE),1))</f>
        <v>1</v>
      </c>
      <c r="AA749" s="62">
        <f>IF($H749&lt;&gt;"Y",0,(IF($F749&lt;&gt;"",ROUND(Dashboard!$R$4/$F749,1),IF(AND($I749="Base",$E749="Base"),Dashboard!$R$5,IF(AND($I749="Base",$E749="Red"),Dashboard!$R$6,IF(AND($I749="Base",$E749="Gold"),Dashboard!$R$7,VLOOKUP($I749,Dashboard!$Q$16:$R$21,2,FALSE)))))*VLOOKUP($I749,Dashboard!$Q$9:$R$13,2,FALSE)*IF(AND($I749="Auto",$F749="",OR($B749="Autographs Duals",$B749="Autographs Triples",$B749="Autographs Quads",$B749="Autographs Quads (Inscribed)")),IF($B749="Autographs Duals",2,IF($B749="Autographs Triples",3,4)),1)))</f>
        <v>1</v>
      </c>
      <c r="AB749" s="62">
        <f t="shared" si="154"/>
        <v>1</v>
      </c>
      <c r="AC749" s="62">
        <f t="shared" si="155"/>
        <v>0</v>
      </c>
    </row>
    <row r="750" spans="1:29" ht="28.7" customHeight="1" x14ac:dyDescent="0.25">
      <c r="A750" s="4" t="s">
        <v>19</v>
      </c>
      <c r="B750" s="7" t="s">
        <v>74</v>
      </c>
      <c r="C750" s="2" t="s">
        <v>1548</v>
      </c>
      <c r="D750" s="7" t="s">
        <v>1122</v>
      </c>
      <c r="E750" s="4" t="s">
        <v>60</v>
      </c>
      <c r="F750" s="2"/>
      <c r="G750" s="2" t="s">
        <v>1399</v>
      </c>
      <c r="H750" s="2" t="s">
        <v>1400</v>
      </c>
      <c r="I750" s="4" t="s">
        <v>60</v>
      </c>
      <c r="J750" s="112">
        <f>IF($H750&lt;&gt;"Y",0,ROUND(MIN(Dashboard!$R$24,IF(IFERROR(VLOOKUP($B750,Dashboard!$Q$28:$S$60,2,FALSE),0)&gt;0,IFERROR(VLOOKUP($B750,Dashboard!$Q$28:$S$60,2,FALSE),0),$Z750*IF($U750&lt;&gt;"",ROUND((Dashboard!$R$4/$U750)*VLOOKUP($I750,Dashboard!$Q$9:$R$13,2,FALSE)*IF(ISNUMBER(SEARCH("Duals",$B750)),2,IF(ISNUMBER(SEARCH("Triples",$B750)),3,IF(ISNUMBER(SEARCH("Quads",$B750)),4,1))),2),ROUND(VLOOKUP($I750,Dashboard!$Q$15:$R$20,2,FALSE)*IF($E750="Red",Dashboard!$R$6,IF($E750="Gold",Dashboard!$R$7,Dashboard!$R$5))*IF(ISNUMBER(SEARCH("Duals",$B750)),2,IF(ISNUMBER(SEARCH("Triples",$B750)),3,IF(ISNUMBER(SEARCH("Quads",$B750)),4,1))),2))*IF(IFERROR(VLOOKUP($B750,Dashboard!$Q$28:$S$60,3,FALSE),0)&gt;0,VLOOKUP($B750,Dashboard!$Q$28:$S$60,3,FALSE),1))),0))</f>
        <v>1</v>
      </c>
      <c r="K750" s="2" t="str">
        <f>IF('Base S2'!C50="","",'Base S2'!C50)</f>
        <v>h</v>
      </c>
      <c r="L750" s="2">
        <f t="shared" si="143"/>
        <v>1</v>
      </c>
      <c r="M750" s="2">
        <f t="shared" si="144"/>
        <v>0</v>
      </c>
      <c r="N750" s="2">
        <f t="shared" si="145"/>
        <v>1</v>
      </c>
      <c r="O750" s="2">
        <f t="shared" si="146"/>
        <v>0</v>
      </c>
      <c r="P750" s="112">
        <f t="shared" si="147"/>
        <v>1</v>
      </c>
      <c r="Q750" s="112">
        <f t="shared" si="148"/>
        <v>0</v>
      </c>
      <c r="R750" s="53"/>
      <c r="S750" s="53" t="str">
        <f t="shared" si="149"/>
        <v>Base S2|Base Set - Season 2|149|Base</v>
      </c>
      <c r="T750" s="57" t="str">
        <f>IF($S750="","",IFERROR(VLOOKUP($S750,'Pop Estimates (Non-#d)'!$N$2:$O$500,2,FALSE),""))</f>
        <v/>
      </c>
      <c r="U750" s="57" t="str">
        <f t="shared" si="150"/>
        <v/>
      </c>
      <c r="V750" s="53" t="str">
        <f t="shared" si="151"/>
        <v/>
      </c>
      <c r="W750" s="53" t="str">
        <f t="shared" si="152"/>
        <v/>
      </c>
      <c r="X750" s="53" t="str">
        <f t="shared" si="153"/>
        <v/>
      </c>
      <c r="Y750" s="57" t="str">
        <f>IF($X750="","",IFERROR(VLOOKUP($X750,'Char Popularity'!$A$2:$C$500,2,FALSE),""))</f>
        <v/>
      </c>
      <c r="Z750" s="56">
        <f>IF($X750="",1,IFERROR(VLOOKUP($X750,'Char Popularity'!$A$2:$C$500,3,FALSE),1))</f>
        <v>1</v>
      </c>
      <c r="AA750" s="62">
        <f>IF($H750&lt;&gt;"Y",0,(IF($F750&lt;&gt;"",ROUND(Dashboard!$R$4/$F750,1),IF(AND($I750="Base",$E750="Base"),Dashboard!$R$5,IF(AND($I750="Base",$E750="Red"),Dashboard!$R$6,IF(AND($I750="Base",$E750="Gold"),Dashboard!$R$7,VLOOKUP($I750,Dashboard!$Q$16:$R$21,2,FALSE)))))*VLOOKUP($I750,Dashboard!$Q$9:$R$13,2,FALSE)*IF(AND($I750="Auto",$F750="",OR($B750="Autographs Duals",$B750="Autographs Triples",$B750="Autographs Quads",$B750="Autographs Quads (Inscribed)")),IF($B750="Autographs Duals",2,IF($B750="Autographs Triples",3,4)),1)))</f>
        <v>1</v>
      </c>
      <c r="AB750" s="62">
        <f t="shared" si="154"/>
        <v>1</v>
      </c>
      <c r="AC750" s="62">
        <f t="shared" si="155"/>
        <v>0</v>
      </c>
    </row>
    <row r="751" spans="1:29" ht="28.7" customHeight="1" x14ac:dyDescent="0.25">
      <c r="A751" s="4" t="s">
        <v>19</v>
      </c>
      <c r="B751" s="7" t="s">
        <v>74</v>
      </c>
      <c r="C751" s="2" t="s">
        <v>1549</v>
      </c>
      <c r="D751" s="7" t="s">
        <v>1123</v>
      </c>
      <c r="E751" s="4" t="s">
        <v>60</v>
      </c>
      <c r="F751" s="2"/>
      <c r="G751" s="2" t="s">
        <v>1399</v>
      </c>
      <c r="H751" s="2" t="s">
        <v>1400</v>
      </c>
      <c r="I751" s="4" t="s">
        <v>60</v>
      </c>
      <c r="J751" s="112">
        <f>IF($H751&lt;&gt;"Y",0,ROUND(MIN(Dashboard!$R$24,IF(IFERROR(VLOOKUP($B751,Dashboard!$Q$28:$S$60,2,FALSE),0)&gt;0,IFERROR(VLOOKUP($B751,Dashboard!$Q$28:$S$60,2,FALSE),0),$Z751*IF($U751&lt;&gt;"",ROUND((Dashboard!$R$4/$U751)*VLOOKUP($I751,Dashboard!$Q$9:$R$13,2,FALSE)*IF(ISNUMBER(SEARCH("Duals",$B751)),2,IF(ISNUMBER(SEARCH("Triples",$B751)),3,IF(ISNUMBER(SEARCH("Quads",$B751)),4,1))),2),ROUND(VLOOKUP($I751,Dashboard!$Q$15:$R$20,2,FALSE)*IF($E751="Red",Dashboard!$R$6,IF($E751="Gold",Dashboard!$R$7,Dashboard!$R$5))*IF(ISNUMBER(SEARCH("Duals",$B751)),2,IF(ISNUMBER(SEARCH("Triples",$B751)),3,IF(ISNUMBER(SEARCH("Quads",$B751)),4,1))),2))*IF(IFERROR(VLOOKUP($B751,Dashboard!$Q$28:$S$60,3,FALSE),0)&gt;0,VLOOKUP($B751,Dashboard!$Q$28:$S$60,3,FALSE),1))),0))</f>
        <v>1</v>
      </c>
      <c r="K751" s="2" t="str">
        <f>IF('Base S2'!C51="","",'Base S2'!C51)</f>
        <v>h</v>
      </c>
      <c r="L751" s="2">
        <f t="shared" si="143"/>
        <v>1</v>
      </c>
      <c r="M751" s="2">
        <f t="shared" si="144"/>
        <v>0</v>
      </c>
      <c r="N751" s="2">
        <f t="shared" si="145"/>
        <v>1</v>
      </c>
      <c r="O751" s="2">
        <f t="shared" si="146"/>
        <v>0</v>
      </c>
      <c r="P751" s="112">
        <f t="shared" si="147"/>
        <v>1</v>
      </c>
      <c r="Q751" s="112">
        <f t="shared" si="148"/>
        <v>0</v>
      </c>
      <c r="R751" s="53"/>
      <c r="S751" s="53" t="str">
        <f t="shared" si="149"/>
        <v>Base S2|Base Set - Season 2|150|Base</v>
      </c>
      <c r="T751" s="57" t="str">
        <f>IF($S751="","",IFERROR(VLOOKUP($S751,'Pop Estimates (Non-#d)'!$N$2:$O$500,2,FALSE),""))</f>
        <v/>
      </c>
      <c r="U751" s="57" t="str">
        <f t="shared" si="150"/>
        <v/>
      </c>
      <c r="V751" s="53" t="str">
        <f t="shared" si="151"/>
        <v/>
      </c>
      <c r="W751" s="53" t="str">
        <f t="shared" si="152"/>
        <v/>
      </c>
      <c r="X751" s="53" t="str">
        <f t="shared" si="153"/>
        <v/>
      </c>
      <c r="Y751" s="57" t="str">
        <f>IF($X751="","",IFERROR(VLOOKUP($X751,'Char Popularity'!$A$2:$C$500,2,FALSE),""))</f>
        <v/>
      </c>
      <c r="Z751" s="56">
        <f>IF($X751="",1,IFERROR(VLOOKUP($X751,'Char Popularity'!$A$2:$C$500,3,FALSE),1))</f>
        <v>1</v>
      </c>
      <c r="AA751" s="62">
        <f>IF($H751&lt;&gt;"Y",0,(IF($F751&lt;&gt;"",ROUND(Dashboard!$R$4/$F751,1),IF(AND($I751="Base",$E751="Base"),Dashboard!$R$5,IF(AND($I751="Base",$E751="Red"),Dashboard!$R$6,IF(AND($I751="Base",$E751="Gold"),Dashboard!$R$7,VLOOKUP($I751,Dashboard!$Q$16:$R$21,2,FALSE)))))*VLOOKUP($I751,Dashboard!$Q$9:$R$13,2,FALSE)*IF(AND($I751="Auto",$F751="",OR($B751="Autographs Duals",$B751="Autographs Triples",$B751="Autographs Quads",$B751="Autographs Quads (Inscribed)")),IF($B751="Autographs Duals",2,IF($B751="Autographs Triples",3,4)),1)))</f>
        <v>1</v>
      </c>
      <c r="AB751" s="62">
        <f t="shared" si="154"/>
        <v>1</v>
      </c>
      <c r="AC751" s="62">
        <f t="shared" si="155"/>
        <v>0</v>
      </c>
    </row>
    <row r="752" spans="1:29" ht="28.7" customHeight="1" x14ac:dyDescent="0.25">
      <c r="A752" s="4" t="s">
        <v>19</v>
      </c>
      <c r="B752" s="7" t="s">
        <v>74</v>
      </c>
      <c r="C752" s="2" t="s">
        <v>1550</v>
      </c>
      <c r="D752" s="7" t="s">
        <v>1125</v>
      </c>
      <c r="E752" s="4" t="s">
        <v>60</v>
      </c>
      <c r="F752" s="2"/>
      <c r="G752" s="2" t="s">
        <v>1399</v>
      </c>
      <c r="H752" s="2" t="s">
        <v>1400</v>
      </c>
      <c r="I752" s="4" t="s">
        <v>60</v>
      </c>
      <c r="J752" s="112">
        <f>IF($H752&lt;&gt;"Y",0,ROUND(MIN(Dashboard!$R$24,IF(IFERROR(VLOOKUP($B752,Dashboard!$Q$28:$S$60,2,FALSE),0)&gt;0,IFERROR(VLOOKUP($B752,Dashboard!$Q$28:$S$60,2,FALSE),0),$Z752*IF($U752&lt;&gt;"",ROUND((Dashboard!$R$4/$U752)*VLOOKUP($I752,Dashboard!$Q$9:$R$13,2,FALSE)*IF(ISNUMBER(SEARCH("Duals",$B752)),2,IF(ISNUMBER(SEARCH("Triples",$B752)),3,IF(ISNUMBER(SEARCH("Quads",$B752)),4,1))),2),ROUND(VLOOKUP($I752,Dashboard!$Q$15:$R$20,2,FALSE)*IF($E752="Red",Dashboard!$R$6,IF($E752="Gold",Dashboard!$R$7,Dashboard!$R$5))*IF(ISNUMBER(SEARCH("Duals",$B752)),2,IF(ISNUMBER(SEARCH("Triples",$B752)),3,IF(ISNUMBER(SEARCH("Quads",$B752)),4,1))),2))*IF(IFERROR(VLOOKUP($B752,Dashboard!$Q$28:$S$60,3,FALSE),0)&gt;0,VLOOKUP($B752,Dashboard!$Q$28:$S$60,3,FALSE),1))),0))</f>
        <v>1</v>
      </c>
      <c r="K752" s="2" t="str">
        <f>IF('Base S2'!C52="","",'Base S2'!C52)</f>
        <v>h</v>
      </c>
      <c r="L752" s="2">
        <f t="shared" si="143"/>
        <v>1</v>
      </c>
      <c r="M752" s="2">
        <f t="shared" si="144"/>
        <v>0</v>
      </c>
      <c r="N752" s="2">
        <f t="shared" si="145"/>
        <v>1</v>
      </c>
      <c r="O752" s="2">
        <f t="shared" si="146"/>
        <v>0</v>
      </c>
      <c r="P752" s="112">
        <f t="shared" si="147"/>
        <v>1</v>
      </c>
      <c r="Q752" s="112">
        <f t="shared" si="148"/>
        <v>0</v>
      </c>
      <c r="R752" s="53"/>
      <c r="S752" s="53" t="str">
        <f t="shared" si="149"/>
        <v>Base S2|Base Set - Season 2|151|Base</v>
      </c>
      <c r="T752" s="57" t="str">
        <f>IF($S752="","",IFERROR(VLOOKUP($S752,'Pop Estimates (Non-#d)'!$N$2:$O$500,2,FALSE),""))</f>
        <v/>
      </c>
      <c r="U752" s="57" t="str">
        <f t="shared" si="150"/>
        <v/>
      </c>
      <c r="V752" s="53" t="str">
        <f t="shared" si="151"/>
        <v/>
      </c>
      <c r="W752" s="53" t="str">
        <f t="shared" si="152"/>
        <v/>
      </c>
      <c r="X752" s="53" t="str">
        <f t="shared" si="153"/>
        <v/>
      </c>
      <c r="Y752" s="57" t="str">
        <f>IF($X752="","",IFERROR(VLOOKUP($X752,'Char Popularity'!$A$2:$C$500,2,FALSE),""))</f>
        <v/>
      </c>
      <c r="Z752" s="56">
        <f>IF($X752="",1,IFERROR(VLOOKUP($X752,'Char Popularity'!$A$2:$C$500,3,FALSE),1))</f>
        <v>1</v>
      </c>
      <c r="AA752" s="62">
        <f>IF($H752&lt;&gt;"Y",0,(IF($F752&lt;&gt;"",ROUND(Dashboard!$R$4/$F752,1),IF(AND($I752="Base",$E752="Base"),Dashboard!$R$5,IF(AND($I752="Base",$E752="Red"),Dashboard!$R$6,IF(AND($I752="Base",$E752="Gold"),Dashboard!$R$7,VLOOKUP($I752,Dashboard!$Q$16:$R$21,2,FALSE)))))*VLOOKUP($I752,Dashboard!$Q$9:$R$13,2,FALSE)*IF(AND($I752="Auto",$F752="",OR($B752="Autographs Duals",$B752="Autographs Triples",$B752="Autographs Quads",$B752="Autographs Quads (Inscribed)")),IF($B752="Autographs Duals",2,IF($B752="Autographs Triples",3,4)),1)))</f>
        <v>1</v>
      </c>
      <c r="AB752" s="62">
        <f t="shared" si="154"/>
        <v>1</v>
      </c>
      <c r="AC752" s="62">
        <f t="shared" si="155"/>
        <v>0</v>
      </c>
    </row>
    <row r="753" spans="1:29" ht="28.7" customHeight="1" x14ac:dyDescent="0.25">
      <c r="A753" s="4" t="s">
        <v>19</v>
      </c>
      <c r="B753" s="7" t="s">
        <v>74</v>
      </c>
      <c r="C753" s="2" t="s">
        <v>1551</v>
      </c>
      <c r="D753" s="7" t="s">
        <v>1126</v>
      </c>
      <c r="E753" s="4" t="s">
        <v>60</v>
      </c>
      <c r="F753" s="2"/>
      <c r="G753" s="2" t="s">
        <v>1399</v>
      </c>
      <c r="H753" s="2" t="s">
        <v>1400</v>
      </c>
      <c r="I753" s="4" t="s">
        <v>60</v>
      </c>
      <c r="J753" s="112">
        <f>IF($H753&lt;&gt;"Y",0,ROUND(MIN(Dashboard!$R$24,IF(IFERROR(VLOOKUP($B753,Dashboard!$Q$28:$S$60,2,FALSE),0)&gt;0,IFERROR(VLOOKUP($B753,Dashboard!$Q$28:$S$60,2,FALSE),0),$Z753*IF($U753&lt;&gt;"",ROUND((Dashboard!$R$4/$U753)*VLOOKUP($I753,Dashboard!$Q$9:$R$13,2,FALSE)*IF(ISNUMBER(SEARCH("Duals",$B753)),2,IF(ISNUMBER(SEARCH("Triples",$B753)),3,IF(ISNUMBER(SEARCH("Quads",$B753)),4,1))),2),ROUND(VLOOKUP($I753,Dashboard!$Q$15:$R$20,2,FALSE)*IF($E753="Red",Dashboard!$R$6,IF($E753="Gold",Dashboard!$R$7,Dashboard!$R$5))*IF(ISNUMBER(SEARCH("Duals",$B753)),2,IF(ISNUMBER(SEARCH("Triples",$B753)),3,IF(ISNUMBER(SEARCH("Quads",$B753)),4,1))),2))*IF(IFERROR(VLOOKUP($B753,Dashboard!$Q$28:$S$60,3,FALSE),0)&gt;0,VLOOKUP($B753,Dashboard!$Q$28:$S$60,3,FALSE),1))),0))</f>
        <v>1</v>
      </c>
      <c r="K753" s="2" t="str">
        <f>IF('Base S2'!C53="","",'Base S2'!C53)</f>
        <v>h</v>
      </c>
      <c r="L753" s="2">
        <f t="shared" si="143"/>
        <v>1</v>
      </c>
      <c r="M753" s="2">
        <f t="shared" si="144"/>
        <v>0</v>
      </c>
      <c r="N753" s="2">
        <f t="shared" si="145"/>
        <v>1</v>
      </c>
      <c r="O753" s="2">
        <f t="shared" si="146"/>
        <v>0</v>
      </c>
      <c r="P753" s="112">
        <f t="shared" si="147"/>
        <v>1</v>
      </c>
      <c r="Q753" s="112">
        <f t="shared" si="148"/>
        <v>0</v>
      </c>
      <c r="R753" s="53"/>
      <c r="S753" s="53" t="str">
        <f t="shared" si="149"/>
        <v>Base S2|Base Set - Season 2|152|Base</v>
      </c>
      <c r="T753" s="57" t="str">
        <f>IF($S753="","",IFERROR(VLOOKUP($S753,'Pop Estimates (Non-#d)'!$N$2:$O$500,2,FALSE),""))</f>
        <v/>
      </c>
      <c r="U753" s="57" t="str">
        <f t="shared" si="150"/>
        <v/>
      </c>
      <c r="V753" s="53" t="str">
        <f t="shared" si="151"/>
        <v/>
      </c>
      <c r="W753" s="53" t="str">
        <f t="shared" si="152"/>
        <v/>
      </c>
      <c r="X753" s="53" t="str">
        <f t="shared" si="153"/>
        <v/>
      </c>
      <c r="Y753" s="57" t="str">
        <f>IF($X753="","",IFERROR(VLOOKUP($X753,'Char Popularity'!$A$2:$C$500,2,FALSE),""))</f>
        <v/>
      </c>
      <c r="Z753" s="56">
        <f>IF($X753="",1,IFERROR(VLOOKUP($X753,'Char Popularity'!$A$2:$C$500,3,FALSE),1))</f>
        <v>1</v>
      </c>
      <c r="AA753" s="62">
        <f>IF($H753&lt;&gt;"Y",0,(IF($F753&lt;&gt;"",ROUND(Dashboard!$R$4/$F753,1),IF(AND($I753="Base",$E753="Base"),Dashboard!$R$5,IF(AND($I753="Base",$E753="Red"),Dashboard!$R$6,IF(AND($I753="Base",$E753="Gold"),Dashboard!$R$7,VLOOKUP($I753,Dashboard!$Q$16:$R$21,2,FALSE)))))*VLOOKUP($I753,Dashboard!$Q$9:$R$13,2,FALSE)*IF(AND($I753="Auto",$F753="",OR($B753="Autographs Duals",$B753="Autographs Triples",$B753="Autographs Quads",$B753="Autographs Quads (Inscribed)")),IF($B753="Autographs Duals",2,IF($B753="Autographs Triples",3,4)),1)))</f>
        <v>1</v>
      </c>
      <c r="AB753" s="62">
        <f t="shared" si="154"/>
        <v>1</v>
      </c>
      <c r="AC753" s="62">
        <f t="shared" si="155"/>
        <v>0</v>
      </c>
    </row>
    <row r="754" spans="1:29" ht="28.7" customHeight="1" x14ac:dyDescent="0.25">
      <c r="A754" s="4" t="s">
        <v>19</v>
      </c>
      <c r="B754" s="7" t="s">
        <v>74</v>
      </c>
      <c r="C754" s="2" t="s">
        <v>1552</v>
      </c>
      <c r="D754" s="7" t="s">
        <v>335</v>
      </c>
      <c r="E754" s="4" t="s">
        <v>60</v>
      </c>
      <c r="F754" s="2"/>
      <c r="G754" s="2" t="s">
        <v>1399</v>
      </c>
      <c r="H754" s="2" t="s">
        <v>1400</v>
      </c>
      <c r="I754" s="4" t="s">
        <v>60</v>
      </c>
      <c r="J754" s="112">
        <f>IF($H754&lt;&gt;"Y",0,ROUND(MIN(Dashboard!$R$24,IF(IFERROR(VLOOKUP($B754,Dashboard!$Q$28:$S$60,2,FALSE),0)&gt;0,IFERROR(VLOOKUP($B754,Dashboard!$Q$28:$S$60,2,FALSE),0),$Z754*IF($U754&lt;&gt;"",ROUND((Dashboard!$R$4/$U754)*VLOOKUP($I754,Dashboard!$Q$9:$R$13,2,FALSE)*IF(ISNUMBER(SEARCH("Duals",$B754)),2,IF(ISNUMBER(SEARCH("Triples",$B754)),3,IF(ISNUMBER(SEARCH("Quads",$B754)),4,1))),2),ROUND(VLOOKUP($I754,Dashboard!$Q$15:$R$20,2,FALSE)*IF($E754="Red",Dashboard!$R$6,IF($E754="Gold",Dashboard!$R$7,Dashboard!$R$5))*IF(ISNUMBER(SEARCH("Duals",$B754)),2,IF(ISNUMBER(SEARCH("Triples",$B754)),3,IF(ISNUMBER(SEARCH("Quads",$B754)),4,1))),2))*IF(IFERROR(VLOOKUP($B754,Dashboard!$Q$28:$S$60,3,FALSE),0)&gt;0,VLOOKUP($B754,Dashboard!$Q$28:$S$60,3,FALSE),1))),0))</f>
        <v>1</v>
      </c>
      <c r="K754" s="2" t="str">
        <f>IF('Base S2'!C54="","",'Base S2'!C54)</f>
        <v>h</v>
      </c>
      <c r="L754" s="2">
        <f t="shared" si="143"/>
        <v>1</v>
      </c>
      <c r="M754" s="2">
        <f t="shared" si="144"/>
        <v>0</v>
      </c>
      <c r="N754" s="2">
        <f t="shared" si="145"/>
        <v>1</v>
      </c>
      <c r="O754" s="2">
        <f t="shared" si="146"/>
        <v>0</v>
      </c>
      <c r="P754" s="112">
        <f t="shared" si="147"/>
        <v>1</v>
      </c>
      <c r="Q754" s="112">
        <f t="shared" si="148"/>
        <v>0</v>
      </c>
      <c r="R754" s="53"/>
      <c r="S754" s="53" t="str">
        <f t="shared" si="149"/>
        <v>Base S2|Base Set - Season 2|153|Base</v>
      </c>
      <c r="T754" s="57" t="str">
        <f>IF($S754="","",IFERROR(VLOOKUP($S754,'Pop Estimates (Non-#d)'!$N$2:$O$500,2,FALSE),""))</f>
        <v/>
      </c>
      <c r="U754" s="57" t="str">
        <f t="shared" si="150"/>
        <v/>
      </c>
      <c r="V754" s="53" t="str">
        <f t="shared" si="151"/>
        <v/>
      </c>
      <c r="W754" s="53" t="str">
        <f t="shared" si="152"/>
        <v/>
      </c>
      <c r="X754" s="53" t="str">
        <f t="shared" si="153"/>
        <v/>
      </c>
      <c r="Y754" s="57" t="str">
        <f>IF($X754="","",IFERROR(VLOOKUP($X754,'Char Popularity'!$A$2:$C$500,2,FALSE),""))</f>
        <v/>
      </c>
      <c r="Z754" s="56">
        <f>IF($X754="",1,IFERROR(VLOOKUP($X754,'Char Popularity'!$A$2:$C$500,3,FALSE),1))</f>
        <v>1</v>
      </c>
      <c r="AA754" s="62">
        <f>IF($H754&lt;&gt;"Y",0,(IF($F754&lt;&gt;"",ROUND(Dashboard!$R$4/$F754,1),IF(AND($I754="Base",$E754="Base"),Dashboard!$R$5,IF(AND($I754="Base",$E754="Red"),Dashboard!$R$6,IF(AND($I754="Base",$E754="Gold"),Dashboard!$R$7,VLOOKUP($I754,Dashboard!$Q$16:$R$21,2,FALSE)))))*VLOOKUP($I754,Dashboard!$Q$9:$R$13,2,FALSE)*IF(AND($I754="Auto",$F754="",OR($B754="Autographs Duals",$B754="Autographs Triples",$B754="Autographs Quads",$B754="Autographs Quads (Inscribed)")),IF($B754="Autographs Duals",2,IF($B754="Autographs Triples",3,4)),1)))</f>
        <v>1</v>
      </c>
      <c r="AB754" s="62">
        <f t="shared" si="154"/>
        <v>1</v>
      </c>
      <c r="AC754" s="62">
        <f t="shared" si="155"/>
        <v>0</v>
      </c>
    </row>
    <row r="755" spans="1:29" ht="28.7" customHeight="1" x14ac:dyDescent="0.25">
      <c r="A755" s="4" t="s">
        <v>19</v>
      </c>
      <c r="B755" s="7" t="s">
        <v>74</v>
      </c>
      <c r="C755" s="2" t="s">
        <v>1553</v>
      </c>
      <c r="D755" s="7" t="s">
        <v>1128</v>
      </c>
      <c r="E755" s="4" t="s">
        <v>60</v>
      </c>
      <c r="F755" s="2"/>
      <c r="G755" s="2" t="s">
        <v>1399</v>
      </c>
      <c r="H755" s="2" t="s">
        <v>1400</v>
      </c>
      <c r="I755" s="4" t="s">
        <v>60</v>
      </c>
      <c r="J755" s="112">
        <f>IF($H755&lt;&gt;"Y",0,ROUND(MIN(Dashboard!$R$24,IF(IFERROR(VLOOKUP($B755,Dashboard!$Q$28:$S$60,2,FALSE),0)&gt;0,IFERROR(VLOOKUP($B755,Dashboard!$Q$28:$S$60,2,FALSE),0),$Z755*IF($U755&lt;&gt;"",ROUND((Dashboard!$R$4/$U755)*VLOOKUP($I755,Dashboard!$Q$9:$R$13,2,FALSE)*IF(ISNUMBER(SEARCH("Duals",$B755)),2,IF(ISNUMBER(SEARCH("Triples",$B755)),3,IF(ISNUMBER(SEARCH("Quads",$B755)),4,1))),2),ROUND(VLOOKUP($I755,Dashboard!$Q$15:$R$20,2,FALSE)*IF($E755="Red",Dashboard!$R$6,IF($E755="Gold",Dashboard!$R$7,Dashboard!$R$5))*IF(ISNUMBER(SEARCH("Duals",$B755)),2,IF(ISNUMBER(SEARCH("Triples",$B755)),3,IF(ISNUMBER(SEARCH("Quads",$B755)),4,1))),2))*IF(IFERROR(VLOOKUP($B755,Dashboard!$Q$28:$S$60,3,FALSE),0)&gt;0,VLOOKUP($B755,Dashboard!$Q$28:$S$60,3,FALSE),1))),0))</f>
        <v>1</v>
      </c>
      <c r="K755" s="2" t="str">
        <f>IF('Base S2'!C55="","",'Base S2'!C55)</f>
        <v>h</v>
      </c>
      <c r="L755" s="2">
        <f t="shared" si="143"/>
        <v>1</v>
      </c>
      <c r="M755" s="2">
        <f t="shared" si="144"/>
        <v>0</v>
      </c>
      <c r="N755" s="2">
        <f t="shared" si="145"/>
        <v>1</v>
      </c>
      <c r="O755" s="2">
        <f t="shared" si="146"/>
        <v>0</v>
      </c>
      <c r="P755" s="112">
        <f t="shared" si="147"/>
        <v>1</v>
      </c>
      <c r="Q755" s="112">
        <f t="shared" si="148"/>
        <v>0</v>
      </c>
      <c r="R755" s="53"/>
      <c r="S755" s="53" t="str">
        <f t="shared" si="149"/>
        <v>Base S2|Base Set - Season 2|154|Base</v>
      </c>
      <c r="T755" s="57" t="str">
        <f>IF($S755="","",IFERROR(VLOOKUP($S755,'Pop Estimates (Non-#d)'!$N$2:$O$500,2,FALSE),""))</f>
        <v/>
      </c>
      <c r="U755" s="57" t="str">
        <f t="shared" si="150"/>
        <v/>
      </c>
      <c r="V755" s="53" t="str">
        <f t="shared" si="151"/>
        <v/>
      </c>
      <c r="W755" s="53" t="str">
        <f t="shared" si="152"/>
        <v/>
      </c>
      <c r="X755" s="53" t="str">
        <f t="shared" si="153"/>
        <v/>
      </c>
      <c r="Y755" s="57" t="str">
        <f>IF($X755="","",IFERROR(VLOOKUP($X755,'Char Popularity'!$A$2:$C$500,2,FALSE),""))</f>
        <v/>
      </c>
      <c r="Z755" s="56">
        <f>IF($X755="",1,IFERROR(VLOOKUP($X755,'Char Popularity'!$A$2:$C$500,3,FALSE),1))</f>
        <v>1</v>
      </c>
      <c r="AA755" s="62">
        <f>IF($H755&lt;&gt;"Y",0,(IF($F755&lt;&gt;"",ROUND(Dashboard!$R$4/$F755,1),IF(AND($I755="Base",$E755="Base"),Dashboard!$R$5,IF(AND($I755="Base",$E755="Red"),Dashboard!$R$6,IF(AND($I755="Base",$E755="Gold"),Dashboard!$R$7,VLOOKUP($I755,Dashboard!$Q$16:$R$21,2,FALSE)))))*VLOOKUP($I755,Dashboard!$Q$9:$R$13,2,FALSE)*IF(AND($I755="Auto",$F755="",OR($B755="Autographs Duals",$B755="Autographs Triples",$B755="Autographs Quads",$B755="Autographs Quads (Inscribed)")),IF($B755="Autographs Duals",2,IF($B755="Autographs Triples",3,4)),1)))</f>
        <v>1</v>
      </c>
      <c r="AB755" s="62">
        <f t="shared" si="154"/>
        <v>1</v>
      </c>
      <c r="AC755" s="62">
        <f t="shared" si="155"/>
        <v>0</v>
      </c>
    </row>
    <row r="756" spans="1:29" ht="28.7" customHeight="1" x14ac:dyDescent="0.25">
      <c r="A756" s="4" t="s">
        <v>19</v>
      </c>
      <c r="B756" s="7" t="s">
        <v>74</v>
      </c>
      <c r="C756" s="2" t="s">
        <v>1554</v>
      </c>
      <c r="D756" s="7" t="s">
        <v>1130</v>
      </c>
      <c r="E756" s="4" t="s">
        <v>60</v>
      </c>
      <c r="F756" s="2"/>
      <c r="G756" s="2" t="s">
        <v>1399</v>
      </c>
      <c r="H756" s="2" t="s">
        <v>1400</v>
      </c>
      <c r="I756" s="4" t="s">
        <v>60</v>
      </c>
      <c r="J756" s="112">
        <f>IF($H756&lt;&gt;"Y",0,ROUND(MIN(Dashboard!$R$24,IF(IFERROR(VLOOKUP($B756,Dashboard!$Q$28:$S$60,2,FALSE),0)&gt;0,IFERROR(VLOOKUP($B756,Dashboard!$Q$28:$S$60,2,FALSE),0),$Z756*IF($U756&lt;&gt;"",ROUND((Dashboard!$R$4/$U756)*VLOOKUP($I756,Dashboard!$Q$9:$R$13,2,FALSE)*IF(ISNUMBER(SEARCH("Duals",$B756)),2,IF(ISNUMBER(SEARCH("Triples",$B756)),3,IF(ISNUMBER(SEARCH("Quads",$B756)),4,1))),2),ROUND(VLOOKUP($I756,Dashboard!$Q$15:$R$20,2,FALSE)*IF($E756="Red",Dashboard!$R$6,IF($E756="Gold",Dashboard!$R$7,Dashboard!$R$5))*IF(ISNUMBER(SEARCH("Duals",$B756)),2,IF(ISNUMBER(SEARCH("Triples",$B756)),3,IF(ISNUMBER(SEARCH("Quads",$B756)),4,1))),2))*IF(IFERROR(VLOOKUP($B756,Dashboard!$Q$28:$S$60,3,FALSE),0)&gt;0,VLOOKUP($B756,Dashboard!$Q$28:$S$60,3,FALSE),1))),0))</f>
        <v>1</v>
      </c>
      <c r="K756" s="2" t="str">
        <f>IF('Base S2'!C56="","",'Base S2'!C56)</f>
        <v>h</v>
      </c>
      <c r="L756" s="2">
        <f t="shared" si="143"/>
        <v>1</v>
      </c>
      <c r="M756" s="2">
        <f t="shared" si="144"/>
        <v>0</v>
      </c>
      <c r="N756" s="2">
        <f t="shared" si="145"/>
        <v>1</v>
      </c>
      <c r="O756" s="2">
        <f t="shared" si="146"/>
        <v>0</v>
      </c>
      <c r="P756" s="112">
        <f t="shared" si="147"/>
        <v>1</v>
      </c>
      <c r="Q756" s="112">
        <f t="shared" si="148"/>
        <v>0</v>
      </c>
      <c r="R756" s="53"/>
      <c r="S756" s="53" t="str">
        <f t="shared" si="149"/>
        <v>Base S2|Base Set - Season 2|155|Base</v>
      </c>
      <c r="T756" s="57" t="str">
        <f>IF($S756="","",IFERROR(VLOOKUP($S756,'Pop Estimates (Non-#d)'!$N$2:$O$500,2,FALSE),""))</f>
        <v/>
      </c>
      <c r="U756" s="57" t="str">
        <f t="shared" si="150"/>
        <v/>
      </c>
      <c r="V756" s="53" t="str">
        <f t="shared" si="151"/>
        <v/>
      </c>
      <c r="W756" s="53" t="str">
        <f t="shared" si="152"/>
        <v/>
      </c>
      <c r="X756" s="53" t="str">
        <f t="shared" si="153"/>
        <v/>
      </c>
      <c r="Y756" s="57" t="str">
        <f>IF($X756="","",IFERROR(VLOOKUP($X756,'Char Popularity'!$A$2:$C$500,2,FALSE),""))</f>
        <v/>
      </c>
      <c r="Z756" s="56">
        <f>IF($X756="",1,IFERROR(VLOOKUP($X756,'Char Popularity'!$A$2:$C$500,3,FALSE),1))</f>
        <v>1</v>
      </c>
      <c r="AA756" s="62">
        <f>IF($H756&lt;&gt;"Y",0,(IF($F756&lt;&gt;"",ROUND(Dashboard!$R$4/$F756,1),IF(AND($I756="Base",$E756="Base"),Dashboard!$R$5,IF(AND($I756="Base",$E756="Red"),Dashboard!$R$6,IF(AND($I756="Base",$E756="Gold"),Dashboard!$R$7,VLOOKUP($I756,Dashboard!$Q$16:$R$21,2,FALSE)))))*VLOOKUP($I756,Dashboard!$Q$9:$R$13,2,FALSE)*IF(AND($I756="Auto",$F756="",OR($B756="Autographs Duals",$B756="Autographs Triples",$B756="Autographs Quads",$B756="Autographs Quads (Inscribed)")),IF($B756="Autographs Duals",2,IF($B756="Autographs Triples",3,4)),1)))</f>
        <v>1</v>
      </c>
      <c r="AB756" s="62">
        <f t="shared" si="154"/>
        <v>1</v>
      </c>
      <c r="AC756" s="62">
        <f t="shared" si="155"/>
        <v>0</v>
      </c>
    </row>
    <row r="757" spans="1:29" ht="28.7" customHeight="1" x14ac:dyDescent="0.25">
      <c r="A757" s="4" t="s">
        <v>19</v>
      </c>
      <c r="B757" s="7" t="s">
        <v>74</v>
      </c>
      <c r="C757" s="2" t="s">
        <v>1555</v>
      </c>
      <c r="D757" s="7" t="s">
        <v>1132</v>
      </c>
      <c r="E757" s="4" t="s">
        <v>60</v>
      </c>
      <c r="F757" s="2"/>
      <c r="G757" s="2" t="s">
        <v>1399</v>
      </c>
      <c r="H757" s="2" t="s">
        <v>1400</v>
      </c>
      <c r="I757" s="4" t="s">
        <v>60</v>
      </c>
      <c r="J757" s="112">
        <f>IF($H757&lt;&gt;"Y",0,ROUND(MIN(Dashboard!$R$24,IF(IFERROR(VLOOKUP($B757,Dashboard!$Q$28:$S$60,2,FALSE),0)&gt;0,IFERROR(VLOOKUP($B757,Dashboard!$Q$28:$S$60,2,FALSE),0),$Z757*IF($U757&lt;&gt;"",ROUND((Dashboard!$R$4/$U757)*VLOOKUP($I757,Dashboard!$Q$9:$R$13,2,FALSE)*IF(ISNUMBER(SEARCH("Duals",$B757)),2,IF(ISNUMBER(SEARCH("Triples",$B757)),3,IF(ISNUMBER(SEARCH("Quads",$B757)),4,1))),2),ROUND(VLOOKUP($I757,Dashboard!$Q$15:$R$20,2,FALSE)*IF($E757="Red",Dashboard!$R$6,IF($E757="Gold",Dashboard!$R$7,Dashboard!$R$5))*IF(ISNUMBER(SEARCH("Duals",$B757)),2,IF(ISNUMBER(SEARCH("Triples",$B757)),3,IF(ISNUMBER(SEARCH("Quads",$B757)),4,1))),2))*IF(IFERROR(VLOOKUP($B757,Dashboard!$Q$28:$S$60,3,FALSE),0)&gt;0,VLOOKUP($B757,Dashboard!$Q$28:$S$60,3,FALSE),1))),0))</f>
        <v>1</v>
      </c>
      <c r="K757" s="2" t="str">
        <f>IF('Base S2'!C57="","",'Base S2'!C57)</f>
        <v>h</v>
      </c>
      <c r="L757" s="2">
        <f t="shared" si="143"/>
        <v>1</v>
      </c>
      <c r="M757" s="2">
        <f t="shared" si="144"/>
        <v>0</v>
      </c>
      <c r="N757" s="2">
        <f t="shared" si="145"/>
        <v>1</v>
      </c>
      <c r="O757" s="2">
        <f t="shared" si="146"/>
        <v>0</v>
      </c>
      <c r="P757" s="112">
        <f t="shared" si="147"/>
        <v>1</v>
      </c>
      <c r="Q757" s="112">
        <f t="shared" si="148"/>
        <v>0</v>
      </c>
      <c r="R757" s="53"/>
      <c r="S757" s="53" t="str">
        <f t="shared" si="149"/>
        <v>Base S2|Base Set - Season 2|156|Base</v>
      </c>
      <c r="T757" s="57" t="str">
        <f>IF($S757="","",IFERROR(VLOOKUP($S757,'Pop Estimates (Non-#d)'!$N$2:$O$500,2,FALSE),""))</f>
        <v/>
      </c>
      <c r="U757" s="57" t="str">
        <f t="shared" si="150"/>
        <v/>
      </c>
      <c r="V757" s="53" t="str">
        <f t="shared" si="151"/>
        <v/>
      </c>
      <c r="W757" s="53" t="str">
        <f t="shared" si="152"/>
        <v/>
      </c>
      <c r="X757" s="53" t="str">
        <f t="shared" si="153"/>
        <v/>
      </c>
      <c r="Y757" s="57" t="str">
        <f>IF($X757="","",IFERROR(VLOOKUP($X757,'Char Popularity'!$A$2:$C$500,2,FALSE),""))</f>
        <v/>
      </c>
      <c r="Z757" s="56">
        <f>IF($X757="",1,IFERROR(VLOOKUP($X757,'Char Popularity'!$A$2:$C$500,3,FALSE),1))</f>
        <v>1</v>
      </c>
      <c r="AA757" s="62">
        <f>IF($H757&lt;&gt;"Y",0,(IF($F757&lt;&gt;"",ROUND(Dashboard!$R$4/$F757,1),IF(AND($I757="Base",$E757="Base"),Dashboard!$R$5,IF(AND($I757="Base",$E757="Red"),Dashboard!$R$6,IF(AND($I757="Base",$E757="Gold"),Dashboard!$R$7,VLOOKUP($I757,Dashboard!$Q$16:$R$21,2,FALSE)))))*VLOOKUP($I757,Dashboard!$Q$9:$R$13,2,FALSE)*IF(AND($I757="Auto",$F757="",OR($B757="Autographs Duals",$B757="Autographs Triples",$B757="Autographs Quads",$B757="Autographs Quads (Inscribed)")),IF($B757="Autographs Duals",2,IF($B757="Autographs Triples",3,4)),1)))</f>
        <v>1</v>
      </c>
      <c r="AB757" s="62">
        <f t="shared" si="154"/>
        <v>1</v>
      </c>
      <c r="AC757" s="62">
        <f t="shared" si="155"/>
        <v>0</v>
      </c>
    </row>
    <row r="758" spans="1:29" ht="28.7" customHeight="1" x14ac:dyDescent="0.25">
      <c r="A758" s="4" t="s">
        <v>19</v>
      </c>
      <c r="B758" s="7" t="s">
        <v>74</v>
      </c>
      <c r="C758" s="2" t="s">
        <v>1556</v>
      </c>
      <c r="D758" s="7" t="s">
        <v>1134</v>
      </c>
      <c r="E758" s="4" t="s">
        <v>60</v>
      </c>
      <c r="F758" s="2"/>
      <c r="G758" s="2" t="s">
        <v>1399</v>
      </c>
      <c r="H758" s="2" t="s">
        <v>1400</v>
      </c>
      <c r="I758" s="4" t="s">
        <v>60</v>
      </c>
      <c r="J758" s="112">
        <f>IF($H758&lt;&gt;"Y",0,ROUND(MIN(Dashboard!$R$24,IF(IFERROR(VLOOKUP($B758,Dashboard!$Q$28:$S$60,2,FALSE),0)&gt;0,IFERROR(VLOOKUP($B758,Dashboard!$Q$28:$S$60,2,FALSE),0),$Z758*IF($U758&lt;&gt;"",ROUND((Dashboard!$R$4/$U758)*VLOOKUP($I758,Dashboard!$Q$9:$R$13,2,FALSE)*IF(ISNUMBER(SEARCH("Duals",$B758)),2,IF(ISNUMBER(SEARCH("Triples",$B758)),3,IF(ISNUMBER(SEARCH("Quads",$B758)),4,1))),2),ROUND(VLOOKUP($I758,Dashboard!$Q$15:$R$20,2,FALSE)*IF($E758="Red",Dashboard!$R$6,IF($E758="Gold",Dashboard!$R$7,Dashboard!$R$5))*IF(ISNUMBER(SEARCH("Duals",$B758)),2,IF(ISNUMBER(SEARCH("Triples",$B758)),3,IF(ISNUMBER(SEARCH("Quads",$B758)),4,1))),2))*IF(IFERROR(VLOOKUP($B758,Dashboard!$Q$28:$S$60,3,FALSE),0)&gt;0,VLOOKUP($B758,Dashboard!$Q$28:$S$60,3,FALSE),1))),0))</f>
        <v>1</v>
      </c>
      <c r="K758" s="2" t="str">
        <f>IF('Base S2'!C58="","",'Base S2'!C58)</f>
        <v>h</v>
      </c>
      <c r="L758" s="2">
        <f t="shared" si="143"/>
        <v>1</v>
      </c>
      <c r="M758" s="2">
        <f t="shared" si="144"/>
        <v>0</v>
      </c>
      <c r="N758" s="2">
        <f t="shared" si="145"/>
        <v>1</v>
      </c>
      <c r="O758" s="2">
        <f t="shared" si="146"/>
        <v>0</v>
      </c>
      <c r="P758" s="112">
        <f t="shared" si="147"/>
        <v>1</v>
      </c>
      <c r="Q758" s="112">
        <f t="shared" si="148"/>
        <v>0</v>
      </c>
      <c r="R758" s="53"/>
      <c r="S758" s="53" t="str">
        <f t="shared" si="149"/>
        <v>Base S2|Base Set - Season 2|157|Base</v>
      </c>
      <c r="T758" s="57" t="str">
        <f>IF($S758="","",IFERROR(VLOOKUP($S758,'Pop Estimates (Non-#d)'!$N$2:$O$500,2,FALSE),""))</f>
        <v/>
      </c>
      <c r="U758" s="57" t="str">
        <f t="shared" si="150"/>
        <v/>
      </c>
      <c r="V758" s="53" t="str">
        <f t="shared" si="151"/>
        <v/>
      </c>
      <c r="W758" s="53" t="str">
        <f t="shared" si="152"/>
        <v/>
      </c>
      <c r="X758" s="53" t="str">
        <f t="shared" si="153"/>
        <v/>
      </c>
      <c r="Y758" s="57" t="str">
        <f>IF($X758="","",IFERROR(VLOOKUP($X758,'Char Popularity'!$A$2:$C$500,2,FALSE),""))</f>
        <v/>
      </c>
      <c r="Z758" s="56">
        <f>IF($X758="",1,IFERROR(VLOOKUP($X758,'Char Popularity'!$A$2:$C$500,3,FALSE),1))</f>
        <v>1</v>
      </c>
      <c r="AA758" s="62">
        <f>IF($H758&lt;&gt;"Y",0,(IF($F758&lt;&gt;"",ROUND(Dashboard!$R$4/$F758,1),IF(AND($I758="Base",$E758="Base"),Dashboard!$R$5,IF(AND($I758="Base",$E758="Red"),Dashboard!$R$6,IF(AND($I758="Base",$E758="Gold"),Dashboard!$R$7,VLOOKUP($I758,Dashboard!$Q$16:$R$21,2,FALSE)))))*VLOOKUP($I758,Dashboard!$Q$9:$R$13,2,FALSE)*IF(AND($I758="Auto",$F758="",OR($B758="Autographs Duals",$B758="Autographs Triples",$B758="Autographs Quads",$B758="Autographs Quads (Inscribed)")),IF($B758="Autographs Duals",2,IF($B758="Autographs Triples",3,4)),1)))</f>
        <v>1</v>
      </c>
      <c r="AB758" s="62">
        <f t="shared" si="154"/>
        <v>1</v>
      </c>
      <c r="AC758" s="62">
        <f t="shared" si="155"/>
        <v>0</v>
      </c>
    </row>
    <row r="759" spans="1:29" ht="28.7" customHeight="1" x14ac:dyDescent="0.25">
      <c r="A759" s="4" t="s">
        <v>19</v>
      </c>
      <c r="B759" s="7" t="s">
        <v>74</v>
      </c>
      <c r="C759" s="2" t="s">
        <v>1557</v>
      </c>
      <c r="D759" s="7" t="s">
        <v>1136</v>
      </c>
      <c r="E759" s="4" t="s">
        <v>60</v>
      </c>
      <c r="F759" s="2"/>
      <c r="G759" s="2" t="s">
        <v>1399</v>
      </c>
      <c r="H759" s="2" t="s">
        <v>1400</v>
      </c>
      <c r="I759" s="4" t="s">
        <v>60</v>
      </c>
      <c r="J759" s="112">
        <f>IF($H759&lt;&gt;"Y",0,ROUND(MIN(Dashboard!$R$24,IF(IFERROR(VLOOKUP($B759,Dashboard!$Q$28:$S$60,2,FALSE),0)&gt;0,IFERROR(VLOOKUP($B759,Dashboard!$Q$28:$S$60,2,FALSE),0),$Z759*IF($U759&lt;&gt;"",ROUND((Dashboard!$R$4/$U759)*VLOOKUP($I759,Dashboard!$Q$9:$R$13,2,FALSE)*IF(ISNUMBER(SEARCH("Duals",$B759)),2,IF(ISNUMBER(SEARCH("Triples",$B759)),3,IF(ISNUMBER(SEARCH("Quads",$B759)),4,1))),2),ROUND(VLOOKUP($I759,Dashboard!$Q$15:$R$20,2,FALSE)*IF($E759="Red",Dashboard!$R$6,IF($E759="Gold",Dashboard!$R$7,Dashboard!$R$5))*IF(ISNUMBER(SEARCH("Duals",$B759)),2,IF(ISNUMBER(SEARCH("Triples",$B759)),3,IF(ISNUMBER(SEARCH("Quads",$B759)),4,1))),2))*IF(IFERROR(VLOOKUP($B759,Dashboard!$Q$28:$S$60,3,FALSE),0)&gt;0,VLOOKUP($B759,Dashboard!$Q$28:$S$60,3,FALSE),1))),0))</f>
        <v>1</v>
      </c>
      <c r="K759" s="2" t="str">
        <f>IF('Base S2'!C59="","",'Base S2'!C59)</f>
        <v>h</v>
      </c>
      <c r="L759" s="2">
        <f t="shared" si="143"/>
        <v>1</v>
      </c>
      <c r="M759" s="2">
        <f t="shared" si="144"/>
        <v>0</v>
      </c>
      <c r="N759" s="2">
        <f t="shared" si="145"/>
        <v>1</v>
      </c>
      <c r="O759" s="2">
        <f t="shared" si="146"/>
        <v>0</v>
      </c>
      <c r="P759" s="112">
        <f t="shared" si="147"/>
        <v>1</v>
      </c>
      <c r="Q759" s="112">
        <f t="shared" si="148"/>
        <v>0</v>
      </c>
      <c r="R759" s="53"/>
      <c r="S759" s="53" t="str">
        <f t="shared" si="149"/>
        <v>Base S2|Base Set - Season 2|158|Base</v>
      </c>
      <c r="T759" s="57" t="str">
        <f>IF($S759="","",IFERROR(VLOOKUP($S759,'Pop Estimates (Non-#d)'!$N$2:$O$500,2,FALSE),""))</f>
        <v/>
      </c>
      <c r="U759" s="57" t="str">
        <f t="shared" si="150"/>
        <v/>
      </c>
      <c r="V759" s="53" t="str">
        <f t="shared" si="151"/>
        <v/>
      </c>
      <c r="W759" s="53" t="str">
        <f t="shared" si="152"/>
        <v/>
      </c>
      <c r="X759" s="53" t="str">
        <f t="shared" si="153"/>
        <v/>
      </c>
      <c r="Y759" s="57" t="str">
        <f>IF($X759="","",IFERROR(VLOOKUP($X759,'Char Popularity'!$A$2:$C$500,2,FALSE),""))</f>
        <v/>
      </c>
      <c r="Z759" s="56">
        <f>IF($X759="",1,IFERROR(VLOOKUP($X759,'Char Popularity'!$A$2:$C$500,3,FALSE),1))</f>
        <v>1</v>
      </c>
      <c r="AA759" s="62">
        <f>IF($H759&lt;&gt;"Y",0,(IF($F759&lt;&gt;"",ROUND(Dashboard!$R$4/$F759,1),IF(AND($I759="Base",$E759="Base"),Dashboard!$R$5,IF(AND($I759="Base",$E759="Red"),Dashboard!$R$6,IF(AND($I759="Base",$E759="Gold"),Dashboard!$R$7,VLOOKUP($I759,Dashboard!$Q$16:$R$21,2,FALSE)))))*VLOOKUP($I759,Dashboard!$Q$9:$R$13,2,FALSE)*IF(AND($I759="Auto",$F759="",OR($B759="Autographs Duals",$B759="Autographs Triples",$B759="Autographs Quads",$B759="Autographs Quads (Inscribed)")),IF($B759="Autographs Duals",2,IF($B759="Autographs Triples",3,4)),1)))</f>
        <v>1</v>
      </c>
      <c r="AB759" s="62">
        <f t="shared" si="154"/>
        <v>1</v>
      </c>
      <c r="AC759" s="62">
        <f t="shared" si="155"/>
        <v>0</v>
      </c>
    </row>
    <row r="760" spans="1:29" ht="28.7" customHeight="1" x14ac:dyDescent="0.25">
      <c r="A760" s="4" t="s">
        <v>19</v>
      </c>
      <c r="B760" s="7" t="s">
        <v>74</v>
      </c>
      <c r="C760" s="2" t="s">
        <v>1558</v>
      </c>
      <c r="D760" s="7" t="s">
        <v>1137</v>
      </c>
      <c r="E760" s="4" t="s">
        <v>60</v>
      </c>
      <c r="F760" s="2"/>
      <c r="G760" s="2" t="s">
        <v>1399</v>
      </c>
      <c r="H760" s="2" t="s">
        <v>1400</v>
      </c>
      <c r="I760" s="4" t="s">
        <v>60</v>
      </c>
      <c r="J760" s="112">
        <f>IF($H760&lt;&gt;"Y",0,ROUND(MIN(Dashboard!$R$24,IF(IFERROR(VLOOKUP($B760,Dashboard!$Q$28:$S$60,2,FALSE),0)&gt;0,IFERROR(VLOOKUP($B760,Dashboard!$Q$28:$S$60,2,FALSE),0),$Z760*IF($U760&lt;&gt;"",ROUND((Dashboard!$R$4/$U760)*VLOOKUP($I760,Dashboard!$Q$9:$R$13,2,FALSE)*IF(ISNUMBER(SEARCH("Duals",$B760)),2,IF(ISNUMBER(SEARCH("Triples",$B760)),3,IF(ISNUMBER(SEARCH("Quads",$B760)),4,1))),2),ROUND(VLOOKUP($I760,Dashboard!$Q$15:$R$20,2,FALSE)*IF($E760="Red",Dashboard!$R$6,IF($E760="Gold",Dashboard!$R$7,Dashboard!$R$5))*IF(ISNUMBER(SEARCH("Duals",$B760)),2,IF(ISNUMBER(SEARCH("Triples",$B760)),3,IF(ISNUMBER(SEARCH("Quads",$B760)),4,1))),2))*IF(IFERROR(VLOOKUP($B760,Dashboard!$Q$28:$S$60,3,FALSE),0)&gt;0,VLOOKUP($B760,Dashboard!$Q$28:$S$60,3,FALSE),1))),0))</f>
        <v>1</v>
      </c>
      <c r="K760" s="2" t="str">
        <f>IF('Base S2'!C60="","",'Base S2'!C60)</f>
        <v>h</v>
      </c>
      <c r="L760" s="2">
        <f t="shared" si="143"/>
        <v>1</v>
      </c>
      <c r="M760" s="2">
        <f t="shared" si="144"/>
        <v>0</v>
      </c>
      <c r="N760" s="2">
        <f t="shared" si="145"/>
        <v>1</v>
      </c>
      <c r="O760" s="2">
        <f t="shared" si="146"/>
        <v>0</v>
      </c>
      <c r="P760" s="112">
        <f t="shared" si="147"/>
        <v>1</v>
      </c>
      <c r="Q760" s="112">
        <f t="shared" si="148"/>
        <v>0</v>
      </c>
      <c r="R760" s="53"/>
      <c r="S760" s="53" t="str">
        <f t="shared" si="149"/>
        <v>Base S2|Base Set - Season 2|159|Base</v>
      </c>
      <c r="T760" s="57" t="str">
        <f>IF($S760="","",IFERROR(VLOOKUP($S760,'Pop Estimates (Non-#d)'!$N$2:$O$500,2,FALSE),""))</f>
        <v/>
      </c>
      <c r="U760" s="57" t="str">
        <f t="shared" si="150"/>
        <v/>
      </c>
      <c r="V760" s="53" t="str">
        <f t="shared" si="151"/>
        <v/>
      </c>
      <c r="W760" s="53" t="str">
        <f t="shared" si="152"/>
        <v/>
      </c>
      <c r="X760" s="53" t="str">
        <f t="shared" si="153"/>
        <v/>
      </c>
      <c r="Y760" s="57" t="str">
        <f>IF($X760="","",IFERROR(VLOOKUP($X760,'Char Popularity'!$A$2:$C$500,2,FALSE),""))</f>
        <v/>
      </c>
      <c r="Z760" s="56">
        <f>IF($X760="",1,IFERROR(VLOOKUP($X760,'Char Popularity'!$A$2:$C$500,3,FALSE),1))</f>
        <v>1</v>
      </c>
      <c r="AA760" s="62">
        <f>IF($H760&lt;&gt;"Y",0,(IF($F760&lt;&gt;"",ROUND(Dashboard!$R$4/$F760,1),IF(AND($I760="Base",$E760="Base"),Dashboard!$R$5,IF(AND($I760="Base",$E760="Red"),Dashboard!$R$6,IF(AND($I760="Base",$E760="Gold"),Dashboard!$R$7,VLOOKUP($I760,Dashboard!$Q$16:$R$21,2,FALSE)))))*VLOOKUP($I760,Dashboard!$Q$9:$R$13,2,FALSE)*IF(AND($I760="Auto",$F760="",OR($B760="Autographs Duals",$B760="Autographs Triples",$B760="Autographs Quads",$B760="Autographs Quads (Inscribed)")),IF($B760="Autographs Duals",2,IF($B760="Autographs Triples",3,4)),1)))</f>
        <v>1</v>
      </c>
      <c r="AB760" s="62">
        <f t="shared" si="154"/>
        <v>1</v>
      </c>
      <c r="AC760" s="62">
        <f t="shared" si="155"/>
        <v>0</v>
      </c>
    </row>
    <row r="761" spans="1:29" ht="28.7" customHeight="1" x14ac:dyDescent="0.25">
      <c r="A761" s="4" t="s">
        <v>19</v>
      </c>
      <c r="B761" s="7" t="s">
        <v>74</v>
      </c>
      <c r="C761" s="2" t="s">
        <v>1559</v>
      </c>
      <c r="D761" s="7" t="s">
        <v>1139</v>
      </c>
      <c r="E761" s="4" t="s">
        <v>60</v>
      </c>
      <c r="F761" s="2"/>
      <c r="G761" s="2" t="s">
        <v>1399</v>
      </c>
      <c r="H761" s="2" t="s">
        <v>1400</v>
      </c>
      <c r="I761" s="4" t="s">
        <v>60</v>
      </c>
      <c r="J761" s="112">
        <f>IF($H761&lt;&gt;"Y",0,ROUND(MIN(Dashboard!$R$24,IF(IFERROR(VLOOKUP($B761,Dashboard!$Q$28:$S$60,2,FALSE),0)&gt;0,IFERROR(VLOOKUP($B761,Dashboard!$Q$28:$S$60,2,FALSE),0),$Z761*IF($U761&lt;&gt;"",ROUND((Dashboard!$R$4/$U761)*VLOOKUP($I761,Dashboard!$Q$9:$R$13,2,FALSE)*IF(ISNUMBER(SEARCH("Duals",$B761)),2,IF(ISNUMBER(SEARCH("Triples",$B761)),3,IF(ISNUMBER(SEARCH("Quads",$B761)),4,1))),2),ROUND(VLOOKUP($I761,Dashboard!$Q$15:$R$20,2,FALSE)*IF($E761="Red",Dashboard!$R$6,IF($E761="Gold",Dashboard!$R$7,Dashboard!$R$5))*IF(ISNUMBER(SEARCH("Duals",$B761)),2,IF(ISNUMBER(SEARCH("Triples",$B761)),3,IF(ISNUMBER(SEARCH("Quads",$B761)),4,1))),2))*IF(IFERROR(VLOOKUP($B761,Dashboard!$Q$28:$S$60,3,FALSE),0)&gt;0,VLOOKUP($B761,Dashboard!$Q$28:$S$60,3,FALSE),1))),0))</f>
        <v>1</v>
      </c>
      <c r="K761" s="2" t="str">
        <f>IF('Base S2'!C61="","",'Base S2'!C61)</f>
        <v>h</v>
      </c>
      <c r="L761" s="2">
        <f t="shared" si="143"/>
        <v>1</v>
      </c>
      <c r="M761" s="2">
        <f t="shared" si="144"/>
        <v>0</v>
      </c>
      <c r="N761" s="2">
        <f t="shared" si="145"/>
        <v>1</v>
      </c>
      <c r="O761" s="2">
        <f t="shared" si="146"/>
        <v>0</v>
      </c>
      <c r="P761" s="112">
        <f t="shared" si="147"/>
        <v>1</v>
      </c>
      <c r="Q761" s="112">
        <f t="shared" si="148"/>
        <v>0</v>
      </c>
      <c r="R761" s="53"/>
      <c r="S761" s="53" t="str">
        <f t="shared" si="149"/>
        <v>Base S2|Base Set - Season 2|160|Base</v>
      </c>
      <c r="T761" s="57" t="str">
        <f>IF($S761="","",IFERROR(VLOOKUP($S761,'Pop Estimates (Non-#d)'!$N$2:$O$500,2,FALSE),""))</f>
        <v/>
      </c>
      <c r="U761" s="57" t="str">
        <f t="shared" si="150"/>
        <v/>
      </c>
      <c r="V761" s="53" t="str">
        <f t="shared" si="151"/>
        <v/>
      </c>
      <c r="W761" s="53" t="str">
        <f t="shared" si="152"/>
        <v/>
      </c>
      <c r="X761" s="53" t="str">
        <f t="shared" si="153"/>
        <v/>
      </c>
      <c r="Y761" s="57" t="str">
        <f>IF($X761="","",IFERROR(VLOOKUP($X761,'Char Popularity'!$A$2:$C$500,2,FALSE),""))</f>
        <v/>
      </c>
      <c r="Z761" s="56">
        <f>IF($X761="",1,IFERROR(VLOOKUP($X761,'Char Popularity'!$A$2:$C$500,3,FALSE),1))</f>
        <v>1</v>
      </c>
      <c r="AA761" s="62">
        <f>IF($H761&lt;&gt;"Y",0,(IF($F761&lt;&gt;"",ROUND(Dashboard!$R$4/$F761,1),IF(AND($I761="Base",$E761="Base"),Dashboard!$R$5,IF(AND($I761="Base",$E761="Red"),Dashboard!$R$6,IF(AND($I761="Base",$E761="Gold"),Dashboard!$R$7,VLOOKUP($I761,Dashboard!$Q$16:$R$21,2,FALSE)))))*VLOOKUP($I761,Dashboard!$Q$9:$R$13,2,FALSE)*IF(AND($I761="Auto",$F761="",OR($B761="Autographs Duals",$B761="Autographs Triples",$B761="Autographs Quads",$B761="Autographs Quads (Inscribed)")),IF($B761="Autographs Duals",2,IF($B761="Autographs Triples",3,4)),1)))</f>
        <v>1</v>
      </c>
      <c r="AB761" s="62">
        <f t="shared" si="154"/>
        <v>1</v>
      </c>
      <c r="AC761" s="62">
        <f t="shared" si="155"/>
        <v>0</v>
      </c>
    </row>
    <row r="762" spans="1:29" ht="28.7" customHeight="1" x14ac:dyDescent="0.25">
      <c r="A762" s="4" t="s">
        <v>19</v>
      </c>
      <c r="B762" s="7" t="s">
        <v>74</v>
      </c>
      <c r="C762" s="2" t="s">
        <v>1560</v>
      </c>
      <c r="D762" s="7" t="s">
        <v>1140</v>
      </c>
      <c r="E762" s="4" t="s">
        <v>60</v>
      </c>
      <c r="F762" s="2"/>
      <c r="G762" s="2" t="s">
        <v>1399</v>
      </c>
      <c r="H762" s="2" t="s">
        <v>1400</v>
      </c>
      <c r="I762" s="4" t="s">
        <v>60</v>
      </c>
      <c r="J762" s="112">
        <f>IF($H762&lt;&gt;"Y",0,ROUND(MIN(Dashboard!$R$24,IF(IFERROR(VLOOKUP($B762,Dashboard!$Q$28:$S$60,2,FALSE),0)&gt;0,IFERROR(VLOOKUP($B762,Dashboard!$Q$28:$S$60,2,FALSE),0),$Z762*IF($U762&lt;&gt;"",ROUND((Dashboard!$R$4/$U762)*VLOOKUP($I762,Dashboard!$Q$9:$R$13,2,FALSE)*IF(ISNUMBER(SEARCH("Duals",$B762)),2,IF(ISNUMBER(SEARCH("Triples",$B762)),3,IF(ISNUMBER(SEARCH("Quads",$B762)),4,1))),2),ROUND(VLOOKUP($I762,Dashboard!$Q$15:$R$20,2,FALSE)*IF($E762="Red",Dashboard!$R$6,IF($E762="Gold",Dashboard!$R$7,Dashboard!$R$5))*IF(ISNUMBER(SEARCH("Duals",$B762)),2,IF(ISNUMBER(SEARCH("Triples",$B762)),3,IF(ISNUMBER(SEARCH("Quads",$B762)),4,1))),2))*IF(IFERROR(VLOOKUP($B762,Dashboard!$Q$28:$S$60,3,FALSE),0)&gt;0,VLOOKUP($B762,Dashboard!$Q$28:$S$60,3,FALSE),1))),0))</f>
        <v>1</v>
      </c>
      <c r="K762" s="2" t="str">
        <f>IF('Base S2'!C62="","",'Base S2'!C62)</f>
        <v>h</v>
      </c>
      <c r="L762" s="2">
        <f t="shared" si="143"/>
        <v>1</v>
      </c>
      <c r="M762" s="2">
        <f t="shared" si="144"/>
        <v>0</v>
      </c>
      <c r="N762" s="2">
        <f t="shared" si="145"/>
        <v>1</v>
      </c>
      <c r="O762" s="2">
        <f t="shared" si="146"/>
        <v>0</v>
      </c>
      <c r="P762" s="112">
        <f t="shared" si="147"/>
        <v>1</v>
      </c>
      <c r="Q762" s="112">
        <f t="shared" si="148"/>
        <v>0</v>
      </c>
      <c r="R762" s="53"/>
      <c r="S762" s="53" t="str">
        <f t="shared" si="149"/>
        <v>Base S2|Base Set - Season 2|161|Base</v>
      </c>
      <c r="T762" s="57" t="str">
        <f>IF($S762="","",IFERROR(VLOOKUP($S762,'Pop Estimates (Non-#d)'!$N$2:$O$500,2,FALSE),""))</f>
        <v/>
      </c>
      <c r="U762" s="57" t="str">
        <f t="shared" si="150"/>
        <v/>
      </c>
      <c r="V762" s="53" t="str">
        <f t="shared" si="151"/>
        <v/>
      </c>
      <c r="W762" s="53" t="str">
        <f t="shared" si="152"/>
        <v/>
      </c>
      <c r="X762" s="53" t="str">
        <f t="shared" si="153"/>
        <v/>
      </c>
      <c r="Y762" s="57" t="str">
        <f>IF($X762="","",IFERROR(VLOOKUP($X762,'Char Popularity'!$A$2:$C$500,2,FALSE),""))</f>
        <v/>
      </c>
      <c r="Z762" s="56">
        <f>IF($X762="",1,IFERROR(VLOOKUP($X762,'Char Popularity'!$A$2:$C$500,3,FALSE),1))</f>
        <v>1</v>
      </c>
      <c r="AA762" s="62">
        <f>IF($H762&lt;&gt;"Y",0,(IF($F762&lt;&gt;"",ROUND(Dashboard!$R$4/$F762,1),IF(AND($I762="Base",$E762="Base"),Dashboard!$R$5,IF(AND($I762="Base",$E762="Red"),Dashboard!$R$6,IF(AND($I762="Base",$E762="Gold"),Dashboard!$R$7,VLOOKUP($I762,Dashboard!$Q$16:$R$21,2,FALSE)))))*VLOOKUP($I762,Dashboard!$Q$9:$R$13,2,FALSE)*IF(AND($I762="Auto",$F762="",OR($B762="Autographs Duals",$B762="Autographs Triples",$B762="Autographs Quads",$B762="Autographs Quads (Inscribed)")),IF($B762="Autographs Duals",2,IF($B762="Autographs Triples",3,4)),1)))</f>
        <v>1</v>
      </c>
      <c r="AB762" s="62">
        <f t="shared" si="154"/>
        <v>1</v>
      </c>
      <c r="AC762" s="62">
        <f t="shared" si="155"/>
        <v>0</v>
      </c>
    </row>
    <row r="763" spans="1:29" ht="28.7" customHeight="1" x14ac:dyDescent="0.25">
      <c r="A763" s="4" t="s">
        <v>19</v>
      </c>
      <c r="B763" s="7" t="s">
        <v>74</v>
      </c>
      <c r="C763" s="2" t="s">
        <v>1561</v>
      </c>
      <c r="D763" s="7" t="s">
        <v>1142</v>
      </c>
      <c r="E763" s="4" t="s">
        <v>60</v>
      </c>
      <c r="F763" s="2"/>
      <c r="G763" s="2" t="s">
        <v>1399</v>
      </c>
      <c r="H763" s="2" t="s">
        <v>1400</v>
      </c>
      <c r="I763" s="4" t="s">
        <v>60</v>
      </c>
      <c r="J763" s="112">
        <f>IF($H763&lt;&gt;"Y",0,ROUND(MIN(Dashboard!$R$24,IF(IFERROR(VLOOKUP($B763,Dashboard!$Q$28:$S$60,2,FALSE),0)&gt;0,IFERROR(VLOOKUP($B763,Dashboard!$Q$28:$S$60,2,FALSE),0),$Z763*IF($U763&lt;&gt;"",ROUND((Dashboard!$R$4/$U763)*VLOOKUP($I763,Dashboard!$Q$9:$R$13,2,FALSE)*IF(ISNUMBER(SEARCH("Duals",$B763)),2,IF(ISNUMBER(SEARCH("Triples",$B763)),3,IF(ISNUMBER(SEARCH("Quads",$B763)),4,1))),2),ROUND(VLOOKUP($I763,Dashboard!$Q$15:$R$20,2,FALSE)*IF($E763="Red",Dashboard!$R$6,IF($E763="Gold",Dashboard!$R$7,Dashboard!$R$5))*IF(ISNUMBER(SEARCH("Duals",$B763)),2,IF(ISNUMBER(SEARCH("Triples",$B763)),3,IF(ISNUMBER(SEARCH("Quads",$B763)),4,1))),2))*IF(IFERROR(VLOOKUP($B763,Dashboard!$Q$28:$S$60,3,FALSE),0)&gt;0,VLOOKUP($B763,Dashboard!$Q$28:$S$60,3,FALSE),1))),0))</f>
        <v>1</v>
      </c>
      <c r="K763" s="2" t="str">
        <f>IF('Base S2'!C63="","",'Base S2'!C63)</f>
        <v>h</v>
      </c>
      <c r="L763" s="2">
        <f t="shared" si="143"/>
        <v>1</v>
      </c>
      <c r="M763" s="2">
        <f t="shared" si="144"/>
        <v>0</v>
      </c>
      <c r="N763" s="2">
        <f t="shared" si="145"/>
        <v>1</v>
      </c>
      <c r="O763" s="2">
        <f t="shared" si="146"/>
        <v>0</v>
      </c>
      <c r="P763" s="112">
        <f t="shared" si="147"/>
        <v>1</v>
      </c>
      <c r="Q763" s="112">
        <f t="shared" si="148"/>
        <v>0</v>
      </c>
      <c r="R763" s="53"/>
      <c r="S763" s="53" t="str">
        <f t="shared" si="149"/>
        <v>Base S2|Base Set - Season 2|162|Base</v>
      </c>
      <c r="T763" s="57" t="str">
        <f>IF($S763="","",IFERROR(VLOOKUP($S763,'Pop Estimates (Non-#d)'!$N$2:$O$500,2,FALSE),""))</f>
        <v/>
      </c>
      <c r="U763" s="57" t="str">
        <f t="shared" si="150"/>
        <v/>
      </c>
      <c r="V763" s="53" t="str">
        <f t="shared" si="151"/>
        <v/>
      </c>
      <c r="W763" s="53" t="str">
        <f t="shared" si="152"/>
        <v/>
      </c>
      <c r="X763" s="53" t="str">
        <f t="shared" si="153"/>
        <v/>
      </c>
      <c r="Y763" s="57" t="str">
        <f>IF($X763="","",IFERROR(VLOOKUP($X763,'Char Popularity'!$A$2:$C$500,2,FALSE),""))</f>
        <v/>
      </c>
      <c r="Z763" s="56">
        <f>IF($X763="",1,IFERROR(VLOOKUP($X763,'Char Popularity'!$A$2:$C$500,3,FALSE),1))</f>
        <v>1</v>
      </c>
      <c r="AA763" s="62">
        <f>IF($H763&lt;&gt;"Y",0,(IF($F763&lt;&gt;"",ROUND(Dashboard!$R$4/$F763,1),IF(AND($I763="Base",$E763="Base"),Dashboard!$R$5,IF(AND($I763="Base",$E763="Red"),Dashboard!$R$6,IF(AND($I763="Base",$E763="Gold"),Dashboard!$R$7,VLOOKUP($I763,Dashboard!$Q$16:$R$21,2,FALSE)))))*VLOOKUP($I763,Dashboard!$Q$9:$R$13,2,FALSE)*IF(AND($I763="Auto",$F763="",OR($B763="Autographs Duals",$B763="Autographs Triples",$B763="Autographs Quads",$B763="Autographs Quads (Inscribed)")),IF($B763="Autographs Duals",2,IF($B763="Autographs Triples",3,4)),1)))</f>
        <v>1</v>
      </c>
      <c r="AB763" s="62">
        <f t="shared" si="154"/>
        <v>1</v>
      </c>
      <c r="AC763" s="62">
        <f t="shared" si="155"/>
        <v>0</v>
      </c>
    </row>
    <row r="764" spans="1:29" ht="28.7" customHeight="1" x14ac:dyDescent="0.25">
      <c r="A764" s="4" t="s">
        <v>19</v>
      </c>
      <c r="B764" s="7" t="s">
        <v>74</v>
      </c>
      <c r="C764" s="2" t="s">
        <v>1562</v>
      </c>
      <c r="D764" s="7" t="s">
        <v>1143</v>
      </c>
      <c r="E764" s="4" t="s">
        <v>60</v>
      </c>
      <c r="F764" s="2"/>
      <c r="G764" s="2" t="s">
        <v>1399</v>
      </c>
      <c r="H764" s="2" t="s">
        <v>1400</v>
      </c>
      <c r="I764" s="4" t="s">
        <v>60</v>
      </c>
      <c r="J764" s="112">
        <f>IF($H764&lt;&gt;"Y",0,ROUND(MIN(Dashboard!$R$24,IF(IFERROR(VLOOKUP($B764,Dashboard!$Q$28:$S$60,2,FALSE),0)&gt;0,IFERROR(VLOOKUP($B764,Dashboard!$Q$28:$S$60,2,FALSE),0),$Z764*IF($U764&lt;&gt;"",ROUND((Dashboard!$R$4/$U764)*VLOOKUP($I764,Dashboard!$Q$9:$R$13,2,FALSE)*IF(ISNUMBER(SEARCH("Duals",$B764)),2,IF(ISNUMBER(SEARCH("Triples",$B764)),3,IF(ISNUMBER(SEARCH("Quads",$B764)),4,1))),2),ROUND(VLOOKUP($I764,Dashboard!$Q$15:$R$20,2,FALSE)*IF($E764="Red",Dashboard!$R$6,IF($E764="Gold",Dashboard!$R$7,Dashboard!$R$5))*IF(ISNUMBER(SEARCH("Duals",$B764)),2,IF(ISNUMBER(SEARCH("Triples",$B764)),3,IF(ISNUMBER(SEARCH("Quads",$B764)),4,1))),2))*IF(IFERROR(VLOOKUP($B764,Dashboard!$Q$28:$S$60,3,FALSE),0)&gt;0,VLOOKUP($B764,Dashboard!$Q$28:$S$60,3,FALSE),1))),0))</f>
        <v>1</v>
      </c>
      <c r="K764" s="2" t="str">
        <f>IF('Base S2'!C64="","",'Base S2'!C64)</f>
        <v>h</v>
      </c>
      <c r="L764" s="2">
        <f t="shared" si="143"/>
        <v>1</v>
      </c>
      <c r="M764" s="2">
        <f t="shared" si="144"/>
        <v>0</v>
      </c>
      <c r="N764" s="2">
        <f t="shared" si="145"/>
        <v>1</v>
      </c>
      <c r="O764" s="2">
        <f t="shared" si="146"/>
        <v>0</v>
      </c>
      <c r="P764" s="112">
        <f t="shared" si="147"/>
        <v>1</v>
      </c>
      <c r="Q764" s="112">
        <f t="shared" si="148"/>
        <v>0</v>
      </c>
      <c r="R764" s="53"/>
      <c r="S764" s="53" t="str">
        <f t="shared" si="149"/>
        <v>Base S2|Base Set - Season 2|163|Base</v>
      </c>
      <c r="T764" s="57" t="str">
        <f>IF($S764="","",IFERROR(VLOOKUP($S764,'Pop Estimates (Non-#d)'!$N$2:$O$500,2,FALSE),""))</f>
        <v/>
      </c>
      <c r="U764" s="57" t="str">
        <f t="shared" si="150"/>
        <v/>
      </c>
      <c r="V764" s="53" t="str">
        <f t="shared" si="151"/>
        <v/>
      </c>
      <c r="W764" s="53" t="str">
        <f t="shared" si="152"/>
        <v/>
      </c>
      <c r="X764" s="53" t="str">
        <f t="shared" si="153"/>
        <v/>
      </c>
      <c r="Y764" s="57" t="str">
        <f>IF($X764="","",IFERROR(VLOOKUP($X764,'Char Popularity'!$A$2:$C$500,2,FALSE),""))</f>
        <v/>
      </c>
      <c r="Z764" s="56">
        <f>IF($X764="",1,IFERROR(VLOOKUP($X764,'Char Popularity'!$A$2:$C$500,3,FALSE),1))</f>
        <v>1</v>
      </c>
      <c r="AA764" s="62">
        <f>IF($H764&lt;&gt;"Y",0,(IF($F764&lt;&gt;"",ROUND(Dashboard!$R$4/$F764,1),IF(AND($I764="Base",$E764="Base"),Dashboard!$R$5,IF(AND($I764="Base",$E764="Red"),Dashboard!$R$6,IF(AND($I764="Base",$E764="Gold"),Dashboard!$R$7,VLOOKUP($I764,Dashboard!$Q$16:$R$21,2,FALSE)))))*VLOOKUP($I764,Dashboard!$Q$9:$R$13,2,FALSE)*IF(AND($I764="Auto",$F764="",OR($B764="Autographs Duals",$B764="Autographs Triples",$B764="Autographs Quads",$B764="Autographs Quads (Inscribed)")),IF($B764="Autographs Duals",2,IF($B764="Autographs Triples",3,4)),1)))</f>
        <v>1</v>
      </c>
      <c r="AB764" s="62">
        <f t="shared" si="154"/>
        <v>1</v>
      </c>
      <c r="AC764" s="62">
        <f t="shared" si="155"/>
        <v>0</v>
      </c>
    </row>
    <row r="765" spans="1:29" ht="28.7" customHeight="1" x14ac:dyDescent="0.25">
      <c r="A765" s="4" t="s">
        <v>19</v>
      </c>
      <c r="B765" s="7" t="s">
        <v>74</v>
      </c>
      <c r="C765" s="2" t="s">
        <v>1563</v>
      </c>
      <c r="D765" s="7" t="s">
        <v>1145</v>
      </c>
      <c r="E765" s="4" t="s">
        <v>60</v>
      </c>
      <c r="F765" s="2"/>
      <c r="G765" s="2" t="s">
        <v>1399</v>
      </c>
      <c r="H765" s="2" t="s">
        <v>1400</v>
      </c>
      <c r="I765" s="4" t="s">
        <v>60</v>
      </c>
      <c r="J765" s="112">
        <f>IF($H765&lt;&gt;"Y",0,ROUND(MIN(Dashboard!$R$24,IF(IFERROR(VLOOKUP($B765,Dashboard!$Q$28:$S$60,2,FALSE),0)&gt;0,IFERROR(VLOOKUP($B765,Dashboard!$Q$28:$S$60,2,FALSE),0),$Z765*IF($U765&lt;&gt;"",ROUND((Dashboard!$R$4/$U765)*VLOOKUP($I765,Dashboard!$Q$9:$R$13,2,FALSE)*IF(ISNUMBER(SEARCH("Duals",$B765)),2,IF(ISNUMBER(SEARCH("Triples",$B765)),3,IF(ISNUMBER(SEARCH("Quads",$B765)),4,1))),2),ROUND(VLOOKUP($I765,Dashboard!$Q$15:$R$20,2,FALSE)*IF($E765="Red",Dashboard!$R$6,IF($E765="Gold",Dashboard!$R$7,Dashboard!$R$5))*IF(ISNUMBER(SEARCH("Duals",$B765)),2,IF(ISNUMBER(SEARCH("Triples",$B765)),3,IF(ISNUMBER(SEARCH("Quads",$B765)),4,1))),2))*IF(IFERROR(VLOOKUP($B765,Dashboard!$Q$28:$S$60,3,FALSE),0)&gt;0,VLOOKUP($B765,Dashboard!$Q$28:$S$60,3,FALSE),1))),0))</f>
        <v>1</v>
      </c>
      <c r="K765" s="2" t="str">
        <f>IF('Base S2'!C65="","",'Base S2'!C65)</f>
        <v>h</v>
      </c>
      <c r="L765" s="2">
        <f t="shared" si="143"/>
        <v>1</v>
      </c>
      <c r="M765" s="2">
        <f t="shared" si="144"/>
        <v>0</v>
      </c>
      <c r="N765" s="2">
        <f t="shared" si="145"/>
        <v>1</v>
      </c>
      <c r="O765" s="2">
        <f t="shared" si="146"/>
        <v>0</v>
      </c>
      <c r="P765" s="112">
        <f t="shared" si="147"/>
        <v>1</v>
      </c>
      <c r="Q765" s="112">
        <f t="shared" si="148"/>
        <v>0</v>
      </c>
      <c r="R765" s="53"/>
      <c r="S765" s="53" t="str">
        <f t="shared" si="149"/>
        <v>Base S2|Base Set - Season 2|164|Base</v>
      </c>
      <c r="T765" s="57" t="str">
        <f>IF($S765="","",IFERROR(VLOOKUP($S765,'Pop Estimates (Non-#d)'!$N$2:$O$500,2,FALSE),""))</f>
        <v/>
      </c>
      <c r="U765" s="57" t="str">
        <f t="shared" si="150"/>
        <v/>
      </c>
      <c r="V765" s="53" t="str">
        <f t="shared" si="151"/>
        <v/>
      </c>
      <c r="W765" s="53" t="str">
        <f t="shared" si="152"/>
        <v/>
      </c>
      <c r="X765" s="53" t="str">
        <f t="shared" si="153"/>
        <v/>
      </c>
      <c r="Y765" s="57" t="str">
        <f>IF($X765="","",IFERROR(VLOOKUP($X765,'Char Popularity'!$A$2:$C$500,2,FALSE),""))</f>
        <v/>
      </c>
      <c r="Z765" s="56">
        <f>IF($X765="",1,IFERROR(VLOOKUP($X765,'Char Popularity'!$A$2:$C$500,3,FALSE),1))</f>
        <v>1</v>
      </c>
      <c r="AA765" s="62">
        <f>IF($H765&lt;&gt;"Y",0,(IF($F765&lt;&gt;"",ROUND(Dashboard!$R$4/$F765,1),IF(AND($I765="Base",$E765="Base"),Dashboard!$R$5,IF(AND($I765="Base",$E765="Red"),Dashboard!$R$6,IF(AND($I765="Base",$E765="Gold"),Dashboard!$R$7,VLOOKUP($I765,Dashboard!$Q$16:$R$21,2,FALSE)))))*VLOOKUP($I765,Dashboard!$Q$9:$R$13,2,FALSE)*IF(AND($I765="Auto",$F765="",OR($B765="Autographs Duals",$B765="Autographs Triples",$B765="Autographs Quads",$B765="Autographs Quads (Inscribed)")),IF($B765="Autographs Duals",2,IF($B765="Autographs Triples",3,4)),1)))</f>
        <v>1</v>
      </c>
      <c r="AB765" s="62">
        <f t="shared" si="154"/>
        <v>1</v>
      </c>
      <c r="AC765" s="62">
        <f t="shared" si="155"/>
        <v>0</v>
      </c>
    </row>
    <row r="766" spans="1:29" ht="28.7" customHeight="1" x14ac:dyDescent="0.25">
      <c r="A766" s="4" t="s">
        <v>19</v>
      </c>
      <c r="B766" s="7" t="s">
        <v>74</v>
      </c>
      <c r="C766" s="2" t="s">
        <v>1564</v>
      </c>
      <c r="D766" s="7" t="s">
        <v>1147</v>
      </c>
      <c r="E766" s="4" t="s">
        <v>60</v>
      </c>
      <c r="F766" s="2"/>
      <c r="G766" s="2" t="s">
        <v>1399</v>
      </c>
      <c r="H766" s="2" t="s">
        <v>1400</v>
      </c>
      <c r="I766" s="4" t="s">
        <v>60</v>
      </c>
      <c r="J766" s="112">
        <f>IF($H766&lt;&gt;"Y",0,ROUND(MIN(Dashboard!$R$24,IF(IFERROR(VLOOKUP($B766,Dashboard!$Q$28:$S$60,2,FALSE),0)&gt;0,IFERROR(VLOOKUP($B766,Dashboard!$Q$28:$S$60,2,FALSE),0),$Z766*IF($U766&lt;&gt;"",ROUND((Dashboard!$R$4/$U766)*VLOOKUP($I766,Dashboard!$Q$9:$R$13,2,FALSE)*IF(ISNUMBER(SEARCH("Duals",$B766)),2,IF(ISNUMBER(SEARCH("Triples",$B766)),3,IF(ISNUMBER(SEARCH("Quads",$B766)),4,1))),2),ROUND(VLOOKUP($I766,Dashboard!$Q$15:$R$20,2,FALSE)*IF($E766="Red",Dashboard!$R$6,IF($E766="Gold",Dashboard!$R$7,Dashboard!$R$5))*IF(ISNUMBER(SEARCH("Duals",$B766)),2,IF(ISNUMBER(SEARCH("Triples",$B766)),3,IF(ISNUMBER(SEARCH("Quads",$B766)),4,1))),2))*IF(IFERROR(VLOOKUP($B766,Dashboard!$Q$28:$S$60,3,FALSE),0)&gt;0,VLOOKUP($B766,Dashboard!$Q$28:$S$60,3,FALSE),1))),0))</f>
        <v>1</v>
      </c>
      <c r="K766" s="2" t="str">
        <f>IF('Base S2'!C66="","",'Base S2'!C66)</f>
        <v>h</v>
      </c>
      <c r="L766" s="2">
        <f t="shared" si="143"/>
        <v>1</v>
      </c>
      <c r="M766" s="2">
        <f t="shared" si="144"/>
        <v>0</v>
      </c>
      <c r="N766" s="2">
        <f t="shared" si="145"/>
        <v>1</v>
      </c>
      <c r="O766" s="2">
        <f t="shared" si="146"/>
        <v>0</v>
      </c>
      <c r="P766" s="112">
        <f t="shared" si="147"/>
        <v>1</v>
      </c>
      <c r="Q766" s="112">
        <f t="shared" si="148"/>
        <v>0</v>
      </c>
      <c r="R766" s="53"/>
      <c r="S766" s="53" t="str">
        <f t="shared" si="149"/>
        <v>Base S2|Base Set - Season 2|165|Base</v>
      </c>
      <c r="T766" s="57" t="str">
        <f>IF($S766="","",IFERROR(VLOOKUP($S766,'Pop Estimates (Non-#d)'!$N$2:$O$500,2,FALSE),""))</f>
        <v/>
      </c>
      <c r="U766" s="57" t="str">
        <f t="shared" si="150"/>
        <v/>
      </c>
      <c r="V766" s="53" t="str">
        <f t="shared" si="151"/>
        <v/>
      </c>
      <c r="W766" s="53" t="str">
        <f t="shared" si="152"/>
        <v/>
      </c>
      <c r="X766" s="53" t="str">
        <f t="shared" si="153"/>
        <v/>
      </c>
      <c r="Y766" s="57" t="str">
        <f>IF($X766="","",IFERROR(VLOOKUP($X766,'Char Popularity'!$A$2:$C$500,2,FALSE),""))</f>
        <v/>
      </c>
      <c r="Z766" s="56">
        <f>IF($X766="",1,IFERROR(VLOOKUP($X766,'Char Popularity'!$A$2:$C$500,3,FALSE),1))</f>
        <v>1</v>
      </c>
      <c r="AA766" s="62">
        <f>IF($H766&lt;&gt;"Y",0,(IF($F766&lt;&gt;"",ROUND(Dashboard!$R$4/$F766,1),IF(AND($I766="Base",$E766="Base"),Dashboard!$R$5,IF(AND($I766="Base",$E766="Red"),Dashboard!$R$6,IF(AND($I766="Base",$E766="Gold"),Dashboard!$R$7,VLOOKUP($I766,Dashboard!$Q$16:$R$21,2,FALSE)))))*VLOOKUP($I766,Dashboard!$Q$9:$R$13,2,FALSE)*IF(AND($I766="Auto",$F766="",OR($B766="Autographs Duals",$B766="Autographs Triples",$B766="Autographs Quads",$B766="Autographs Quads (Inscribed)")),IF($B766="Autographs Duals",2,IF($B766="Autographs Triples",3,4)),1)))</f>
        <v>1</v>
      </c>
      <c r="AB766" s="62">
        <f t="shared" si="154"/>
        <v>1</v>
      </c>
      <c r="AC766" s="62">
        <f t="shared" si="155"/>
        <v>0</v>
      </c>
    </row>
    <row r="767" spans="1:29" ht="28.7" customHeight="1" x14ac:dyDescent="0.25">
      <c r="A767" s="4" t="s">
        <v>19</v>
      </c>
      <c r="B767" s="7" t="s">
        <v>74</v>
      </c>
      <c r="C767" s="2" t="s">
        <v>1565</v>
      </c>
      <c r="D767" s="7" t="s">
        <v>1148</v>
      </c>
      <c r="E767" s="4" t="s">
        <v>60</v>
      </c>
      <c r="F767" s="2"/>
      <c r="G767" s="2" t="s">
        <v>1399</v>
      </c>
      <c r="H767" s="2" t="s">
        <v>1400</v>
      </c>
      <c r="I767" s="4" t="s">
        <v>60</v>
      </c>
      <c r="J767" s="112">
        <f>IF($H767&lt;&gt;"Y",0,ROUND(MIN(Dashboard!$R$24,IF(IFERROR(VLOOKUP($B767,Dashboard!$Q$28:$S$60,2,FALSE),0)&gt;0,IFERROR(VLOOKUP($B767,Dashboard!$Q$28:$S$60,2,FALSE),0),$Z767*IF($U767&lt;&gt;"",ROUND((Dashboard!$R$4/$U767)*VLOOKUP($I767,Dashboard!$Q$9:$R$13,2,FALSE)*IF(ISNUMBER(SEARCH("Duals",$B767)),2,IF(ISNUMBER(SEARCH("Triples",$B767)),3,IF(ISNUMBER(SEARCH("Quads",$B767)),4,1))),2),ROUND(VLOOKUP($I767,Dashboard!$Q$15:$R$20,2,FALSE)*IF($E767="Red",Dashboard!$R$6,IF($E767="Gold",Dashboard!$R$7,Dashboard!$R$5))*IF(ISNUMBER(SEARCH("Duals",$B767)),2,IF(ISNUMBER(SEARCH("Triples",$B767)),3,IF(ISNUMBER(SEARCH("Quads",$B767)),4,1))),2))*IF(IFERROR(VLOOKUP($B767,Dashboard!$Q$28:$S$60,3,FALSE),0)&gt;0,VLOOKUP($B767,Dashboard!$Q$28:$S$60,3,FALSE),1))),0))</f>
        <v>1</v>
      </c>
      <c r="K767" s="2" t="str">
        <f>IF('Base S2'!C67="","",'Base S2'!C67)</f>
        <v>h</v>
      </c>
      <c r="L767" s="2">
        <f t="shared" si="143"/>
        <v>1</v>
      </c>
      <c r="M767" s="2">
        <f t="shared" si="144"/>
        <v>0</v>
      </c>
      <c r="N767" s="2">
        <f t="shared" si="145"/>
        <v>1</v>
      </c>
      <c r="O767" s="2">
        <f t="shared" si="146"/>
        <v>0</v>
      </c>
      <c r="P767" s="112">
        <f t="shared" si="147"/>
        <v>1</v>
      </c>
      <c r="Q767" s="112">
        <f t="shared" si="148"/>
        <v>0</v>
      </c>
      <c r="R767" s="53"/>
      <c r="S767" s="53" t="str">
        <f t="shared" si="149"/>
        <v>Base S2|Base Set - Season 2|166|Base</v>
      </c>
      <c r="T767" s="57" t="str">
        <f>IF($S767="","",IFERROR(VLOOKUP($S767,'Pop Estimates (Non-#d)'!$N$2:$O$500,2,FALSE),""))</f>
        <v/>
      </c>
      <c r="U767" s="57" t="str">
        <f t="shared" si="150"/>
        <v/>
      </c>
      <c r="V767" s="53" t="str">
        <f t="shared" si="151"/>
        <v/>
      </c>
      <c r="W767" s="53" t="str">
        <f t="shared" si="152"/>
        <v/>
      </c>
      <c r="X767" s="53" t="str">
        <f t="shared" si="153"/>
        <v/>
      </c>
      <c r="Y767" s="57" t="str">
        <f>IF($X767="","",IFERROR(VLOOKUP($X767,'Char Popularity'!$A$2:$C$500,2,FALSE),""))</f>
        <v/>
      </c>
      <c r="Z767" s="56">
        <f>IF($X767="",1,IFERROR(VLOOKUP($X767,'Char Popularity'!$A$2:$C$500,3,FALSE),1))</f>
        <v>1</v>
      </c>
      <c r="AA767" s="62">
        <f>IF($H767&lt;&gt;"Y",0,(IF($F767&lt;&gt;"",ROUND(Dashboard!$R$4/$F767,1),IF(AND($I767="Base",$E767="Base"),Dashboard!$R$5,IF(AND($I767="Base",$E767="Red"),Dashboard!$R$6,IF(AND($I767="Base",$E767="Gold"),Dashboard!$R$7,VLOOKUP($I767,Dashboard!$Q$16:$R$21,2,FALSE)))))*VLOOKUP($I767,Dashboard!$Q$9:$R$13,2,FALSE)*IF(AND($I767="Auto",$F767="",OR($B767="Autographs Duals",$B767="Autographs Triples",$B767="Autographs Quads",$B767="Autographs Quads (Inscribed)")),IF($B767="Autographs Duals",2,IF($B767="Autographs Triples",3,4)),1)))</f>
        <v>1</v>
      </c>
      <c r="AB767" s="62">
        <f t="shared" si="154"/>
        <v>1</v>
      </c>
      <c r="AC767" s="62">
        <f t="shared" si="155"/>
        <v>0</v>
      </c>
    </row>
    <row r="768" spans="1:29" ht="28.7" customHeight="1" x14ac:dyDescent="0.25">
      <c r="A768" s="4" t="s">
        <v>19</v>
      </c>
      <c r="B768" s="7" t="s">
        <v>74</v>
      </c>
      <c r="C768" s="2" t="s">
        <v>1566</v>
      </c>
      <c r="D768" s="7" t="s">
        <v>1150</v>
      </c>
      <c r="E768" s="4" t="s">
        <v>60</v>
      </c>
      <c r="F768" s="2"/>
      <c r="G768" s="2" t="s">
        <v>1399</v>
      </c>
      <c r="H768" s="2" t="s">
        <v>1400</v>
      </c>
      <c r="I768" s="4" t="s">
        <v>60</v>
      </c>
      <c r="J768" s="112">
        <f>IF($H768&lt;&gt;"Y",0,ROUND(MIN(Dashboard!$R$24,IF(IFERROR(VLOOKUP($B768,Dashboard!$Q$28:$S$60,2,FALSE),0)&gt;0,IFERROR(VLOOKUP($B768,Dashboard!$Q$28:$S$60,2,FALSE),0),$Z768*IF($U768&lt;&gt;"",ROUND((Dashboard!$R$4/$U768)*VLOOKUP($I768,Dashboard!$Q$9:$R$13,2,FALSE)*IF(ISNUMBER(SEARCH("Duals",$B768)),2,IF(ISNUMBER(SEARCH("Triples",$B768)),3,IF(ISNUMBER(SEARCH("Quads",$B768)),4,1))),2),ROUND(VLOOKUP($I768,Dashboard!$Q$15:$R$20,2,FALSE)*IF($E768="Red",Dashboard!$R$6,IF($E768="Gold",Dashboard!$R$7,Dashboard!$R$5))*IF(ISNUMBER(SEARCH("Duals",$B768)),2,IF(ISNUMBER(SEARCH("Triples",$B768)),3,IF(ISNUMBER(SEARCH("Quads",$B768)),4,1))),2))*IF(IFERROR(VLOOKUP($B768,Dashboard!$Q$28:$S$60,3,FALSE),0)&gt;0,VLOOKUP($B768,Dashboard!$Q$28:$S$60,3,FALSE),1))),0))</f>
        <v>1</v>
      </c>
      <c r="K768" s="2" t="str">
        <f>IF('Base S2'!C68="","",'Base S2'!C68)</f>
        <v>h</v>
      </c>
      <c r="L768" s="2">
        <f t="shared" si="143"/>
        <v>1</v>
      </c>
      <c r="M768" s="2">
        <f t="shared" si="144"/>
        <v>0</v>
      </c>
      <c r="N768" s="2">
        <f t="shared" si="145"/>
        <v>1</v>
      </c>
      <c r="O768" s="2">
        <f t="shared" si="146"/>
        <v>0</v>
      </c>
      <c r="P768" s="112">
        <f t="shared" si="147"/>
        <v>1</v>
      </c>
      <c r="Q768" s="112">
        <f t="shared" si="148"/>
        <v>0</v>
      </c>
      <c r="R768" s="53"/>
      <c r="S768" s="53" t="str">
        <f t="shared" si="149"/>
        <v>Base S2|Base Set - Season 2|167|Base</v>
      </c>
      <c r="T768" s="57" t="str">
        <f>IF($S768="","",IFERROR(VLOOKUP($S768,'Pop Estimates (Non-#d)'!$N$2:$O$500,2,FALSE),""))</f>
        <v/>
      </c>
      <c r="U768" s="57" t="str">
        <f t="shared" si="150"/>
        <v/>
      </c>
      <c r="V768" s="53" t="str">
        <f t="shared" si="151"/>
        <v/>
      </c>
      <c r="W768" s="53" t="str">
        <f t="shared" si="152"/>
        <v/>
      </c>
      <c r="X768" s="53" t="str">
        <f t="shared" si="153"/>
        <v/>
      </c>
      <c r="Y768" s="57" t="str">
        <f>IF($X768="","",IFERROR(VLOOKUP($X768,'Char Popularity'!$A$2:$C$500,2,FALSE),""))</f>
        <v/>
      </c>
      <c r="Z768" s="56">
        <f>IF($X768="",1,IFERROR(VLOOKUP($X768,'Char Popularity'!$A$2:$C$500,3,FALSE),1))</f>
        <v>1</v>
      </c>
      <c r="AA768" s="62">
        <f>IF($H768&lt;&gt;"Y",0,(IF($F768&lt;&gt;"",ROUND(Dashboard!$R$4/$F768,1),IF(AND($I768="Base",$E768="Base"),Dashboard!$R$5,IF(AND($I768="Base",$E768="Red"),Dashboard!$R$6,IF(AND($I768="Base",$E768="Gold"),Dashboard!$R$7,VLOOKUP($I768,Dashboard!$Q$16:$R$21,2,FALSE)))))*VLOOKUP($I768,Dashboard!$Q$9:$R$13,2,FALSE)*IF(AND($I768="Auto",$F768="",OR($B768="Autographs Duals",$B768="Autographs Triples",$B768="Autographs Quads",$B768="Autographs Quads (Inscribed)")),IF($B768="Autographs Duals",2,IF($B768="Autographs Triples",3,4)),1)))</f>
        <v>1</v>
      </c>
      <c r="AB768" s="62">
        <f t="shared" si="154"/>
        <v>1</v>
      </c>
      <c r="AC768" s="62">
        <f t="shared" si="155"/>
        <v>0</v>
      </c>
    </row>
    <row r="769" spans="1:29" ht="28.7" customHeight="1" x14ac:dyDescent="0.25">
      <c r="A769" s="4" t="s">
        <v>19</v>
      </c>
      <c r="B769" s="7" t="s">
        <v>74</v>
      </c>
      <c r="C769" s="2" t="s">
        <v>1567</v>
      </c>
      <c r="D769" s="7" t="s">
        <v>1151</v>
      </c>
      <c r="E769" s="4" t="s">
        <v>60</v>
      </c>
      <c r="F769" s="2"/>
      <c r="G769" s="2" t="s">
        <v>1399</v>
      </c>
      <c r="H769" s="2" t="s">
        <v>1400</v>
      </c>
      <c r="I769" s="4" t="s">
        <v>60</v>
      </c>
      <c r="J769" s="112">
        <f>IF($H769&lt;&gt;"Y",0,ROUND(MIN(Dashboard!$R$24,IF(IFERROR(VLOOKUP($B769,Dashboard!$Q$28:$S$60,2,FALSE),0)&gt;0,IFERROR(VLOOKUP($B769,Dashboard!$Q$28:$S$60,2,FALSE),0),$Z769*IF($U769&lt;&gt;"",ROUND((Dashboard!$R$4/$U769)*VLOOKUP($I769,Dashboard!$Q$9:$R$13,2,FALSE)*IF(ISNUMBER(SEARCH("Duals",$B769)),2,IF(ISNUMBER(SEARCH("Triples",$B769)),3,IF(ISNUMBER(SEARCH("Quads",$B769)),4,1))),2),ROUND(VLOOKUP($I769,Dashboard!$Q$15:$R$20,2,FALSE)*IF($E769="Red",Dashboard!$R$6,IF($E769="Gold",Dashboard!$R$7,Dashboard!$R$5))*IF(ISNUMBER(SEARCH("Duals",$B769)),2,IF(ISNUMBER(SEARCH("Triples",$B769)),3,IF(ISNUMBER(SEARCH("Quads",$B769)),4,1))),2))*IF(IFERROR(VLOOKUP($B769,Dashboard!$Q$28:$S$60,3,FALSE),0)&gt;0,VLOOKUP($B769,Dashboard!$Q$28:$S$60,3,FALSE),1))),0))</f>
        <v>1</v>
      </c>
      <c r="K769" s="2" t="str">
        <f>IF('Base S2'!C69="","",'Base S2'!C69)</f>
        <v>h</v>
      </c>
      <c r="L769" s="2">
        <f t="shared" si="143"/>
        <v>1</v>
      </c>
      <c r="M769" s="2">
        <f t="shared" si="144"/>
        <v>0</v>
      </c>
      <c r="N769" s="2">
        <f t="shared" si="145"/>
        <v>1</v>
      </c>
      <c r="O769" s="2">
        <f t="shared" si="146"/>
        <v>0</v>
      </c>
      <c r="P769" s="112">
        <f t="shared" si="147"/>
        <v>1</v>
      </c>
      <c r="Q769" s="112">
        <f t="shared" si="148"/>
        <v>0</v>
      </c>
      <c r="R769" s="53"/>
      <c r="S769" s="53" t="str">
        <f t="shared" si="149"/>
        <v>Base S2|Base Set - Season 2|168|Base</v>
      </c>
      <c r="T769" s="57" t="str">
        <f>IF($S769="","",IFERROR(VLOOKUP($S769,'Pop Estimates (Non-#d)'!$N$2:$O$500,2,FALSE),""))</f>
        <v/>
      </c>
      <c r="U769" s="57" t="str">
        <f t="shared" si="150"/>
        <v/>
      </c>
      <c r="V769" s="53" t="str">
        <f t="shared" si="151"/>
        <v/>
      </c>
      <c r="W769" s="53" t="str">
        <f t="shared" si="152"/>
        <v/>
      </c>
      <c r="X769" s="53" t="str">
        <f t="shared" si="153"/>
        <v/>
      </c>
      <c r="Y769" s="57" t="str">
        <f>IF($X769="","",IFERROR(VLOOKUP($X769,'Char Popularity'!$A$2:$C$500,2,FALSE),""))</f>
        <v/>
      </c>
      <c r="Z769" s="56">
        <f>IF($X769="",1,IFERROR(VLOOKUP($X769,'Char Popularity'!$A$2:$C$500,3,FALSE),1))</f>
        <v>1</v>
      </c>
      <c r="AA769" s="62">
        <f>IF($H769&lt;&gt;"Y",0,(IF($F769&lt;&gt;"",ROUND(Dashboard!$R$4/$F769,1),IF(AND($I769="Base",$E769="Base"),Dashboard!$R$5,IF(AND($I769="Base",$E769="Red"),Dashboard!$R$6,IF(AND($I769="Base",$E769="Gold"),Dashboard!$R$7,VLOOKUP($I769,Dashboard!$Q$16:$R$21,2,FALSE)))))*VLOOKUP($I769,Dashboard!$Q$9:$R$13,2,FALSE)*IF(AND($I769="Auto",$F769="",OR($B769="Autographs Duals",$B769="Autographs Triples",$B769="Autographs Quads",$B769="Autographs Quads (Inscribed)")),IF($B769="Autographs Duals",2,IF($B769="Autographs Triples",3,4)),1)))</f>
        <v>1</v>
      </c>
      <c r="AB769" s="62">
        <f t="shared" si="154"/>
        <v>1</v>
      </c>
      <c r="AC769" s="62">
        <f t="shared" si="155"/>
        <v>0</v>
      </c>
    </row>
    <row r="770" spans="1:29" ht="28.7" customHeight="1" x14ac:dyDescent="0.25">
      <c r="A770" s="4" t="s">
        <v>19</v>
      </c>
      <c r="B770" s="7" t="s">
        <v>74</v>
      </c>
      <c r="C770" s="2" t="s">
        <v>1568</v>
      </c>
      <c r="D770" s="7" t="s">
        <v>1153</v>
      </c>
      <c r="E770" s="4" t="s">
        <v>60</v>
      </c>
      <c r="F770" s="2"/>
      <c r="G770" s="2" t="s">
        <v>1399</v>
      </c>
      <c r="H770" s="2" t="s">
        <v>1400</v>
      </c>
      <c r="I770" s="4" t="s">
        <v>60</v>
      </c>
      <c r="J770" s="112">
        <f>IF($H770&lt;&gt;"Y",0,ROUND(MIN(Dashboard!$R$24,IF(IFERROR(VLOOKUP($B770,Dashboard!$Q$28:$S$60,2,FALSE),0)&gt;0,IFERROR(VLOOKUP($B770,Dashboard!$Q$28:$S$60,2,FALSE),0),$Z770*IF($U770&lt;&gt;"",ROUND((Dashboard!$R$4/$U770)*VLOOKUP($I770,Dashboard!$Q$9:$R$13,2,FALSE)*IF(ISNUMBER(SEARCH("Duals",$B770)),2,IF(ISNUMBER(SEARCH("Triples",$B770)),3,IF(ISNUMBER(SEARCH("Quads",$B770)),4,1))),2),ROUND(VLOOKUP($I770,Dashboard!$Q$15:$R$20,2,FALSE)*IF($E770="Red",Dashboard!$R$6,IF($E770="Gold",Dashboard!$R$7,Dashboard!$R$5))*IF(ISNUMBER(SEARCH("Duals",$B770)),2,IF(ISNUMBER(SEARCH("Triples",$B770)),3,IF(ISNUMBER(SEARCH("Quads",$B770)),4,1))),2))*IF(IFERROR(VLOOKUP($B770,Dashboard!$Q$28:$S$60,3,FALSE),0)&gt;0,VLOOKUP($B770,Dashboard!$Q$28:$S$60,3,FALSE),1))),0))</f>
        <v>1</v>
      </c>
      <c r="K770" s="2" t="str">
        <f>IF('Base S2'!C70="","",'Base S2'!C70)</f>
        <v>h</v>
      </c>
      <c r="L770" s="2">
        <f t="shared" ref="L770:L833" si="156">IF(AND($K770&lt;&gt;"",LEFT($K770,1)&lt;&gt;"Y"),1,0)</f>
        <v>1</v>
      </c>
      <c r="M770" s="2">
        <f t="shared" ref="M770:M833" si="157">IF(LEFT($K770,1)="Y",1,0)</f>
        <v>0</v>
      </c>
      <c r="N770" s="2">
        <f t="shared" ref="N770:N833" si="158">$L770+$M770</f>
        <v>1</v>
      </c>
      <c r="O770" s="2">
        <f t="shared" ref="O770:O833" si="159">IF($H770="Y",1-$N770,0)</f>
        <v>0</v>
      </c>
      <c r="P770" s="112">
        <f t="shared" ref="P770:P833" si="160">IF($L770=1,$J770,0)</f>
        <v>1</v>
      </c>
      <c r="Q770" s="112">
        <f t="shared" ref="Q770:Q833" si="161">IF($M770=1,$J770,0)</f>
        <v>0</v>
      </c>
      <c r="R770" s="53"/>
      <c r="S770" s="53" t="str">
        <f t="shared" ref="S770:S833" si="162">IF($A770="","",$A770&amp;"|"&amp;$B770&amp;"|"&amp;$C770&amp;"|"&amp;$E770)</f>
        <v>Base S2|Base Set - Season 2|169|Base</v>
      </c>
      <c r="T770" s="57" t="str">
        <f>IF($S770="","",IFERROR(VLOOKUP($S770,'Pop Estimates (Non-#d)'!$N$2:$O$500,2,FALSE),""))</f>
        <v/>
      </c>
      <c r="U770" s="57" t="str">
        <f t="shared" ref="U770:U833" si="163">IF($A770="","",IF($F770&lt;&gt;"",$F770,$T770))</f>
        <v/>
      </c>
      <c r="V770" s="53" t="str">
        <f t="shared" ref="V770:V833" si="164">IF($A770="","",IF(ISNUMBER(SEARCH(" as ",$D770)),MID($D770,SEARCH(" as ",$D770)+4,255),IF(ISNUMBER(SEARCH("/",$D770)),LEFT($D770,FIND("/",$D770&amp;"/")-1),"")))</f>
        <v/>
      </c>
      <c r="W770" s="53" t="str">
        <f t="shared" ref="W770:W833" si="165">IF($V770="","",TRIM(IFERROR(MID($V770,SEARCH("(", $V770)+1,SEARCH(")",$V770)-SEARCH("(", $V770)-1),$V770)))</f>
        <v/>
      </c>
      <c r="X770" s="53" t="str">
        <f t="shared" ref="X770:X833" si="166">IF($W770="","",TRIM(LEFT($W770&amp;"""",FIND("""",$W770&amp;"""")-1)))</f>
        <v/>
      </c>
      <c r="Y770" s="57" t="str">
        <f>IF($X770="","",IFERROR(VLOOKUP($X770,'Char Popularity'!$A$2:$C$500,2,FALSE),""))</f>
        <v/>
      </c>
      <c r="Z770" s="56">
        <f>IF($X770="",1,IFERROR(VLOOKUP($X770,'Char Popularity'!$A$2:$C$500,3,FALSE),1))</f>
        <v>1</v>
      </c>
      <c r="AA770" s="62">
        <f>IF($H770&lt;&gt;"Y",0,(IF($F770&lt;&gt;"",ROUND(Dashboard!$R$4/$F770,1),IF(AND($I770="Base",$E770="Base"),Dashboard!$R$5,IF(AND($I770="Base",$E770="Red"),Dashboard!$R$6,IF(AND($I770="Base",$E770="Gold"),Dashboard!$R$7,VLOOKUP($I770,Dashboard!$Q$16:$R$21,2,FALSE)))))*VLOOKUP($I770,Dashboard!$Q$9:$R$13,2,FALSE)*IF(AND($I770="Auto",$F770="",OR($B770="Autographs Duals",$B770="Autographs Triples",$B770="Autographs Quads",$B770="Autographs Quads (Inscribed)")),IF($B770="Autographs Duals",2,IF($B770="Autographs Triples",3,4)),1)))</f>
        <v>1</v>
      </c>
      <c r="AB770" s="62">
        <f t="shared" ref="AB770:AB833" si="167">IF($L770=1,$AA770,0)</f>
        <v>1</v>
      </c>
      <c r="AC770" s="62">
        <f t="shared" ref="AC770:AC833" si="168">IF($M770=1,$AA770,0)</f>
        <v>0</v>
      </c>
    </row>
    <row r="771" spans="1:29" ht="28.7" customHeight="1" x14ac:dyDescent="0.25">
      <c r="A771" s="4" t="s">
        <v>19</v>
      </c>
      <c r="B771" s="7" t="s">
        <v>74</v>
      </c>
      <c r="C771" s="2" t="s">
        <v>1569</v>
      </c>
      <c r="D771" s="7" t="s">
        <v>1154</v>
      </c>
      <c r="E771" s="4" t="s">
        <v>60</v>
      </c>
      <c r="F771" s="2"/>
      <c r="G771" s="2" t="s">
        <v>1399</v>
      </c>
      <c r="H771" s="2" t="s">
        <v>1400</v>
      </c>
      <c r="I771" s="4" t="s">
        <v>60</v>
      </c>
      <c r="J771" s="112">
        <f>IF($H771&lt;&gt;"Y",0,ROUND(MIN(Dashboard!$R$24,IF(IFERROR(VLOOKUP($B771,Dashboard!$Q$28:$S$60,2,FALSE),0)&gt;0,IFERROR(VLOOKUP($B771,Dashboard!$Q$28:$S$60,2,FALSE),0),$Z771*IF($U771&lt;&gt;"",ROUND((Dashboard!$R$4/$U771)*VLOOKUP($I771,Dashboard!$Q$9:$R$13,2,FALSE)*IF(ISNUMBER(SEARCH("Duals",$B771)),2,IF(ISNUMBER(SEARCH("Triples",$B771)),3,IF(ISNUMBER(SEARCH("Quads",$B771)),4,1))),2),ROUND(VLOOKUP($I771,Dashboard!$Q$15:$R$20,2,FALSE)*IF($E771="Red",Dashboard!$R$6,IF($E771="Gold",Dashboard!$R$7,Dashboard!$R$5))*IF(ISNUMBER(SEARCH("Duals",$B771)),2,IF(ISNUMBER(SEARCH("Triples",$B771)),3,IF(ISNUMBER(SEARCH("Quads",$B771)),4,1))),2))*IF(IFERROR(VLOOKUP($B771,Dashboard!$Q$28:$S$60,3,FALSE),0)&gt;0,VLOOKUP($B771,Dashboard!$Q$28:$S$60,3,FALSE),1))),0))</f>
        <v>1</v>
      </c>
      <c r="K771" s="2" t="str">
        <f>IF('Base S2'!C71="","",'Base S2'!C71)</f>
        <v>h</v>
      </c>
      <c r="L771" s="2">
        <f t="shared" si="156"/>
        <v>1</v>
      </c>
      <c r="M771" s="2">
        <f t="shared" si="157"/>
        <v>0</v>
      </c>
      <c r="N771" s="2">
        <f t="shared" si="158"/>
        <v>1</v>
      </c>
      <c r="O771" s="2">
        <f t="shared" si="159"/>
        <v>0</v>
      </c>
      <c r="P771" s="112">
        <f t="shared" si="160"/>
        <v>1</v>
      </c>
      <c r="Q771" s="112">
        <f t="shared" si="161"/>
        <v>0</v>
      </c>
      <c r="R771" s="53"/>
      <c r="S771" s="53" t="str">
        <f t="shared" si="162"/>
        <v>Base S2|Base Set - Season 2|170|Base</v>
      </c>
      <c r="T771" s="57" t="str">
        <f>IF($S771="","",IFERROR(VLOOKUP($S771,'Pop Estimates (Non-#d)'!$N$2:$O$500,2,FALSE),""))</f>
        <v/>
      </c>
      <c r="U771" s="57" t="str">
        <f t="shared" si="163"/>
        <v/>
      </c>
      <c r="V771" s="53" t="str">
        <f t="shared" si="164"/>
        <v/>
      </c>
      <c r="W771" s="53" t="str">
        <f t="shared" si="165"/>
        <v/>
      </c>
      <c r="X771" s="53" t="str">
        <f t="shared" si="166"/>
        <v/>
      </c>
      <c r="Y771" s="57" t="str">
        <f>IF($X771="","",IFERROR(VLOOKUP($X771,'Char Popularity'!$A$2:$C$500,2,FALSE),""))</f>
        <v/>
      </c>
      <c r="Z771" s="56">
        <f>IF($X771="",1,IFERROR(VLOOKUP($X771,'Char Popularity'!$A$2:$C$500,3,FALSE),1))</f>
        <v>1</v>
      </c>
      <c r="AA771" s="62">
        <f>IF($H771&lt;&gt;"Y",0,(IF($F771&lt;&gt;"",ROUND(Dashboard!$R$4/$F771,1),IF(AND($I771="Base",$E771="Base"),Dashboard!$R$5,IF(AND($I771="Base",$E771="Red"),Dashboard!$R$6,IF(AND($I771="Base",$E771="Gold"),Dashboard!$R$7,VLOOKUP($I771,Dashboard!$Q$16:$R$21,2,FALSE)))))*VLOOKUP($I771,Dashboard!$Q$9:$R$13,2,FALSE)*IF(AND($I771="Auto",$F771="",OR($B771="Autographs Duals",$B771="Autographs Triples",$B771="Autographs Quads",$B771="Autographs Quads (Inscribed)")),IF($B771="Autographs Duals",2,IF($B771="Autographs Triples",3,4)),1)))</f>
        <v>1</v>
      </c>
      <c r="AB771" s="62">
        <f t="shared" si="167"/>
        <v>1</v>
      </c>
      <c r="AC771" s="62">
        <f t="shared" si="168"/>
        <v>0</v>
      </c>
    </row>
    <row r="772" spans="1:29" ht="28.7" customHeight="1" x14ac:dyDescent="0.25">
      <c r="A772" s="4" t="s">
        <v>19</v>
      </c>
      <c r="B772" s="7" t="s">
        <v>74</v>
      </c>
      <c r="C772" s="2" t="s">
        <v>1570</v>
      </c>
      <c r="D772" s="7" t="s">
        <v>1158</v>
      </c>
      <c r="E772" s="4" t="s">
        <v>60</v>
      </c>
      <c r="F772" s="2"/>
      <c r="G772" s="2" t="s">
        <v>1399</v>
      </c>
      <c r="H772" s="2" t="s">
        <v>1400</v>
      </c>
      <c r="I772" s="4" t="s">
        <v>60</v>
      </c>
      <c r="J772" s="112">
        <f>IF($H772&lt;&gt;"Y",0,ROUND(MIN(Dashboard!$R$24,IF(IFERROR(VLOOKUP($B772,Dashboard!$Q$28:$S$60,2,FALSE),0)&gt;0,IFERROR(VLOOKUP($B772,Dashboard!$Q$28:$S$60,2,FALSE),0),$Z772*IF($U772&lt;&gt;"",ROUND((Dashboard!$R$4/$U772)*VLOOKUP($I772,Dashboard!$Q$9:$R$13,2,FALSE)*IF(ISNUMBER(SEARCH("Duals",$B772)),2,IF(ISNUMBER(SEARCH("Triples",$B772)),3,IF(ISNUMBER(SEARCH("Quads",$B772)),4,1))),2),ROUND(VLOOKUP($I772,Dashboard!$Q$15:$R$20,2,FALSE)*IF($E772="Red",Dashboard!$R$6,IF($E772="Gold",Dashboard!$R$7,Dashboard!$R$5))*IF(ISNUMBER(SEARCH("Duals",$B772)),2,IF(ISNUMBER(SEARCH("Triples",$B772)),3,IF(ISNUMBER(SEARCH("Quads",$B772)),4,1))),2))*IF(IFERROR(VLOOKUP($B772,Dashboard!$Q$28:$S$60,3,FALSE),0)&gt;0,VLOOKUP($B772,Dashboard!$Q$28:$S$60,3,FALSE),1))),0))</f>
        <v>1</v>
      </c>
      <c r="K772" s="2" t="str">
        <f>IF('Base S2'!C72="","",'Base S2'!C72)</f>
        <v>h</v>
      </c>
      <c r="L772" s="2">
        <f t="shared" si="156"/>
        <v>1</v>
      </c>
      <c r="M772" s="2">
        <f t="shared" si="157"/>
        <v>0</v>
      </c>
      <c r="N772" s="2">
        <f t="shared" si="158"/>
        <v>1</v>
      </c>
      <c r="O772" s="2">
        <f t="shared" si="159"/>
        <v>0</v>
      </c>
      <c r="P772" s="112">
        <f t="shared" si="160"/>
        <v>1</v>
      </c>
      <c r="Q772" s="112">
        <f t="shared" si="161"/>
        <v>0</v>
      </c>
      <c r="R772" s="53"/>
      <c r="S772" s="53" t="str">
        <f t="shared" si="162"/>
        <v>Base S2|Base Set - Season 2|171|Base</v>
      </c>
      <c r="T772" s="57" t="str">
        <f>IF($S772="","",IFERROR(VLOOKUP($S772,'Pop Estimates (Non-#d)'!$N$2:$O$500,2,FALSE),""))</f>
        <v/>
      </c>
      <c r="U772" s="57" t="str">
        <f t="shared" si="163"/>
        <v/>
      </c>
      <c r="V772" s="53" t="str">
        <f t="shared" si="164"/>
        <v/>
      </c>
      <c r="W772" s="53" t="str">
        <f t="shared" si="165"/>
        <v/>
      </c>
      <c r="X772" s="53" t="str">
        <f t="shared" si="166"/>
        <v/>
      </c>
      <c r="Y772" s="57" t="str">
        <f>IF($X772="","",IFERROR(VLOOKUP($X772,'Char Popularity'!$A$2:$C$500,2,FALSE),""))</f>
        <v/>
      </c>
      <c r="Z772" s="56">
        <f>IF($X772="",1,IFERROR(VLOOKUP($X772,'Char Popularity'!$A$2:$C$500,3,FALSE),1))</f>
        <v>1</v>
      </c>
      <c r="AA772" s="62">
        <f>IF($H772&lt;&gt;"Y",0,(IF($F772&lt;&gt;"",ROUND(Dashboard!$R$4/$F772,1),IF(AND($I772="Base",$E772="Base"),Dashboard!$R$5,IF(AND($I772="Base",$E772="Red"),Dashboard!$R$6,IF(AND($I772="Base",$E772="Gold"),Dashboard!$R$7,VLOOKUP($I772,Dashboard!$Q$16:$R$21,2,FALSE)))))*VLOOKUP($I772,Dashboard!$Q$9:$R$13,2,FALSE)*IF(AND($I772="Auto",$F772="",OR($B772="Autographs Duals",$B772="Autographs Triples",$B772="Autographs Quads",$B772="Autographs Quads (Inscribed)")),IF($B772="Autographs Duals",2,IF($B772="Autographs Triples",3,4)),1)))</f>
        <v>1</v>
      </c>
      <c r="AB772" s="62">
        <f t="shared" si="167"/>
        <v>1</v>
      </c>
      <c r="AC772" s="62">
        <f t="shared" si="168"/>
        <v>0</v>
      </c>
    </row>
    <row r="773" spans="1:29" ht="28.7" customHeight="1" x14ac:dyDescent="0.25">
      <c r="A773" s="4" t="s">
        <v>19</v>
      </c>
      <c r="B773" s="7" t="s">
        <v>74</v>
      </c>
      <c r="C773" s="2" t="s">
        <v>1571</v>
      </c>
      <c r="D773" s="7" t="s">
        <v>1160</v>
      </c>
      <c r="E773" s="4" t="s">
        <v>60</v>
      </c>
      <c r="F773" s="2"/>
      <c r="G773" s="2" t="s">
        <v>1399</v>
      </c>
      <c r="H773" s="2" t="s">
        <v>1400</v>
      </c>
      <c r="I773" s="4" t="s">
        <v>60</v>
      </c>
      <c r="J773" s="112">
        <f>IF($H773&lt;&gt;"Y",0,ROUND(MIN(Dashboard!$R$24,IF(IFERROR(VLOOKUP($B773,Dashboard!$Q$28:$S$60,2,FALSE),0)&gt;0,IFERROR(VLOOKUP($B773,Dashboard!$Q$28:$S$60,2,FALSE),0),$Z773*IF($U773&lt;&gt;"",ROUND((Dashboard!$R$4/$U773)*VLOOKUP($I773,Dashboard!$Q$9:$R$13,2,FALSE)*IF(ISNUMBER(SEARCH("Duals",$B773)),2,IF(ISNUMBER(SEARCH("Triples",$B773)),3,IF(ISNUMBER(SEARCH("Quads",$B773)),4,1))),2),ROUND(VLOOKUP($I773,Dashboard!$Q$15:$R$20,2,FALSE)*IF($E773="Red",Dashboard!$R$6,IF($E773="Gold",Dashboard!$R$7,Dashboard!$R$5))*IF(ISNUMBER(SEARCH("Duals",$B773)),2,IF(ISNUMBER(SEARCH("Triples",$B773)),3,IF(ISNUMBER(SEARCH("Quads",$B773)),4,1))),2))*IF(IFERROR(VLOOKUP($B773,Dashboard!$Q$28:$S$60,3,FALSE),0)&gt;0,VLOOKUP($B773,Dashboard!$Q$28:$S$60,3,FALSE),1))),0))</f>
        <v>1</v>
      </c>
      <c r="K773" s="2" t="str">
        <f>IF('Base S2'!C73="","",'Base S2'!C73)</f>
        <v>h</v>
      </c>
      <c r="L773" s="2">
        <f t="shared" si="156"/>
        <v>1</v>
      </c>
      <c r="M773" s="2">
        <f t="shared" si="157"/>
        <v>0</v>
      </c>
      <c r="N773" s="2">
        <f t="shared" si="158"/>
        <v>1</v>
      </c>
      <c r="O773" s="2">
        <f t="shared" si="159"/>
        <v>0</v>
      </c>
      <c r="P773" s="112">
        <f t="shared" si="160"/>
        <v>1</v>
      </c>
      <c r="Q773" s="112">
        <f t="shared" si="161"/>
        <v>0</v>
      </c>
      <c r="R773" s="53"/>
      <c r="S773" s="53" t="str">
        <f t="shared" si="162"/>
        <v>Base S2|Base Set - Season 2|172|Base</v>
      </c>
      <c r="T773" s="57" t="str">
        <f>IF($S773="","",IFERROR(VLOOKUP($S773,'Pop Estimates (Non-#d)'!$N$2:$O$500,2,FALSE),""))</f>
        <v/>
      </c>
      <c r="U773" s="57" t="str">
        <f t="shared" si="163"/>
        <v/>
      </c>
      <c r="V773" s="53" t="str">
        <f t="shared" si="164"/>
        <v/>
      </c>
      <c r="W773" s="53" t="str">
        <f t="shared" si="165"/>
        <v/>
      </c>
      <c r="X773" s="53" t="str">
        <f t="shared" si="166"/>
        <v/>
      </c>
      <c r="Y773" s="57" t="str">
        <f>IF($X773="","",IFERROR(VLOOKUP($X773,'Char Popularity'!$A$2:$C$500,2,FALSE),""))</f>
        <v/>
      </c>
      <c r="Z773" s="56">
        <f>IF($X773="",1,IFERROR(VLOOKUP($X773,'Char Popularity'!$A$2:$C$500,3,FALSE),1))</f>
        <v>1</v>
      </c>
      <c r="AA773" s="62">
        <f>IF($H773&lt;&gt;"Y",0,(IF($F773&lt;&gt;"",ROUND(Dashboard!$R$4/$F773,1),IF(AND($I773="Base",$E773="Base"),Dashboard!$R$5,IF(AND($I773="Base",$E773="Red"),Dashboard!$R$6,IF(AND($I773="Base",$E773="Gold"),Dashboard!$R$7,VLOOKUP($I773,Dashboard!$Q$16:$R$21,2,FALSE)))))*VLOOKUP($I773,Dashboard!$Q$9:$R$13,2,FALSE)*IF(AND($I773="Auto",$F773="",OR($B773="Autographs Duals",$B773="Autographs Triples",$B773="Autographs Quads",$B773="Autographs Quads (Inscribed)")),IF($B773="Autographs Duals",2,IF($B773="Autographs Triples",3,4)),1)))</f>
        <v>1</v>
      </c>
      <c r="AB773" s="62">
        <f t="shared" si="167"/>
        <v>1</v>
      </c>
      <c r="AC773" s="62">
        <f t="shared" si="168"/>
        <v>0</v>
      </c>
    </row>
    <row r="774" spans="1:29" ht="28.7" customHeight="1" x14ac:dyDescent="0.25">
      <c r="A774" s="4" t="s">
        <v>19</v>
      </c>
      <c r="B774" s="7" t="s">
        <v>74</v>
      </c>
      <c r="C774" s="2" t="s">
        <v>1572</v>
      </c>
      <c r="D774" s="7" t="s">
        <v>1161</v>
      </c>
      <c r="E774" s="4" t="s">
        <v>60</v>
      </c>
      <c r="F774" s="2"/>
      <c r="G774" s="2" t="s">
        <v>1399</v>
      </c>
      <c r="H774" s="2" t="s">
        <v>1400</v>
      </c>
      <c r="I774" s="4" t="s">
        <v>60</v>
      </c>
      <c r="J774" s="112">
        <f>IF($H774&lt;&gt;"Y",0,ROUND(MIN(Dashboard!$R$24,IF(IFERROR(VLOOKUP($B774,Dashboard!$Q$28:$S$60,2,FALSE),0)&gt;0,IFERROR(VLOOKUP($B774,Dashboard!$Q$28:$S$60,2,FALSE),0),$Z774*IF($U774&lt;&gt;"",ROUND((Dashboard!$R$4/$U774)*VLOOKUP($I774,Dashboard!$Q$9:$R$13,2,FALSE)*IF(ISNUMBER(SEARCH("Duals",$B774)),2,IF(ISNUMBER(SEARCH("Triples",$B774)),3,IF(ISNUMBER(SEARCH("Quads",$B774)),4,1))),2),ROUND(VLOOKUP($I774,Dashboard!$Q$15:$R$20,2,FALSE)*IF($E774="Red",Dashboard!$R$6,IF($E774="Gold",Dashboard!$R$7,Dashboard!$R$5))*IF(ISNUMBER(SEARCH("Duals",$B774)),2,IF(ISNUMBER(SEARCH("Triples",$B774)),3,IF(ISNUMBER(SEARCH("Quads",$B774)),4,1))),2))*IF(IFERROR(VLOOKUP($B774,Dashboard!$Q$28:$S$60,3,FALSE),0)&gt;0,VLOOKUP($B774,Dashboard!$Q$28:$S$60,3,FALSE),1))),0))</f>
        <v>1</v>
      </c>
      <c r="K774" s="2" t="str">
        <f>IF('Base S2'!C74="","",'Base S2'!C74)</f>
        <v>h</v>
      </c>
      <c r="L774" s="2">
        <f t="shared" si="156"/>
        <v>1</v>
      </c>
      <c r="M774" s="2">
        <f t="shared" si="157"/>
        <v>0</v>
      </c>
      <c r="N774" s="2">
        <f t="shared" si="158"/>
        <v>1</v>
      </c>
      <c r="O774" s="2">
        <f t="shared" si="159"/>
        <v>0</v>
      </c>
      <c r="P774" s="112">
        <f t="shared" si="160"/>
        <v>1</v>
      </c>
      <c r="Q774" s="112">
        <f t="shared" si="161"/>
        <v>0</v>
      </c>
      <c r="R774" s="53"/>
      <c r="S774" s="53" t="str">
        <f t="shared" si="162"/>
        <v>Base S2|Base Set - Season 2|173|Base</v>
      </c>
      <c r="T774" s="57" t="str">
        <f>IF($S774="","",IFERROR(VLOOKUP($S774,'Pop Estimates (Non-#d)'!$N$2:$O$500,2,FALSE),""))</f>
        <v/>
      </c>
      <c r="U774" s="57" t="str">
        <f t="shared" si="163"/>
        <v/>
      </c>
      <c r="V774" s="53" t="str">
        <f t="shared" si="164"/>
        <v/>
      </c>
      <c r="W774" s="53" t="str">
        <f t="shared" si="165"/>
        <v/>
      </c>
      <c r="X774" s="53" t="str">
        <f t="shared" si="166"/>
        <v/>
      </c>
      <c r="Y774" s="57" t="str">
        <f>IF($X774="","",IFERROR(VLOOKUP($X774,'Char Popularity'!$A$2:$C$500,2,FALSE),""))</f>
        <v/>
      </c>
      <c r="Z774" s="56">
        <f>IF($X774="",1,IFERROR(VLOOKUP($X774,'Char Popularity'!$A$2:$C$500,3,FALSE),1))</f>
        <v>1</v>
      </c>
      <c r="AA774" s="62">
        <f>IF($H774&lt;&gt;"Y",0,(IF($F774&lt;&gt;"",ROUND(Dashboard!$R$4/$F774,1),IF(AND($I774="Base",$E774="Base"),Dashboard!$R$5,IF(AND($I774="Base",$E774="Red"),Dashboard!$R$6,IF(AND($I774="Base",$E774="Gold"),Dashboard!$R$7,VLOOKUP($I774,Dashboard!$Q$16:$R$21,2,FALSE)))))*VLOOKUP($I774,Dashboard!$Q$9:$R$13,2,FALSE)*IF(AND($I774="Auto",$F774="",OR($B774="Autographs Duals",$B774="Autographs Triples",$B774="Autographs Quads",$B774="Autographs Quads (Inscribed)")),IF($B774="Autographs Duals",2,IF($B774="Autographs Triples",3,4)),1)))</f>
        <v>1</v>
      </c>
      <c r="AB774" s="62">
        <f t="shared" si="167"/>
        <v>1</v>
      </c>
      <c r="AC774" s="62">
        <f t="shared" si="168"/>
        <v>0</v>
      </c>
    </row>
    <row r="775" spans="1:29" ht="28.7" customHeight="1" x14ac:dyDescent="0.25">
      <c r="A775" s="4" t="s">
        <v>19</v>
      </c>
      <c r="B775" s="7" t="s">
        <v>74</v>
      </c>
      <c r="C775" s="2" t="s">
        <v>1573</v>
      </c>
      <c r="D775" s="7" t="s">
        <v>1164</v>
      </c>
      <c r="E775" s="4" t="s">
        <v>60</v>
      </c>
      <c r="F775" s="2"/>
      <c r="G775" s="2" t="s">
        <v>1399</v>
      </c>
      <c r="H775" s="2" t="s">
        <v>1400</v>
      </c>
      <c r="I775" s="4" t="s">
        <v>60</v>
      </c>
      <c r="J775" s="112">
        <f>IF($H775&lt;&gt;"Y",0,ROUND(MIN(Dashboard!$R$24,IF(IFERROR(VLOOKUP($B775,Dashboard!$Q$28:$S$60,2,FALSE),0)&gt;0,IFERROR(VLOOKUP($B775,Dashboard!$Q$28:$S$60,2,FALSE),0),$Z775*IF($U775&lt;&gt;"",ROUND((Dashboard!$R$4/$U775)*VLOOKUP($I775,Dashboard!$Q$9:$R$13,2,FALSE)*IF(ISNUMBER(SEARCH("Duals",$B775)),2,IF(ISNUMBER(SEARCH("Triples",$B775)),3,IF(ISNUMBER(SEARCH("Quads",$B775)),4,1))),2),ROUND(VLOOKUP($I775,Dashboard!$Q$15:$R$20,2,FALSE)*IF($E775="Red",Dashboard!$R$6,IF($E775="Gold",Dashboard!$R$7,Dashboard!$R$5))*IF(ISNUMBER(SEARCH("Duals",$B775)),2,IF(ISNUMBER(SEARCH("Triples",$B775)),3,IF(ISNUMBER(SEARCH("Quads",$B775)),4,1))),2))*IF(IFERROR(VLOOKUP($B775,Dashboard!$Q$28:$S$60,3,FALSE),0)&gt;0,VLOOKUP($B775,Dashboard!$Q$28:$S$60,3,FALSE),1))),0))</f>
        <v>1</v>
      </c>
      <c r="K775" s="2" t="str">
        <f>IF('Base S2'!C75="","",'Base S2'!C75)</f>
        <v>h</v>
      </c>
      <c r="L775" s="2">
        <f t="shared" si="156"/>
        <v>1</v>
      </c>
      <c r="M775" s="2">
        <f t="shared" si="157"/>
        <v>0</v>
      </c>
      <c r="N775" s="2">
        <f t="shared" si="158"/>
        <v>1</v>
      </c>
      <c r="O775" s="2">
        <f t="shared" si="159"/>
        <v>0</v>
      </c>
      <c r="P775" s="112">
        <f t="shared" si="160"/>
        <v>1</v>
      </c>
      <c r="Q775" s="112">
        <f t="shared" si="161"/>
        <v>0</v>
      </c>
      <c r="R775" s="53"/>
      <c r="S775" s="53" t="str">
        <f t="shared" si="162"/>
        <v>Base S2|Base Set - Season 2|174|Base</v>
      </c>
      <c r="T775" s="57" t="str">
        <f>IF($S775="","",IFERROR(VLOOKUP($S775,'Pop Estimates (Non-#d)'!$N$2:$O$500,2,FALSE),""))</f>
        <v/>
      </c>
      <c r="U775" s="57" t="str">
        <f t="shared" si="163"/>
        <v/>
      </c>
      <c r="V775" s="53" t="str">
        <f t="shared" si="164"/>
        <v/>
      </c>
      <c r="W775" s="53" t="str">
        <f t="shared" si="165"/>
        <v/>
      </c>
      <c r="X775" s="53" t="str">
        <f t="shared" si="166"/>
        <v/>
      </c>
      <c r="Y775" s="57" t="str">
        <f>IF($X775="","",IFERROR(VLOOKUP($X775,'Char Popularity'!$A$2:$C$500,2,FALSE),""))</f>
        <v/>
      </c>
      <c r="Z775" s="56">
        <f>IF($X775="",1,IFERROR(VLOOKUP($X775,'Char Popularity'!$A$2:$C$500,3,FALSE),1))</f>
        <v>1</v>
      </c>
      <c r="AA775" s="62">
        <f>IF($H775&lt;&gt;"Y",0,(IF($F775&lt;&gt;"",ROUND(Dashboard!$R$4/$F775,1),IF(AND($I775="Base",$E775="Base"),Dashboard!$R$5,IF(AND($I775="Base",$E775="Red"),Dashboard!$R$6,IF(AND($I775="Base",$E775="Gold"),Dashboard!$R$7,VLOOKUP($I775,Dashboard!$Q$16:$R$21,2,FALSE)))))*VLOOKUP($I775,Dashboard!$Q$9:$R$13,2,FALSE)*IF(AND($I775="Auto",$F775="",OR($B775="Autographs Duals",$B775="Autographs Triples",$B775="Autographs Quads",$B775="Autographs Quads (Inscribed)")),IF($B775="Autographs Duals",2,IF($B775="Autographs Triples",3,4)),1)))</f>
        <v>1</v>
      </c>
      <c r="AB775" s="62">
        <f t="shared" si="167"/>
        <v>1</v>
      </c>
      <c r="AC775" s="62">
        <f t="shared" si="168"/>
        <v>0</v>
      </c>
    </row>
    <row r="776" spans="1:29" ht="28.7" customHeight="1" x14ac:dyDescent="0.25">
      <c r="A776" s="4" t="s">
        <v>19</v>
      </c>
      <c r="B776" s="7" t="s">
        <v>74</v>
      </c>
      <c r="C776" s="2" t="s">
        <v>1574</v>
      </c>
      <c r="D776" s="7" t="s">
        <v>1165</v>
      </c>
      <c r="E776" s="4" t="s">
        <v>60</v>
      </c>
      <c r="F776" s="2"/>
      <c r="G776" s="2" t="s">
        <v>1399</v>
      </c>
      <c r="H776" s="2" t="s">
        <v>1400</v>
      </c>
      <c r="I776" s="4" t="s">
        <v>60</v>
      </c>
      <c r="J776" s="112">
        <f>IF($H776&lt;&gt;"Y",0,ROUND(MIN(Dashboard!$R$24,IF(IFERROR(VLOOKUP($B776,Dashboard!$Q$28:$S$60,2,FALSE),0)&gt;0,IFERROR(VLOOKUP($B776,Dashboard!$Q$28:$S$60,2,FALSE),0),$Z776*IF($U776&lt;&gt;"",ROUND((Dashboard!$R$4/$U776)*VLOOKUP($I776,Dashboard!$Q$9:$R$13,2,FALSE)*IF(ISNUMBER(SEARCH("Duals",$B776)),2,IF(ISNUMBER(SEARCH("Triples",$B776)),3,IF(ISNUMBER(SEARCH("Quads",$B776)),4,1))),2),ROUND(VLOOKUP($I776,Dashboard!$Q$15:$R$20,2,FALSE)*IF($E776="Red",Dashboard!$R$6,IF($E776="Gold",Dashboard!$R$7,Dashboard!$R$5))*IF(ISNUMBER(SEARCH("Duals",$B776)),2,IF(ISNUMBER(SEARCH("Triples",$B776)),3,IF(ISNUMBER(SEARCH("Quads",$B776)),4,1))),2))*IF(IFERROR(VLOOKUP($B776,Dashboard!$Q$28:$S$60,3,FALSE),0)&gt;0,VLOOKUP($B776,Dashboard!$Q$28:$S$60,3,FALSE),1))),0))</f>
        <v>1</v>
      </c>
      <c r="K776" s="2" t="str">
        <f>IF('Base S2'!C76="","",'Base S2'!C76)</f>
        <v>h</v>
      </c>
      <c r="L776" s="2">
        <f t="shared" si="156"/>
        <v>1</v>
      </c>
      <c r="M776" s="2">
        <f t="shared" si="157"/>
        <v>0</v>
      </c>
      <c r="N776" s="2">
        <f t="shared" si="158"/>
        <v>1</v>
      </c>
      <c r="O776" s="2">
        <f t="shared" si="159"/>
        <v>0</v>
      </c>
      <c r="P776" s="112">
        <f t="shared" si="160"/>
        <v>1</v>
      </c>
      <c r="Q776" s="112">
        <f t="shared" si="161"/>
        <v>0</v>
      </c>
      <c r="R776" s="53"/>
      <c r="S776" s="53" t="str">
        <f t="shared" si="162"/>
        <v>Base S2|Base Set - Season 2|175|Base</v>
      </c>
      <c r="T776" s="57" t="str">
        <f>IF($S776="","",IFERROR(VLOOKUP($S776,'Pop Estimates (Non-#d)'!$N$2:$O$500,2,FALSE),""))</f>
        <v/>
      </c>
      <c r="U776" s="57" t="str">
        <f t="shared" si="163"/>
        <v/>
      </c>
      <c r="V776" s="53" t="str">
        <f t="shared" si="164"/>
        <v/>
      </c>
      <c r="W776" s="53" t="str">
        <f t="shared" si="165"/>
        <v/>
      </c>
      <c r="X776" s="53" t="str">
        <f t="shared" si="166"/>
        <v/>
      </c>
      <c r="Y776" s="57" t="str">
        <f>IF($X776="","",IFERROR(VLOOKUP($X776,'Char Popularity'!$A$2:$C$500,2,FALSE),""))</f>
        <v/>
      </c>
      <c r="Z776" s="56">
        <f>IF($X776="",1,IFERROR(VLOOKUP($X776,'Char Popularity'!$A$2:$C$500,3,FALSE),1))</f>
        <v>1</v>
      </c>
      <c r="AA776" s="62">
        <f>IF($H776&lt;&gt;"Y",0,(IF($F776&lt;&gt;"",ROUND(Dashboard!$R$4/$F776,1),IF(AND($I776="Base",$E776="Base"),Dashboard!$R$5,IF(AND($I776="Base",$E776="Red"),Dashboard!$R$6,IF(AND($I776="Base",$E776="Gold"),Dashboard!$R$7,VLOOKUP($I776,Dashboard!$Q$16:$R$21,2,FALSE)))))*VLOOKUP($I776,Dashboard!$Q$9:$R$13,2,FALSE)*IF(AND($I776="Auto",$F776="",OR($B776="Autographs Duals",$B776="Autographs Triples",$B776="Autographs Quads",$B776="Autographs Quads (Inscribed)")),IF($B776="Autographs Duals",2,IF($B776="Autographs Triples",3,4)),1)))</f>
        <v>1</v>
      </c>
      <c r="AB776" s="62">
        <f t="shared" si="167"/>
        <v>1</v>
      </c>
      <c r="AC776" s="62">
        <f t="shared" si="168"/>
        <v>0</v>
      </c>
    </row>
    <row r="777" spans="1:29" ht="28.7" customHeight="1" x14ac:dyDescent="0.25">
      <c r="A777" s="4" t="s">
        <v>19</v>
      </c>
      <c r="B777" s="7" t="s">
        <v>74</v>
      </c>
      <c r="C777" s="2" t="s">
        <v>1575</v>
      </c>
      <c r="D777" s="7" t="s">
        <v>1167</v>
      </c>
      <c r="E777" s="4" t="s">
        <v>60</v>
      </c>
      <c r="F777" s="2"/>
      <c r="G777" s="2" t="s">
        <v>1399</v>
      </c>
      <c r="H777" s="2" t="s">
        <v>1400</v>
      </c>
      <c r="I777" s="4" t="s">
        <v>60</v>
      </c>
      <c r="J777" s="112">
        <f>IF($H777&lt;&gt;"Y",0,ROUND(MIN(Dashboard!$R$24,IF(IFERROR(VLOOKUP($B777,Dashboard!$Q$28:$S$60,2,FALSE),0)&gt;0,IFERROR(VLOOKUP($B777,Dashboard!$Q$28:$S$60,2,FALSE),0),$Z777*IF($U777&lt;&gt;"",ROUND((Dashboard!$R$4/$U777)*VLOOKUP($I777,Dashboard!$Q$9:$R$13,2,FALSE)*IF(ISNUMBER(SEARCH("Duals",$B777)),2,IF(ISNUMBER(SEARCH("Triples",$B777)),3,IF(ISNUMBER(SEARCH("Quads",$B777)),4,1))),2),ROUND(VLOOKUP($I777,Dashboard!$Q$15:$R$20,2,FALSE)*IF($E777="Red",Dashboard!$R$6,IF($E777="Gold",Dashboard!$R$7,Dashboard!$R$5))*IF(ISNUMBER(SEARCH("Duals",$B777)),2,IF(ISNUMBER(SEARCH("Triples",$B777)),3,IF(ISNUMBER(SEARCH("Quads",$B777)),4,1))),2))*IF(IFERROR(VLOOKUP($B777,Dashboard!$Q$28:$S$60,3,FALSE),0)&gt;0,VLOOKUP($B777,Dashboard!$Q$28:$S$60,3,FALSE),1))),0))</f>
        <v>1</v>
      </c>
      <c r="K777" s="2" t="str">
        <f>IF('Base S2'!C77="","",'Base S2'!C77)</f>
        <v>h</v>
      </c>
      <c r="L777" s="2">
        <f t="shared" si="156"/>
        <v>1</v>
      </c>
      <c r="M777" s="2">
        <f t="shared" si="157"/>
        <v>0</v>
      </c>
      <c r="N777" s="2">
        <f t="shared" si="158"/>
        <v>1</v>
      </c>
      <c r="O777" s="2">
        <f t="shared" si="159"/>
        <v>0</v>
      </c>
      <c r="P777" s="112">
        <f t="shared" si="160"/>
        <v>1</v>
      </c>
      <c r="Q777" s="112">
        <f t="shared" si="161"/>
        <v>0</v>
      </c>
      <c r="R777" s="53"/>
      <c r="S777" s="53" t="str">
        <f t="shared" si="162"/>
        <v>Base S2|Base Set - Season 2|176|Base</v>
      </c>
      <c r="T777" s="57" t="str">
        <f>IF($S777="","",IFERROR(VLOOKUP($S777,'Pop Estimates (Non-#d)'!$N$2:$O$500,2,FALSE),""))</f>
        <v/>
      </c>
      <c r="U777" s="57" t="str">
        <f t="shared" si="163"/>
        <v/>
      </c>
      <c r="V777" s="53" t="str">
        <f t="shared" si="164"/>
        <v/>
      </c>
      <c r="W777" s="53" t="str">
        <f t="shared" si="165"/>
        <v/>
      </c>
      <c r="X777" s="53" t="str">
        <f t="shared" si="166"/>
        <v/>
      </c>
      <c r="Y777" s="57" t="str">
        <f>IF($X777="","",IFERROR(VLOOKUP($X777,'Char Popularity'!$A$2:$C$500,2,FALSE),""))</f>
        <v/>
      </c>
      <c r="Z777" s="56">
        <f>IF($X777="",1,IFERROR(VLOOKUP($X777,'Char Popularity'!$A$2:$C$500,3,FALSE),1))</f>
        <v>1</v>
      </c>
      <c r="AA777" s="62">
        <f>IF($H777&lt;&gt;"Y",0,(IF($F777&lt;&gt;"",ROUND(Dashboard!$R$4/$F777,1),IF(AND($I777="Base",$E777="Base"),Dashboard!$R$5,IF(AND($I777="Base",$E777="Red"),Dashboard!$R$6,IF(AND($I777="Base",$E777="Gold"),Dashboard!$R$7,VLOOKUP($I777,Dashboard!$Q$16:$R$21,2,FALSE)))))*VLOOKUP($I777,Dashboard!$Q$9:$R$13,2,FALSE)*IF(AND($I777="Auto",$F777="",OR($B777="Autographs Duals",$B777="Autographs Triples",$B777="Autographs Quads",$B777="Autographs Quads (Inscribed)")),IF($B777="Autographs Duals",2,IF($B777="Autographs Triples",3,4)),1)))</f>
        <v>1</v>
      </c>
      <c r="AB777" s="62">
        <f t="shared" si="167"/>
        <v>1</v>
      </c>
      <c r="AC777" s="62">
        <f t="shared" si="168"/>
        <v>0</v>
      </c>
    </row>
    <row r="778" spans="1:29" ht="28.7" customHeight="1" x14ac:dyDescent="0.25">
      <c r="A778" s="4" t="s">
        <v>19</v>
      </c>
      <c r="B778" s="7" t="s">
        <v>74</v>
      </c>
      <c r="C778" s="2" t="s">
        <v>1576</v>
      </c>
      <c r="D778" s="7" t="s">
        <v>1168</v>
      </c>
      <c r="E778" s="4" t="s">
        <v>60</v>
      </c>
      <c r="F778" s="2"/>
      <c r="G778" s="2" t="s">
        <v>1399</v>
      </c>
      <c r="H778" s="2" t="s">
        <v>1400</v>
      </c>
      <c r="I778" s="4" t="s">
        <v>60</v>
      </c>
      <c r="J778" s="112">
        <f>IF($H778&lt;&gt;"Y",0,ROUND(MIN(Dashboard!$R$24,IF(IFERROR(VLOOKUP($B778,Dashboard!$Q$28:$S$60,2,FALSE),0)&gt;0,IFERROR(VLOOKUP($B778,Dashboard!$Q$28:$S$60,2,FALSE),0),$Z778*IF($U778&lt;&gt;"",ROUND((Dashboard!$R$4/$U778)*VLOOKUP($I778,Dashboard!$Q$9:$R$13,2,FALSE)*IF(ISNUMBER(SEARCH("Duals",$B778)),2,IF(ISNUMBER(SEARCH("Triples",$B778)),3,IF(ISNUMBER(SEARCH("Quads",$B778)),4,1))),2),ROUND(VLOOKUP($I778,Dashboard!$Q$15:$R$20,2,FALSE)*IF($E778="Red",Dashboard!$R$6,IF($E778="Gold",Dashboard!$R$7,Dashboard!$R$5))*IF(ISNUMBER(SEARCH("Duals",$B778)),2,IF(ISNUMBER(SEARCH("Triples",$B778)),3,IF(ISNUMBER(SEARCH("Quads",$B778)),4,1))),2))*IF(IFERROR(VLOOKUP($B778,Dashboard!$Q$28:$S$60,3,FALSE),0)&gt;0,VLOOKUP($B778,Dashboard!$Q$28:$S$60,3,FALSE),1))),0))</f>
        <v>1</v>
      </c>
      <c r="K778" s="2" t="str">
        <f>IF('Base S2'!C78="","",'Base S2'!C78)</f>
        <v>h</v>
      </c>
      <c r="L778" s="2">
        <f t="shared" si="156"/>
        <v>1</v>
      </c>
      <c r="M778" s="2">
        <f t="shared" si="157"/>
        <v>0</v>
      </c>
      <c r="N778" s="2">
        <f t="shared" si="158"/>
        <v>1</v>
      </c>
      <c r="O778" s="2">
        <f t="shared" si="159"/>
        <v>0</v>
      </c>
      <c r="P778" s="112">
        <f t="shared" si="160"/>
        <v>1</v>
      </c>
      <c r="Q778" s="112">
        <f t="shared" si="161"/>
        <v>0</v>
      </c>
      <c r="R778" s="53"/>
      <c r="S778" s="53" t="str">
        <f t="shared" si="162"/>
        <v>Base S2|Base Set - Season 2|177|Base</v>
      </c>
      <c r="T778" s="57" t="str">
        <f>IF($S778="","",IFERROR(VLOOKUP($S778,'Pop Estimates (Non-#d)'!$N$2:$O$500,2,FALSE),""))</f>
        <v/>
      </c>
      <c r="U778" s="57" t="str">
        <f t="shared" si="163"/>
        <v/>
      </c>
      <c r="V778" s="53" t="str">
        <f t="shared" si="164"/>
        <v/>
      </c>
      <c r="W778" s="53" t="str">
        <f t="shared" si="165"/>
        <v/>
      </c>
      <c r="X778" s="53" t="str">
        <f t="shared" si="166"/>
        <v/>
      </c>
      <c r="Y778" s="57" t="str">
        <f>IF($X778="","",IFERROR(VLOOKUP($X778,'Char Popularity'!$A$2:$C$500,2,FALSE),""))</f>
        <v/>
      </c>
      <c r="Z778" s="56">
        <f>IF($X778="",1,IFERROR(VLOOKUP($X778,'Char Popularity'!$A$2:$C$500,3,FALSE),1))</f>
        <v>1</v>
      </c>
      <c r="AA778" s="62">
        <f>IF($H778&lt;&gt;"Y",0,(IF($F778&lt;&gt;"",ROUND(Dashboard!$R$4/$F778,1),IF(AND($I778="Base",$E778="Base"),Dashboard!$R$5,IF(AND($I778="Base",$E778="Red"),Dashboard!$R$6,IF(AND($I778="Base",$E778="Gold"),Dashboard!$R$7,VLOOKUP($I778,Dashboard!$Q$16:$R$21,2,FALSE)))))*VLOOKUP($I778,Dashboard!$Q$9:$R$13,2,FALSE)*IF(AND($I778="Auto",$F778="",OR($B778="Autographs Duals",$B778="Autographs Triples",$B778="Autographs Quads",$B778="Autographs Quads (Inscribed)")),IF($B778="Autographs Duals",2,IF($B778="Autographs Triples",3,4)),1)))</f>
        <v>1</v>
      </c>
      <c r="AB778" s="62">
        <f t="shared" si="167"/>
        <v>1</v>
      </c>
      <c r="AC778" s="62">
        <f t="shared" si="168"/>
        <v>0</v>
      </c>
    </row>
    <row r="779" spans="1:29" ht="28.7" customHeight="1" x14ac:dyDescent="0.25">
      <c r="A779" s="4" t="s">
        <v>19</v>
      </c>
      <c r="B779" s="7" t="s">
        <v>74</v>
      </c>
      <c r="C779" s="2" t="s">
        <v>1577</v>
      </c>
      <c r="D779" s="7" t="s">
        <v>1169</v>
      </c>
      <c r="E779" s="4" t="s">
        <v>60</v>
      </c>
      <c r="F779" s="2"/>
      <c r="G779" s="2" t="s">
        <v>1399</v>
      </c>
      <c r="H779" s="2" t="s">
        <v>1400</v>
      </c>
      <c r="I779" s="4" t="s">
        <v>60</v>
      </c>
      <c r="J779" s="112">
        <f>IF($H779&lt;&gt;"Y",0,ROUND(MIN(Dashboard!$R$24,IF(IFERROR(VLOOKUP($B779,Dashboard!$Q$28:$S$60,2,FALSE),0)&gt;0,IFERROR(VLOOKUP($B779,Dashboard!$Q$28:$S$60,2,FALSE),0),$Z779*IF($U779&lt;&gt;"",ROUND((Dashboard!$R$4/$U779)*VLOOKUP($I779,Dashboard!$Q$9:$R$13,2,FALSE)*IF(ISNUMBER(SEARCH("Duals",$B779)),2,IF(ISNUMBER(SEARCH("Triples",$B779)),3,IF(ISNUMBER(SEARCH("Quads",$B779)),4,1))),2),ROUND(VLOOKUP($I779,Dashboard!$Q$15:$R$20,2,FALSE)*IF($E779="Red",Dashboard!$R$6,IF($E779="Gold",Dashboard!$R$7,Dashboard!$R$5))*IF(ISNUMBER(SEARCH("Duals",$B779)),2,IF(ISNUMBER(SEARCH("Triples",$B779)),3,IF(ISNUMBER(SEARCH("Quads",$B779)),4,1))),2))*IF(IFERROR(VLOOKUP($B779,Dashboard!$Q$28:$S$60,3,FALSE),0)&gt;0,VLOOKUP($B779,Dashboard!$Q$28:$S$60,3,FALSE),1))),0))</f>
        <v>1</v>
      </c>
      <c r="K779" s="2" t="str">
        <f>IF('Base S2'!C79="","",'Base S2'!C79)</f>
        <v>h</v>
      </c>
      <c r="L779" s="2">
        <f t="shared" si="156"/>
        <v>1</v>
      </c>
      <c r="M779" s="2">
        <f t="shared" si="157"/>
        <v>0</v>
      </c>
      <c r="N779" s="2">
        <f t="shared" si="158"/>
        <v>1</v>
      </c>
      <c r="O779" s="2">
        <f t="shared" si="159"/>
        <v>0</v>
      </c>
      <c r="P779" s="112">
        <f t="shared" si="160"/>
        <v>1</v>
      </c>
      <c r="Q779" s="112">
        <f t="shared" si="161"/>
        <v>0</v>
      </c>
      <c r="R779" s="53"/>
      <c r="S779" s="53" t="str">
        <f t="shared" si="162"/>
        <v>Base S2|Base Set - Season 2|178|Base</v>
      </c>
      <c r="T779" s="57" t="str">
        <f>IF($S779="","",IFERROR(VLOOKUP($S779,'Pop Estimates (Non-#d)'!$N$2:$O$500,2,FALSE),""))</f>
        <v/>
      </c>
      <c r="U779" s="57" t="str">
        <f t="shared" si="163"/>
        <v/>
      </c>
      <c r="V779" s="53" t="str">
        <f t="shared" si="164"/>
        <v/>
      </c>
      <c r="W779" s="53" t="str">
        <f t="shared" si="165"/>
        <v/>
      </c>
      <c r="X779" s="53" t="str">
        <f t="shared" si="166"/>
        <v/>
      </c>
      <c r="Y779" s="57" t="str">
        <f>IF($X779="","",IFERROR(VLOOKUP($X779,'Char Popularity'!$A$2:$C$500,2,FALSE),""))</f>
        <v/>
      </c>
      <c r="Z779" s="56">
        <f>IF($X779="",1,IFERROR(VLOOKUP($X779,'Char Popularity'!$A$2:$C$500,3,FALSE),1))</f>
        <v>1</v>
      </c>
      <c r="AA779" s="62">
        <f>IF($H779&lt;&gt;"Y",0,(IF($F779&lt;&gt;"",ROUND(Dashboard!$R$4/$F779,1),IF(AND($I779="Base",$E779="Base"),Dashboard!$R$5,IF(AND($I779="Base",$E779="Red"),Dashboard!$R$6,IF(AND($I779="Base",$E779="Gold"),Dashboard!$R$7,VLOOKUP($I779,Dashboard!$Q$16:$R$21,2,FALSE)))))*VLOOKUP($I779,Dashboard!$Q$9:$R$13,2,FALSE)*IF(AND($I779="Auto",$F779="",OR($B779="Autographs Duals",$B779="Autographs Triples",$B779="Autographs Quads",$B779="Autographs Quads (Inscribed)")),IF($B779="Autographs Duals",2,IF($B779="Autographs Triples",3,4)),1)))</f>
        <v>1</v>
      </c>
      <c r="AB779" s="62">
        <f t="shared" si="167"/>
        <v>1</v>
      </c>
      <c r="AC779" s="62">
        <f t="shared" si="168"/>
        <v>0</v>
      </c>
    </row>
    <row r="780" spans="1:29" ht="28.7" customHeight="1" x14ac:dyDescent="0.25">
      <c r="A780" s="4" t="s">
        <v>19</v>
      </c>
      <c r="B780" s="7" t="s">
        <v>74</v>
      </c>
      <c r="C780" s="2" t="s">
        <v>1578</v>
      </c>
      <c r="D780" s="7" t="s">
        <v>1170</v>
      </c>
      <c r="E780" s="4" t="s">
        <v>60</v>
      </c>
      <c r="F780" s="2"/>
      <c r="G780" s="2" t="s">
        <v>1399</v>
      </c>
      <c r="H780" s="2" t="s">
        <v>1400</v>
      </c>
      <c r="I780" s="4" t="s">
        <v>60</v>
      </c>
      <c r="J780" s="112">
        <f>IF($H780&lt;&gt;"Y",0,ROUND(MIN(Dashboard!$R$24,IF(IFERROR(VLOOKUP($B780,Dashboard!$Q$28:$S$60,2,FALSE),0)&gt;0,IFERROR(VLOOKUP($B780,Dashboard!$Q$28:$S$60,2,FALSE),0),$Z780*IF($U780&lt;&gt;"",ROUND((Dashboard!$R$4/$U780)*VLOOKUP($I780,Dashboard!$Q$9:$R$13,2,FALSE)*IF(ISNUMBER(SEARCH("Duals",$B780)),2,IF(ISNUMBER(SEARCH("Triples",$B780)),3,IF(ISNUMBER(SEARCH("Quads",$B780)),4,1))),2),ROUND(VLOOKUP($I780,Dashboard!$Q$15:$R$20,2,FALSE)*IF($E780="Red",Dashboard!$R$6,IF($E780="Gold",Dashboard!$R$7,Dashboard!$R$5))*IF(ISNUMBER(SEARCH("Duals",$B780)),2,IF(ISNUMBER(SEARCH("Triples",$B780)),3,IF(ISNUMBER(SEARCH("Quads",$B780)),4,1))),2))*IF(IFERROR(VLOOKUP($B780,Dashboard!$Q$28:$S$60,3,FALSE),0)&gt;0,VLOOKUP($B780,Dashboard!$Q$28:$S$60,3,FALSE),1))),0))</f>
        <v>1</v>
      </c>
      <c r="K780" s="2" t="str">
        <f>IF('Base S2'!C80="","",'Base S2'!C80)</f>
        <v>h</v>
      </c>
      <c r="L780" s="2">
        <f t="shared" si="156"/>
        <v>1</v>
      </c>
      <c r="M780" s="2">
        <f t="shared" si="157"/>
        <v>0</v>
      </c>
      <c r="N780" s="2">
        <f t="shared" si="158"/>
        <v>1</v>
      </c>
      <c r="O780" s="2">
        <f t="shared" si="159"/>
        <v>0</v>
      </c>
      <c r="P780" s="112">
        <f t="shared" si="160"/>
        <v>1</v>
      </c>
      <c r="Q780" s="112">
        <f t="shared" si="161"/>
        <v>0</v>
      </c>
      <c r="R780" s="53"/>
      <c r="S780" s="53" t="str">
        <f t="shared" si="162"/>
        <v>Base S2|Base Set - Season 2|179|Base</v>
      </c>
      <c r="T780" s="57" t="str">
        <f>IF($S780="","",IFERROR(VLOOKUP($S780,'Pop Estimates (Non-#d)'!$N$2:$O$500,2,FALSE),""))</f>
        <v/>
      </c>
      <c r="U780" s="57" t="str">
        <f t="shared" si="163"/>
        <v/>
      </c>
      <c r="V780" s="53" t="str">
        <f t="shared" si="164"/>
        <v/>
      </c>
      <c r="W780" s="53" t="str">
        <f t="shared" si="165"/>
        <v/>
      </c>
      <c r="X780" s="53" t="str">
        <f t="shared" si="166"/>
        <v/>
      </c>
      <c r="Y780" s="57" t="str">
        <f>IF($X780="","",IFERROR(VLOOKUP($X780,'Char Popularity'!$A$2:$C$500,2,FALSE),""))</f>
        <v/>
      </c>
      <c r="Z780" s="56">
        <f>IF($X780="",1,IFERROR(VLOOKUP($X780,'Char Popularity'!$A$2:$C$500,3,FALSE),1))</f>
        <v>1</v>
      </c>
      <c r="AA780" s="62">
        <f>IF($H780&lt;&gt;"Y",0,(IF($F780&lt;&gt;"",ROUND(Dashboard!$R$4/$F780,1),IF(AND($I780="Base",$E780="Base"),Dashboard!$R$5,IF(AND($I780="Base",$E780="Red"),Dashboard!$R$6,IF(AND($I780="Base",$E780="Gold"),Dashboard!$R$7,VLOOKUP($I780,Dashboard!$Q$16:$R$21,2,FALSE)))))*VLOOKUP($I780,Dashboard!$Q$9:$R$13,2,FALSE)*IF(AND($I780="Auto",$F780="",OR($B780="Autographs Duals",$B780="Autographs Triples",$B780="Autographs Quads",$B780="Autographs Quads (Inscribed)")),IF($B780="Autographs Duals",2,IF($B780="Autographs Triples",3,4)),1)))</f>
        <v>1</v>
      </c>
      <c r="AB780" s="62">
        <f t="shared" si="167"/>
        <v>1</v>
      </c>
      <c r="AC780" s="62">
        <f t="shared" si="168"/>
        <v>0</v>
      </c>
    </row>
    <row r="781" spans="1:29" ht="28.7" customHeight="1" x14ac:dyDescent="0.25">
      <c r="A781" s="4" t="s">
        <v>19</v>
      </c>
      <c r="B781" s="7" t="s">
        <v>74</v>
      </c>
      <c r="C781" s="2" t="s">
        <v>1579</v>
      </c>
      <c r="D781" s="7" t="s">
        <v>1172</v>
      </c>
      <c r="E781" s="4" t="s">
        <v>60</v>
      </c>
      <c r="F781" s="2"/>
      <c r="G781" s="2" t="s">
        <v>1399</v>
      </c>
      <c r="H781" s="2" t="s">
        <v>1400</v>
      </c>
      <c r="I781" s="4" t="s">
        <v>60</v>
      </c>
      <c r="J781" s="112">
        <f>IF($H781&lt;&gt;"Y",0,ROUND(MIN(Dashboard!$R$24,IF(IFERROR(VLOOKUP($B781,Dashboard!$Q$28:$S$60,2,FALSE),0)&gt;0,IFERROR(VLOOKUP($B781,Dashboard!$Q$28:$S$60,2,FALSE),0),$Z781*IF($U781&lt;&gt;"",ROUND((Dashboard!$R$4/$U781)*VLOOKUP($I781,Dashboard!$Q$9:$R$13,2,FALSE)*IF(ISNUMBER(SEARCH("Duals",$B781)),2,IF(ISNUMBER(SEARCH("Triples",$B781)),3,IF(ISNUMBER(SEARCH("Quads",$B781)),4,1))),2),ROUND(VLOOKUP($I781,Dashboard!$Q$15:$R$20,2,FALSE)*IF($E781="Red",Dashboard!$R$6,IF($E781="Gold",Dashboard!$R$7,Dashboard!$R$5))*IF(ISNUMBER(SEARCH("Duals",$B781)),2,IF(ISNUMBER(SEARCH("Triples",$B781)),3,IF(ISNUMBER(SEARCH("Quads",$B781)),4,1))),2))*IF(IFERROR(VLOOKUP($B781,Dashboard!$Q$28:$S$60,3,FALSE),0)&gt;0,VLOOKUP($B781,Dashboard!$Q$28:$S$60,3,FALSE),1))),0))</f>
        <v>1</v>
      </c>
      <c r="K781" s="2" t="str">
        <f>IF('Base S2'!C81="","",'Base S2'!C81)</f>
        <v>h</v>
      </c>
      <c r="L781" s="2">
        <f t="shared" si="156"/>
        <v>1</v>
      </c>
      <c r="M781" s="2">
        <f t="shared" si="157"/>
        <v>0</v>
      </c>
      <c r="N781" s="2">
        <f t="shared" si="158"/>
        <v>1</v>
      </c>
      <c r="O781" s="2">
        <f t="shared" si="159"/>
        <v>0</v>
      </c>
      <c r="P781" s="112">
        <f t="shared" si="160"/>
        <v>1</v>
      </c>
      <c r="Q781" s="112">
        <f t="shared" si="161"/>
        <v>0</v>
      </c>
      <c r="R781" s="53"/>
      <c r="S781" s="53" t="str">
        <f t="shared" si="162"/>
        <v>Base S2|Base Set - Season 2|180|Base</v>
      </c>
      <c r="T781" s="57" t="str">
        <f>IF($S781="","",IFERROR(VLOOKUP($S781,'Pop Estimates (Non-#d)'!$N$2:$O$500,2,FALSE),""))</f>
        <v/>
      </c>
      <c r="U781" s="57" t="str">
        <f t="shared" si="163"/>
        <v/>
      </c>
      <c r="V781" s="53" t="str">
        <f t="shared" si="164"/>
        <v/>
      </c>
      <c r="W781" s="53" t="str">
        <f t="shared" si="165"/>
        <v/>
      </c>
      <c r="X781" s="53" t="str">
        <f t="shared" si="166"/>
        <v/>
      </c>
      <c r="Y781" s="57" t="str">
        <f>IF($X781="","",IFERROR(VLOOKUP($X781,'Char Popularity'!$A$2:$C$500,2,FALSE),""))</f>
        <v/>
      </c>
      <c r="Z781" s="56">
        <f>IF($X781="",1,IFERROR(VLOOKUP($X781,'Char Popularity'!$A$2:$C$500,3,FALSE),1))</f>
        <v>1</v>
      </c>
      <c r="AA781" s="62">
        <f>IF($H781&lt;&gt;"Y",0,(IF($F781&lt;&gt;"",ROUND(Dashboard!$R$4/$F781,1),IF(AND($I781="Base",$E781="Base"),Dashboard!$R$5,IF(AND($I781="Base",$E781="Red"),Dashboard!$R$6,IF(AND($I781="Base",$E781="Gold"),Dashboard!$R$7,VLOOKUP($I781,Dashboard!$Q$16:$R$21,2,FALSE)))))*VLOOKUP($I781,Dashboard!$Q$9:$R$13,2,FALSE)*IF(AND($I781="Auto",$F781="",OR($B781="Autographs Duals",$B781="Autographs Triples",$B781="Autographs Quads",$B781="Autographs Quads (Inscribed)")),IF($B781="Autographs Duals",2,IF($B781="Autographs Triples",3,4)),1)))</f>
        <v>1</v>
      </c>
      <c r="AB781" s="62">
        <f t="shared" si="167"/>
        <v>1</v>
      </c>
      <c r="AC781" s="62">
        <f t="shared" si="168"/>
        <v>0</v>
      </c>
    </row>
    <row r="782" spans="1:29" ht="28.7" customHeight="1" x14ac:dyDescent="0.25">
      <c r="A782" s="4" t="s">
        <v>19</v>
      </c>
      <c r="B782" s="7" t="s">
        <v>74</v>
      </c>
      <c r="C782" s="2" t="s">
        <v>1580</v>
      </c>
      <c r="D782" s="7" t="s">
        <v>1173</v>
      </c>
      <c r="E782" s="4" t="s">
        <v>60</v>
      </c>
      <c r="F782" s="2"/>
      <c r="G782" s="2" t="s">
        <v>1399</v>
      </c>
      <c r="H782" s="2" t="s">
        <v>1400</v>
      </c>
      <c r="I782" s="4" t="s">
        <v>60</v>
      </c>
      <c r="J782" s="112">
        <f>IF($H782&lt;&gt;"Y",0,ROUND(MIN(Dashboard!$R$24,IF(IFERROR(VLOOKUP($B782,Dashboard!$Q$28:$S$60,2,FALSE),0)&gt;0,IFERROR(VLOOKUP($B782,Dashboard!$Q$28:$S$60,2,FALSE),0),$Z782*IF($U782&lt;&gt;"",ROUND((Dashboard!$R$4/$U782)*VLOOKUP($I782,Dashboard!$Q$9:$R$13,2,FALSE)*IF(ISNUMBER(SEARCH("Duals",$B782)),2,IF(ISNUMBER(SEARCH("Triples",$B782)),3,IF(ISNUMBER(SEARCH("Quads",$B782)),4,1))),2),ROUND(VLOOKUP($I782,Dashboard!$Q$15:$R$20,2,FALSE)*IF($E782="Red",Dashboard!$R$6,IF($E782="Gold",Dashboard!$R$7,Dashboard!$R$5))*IF(ISNUMBER(SEARCH("Duals",$B782)),2,IF(ISNUMBER(SEARCH("Triples",$B782)),3,IF(ISNUMBER(SEARCH("Quads",$B782)),4,1))),2))*IF(IFERROR(VLOOKUP($B782,Dashboard!$Q$28:$S$60,3,FALSE),0)&gt;0,VLOOKUP($B782,Dashboard!$Q$28:$S$60,3,FALSE),1))),0))</f>
        <v>1</v>
      </c>
      <c r="K782" s="2" t="str">
        <f>IF('Base S2'!C82="","",'Base S2'!C82)</f>
        <v>h</v>
      </c>
      <c r="L782" s="2">
        <f t="shared" si="156"/>
        <v>1</v>
      </c>
      <c r="M782" s="2">
        <f t="shared" si="157"/>
        <v>0</v>
      </c>
      <c r="N782" s="2">
        <f t="shared" si="158"/>
        <v>1</v>
      </c>
      <c r="O782" s="2">
        <f t="shared" si="159"/>
        <v>0</v>
      </c>
      <c r="P782" s="112">
        <f t="shared" si="160"/>
        <v>1</v>
      </c>
      <c r="Q782" s="112">
        <f t="shared" si="161"/>
        <v>0</v>
      </c>
      <c r="R782" s="53"/>
      <c r="S782" s="53" t="str">
        <f t="shared" si="162"/>
        <v>Base S2|Base Set - Season 2|181|Base</v>
      </c>
      <c r="T782" s="57" t="str">
        <f>IF($S782="","",IFERROR(VLOOKUP($S782,'Pop Estimates (Non-#d)'!$N$2:$O$500,2,FALSE),""))</f>
        <v/>
      </c>
      <c r="U782" s="57" t="str">
        <f t="shared" si="163"/>
        <v/>
      </c>
      <c r="V782" s="53" t="str">
        <f t="shared" si="164"/>
        <v/>
      </c>
      <c r="W782" s="53" t="str">
        <f t="shared" si="165"/>
        <v/>
      </c>
      <c r="X782" s="53" t="str">
        <f t="shared" si="166"/>
        <v/>
      </c>
      <c r="Y782" s="57" t="str">
        <f>IF($X782="","",IFERROR(VLOOKUP($X782,'Char Popularity'!$A$2:$C$500,2,FALSE),""))</f>
        <v/>
      </c>
      <c r="Z782" s="56">
        <f>IF($X782="",1,IFERROR(VLOOKUP($X782,'Char Popularity'!$A$2:$C$500,3,FALSE),1))</f>
        <v>1</v>
      </c>
      <c r="AA782" s="62">
        <f>IF($H782&lt;&gt;"Y",0,(IF($F782&lt;&gt;"",ROUND(Dashboard!$R$4/$F782,1),IF(AND($I782="Base",$E782="Base"),Dashboard!$R$5,IF(AND($I782="Base",$E782="Red"),Dashboard!$R$6,IF(AND($I782="Base",$E782="Gold"),Dashboard!$R$7,VLOOKUP($I782,Dashboard!$Q$16:$R$21,2,FALSE)))))*VLOOKUP($I782,Dashboard!$Q$9:$R$13,2,FALSE)*IF(AND($I782="Auto",$F782="",OR($B782="Autographs Duals",$B782="Autographs Triples",$B782="Autographs Quads",$B782="Autographs Quads (Inscribed)")),IF($B782="Autographs Duals",2,IF($B782="Autographs Triples",3,4)),1)))</f>
        <v>1</v>
      </c>
      <c r="AB782" s="62">
        <f t="shared" si="167"/>
        <v>1</v>
      </c>
      <c r="AC782" s="62">
        <f t="shared" si="168"/>
        <v>0</v>
      </c>
    </row>
    <row r="783" spans="1:29" ht="28.7" customHeight="1" x14ac:dyDescent="0.25">
      <c r="A783" s="4" t="s">
        <v>19</v>
      </c>
      <c r="B783" s="7" t="s">
        <v>74</v>
      </c>
      <c r="C783" s="2" t="s">
        <v>1581</v>
      </c>
      <c r="D783" s="7" t="s">
        <v>1174</v>
      </c>
      <c r="E783" s="4" t="s">
        <v>60</v>
      </c>
      <c r="F783" s="2"/>
      <c r="G783" s="2" t="s">
        <v>1399</v>
      </c>
      <c r="H783" s="2" t="s">
        <v>1400</v>
      </c>
      <c r="I783" s="4" t="s">
        <v>60</v>
      </c>
      <c r="J783" s="112">
        <f>IF($H783&lt;&gt;"Y",0,ROUND(MIN(Dashboard!$R$24,IF(IFERROR(VLOOKUP($B783,Dashboard!$Q$28:$S$60,2,FALSE),0)&gt;0,IFERROR(VLOOKUP($B783,Dashboard!$Q$28:$S$60,2,FALSE),0),$Z783*IF($U783&lt;&gt;"",ROUND((Dashboard!$R$4/$U783)*VLOOKUP($I783,Dashboard!$Q$9:$R$13,2,FALSE)*IF(ISNUMBER(SEARCH("Duals",$B783)),2,IF(ISNUMBER(SEARCH("Triples",$B783)),3,IF(ISNUMBER(SEARCH("Quads",$B783)),4,1))),2),ROUND(VLOOKUP($I783,Dashboard!$Q$15:$R$20,2,FALSE)*IF($E783="Red",Dashboard!$R$6,IF($E783="Gold",Dashboard!$R$7,Dashboard!$R$5))*IF(ISNUMBER(SEARCH("Duals",$B783)),2,IF(ISNUMBER(SEARCH("Triples",$B783)),3,IF(ISNUMBER(SEARCH("Quads",$B783)),4,1))),2))*IF(IFERROR(VLOOKUP($B783,Dashboard!$Q$28:$S$60,3,FALSE),0)&gt;0,VLOOKUP($B783,Dashboard!$Q$28:$S$60,3,FALSE),1))),0))</f>
        <v>1</v>
      </c>
      <c r="K783" s="2" t="str">
        <f>IF('Base S2'!C83="","",'Base S2'!C83)</f>
        <v>h</v>
      </c>
      <c r="L783" s="2">
        <f t="shared" si="156"/>
        <v>1</v>
      </c>
      <c r="M783" s="2">
        <f t="shared" si="157"/>
        <v>0</v>
      </c>
      <c r="N783" s="2">
        <f t="shared" si="158"/>
        <v>1</v>
      </c>
      <c r="O783" s="2">
        <f t="shared" si="159"/>
        <v>0</v>
      </c>
      <c r="P783" s="112">
        <f t="shared" si="160"/>
        <v>1</v>
      </c>
      <c r="Q783" s="112">
        <f t="shared" si="161"/>
        <v>0</v>
      </c>
      <c r="R783" s="53"/>
      <c r="S783" s="53" t="str">
        <f t="shared" si="162"/>
        <v>Base S2|Base Set - Season 2|182|Base</v>
      </c>
      <c r="T783" s="57" t="str">
        <f>IF($S783="","",IFERROR(VLOOKUP($S783,'Pop Estimates (Non-#d)'!$N$2:$O$500,2,FALSE),""))</f>
        <v/>
      </c>
      <c r="U783" s="57" t="str">
        <f t="shared" si="163"/>
        <v/>
      </c>
      <c r="V783" s="53" t="str">
        <f t="shared" si="164"/>
        <v/>
      </c>
      <c r="W783" s="53" t="str">
        <f t="shared" si="165"/>
        <v/>
      </c>
      <c r="X783" s="53" t="str">
        <f t="shared" si="166"/>
        <v/>
      </c>
      <c r="Y783" s="57" t="str">
        <f>IF($X783="","",IFERROR(VLOOKUP($X783,'Char Popularity'!$A$2:$C$500,2,FALSE),""))</f>
        <v/>
      </c>
      <c r="Z783" s="56">
        <f>IF($X783="",1,IFERROR(VLOOKUP($X783,'Char Popularity'!$A$2:$C$500,3,FALSE),1))</f>
        <v>1</v>
      </c>
      <c r="AA783" s="62">
        <f>IF($H783&lt;&gt;"Y",0,(IF($F783&lt;&gt;"",ROUND(Dashboard!$R$4/$F783,1),IF(AND($I783="Base",$E783="Base"),Dashboard!$R$5,IF(AND($I783="Base",$E783="Red"),Dashboard!$R$6,IF(AND($I783="Base",$E783="Gold"),Dashboard!$R$7,VLOOKUP($I783,Dashboard!$Q$16:$R$21,2,FALSE)))))*VLOOKUP($I783,Dashboard!$Q$9:$R$13,2,FALSE)*IF(AND($I783="Auto",$F783="",OR($B783="Autographs Duals",$B783="Autographs Triples",$B783="Autographs Quads",$B783="Autographs Quads (Inscribed)")),IF($B783="Autographs Duals",2,IF($B783="Autographs Triples",3,4)),1)))</f>
        <v>1</v>
      </c>
      <c r="AB783" s="62">
        <f t="shared" si="167"/>
        <v>1</v>
      </c>
      <c r="AC783" s="62">
        <f t="shared" si="168"/>
        <v>0</v>
      </c>
    </row>
    <row r="784" spans="1:29" ht="28.7" customHeight="1" x14ac:dyDescent="0.25">
      <c r="A784" s="4" t="s">
        <v>19</v>
      </c>
      <c r="B784" s="7" t="s">
        <v>74</v>
      </c>
      <c r="C784" s="2" t="s">
        <v>1582</v>
      </c>
      <c r="D784" s="7" t="s">
        <v>1177</v>
      </c>
      <c r="E784" s="4" t="s">
        <v>60</v>
      </c>
      <c r="F784" s="2"/>
      <c r="G784" s="2" t="s">
        <v>1399</v>
      </c>
      <c r="H784" s="2" t="s">
        <v>1400</v>
      </c>
      <c r="I784" s="4" t="s">
        <v>60</v>
      </c>
      <c r="J784" s="112">
        <f>IF($H784&lt;&gt;"Y",0,ROUND(MIN(Dashboard!$R$24,IF(IFERROR(VLOOKUP($B784,Dashboard!$Q$28:$S$60,2,FALSE),0)&gt;0,IFERROR(VLOOKUP($B784,Dashboard!$Q$28:$S$60,2,FALSE),0),$Z784*IF($U784&lt;&gt;"",ROUND((Dashboard!$R$4/$U784)*VLOOKUP($I784,Dashboard!$Q$9:$R$13,2,FALSE)*IF(ISNUMBER(SEARCH("Duals",$B784)),2,IF(ISNUMBER(SEARCH("Triples",$B784)),3,IF(ISNUMBER(SEARCH("Quads",$B784)),4,1))),2),ROUND(VLOOKUP($I784,Dashboard!$Q$15:$R$20,2,FALSE)*IF($E784="Red",Dashboard!$R$6,IF($E784="Gold",Dashboard!$R$7,Dashboard!$R$5))*IF(ISNUMBER(SEARCH("Duals",$B784)),2,IF(ISNUMBER(SEARCH("Triples",$B784)),3,IF(ISNUMBER(SEARCH("Quads",$B784)),4,1))),2))*IF(IFERROR(VLOOKUP($B784,Dashboard!$Q$28:$S$60,3,FALSE),0)&gt;0,VLOOKUP($B784,Dashboard!$Q$28:$S$60,3,FALSE),1))),0))</f>
        <v>1</v>
      </c>
      <c r="K784" s="2" t="str">
        <f>IF('Base S2'!C84="","",'Base S2'!C84)</f>
        <v>h</v>
      </c>
      <c r="L784" s="2">
        <f t="shared" si="156"/>
        <v>1</v>
      </c>
      <c r="M784" s="2">
        <f t="shared" si="157"/>
        <v>0</v>
      </c>
      <c r="N784" s="2">
        <f t="shared" si="158"/>
        <v>1</v>
      </c>
      <c r="O784" s="2">
        <f t="shared" si="159"/>
        <v>0</v>
      </c>
      <c r="P784" s="112">
        <f t="shared" si="160"/>
        <v>1</v>
      </c>
      <c r="Q784" s="112">
        <f t="shared" si="161"/>
        <v>0</v>
      </c>
      <c r="R784" s="53"/>
      <c r="S784" s="53" t="str">
        <f t="shared" si="162"/>
        <v>Base S2|Base Set - Season 2|183|Base</v>
      </c>
      <c r="T784" s="57" t="str">
        <f>IF($S784="","",IFERROR(VLOOKUP($S784,'Pop Estimates (Non-#d)'!$N$2:$O$500,2,FALSE),""))</f>
        <v/>
      </c>
      <c r="U784" s="57" t="str">
        <f t="shared" si="163"/>
        <v/>
      </c>
      <c r="V784" s="53" t="str">
        <f t="shared" si="164"/>
        <v/>
      </c>
      <c r="W784" s="53" t="str">
        <f t="shared" si="165"/>
        <v/>
      </c>
      <c r="X784" s="53" t="str">
        <f t="shared" si="166"/>
        <v/>
      </c>
      <c r="Y784" s="57" t="str">
        <f>IF($X784="","",IFERROR(VLOOKUP($X784,'Char Popularity'!$A$2:$C$500,2,FALSE),""))</f>
        <v/>
      </c>
      <c r="Z784" s="56">
        <f>IF($X784="",1,IFERROR(VLOOKUP($X784,'Char Popularity'!$A$2:$C$500,3,FALSE),1))</f>
        <v>1</v>
      </c>
      <c r="AA784" s="62">
        <f>IF($H784&lt;&gt;"Y",0,(IF($F784&lt;&gt;"",ROUND(Dashboard!$R$4/$F784,1),IF(AND($I784="Base",$E784="Base"),Dashboard!$R$5,IF(AND($I784="Base",$E784="Red"),Dashboard!$R$6,IF(AND($I784="Base",$E784="Gold"),Dashboard!$R$7,VLOOKUP($I784,Dashboard!$Q$16:$R$21,2,FALSE)))))*VLOOKUP($I784,Dashboard!$Q$9:$R$13,2,FALSE)*IF(AND($I784="Auto",$F784="",OR($B784="Autographs Duals",$B784="Autographs Triples",$B784="Autographs Quads",$B784="Autographs Quads (Inscribed)")),IF($B784="Autographs Duals",2,IF($B784="Autographs Triples",3,4)),1)))</f>
        <v>1</v>
      </c>
      <c r="AB784" s="62">
        <f t="shared" si="167"/>
        <v>1</v>
      </c>
      <c r="AC784" s="62">
        <f t="shared" si="168"/>
        <v>0</v>
      </c>
    </row>
    <row r="785" spans="1:29" ht="28.7" customHeight="1" x14ac:dyDescent="0.25">
      <c r="A785" s="4" t="s">
        <v>19</v>
      </c>
      <c r="B785" s="7" t="s">
        <v>74</v>
      </c>
      <c r="C785" s="2" t="s">
        <v>1583</v>
      </c>
      <c r="D785" s="7" t="s">
        <v>1179</v>
      </c>
      <c r="E785" s="4" t="s">
        <v>60</v>
      </c>
      <c r="F785" s="2"/>
      <c r="G785" s="2" t="s">
        <v>1399</v>
      </c>
      <c r="H785" s="2" t="s">
        <v>1400</v>
      </c>
      <c r="I785" s="4" t="s">
        <v>60</v>
      </c>
      <c r="J785" s="112">
        <f>IF($H785&lt;&gt;"Y",0,ROUND(MIN(Dashboard!$R$24,IF(IFERROR(VLOOKUP($B785,Dashboard!$Q$28:$S$60,2,FALSE),0)&gt;0,IFERROR(VLOOKUP($B785,Dashboard!$Q$28:$S$60,2,FALSE),0),$Z785*IF($U785&lt;&gt;"",ROUND((Dashboard!$R$4/$U785)*VLOOKUP($I785,Dashboard!$Q$9:$R$13,2,FALSE)*IF(ISNUMBER(SEARCH("Duals",$B785)),2,IF(ISNUMBER(SEARCH("Triples",$B785)),3,IF(ISNUMBER(SEARCH("Quads",$B785)),4,1))),2),ROUND(VLOOKUP($I785,Dashboard!$Q$15:$R$20,2,FALSE)*IF($E785="Red",Dashboard!$R$6,IF($E785="Gold",Dashboard!$R$7,Dashboard!$R$5))*IF(ISNUMBER(SEARCH("Duals",$B785)),2,IF(ISNUMBER(SEARCH("Triples",$B785)),3,IF(ISNUMBER(SEARCH("Quads",$B785)),4,1))),2))*IF(IFERROR(VLOOKUP($B785,Dashboard!$Q$28:$S$60,3,FALSE),0)&gt;0,VLOOKUP($B785,Dashboard!$Q$28:$S$60,3,FALSE),1))),0))</f>
        <v>1</v>
      </c>
      <c r="K785" s="2" t="str">
        <f>IF('Base S2'!C85="","",'Base S2'!C85)</f>
        <v>h</v>
      </c>
      <c r="L785" s="2">
        <f t="shared" si="156"/>
        <v>1</v>
      </c>
      <c r="M785" s="2">
        <f t="shared" si="157"/>
        <v>0</v>
      </c>
      <c r="N785" s="2">
        <f t="shared" si="158"/>
        <v>1</v>
      </c>
      <c r="O785" s="2">
        <f t="shared" si="159"/>
        <v>0</v>
      </c>
      <c r="P785" s="112">
        <f t="shared" si="160"/>
        <v>1</v>
      </c>
      <c r="Q785" s="112">
        <f t="shared" si="161"/>
        <v>0</v>
      </c>
      <c r="R785" s="53"/>
      <c r="S785" s="53" t="str">
        <f t="shared" si="162"/>
        <v>Base S2|Base Set - Season 2|184|Base</v>
      </c>
      <c r="T785" s="57" t="str">
        <f>IF($S785="","",IFERROR(VLOOKUP($S785,'Pop Estimates (Non-#d)'!$N$2:$O$500,2,FALSE),""))</f>
        <v/>
      </c>
      <c r="U785" s="57" t="str">
        <f t="shared" si="163"/>
        <v/>
      </c>
      <c r="V785" s="53" t="str">
        <f t="shared" si="164"/>
        <v/>
      </c>
      <c r="W785" s="53" t="str">
        <f t="shared" si="165"/>
        <v/>
      </c>
      <c r="X785" s="53" t="str">
        <f t="shared" si="166"/>
        <v/>
      </c>
      <c r="Y785" s="57" t="str">
        <f>IF($X785="","",IFERROR(VLOOKUP($X785,'Char Popularity'!$A$2:$C$500,2,FALSE),""))</f>
        <v/>
      </c>
      <c r="Z785" s="56">
        <f>IF($X785="",1,IFERROR(VLOOKUP($X785,'Char Popularity'!$A$2:$C$500,3,FALSE),1))</f>
        <v>1</v>
      </c>
      <c r="AA785" s="62">
        <f>IF($H785&lt;&gt;"Y",0,(IF($F785&lt;&gt;"",ROUND(Dashboard!$R$4/$F785,1),IF(AND($I785="Base",$E785="Base"),Dashboard!$R$5,IF(AND($I785="Base",$E785="Red"),Dashboard!$R$6,IF(AND($I785="Base",$E785="Gold"),Dashboard!$R$7,VLOOKUP($I785,Dashboard!$Q$16:$R$21,2,FALSE)))))*VLOOKUP($I785,Dashboard!$Q$9:$R$13,2,FALSE)*IF(AND($I785="Auto",$F785="",OR($B785="Autographs Duals",$B785="Autographs Triples",$B785="Autographs Quads",$B785="Autographs Quads (Inscribed)")),IF($B785="Autographs Duals",2,IF($B785="Autographs Triples",3,4)),1)))</f>
        <v>1</v>
      </c>
      <c r="AB785" s="62">
        <f t="shared" si="167"/>
        <v>1</v>
      </c>
      <c r="AC785" s="62">
        <f t="shared" si="168"/>
        <v>0</v>
      </c>
    </row>
    <row r="786" spans="1:29" ht="28.7" customHeight="1" x14ac:dyDescent="0.25">
      <c r="A786" s="4" t="s">
        <v>19</v>
      </c>
      <c r="B786" s="7" t="s">
        <v>74</v>
      </c>
      <c r="C786" s="2" t="s">
        <v>1584</v>
      </c>
      <c r="D786" s="7" t="s">
        <v>1180</v>
      </c>
      <c r="E786" s="4" t="s">
        <v>60</v>
      </c>
      <c r="F786" s="2"/>
      <c r="G786" s="2" t="s">
        <v>1399</v>
      </c>
      <c r="H786" s="2" t="s">
        <v>1400</v>
      </c>
      <c r="I786" s="4" t="s">
        <v>60</v>
      </c>
      <c r="J786" s="112">
        <f>IF($H786&lt;&gt;"Y",0,ROUND(MIN(Dashboard!$R$24,IF(IFERROR(VLOOKUP($B786,Dashboard!$Q$28:$S$60,2,FALSE),0)&gt;0,IFERROR(VLOOKUP($B786,Dashboard!$Q$28:$S$60,2,FALSE),0),$Z786*IF($U786&lt;&gt;"",ROUND((Dashboard!$R$4/$U786)*VLOOKUP($I786,Dashboard!$Q$9:$R$13,2,FALSE)*IF(ISNUMBER(SEARCH("Duals",$B786)),2,IF(ISNUMBER(SEARCH("Triples",$B786)),3,IF(ISNUMBER(SEARCH("Quads",$B786)),4,1))),2),ROUND(VLOOKUP($I786,Dashboard!$Q$15:$R$20,2,FALSE)*IF($E786="Red",Dashboard!$R$6,IF($E786="Gold",Dashboard!$R$7,Dashboard!$R$5))*IF(ISNUMBER(SEARCH("Duals",$B786)),2,IF(ISNUMBER(SEARCH("Triples",$B786)),3,IF(ISNUMBER(SEARCH("Quads",$B786)),4,1))),2))*IF(IFERROR(VLOOKUP($B786,Dashboard!$Q$28:$S$60,3,FALSE),0)&gt;0,VLOOKUP($B786,Dashboard!$Q$28:$S$60,3,FALSE),1))),0))</f>
        <v>1</v>
      </c>
      <c r="K786" s="2" t="str">
        <f>IF('Base S2'!C86="","",'Base S2'!C86)</f>
        <v>h</v>
      </c>
      <c r="L786" s="2">
        <f t="shared" si="156"/>
        <v>1</v>
      </c>
      <c r="M786" s="2">
        <f t="shared" si="157"/>
        <v>0</v>
      </c>
      <c r="N786" s="2">
        <f t="shared" si="158"/>
        <v>1</v>
      </c>
      <c r="O786" s="2">
        <f t="shared" si="159"/>
        <v>0</v>
      </c>
      <c r="P786" s="112">
        <f t="shared" si="160"/>
        <v>1</v>
      </c>
      <c r="Q786" s="112">
        <f t="shared" si="161"/>
        <v>0</v>
      </c>
      <c r="R786" s="53"/>
      <c r="S786" s="53" t="str">
        <f t="shared" si="162"/>
        <v>Base S2|Base Set - Season 2|185|Base</v>
      </c>
      <c r="T786" s="57" t="str">
        <f>IF($S786="","",IFERROR(VLOOKUP($S786,'Pop Estimates (Non-#d)'!$N$2:$O$500,2,FALSE),""))</f>
        <v/>
      </c>
      <c r="U786" s="57" t="str">
        <f t="shared" si="163"/>
        <v/>
      </c>
      <c r="V786" s="53" t="str">
        <f t="shared" si="164"/>
        <v/>
      </c>
      <c r="W786" s="53" t="str">
        <f t="shared" si="165"/>
        <v/>
      </c>
      <c r="X786" s="53" t="str">
        <f t="shared" si="166"/>
        <v/>
      </c>
      <c r="Y786" s="57" t="str">
        <f>IF($X786="","",IFERROR(VLOOKUP($X786,'Char Popularity'!$A$2:$C$500,2,FALSE),""))</f>
        <v/>
      </c>
      <c r="Z786" s="56">
        <f>IF($X786="",1,IFERROR(VLOOKUP($X786,'Char Popularity'!$A$2:$C$500,3,FALSE),1))</f>
        <v>1</v>
      </c>
      <c r="AA786" s="62">
        <f>IF($H786&lt;&gt;"Y",0,(IF($F786&lt;&gt;"",ROUND(Dashboard!$R$4/$F786,1),IF(AND($I786="Base",$E786="Base"),Dashboard!$R$5,IF(AND($I786="Base",$E786="Red"),Dashboard!$R$6,IF(AND($I786="Base",$E786="Gold"),Dashboard!$R$7,VLOOKUP($I786,Dashboard!$Q$16:$R$21,2,FALSE)))))*VLOOKUP($I786,Dashboard!$Q$9:$R$13,2,FALSE)*IF(AND($I786="Auto",$F786="",OR($B786="Autographs Duals",$B786="Autographs Triples",$B786="Autographs Quads",$B786="Autographs Quads (Inscribed)")),IF($B786="Autographs Duals",2,IF($B786="Autographs Triples",3,4)),1)))</f>
        <v>1</v>
      </c>
      <c r="AB786" s="62">
        <f t="shared" si="167"/>
        <v>1</v>
      </c>
      <c r="AC786" s="62">
        <f t="shared" si="168"/>
        <v>0</v>
      </c>
    </row>
    <row r="787" spans="1:29" ht="28.7" customHeight="1" x14ac:dyDescent="0.25">
      <c r="A787" s="4" t="s">
        <v>19</v>
      </c>
      <c r="B787" s="7" t="s">
        <v>74</v>
      </c>
      <c r="C787" s="2" t="s">
        <v>1585</v>
      </c>
      <c r="D787" s="7" t="s">
        <v>1181</v>
      </c>
      <c r="E787" s="4" t="s">
        <v>60</v>
      </c>
      <c r="F787" s="2"/>
      <c r="G787" s="2" t="s">
        <v>1399</v>
      </c>
      <c r="H787" s="2" t="s">
        <v>1400</v>
      </c>
      <c r="I787" s="4" t="s">
        <v>60</v>
      </c>
      <c r="J787" s="112">
        <f>IF($H787&lt;&gt;"Y",0,ROUND(MIN(Dashboard!$R$24,IF(IFERROR(VLOOKUP($B787,Dashboard!$Q$28:$S$60,2,FALSE),0)&gt;0,IFERROR(VLOOKUP($B787,Dashboard!$Q$28:$S$60,2,FALSE),0),$Z787*IF($U787&lt;&gt;"",ROUND((Dashboard!$R$4/$U787)*VLOOKUP($I787,Dashboard!$Q$9:$R$13,2,FALSE)*IF(ISNUMBER(SEARCH("Duals",$B787)),2,IF(ISNUMBER(SEARCH("Triples",$B787)),3,IF(ISNUMBER(SEARCH("Quads",$B787)),4,1))),2),ROUND(VLOOKUP($I787,Dashboard!$Q$15:$R$20,2,FALSE)*IF($E787="Red",Dashboard!$R$6,IF($E787="Gold",Dashboard!$R$7,Dashboard!$R$5))*IF(ISNUMBER(SEARCH("Duals",$B787)),2,IF(ISNUMBER(SEARCH("Triples",$B787)),3,IF(ISNUMBER(SEARCH("Quads",$B787)),4,1))),2))*IF(IFERROR(VLOOKUP($B787,Dashboard!$Q$28:$S$60,3,FALSE),0)&gt;0,VLOOKUP($B787,Dashboard!$Q$28:$S$60,3,FALSE),1))),0))</f>
        <v>1</v>
      </c>
      <c r="K787" s="2" t="str">
        <f>IF('Base S2'!C87="","",'Base S2'!C87)</f>
        <v>h</v>
      </c>
      <c r="L787" s="2">
        <f t="shared" si="156"/>
        <v>1</v>
      </c>
      <c r="M787" s="2">
        <f t="shared" si="157"/>
        <v>0</v>
      </c>
      <c r="N787" s="2">
        <f t="shared" si="158"/>
        <v>1</v>
      </c>
      <c r="O787" s="2">
        <f t="shared" si="159"/>
        <v>0</v>
      </c>
      <c r="P787" s="112">
        <f t="shared" si="160"/>
        <v>1</v>
      </c>
      <c r="Q787" s="112">
        <f t="shared" si="161"/>
        <v>0</v>
      </c>
      <c r="R787" s="53"/>
      <c r="S787" s="53" t="str">
        <f t="shared" si="162"/>
        <v>Base S2|Base Set - Season 2|186|Base</v>
      </c>
      <c r="T787" s="57" t="str">
        <f>IF($S787="","",IFERROR(VLOOKUP($S787,'Pop Estimates (Non-#d)'!$N$2:$O$500,2,FALSE),""))</f>
        <v/>
      </c>
      <c r="U787" s="57" t="str">
        <f t="shared" si="163"/>
        <v/>
      </c>
      <c r="V787" s="53" t="str">
        <f t="shared" si="164"/>
        <v/>
      </c>
      <c r="W787" s="53" t="str">
        <f t="shared" si="165"/>
        <v/>
      </c>
      <c r="X787" s="53" t="str">
        <f t="shared" si="166"/>
        <v/>
      </c>
      <c r="Y787" s="57" t="str">
        <f>IF($X787="","",IFERROR(VLOOKUP($X787,'Char Popularity'!$A$2:$C$500,2,FALSE),""))</f>
        <v/>
      </c>
      <c r="Z787" s="56">
        <f>IF($X787="",1,IFERROR(VLOOKUP($X787,'Char Popularity'!$A$2:$C$500,3,FALSE),1))</f>
        <v>1</v>
      </c>
      <c r="AA787" s="62">
        <f>IF($H787&lt;&gt;"Y",0,(IF($F787&lt;&gt;"",ROUND(Dashboard!$R$4/$F787,1),IF(AND($I787="Base",$E787="Base"),Dashboard!$R$5,IF(AND($I787="Base",$E787="Red"),Dashboard!$R$6,IF(AND($I787="Base",$E787="Gold"),Dashboard!$R$7,VLOOKUP($I787,Dashboard!$Q$16:$R$21,2,FALSE)))))*VLOOKUP($I787,Dashboard!$Q$9:$R$13,2,FALSE)*IF(AND($I787="Auto",$F787="",OR($B787="Autographs Duals",$B787="Autographs Triples",$B787="Autographs Quads",$B787="Autographs Quads (Inscribed)")),IF($B787="Autographs Duals",2,IF($B787="Autographs Triples",3,4)),1)))</f>
        <v>1</v>
      </c>
      <c r="AB787" s="62">
        <f t="shared" si="167"/>
        <v>1</v>
      </c>
      <c r="AC787" s="62">
        <f t="shared" si="168"/>
        <v>0</v>
      </c>
    </row>
    <row r="788" spans="1:29" ht="28.7" customHeight="1" x14ac:dyDescent="0.25">
      <c r="A788" s="4" t="s">
        <v>19</v>
      </c>
      <c r="B788" s="7" t="s">
        <v>74</v>
      </c>
      <c r="C788" s="2" t="s">
        <v>1586</v>
      </c>
      <c r="D788" s="7" t="s">
        <v>1182</v>
      </c>
      <c r="E788" s="4" t="s">
        <v>60</v>
      </c>
      <c r="F788" s="2"/>
      <c r="G788" s="2" t="s">
        <v>1399</v>
      </c>
      <c r="H788" s="2" t="s">
        <v>1400</v>
      </c>
      <c r="I788" s="4" t="s">
        <v>60</v>
      </c>
      <c r="J788" s="112">
        <f>IF($H788&lt;&gt;"Y",0,ROUND(MIN(Dashboard!$R$24,IF(IFERROR(VLOOKUP($B788,Dashboard!$Q$28:$S$60,2,FALSE),0)&gt;0,IFERROR(VLOOKUP($B788,Dashboard!$Q$28:$S$60,2,FALSE),0),$Z788*IF($U788&lt;&gt;"",ROUND((Dashboard!$R$4/$U788)*VLOOKUP($I788,Dashboard!$Q$9:$R$13,2,FALSE)*IF(ISNUMBER(SEARCH("Duals",$B788)),2,IF(ISNUMBER(SEARCH("Triples",$B788)),3,IF(ISNUMBER(SEARCH("Quads",$B788)),4,1))),2),ROUND(VLOOKUP($I788,Dashboard!$Q$15:$R$20,2,FALSE)*IF($E788="Red",Dashboard!$R$6,IF($E788="Gold",Dashboard!$R$7,Dashboard!$R$5))*IF(ISNUMBER(SEARCH("Duals",$B788)),2,IF(ISNUMBER(SEARCH("Triples",$B788)),3,IF(ISNUMBER(SEARCH("Quads",$B788)),4,1))),2))*IF(IFERROR(VLOOKUP($B788,Dashboard!$Q$28:$S$60,3,FALSE),0)&gt;0,VLOOKUP($B788,Dashboard!$Q$28:$S$60,3,FALSE),1))),0))</f>
        <v>1</v>
      </c>
      <c r="K788" s="2" t="str">
        <f>IF('Base S2'!C88="","",'Base S2'!C88)</f>
        <v>h</v>
      </c>
      <c r="L788" s="2">
        <f t="shared" si="156"/>
        <v>1</v>
      </c>
      <c r="M788" s="2">
        <f t="shared" si="157"/>
        <v>0</v>
      </c>
      <c r="N788" s="2">
        <f t="shared" si="158"/>
        <v>1</v>
      </c>
      <c r="O788" s="2">
        <f t="shared" si="159"/>
        <v>0</v>
      </c>
      <c r="P788" s="112">
        <f t="shared" si="160"/>
        <v>1</v>
      </c>
      <c r="Q788" s="112">
        <f t="shared" si="161"/>
        <v>0</v>
      </c>
      <c r="R788" s="53"/>
      <c r="S788" s="53" t="str">
        <f t="shared" si="162"/>
        <v>Base S2|Base Set - Season 2|187|Base</v>
      </c>
      <c r="T788" s="57" t="str">
        <f>IF($S788="","",IFERROR(VLOOKUP($S788,'Pop Estimates (Non-#d)'!$N$2:$O$500,2,FALSE),""))</f>
        <v/>
      </c>
      <c r="U788" s="57" t="str">
        <f t="shared" si="163"/>
        <v/>
      </c>
      <c r="V788" s="53" t="str">
        <f t="shared" si="164"/>
        <v/>
      </c>
      <c r="W788" s="53" t="str">
        <f t="shared" si="165"/>
        <v/>
      </c>
      <c r="X788" s="53" t="str">
        <f t="shared" si="166"/>
        <v/>
      </c>
      <c r="Y788" s="57" t="str">
        <f>IF($X788="","",IFERROR(VLOOKUP($X788,'Char Popularity'!$A$2:$C$500,2,FALSE),""))</f>
        <v/>
      </c>
      <c r="Z788" s="56">
        <f>IF($X788="",1,IFERROR(VLOOKUP($X788,'Char Popularity'!$A$2:$C$500,3,FALSE),1))</f>
        <v>1</v>
      </c>
      <c r="AA788" s="62">
        <f>IF($H788&lt;&gt;"Y",0,(IF($F788&lt;&gt;"",ROUND(Dashboard!$R$4/$F788,1),IF(AND($I788="Base",$E788="Base"),Dashboard!$R$5,IF(AND($I788="Base",$E788="Red"),Dashboard!$R$6,IF(AND($I788="Base",$E788="Gold"),Dashboard!$R$7,VLOOKUP($I788,Dashboard!$Q$16:$R$21,2,FALSE)))))*VLOOKUP($I788,Dashboard!$Q$9:$R$13,2,FALSE)*IF(AND($I788="Auto",$F788="",OR($B788="Autographs Duals",$B788="Autographs Triples",$B788="Autographs Quads",$B788="Autographs Quads (Inscribed)")),IF($B788="Autographs Duals",2,IF($B788="Autographs Triples",3,4)),1)))</f>
        <v>1</v>
      </c>
      <c r="AB788" s="62">
        <f t="shared" si="167"/>
        <v>1</v>
      </c>
      <c r="AC788" s="62">
        <f t="shared" si="168"/>
        <v>0</v>
      </c>
    </row>
    <row r="789" spans="1:29" ht="28.7" customHeight="1" x14ac:dyDescent="0.25">
      <c r="A789" s="4" t="s">
        <v>19</v>
      </c>
      <c r="B789" s="7" t="s">
        <v>74</v>
      </c>
      <c r="C789" s="2" t="s">
        <v>1587</v>
      </c>
      <c r="D789" s="7" t="s">
        <v>1183</v>
      </c>
      <c r="E789" s="4" t="s">
        <v>60</v>
      </c>
      <c r="F789" s="2"/>
      <c r="G789" s="2" t="s">
        <v>1399</v>
      </c>
      <c r="H789" s="2" t="s">
        <v>1400</v>
      </c>
      <c r="I789" s="4" t="s">
        <v>60</v>
      </c>
      <c r="J789" s="112">
        <f>IF($H789&lt;&gt;"Y",0,ROUND(MIN(Dashboard!$R$24,IF(IFERROR(VLOOKUP($B789,Dashboard!$Q$28:$S$60,2,FALSE),0)&gt;0,IFERROR(VLOOKUP($B789,Dashboard!$Q$28:$S$60,2,FALSE),0),$Z789*IF($U789&lt;&gt;"",ROUND((Dashboard!$R$4/$U789)*VLOOKUP($I789,Dashboard!$Q$9:$R$13,2,FALSE)*IF(ISNUMBER(SEARCH("Duals",$B789)),2,IF(ISNUMBER(SEARCH("Triples",$B789)),3,IF(ISNUMBER(SEARCH("Quads",$B789)),4,1))),2),ROUND(VLOOKUP($I789,Dashboard!$Q$15:$R$20,2,FALSE)*IF($E789="Red",Dashboard!$R$6,IF($E789="Gold",Dashboard!$R$7,Dashboard!$R$5))*IF(ISNUMBER(SEARCH("Duals",$B789)),2,IF(ISNUMBER(SEARCH("Triples",$B789)),3,IF(ISNUMBER(SEARCH("Quads",$B789)),4,1))),2))*IF(IFERROR(VLOOKUP($B789,Dashboard!$Q$28:$S$60,3,FALSE),0)&gt;0,VLOOKUP($B789,Dashboard!$Q$28:$S$60,3,FALSE),1))),0))</f>
        <v>1</v>
      </c>
      <c r="K789" s="2" t="str">
        <f>IF('Base S2'!C89="","",'Base S2'!C89)</f>
        <v>h</v>
      </c>
      <c r="L789" s="2">
        <f t="shared" si="156"/>
        <v>1</v>
      </c>
      <c r="M789" s="2">
        <f t="shared" si="157"/>
        <v>0</v>
      </c>
      <c r="N789" s="2">
        <f t="shared" si="158"/>
        <v>1</v>
      </c>
      <c r="O789" s="2">
        <f t="shared" si="159"/>
        <v>0</v>
      </c>
      <c r="P789" s="112">
        <f t="shared" si="160"/>
        <v>1</v>
      </c>
      <c r="Q789" s="112">
        <f t="shared" si="161"/>
        <v>0</v>
      </c>
      <c r="R789" s="53"/>
      <c r="S789" s="53" t="str">
        <f t="shared" si="162"/>
        <v>Base S2|Base Set - Season 2|188|Base</v>
      </c>
      <c r="T789" s="57" t="str">
        <f>IF($S789="","",IFERROR(VLOOKUP($S789,'Pop Estimates (Non-#d)'!$N$2:$O$500,2,FALSE),""))</f>
        <v/>
      </c>
      <c r="U789" s="57" t="str">
        <f t="shared" si="163"/>
        <v/>
      </c>
      <c r="V789" s="53" t="str">
        <f t="shared" si="164"/>
        <v/>
      </c>
      <c r="W789" s="53" t="str">
        <f t="shared" si="165"/>
        <v/>
      </c>
      <c r="X789" s="53" t="str">
        <f t="shared" si="166"/>
        <v/>
      </c>
      <c r="Y789" s="57" t="str">
        <f>IF($X789="","",IFERROR(VLOOKUP($X789,'Char Popularity'!$A$2:$C$500,2,FALSE),""))</f>
        <v/>
      </c>
      <c r="Z789" s="56">
        <f>IF($X789="",1,IFERROR(VLOOKUP($X789,'Char Popularity'!$A$2:$C$500,3,FALSE),1))</f>
        <v>1</v>
      </c>
      <c r="AA789" s="62">
        <f>IF($H789&lt;&gt;"Y",0,(IF($F789&lt;&gt;"",ROUND(Dashboard!$R$4/$F789,1),IF(AND($I789="Base",$E789="Base"),Dashboard!$R$5,IF(AND($I789="Base",$E789="Red"),Dashboard!$R$6,IF(AND($I789="Base",$E789="Gold"),Dashboard!$R$7,VLOOKUP($I789,Dashboard!$Q$16:$R$21,2,FALSE)))))*VLOOKUP($I789,Dashboard!$Q$9:$R$13,2,FALSE)*IF(AND($I789="Auto",$F789="",OR($B789="Autographs Duals",$B789="Autographs Triples",$B789="Autographs Quads",$B789="Autographs Quads (Inscribed)")),IF($B789="Autographs Duals",2,IF($B789="Autographs Triples",3,4)),1)))</f>
        <v>1</v>
      </c>
      <c r="AB789" s="62">
        <f t="shared" si="167"/>
        <v>1</v>
      </c>
      <c r="AC789" s="62">
        <f t="shared" si="168"/>
        <v>0</v>
      </c>
    </row>
    <row r="790" spans="1:29" ht="28.7" customHeight="1" x14ac:dyDescent="0.25">
      <c r="A790" s="4" t="s">
        <v>19</v>
      </c>
      <c r="B790" s="7" t="s">
        <v>74</v>
      </c>
      <c r="C790" s="2" t="s">
        <v>1588</v>
      </c>
      <c r="D790" s="7" t="s">
        <v>1185</v>
      </c>
      <c r="E790" s="4" t="s">
        <v>60</v>
      </c>
      <c r="F790" s="2"/>
      <c r="G790" s="2" t="s">
        <v>1399</v>
      </c>
      <c r="H790" s="2" t="s">
        <v>1400</v>
      </c>
      <c r="I790" s="4" t="s">
        <v>60</v>
      </c>
      <c r="J790" s="112">
        <f>IF($H790&lt;&gt;"Y",0,ROUND(MIN(Dashboard!$R$24,IF(IFERROR(VLOOKUP($B790,Dashboard!$Q$28:$S$60,2,FALSE),0)&gt;0,IFERROR(VLOOKUP($B790,Dashboard!$Q$28:$S$60,2,FALSE),0),$Z790*IF($U790&lt;&gt;"",ROUND((Dashboard!$R$4/$U790)*VLOOKUP($I790,Dashboard!$Q$9:$R$13,2,FALSE)*IF(ISNUMBER(SEARCH("Duals",$B790)),2,IF(ISNUMBER(SEARCH("Triples",$B790)),3,IF(ISNUMBER(SEARCH("Quads",$B790)),4,1))),2),ROUND(VLOOKUP($I790,Dashboard!$Q$15:$R$20,2,FALSE)*IF($E790="Red",Dashboard!$R$6,IF($E790="Gold",Dashboard!$R$7,Dashboard!$R$5))*IF(ISNUMBER(SEARCH("Duals",$B790)),2,IF(ISNUMBER(SEARCH("Triples",$B790)),3,IF(ISNUMBER(SEARCH("Quads",$B790)),4,1))),2))*IF(IFERROR(VLOOKUP($B790,Dashboard!$Q$28:$S$60,3,FALSE),0)&gt;0,VLOOKUP($B790,Dashboard!$Q$28:$S$60,3,FALSE),1))),0))</f>
        <v>1</v>
      </c>
      <c r="K790" s="2" t="str">
        <f>IF('Base S2'!C90="","",'Base S2'!C90)</f>
        <v>h</v>
      </c>
      <c r="L790" s="2">
        <f t="shared" si="156"/>
        <v>1</v>
      </c>
      <c r="M790" s="2">
        <f t="shared" si="157"/>
        <v>0</v>
      </c>
      <c r="N790" s="2">
        <f t="shared" si="158"/>
        <v>1</v>
      </c>
      <c r="O790" s="2">
        <f t="shared" si="159"/>
        <v>0</v>
      </c>
      <c r="P790" s="112">
        <f t="shared" si="160"/>
        <v>1</v>
      </c>
      <c r="Q790" s="112">
        <f t="shared" si="161"/>
        <v>0</v>
      </c>
      <c r="R790" s="53"/>
      <c r="S790" s="53" t="str">
        <f t="shared" si="162"/>
        <v>Base S2|Base Set - Season 2|189|Base</v>
      </c>
      <c r="T790" s="57" t="str">
        <f>IF($S790="","",IFERROR(VLOOKUP($S790,'Pop Estimates (Non-#d)'!$N$2:$O$500,2,FALSE),""))</f>
        <v/>
      </c>
      <c r="U790" s="57" t="str">
        <f t="shared" si="163"/>
        <v/>
      </c>
      <c r="V790" s="53" t="str">
        <f t="shared" si="164"/>
        <v/>
      </c>
      <c r="W790" s="53" t="str">
        <f t="shared" si="165"/>
        <v/>
      </c>
      <c r="X790" s="53" t="str">
        <f t="shared" si="166"/>
        <v/>
      </c>
      <c r="Y790" s="57" t="str">
        <f>IF($X790="","",IFERROR(VLOOKUP($X790,'Char Popularity'!$A$2:$C$500,2,FALSE),""))</f>
        <v/>
      </c>
      <c r="Z790" s="56">
        <f>IF($X790="",1,IFERROR(VLOOKUP($X790,'Char Popularity'!$A$2:$C$500,3,FALSE),1))</f>
        <v>1</v>
      </c>
      <c r="AA790" s="62">
        <f>IF($H790&lt;&gt;"Y",0,(IF($F790&lt;&gt;"",ROUND(Dashboard!$R$4/$F790,1),IF(AND($I790="Base",$E790="Base"),Dashboard!$R$5,IF(AND($I790="Base",$E790="Red"),Dashboard!$R$6,IF(AND($I790="Base",$E790="Gold"),Dashboard!$R$7,VLOOKUP($I790,Dashboard!$Q$16:$R$21,2,FALSE)))))*VLOOKUP($I790,Dashboard!$Q$9:$R$13,2,FALSE)*IF(AND($I790="Auto",$F790="",OR($B790="Autographs Duals",$B790="Autographs Triples",$B790="Autographs Quads",$B790="Autographs Quads (Inscribed)")),IF($B790="Autographs Duals",2,IF($B790="Autographs Triples",3,4)),1)))</f>
        <v>1</v>
      </c>
      <c r="AB790" s="62">
        <f t="shared" si="167"/>
        <v>1</v>
      </c>
      <c r="AC790" s="62">
        <f t="shared" si="168"/>
        <v>0</v>
      </c>
    </row>
    <row r="791" spans="1:29" ht="28.7" customHeight="1" x14ac:dyDescent="0.25">
      <c r="A791" s="4" t="s">
        <v>19</v>
      </c>
      <c r="B791" s="7" t="s">
        <v>74</v>
      </c>
      <c r="C791" s="2" t="s">
        <v>1589</v>
      </c>
      <c r="D791" s="7" t="s">
        <v>1186</v>
      </c>
      <c r="E791" s="4" t="s">
        <v>60</v>
      </c>
      <c r="F791" s="2"/>
      <c r="G791" s="2" t="s">
        <v>1399</v>
      </c>
      <c r="H791" s="2" t="s">
        <v>1400</v>
      </c>
      <c r="I791" s="4" t="s">
        <v>60</v>
      </c>
      <c r="J791" s="112">
        <f>IF($H791&lt;&gt;"Y",0,ROUND(MIN(Dashboard!$R$24,IF(IFERROR(VLOOKUP($B791,Dashboard!$Q$28:$S$60,2,FALSE),0)&gt;0,IFERROR(VLOOKUP($B791,Dashboard!$Q$28:$S$60,2,FALSE),0),$Z791*IF($U791&lt;&gt;"",ROUND((Dashboard!$R$4/$U791)*VLOOKUP($I791,Dashboard!$Q$9:$R$13,2,FALSE)*IF(ISNUMBER(SEARCH("Duals",$B791)),2,IF(ISNUMBER(SEARCH("Triples",$B791)),3,IF(ISNUMBER(SEARCH("Quads",$B791)),4,1))),2),ROUND(VLOOKUP($I791,Dashboard!$Q$15:$R$20,2,FALSE)*IF($E791="Red",Dashboard!$R$6,IF($E791="Gold",Dashboard!$R$7,Dashboard!$R$5))*IF(ISNUMBER(SEARCH("Duals",$B791)),2,IF(ISNUMBER(SEARCH("Triples",$B791)),3,IF(ISNUMBER(SEARCH("Quads",$B791)),4,1))),2))*IF(IFERROR(VLOOKUP($B791,Dashboard!$Q$28:$S$60,3,FALSE),0)&gt;0,VLOOKUP($B791,Dashboard!$Q$28:$S$60,3,FALSE),1))),0))</f>
        <v>1</v>
      </c>
      <c r="K791" s="2" t="str">
        <f>IF('Base S2'!C91="","",'Base S2'!C91)</f>
        <v>h</v>
      </c>
      <c r="L791" s="2">
        <f t="shared" si="156"/>
        <v>1</v>
      </c>
      <c r="M791" s="2">
        <f t="shared" si="157"/>
        <v>0</v>
      </c>
      <c r="N791" s="2">
        <f t="shared" si="158"/>
        <v>1</v>
      </c>
      <c r="O791" s="2">
        <f t="shared" si="159"/>
        <v>0</v>
      </c>
      <c r="P791" s="112">
        <f t="shared" si="160"/>
        <v>1</v>
      </c>
      <c r="Q791" s="112">
        <f t="shared" si="161"/>
        <v>0</v>
      </c>
      <c r="R791" s="53"/>
      <c r="S791" s="53" t="str">
        <f t="shared" si="162"/>
        <v>Base S2|Base Set - Season 2|190|Base</v>
      </c>
      <c r="T791" s="57" t="str">
        <f>IF($S791="","",IFERROR(VLOOKUP($S791,'Pop Estimates (Non-#d)'!$N$2:$O$500,2,FALSE),""))</f>
        <v/>
      </c>
      <c r="U791" s="57" t="str">
        <f t="shared" si="163"/>
        <v/>
      </c>
      <c r="V791" s="53" t="str">
        <f t="shared" si="164"/>
        <v/>
      </c>
      <c r="W791" s="53" t="str">
        <f t="shared" si="165"/>
        <v/>
      </c>
      <c r="X791" s="53" t="str">
        <f t="shared" si="166"/>
        <v/>
      </c>
      <c r="Y791" s="57" t="str">
        <f>IF($X791="","",IFERROR(VLOOKUP($X791,'Char Popularity'!$A$2:$C$500,2,FALSE),""))</f>
        <v/>
      </c>
      <c r="Z791" s="56">
        <f>IF($X791="",1,IFERROR(VLOOKUP($X791,'Char Popularity'!$A$2:$C$500,3,FALSE),1))</f>
        <v>1</v>
      </c>
      <c r="AA791" s="62">
        <f>IF($H791&lt;&gt;"Y",0,(IF($F791&lt;&gt;"",ROUND(Dashboard!$R$4/$F791,1),IF(AND($I791="Base",$E791="Base"),Dashboard!$R$5,IF(AND($I791="Base",$E791="Red"),Dashboard!$R$6,IF(AND($I791="Base",$E791="Gold"),Dashboard!$R$7,VLOOKUP($I791,Dashboard!$Q$16:$R$21,2,FALSE)))))*VLOOKUP($I791,Dashboard!$Q$9:$R$13,2,FALSE)*IF(AND($I791="Auto",$F791="",OR($B791="Autographs Duals",$B791="Autographs Triples",$B791="Autographs Quads",$B791="Autographs Quads (Inscribed)")),IF($B791="Autographs Duals",2,IF($B791="Autographs Triples",3,4)),1)))</f>
        <v>1</v>
      </c>
      <c r="AB791" s="62">
        <f t="shared" si="167"/>
        <v>1</v>
      </c>
      <c r="AC791" s="62">
        <f t="shared" si="168"/>
        <v>0</v>
      </c>
    </row>
    <row r="792" spans="1:29" ht="28.7" customHeight="1" x14ac:dyDescent="0.25">
      <c r="A792" s="4" t="s">
        <v>19</v>
      </c>
      <c r="B792" s="7" t="s">
        <v>74</v>
      </c>
      <c r="C792" s="2" t="s">
        <v>1590</v>
      </c>
      <c r="D792" s="7" t="s">
        <v>1187</v>
      </c>
      <c r="E792" s="4" t="s">
        <v>60</v>
      </c>
      <c r="F792" s="2"/>
      <c r="G792" s="2" t="s">
        <v>1399</v>
      </c>
      <c r="H792" s="2" t="s">
        <v>1400</v>
      </c>
      <c r="I792" s="4" t="s">
        <v>60</v>
      </c>
      <c r="J792" s="112">
        <f>IF($H792&lt;&gt;"Y",0,ROUND(MIN(Dashboard!$R$24,IF(IFERROR(VLOOKUP($B792,Dashboard!$Q$28:$S$60,2,FALSE),0)&gt;0,IFERROR(VLOOKUP($B792,Dashboard!$Q$28:$S$60,2,FALSE),0),$Z792*IF($U792&lt;&gt;"",ROUND((Dashboard!$R$4/$U792)*VLOOKUP($I792,Dashboard!$Q$9:$R$13,2,FALSE)*IF(ISNUMBER(SEARCH("Duals",$B792)),2,IF(ISNUMBER(SEARCH("Triples",$B792)),3,IF(ISNUMBER(SEARCH("Quads",$B792)),4,1))),2),ROUND(VLOOKUP($I792,Dashboard!$Q$15:$R$20,2,FALSE)*IF($E792="Red",Dashboard!$R$6,IF($E792="Gold",Dashboard!$R$7,Dashboard!$R$5))*IF(ISNUMBER(SEARCH("Duals",$B792)),2,IF(ISNUMBER(SEARCH("Triples",$B792)),3,IF(ISNUMBER(SEARCH("Quads",$B792)),4,1))),2))*IF(IFERROR(VLOOKUP($B792,Dashboard!$Q$28:$S$60,3,FALSE),0)&gt;0,VLOOKUP($B792,Dashboard!$Q$28:$S$60,3,FALSE),1))),0))</f>
        <v>1</v>
      </c>
      <c r="K792" s="2" t="str">
        <f>IF('Base S2'!C92="","",'Base S2'!C92)</f>
        <v>h</v>
      </c>
      <c r="L792" s="2">
        <f t="shared" si="156"/>
        <v>1</v>
      </c>
      <c r="M792" s="2">
        <f t="shared" si="157"/>
        <v>0</v>
      </c>
      <c r="N792" s="2">
        <f t="shared" si="158"/>
        <v>1</v>
      </c>
      <c r="O792" s="2">
        <f t="shared" si="159"/>
        <v>0</v>
      </c>
      <c r="P792" s="112">
        <f t="shared" si="160"/>
        <v>1</v>
      </c>
      <c r="Q792" s="112">
        <f t="shared" si="161"/>
        <v>0</v>
      </c>
      <c r="R792" s="53"/>
      <c r="S792" s="53" t="str">
        <f t="shared" si="162"/>
        <v>Base S2|Base Set - Season 2|191|Base</v>
      </c>
      <c r="T792" s="57" t="str">
        <f>IF($S792="","",IFERROR(VLOOKUP($S792,'Pop Estimates (Non-#d)'!$N$2:$O$500,2,FALSE),""))</f>
        <v/>
      </c>
      <c r="U792" s="57" t="str">
        <f t="shared" si="163"/>
        <v/>
      </c>
      <c r="V792" s="53" t="str">
        <f t="shared" si="164"/>
        <v/>
      </c>
      <c r="W792" s="53" t="str">
        <f t="shared" si="165"/>
        <v/>
      </c>
      <c r="X792" s="53" t="str">
        <f t="shared" si="166"/>
        <v/>
      </c>
      <c r="Y792" s="57" t="str">
        <f>IF($X792="","",IFERROR(VLOOKUP($X792,'Char Popularity'!$A$2:$C$500,2,FALSE),""))</f>
        <v/>
      </c>
      <c r="Z792" s="56">
        <f>IF($X792="",1,IFERROR(VLOOKUP($X792,'Char Popularity'!$A$2:$C$500,3,FALSE),1))</f>
        <v>1</v>
      </c>
      <c r="AA792" s="62">
        <f>IF($H792&lt;&gt;"Y",0,(IF($F792&lt;&gt;"",ROUND(Dashboard!$R$4/$F792,1),IF(AND($I792="Base",$E792="Base"),Dashboard!$R$5,IF(AND($I792="Base",$E792="Red"),Dashboard!$R$6,IF(AND($I792="Base",$E792="Gold"),Dashboard!$R$7,VLOOKUP($I792,Dashboard!$Q$16:$R$21,2,FALSE)))))*VLOOKUP($I792,Dashboard!$Q$9:$R$13,2,FALSE)*IF(AND($I792="Auto",$F792="",OR($B792="Autographs Duals",$B792="Autographs Triples",$B792="Autographs Quads",$B792="Autographs Quads (Inscribed)")),IF($B792="Autographs Duals",2,IF($B792="Autographs Triples",3,4)),1)))</f>
        <v>1</v>
      </c>
      <c r="AB792" s="62">
        <f t="shared" si="167"/>
        <v>1</v>
      </c>
      <c r="AC792" s="62">
        <f t="shared" si="168"/>
        <v>0</v>
      </c>
    </row>
    <row r="793" spans="1:29" ht="28.7" customHeight="1" x14ac:dyDescent="0.25">
      <c r="A793" s="4" t="s">
        <v>19</v>
      </c>
      <c r="B793" s="7" t="s">
        <v>74</v>
      </c>
      <c r="C793" s="2" t="s">
        <v>1591</v>
      </c>
      <c r="D793" s="7" t="s">
        <v>1188</v>
      </c>
      <c r="E793" s="4" t="s">
        <v>60</v>
      </c>
      <c r="F793" s="2"/>
      <c r="G793" s="2" t="s">
        <v>1399</v>
      </c>
      <c r="H793" s="2" t="s">
        <v>1400</v>
      </c>
      <c r="I793" s="4" t="s">
        <v>60</v>
      </c>
      <c r="J793" s="112">
        <f>IF($H793&lt;&gt;"Y",0,ROUND(MIN(Dashboard!$R$24,IF(IFERROR(VLOOKUP($B793,Dashboard!$Q$28:$S$60,2,FALSE),0)&gt;0,IFERROR(VLOOKUP($B793,Dashboard!$Q$28:$S$60,2,FALSE),0),$Z793*IF($U793&lt;&gt;"",ROUND((Dashboard!$R$4/$U793)*VLOOKUP($I793,Dashboard!$Q$9:$R$13,2,FALSE)*IF(ISNUMBER(SEARCH("Duals",$B793)),2,IF(ISNUMBER(SEARCH("Triples",$B793)),3,IF(ISNUMBER(SEARCH("Quads",$B793)),4,1))),2),ROUND(VLOOKUP($I793,Dashboard!$Q$15:$R$20,2,FALSE)*IF($E793="Red",Dashboard!$R$6,IF($E793="Gold",Dashboard!$R$7,Dashboard!$R$5))*IF(ISNUMBER(SEARCH("Duals",$B793)),2,IF(ISNUMBER(SEARCH("Triples",$B793)),3,IF(ISNUMBER(SEARCH("Quads",$B793)),4,1))),2))*IF(IFERROR(VLOOKUP($B793,Dashboard!$Q$28:$S$60,3,FALSE),0)&gt;0,VLOOKUP($B793,Dashboard!$Q$28:$S$60,3,FALSE),1))),0))</f>
        <v>1</v>
      </c>
      <c r="K793" s="2" t="str">
        <f>IF('Base S2'!C93="","",'Base S2'!C93)</f>
        <v>h</v>
      </c>
      <c r="L793" s="2">
        <f t="shared" si="156"/>
        <v>1</v>
      </c>
      <c r="M793" s="2">
        <f t="shared" si="157"/>
        <v>0</v>
      </c>
      <c r="N793" s="2">
        <f t="shared" si="158"/>
        <v>1</v>
      </c>
      <c r="O793" s="2">
        <f t="shared" si="159"/>
        <v>0</v>
      </c>
      <c r="P793" s="112">
        <f t="shared" si="160"/>
        <v>1</v>
      </c>
      <c r="Q793" s="112">
        <f t="shared" si="161"/>
        <v>0</v>
      </c>
      <c r="R793" s="53"/>
      <c r="S793" s="53" t="str">
        <f t="shared" si="162"/>
        <v>Base S2|Base Set - Season 2|192|Base</v>
      </c>
      <c r="T793" s="57" t="str">
        <f>IF($S793="","",IFERROR(VLOOKUP($S793,'Pop Estimates (Non-#d)'!$N$2:$O$500,2,FALSE),""))</f>
        <v/>
      </c>
      <c r="U793" s="57" t="str">
        <f t="shared" si="163"/>
        <v/>
      </c>
      <c r="V793" s="53" t="str">
        <f t="shared" si="164"/>
        <v/>
      </c>
      <c r="W793" s="53" t="str">
        <f t="shared" si="165"/>
        <v/>
      </c>
      <c r="X793" s="53" t="str">
        <f t="shared" si="166"/>
        <v/>
      </c>
      <c r="Y793" s="57" t="str">
        <f>IF($X793="","",IFERROR(VLOOKUP($X793,'Char Popularity'!$A$2:$C$500,2,FALSE),""))</f>
        <v/>
      </c>
      <c r="Z793" s="56">
        <f>IF($X793="",1,IFERROR(VLOOKUP($X793,'Char Popularity'!$A$2:$C$500,3,FALSE),1))</f>
        <v>1</v>
      </c>
      <c r="AA793" s="62">
        <f>IF($H793&lt;&gt;"Y",0,(IF($F793&lt;&gt;"",ROUND(Dashboard!$R$4/$F793,1),IF(AND($I793="Base",$E793="Base"),Dashboard!$R$5,IF(AND($I793="Base",$E793="Red"),Dashboard!$R$6,IF(AND($I793="Base",$E793="Gold"),Dashboard!$R$7,VLOOKUP($I793,Dashboard!$Q$16:$R$21,2,FALSE)))))*VLOOKUP($I793,Dashboard!$Q$9:$R$13,2,FALSE)*IF(AND($I793="Auto",$F793="",OR($B793="Autographs Duals",$B793="Autographs Triples",$B793="Autographs Quads",$B793="Autographs Quads (Inscribed)")),IF($B793="Autographs Duals",2,IF($B793="Autographs Triples",3,4)),1)))</f>
        <v>1</v>
      </c>
      <c r="AB793" s="62">
        <f t="shared" si="167"/>
        <v>1</v>
      </c>
      <c r="AC793" s="62">
        <f t="shared" si="168"/>
        <v>0</v>
      </c>
    </row>
    <row r="794" spans="1:29" ht="28.7" customHeight="1" x14ac:dyDescent="0.25">
      <c r="A794" s="4" t="s">
        <v>19</v>
      </c>
      <c r="B794" s="7" t="s">
        <v>74</v>
      </c>
      <c r="C794" s="2" t="s">
        <v>1592</v>
      </c>
      <c r="D794" s="7" t="s">
        <v>1190</v>
      </c>
      <c r="E794" s="4" t="s">
        <v>60</v>
      </c>
      <c r="F794" s="2"/>
      <c r="G794" s="2" t="s">
        <v>1399</v>
      </c>
      <c r="H794" s="2" t="s">
        <v>1400</v>
      </c>
      <c r="I794" s="4" t="s">
        <v>60</v>
      </c>
      <c r="J794" s="112">
        <f>IF($H794&lt;&gt;"Y",0,ROUND(MIN(Dashboard!$R$24,IF(IFERROR(VLOOKUP($B794,Dashboard!$Q$28:$S$60,2,FALSE),0)&gt;0,IFERROR(VLOOKUP($B794,Dashboard!$Q$28:$S$60,2,FALSE),0),$Z794*IF($U794&lt;&gt;"",ROUND((Dashboard!$R$4/$U794)*VLOOKUP($I794,Dashboard!$Q$9:$R$13,2,FALSE)*IF(ISNUMBER(SEARCH("Duals",$B794)),2,IF(ISNUMBER(SEARCH("Triples",$B794)),3,IF(ISNUMBER(SEARCH("Quads",$B794)),4,1))),2),ROUND(VLOOKUP($I794,Dashboard!$Q$15:$R$20,2,FALSE)*IF($E794="Red",Dashboard!$R$6,IF($E794="Gold",Dashboard!$R$7,Dashboard!$R$5))*IF(ISNUMBER(SEARCH("Duals",$B794)),2,IF(ISNUMBER(SEARCH("Triples",$B794)),3,IF(ISNUMBER(SEARCH("Quads",$B794)),4,1))),2))*IF(IFERROR(VLOOKUP($B794,Dashboard!$Q$28:$S$60,3,FALSE),0)&gt;0,VLOOKUP($B794,Dashboard!$Q$28:$S$60,3,FALSE),1))),0))</f>
        <v>1</v>
      </c>
      <c r="K794" s="2" t="str">
        <f>IF('Base S2'!C94="","",'Base S2'!C94)</f>
        <v>h</v>
      </c>
      <c r="L794" s="2">
        <f t="shared" si="156"/>
        <v>1</v>
      </c>
      <c r="M794" s="2">
        <f t="shared" si="157"/>
        <v>0</v>
      </c>
      <c r="N794" s="2">
        <f t="shared" si="158"/>
        <v>1</v>
      </c>
      <c r="O794" s="2">
        <f t="shared" si="159"/>
        <v>0</v>
      </c>
      <c r="P794" s="112">
        <f t="shared" si="160"/>
        <v>1</v>
      </c>
      <c r="Q794" s="112">
        <f t="shared" si="161"/>
        <v>0</v>
      </c>
      <c r="R794" s="53"/>
      <c r="S794" s="53" t="str">
        <f t="shared" si="162"/>
        <v>Base S2|Base Set - Season 2|193|Base</v>
      </c>
      <c r="T794" s="57" t="str">
        <f>IF($S794="","",IFERROR(VLOOKUP($S794,'Pop Estimates (Non-#d)'!$N$2:$O$500,2,FALSE),""))</f>
        <v/>
      </c>
      <c r="U794" s="57" t="str">
        <f t="shared" si="163"/>
        <v/>
      </c>
      <c r="V794" s="53" t="str">
        <f t="shared" si="164"/>
        <v/>
      </c>
      <c r="W794" s="53" t="str">
        <f t="shared" si="165"/>
        <v/>
      </c>
      <c r="X794" s="53" t="str">
        <f t="shared" si="166"/>
        <v/>
      </c>
      <c r="Y794" s="57" t="str">
        <f>IF($X794="","",IFERROR(VLOOKUP($X794,'Char Popularity'!$A$2:$C$500,2,FALSE),""))</f>
        <v/>
      </c>
      <c r="Z794" s="56">
        <f>IF($X794="",1,IFERROR(VLOOKUP($X794,'Char Popularity'!$A$2:$C$500,3,FALSE),1))</f>
        <v>1</v>
      </c>
      <c r="AA794" s="62">
        <f>IF($H794&lt;&gt;"Y",0,(IF($F794&lt;&gt;"",ROUND(Dashboard!$R$4/$F794,1),IF(AND($I794="Base",$E794="Base"),Dashboard!$R$5,IF(AND($I794="Base",$E794="Red"),Dashboard!$R$6,IF(AND($I794="Base",$E794="Gold"),Dashboard!$R$7,VLOOKUP($I794,Dashboard!$Q$16:$R$21,2,FALSE)))))*VLOOKUP($I794,Dashboard!$Q$9:$R$13,2,FALSE)*IF(AND($I794="Auto",$F794="",OR($B794="Autographs Duals",$B794="Autographs Triples",$B794="Autographs Quads",$B794="Autographs Quads (Inscribed)")),IF($B794="Autographs Duals",2,IF($B794="Autographs Triples",3,4)),1)))</f>
        <v>1</v>
      </c>
      <c r="AB794" s="62">
        <f t="shared" si="167"/>
        <v>1</v>
      </c>
      <c r="AC794" s="62">
        <f t="shared" si="168"/>
        <v>0</v>
      </c>
    </row>
    <row r="795" spans="1:29" ht="28.7" customHeight="1" x14ac:dyDescent="0.25">
      <c r="A795" s="4" t="s">
        <v>19</v>
      </c>
      <c r="B795" s="7" t="s">
        <v>74</v>
      </c>
      <c r="C795" s="2" t="s">
        <v>1593</v>
      </c>
      <c r="D795" s="7" t="s">
        <v>1191</v>
      </c>
      <c r="E795" s="4" t="s">
        <v>60</v>
      </c>
      <c r="F795" s="2"/>
      <c r="G795" s="2" t="s">
        <v>1399</v>
      </c>
      <c r="H795" s="2" t="s">
        <v>1400</v>
      </c>
      <c r="I795" s="4" t="s">
        <v>60</v>
      </c>
      <c r="J795" s="112">
        <f>IF($H795&lt;&gt;"Y",0,ROUND(MIN(Dashboard!$R$24,IF(IFERROR(VLOOKUP($B795,Dashboard!$Q$28:$S$60,2,FALSE),0)&gt;0,IFERROR(VLOOKUP($B795,Dashboard!$Q$28:$S$60,2,FALSE),0),$Z795*IF($U795&lt;&gt;"",ROUND((Dashboard!$R$4/$U795)*VLOOKUP($I795,Dashboard!$Q$9:$R$13,2,FALSE)*IF(ISNUMBER(SEARCH("Duals",$B795)),2,IF(ISNUMBER(SEARCH("Triples",$B795)),3,IF(ISNUMBER(SEARCH("Quads",$B795)),4,1))),2),ROUND(VLOOKUP($I795,Dashboard!$Q$15:$R$20,2,FALSE)*IF($E795="Red",Dashboard!$R$6,IF($E795="Gold",Dashboard!$R$7,Dashboard!$R$5))*IF(ISNUMBER(SEARCH("Duals",$B795)),2,IF(ISNUMBER(SEARCH("Triples",$B795)),3,IF(ISNUMBER(SEARCH("Quads",$B795)),4,1))),2))*IF(IFERROR(VLOOKUP($B795,Dashboard!$Q$28:$S$60,3,FALSE),0)&gt;0,VLOOKUP($B795,Dashboard!$Q$28:$S$60,3,FALSE),1))),0))</f>
        <v>1</v>
      </c>
      <c r="K795" s="2" t="str">
        <f>IF('Base S2'!C95="","",'Base S2'!C95)</f>
        <v>h</v>
      </c>
      <c r="L795" s="2">
        <f t="shared" si="156"/>
        <v>1</v>
      </c>
      <c r="M795" s="2">
        <f t="shared" si="157"/>
        <v>0</v>
      </c>
      <c r="N795" s="2">
        <f t="shared" si="158"/>
        <v>1</v>
      </c>
      <c r="O795" s="2">
        <f t="shared" si="159"/>
        <v>0</v>
      </c>
      <c r="P795" s="112">
        <f t="shared" si="160"/>
        <v>1</v>
      </c>
      <c r="Q795" s="112">
        <f t="shared" si="161"/>
        <v>0</v>
      </c>
      <c r="R795" s="53"/>
      <c r="S795" s="53" t="str">
        <f t="shared" si="162"/>
        <v>Base S2|Base Set - Season 2|194|Base</v>
      </c>
      <c r="T795" s="57" t="str">
        <f>IF($S795="","",IFERROR(VLOOKUP($S795,'Pop Estimates (Non-#d)'!$N$2:$O$500,2,FALSE),""))</f>
        <v/>
      </c>
      <c r="U795" s="57" t="str">
        <f t="shared" si="163"/>
        <v/>
      </c>
      <c r="V795" s="53" t="str">
        <f t="shared" si="164"/>
        <v/>
      </c>
      <c r="W795" s="53" t="str">
        <f t="shared" si="165"/>
        <v/>
      </c>
      <c r="X795" s="53" t="str">
        <f t="shared" si="166"/>
        <v/>
      </c>
      <c r="Y795" s="57" t="str">
        <f>IF($X795="","",IFERROR(VLOOKUP($X795,'Char Popularity'!$A$2:$C$500,2,FALSE),""))</f>
        <v/>
      </c>
      <c r="Z795" s="56">
        <f>IF($X795="",1,IFERROR(VLOOKUP($X795,'Char Popularity'!$A$2:$C$500,3,FALSE),1))</f>
        <v>1</v>
      </c>
      <c r="AA795" s="62">
        <f>IF($H795&lt;&gt;"Y",0,(IF($F795&lt;&gt;"",ROUND(Dashboard!$R$4/$F795,1),IF(AND($I795="Base",$E795="Base"),Dashboard!$R$5,IF(AND($I795="Base",$E795="Red"),Dashboard!$R$6,IF(AND($I795="Base",$E795="Gold"),Dashboard!$R$7,VLOOKUP($I795,Dashboard!$Q$16:$R$21,2,FALSE)))))*VLOOKUP($I795,Dashboard!$Q$9:$R$13,2,FALSE)*IF(AND($I795="Auto",$F795="",OR($B795="Autographs Duals",$B795="Autographs Triples",$B795="Autographs Quads",$B795="Autographs Quads (Inscribed)")),IF($B795="Autographs Duals",2,IF($B795="Autographs Triples",3,4)),1)))</f>
        <v>1</v>
      </c>
      <c r="AB795" s="62">
        <f t="shared" si="167"/>
        <v>1</v>
      </c>
      <c r="AC795" s="62">
        <f t="shared" si="168"/>
        <v>0</v>
      </c>
    </row>
    <row r="796" spans="1:29" ht="28.7" customHeight="1" x14ac:dyDescent="0.25">
      <c r="A796" s="4" t="s">
        <v>19</v>
      </c>
      <c r="B796" s="7" t="s">
        <v>74</v>
      </c>
      <c r="C796" s="2" t="s">
        <v>1594</v>
      </c>
      <c r="D796" s="7" t="s">
        <v>1192</v>
      </c>
      <c r="E796" s="4" t="s">
        <v>60</v>
      </c>
      <c r="F796" s="2"/>
      <c r="G796" s="2" t="s">
        <v>1399</v>
      </c>
      <c r="H796" s="2" t="s">
        <v>1400</v>
      </c>
      <c r="I796" s="4" t="s">
        <v>60</v>
      </c>
      <c r="J796" s="112">
        <f>IF($H796&lt;&gt;"Y",0,ROUND(MIN(Dashboard!$R$24,IF(IFERROR(VLOOKUP($B796,Dashboard!$Q$28:$S$60,2,FALSE),0)&gt;0,IFERROR(VLOOKUP($B796,Dashboard!$Q$28:$S$60,2,FALSE),0),$Z796*IF($U796&lt;&gt;"",ROUND((Dashboard!$R$4/$U796)*VLOOKUP($I796,Dashboard!$Q$9:$R$13,2,FALSE)*IF(ISNUMBER(SEARCH("Duals",$B796)),2,IF(ISNUMBER(SEARCH("Triples",$B796)),3,IF(ISNUMBER(SEARCH("Quads",$B796)),4,1))),2),ROUND(VLOOKUP($I796,Dashboard!$Q$15:$R$20,2,FALSE)*IF($E796="Red",Dashboard!$R$6,IF($E796="Gold",Dashboard!$R$7,Dashboard!$R$5))*IF(ISNUMBER(SEARCH("Duals",$B796)),2,IF(ISNUMBER(SEARCH("Triples",$B796)),3,IF(ISNUMBER(SEARCH("Quads",$B796)),4,1))),2))*IF(IFERROR(VLOOKUP($B796,Dashboard!$Q$28:$S$60,3,FALSE),0)&gt;0,VLOOKUP($B796,Dashboard!$Q$28:$S$60,3,FALSE),1))),0))</f>
        <v>1</v>
      </c>
      <c r="K796" s="2" t="str">
        <f>IF('Base S2'!C96="","",'Base S2'!C96)</f>
        <v>h</v>
      </c>
      <c r="L796" s="2">
        <f t="shared" si="156"/>
        <v>1</v>
      </c>
      <c r="M796" s="2">
        <f t="shared" si="157"/>
        <v>0</v>
      </c>
      <c r="N796" s="2">
        <f t="shared" si="158"/>
        <v>1</v>
      </c>
      <c r="O796" s="2">
        <f t="shared" si="159"/>
        <v>0</v>
      </c>
      <c r="P796" s="112">
        <f t="shared" si="160"/>
        <v>1</v>
      </c>
      <c r="Q796" s="112">
        <f t="shared" si="161"/>
        <v>0</v>
      </c>
      <c r="R796" s="53"/>
      <c r="S796" s="53" t="str">
        <f t="shared" si="162"/>
        <v>Base S2|Base Set - Season 2|195|Base</v>
      </c>
      <c r="T796" s="57" t="str">
        <f>IF($S796="","",IFERROR(VLOOKUP($S796,'Pop Estimates (Non-#d)'!$N$2:$O$500,2,FALSE),""))</f>
        <v/>
      </c>
      <c r="U796" s="57" t="str">
        <f t="shared" si="163"/>
        <v/>
      </c>
      <c r="V796" s="53" t="str">
        <f t="shared" si="164"/>
        <v/>
      </c>
      <c r="W796" s="53" t="str">
        <f t="shared" si="165"/>
        <v/>
      </c>
      <c r="X796" s="53" t="str">
        <f t="shared" si="166"/>
        <v/>
      </c>
      <c r="Y796" s="57" t="str">
        <f>IF($X796="","",IFERROR(VLOOKUP($X796,'Char Popularity'!$A$2:$C$500,2,FALSE),""))</f>
        <v/>
      </c>
      <c r="Z796" s="56">
        <f>IF($X796="",1,IFERROR(VLOOKUP($X796,'Char Popularity'!$A$2:$C$500,3,FALSE),1))</f>
        <v>1</v>
      </c>
      <c r="AA796" s="62">
        <f>IF($H796&lt;&gt;"Y",0,(IF($F796&lt;&gt;"",ROUND(Dashboard!$R$4/$F796,1),IF(AND($I796="Base",$E796="Base"),Dashboard!$R$5,IF(AND($I796="Base",$E796="Red"),Dashboard!$R$6,IF(AND($I796="Base",$E796="Gold"),Dashboard!$R$7,VLOOKUP($I796,Dashboard!$Q$16:$R$21,2,FALSE)))))*VLOOKUP($I796,Dashboard!$Q$9:$R$13,2,FALSE)*IF(AND($I796="Auto",$F796="",OR($B796="Autographs Duals",$B796="Autographs Triples",$B796="Autographs Quads",$B796="Autographs Quads (Inscribed)")),IF($B796="Autographs Duals",2,IF($B796="Autographs Triples",3,4)),1)))</f>
        <v>1</v>
      </c>
      <c r="AB796" s="62">
        <f t="shared" si="167"/>
        <v>1</v>
      </c>
      <c r="AC796" s="62">
        <f t="shared" si="168"/>
        <v>0</v>
      </c>
    </row>
    <row r="797" spans="1:29" ht="28.7" customHeight="1" x14ac:dyDescent="0.25">
      <c r="A797" s="4" t="s">
        <v>19</v>
      </c>
      <c r="B797" s="7" t="s">
        <v>74</v>
      </c>
      <c r="C797" s="2" t="s">
        <v>1595</v>
      </c>
      <c r="D797" s="7" t="s">
        <v>1193</v>
      </c>
      <c r="E797" s="4" t="s">
        <v>60</v>
      </c>
      <c r="F797" s="2"/>
      <c r="G797" s="2" t="s">
        <v>1399</v>
      </c>
      <c r="H797" s="2" t="s">
        <v>1400</v>
      </c>
      <c r="I797" s="4" t="s">
        <v>60</v>
      </c>
      <c r="J797" s="112">
        <f>IF($H797&lt;&gt;"Y",0,ROUND(MIN(Dashboard!$R$24,IF(IFERROR(VLOOKUP($B797,Dashboard!$Q$28:$S$60,2,FALSE),0)&gt;0,IFERROR(VLOOKUP($B797,Dashboard!$Q$28:$S$60,2,FALSE),0),$Z797*IF($U797&lt;&gt;"",ROUND((Dashboard!$R$4/$U797)*VLOOKUP($I797,Dashboard!$Q$9:$R$13,2,FALSE)*IF(ISNUMBER(SEARCH("Duals",$B797)),2,IF(ISNUMBER(SEARCH("Triples",$B797)),3,IF(ISNUMBER(SEARCH("Quads",$B797)),4,1))),2),ROUND(VLOOKUP($I797,Dashboard!$Q$15:$R$20,2,FALSE)*IF($E797="Red",Dashboard!$R$6,IF($E797="Gold",Dashboard!$R$7,Dashboard!$R$5))*IF(ISNUMBER(SEARCH("Duals",$B797)),2,IF(ISNUMBER(SEARCH("Triples",$B797)),3,IF(ISNUMBER(SEARCH("Quads",$B797)),4,1))),2))*IF(IFERROR(VLOOKUP($B797,Dashboard!$Q$28:$S$60,3,FALSE),0)&gt;0,VLOOKUP($B797,Dashboard!$Q$28:$S$60,3,FALSE),1))),0))</f>
        <v>1</v>
      </c>
      <c r="K797" s="2" t="str">
        <f>IF('Base S2'!C97="","",'Base S2'!C97)</f>
        <v>h</v>
      </c>
      <c r="L797" s="2">
        <f t="shared" si="156"/>
        <v>1</v>
      </c>
      <c r="M797" s="2">
        <f t="shared" si="157"/>
        <v>0</v>
      </c>
      <c r="N797" s="2">
        <f t="shared" si="158"/>
        <v>1</v>
      </c>
      <c r="O797" s="2">
        <f t="shared" si="159"/>
        <v>0</v>
      </c>
      <c r="P797" s="112">
        <f t="shared" si="160"/>
        <v>1</v>
      </c>
      <c r="Q797" s="112">
        <f t="shared" si="161"/>
        <v>0</v>
      </c>
      <c r="R797" s="53"/>
      <c r="S797" s="53" t="str">
        <f t="shared" si="162"/>
        <v>Base S2|Base Set - Season 2|196|Base</v>
      </c>
      <c r="T797" s="57" t="str">
        <f>IF($S797="","",IFERROR(VLOOKUP($S797,'Pop Estimates (Non-#d)'!$N$2:$O$500,2,FALSE),""))</f>
        <v/>
      </c>
      <c r="U797" s="57" t="str">
        <f t="shared" si="163"/>
        <v/>
      </c>
      <c r="V797" s="53" t="str">
        <f t="shared" si="164"/>
        <v/>
      </c>
      <c r="W797" s="53" t="str">
        <f t="shared" si="165"/>
        <v/>
      </c>
      <c r="X797" s="53" t="str">
        <f t="shared" si="166"/>
        <v/>
      </c>
      <c r="Y797" s="57" t="str">
        <f>IF($X797="","",IFERROR(VLOOKUP($X797,'Char Popularity'!$A$2:$C$500,2,FALSE),""))</f>
        <v/>
      </c>
      <c r="Z797" s="56">
        <f>IF($X797="",1,IFERROR(VLOOKUP($X797,'Char Popularity'!$A$2:$C$500,3,FALSE),1))</f>
        <v>1</v>
      </c>
      <c r="AA797" s="62">
        <f>IF($H797&lt;&gt;"Y",0,(IF($F797&lt;&gt;"",ROUND(Dashboard!$R$4/$F797,1),IF(AND($I797="Base",$E797="Base"),Dashboard!$R$5,IF(AND($I797="Base",$E797="Red"),Dashboard!$R$6,IF(AND($I797="Base",$E797="Gold"),Dashboard!$R$7,VLOOKUP($I797,Dashboard!$Q$16:$R$21,2,FALSE)))))*VLOOKUP($I797,Dashboard!$Q$9:$R$13,2,FALSE)*IF(AND($I797="Auto",$F797="",OR($B797="Autographs Duals",$B797="Autographs Triples",$B797="Autographs Quads",$B797="Autographs Quads (Inscribed)")),IF($B797="Autographs Duals",2,IF($B797="Autographs Triples",3,4)),1)))</f>
        <v>1</v>
      </c>
      <c r="AB797" s="62">
        <f t="shared" si="167"/>
        <v>1</v>
      </c>
      <c r="AC797" s="62">
        <f t="shared" si="168"/>
        <v>0</v>
      </c>
    </row>
    <row r="798" spans="1:29" ht="28.7" customHeight="1" x14ac:dyDescent="0.25">
      <c r="A798" s="4" t="s">
        <v>19</v>
      </c>
      <c r="B798" s="7" t="s">
        <v>74</v>
      </c>
      <c r="C798" s="2" t="s">
        <v>1596</v>
      </c>
      <c r="D798" s="7" t="s">
        <v>1195</v>
      </c>
      <c r="E798" s="4" t="s">
        <v>60</v>
      </c>
      <c r="F798" s="2"/>
      <c r="G798" s="2" t="s">
        <v>1399</v>
      </c>
      <c r="H798" s="2" t="s">
        <v>1400</v>
      </c>
      <c r="I798" s="4" t="s">
        <v>60</v>
      </c>
      <c r="J798" s="112">
        <f>IF($H798&lt;&gt;"Y",0,ROUND(MIN(Dashboard!$R$24,IF(IFERROR(VLOOKUP($B798,Dashboard!$Q$28:$S$60,2,FALSE),0)&gt;0,IFERROR(VLOOKUP($B798,Dashboard!$Q$28:$S$60,2,FALSE),0),$Z798*IF($U798&lt;&gt;"",ROUND((Dashboard!$R$4/$U798)*VLOOKUP($I798,Dashboard!$Q$9:$R$13,2,FALSE)*IF(ISNUMBER(SEARCH("Duals",$B798)),2,IF(ISNUMBER(SEARCH("Triples",$B798)),3,IF(ISNUMBER(SEARCH("Quads",$B798)),4,1))),2),ROUND(VLOOKUP($I798,Dashboard!$Q$15:$R$20,2,FALSE)*IF($E798="Red",Dashboard!$R$6,IF($E798="Gold",Dashboard!$R$7,Dashboard!$R$5))*IF(ISNUMBER(SEARCH("Duals",$B798)),2,IF(ISNUMBER(SEARCH("Triples",$B798)),3,IF(ISNUMBER(SEARCH("Quads",$B798)),4,1))),2))*IF(IFERROR(VLOOKUP($B798,Dashboard!$Q$28:$S$60,3,FALSE),0)&gt;0,VLOOKUP($B798,Dashboard!$Q$28:$S$60,3,FALSE),1))),0))</f>
        <v>1</v>
      </c>
      <c r="K798" s="2" t="str">
        <f>IF('Base S2'!C98="","",'Base S2'!C98)</f>
        <v>h</v>
      </c>
      <c r="L798" s="2">
        <f t="shared" si="156"/>
        <v>1</v>
      </c>
      <c r="M798" s="2">
        <f t="shared" si="157"/>
        <v>0</v>
      </c>
      <c r="N798" s="2">
        <f t="shared" si="158"/>
        <v>1</v>
      </c>
      <c r="O798" s="2">
        <f t="shared" si="159"/>
        <v>0</v>
      </c>
      <c r="P798" s="112">
        <f t="shared" si="160"/>
        <v>1</v>
      </c>
      <c r="Q798" s="112">
        <f t="shared" si="161"/>
        <v>0</v>
      </c>
      <c r="R798" s="53"/>
      <c r="S798" s="53" t="str">
        <f t="shared" si="162"/>
        <v>Base S2|Base Set - Season 2|197|Base</v>
      </c>
      <c r="T798" s="57" t="str">
        <f>IF($S798="","",IFERROR(VLOOKUP($S798,'Pop Estimates (Non-#d)'!$N$2:$O$500,2,FALSE),""))</f>
        <v/>
      </c>
      <c r="U798" s="57" t="str">
        <f t="shared" si="163"/>
        <v/>
      </c>
      <c r="V798" s="53" t="str">
        <f t="shared" si="164"/>
        <v/>
      </c>
      <c r="W798" s="53" t="str">
        <f t="shared" si="165"/>
        <v/>
      </c>
      <c r="X798" s="53" t="str">
        <f t="shared" si="166"/>
        <v/>
      </c>
      <c r="Y798" s="57" t="str">
        <f>IF($X798="","",IFERROR(VLOOKUP($X798,'Char Popularity'!$A$2:$C$500,2,FALSE),""))</f>
        <v/>
      </c>
      <c r="Z798" s="56">
        <f>IF($X798="",1,IFERROR(VLOOKUP($X798,'Char Popularity'!$A$2:$C$500,3,FALSE),1))</f>
        <v>1</v>
      </c>
      <c r="AA798" s="62">
        <f>IF($H798&lt;&gt;"Y",0,(IF($F798&lt;&gt;"",ROUND(Dashboard!$R$4/$F798,1),IF(AND($I798="Base",$E798="Base"),Dashboard!$R$5,IF(AND($I798="Base",$E798="Red"),Dashboard!$R$6,IF(AND($I798="Base",$E798="Gold"),Dashboard!$R$7,VLOOKUP($I798,Dashboard!$Q$16:$R$21,2,FALSE)))))*VLOOKUP($I798,Dashboard!$Q$9:$R$13,2,FALSE)*IF(AND($I798="Auto",$F798="",OR($B798="Autographs Duals",$B798="Autographs Triples",$B798="Autographs Quads",$B798="Autographs Quads (Inscribed)")),IF($B798="Autographs Duals",2,IF($B798="Autographs Triples",3,4)),1)))</f>
        <v>1</v>
      </c>
      <c r="AB798" s="62">
        <f t="shared" si="167"/>
        <v>1</v>
      </c>
      <c r="AC798" s="62">
        <f t="shared" si="168"/>
        <v>0</v>
      </c>
    </row>
    <row r="799" spans="1:29" ht="28.7" customHeight="1" x14ac:dyDescent="0.25">
      <c r="A799" s="4" t="s">
        <v>19</v>
      </c>
      <c r="B799" s="7" t="s">
        <v>74</v>
      </c>
      <c r="C799" s="2" t="s">
        <v>1597</v>
      </c>
      <c r="D799" s="7" t="s">
        <v>1197</v>
      </c>
      <c r="E799" s="4" t="s">
        <v>60</v>
      </c>
      <c r="F799" s="2"/>
      <c r="G799" s="2" t="s">
        <v>1399</v>
      </c>
      <c r="H799" s="2" t="s">
        <v>1400</v>
      </c>
      <c r="I799" s="4" t="s">
        <v>60</v>
      </c>
      <c r="J799" s="112">
        <f>IF($H799&lt;&gt;"Y",0,ROUND(MIN(Dashboard!$R$24,IF(IFERROR(VLOOKUP($B799,Dashboard!$Q$28:$S$60,2,FALSE),0)&gt;0,IFERROR(VLOOKUP($B799,Dashboard!$Q$28:$S$60,2,FALSE),0),$Z799*IF($U799&lt;&gt;"",ROUND((Dashboard!$R$4/$U799)*VLOOKUP($I799,Dashboard!$Q$9:$R$13,2,FALSE)*IF(ISNUMBER(SEARCH("Duals",$B799)),2,IF(ISNUMBER(SEARCH("Triples",$B799)),3,IF(ISNUMBER(SEARCH("Quads",$B799)),4,1))),2),ROUND(VLOOKUP($I799,Dashboard!$Q$15:$R$20,2,FALSE)*IF($E799="Red",Dashboard!$R$6,IF($E799="Gold",Dashboard!$R$7,Dashboard!$R$5))*IF(ISNUMBER(SEARCH("Duals",$B799)),2,IF(ISNUMBER(SEARCH("Triples",$B799)),3,IF(ISNUMBER(SEARCH("Quads",$B799)),4,1))),2))*IF(IFERROR(VLOOKUP($B799,Dashboard!$Q$28:$S$60,3,FALSE),0)&gt;0,VLOOKUP($B799,Dashboard!$Q$28:$S$60,3,FALSE),1))),0))</f>
        <v>1</v>
      </c>
      <c r="K799" s="2" t="str">
        <f>IF('Base S2'!C99="","",'Base S2'!C99)</f>
        <v>h</v>
      </c>
      <c r="L799" s="2">
        <f t="shared" si="156"/>
        <v>1</v>
      </c>
      <c r="M799" s="2">
        <f t="shared" si="157"/>
        <v>0</v>
      </c>
      <c r="N799" s="2">
        <f t="shared" si="158"/>
        <v>1</v>
      </c>
      <c r="O799" s="2">
        <f t="shared" si="159"/>
        <v>0</v>
      </c>
      <c r="P799" s="112">
        <f t="shared" si="160"/>
        <v>1</v>
      </c>
      <c r="Q799" s="112">
        <f t="shared" si="161"/>
        <v>0</v>
      </c>
      <c r="R799" s="53"/>
      <c r="S799" s="53" t="str">
        <f t="shared" si="162"/>
        <v>Base S2|Base Set - Season 2|198|Base</v>
      </c>
      <c r="T799" s="57" t="str">
        <f>IF($S799="","",IFERROR(VLOOKUP($S799,'Pop Estimates (Non-#d)'!$N$2:$O$500,2,FALSE),""))</f>
        <v/>
      </c>
      <c r="U799" s="57" t="str">
        <f t="shared" si="163"/>
        <v/>
      </c>
      <c r="V799" s="53" t="str">
        <f t="shared" si="164"/>
        <v/>
      </c>
      <c r="W799" s="53" t="str">
        <f t="shared" si="165"/>
        <v/>
      </c>
      <c r="X799" s="53" t="str">
        <f t="shared" si="166"/>
        <v/>
      </c>
      <c r="Y799" s="57" t="str">
        <f>IF($X799="","",IFERROR(VLOOKUP($X799,'Char Popularity'!$A$2:$C$500,2,FALSE),""))</f>
        <v/>
      </c>
      <c r="Z799" s="56">
        <f>IF($X799="",1,IFERROR(VLOOKUP($X799,'Char Popularity'!$A$2:$C$500,3,FALSE),1))</f>
        <v>1</v>
      </c>
      <c r="AA799" s="62">
        <f>IF($H799&lt;&gt;"Y",0,(IF($F799&lt;&gt;"",ROUND(Dashboard!$R$4/$F799,1),IF(AND($I799="Base",$E799="Base"),Dashboard!$R$5,IF(AND($I799="Base",$E799="Red"),Dashboard!$R$6,IF(AND($I799="Base",$E799="Gold"),Dashboard!$R$7,VLOOKUP($I799,Dashboard!$Q$16:$R$21,2,FALSE)))))*VLOOKUP($I799,Dashboard!$Q$9:$R$13,2,FALSE)*IF(AND($I799="Auto",$F799="",OR($B799="Autographs Duals",$B799="Autographs Triples",$B799="Autographs Quads",$B799="Autographs Quads (Inscribed)")),IF($B799="Autographs Duals",2,IF($B799="Autographs Triples",3,4)),1)))</f>
        <v>1</v>
      </c>
      <c r="AB799" s="62">
        <f t="shared" si="167"/>
        <v>1</v>
      </c>
      <c r="AC799" s="62">
        <f t="shared" si="168"/>
        <v>0</v>
      </c>
    </row>
    <row r="800" spans="1:29" ht="28.7" customHeight="1" x14ac:dyDescent="0.25">
      <c r="A800" s="4" t="s">
        <v>19</v>
      </c>
      <c r="B800" s="7" t="s">
        <v>74</v>
      </c>
      <c r="C800" s="2" t="s">
        <v>1598</v>
      </c>
      <c r="D800" s="7" t="s">
        <v>1199</v>
      </c>
      <c r="E800" s="4" t="s">
        <v>60</v>
      </c>
      <c r="F800" s="2"/>
      <c r="G800" s="2" t="s">
        <v>1399</v>
      </c>
      <c r="H800" s="2" t="s">
        <v>1400</v>
      </c>
      <c r="I800" s="4" t="s">
        <v>60</v>
      </c>
      <c r="J800" s="112">
        <f>IF($H800&lt;&gt;"Y",0,ROUND(MIN(Dashboard!$R$24,IF(IFERROR(VLOOKUP($B800,Dashboard!$Q$28:$S$60,2,FALSE),0)&gt;0,IFERROR(VLOOKUP($B800,Dashboard!$Q$28:$S$60,2,FALSE),0),$Z800*IF($U800&lt;&gt;"",ROUND((Dashboard!$R$4/$U800)*VLOOKUP($I800,Dashboard!$Q$9:$R$13,2,FALSE)*IF(ISNUMBER(SEARCH("Duals",$B800)),2,IF(ISNUMBER(SEARCH("Triples",$B800)),3,IF(ISNUMBER(SEARCH("Quads",$B800)),4,1))),2),ROUND(VLOOKUP($I800,Dashboard!$Q$15:$R$20,2,FALSE)*IF($E800="Red",Dashboard!$R$6,IF($E800="Gold",Dashboard!$R$7,Dashboard!$R$5))*IF(ISNUMBER(SEARCH("Duals",$B800)),2,IF(ISNUMBER(SEARCH("Triples",$B800)),3,IF(ISNUMBER(SEARCH("Quads",$B800)),4,1))),2))*IF(IFERROR(VLOOKUP($B800,Dashboard!$Q$28:$S$60,3,FALSE),0)&gt;0,VLOOKUP($B800,Dashboard!$Q$28:$S$60,3,FALSE),1))),0))</f>
        <v>1</v>
      </c>
      <c r="K800" s="2" t="str">
        <f>IF('Base S2'!C100="","",'Base S2'!C100)</f>
        <v>h</v>
      </c>
      <c r="L800" s="2">
        <f t="shared" si="156"/>
        <v>1</v>
      </c>
      <c r="M800" s="2">
        <f t="shared" si="157"/>
        <v>0</v>
      </c>
      <c r="N800" s="2">
        <f t="shared" si="158"/>
        <v>1</v>
      </c>
      <c r="O800" s="2">
        <f t="shared" si="159"/>
        <v>0</v>
      </c>
      <c r="P800" s="112">
        <f t="shared" si="160"/>
        <v>1</v>
      </c>
      <c r="Q800" s="112">
        <f t="shared" si="161"/>
        <v>0</v>
      </c>
      <c r="R800" s="53"/>
      <c r="S800" s="53" t="str">
        <f t="shared" si="162"/>
        <v>Base S2|Base Set - Season 2|199|Base</v>
      </c>
      <c r="T800" s="57" t="str">
        <f>IF($S800="","",IFERROR(VLOOKUP($S800,'Pop Estimates (Non-#d)'!$N$2:$O$500,2,FALSE),""))</f>
        <v/>
      </c>
      <c r="U800" s="57" t="str">
        <f t="shared" si="163"/>
        <v/>
      </c>
      <c r="V800" s="53" t="str">
        <f t="shared" si="164"/>
        <v/>
      </c>
      <c r="W800" s="53" t="str">
        <f t="shared" si="165"/>
        <v/>
      </c>
      <c r="X800" s="53" t="str">
        <f t="shared" si="166"/>
        <v/>
      </c>
      <c r="Y800" s="57" t="str">
        <f>IF($X800="","",IFERROR(VLOOKUP($X800,'Char Popularity'!$A$2:$C$500,2,FALSE),""))</f>
        <v/>
      </c>
      <c r="Z800" s="56">
        <f>IF($X800="",1,IFERROR(VLOOKUP($X800,'Char Popularity'!$A$2:$C$500,3,FALSE),1))</f>
        <v>1</v>
      </c>
      <c r="AA800" s="62">
        <f>IF($H800&lt;&gt;"Y",0,(IF($F800&lt;&gt;"",ROUND(Dashboard!$R$4/$F800,1),IF(AND($I800="Base",$E800="Base"),Dashboard!$R$5,IF(AND($I800="Base",$E800="Red"),Dashboard!$R$6,IF(AND($I800="Base",$E800="Gold"),Dashboard!$R$7,VLOOKUP($I800,Dashboard!$Q$16:$R$21,2,FALSE)))))*VLOOKUP($I800,Dashboard!$Q$9:$R$13,2,FALSE)*IF(AND($I800="Auto",$F800="",OR($B800="Autographs Duals",$B800="Autographs Triples",$B800="Autographs Quads",$B800="Autographs Quads (Inscribed)")),IF($B800="Autographs Duals",2,IF($B800="Autographs Triples",3,4)),1)))</f>
        <v>1</v>
      </c>
      <c r="AB800" s="62">
        <f t="shared" si="167"/>
        <v>1</v>
      </c>
      <c r="AC800" s="62">
        <f t="shared" si="168"/>
        <v>0</v>
      </c>
    </row>
    <row r="801" spans="1:29" ht="28.7" customHeight="1" x14ac:dyDescent="0.25">
      <c r="A801" s="4" t="s">
        <v>19</v>
      </c>
      <c r="B801" s="7" t="s">
        <v>74</v>
      </c>
      <c r="C801" s="2" t="s">
        <v>1599</v>
      </c>
      <c r="D801" s="7" t="s">
        <v>1201</v>
      </c>
      <c r="E801" s="4" t="s">
        <v>60</v>
      </c>
      <c r="F801" s="2"/>
      <c r="G801" s="2" t="s">
        <v>1399</v>
      </c>
      <c r="H801" s="2" t="s">
        <v>1400</v>
      </c>
      <c r="I801" s="4" t="s">
        <v>60</v>
      </c>
      <c r="J801" s="112">
        <f>IF($H801&lt;&gt;"Y",0,ROUND(MIN(Dashboard!$R$24,IF(IFERROR(VLOOKUP($B801,Dashboard!$Q$28:$S$60,2,FALSE),0)&gt;0,IFERROR(VLOOKUP($B801,Dashboard!$Q$28:$S$60,2,FALSE),0),$Z801*IF($U801&lt;&gt;"",ROUND((Dashboard!$R$4/$U801)*VLOOKUP($I801,Dashboard!$Q$9:$R$13,2,FALSE)*IF(ISNUMBER(SEARCH("Duals",$B801)),2,IF(ISNUMBER(SEARCH("Triples",$B801)),3,IF(ISNUMBER(SEARCH("Quads",$B801)),4,1))),2),ROUND(VLOOKUP($I801,Dashboard!$Q$15:$R$20,2,FALSE)*IF($E801="Red",Dashboard!$R$6,IF($E801="Gold",Dashboard!$R$7,Dashboard!$R$5))*IF(ISNUMBER(SEARCH("Duals",$B801)),2,IF(ISNUMBER(SEARCH("Triples",$B801)),3,IF(ISNUMBER(SEARCH("Quads",$B801)),4,1))),2))*IF(IFERROR(VLOOKUP($B801,Dashboard!$Q$28:$S$60,3,FALSE),0)&gt;0,VLOOKUP($B801,Dashboard!$Q$28:$S$60,3,FALSE),1))),0))</f>
        <v>1</v>
      </c>
      <c r="K801" s="2" t="str">
        <f>IF('Base S2'!C101="","",'Base S2'!C101)</f>
        <v>h</v>
      </c>
      <c r="L801" s="2">
        <f t="shared" si="156"/>
        <v>1</v>
      </c>
      <c r="M801" s="2">
        <f t="shared" si="157"/>
        <v>0</v>
      </c>
      <c r="N801" s="2">
        <f t="shared" si="158"/>
        <v>1</v>
      </c>
      <c r="O801" s="2">
        <f t="shared" si="159"/>
        <v>0</v>
      </c>
      <c r="P801" s="112">
        <f t="shared" si="160"/>
        <v>1</v>
      </c>
      <c r="Q801" s="112">
        <f t="shared" si="161"/>
        <v>0</v>
      </c>
      <c r="R801" s="53"/>
      <c r="S801" s="53" t="str">
        <f t="shared" si="162"/>
        <v>Base S2|Base Set - Season 2|200|Base</v>
      </c>
      <c r="T801" s="57" t="str">
        <f>IF($S801="","",IFERROR(VLOOKUP($S801,'Pop Estimates (Non-#d)'!$N$2:$O$500,2,FALSE),""))</f>
        <v/>
      </c>
      <c r="U801" s="57" t="str">
        <f t="shared" si="163"/>
        <v/>
      </c>
      <c r="V801" s="53" t="str">
        <f t="shared" si="164"/>
        <v/>
      </c>
      <c r="W801" s="53" t="str">
        <f t="shared" si="165"/>
        <v/>
      </c>
      <c r="X801" s="53" t="str">
        <f t="shared" si="166"/>
        <v/>
      </c>
      <c r="Y801" s="57" t="str">
        <f>IF($X801="","",IFERROR(VLOOKUP($X801,'Char Popularity'!$A$2:$C$500,2,FALSE),""))</f>
        <v/>
      </c>
      <c r="Z801" s="56">
        <f>IF($X801="",1,IFERROR(VLOOKUP($X801,'Char Popularity'!$A$2:$C$500,3,FALSE),1))</f>
        <v>1</v>
      </c>
      <c r="AA801" s="62">
        <f>IF($H801&lt;&gt;"Y",0,(IF($F801&lt;&gt;"",ROUND(Dashboard!$R$4/$F801,1),IF(AND($I801="Base",$E801="Base"),Dashboard!$R$5,IF(AND($I801="Base",$E801="Red"),Dashboard!$R$6,IF(AND($I801="Base",$E801="Gold"),Dashboard!$R$7,VLOOKUP($I801,Dashboard!$Q$16:$R$21,2,FALSE)))))*VLOOKUP($I801,Dashboard!$Q$9:$R$13,2,FALSE)*IF(AND($I801="Auto",$F801="",OR($B801="Autographs Duals",$B801="Autographs Triples",$B801="Autographs Quads",$B801="Autographs Quads (Inscribed)")),IF($B801="Autographs Duals",2,IF($B801="Autographs Triples",3,4)),1)))</f>
        <v>1</v>
      </c>
      <c r="AB801" s="62">
        <f t="shared" si="167"/>
        <v>1</v>
      </c>
      <c r="AC801" s="62">
        <f t="shared" si="168"/>
        <v>0</v>
      </c>
    </row>
    <row r="802" spans="1:29" ht="28.7" customHeight="1" x14ac:dyDescent="0.25">
      <c r="A802" s="4" t="s">
        <v>19</v>
      </c>
      <c r="B802" s="7" t="s">
        <v>81</v>
      </c>
      <c r="C802" s="2" t="s">
        <v>1500</v>
      </c>
      <c r="D802" s="7" t="s">
        <v>1043</v>
      </c>
      <c r="E802" s="4" t="s">
        <v>780</v>
      </c>
      <c r="F802" s="2">
        <v>25</v>
      </c>
      <c r="G802" s="2" t="s">
        <v>1399</v>
      </c>
      <c r="H802" s="2" t="s">
        <v>1400</v>
      </c>
      <c r="I802" s="4" t="s">
        <v>60</v>
      </c>
      <c r="J802" s="112">
        <f>IF($H802&lt;&gt;"Y",0,ROUND(MIN(Dashboard!$R$24,IF(IFERROR(VLOOKUP($B802,Dashboard!$Q$28:$S$60,2,FALSE),0)&gt;0,IFERROR(VLOOKUP($B802,Dashboard!$Q$28:$S$60,2,FALSE),0),$Z802*IF($U802&lt;&gt;"",ROUND((Dashboard!$R$4/$U802)*VLOOKUP($I802,Dashboard!$Q$9:$R$13,2,FALSE)*IF(ISNUMBER(SEARCH("Duals",$B802)),2,IF(ISNUMBER(SEARCH("Triples",$B802)),3,IF(ISNUMBER(SEARCH("Quads",$B802)),4,1))),2),ROUND(VLOOKUP($I802,Dashboard!$Q$15:$R$20,2,FALSE)*IF($E802="Red",Dashboard!$R$6,IF($E802="Gold",Dashboard!$R$7,Dashboard!$R$5))*IF(ISNUMBER(SEARCH("Duals",$B802)),2,IF(ISNUMBER(SEARCH("Triples",$B802)),3,IF(ISNUMBER(SEARCH("Quads",$B802)),4,1))),2))*IF(IFERROR(VLOOKUP($B802,Dashboard!$Q$28:$S$60,3,FALSE),0)&gt;0,VLOOKUP($B802,Dashboard!$Q$28:$S$60,3,FALSE),1))),0))</f>
        <v>40</v>
      </c>
      <c r="K802" s="2" t="str">
        <f>IF('Base S2'!H2="","",'Base S2'!H2)</f>
        <v>C 06/25</v>
      </c>
      <c r="L802" s="2">
        <f t="shared" si="156"/>
        <v>1</v>
      </c>
      <c r="M802" s="2">
        <f t="shared" si="157"/>
        <v>0</v>
      </c>
      <c r="N802" s="2">
        <f t="shared" si="158"/>
        <v>1</v>
      </c>
      <c r="O802" s="2">
        <f t="shared" si="159"/>
        <v>0</v>
      </c>
      <c r="P802" s="112">
        <f t="shared" si="160"/>
        <v>40</v>
      </c>
      <c r="Q802" s="112">
        <f t="shared" si="161"/>
        <v>0</v>
      </c>
      <c r="R802" s="53"/>
      <c r="S802" s="53" t="str">
        <f t="shared" si="162"/>
        <v>Base S2|Black Parallel - Season 2|101|Black</v>
      </c>
      <c r="T802" s="57" t="str">
        <f>IF($S802="","",IFERROR(VLOOKUP($S802,'Pop Estimates (Non-#d)'!$N$2:$O$500,2,FALSE),""))</f>
        <v/>
      </c>
      <c r="U802" s="57">
        <f t="shared" si="163"/>
        <v>25</v>
      </c>
      <c r="V802" s="53" t="str">
        <f t="shared" si="164"/>
        <v/>
      </c>
      <c r="W802" s="53" t="str">
        <f t="shared" si="165"/>
        <v/>
      </c>
      <c r="X802" s="53" t="str">
        <f t="shared" si="166"/>
        <v/>
      </c>
      <c r="Y802" s="57" t="str">
        <f>IF($X802="","",IFERROR(VLOOKUP($X802,'Char Popularity'!$A$2:$C$500,2,FALSE),""))</f>
        <v/>
      </c>
      <c r="Z802" s="56">
        <f>IF($X802="",1,IFERROR(VLOOKUP($X802,'Char Popularity'!$A$2:$C$500,3,FALSE),1))</f>
        <v>1</v>
      </c>
      <c r="AA802" s="62">
        <f>IF($H802&lt;&gt;"Y",0,(IF($F802&lt;&gt;"",ROUND(Dashboard!$R$4/$F802,1),IF(AND($I802="Base",$E802="Base"),Dashboard!$R$5,IF(AND($I802="Base",$E802="Red"),Dashboard!$R$6,IF(AND($I802="Base",$E802="Gold"),Dashboard!$R$7,VLOOKUP($I802,Dashboard!$Q$16:$R$21,2,FALSE)))))*VLOOKUP($I802,Dashboard!$Q$9:$R$13,2,FALSE)*IF(AND($I802="Auto",$F802="",OR($B802="Autographs Duals",$B802="Autographs Triples",$B802="Autographs Quads",$B802="Autographs Quads (Inscribed)")),IF($B802="Autographs Duals",2,IF($B802="Autographs Triples",3,4)),1)))</f>
        <v>40</v>
      </c>
      <c r="AB802" s="62">
        <f t="shared" si="167"/>
        <v>40</v>
      </c>
      <c r="AC802" s="62">
        <f t="shared" si="168"/>
        <v>0</v>
      </c>
    </row>
    <row r="803" spans="1:29" ht="28.7" customHeight="1" x14ac:dyDescent="0.25">
      <c r="A803" s="4" t="s">
        <v>19</v>
      </c>
      <c r="B803" s="7" t="s">
        <v>81</v>
      </c>
      <c r="C803" s="2" t="s">
        <v>1501</v>
      </c>
      <c r="D803" s="7" t="s">
        <v>1045</v>
      </c>
      <c r="E803" s="4" t="s">
        <v>780</v>
      </c>
      <c r="F803" s="2">
        <v>25</v>
      </c>
      <c r="G803" s="2" t="s">
        <v>1399</v>
      </c>
      <c r="H803" s="2" t="s">
        <v>1400</v>
      </c>
      <c r="I803" s="4" t="s">
        <v>60</v>
      </c>
      <c r="J803" s="112">
        <f>IF($H803&lt;&gt;"Y",0,ROUND(MIN(Dashboard!$R$24,IF(IFERROR(VLOOKUP($B803,Dashboard!$Q$28:$S$60,2,FALSE),0)&gt;0,IFERROR(VLOOKUP($B803,Dashboard!$Q$28:$S$60,2,FALSE),0),$Z803*IF($U803&lt;&gt;"",ROUND((Dashboard!$R$4/$U803)*VLOOKUP($I803,Dashboard!$Q$9:$R$13,2,FALSE)*IF(ISNUMBER(SEARCH("Duals",$B803)),2,IF(ISNUMBER(SEARCH("Triples",$B803)),3,IF(ISNUMBER(SEARCH("Quads",$B803)),4,1))),2),ROUND(VLOOKUP($I803,Dashboard!$Q$15:$R$20,2,FALSE)*IF($E803="Red",Dashboard!$R$6,IF($E803="Gold",Dashboard!$R$7,Dashboard!$R$5))*IF(ISNUMBER(SEARCH("Duals",$B803)),2,IF(ISNUMBER(SEARCH("Triples",$B803)),3,IF(ISNUMBER(SEARCH("Quads",$B803)),4,1))),2))*IF(IFERROR(VLOOKUP($B803,Dashboard!$Q$28:$S$60,3,FALSE),0)&gt;0,VLOOKUP($B803,Dashboard!$Q$28:$S$60,3,FALSE),1))),0))</f>
        <v>40</v>
      </c>
      <c r="K803" s="2" t="str">
        <f>IF('Base S2'!H3="","",'Base S2'!H3)</f>
        <v/>
      </c>
      <c r="L803" s="2">
        <f t="shared" si="156"/>
        <v>0</v>
      </c>
      <c r="M803" s="2">
        <f t="shared" si="157"/>
        <v>0</v>
      </c>
      <c r="N803" s="2">
        <f t="shared" si="158"/>
        <v>0</v>
      </c>
      <c r="O803" s="2">
        <f t="shared" si="159"/>
        <v>1</v>
      </c>
      <c r="P803" s="112">
        <f t="shared" si="160"/>
        <v>0</v>
      </c>
      <c r="Q803" s="112">
        <f t="shared" si="161"/>
        <v>0</v>
      </c>
      <c r="R803" s="53"/>
      <c r="S803" s="53" t="str">
        <f t="shared" si="162"/>
        <v>Base S2|Black Parallel - Season 2|102|Black</v>
      </c>
      <c r="T803" s="57" t="str">
        <f>IF($S803="","",IFERROR(VLOOKUP($S803,'Pop Estimates (Non-#d)'!$N$2:$O$500,2,FALSE),""))</f>
        <v/>
      </c>
      <c r="U803" s="57">
        <f t="shared" si="163"/>
        <v>25</v>
      </c>
      <c r="V803" s="53" t="str">
        <f t="shared" si="164"/>
        <v/>
      </c>
      <c r="W803" s="53" t="str">
        <f t="shared" si="165"/>
        <v/>
      </c>
      <c r="X803" s="53" t="str">
        <f t="shared" si="166"/>
        <v/>
      </c>
      <c r="Y803" s="57" t="str">
        <f>IF($X803="","",IFERROR(VLOOKUP($X803,'Char Popularity'!$A$2:$C$500,2,FALSE),""))</f>
        <v/>
      </c>
      <c r="Z803" s="56">
        <f>IF($X803="",1,IFERROR(VLOOKUP($X803,'Char Popularity'!$A$2:$C$500,3,FALSE),1))</f>
        <v>1</v>
      </c>
      <c r="AA803" s="62">
        <f>IF($H803&lt;&gt;"Y",0,(IF($F803&lt;&gt;"",ROUND(Dashboard!$R$4/$F803,1),IF(AND($I803="Base",$E803="Base"),Dashboard!$R$5,IF(AND($I803="Base",$E803="Red"),Dashboard!$R$6,IF(AND($I803="Base",$E803="Gold"),Dashboard!$R$7,VLOOKUP($I803,Dashboard!$Q$16:$R$21,2,FALSE)))))*VLOOKUP($I803,Dashboard!$Q$9:$R$13,2,FALSE)*IF(AND($I803="Auto",$F803="",OR($B803="Autographs Duals",$B803="Autographs Triples",$B803="Autographs Quads",$B803="Autographs Quads (Inscribed)")),IF($B803="Autographs Duals",2,IF($B803="Autographs Triples",3,4)),1)))</f>
        <v>40</v>
      </c>
      <c r="AB803" s="62">
        <f t="shared" si="167"/>
        <v>0</v>
      </c>
      <c r="AC803" s="62">
        <f t="shared" si="168"/>
        <v>0</v>
      </c>
    </row>
    <row r="804" spans="1:29" ht="28.7" customHeight="1" x14ac:dyDescent="0.25">
      <c r="A804" s="4" t="s">
        <v>19</v>
      </c>
      <c r="B804" s="7" t="s">
        <v>81</v>
      </c>
      <c r="C804" s="2" t="s">
        <v>1502</v>
      </c>
      <c r="D804" s="7" t="s">
        <v>1047</v>
      </c>
      <c r="E804" s="4" t="s">
        <v>780</v>
      </c>
      <c r="F804" s="2">
        <v>25</v>
      </c>
      <c r="G804" s="2" t="s">
        <v>1399</v>
      </c>
      <c r="H804" s="2" t="s">
        <v>1400</v>
      </c>
      <c r="I804" s="4" t="s">
        <v>60</v>
      </c>
      <c r="J804" s="112">
        <f>IF($H804&lt;&gt;"Y",0,ROUND(MIN(Dashboard!$R$24,IF(IFERROR(VLOOKUP($B804,Dashboard!$Q$28:$S$60,2,FALSE),0)&gt;0,IFERROR(VLOOKUP($B804,Dashboard!$Q$28:$S$60,2,FALSE),0),$Z804*IF($U804&lt;&gt;"",ROUND((Dashboard!$R$4/$U804)*VLOOKUP($I804,Dashboard!$Q$9:$R$13,2,FALSE)*IF(ISNUMBER(SEARCH("Duals",$B804)),2,IF(ISNUMBER(SEARCH("Triples",$B804)),3,IF(ISNUMBER(SEARCH("Quads",$B804)),4,1))),2),ROUND(VLOOKUP($I804,Dashboard!$Q$15:$R$20,2,FALSE)*IF($E804="Red",Dashboard!$R$6,IF($E804="Gold",Dashboard!$R$7,Dashboard!$R$5))*IF(ISNUMBER(SEARCH("Duals",$B804)),2,IF(ISNUMBER(SEARCH("Triples",$B804)),3,IF(ISNUMBER(SEARCH("Quads",$B804)),4,1))),2))*IF(IFERROR(VLOOKUP($B804,Dashboard!$Q$28:$S$60,3,FALSE),0)&gt;0,VLOOKUP($B804,Dashboard!$Q$28:$S$60,3,FALSE),1))),0))</f>
        <v>40</v>
      </c>
      <c r="K804" s="2" t="str">
        <f>IF('Base S2'!H4="","",'Base S2'!H4)</f>
        <v/>
      </c>
      <c r="L804" s="2">
        <f t="shared" si="156"/>
        <v>0</v>
      </c>
      <c r="M804" s="2">
        <f t="shared" si="157"/>
        <v>0</v>
      </c>
      <c r="N804" s="2">
        <f t="shared" si="158"/>
        <v>0</v>
      </c>
      <c r="O804" s="2">
        <f t="shared" si="159"/>
        <v>1</v>
      </c>
      <c r="P804" s="112">
        <f t="shared" si="160"/>
        <v>0</v>
      </c>
      <c r="Q804" s="112">
        <f t="shared" si="161"/>
        <v>0</v>
      </c>
      <c r="R804" s="53"/>
      <c r="S804" s="53" t="str">
        <f t="shared" si="162"/>
        <v>Base S2|Black Parallel - Season 2|103|Black</v>
      </c>
      <c r="T804" s="57" t="str">
        <f>IF($S804="","",IFERROR(VLOOKUP($S804,'Pop Estimates (Non-#d)'!$N$2:$O$500,2,FALSE),""))</f>
        <v/>
      </c>
      <c r="U804" s="57">
        <f t="shared" si="163"/>
        <v>25</v>
      </c>
      <c r="V804" s="53" t="str">
        <f t="shared" si="164"/>
        <v/>
      </c>
      <c r="W804" s="53" t="str">
        <f t="shared" si="165"/>
        <v/>
      </c>
      <c r="X804" s="53" t="str">
        <f t="shared" si="166"/>
        <v/>
      </c>
      <c r="Y804" s="57" t="str">
        <f>IF($X804="","",IFERROR(VLOOKUP($X804,'Char Popularity'!$A$2:$C$500,2,FALSE),""))</f>
        <v/>
      </c>
      <c r="Z804" s="56">
        <f>IF($X804="",1,IFERROR(VLOOKUP($X804,'Char Popularity'!$A$2:$C$500,3,FALSE),1))</f>
        <v>1</v>
      </c>
      <c r="AA804" s="62">
        <f>IF($H804&lt;&gt;"Y",0,(IF($F804&lt;&gt;"",ROUND(Dashboard!$R$4/$F804,1),IF(AND($I804="Base",$E804="Base"),Dashboard!$R$5,IF(AND($I804="Base",$E804="Red"),Dashboard!$R$6,IF(AND($I804="Base",$E804="Gold"),Dashboard!$R$7,VLOOKUP($I804,Dashboard!$Q$16:$R$21,2,FALSE)))))*VLOOKUP($I804,Dashboard!$Q$9:$R$13,2,FALSE)*IF(AND($I804="Auto",$F804="",OR($B804="Autographs Duals",$B804="Autographs Triples",$B804="Autographs Quads",$B804="Autographs Quads (Inscribed)")),IF($B804="Autographs Duals",2,IF($B804="Autographs Triples",3,4)),1)))</f>
        <v>40</v>
      </c>
      <c r="AB804" s="62">
        <f t="shared" si="167"/>
        <v>0</v>
      </c>
      <c r="AC804" s="62">
        <f t="shared" si="168"/>
        <v>0</v>
      </c>
    </row>
    <row r="805" spans="1:29" ht="28.7" customHeight="1" x14ac:dyDescent="0.25">
      <c r="A805" s="4" t="s">
        <v>19</v>
      </c>
      <c r="B805" s="7" t="s">
        <v>81</v>
      </c>
      <c r="C805" s="2" t="s">
        <v>1503</v>
      </c>
      <c r="D805" s="7" t="s">
        <v>1048</v>
      </c>
      <c r="E805" s="4" t="s">
        <v>780</v>
      </c>
      <c r="F805" s="2">
        <v>25</v>
      </c>
      <c r="G805" s="2" t="s">
        <v>1399</v>
      </c>
      <c r="H805" s="2" t="s">
        <v>1400</v>
      </c>
      <c r="I805" s="4" t="s">
        <v>60</v>
      </c>
      <c r="J805" s="112">
        <f>IF($H805&lt;&gt;"Y",0,ROUND(MIN(Dashboard!$R$24,IF(IFERROR(VLOOKUP($B805,Dashboard!$Q$28:$S$60,2,FALSE),0)&gt;0,IFERROR(VLOOKUP($B805,Dashboard!$Q$28:$S$60,2,FALSE),0),$Z805*IF($U805&lt;&gt;"",ROUND((Dashboard!$R$4/$U805)*VLOOKUP($I805,Dashboard!$Q$9:$R$13,2,FALSE)*IF(ISNUMBER(SEARCH("Duals",$B805)),2,IF(ISNUMBER(SEARCH("Triples",$B805)),3,IF(ISNUMBER(SEARCH("Quads",$B805)),4,1))),2),ROUND(VLOOKUP($I805,Dashboard!$Q$15:$R$20,2,FALSE)*IF($E805="Red",Dashboard!$R$6,IF($E805="Gold",Dashboard!$R$7,Dashboard!$R$5))*IF(ISNUMBER(SEARCH("Duals",$B805)),2,IF(ISNUMBER(SEARCH("Triples",$B805)),3,IF(ISNUMBER(SEARCH("Quads",$B805)),4,1))),2))*IF(IFERROR(VLOOKUP($B805,Dashboard!$Q$28:$S$60,3,FALSE),0)&gt;0,VLOOKUP($B805,Dashboard!$Q$28:$S$60,3,FALSE),1))),0))</f>
        <v>40</v>
      </c>
      <c r="K805" s="2" t="str">
        <f>IF('Base S2'!H5="","",'Base S2'!H5)</f>
        <v>C 24/25</v>
      </c>
      <c r="L805" s="2">
        <f t="shared" si="156"/>
        <v>1</v>
      </c>
      <c r="M805" s="2">
        <f t="shared" si="157"/>
        <v>0</v>
      </c>
      <c r="N805" s="2">
        <f t="shared" si="158"/>
        <v>1</v>
      </c>
      <c r="O805" s="2">
        <f t="shared" si="159"/>
        <v>0</v>
      </c>
      <c r="P805" s="112">
        <f t="shared" si="160"/>
        <v>40</v>
      </c>
      <c r="Q805" s="112">
        <f t="shared" si="161"/>
        <v>0</v>
      </c>
      <c r="R805" s="53"/>
      <c r="S805" s="53" t="str">
        <f t="shared" si="162"/>
        <v>Base S2|Black Parallel - Season 2|104|Black</v>
      </c>
      <c r="T805" s="57" t="str">
        <f>IF($S805="","",IFERROR(VLOOKUP($S805,'Pop Estimates (Non-#d)'!$N$2:$O$500,2,FALSE),""))</f>
        <v/>
      </c>
      <c r="U805" s="57">
        <f t="shared" si="163"/>
        <v>25</v>
      </c>
      <c r="V805" s="53" t="str">
        <f t="shared" si="164"/>
        <v/>
      </c>
      <c r="W805" s="53" t="str">
        <f t="shared" si="165"/>
        <v/>
      </c>
      <c r="X805" s="53" t="str">
        <f t="shared" si="166"/>
        <v/>
      </c>
      <c r="Y805" s="57" t="str">
        <f>IF($X805="","",IFERROR(VLOOKUP($X805,'Char Popularity'!$A$2:$C$500,2,FALSE),""))</f>
        <v/>
      </c>
      <c r="Z805" s="56">
        <f>IF($X805="",1,IFERROR(VLOOKUP($X805,'Char Popularity'!$A$2:$C$500,3,FALSE),1))</f>
        <v>1</v>
      </c>
      <c r="AA805" s="62">
        <f>IF($H805&lt;&gt;"Y",0,(IF($F805&lt;&gt;"",ROUND(Dashboard!$R$4/$F805,1),IF(AND($I805="Base",$E805="Base"),Dashboard!$R$5,IF(AND($I805="Base",$E805="Red"),Dashboard!$R$6,IF(AND($I805="Base",$E805="Gold"),Dashboard!$R$7,VLOOKUP($I805,Dashboard!$Q$16:$R$21,2,FALSE)))))*VLOOKUP($I805,Dashboard!$Q$9:$R$13,2,FALSE)*IF(AND($I805="Auto",$F805="",OR($B805="Autographs Duals",$B805="Autographs Triples",$B805="Autographs Quads",$B805="Autographs Quads (Inscribed)")),IF($B805="Autographs Duals",2,IF($B805="Autographs Triples",3,4)),1)))</f>
        <v>40</v>
      </c>
      <c r="AB805" s="62">
        <f t="shared" si="167"/>
        <v>40</v>
      </c>
      <c r="AC805" s="62">
        <f t="shared" si="168"/>
        <v>0</v>
      </c>
    </row>
    <row r="806" spans="1:29" ht="28.7" customHeight="1" x14ac:dyDescent="0.25">
      <c r="A806" s="4" t="s">
        <v>19</v>
      </c>
      <c r="B806" s="7" t="s">
        <v>81</v>
      </c>
      <c r="C806" s="2" t="s">
        <v>1504</v>
      </c>
      <c r="D806" s="7" t="s">
        <v>1049</v>
      </c>
      <c r="E806" s="4" t="s">
        <v>780</v>
      </c>
      <c r="F806" s="2">
        <v>25</v>
      </c>
      <c r="G806" s="2" t="s">
        <v>1399</v>
      </c>
      <c r="H806" s="2" t="s">
        <v>1400</v>
      </c>
      <c r="I806" s="4" t="s">
        <v>60</v>
      </c>
      <c r="J806" s="112">
        <f>IF($H806&lt;&gt;"Y",0,ROUND(MIN(Dashboard!$R$24,IF(IFERROR(VLOOKUP($B806,Dashboard!$Q$28:$S$60,2,FALSE),0)&gt;0,IFERROR(VLOOKUP($B806,Dashboard!$Q$28:$S$60,2,FALSE),0),$Z806*IF($U806&lt;&gt;"",ROUND((Dashboard!$R$4/$U806)*VLOOKUP($I806,Dashboard!$Q$9:$R$13,2,FALSE)*IF(ISNUMBER(SEARCH("Duals",$B806)),2,IF(ISNUMBER(SEARCH("Triples",$B806)),3,IF(ISNUMBER(SEARCH("Quads",$B806)),4,1))),2),ROUND(VLOOKUP($I806,Dashboard!$Q$15:$R$20,2,FALSE)*IF($E806="Red",Dashboard!$R$6,IF($E806="Gold",Dashboard!$R$7,Dashboard!$R$5))*IF(ISNUMBER(SEARCH("Duals",$B806)),2,IF(ISNUMBER(SEARCH("Triples",$B806)),3,IF(ISNUMBER(SEARCH("Quads",$B806)),4,1))),2))*IF(IFERROR(VLOOKUP($B806,Dashboard!$Q$28:$S$60,3,FALSE),0)&gt;0,VLOOKUP($B806,Dashboard!$Q$28:$S$60,3,FALSE),1))),0))</f>
        <v>40</v>
      </c>
      <c r="K806" s="2" t="str">
        <f>IF('Base S2'!H6="","",'Base S2'!H6)</f>
        <v/>
      </c>
      <c r="L806" s="2">
        <f t="shared" si="156"/>
        <v>0</v>
      </c>
      <c r="M806" s="2">
        <f t="shared" si="157"/>
        <v>0</v>
      </c>
      <c r="N806" s="2">
        <f t="shared" si="158"/>
        <v>0</v>
      </c>
      <c r="O806" s="2">
        <f t="shared" si="159"/>
        <v>1</v>
      </c>
      <c r="P806" s="112">
        <f t="shared" si="160"/>
        <v>0</v>
      </c>
      <c r="Q806" s="112">
        <f t="shared" si="161"/>
        <v>0</v>
      </c>
      <c r="R806" s="53"/>
      <c r="S806" s="53" t="str">
        <f t="shared" si="162"/>
        <v>Base S2|Black Parallel - Season 2|105|Black</v>
      </c>
      <c r="T806" s="57" t="str">
        <f>IF($S806="","",IFERROR(VLOOKUP($S806,'Pop Estimates (Non-#d)'!$N$2:$O$500,2,FALSE),""))</f>
        <v/>
      </c>
      <c r="U806" s="57">
        <f t="shared" si="163"/>
        <v>25</v>
      </c>
      <c r="V806" s="53" t="str">
        <f t="shared" si="164"/>
        <v/>
      </c>
      <c r="W806" s="53" t="str">
        <f t="shared" si="165"/>
        <v/>
      </c>
      <c r="X806" s="53" t="str">
        <f t="shared" si="166"/>
        <v/>
      </c>
      <c r="Y806" s="57" t="str">
        <f>IF($X806="","",IFERROR(VLOOKUP($X806,'Char Popularity'!$A$2:$C$500,2,FALSE),""))</f>
        <v/>
      </c>
      <c r="Z806" s="56">
        <f>IF($X806="",1,IFERROR(VLOOKUP($X806,'Char Popularity'!$A$2:$C$500,3,FALSE),1))</f>
        <v>1</v>
      </c>
      <c r="AA806" s="62">
        <f>IF($H806&lt;&gt;"Y",0,(IF($F806&lt;&gt;"",ROUND(Dashboard!$R$4/$F806,1),IF(AND($I806="Base",$E806="Base"),Dashboard!$R$5,IF(AND($I806="Base",$E806="Red"),Dashboard!$R$6,IF(AND($I806="Base",$E806="Gold"),Dashboard!$R$7,VLOOKUP($I806,Dashboard!$Q$16:$R$21,2,FALSE)))))*VLOOKUP($I806,Dashboard!$Q$9:$R$13,2,FALSE)*IF(AND($I806="Auto",$F806="",OR($B806="Autographs Duals",$B806="Autographs Triples",$B806="Autographs Quads",$B806="Autographs Quads (Inscribed)")),IF($B806="Autographs Duals",2,IF($B806="Autographs Triples",3,4)),1)))</f>
        <v>40</v>
      </c>
      <c r="AB806" s="62">
        <f t="shared" si="167"/>
        <v>0</v>
      </c>
      <c r="AC806" s="62">
        <f t="shared" si="168"/>
        <v>0</v>
      </c>
    </row>
    <row r="807" spans="1:29" ht="28.7" customHeight="1" x14ac:dyDescent="0.25">
      <c r="A807" s="4" t="s">
        <v>19</v>
      </c>
      <c r="B807" s="7" t="s">
        <v>81</v>
      </c>
      <c r="C807" s="2" t="s">
        <v>1505</v>
      </c>
      <c r="D807" s="7" t="s">
        <v>1050</v>
      </c>
      <c r="E807" s="4" t="s">
        <v>780</v>
      </c>
      <c r="F807" s="2">
        <v>25</v>
      </c>
      <c r="G807" s="2" t="s">
        <v>1399</v>
      </c>
      <c r="H807" s="2" t="s">
        <v>1400</v>
      </c>
      <c r="I807" s="4" t="s">
        <v>60</v>
      </c>
      <c r="J807" s="112">
        <f>IF($H807&lt;&gt;"Y",0,ROUND(MIN(Dashboard!$R$24,IF(IFERROR(VLOOKUP($B807,Dashboard!$Q$28:$S$60,2,FALSE),0)&gt;0,IFERROR(VLOOKUP($B807,Dashboard!$Q$28:$S$60,2,FALSE),0),$Z807*IF($U807&lt;&gt;"",ROUND((Dashboard!$R$4/$U807)*VLOOKUP($I807,Dashboard!$Q$9:$R$13,2,FALSE)*IF(ISNUMBER(SEARCH("Duals",$B807)),2,IF(ISNUMBER(SEARCH("Triples",$B807)),3,IF(ISNUMBER(SEARCH("Quads",$B807)),4,1))),2),ROUND(VLOOKUP($I807,Dashboard!$Q$15:$R$20,2,FALSE)*IF($E807="Red",Dashboard!$R$6,IF($E807="Gold",Dashboard!$R$7,Dashboard!$R$5))*IF(ISNUMBER(SEARCH("Duals",$B807)),2,IF(ISNUMBER(SEARCH("Triples",$B807)),3,IF(ISNUMBER(SEARCH("Quads",$B807)),4,1))),2))*IF(IFERROR(VLOOKUP($B807,Dashboard!$Q$28:$S$60,3,FALSE),0)&gt;0,VLOOKUP($B807,Dashboard!$Q$28:$S$60,3,FALSE),1))),0))</f>
        <v>40</v>
      </c>
      <c r="K807" s="2" t="str">
        <f>IF('Base S2'!H7="","",'Base S2'!H7)</f>
        <v/>
      </c>
      <c r="L807" s="2">
        <f t="shared" si="156"/>
        <v>0</v>
      </c>
      <c r="M807" s="2">
        <f t="shared" si="157"/>
        <v>0</v>
      </c>
      <c r="N807" s="2">
        <f t="shared" si="158"/>
        <v>0</v>
      </c>
      <c r="O807" s="2">
        <f t="shared" si="159"/>
        <v>1</v>
      </c>
      <c r="P807" s="112">
        <f t="shared" si="160"/>
        <v>0</v>
      </c>
      <c r="Q807" s="112">
        <f t="shared" si="161"/>
        <v>0</v>
      </c>
      <c r="R807" s="53"/>
      <c r="S807" s="53" t="str">
        <f t="shared" si="162"/>
        <v>Base S2|Black Parallel - Season 2|106|Black</v>
      </c>
      <c r="T807" s="57" t="str">
        <f>IF($S807="","",IFERROR(VLOOKUP($S807,'Pop Estimates (Non-#d)'!$N$2:$O$500,2,FALSE),""))</f>
        <v/>
      </c>
      <c r="U807" s="57">
        <f t="shared" si="163"/>
        <v>25</v>
      </c>
      <c r="V807" s="53" t="str">
        <f t="shared" si="164"/>
        <v/>
      </c>
      <c r="W807" s="53" t="str">
        <f t="shared" si="165"/>
        <v/>
      </c>
      <c r="X807" s="53" t="str">
        <f t="shared" si="166"/>
        <v/>
      </c>
      <c r="Y807" s="57" t="str">
        <f>IF($X807="","",IFERROR(VLOOKUP($X807,'Char Popularity'!$A$2:$C$500,2,FALSE),""))</f>
        <v/>
      </c>
      <c r="Z807" s="56">
        <f>IF($X807="",1,IFERROR(VLOOKUP($X807,'Char Popularity'!$A$2:$C$500,3,FALSE),1))</f>
        <v>1</v>
      </c>
      <c r="AA807" s="62">
        <f>IF($H807&lt;&gt;"Y",0,(IF($F807&lt;&gt;"",ROUND(Dashboard!$R$4/$F807,1),IF(AND($I807="Base",$E807="Base"),Dashboard!$R$5,IF(AND($I807="Base",$E807="Red"),Dashboard!$R$6,IF(AND($I807="Base",$E807="Gold"),Dashboard!$R$7,VLOOKUP($I807,Dashboard!$Q$16:$R$21,2,FALSE)))))*VLOOKUP($I807,Dashboard!$Q$9:$R$13,2,FALSE)*IF(AND($I807="Auto",$F807="",OR($B807="Autographs Duals",$B807="Autographs Triples",$B807="Autographs Quads",$B807="Autographs Quads (Inscribed)")),IF($B807="Autographs Duals",2,IF($B807="Autographs Triples",3,4)),1)))</f>
        <v>40</v>
      </c>
      <c r="AB807" s="62">
        <f t="shared" si="167"/>
        <v>0</v>
      </c>
      <c r="AC807" s="62">
        <f t="shared" si="168"/>
        <v>0</v>
      </c>
    </row>
    <row r="808" spans="1:29" ht="28.7" customHeight="1" x14ac:dyDescent="0.25">
      <c r="A808" s="4" t="s">
        <v>19</v>
      </c>
      <c r="B808" s="7" t="s">
        <v>81</v>
      </c>
      <c r="C808" s="2" t="s">
        <v>1506</v>
      </c>
      <c r="D808" s="7" t="s">
        <v>1051</v>
      </c>
      <c r="E808" s="4" t="s">
        <v>780</v>
      </c>
      <c r="F808" s="2">
        <v>25</v>
      </c>
      <c r="G808" s="2" t="s">
        <v>1399</v>
      </c>
      <c r="H808" s="2" t="s">
        <v>1400</v>
      </c>
      <c r="I808" s="4" t="s">
        <v>60</v>
      </c>
      <c r="J808" s="112">
        <f>IF($H808&lt;&gt;"Y",0,ROUND(MIN(Dashboard!$R$24,IF(IFERROR(VLOOKUP($B808,Dashboard!$Q$28:$S$60,2,FALSE),0)&gt;0,IFERROR(VLOOKUP($B808,Dashboard!$Q$28:$S$60,2,FALSE),0),$Z808*IF($U808&lt;&gt;"",ROUND((Dashboard!$R$4/$U808)*VLOOKUP($I808,Dashboard!$Q$9:$R$13,2,FALSE)*IF(ISNUMBER(SEARCH("Duals",$B808)),2,IF(ISNUMBER(SEARCH("Triples",$B808)),3,IF(ISNUMBER(SEARCH("Quads",$B808)),4,1))),2),ROUND(VLOOKUP($I808,Dashboard!$Q$15:$R$20,2,FALSE)*IF($E808="Red",Dashboard!$R$6,IF($E808="Gold",Dashboard!$R$7,Dashboard!$R$5))*IF(ISNUMBER(SEARCH("Duals",$B808)),2,IF(ISNUMBER(SEARCH("Triples",$B808)),3,IF(ISNUMBER(SEARCH("Quads",$B808)),4,1))),2))*IF(IFERROR(VLOOKUP($B808,Dashboard!$Q$28:$S$60,3,FALSE),0)&gt;0,VLOOKUP($B808,Dashboard!$Q$28:$S$60,3,FALSE),1))),0))</f>
        <v>40</v>
      </c>
      <c r="K808" s="2" t="str">
        <f>IF('Base S2'!H8="","",'Base S2'!H8)</f>
        <v/>
      </c>
      <c r="L808" s="2">
        <f t="shared" si="156"/>
        <v>0</v>
      </c>
      <c r="M808" s="2">
        <f t="shared" si="157"/>
        <v>0</v>
      </c>
      <c r="N808" s="2">
        <f t="shared" si="158"/>
        <v>0</v>
      </c>
      <c r="O808" s="2">
        <f t="shared" si="159"/>
        <v>1</v>
      </c>
      <c r="P808" s="112">
        <f t="shared" si="160"/>
        <v>0</v>
      </c>
      <c r="Q808" s="112">
        <f t="shared" si="161"/>
        <v>0</v>
      </c>
      <c r="R808" s="53"/>
      <c r="S808" s="53" t="str">
        <f t="shared" si="162"/>
        <v>Base S2|Black Parallel - Season 2|107|Black</v>
      </c>
      <c r="T808" s="57" t="str">
        <f>IF($S808="","",IFERROR(VLOOKUP($S808,'Pop Estimates (Non-#d)'!$N$2:$O$500,2,FALSE),""))</f>
        <v/>
      </c>
      <c r="U808" s="57">
        <f t="shared" si="163"/>
        <v>25</v>
      </c>
      <c r="V808" s="53" t="str">
        <f t="shared" si="164"/>
        <v/>
      </c>
      <c r="W808" s="53" t="str">
        <f t="shared" si="165"/>
        <v/>
      </c>
      <c r="X808" s="53" t="str">
        <f t="shared" si="166"/>
        <v/>
      </c>
      <c r="Y808" s="57" t="str">
        <f>IF($X808="","",IFERROR(VLOOKUP($X808,'Char Popularity'!$A$2:$C$500,2,FALSE),""))</f>
        <v/>
      </c>
      <c r="Z808" s="56">
        <f>IF($X808="",1,IFERROR(VLOOKUP($X808,'Char Popularity'!$A$2:$C$500,3,FALSE),1))</f>
        <v>1</v>
      </c>
      <c r="AA808" s="62">
        <f>IF($H808&lt;&gt;"Y",0,(IF($F808&lt;&gt;"",ROUND(Dashboard!$R$4/$F808,1),IF(AND($I808="Base",$E808="Base"),Dashboard!$R$5,IF(AND($I808="Base",$E808="Red"),Dashboard!$R$6,IF(AND($I808="Base",$E808="Gold"),Dashboard!$R$7,VLOOKUP($I808,Dashboard!$Q$16:$R$21,2,FALSE)))))*VLOOKUP($I808,Dashboard!$Q$9:$R$13,2,FALSE)*IF(AND($I808="Auto",$F808="",OR($B808="Autographs Duals",$B808="Autographs Triples",$B808="Autographs Quads",$B808="Autographs Quads (Inscribed)")),IF($B808="Autographs Duals",2,IF($B808="Autographs Triples",3,4)),1)))</f>
        <v>40</v>
      </c>
      <c r="AB808" s="62">
        <f t="shared" si="167"/>
        <v>0</v>
      </c>
      <c r="AC808" s="62">
        <f t="shared" si="168"/>
        <v>0</v>
      </c>
    </row>
    <row r="809" spans="1:29" ht="28.7" customHeight="1" x14ac:dyDescent="0.25">
      <c r="A809" s="4" t="s">
        <v>19</v>
      </c>
      <c r="B809" s="7" t="s">
        <v>81</v>
      </c>
      <c r="C809" s="2" t="s">
        <v>1507</v>
      </c>
      <c r="D809" s="7" t="s">
        <v>1053</v>
      </c>
      <c r="E809" s="4" t="s">
        <v>780</v>
      </c>
      <c r="F809" s="2">
        <v>25</v>
      </c>
      <c r="G809" s="2" t="s">
        <v>1399</v>
      </c>
      <c r="H809" s="2" t="s">
        <v>1400</v>
      </c>
      <c r="I809" s="4" t="s">
        <v>60</v>
      </c>
      <c r="J809" s="112">
        <f>IF($H809&lt;&gt;"Y",0,ROUND(MIN(Dashboard!$R$24,IF(IFERROR(VLOOKUP($B809,Dashboard!$Q$28:$S$60,2,FALSE),0)&gt;0,IFERROR(VLOOKUP($B809,Dashboard!$Q$28:$S$60,2,FALSE),0),$Z809*IF($U809&lt;&gt;"",ROUND((Dashboard!$R$4/$U809)*VLOOKUP($I809,Dashboard!$Q$9:$R$13,2,FALSE)*IF(ISNUMBER(SEARCH("Duals",$B809)),2,IF(ISNUMBER(SEARCH("Triples",$B809)),3,IF(ISNUMBER(SEARCH("Quads",$B809)),4,1))),2),ROUND(VLOOKUP($I809,Dashboard!$Q$15:$R$20,2,FALSE)*IF($E809="Red",Dashboard!$R$6,IF($E809="Gold",Dashboard!$R$7,Dashboard!$R$5))*IF(ISNUMBER(SEARCH("Duals",$B809)),2,IF(ISNUMBER(SEARCH("Triples",$B809)),3,IF(ISNUMBER(SEARCH("Quads",$B809)),4,1))),2))*IF(IFERROR(VLOOKUP($B809,Dashboard!$Q$28:$S$60,3,FALSE),0)&gt;0,VLOOKUP($B809,Dashboard!$Q$28:$S$60,3,FALSE),1))),0))</f>
        <v>40</v>
      </c>
      <c r="K809" s="2" t="str">
        <f>IF('Base S2'!H9="","",'Base S2'!H9)</f>
        <v>V 13/25</v>
      </c>
      <c r="L809" s="2">
        <f t="shared" si="156"/>
        <v>1</v>
      </c>
      <c r="M809" s="2">
        <f t="shared" si="157"/>
        <v>0</v>
      </c>
      <c r="N809" s="2">
        <f t="shared" si="158"/>
        <v>1</v>
      </c>
      <c r="O809" s="2">
        <f t="shared" si="159"/>
        <v>0</v>
      </c>
      <c r="P809" s="112">
        <f t="shared" si="160"/>
        <v>40</v>
      </c>
      <c r="Q809" s="112">
        <f t="shared" si="161"/>
        <v>0</v>
      </c>
      <c r="R809" s="53"/>
      <c r="S809" s="53" t="str">
        <f t="shared" si="162"/>
        <v>Base S2|Black Parallel - Season 2|108|Black</v>
      </c>
      <c r="T809" s="57" t="str">
        <f>IF($S809="","",IFERROR(VLOOKUP($S809,'Pop Estimates (Non-#d)'!$N$2:$O$500,2,FALSE),""))</f>
        <v/>
      </c>
      <c r="U809" s="57">
        <f t="shared" si="163"/>
        <v>25</v>
      </c>
      <c r="V809" s="53" t="str">
        <f t="shared" si="164"/>
        <v/>
      </c>
      <c r="W809" s="53" t="str">
        <f t="shared" si="165"/>
        <v/>
      </c>
      <c r="X809" s="53" t="str">
        <f t="shared" si="166"/>
        <v/>
      </c>
      <c r="Y809" s="57" t="str">
        <f>IF($X809="","",IFERROR(VLOOKUP($X809,'Char Popularity'!$A$2:$C$500,2,FALSE),""))</f>
        <v/>
      </c>
      <c r="Z809" s="56">
        <f>IF($X809="",1,IFERROR(VLOOKUP($X809,'Char Popularity'!$A$2:$C$500,3,FALSE),1))</f>
        <v>1</v>
      </c>
      <c r="AA809" s="62">
        <f>IF($H809&lt;&gt;"Y",0,(IF($F809&lt;&gt;"",ROUND(Dashboard!$R$4/$F809,1),IF(AND($I809="Base",$E809="Base"),Dashboard!$R$5,IF(AND($I809="Base",$E809="Red"),Dashboard!$R$6,IF(AND($I809="Base",$E809="Gold"),Dashboard!$R$7,VLOOKUP($I809,Dashboard!$Q$16:$R$21,2,FALSE)))))*VLOOKUP($I809,Dashboard!$Q$9:$R$13,2,FALSE)*IF(AND($I809="Auto",$F809="",OR($B809="Autographs Duals",$B809="Autographs Triples",$B809="Autographs Quads",$B809="Autographs Quads (Inscribed)")),IF($B809="Autographs Duals",2,IF($B809="Autographs Triples",3,4)),1)))</f>
        <v>40</v>
      </c>
      <c r="AB809" s="62">
        <f t="shared" si="167"/>
        <v>40</v>
      </c>
      <c r="AC809" s="62">
        <f t="shared" si="168"/>
        <v>0</v>
      </c>
    </row>
    <row r="810" spans="1:29" ht="28.7" customHeight="1" x14ac:dyDescent="0.25">
      <c r="A810" s="4" t="s">
        <v>19</v>
      </c>
      <c r="B810" s="7" t="s">
        <v>81</v>
      </c>
      <c r="C810" s="2" t="s">
        <v>1508</v>
      </c>
      <c r="D810" s="7" t="s">
        <v>1056</v>
      </c>
      <c r="E810" s="4" t="s">
        <v>780</v>
      </c>
      <c r="F810" s="2">
        <v>25</v>
      </c>
      <c r="G810" s="2" t="s">
        <v>1399</v>
      </c>
      <c r="H810" s="2" t="s">
        <v>1400</v>
      </c>
      <c r="I810" s="4" t="s">
        <v>60</v>
      </c>
      <c r="J810" s="112">
        <f>IF($H810&lt;&gt;"Y",0,ROUND(MIN(Dashboard!$R$24,IF(IFERROR(VLOOKUP($B810,Dashboard!$Q$28:$S$60,2,FALSE),0)&gt;0,IFERROR(VLOOKUP($B810,Dashboard!$Q$28:$S$60,2,FALSE),0),$Z810*IF($U810&lt;&gt;"",ROUND((Dashboard!$R$4/$U810)*VLOOKUP($I810,Dashboard!$Q$9:$R$13,2,FALSE)*IF(ISNUMBER(SEARCH("Duals",$B810)),2,IF(ISNUMBER(SEARCH("Triples",$B810)),3,IF(ISNUMBER(SEARCH("Quads",$B810)),4,1))),2),ROUND(VLOOKUP($I810,Dashboard!$Q$15:$R$20,2,FALSE)*IF($E810="Red",Dashboard!$R$6,IF($E810="Gold",Dashboard!$R$7,Dashboard!$R$5))*IF(ISNUMBER(SEARCH("Duals",$B810)),2,IF(ISNUMBER(SEARCH("Triples",$B810)),3,IF(ISNUMBER(SEARCH("Quads",$B810)),4,1))),2))*IF(IFERROR(VLOOKUP($B810,Dashboard!$Q$28:$S$60,3,FALSE),0)&gt;0,VLOOKUP($B810,Dashboard!$Q$28:$S$60,3,FALSE),1))),0))</f>
        <v>40</v>
      </c>
      <c r="K810" s="2" t="str">
        <f>IF('Base S2'!H10="","",'Base S2'!H10)</f>
        <v>V 22/25</v>
      </c>
      <c r="L810" s="2">
        <f t="shared" si="156"/>
        <v>1</v>
      </c>
      <c r="M810" s="2">
        <f t="shared" si="157"/>
        <v>0</v>
      </c>
      <c r="N810" s="2">
        <f t="shared" si="158"/>
        <v>1</v>
      </c>
      <c r="O810" s="2">
        <f t="shared" si="159"/>
        <v>0</v>
      </c>
      <c r="P810" s="112">
        <f t="shared" si="160"/>
        <v>40</v>
      </c>
      <c r="Q810" s="112">
        <f t="shared" si="161"/>
        <v>0</v>
      </c>
      <c r="R810" s="53"/>
      <c r="S810" s="53" t="str">
        <f t="shared" si="162"/>
        <v>Base S2|Black Parallel - Season 2|109|Black</v>
      </c>
      <c r="T810" s="57" t="str">
        <f>IF($S810="","",IFERROR(VLOOKUP($S810,'Pop Estimates (Non-#d)'!$N$2:$O$500,2,FALSE),""))</f>
        <v/>
      </c>
      <c r="U810" s="57">
        <f t="shared" si="163"/>
        <v>25</v>
      </c>
      <c r="V810" s="53" t="str">
        <f t="shared" si="164"/>
        <v/>
      </c>
      <c r="W810" s="53" t="str">
        <f t="shared" si="165"/>
        <v/>
      </c>
      <c r="X810" s="53" t="str">
        <f t="shared" si="166"/>
        <v/>
      </c>
      <c r="Y810" s="57" t="str">
        <f>IF($X810="","",IFERROR(VLOOKUP($X810,'Char Popularity'!$A$2:$C$500,2,FALSE),""))</f>
        <v/>
      </c>
      <c r="Z810" s="56">
        <f>IF($X810="",1,IFERROR(VLOOKUP($X810,'Char Popularity'!$A$2:$C$500,3,FALSE),1))</f>
        <v>1</v>
      </c>
      <c r="AA810" s="62">
        <f>IF($H810&lt;&gt;"Y",0,(IF($F810&lt;&gt;"",ROUND(Dashboard!$R$4/$F810,1),IF(AND($I810="Base",$E810="Base"),Dashboard!$R$5,IF(AND($I810="Base",$E810="Red"),Dashboard!$R$6,IF(AND($I810="Base",$E810="Gold"),Dashboard!$R$7,VLOOKUP($I810,Dashboard!$Q$16:$R$21,2,FALSE)))))*VLOOKUP($I810,Dashboard!$Q$9:$R$13,2,FALSE)*IF(AND($I810="Auto",$F810="",OR($B810="Autographs Duals",$B810="Autographs Triples",$B810="Autographs Quads",$B810="Autographs Quads (Inscribed)")),IF($B810="Autographs Duals",2,IF($B810="Autographs Triples",3,4)),1)))</f>
        <v>40</v>
      </c>
      <c r="AB810" s="62">
        <f t="shared" si="167"/>
        <v>40</v>
      </c>
      <c r="AC810" s="62">
        <f t="shared" si="168"/>
        <v>0</v>
      </c>
    </row>
    <row r="811" spans="1:29" ht="28.7" customHeight="1" x14ac:dyDescent="0.25">
      <c r="A811" s="4" t="s">
        <v>19</v>
      </c>
      <c r="B811" s="7" t="s">
        <v>81</v>
      </c>
      <c r="C811" s="2" t="s">
        <v>1509</v>
      </c>
      <c r="D811" s="7" t="s">
        <v>1059</v>
      </c>
      <c r="E811" s="4" t="s">
        <v>780</v>
      </c>
      <c r="F811" s="2">
        <v>25</v>
      </c>
      <c r="G811" s="2" t="s">
        <v>1399</v>
      </c>
      <c r="H811" s="2" t="s">
        <v>1400</v>
      </c>
      <c r="I811" s="4" t="s">
        <v>60</v>
      </c>
      <c r="J811" s="112">
        <f>IF($H811&lt;&gt;"Y",0,ROUND(MIN(Dashboard!$R$24,IF(IFERROR(VLOOKUP($B811,Dashboard!$Q$28:$S$60,2,FALSE),0)&gt;0,IFERROR(VLOOKUP($B811,Dashboard!$Q$28:$S$60,2,FALSE),0),$Z811*IF($U811&lt;&gt;"",ROUND((Dashboard!$R$4/$U811)*VLOOKUP($I811,Dashboard!$Q$9:$R$13,2,FALSE)*IF(ISNUMBER(SEARCH("Duals",$B811)),2,IF(ISNUMBER(SEARCH("Triples",$B811)),3,IF(ISNUMBER(SEARCH("Quads",$B811)),4,1))),2),ROUND(VLOOKUP($I811,Dashboard!$Q$15:$R$20,2,FALSE)*IF($E811="Red",Dashboard!$R$6,IF($E811="Gold",Dashboard!$R$7,Dashboard!$R$5))*IF(ISNUMBER(SEARCH("Duals",$B811)),2,IF(ISNUMBER(SEARCH("Triples",$B811)),3,IF(ISNUMBER(SEARCH("Quads",$B811)),4,1))),2))*IF(IFERROR(VLOOKUP($B811,Dashboard!$Q$28:$S$60,3,FALSE),0)&gt;0,VLOOKUP($B811,Dashboard!$Q$28:$S$60,3,FALSE),1))),0))</f>
        <v>40</v>
      </c>
      <c r="K811" s="2" t="str">
        <f>IF('Base S2'!H11="","",'Base S2'!H11)</f>
        <v>C 20/25</v>
      </c>
      <c r="L811" s="2">
        <f t="shared" si="156"/>
        <v>1</v>
      </c>
      <c r="M811" s="2">
        <f t="shared" si="157"/>
        <v>0</v>
      </c>
      <c r="N811" s="2">
        <f t="shared" si="158"/>
        <v>1</v>
      </c>
      <c r="O811" s="2">
        <f t="shared" si="159"/>
        <v>0</v>
      </c>
      <c r="P811" s="112">
        <f t="shared" si="160"/>
        <v>40</v>
      </c>
      <c r="Q811" s="112">
        <f t="shared" si="161"/>
        <v>0</v>
      </c>
      <c r="R811" s="53"/>
      <c r="S811" s="53" t="str">
        <f t="shared" si="162"/>
        <v>Base S2|Black Parallel - Season 2|110|Black</v>
      </c>
      <c r="T811" s="57" t="str">
        <f>IF($S811="","",IFERROR(VLOOKUP($S811,'Pop Estimates (Non-#d)'!$N$2:$O$500,2,FALSE),""))</f>
        <v/>
      </c>
      <c r="U811" s="57">
        <f t="shared" si="163"/>
        <v>25</v>
      </c>
      <c r="V811" s="53" t="str">
        <f t="shared" si="164"/>
        <v/>
      </c>
      <c r="W811" s="53" t="str">
        <f t="shared" si="165"/>
        <v/>
      </c>
      <c r="X811" s="53" t="str">
        <f t="shared" si="166"/>
        <v/>
      </c>
      <c r="Y811" s="57" t="str">
        <f>IF($X811="","",IFERROR(VLOOKUP($X811,'Char Popularity'!$A$2:$C$500,2,FALSE),""))</f>
        <v/>
      </c>
      <c r="Z811" s="56">
        <f>IF($X811="",1,IFERROR(VLOOKUP($X811,'Char Popularity'!$A$2:$C$500,3,FALSE),1))</f>
        <v>1</v>
      </c>
      <c r="AA811" s="62">
        <f>IF($H811&lt;&gt;"Y",0,(IF($F811&lt;&gt;"",ROUND(Dashboard!$R$4/$F811,1),IF(AND($I811="Base",$E811="Base"),Dashboard!$R$5,IF(AND($I811="Base",$E811="Red"),Dashboard!$R$6,IF(AND($I811="Base",$E811="Gold"),Dashboard!$R$7,VLOOKUP($I811,Dashboard!$Q$16:$R$21,2,FALSE)))))*VLOOKUP($I811,Dashboard!$Q$9:$R$13,2,FALSE)*IF(AND($I811="Auto",$F811="",OR($B811="Autographs Duals",$B811="Autographs Triples",$B811="Autographs Quads",$B811="Autographs Quads (Inscribed)")),IF($B811="Autographs Duals",2,IF($B811="Autographs Triples",3,4)),1)))</f>
        <v>40</v>
      </c>
      <c r="AB811" s="62">
        <f t="shared" si="167"/>
        <v>40</v>
      </c>
      <c r="AC811" s="62">
        <f t="shared" si="168"/>
        <v>0</v>
      </c>
    </row>
    <row r="812" spans="1:29" ht="28.7" customHeight="1" x14ac:dyDescent="0.25">
      <c r="A812" s="4" t="s">
        <v>19</v>
      </c>
      <c r="B812" s="7" t="s">
        <v>81</v>
      </c>
      <c r="C812" s="2" t="s">
        <v>1510</v>
      </c>
      <c r="D812" s="7" t="s">
        <v>1061</v>
      </c>
      <c r="E812" s="4" t="s">
        <v>780</v>
      </c>
      <c r="F812" s="2">
        <v>25</v>
      </c>
      <c r="G812" s="2" t="s">
        <v>1399</v>
      </c>
      <c r="H812" s="2" t="s">
        <v>1400</v>
      </c>
      <c r="I812" s="4" t="s">
        <v>60</v>
      </c>
      <c r="J812" s="112">
        <f>IF($H812&lt;&gt;"Y",0,ROUND(MIN(Dashboard!$R$24,IF(IFERROR(VLOOKUP($B812,Dashboard!$Q$28:$S$60,2,FALSE),0)&gt;0,IFERROR(VLOOKUP($B812,Dashboard!$Q$28:$S$60,2,FALSE),0),$Z812*IF($U812&lt;&gt;"",ROUND((Dashboard!$R$4/$U812)*VLOOKUP($I812,Dashboard!$Q$9:$R$13,2,FALSE)*IF(ISNUMBER(SEARCH("Duals",$B812)),2,IF(ISNUMBER(SEARCH("Triples",$B812)),3,IF(ISNUMBER(SEARCH("Quads",$B812)),4,1))),2),ROUND(VLOOKUP($I812,Dashboard!$Q$15:$R$20,2,FALSE)*IF($E812="Red",Dashboard!$R$6,IF($E812="Gold",Dashboard!$R$7,Dashboard!$R$5))*IF(ISNUMBER(SEARCH("Duals",$B812)),2,IF(ISNUMBER(SEARCH("Triples",$B812)),3,IF(ISNUMBER(SEARCH("Quads",$B812)),4,1))),2))*IF(IFERROR(VLOOKUP($B812,Dashboard!$Q$28:$S$60,3,FALSE),0)&gt;0,VLOOKUP($B812,Dashboard!$Q$28:$S$60,3,FALSE),1))),0))</f>
        <v>40</v>
      </c>
      <c r="K812" s="2" t="str">
        <f>IF('Base S2'!H12="","",'Base S2'!H12)</f>
        <v>C 18/25</v>
      </c>
      <c r="L812" s="2">
        <f t="shared" si="156"/>
        <v>1</v>
      </c>
      <c r="M812" s="2">
        <f t="shared" si="157"/>
        <v>0</v>
      </c>
      <c r="N812" s="2">
        <f t="shared" si="158"/>
        <v>1</v>
      </c>
      <c r="O812" s="2">
        <f t="shared" si="159"/>
        <v>0</v>
      </c>
      <c r="P812" s="112">
        <f t="shared" si="160"/>
        <v>40</v>
      </c>
      <c r="Q812" s="112">
        <f t="shared" si="161"/>
        <v>0</v>
      </c>
      <c r="R812" s="53"/>
      <c r="S812" s="53" t="str">
        <f t="shared" si="162"/>
        <v>Base S2|Black Parallel - Season 2|111|Black</v>
      </c>
      <c r="T812" s="57" t="str">
        <f>IF($S812="","",IFERROR(VLOOKUP($S812,'Pop Estimates (Non-#d)'!$N$2:$O$500,2,FALSE),""))</f>
        <v/>
      </c>
      <c r="U812" s="57">
        <f t="shared" si="163"/>
        <v>25</v>
      </c>
      <c r="V812" s="53" t="str">
        <f t="shared" si="164"/>
        <v/>
      </c>
      <c r="W812" s="53" t="str">
        <f t="shared" si="165"/>
        <v/>
      </c>
      <c r="X812" s="53" t="str">
        <f t="shared" si="166"/>
        <v/>
      </c>
      <c r="Y812" s="57" t="str">
        <f>IF($X812="","",IFERROR(VLOOKUP($X812,'Char Popularity'!$A$2:$C$500,2,FALSE),""))</f>
        <v/>
      </c>
      <c r="Z812" s="56">
        <f>IF($X812="",1,IFERROR(VLOOKUP($X812,'Char Popularity'!$A$2:$C$500,3,FALSE),1))</f>
        <v>1</v>
      </c>
      <c r="AA812" s="62">
        <f>IF($H812&lt;&gt;"Y",0,(IF($F812&lt;&gt;"",ROUND(Dashboard!$R$4/$F812,1),IF(AND($I812="Base",$E812="Base"),Dashboard!$R$5,IF(AND($I812="Base",$E812="Red"),Dashboard!$R$6,IF(AND($I812="Base",$E812="Gold"),Dashboard!$R$7,VLOOKUP($I812,Dashboard!$Q$16:$R$21,2,FALSE)))))*VLOOKUP($I812,Dashboard!$Q$9:$R$13,2,FALSE)*IF(AND($I812="Auto",$F812="",OR($B812="Autographs Duals",$B812="Autographs Triples",$B812="Autographs Quads",$B812="Autographs Quads (Inscribed)")),IF($B812="Autographs Duals",2,IF($B812="Autographs Triples",3,4)),1)))</f>
        <v>40</v>
      </c>
      <c r="AB812" s="62">
        <f t="shared" si="167"/>
        <v>40</v>
      </c>
      <c r="AC812" s="62">
        <f t="shared" si="168"/>
        <v>0</v>
      </c>
    </row>
    <row r="813" spans="1:29" ht="28.7" customHeight="1" x14ac:dyDescent="0.25">
      <c r="A813" s="4" t="s">
        <v>19</v>
      </c>
      <c r="B813" s="7" t="s">
        <v>81</v>
      </c>
      <c r="C813" s="2" t="s">
        <v>1511</v>
      </c>
      <c r="D813" s="7" t="s">
        <v>1063</v>
      </c>
      <c r="E813" s="4" t="s">
        <v>780</v>
      </c>
      <c r="F813" s="2">
        <v>25</v>
      </c>
      <c r="G813" s="2" t="s">
        <v>1399</v>
      </c>
      <c r="H813" s="2" t="s">
        <v>1400</v>
      </c>
      <c r="I813" s="4" t="s">
        <v>60</v>
      </c>
      <c r="J813" s="112">
        <f>IF($H813&lt;&gt;"Y",0,ROUND(MIN(Dashboard!$R$24,IF(IFERROR(VLOOKUP($B813,Dashboard!$Q$28:$S$60,2,FALSE),0)&gt;0,IFERROR(VLOOKUP($B813,Dashboard!$Q$28:$S$60,2,FALSE),0),$Z813*IF($U813&lt;&gt;"",ROUND((Dashboard!$R$4/$U813)*VLOOKUP($I813,Dashboard!$Q$9:$R$13,2,FALSE)*IF(ISNUMBER(SEARCH("Duals",$B813)),2,IF(ISNUMBER(SEARCH("Triples",$B813)),3,IF(ISNUMBER(SEARCH("Quads",$B813)),4,1))),2),ROUND(VLOOKUP($I813,Dashboard!$Q$15:$R$20,2,FALSE)*IF($E813="Red",Dashboard!$R$6,IF($E813="Gold",Dashboard!$R$7,Dashboard!$R$5))*IF(ISNUMBER(SEARCH("Duals",$B813)),2,IF(ISNUMBER(SEARCH("Triples",$B813)),3,IF(ISNUMBER(SEARCH("Quads",$B813)),4,1))),2))*IF(IFERROR(VLOOKUP($B813,Dashboard!$Q$28:$S$60,3,FALSE),0)&gt;0,VLOOKUP($B813,Dashboard!$Q$28:$S$60,3,FALSE),1))),0))</f>
        <v>40</v>
      </c>
      <c r="K813" s="2" t="str">
        <f>IF('Base S2'!H13="","",'Base S2'!H13)</f>
        <v/>
      </c>
      <c r="L813" s="2">
        <f t="shared" si="156"/>
        <v>0</v>
      </c>
      <c r="M813" s="2">
        <f t="shared" si="157"/>
        <v>0</v>
      </c>
      <c r="N813" s="2">
        <f t="shared" si="158"/>
        <v>0</v>
      </c>
      <c r="O813" s="2">
        <f t="shared" si="159"/>
        <v>1</v>
      </c>
      <c r="P813" s="112">
        <f t="shared" si="160"/>
        <v>0</v>
      </c>
      <c r="Q813" s="112">
        <f t="shared" si="161"/>
        <v>0</v>
      </c>
      <c r="R813" s="53"/>
      <c r="S813" s="53" t="str">
        <f t="shared" si="162"/>
        <v>Base S2|Black Parallel - Season 2|112|Black</v>
      </c>
      <c r="T813" s="57" t="str">
        <f>IF($S813="","",IFERROR(VLOOKUP($S813,'Pop Estimates (Non-#d)'!$N$2:$O$500,2,FALSE),""))</f>
        <v/>
      </c>
      <c r="U813" s="57">
        <f t="shared" si="163"/>
        <v>25</v>
      </c>
      <c r="V813" s="53" t="str">
        <f t="shared" si="164"/>
        <v/>
      </c>
      <c r="W813" s="53" t="str">
        <f t="shared" si="165"/>
        <v/>
      </c>
      <c r="X813" s="53" t="str">
        <f t="shared" si="166"/>
        <v/>
      </c>
      <c r="Y813" s="57" t="str">
        <f>IF($X813="","",IFERROR(VLOOKUP($X813,'Char Popularity'!$A$2:$C$500,2,FALSE),""))</f>
        <v/>
      </c>
      <c r="Z813" s="56">
        <f>IF($X813="",1,IFERROR(VLOOKUP($X813,'Char Popularity'!$A$2:$C$500,3,FALSE),1))</f>
        <v>1</v>
      </c>
      <c r="AA813" s="62">
        <f>IF($H813&lt;&gt;"Y",0,(IF($F813&lt;&gt;"",ROUND(Dashboard!$R$4/$F813,1),IF(AND($I813="Base",$E813="Base"),Dashboard!$R$5,IF(AND($I813="Base",$E813="Red"),Dashboard!$R$6,IF(AND($I813="Base",$E813="Gold"),Dashboard!$R$7,VLOOKUP($I813,Dashboard!$Q$16:$R$21,2,FALSE)))))*VLOOKUP($I813,Dashboard!$Q$9:$R$13,2,FALSE)*IF(AND($I813="Auto",$F813="",OR($B813="Autographs Duals",$B813="Autographs Triples",$B813="Autographs Quads",$B813="Autographs Quads (Inscribed)")),IF($B813="Autographs Duals",2,IF($B813="Autographs Triples",3,4)),1)))</f>
        <v>40</v>
      </c>
      <c r="AB813" s="62">
        <f t="shared" si="167"/>
        <v>0</v>
      </c>
      <c r="AC813" s="62">
        <f t="shared" si="168"/>
        <v>0</v>
      </c>
    </row>
    <row r="814" spans="1:29" ht="28.7" customHeight="1" x14ac:dyDescent="0.25">
      <c r="A814" s="4" t="s">
        <v>19</v>
      </c>
      <c r="B814" s="7" t="s">
        <v>81</v>
      </c>
      <c r="C814" s="2" t="s">
        <v>1512</v>
      </c>
      <c r="D814" s="7" t="s">
        <v>1065</v>
      </c>
      <c r="E814" s="4" t="s">
        <v>780</v>
      </c>
      <c r="F814" s="2">
        <v>25</v>
      </c>
      <c r="G814" s="2" t="s">
        <v>1399</v>
      </c>
      <c r="H814" s="2" t="s">
        <v>1400</v>
      </c>
      <c r="I814" s="4" t="s">
        <v>60</v>
      </c>
      <c r="J814" s="112">
        <f>IF($H814&lt;&gt;"Y",0,ROUND(MIN(Dashboard!$R$24,IF(IFERROR(VLOOKUP($B814,Dashboard!$Q$28:$S$60,2,FALSE),0)&gt;0,IFERROR(VLOOKUP($B814,Dashboard!$Q$28:$S$60,2,FALSE),0),$Z814*IF($U814&lt;&gt;"",ROUND((Dashboard!$R$4/$U814)*VLOOKUP($I814,Dashboard!$Q$9:$R$13,2,FALSE)*IF(ISNUMBER(SEARCH("Duals",$B814)),2,IF(ISNUMBER(SEARCH("Triples",$B814)),3,IF(ISNUMBER(SEARCH("Quads",$B814)),4,1))),2),ROUND(VLOOKUP($I814,Dashboard!$Q$15:$R$20,2,FALSE)*IF($E814="Red",Dashboard!$R$6,IF($E814="Gold",Dashboard!$R$7,Dashboard!$R$5))*IF(ISNUMBER(SEARCH("Duals",$B814)),2,IF(ISNUMBER(SEARCH("Triples",$B814)),3,IF(ISNUMBER(SEARCH("Quads",$B814)),4,1))),2))*IF(IFERROR(VLOOKUP($B814,Dashboard!$Q$28:$S$60,3,FALSE),0)&gt;0,VLOOKUP($B814,Dashboard!$Q$28:$S$60,3,FALSE),1))),0))</f>
        <v>40</v>
      </c>
      <c r="K814" s="2" t="str">
        <f>IF('Base S2'!H14="","",'Base S2'!H14)</f>
        <v>C 14/25</v>
      </c>
      <c r="L814" s="2">
        <f t="shared" si="156"/>
        <v>1</v>
      </c>
      <c r="M814" s="2">
        <f t="shared" si="157"/>
        <v>0</v>
      </c>
      <c r="N814" s="2">
        <f t="shared" si="158"/>
        <v>1</v>
      </c>
      <c r="O814" s="2">
        <f t="shared" si="159"/>
        <v>0</v>
      </c>
      <c r="P814" s="112">
        <f t="shared" si="160"/>
        <v>40</v>
      </c>
      <c r="Q814" s="112">
        <f t="shared" si="161"/>
        <v>0</v>
      </c>
      <c r="R814" s="53"/>
      <c r="S814" s="53" t="str">
        <f t="shared" si="162"/>
        <v>Base S2|Black Parallel - Season 2|113|Black</v>
      </c>
      <c r="T814" s="57" t="str">
        <f>IF($S814="","",IFERROR(VLOOKUP($S814,'Pop Estimates (Non-#d)'!$N$2:$O$500,2,FALSE),""))</f>
        <v/>
      </c>
      <c r="U814" s="57">
        <f t="shared" si="163"/>
        <v>25</v>
      </c>
      <c r="V814" s="53" t="str">
        <f t="shared" si="164"/>
        <v/>
      </c>
      <c r="W814" s="53" t="str">
        <f t="shared" si="165"/>
        <v/>
      </c>
      <c r="X814" s="53" t="str">
        <f t="shared" si="166"/>
        <v/>
      </c>
      <c r="Y814" s="57" t="str">
        <f>IF($X814="","",IFERROR(VLOOKUP($X814,'Char Popularity'!$A$2:$C$500,2,FALSE),""))</f>
        <v/>
      </c>
      <c r="Z814" s="56">
        <f>IF($X814="",1,IFERROR(VLOOKUP($X814,'Char Popularity'!$A$2:$C$500,3,FALSE),1))</f>
        <v>1</v>
      </c>
      <c r="AA814" s="62">
        <f>IF($H814&lt;&gt;"Y",0,(IF($F814&lt;&gt;"",ROUND(Dashboard!$R$4/$F814,1),IF(AND($I814="Base",$E814="Base"),Dashboard!$R$5,IF(AND($I814="Base",$E814="Red"),Dashboard!$R$6,IF(AND($I814="Base",$E814="Gold"),Dashboard!$R$7,VLOOKUP($I814,Dashboard!$Q$16:$R$21,2,FALSE)))))*VLOOKUP($I814,Dashboard!$Q$9:$R$13,2,FALSE)*IF(AND($I814="Auto",$F814="",OR($B814="Autographs Duals",$B814="Autographs Triples",$B814="Autographs Quads",$B814="Autographs Quads (Inscribed)")),IF($B814="Autographs Duals",2,IF($B814="Autographs Triples",3,4)),1)))</f>
        <v>40</v>
      </c>
      <c r="AB814" s="62">
        <f t="shared" si="167"/>
        <v>40</v>
      </c>
      <c r="AC814" s="62">
        <f t="shared" si="168"/>
        <v>0</v>
      </c>
    </row>
    <row r="815" spans="1:29" ht="28.7" customHeight="1" x14ac:dyDescent="0.25">
      <c r="A815" s="4" t="s">
        <v>19</v>
      </c>
      <c r="B815" s="7" t="s">
        <v>81</v>
      </c>
      <c r="C815" s="2" t="s">
        <v>1513</v>
      </c>
      <c r="D815" s="7" t="s">
        <v>1067</v>
      </c>
      <c r="E815" s="4" t="s">
        <v>780</v>
      </c>
      <c r="F815" s="2">
        <v>25</v>
      </c>
      <c r="G815" s="2" t="s">
        <v>1399</v>
      </c>
      <c r="H815" s="2" t="s">
        <v>1400</v>
      </c>
      <c r="I815" s="4" t="s">
        <v>60</v>
      </c>
      <c r="J815" s="112">
        <f>IF($H815&lt;&gt;"Y",0,ROUND(MIN(Dashboard!$R$24,IF(IFERROR(VLOOKUP($B815,Dashboard!$Q$28:$S$60,2,FALSE),0)&gt;0,IFERROR(VLOOKUP($B815,Dashboard!$Q$28:$S$60,2,FALSE),0),$Z815*IF($U815&lt;&gt;"",ROUND((Dashboard!$R$4/$U815)*VLOOKUP($I815,Dashboard!$Q$9:$R$13,2,FALSE)*IF(ISNUMBER(SEARCH("Duals",$B815)),2,IF(ISNUMBER(SEARCH("Triples",$B815)),3,IF(ISNUMBER(SEARCH("Quads",$B815)),4,1))),2),ROUND(VLOOKUP($I815,Dashboard!$Q$15:$R$20,2,FALSE)*IF($E815="Red",Dashboard!$R$6,IF($E815="Gold",Dashboard!$R$7,Dashboard!$R$5))*IF(ISNUMBER(SEARCH("Duals",$B815)),2,IF(ISNUMBER(SEARCH("Triples",$B815)),3,IF(ISNUMBER(SEARCH("Quads",$B815)),4,1))),2))*IF(IFERROR(VLOOKUP($B815,Dashboard!$Q$28:$S$60,3,FALSE),0)&gt;0,VLOOKUP($B815,Dashboard!$Q$28:$S$60,3,FALSE),1))),0))</f>
        <v>40</v>
      </c>
      <c r="K815" s="2" t="str">
        <f>IF('Base S2'!H15="","",'Base S2'!H15)</f>
        <v>C 17/25</v>
      </c>
      <c r="L815" s="2">
        <f t="shared" si="156"/>
        <v>1</v>
      </c>
      <c r="M815" s="2">
        <f t="shared" si="157"/>
        <v>0</v>
      </c>
      <c r="N815" s="2">
        <f t="shared" si="158"/>
        <v>1</v>
      </c>
      <c r="O815" s="2">
        <f t="shared" si="159"/>
        <v>0</v>
      </c>
      <c r="P815" s="112">
        <f t="shared" si="160"/>
        <v>40</v>
      </c>
      <c r="Q815" s="112">
        <f t="shared" si="161"/>
        <v>0</v>
      </c>
      <c r="R815" s="53"/>
      <c r="S815" s="53" t="str">
        <f t="shared" si="162"/>
        <v>Base S2|Black Parallel - Season 2|114|Black</v>
      </c>
      <c r="T815" s="57" t="str">
        <f>IF($S815="","",IFERROR(VLOOKUP($S815,'Pop Estimates (Non-#d)'!$N$2:$O$500,2,FALSE),""))</f>
        <v/>
      </c>
      <c r="U815" s="57">
        <f t="shared" si="163"/>
        <v>25</v>
      </c>
      <c r="V815" s="53" t="str">
        <f t="shared" si="164"/>
        <v/>
      </c>
      <c r="W815" s="53" t="str">
        <f t="shared" si="165"/>
        <v/>
      </c>
      <c r="X815" s="53" t="str">
        <f t="shared" si="166"/>
        <v/>
      </c>
      <c r="Y815" s="57" t="str">
        <f>IF($X815="","",IFERROR(VLOOKUP($X815,'Char Popularity'!$A$2:$C$500,2,FALSE),""))</f>
        <v/>
      </c>
      <c r="Z815" s="56">
        <f>IF($X815="",1,IFERROR(VLOOKUP($X815,'Char Popularity'!$A$2:$C$500,3,FALSE),1))</f>
        <v>1</v>
      </c>
      <c r="AA815" s="62">
        <f>IF($H815&lt;&gt;"Y",0,(IF($F815&lt;&gt;"",ROUND(Dashboard!$R$4/$F815,1),IF(AND($I815="Base",$E815="Base"),Dashboard!$R$5,IF(AND($I815="Base",$E815="Red"),Dashboard!$R$6,IF(AND($I815="Base",$E815="Gold"),Dashboard!$R$7,VLOOKUP($I815,Dashboard!$Q$16:$R$21,2,FALSE)))))*VLOOKUP($I815,Dashboard!$Q$9:$R$13,2,FALSE)*IF(AND($I815="Auto",$F815="",OR($B815="Autographs Duals",$B815="Autographs Triples",$B815="Autographs Quads",$B815="Autographs Quads (Inscribed)")),IF($B815="Autographs Duals",2,IF($B815="Autographs Triples",3,4)),1)))</f>
        <v>40</v>
      </c>
      <c r="AB815" s="62">
        <f t="shared" si="167"/>
        <v>40</v>
      </c>
      <c r="AC815" s="62">
        <f t="shared" si="168"/>
        <v>0</v>
      </c>
    </row>
    <row r="816" spans="1:29" ht="28.7" customHeight="1" x14ac:dyDescent="0.25">
      <c r="A816" s="4" t="s">
        <v>19</v>
      </c>
      <c r="B816" s="7" t="s">
        <v>81</v>
      </c>
      <c r="C816" s="2" t="s">
        <v>1514</v>
      </c>
      <c r="D816" s="7" t="s">
        <v>1069</v>
      </c>
      <c r="E816" s="4" t="s">
        <v>780</v>
      </c>
      <c r="F816" s="2">
        <v>25</v>
      </c>
      <c r="G816" s="2" t="s">
        <v>1399</v>
      </c>
      <c r="H816" s="2" t="s">
        <v>1400</v>
      </c>
      <c r="I816" s="4" t="s">
        <v>60</v>
      </c>
      <c r="J816" s="112">
        <f>IF($H816&lt;&gt;"Y",0,ROUND(MIN(Dashboard!$R$24,IF(IFERROR(VLOOKUP($B816,Dashboard!$Q$28:$S$60,2,FALSE),0)&gt;0,IFERROR(VLOOKUP($B816,Dashboard!$Q$28:$S$60,2,FALSE),0),$Z816*IF($U816&lt;&gt;"",ROUND((Dashboard!$R$4/$U816)*VLOOKUP($I816,Dashboard!$Q$9:$R$13,2,FALSE)*IF(ISNUMBER(SEARCH("Duals",$B816)),2,IF(ISNUMBER(SEARCH("Triples",$B816)),3,IF(ISNUMBER(SEARCH("Quads",$B816)),4,1))),2),ROUND(VLOOKUP($I816,Dashboard!$Q$15:$R$20,2,FALSE)*IF($E816="Red",Dashboard!$R$6,IF($E816="Gold",Dashboard!$R$7,Dashboard!$R$5))*IF(ISNUMBER(SEARCH("Duals",$B816)),2,IF(ISNUMBER(SEARCH("Triples",$B816)),3,IF(ISNUMBER(SEARCH("Quads",$B816)),4,1))),2))*IF(IFERROR(VLOOKUP($B816,Dashboard!$Q$28:$S$60,3,FALSE),0)&gt;0,VLOOKUP($B816,Dashboard!$Q$28:$S$60,3,FALSE),1))),0))</f>
        <v>40</v>
      </c>
      <c r="K816" s="2" t="str">
        <f>IF('Base S2'!H16="","",'Base S2'!H16)</f>
        <v/>
      </c>
      <c r="L816" s="2">
        <f t="shared" si="156"/>
        <v>0</v>
      </c>
      <c r="M816" s="2">
        <f t="shared" si="157"/>
        <v>0</v>
      </c>
      <c r="N816" s="2">
        <f t="shared" si="158"/>
        <v>0</v>
      </c>
      <c r="O816" s="2">
        <f t="shared" si="159"/>
        <v>1</v>
      </c>
      <c r="P816" s="112">
        <f t="shared" si="160"/>
        <v>0</v>
      </c>
      <c r="Q816" s="112">
        <f t="shared" si="161"/>
        <v>0</v>
      </c>
      <c r="R816" s="53"/>
      <c r="S816" s="53" t="str">
        <f t="shared" si="162"/>
        <v>Base S2|Black Parallel - Season 2|115|Black</v>
      </c>
      <c r="T816" s="57" t="str">
        <f>IF($S816="","",IFERROR(VLOOKUP($S816,'Pop Estimates (Non-#d)'!$N$2:$O$500,2,FALSE),""))</f>
        <v/>
      </c>
      <c r="U816" s="57">
        <f t="shared" si="163"/>
        <v>25</v>
      </c>
      <c r="V816" s="53" t="str">
        <f t="shared" si="164"/>
        <v/>
      </c>
      <c r="W816" s="53" t="str">
        <f t="shared" si="165"/>
        <v/>
      </c>
      <c r="X816" s="53" t="str">
        <f t="shared" si="166"/>
        <v/>
      </c>
      <c r="Y816" s="57" t="str">
        <f>IF($X816="","",IFERROR(VLOOKUP($X816,'Char Popularity'!$A$2:$C$500,2,FALSE),""))</f>
        <v/>
      </c>
      <c r="Z816" s="56">
        <f>IF($X816="",1,IFERROR(VLOOKUP($X816,'Char Popularity'!$A$2:$C$500,3,FALSE),1))</f>
        <v>1</v>
      </c>
      <c r="AA816" s="62">
        <f>IF($H816&lt;&gt;"Y",0,(IF($F816&lt;&gt;"",ROUND(Dashboard!$R$4/$F816,1),IF(AND($I816="Base",$E816="Base"),Dashboard!$R$5,IF(AND($I816="Base",$E816="Red"),Dashboard!$R$6,IF(AND($I816="Base",$E816="Gold"),Dashboard!$R$7,VLOOKUP($I816,Dashboard!$Q$16:$R$21,2,FALSE)))))*VLOOKUP($I816,Dashboard!$Q$9:$R$13,2,FALSE)*IF(AND($I816="Auto",$F816="",OR($B816="Autographs Duals",$B816="Autographs Triples",$B816="Autographs Quads",$B816="Autographs Quads (Inscribed)")),IF($B816="Autographs Duals",2,IF($B816="Autographs Triples",3,4)),1)))</f>
        <v>40</v>
      </c>
      <c r="AB816" s="62">
        <f t="shared" si="167"/>
        <v>0</v>
      </c>
      <c r="AC816" s="62">
        <f t="shared" si="168"/>
        <v>0</v>
      </c>
    </row>
    <row r="817" spans="1:29" ht="28.7" customHeight="1" x14ac:dyDescent="0.25">
      <c r="A817" s="4" t="s">
        <v>19</v>
      </c>
      <c r="B817" s="7" t="s">
        <v>81</v>
      </c>
      <c r="C817" s="2" t="s">
        <v>1515</v>
      </c>
      <c r="D817" s="7" t="s">
        <v>1070</v>
      </c>
      <c r="E817" s="4" t="s">
        <v>780</v>
      </c>
      <c r="F817" s="2">
        <v>25</v>
      </c>
      <c r="G817" s="2" t="s">
        <v>1399</v>
      </c>
      <c r="H817" s="2" t="s">
        <v>1400</v>
      </c>
      <c r="I817" s="4" t="s">
        <v>60</v>
      </c>
      <c r="J817" s="112">
        <f>IF($H817&lt;&gt;"Y",0,ROUND(MIN(Dashboard!$R$24,IF(IFERROR(VLOOKUP($B817,Dashboard!$Q$28:$S$60,2,FALSE),0)&gt;0,IFERROR(VLOOKUP($B817,Dashboard!$Q$28:$S$60,2,FALSE),0),$Z817*IF($U817&lt;&gt;"",ROUND((Dashboard!$R$4/$U817)*VLOOKUP($I817,Dashboard!$Q$9:$R$13,2,FALSE)*IF(ISNUMBER(SEARCH("Duals",$B817)),2,IF(ISNUMBER(SEARCH("Triples",$B817)),3,IF(ISNUMBER(SEARCH("Quads",$B817)),4,1))),2),ROUND(VLOOKUP($I817,Dashboard!$Q$15:$R$20,2,FALSE)*IF($E817="Red",Dashboard!$R$6,IF($E817="Gold",Dashboard!$R$7,Dashboard!$R$5))*IF(ISNUMBER(SEARCH("Duals",$B817)),2,IF(ISNUMBER(SEARCH("Triples",$B817)),3,IF(ISNUMBER(SEARCH("Quads",$B817)),4,1))),2))*IF(IFERROR(VLOOKUP($B817,Dashboard!$Q$28:$S$60,3,FALSE),0)&gt;0,VLOOKUP($B817,Dashboard!$Q$28:$S$60,3,FALSE),1))),0))</f>
        <v>40</v>
      </c>
      <c r="K817" s="2" t="str">
        <f>IF('Base S2'!H17="","",'Base S2'!H17)</f>
        <v/>
      </c>
      <c r="L817" s="2">
        <f t="shared" si="156"/>
        <v>0</v>
      </c>
      <c r="M817" s="2">
        <f t="shared" si="157"/>
        <v>0</v>
      </c>
      <c r="N817" s="2">
        <f t="shared" si="158"/>
        <v>0</v>
      </c>
      <c r="O817" s="2">
        <f t="shared" si="159"/>
        <v>1</v>
      </c>
      <c r="P817" s="112">
        <f t="shared" si="160"/>
        <v>0</v>
      </c>
      <c r="Q817" s="112">
        <f t="shared" si="161"/>
        <v>0</v>
      </c>
      <c r="R817" s="53"/>
      <c r="S817" s="53" t="str">
        <f t="shared" si="162"/>
        <v>Base S2|Black Parallel - Season 2|116|Black</v>
      </c>
      <c r="T817" s="57" t="str">
        <f>IF($S817="","",IFERROR(VLOOKUP($S817,'Pop Estimates (Non-#d)'!$N$2:$O$500,2,FALSE),""))</f>
        <v/>
      </c>
      <c r="U817" s="57">
        <f t="shared" si="163"/>
        <v>25</v>
      </c>
      <c r="V817" s="53" t="str">
        <f t="shared" si="164"/>
        <v/>
      </c>
      <c r="W817" s="53" t="str">
        <f t="shared" si="165"/>
        <v/>
      </c>
      <c r="X817" s="53" t="str">
        <f t="shared" si="166"/>
        <v/>
      </c>
      <c r="Y817" s="57" t="str">
        <f>IF($X817="","",IFERROR(VLOOKUP($X817,'Char Popularity'!$A$2:$C$500,2,FALSE),""))</f>
        <v/>
      </c>
      <c r="Z817" s="56">
        <f>IF($X817="",1,IFERROR(VLOOKUP($X817,'Char Popularity'!$A$2:$C$500,3,FALSE),1))</f>
        <v>1</v>
      </c>
      <c r="AA817" s="62">
        <f>IF($H817&lt;&gt;"Y",0,(IF($F817&lt;&gt;"",ROUND(Dashboard!$R$4/$F817,1),IF(AND($I817="Base",$E817="Base"),Dashboard!$R$5,IF(AND($I817="Base",$E817="Red"),Dashboard!$R$6,IF(AND($I817="Base",$E817="Gold"),Dashboard!$R$7,VLOOKUP($I817,Dashboard!$Q$16:$R$21,2,FALSE)))))*VLOOKUP($I817,Dashboard!$Q$9:$R$13,2,FALSE)*IF(AND($I817="Auto",$F817="",OR($B817="Autographs Duals",$B817="Autographs Triples",$B817="Autographs Quads",$B817="Autographs Quads (Inscribed)")),IF($B817="Autographs Duals",2,IF($B817="Autographs Triples",3,4)),1)))</f>
        <v>40</v>
      </c>
      <c r="AB817" s="62">
        <f t="shared" si="167"/>
        <v>0</v>
      </c>
      <c r="AC817" s="62">
        <f t="shared" si="168"/>
        <v>0</v>
      </c>
    </row>
    <row r="818" spans="1:29" ht="28.7" customHeight="1" x14ac:dyDescent="0.25">
      <c r="A818" s="4" t="s">
        <v>19</v>
      </c>
      <c r="B818" s="7" t="s">
        <v>81</v>
      </c>
      <c r="C818" s="2" t="s">
        <v>1516</v>
      </c>
      <c r="D818" s="7" t="s">
        <v>695</v>
      </c>
      <c r="E818" s="4" t="s">
        <v>780</v>
      </c>
      <c r="F818" s="2">
        <v>25</v>
      </c>
      <c r="G818" s="2" t="s">
        <v>1399</v>
      </c>
      <c r="H818" s="2" t="s">
        <v>1400</v>
      </c>
      <c r="I818" s="4" t="s">
        <v>60</v>
      </c>
      <c r="J818" s="112">
        <f>IF($H818&lt;&gt;"Y",0,ROUND(MIN(Dashboard!$R$24,IF(IFERROR(VLOOKUP($B818,Dashboard!$Q$28:$S$60,2,FALSE),0)&gt;0,IFERROR(VLOOKUP($B818,Dashboard!$Q$28:$S$60,2,FALSE),0),$Z818*IF($U818&lt;&gt;"",ROUND((Dashboard!$R$4/$U818)*VLOOKUP($I818,Dashboard!$Q$9:$R$13,2,FALSE)*IF(ISNUMBER(SEARCH("Duals",$B818)),2,IF(ISNUMBER(SEARCH("Triples",$B818)),3,IF(ISNUMBER(SEARCH("Quads",$B818)),4,1))),2),ROUND(VLOOKUP($I818,Dashboard!$Q$15:$R$20,2,FALSE)*IF($E818="Red",Dashboard!$R$6,IF($E818="Gold",Dashboard!$R$7,Dashboard!$R$5))*IF(ISNUMBER(SEARCH("Duals",$B818)),2,IF(ISNUMBER(SEARCH("Triples",$B818)),3,IF(ISNUMBER(SEARCH("Quads",$B818)),4,1))),2))*IF(IFERROR(VLOOKUP($B818,Dashboard!$Q$28:$S$60,3,FALSE),0)&gt;0,VLOOKUP($B818,Dashboard!$Q$28:$S$60,3,FALSE),1))),0))</f>
        <v>40</v>
      </c>
      <c r="K818" s="2" t="str">
        <f>IF('Base S2'!H18="","",'Base S2'!H18)</f>
        <v>C 24/25</v>
      </c>
      <c r="L818" s="2">
        <f t="shared" si="156"/>
        <v>1</v>
      </c>
      <c r="M818" s="2">
        <f t="shared" si="157"/>
        <v>0</v>
      </c>
      <c r="N818" s="2">
        <f t="shared" si="158"/>
        <v>1</v>
      </c>
      <c r="O818" s="2">
        <f t="shared" si="159"/>
        <v>0</v>
      </c>
      <c r="P818" s="112">
        <f t="shared" si="160"/>
        <v>40</v>
      </c>
      <c r="Q818" s="112">
        <f t="shared" si="161"/>
        <v>0</v>
      </c>
      <c r="R818" s="53"/>
      <c r="S818" s="53" t="str">
        <f t="shared" si="162"/>
        <v>Base S2|Black Parallel - Season 2|117|Black</v>
      </c>
      <c r="T818" s="57" t="str">
        <f>IF($S818="","",IFERROR(VLOOKUP($S818,'Pop Estimates (Non-#d)'!$N$2:$O$500,2,FALSE),""))</f>
        <v/>
      </c>
      <c r="U818" s="57">
        <f t="shared" si="163"/>
        <v>25</v>
      </c>
      <c r="V818" s="53" t="str">
        <f t="shared" si="164"/>
        <v/>
      </c>
      <c r="W818" s="53" t="str">
        <f t="shared" si="165"/>
        <v/>
      </c>
      <c r="X818" s="53" t="str">
        <f t="shared" si="166"/>
        <v/>
      </c>
      <c r="Y818" s="57" t="str">
        <f>IF($X818="","",IFERROR(VLOOKUP($X818,'Char Popularity'!$A$2:$C$500,2,FALSE),""))</f>
        <v/>
      </c>
      <c r="Z818" s="56">
        <f>IF($X818="",1,IFERROR(VLOOKUP($X818,'Char Popularity'!$A$2:$C$500,3,FALSE),1))</f>
        <v>1</v>
      </c>
      <c r="AA818" s="62">
        <f>IF($H818&lt;&gt;"Y",0,(IF($F818&lt;&gt;"",ROUND(Dashboard!$R$4/$F818,1),IF(AND($I818="Base",$E818="Base"),Dashboard!$R$5,IF(AND($I818="Base",$E818="Red"),Dashboard!$R$6,IF(AND($I818="Base",$E818="Gold"),Dashboard!$R$7,VLOOKUP($I818,Dashboard!$Q$16:$R$21,2,FALSE)))))*VLOOKUP($I818,Dashboard!$Q$9:$R$13,2,FALSE)*IF(AND($I818="Auto",$F818="",OR($B818="Autographs Duals",$B818="Autographs Triples",$B818="Autographs Quads",$B818="Autographs Quads (Inscribed)")),IF($B818="Autographs Duals",2,IF($B818="Autographs Triples",3,4)),1)))</f>
        <v>40</v>
      </c>
      <c r="AB818" s="62">
        <f t="shared" si="167"/>
        <v>40</v>
      </c>
      <c r="AC818" s="62">
        <f t="shared" si="168"/>
        <v>0</v>
      </c>
    </row>
    <row r="819" spans="1:29" ht="28.7" customHeight="1" x14ac:dyDescent="0.25">
      <c r="A819" s="4" t="s">
        <v>19</v>
      </c>
      <c r="B819" s="7" t="s">
        <v>81</v>
      </c>
      <c r="C819" s="2" t="s">
        <v>1517</v>
      </c>
      <c r="D819" s="7" t="s">
        <v>1072</v>
      </c>
      <c r="E819" s="4" t="s">
        <v>780</v>
      </c>
      <c r="F819" s="2">
        <v>25</v>
      </c>
      <c r="G819" s="2" t="s">
        <v>1399</v>
      </c>
      <c r="H819" s="2" t="s">
        <v>1400</v>
      </c>
      <c r="I819" s="4" t="s">
        <v>60</v>
      </c>
      <c r="J819" s="112">
        <f>IF($H819&lt;&gt;"Y",0,ROUND(MIN(Dashboard!$R$24,IF(IFERROR(VLOOKUP($B819,Dashboard!$Q$28:$S$60,2,FALSE),0)&gt;0,IFERROR(VLOOKUP($B819,Dashboard!$Q$28:$S$60,2,FALSE),0),$Z819*IF($U819&lt;&gt;"",ROUND((Dashboard!$R$4/$U819)*VLOOKUP($I819,Dashboard!$Q$9:$R$13,2,FALSE)*IF(ISNUMBER(SEARCH("Duals",$B819)),2,IF(ISNUMBER(SEARCH("Triples",$B819)),3,IF(ISNUMBER(SEARCH("Quads",$B819)),4,1))),2),ROUND(VLOOKUP($I819,Dashboard!$Q$15:$R$20,2,FALSE)*IF($E819="Red",Dashboard!$R$6,IF($E819="Gold",Dashboard!$R$7,Dashboard!$R$5))*IF(ISNUMBER(SEARCH("Duals",$B819)),2,IF(ISNUMBER(SEARCH("Triples",$B819)),3,IF(ISNUMBER(SEARCH("Quads",$B819)),4,1))),2))*IF(IFERROR(VLOOKUP($B819,Dashboard!$Q$28:$S$60,3,FALSE),0)&gt;0,VLOOKUP($B819,Dashboard!$Q$28:$S$60,3,FALSE),1))),0))</f>
        <v>40</v>
      </c>
      <c r="K819" s="2" t="str">
        <f>IF('Base S2'!H19="","",'Base S2'!H19)</f>
        <v>C 21/25</v>
      </c>
      <c r="L819" s="2">
        <f t="shared" si="156"/>
        <v>1</v>
      </c>
      <c r="M819" s="2">
        <f t="shared" si="157"/>
        <v>0</v>
      </c>
      <c r="N819" s="2">
        <f t="shared" si="158"/>
        <v>1</v>
      </c>
      <c r="O819" s="2">
        <f t="shared" si="159"/>
        <v>0</v>
      </c>
      <c r="P819" s="112">
        <f t="shared" si="160"/>
        <v>40</v>
      </c>
      <c r="Q819" s="112">
        <f t="shared" si="161"/>
        <v>0</v>
      </c>
      <c r="R819" s="53"/>
      <c r="S819" s="53" t="str">
        <f t="shared" si="162"/>
        <v>Base S2|Black Parallel - Season 2|118|Black</v>
      </c>
      <c r="T819" s="57" t="str">
        <f>IF($S819="","",IFERROR(VLOOKUP($S819,'Pop Estimates (Non-#d)'!$N$2:$O$500,2,FALSE),""))</f>
        <v/>
      </c>
      <c r="U819" s="57">
        <f t="shared" si="163"/>
        <v>25</v>
      </c>
      <c r="V819" s="53" t="str">
        <f t="shared" si="164"/>
        <v/>
      </c>
      <c r="W819" s="53" t="str">
        <f t="shared" si="165"/>
        <v/>
      </c>
      <c r="X819" s="53" t="str">
        <f t="shared" si="166"/>
        <v/>
      </c>
      <c r="Y819" s="57" t="str">
        <f>IF($X819="","",IFERROR(VLOOKUP($X819,'Char Popularity'!$A$2:$C$500,2,FALSE),""))</f>
        <v/>
      </c>
      <c r="Z819" s="56">
        <f>IF($X819="",1,IFERROR(VLOOKUP($X819,'Char Popularity'!$A$2:$C$500,3,FALSE),1))</f>
        <v>1</v>
      </c>
      <c r="AA819" s="62">
        <f>IF($H819&lt;&gt;"Y",0,(IF($F819&lt;&gt;"",ROUND(Dashboard!$R$4/$F819,1),IF(AND($I819="Base",$E819="Base"),Dashboard!$R$5,IF(AND($I819="Base",$E819="Red"),Dashboard!$R$6,IF(AND($I819="Base",$E819="Gold"),Dashboard!$R$7,VLOOKUP($I819,Dashboard!$Q$16:$R$21,2,FALSE)))))*VLOOKUP($I819,Dashboard!$Q$9:$R$13,2,FALSE)*IF(AND($I819="Auto",$F819="",OR($B819="Autographs Duals",$B819="Autographs Triples",$B819="Autographs Quads",$B819="Autographs Quads (Inscribed)")),IF($B819="Autographs Duals",2,IF($B819="Autographs Triples",3,4)),1)))</f>
        <v>40</v>
      </c>
      <c r="AB819" s="62">
        <f t="shared" si="167"/>
        <v>40</v>
      </c>
      <c r="AC819" s="62">
        <f t="shared" si="168"/>
        <v>0</v>
      </c>
    </row>
    <row r="820" spans="1:29" ht="28.7" customHeight="1" x14ac:dyDescent="0.25">
      <c r="A820" s="4" t="s">
        <v>19</v>
      </c>
      <c r="B820" s="7" t="s">
        <v>81</v>
      </c>
      <c r="C820" s="2" t="s">
        <v>1518</v>
      </c>
      <c r="D820" s="7" t="s">
        <v>1073</v>
      </c>
      <c r="E820" s="4" t="s">
        <v>780</v>
      </c>
      <c r="F820" s="2">
        <v>25</v>
      </c>
      <c r="G820" s="2" t="s">
        <v>1399</v>
      </c>
      <c r="H820" s="2" t="s">
        <v>1400</v>
      </c>
      <c r="I820" s="4" t="s">
        <v>60</v>
      </c>
      <c r="J820" s="112">
        <f>IF($H820&lt;&gt;"Y",0,ROUND(MIN(Dashboard!$R$24,IF(IFERROR(VLOOKUP($B820,Dashboard!$Q$28:$S$60,2,FALSE),0)&gt;0,IFERROR(VLOOKUP($B820,Dashboard!$Q$28:$S$60,2,FALSE),0),$Z820*IF($U820&lt;&gt;"",ROUND((Dashboard!$R$4/$U820)*VLOOKUP($I820,Dashboard!$Q$9:$R$13,2,FALSE)*IF(ISNUMBER(SEARCH("Duals",$B820)),2,IF(ISNUMBER(SEARCH("Triples",$B820)),3,IF(ISNUMBER(SEARCH("Quads",$B820)),4,1))),2),ROUND(VLOOKUP($I820,Dashboard!$Q$15:$R$20,2,FALSE)*IF($E820="Red",Dashboard!$R$6,IF($E820="Gold",Dashboard!$R$7,Dashboard!$R$5))*IF(ISNUMBER(SEARCH("Duals",$B820)),2,IF(ISNUMBER(SEARCH("Triples",$B820)),3,IF(ISNUMBER(SEARCH("Quads",$B820)),4,1))),2))*IF(IFERROR(VLOOKUP($B820,Dashboard!$Q$28:$S$60,3,FALSE),0)&gt;0,VLOOKUP($B820,Dashboard!$Q$28:$S$60,3,FALSE),1))),0))</f>
        <v>40</v>
      </c>
      <c r="K820" s="2" t="str">
        <f>IF('Base S2'!H20="","",'Base S2'!H20)</f>
        <v/>
      </c>
      <c r="L820" s="2">
        <f t="shared" si="156"/>
        <v>0</v>
      </c>
      <c r="M820" s="2">
        <f t="shared" si="157"/>
        <v>0</v>
      </c>
      <c r="N820" s="2">
        <f t="shared" si="158"/>
        <v>0</v>
      </c>
      <c r="O820" s="2">
        <f t="shared" si="159"/>
        <v>1</v>
      </c>
      <c r="P820" s="112">
        <f t="shared" si="160"/>
        <v>0</v>
      </c>
      <c r="Q820" s="112">
        <f t="shared" si="161"/>
        <v>0</v>
      </c>
      <c r="R820" s="53"/>
      <c r="S820" s="53" t="str">
        <f t="shared" si="162"/>
        <v>Base S2|Black Parallel - Season 2|119|Black</v>
      </c>
      <c r="T820" s="57" t="str">
        <f>IF($S820="","",IFERROR(VLOOKUP($S820,'Pop Estimates (Non-#d)'!$N$2:$O$500,2,FALSE),""))</f>
        <v/>
      </c>
      <c r="U820" s="57">
        <f t="shared" si="163"/>
        <v>25</v>
      </c>
      <c r="V820" s="53" t="str">
        <f t="shared" si="164"/>
        <v/>
      </c>
      <c r="W820" s="53" t="str">
        <f t="shared" si="165"/>
        <v/>
      </c>
      <c r="X820" s="53" t="str">
        <f t="shared" si="166"/>
        <v/>
      </c>
      <c r="Y820" s="57" t="str">
        <f>IF($X820="","",IFERROR(VLOOKUP($X820,'Char Popularity'!$A$2:$C$500,2,FALSE),""))</f>
        <v/>
      </c>
      <c r="Z820" s="56">
        <f>IF($X820="",1,IFERROR(VLOOKUP($X820,'Char Popularity'!$A$2:$C$500,3,FALSE),1))</f>
        <v>1</v>
      </c>
      <c r="AA820" s="62">
        <f>IF($H820&lt;&gt;"Y",0,(IF($F820&lt;&gt;"",ROUND(Dashboard!$R$4/$F820,1),IF(AND($I820="Base",$E820="Base"),Dashboard!$R$5,IF(AND($I820="Base",$E820="Red"),Dashboard!$R$6,IF(AND($I820="Base",$E820="Gold"),Dashboard!$R$7,VLOOKUP($I820,Dashboard!$Q$16:$R$21,2,FALSE)))))*VLOOKUP($I820,Dashboard!$Q$9:$R$13,2,FALSE)*IF(AND($I820="Auto",$F820="",OR($B820="Autographs Duals",$B820="Autographs Triples",$B820="Autographs Quads",$B820="Autographs Quads (Inscribed)")),IF($B820="Autographs Duals",2,IF($B820="Autographs Triples",3,4)),1)))</f>
        <v>40</v>
      </c>
      <c r="AB820" s="62">
        <f t="shared" si="167"/>
        <v>0</v>
      </c>
      <c r="AC820" s="62">
        <f t="shared" si="168"/>
        <v>0</v>
      </c>
    </row>
    <row r="821" spans="1:29" ht="28.7" customHeight="1" x14ac:dyDescent="0.25">
      <c r="A821" s="4" t="s">
        <v>19</v>
      </c>
      <c r="B821" s="7" t="s">
        <v>81</v>
      </c>
      <c r="C821" s="2" t="s">
        <v>1519</v>
      </c>
      <c r="D821" s="7" t="s">
        <v>1075</v>
      </c>
      <c r="E821" s="4" t="s">
        <v>780</v>
      </c>
      <c r="F821" s="2">
        <v>25</v>
      </c>
      <c r="G821" s="2" t="s">
        <v>1399</v>
      </c>
      <c r="H821" s="2" t="s">
        <v>1400</v>
      </c>
      <c r="I821" s="4" t="s">
        <v>60</v>
      </c>
      <c r="J821" s="112">
        <f>IF($H821&lt;&gt;"Y",0,ROUND(MIN(Dashboard!$R$24,IF(IFERROR(VLOOKUP($B821,Dashboard!$Q$28:$S$60,2,FALSE),0)&gt;0,IFERROR(VLOOKUP($B821,Dashboard!$Q$28:$S$60,2,FALSE),0),$Z821*IF($U821&lt;&gt;"",ROUND((Dashboard!$R$4/$U821)*VLOOKUP($I821,Dashboard!$Q$9:$R$13,2,FALSE)*IF(ISNUMBER(SEARCH("Duals",$B821)),2,IF(ISNUMBER(SEARCH("Triples",$B821)),3,IF(ISNUMBER(SEARCH("Quads",$B821)),4,1))),2),ROUND(VLOOKUP($I821,Dashboard!$Q$15:$R$20,2,FALSE)*IF($E821="Red",Dashboard!$R$6,IF($E821="Gold",Dashboard!$R$7,Dashboard!$R$5))*IF(ISNUMBER(SEARCH("Duals",$B821)),2,IF(ISNUMBER(SEARCH("Triples",$B821)),3,IF(ISNUMBER(SEARCH("Quads",$B821)),4,1))),2))*IF(IFERROR(VLOOKUP($B821,Dashboard!$Q$28:$S$60,3,FALSE),0)&gt;0,VLOOKUP($B821,Dashboard!$Q$28:$S$60,3,FALSE),1))),0))</f>
        <v>40</v>
      </c>
      <c r="K821" s="2" t="str">
        <f>IF('Base S2'!H21="","",'Base S2'!H21)</f>
        <v>C 21/25</v>
      </c>
      <c r="L821" s="2">
        <f t="shared" si="156"/>
        <v>1</v>
      </c>
      <c r="M821" s="2">
        <f t="shared" si="157"/>
        <v>0</v>
      </c>
      <c r="N821" s="2">
        <f t="shared" si="158"/>
        <v>1</v>
      </c>
      <c r="O821" s="2">
        <f t="shared" si="159"/>
        <v>0</v>
      </c>
      <c r="P821" s="112">
        <f t="shared" si="160"/>
        <v>40</v>
      </c>
      <c r="Q821" s="112">
        <f t="shared" si="161"/>
        <v>0</v>
      </c>
      <c r="R821" s="53"/>
      <c r="S821" s="53" t="str">
        <f t="shared" si="162"/>
        <v>Base S2|Black Parallel - Season 2|120|Black</v>
      </c>
      <c r="T821" s="57" t="str">
        <f>IF($S821="","",IFERROR(VLOOKUP($S821,'Pop Estimates (Non-#d)'!$N$2:$O$500,2,FALSE),""))</f>
        <v/>
      </c>
      <c r="U821" s="57">
        <f t="shared" si="163"/>
        <v>25</v>
      </c>
      <c r="V821" s="53" t="str">
        <f t="shared" si="164"/>
        <v/>
      </c>
      <c r="W821" s="53" t="str">
        <f t="shared" si="165"/>
        <v/>
      </c>
      <c r="X821" s="53" t="str">
        <f t="shared" si="166"/>
        <v/>
      </c>
      <c r="Y821" s="57" t="str">
        <f>IF($X821="","",IFERROR(VLOOKUP($X821,'Char Popularity'!$A$2:$C$500,2,FALSE),""))</f>
        <v/>
      </c>
      <c r="Z821" s="56">
        <f>IF($X821="",1,IFERROR(VLOOKUP($X821,'Char Popularity'!$A$2:$C$500,3,FALSE),1))</f>
        <v>1</v>
      </c>
      <c r="AA821" s="62">
        <f>IF($H821&lt;&gt;"Y",0,(IF($F821&lt;&gt;"",ROUND(Dashboard!$R$4/$F821,1),IF(AND($I821="Base",$E821="Base"),Dashboard!$R$5,IF(AND($I821="Base",$E821="Red"),Dashboard!$R$6,IF(AND($I821="Base",$E821="Gold"),Dashboard!$R$7,VLOOKUP($I821,Dashboard!$Q$16:$R$21,2,FALSE)))))*VLOOKUP($I821,Dashboard!$Q$9:$R$13,2,FALSE)*IF(AND($I821="Auto",$F821="",OR($B821="Autographs Duals",$B821="Autographs Triples",$B821="Autographs Quads",$B821="Autographs Quads (Inscribed)")),IF($B821="Autographs Duals",2,IF($B821="Autographs Triples",3,4)),1)))</f>
        <v>40</v>
      </c>
      <c r="AB821" s="62">
        <f t="shared" si="167"/>
        <v>40</v>
      </c>
      <c r="AC821" s="62">
        <f t="shared" si="168"/>
        <v>0</v>
      </c>
    </row>
    <row r="822" spans="1:29" ht="28.7" customHeight="1" x14ac:dyDescent="0.25">
      <c r="A822" s="4" t="s">
        <v>19</v>
      </c>
      <c r="B822" s="7" t="s">
        <v>81</v>
      </c>
      <c r="C822" s="2" t="s">
        <v>1520</v>
      </c>
      <c r="D822" s="7" t="s">
        <v>1077</v>
      </c>
      <c r="E822" s="4" t="s">
        <v>780</v>
      </c>
      <c r="F822" s="2">
        <v>25</v>
      </c>
      <c r="G822" s="2" t="s">
        <v>1399</v>
      </c>
      <c r="H822" s="2" t="s">
        <v>1400</v>
      </c>
      <c r="I822" s="4" t="s">
        <v>60</v>
      </c>
      <c r="J822" s="112">
        <f>IF($H822&lt;&gt;"Y",0,ROUND(MIN(Dashboard!$R$24,IF(IFERROR(VLOOKUP($B822,Dashboard!$Q$28:$S$60,2,FALSE),0)&gt;0,IFERROR(VLOOKUP($B822,Dashboard!$Q$28:$S$60,2,FALSE),0),$Z822*IF($U822&lt;&gt;"",ROUND((Dashboard!$R$4/$U822)*VLOOKUP($I822,Dashboard!$Q$9:$R$13,2,FALSE)*IF(ISNUMBER(SEARCH("Duals",$B822)),2,IF(ISNUMBER(SEARCH("Triples",$B822)),3,IF(ISNUMBER(SEARCH("Quads",$B822)),4,1))),2),ROUND(VLOOKUP($I822,Dashboard!$Q$15:$R$20,2,FALSE)*IF($E822="Red",Dashboard!$R$6,IF($E822="Gold",Dashboard!$R$7,Dashboard!$R$5))*IF(ISNUMBER(SEARCH("Duals",$B822)),2,IF(ISNUMBER(SEARCH("Triples",$B822)),3,IF(ISNUMBER(SEARCH("Quads",$B822)),4,1))),2))*IF(IFERROR(VLOOKUP($B822,Dashboard!$Q$28:$S$60,3,FALSE),0)&gt;0,VLOOKUP($B822,Dashboard!$Q$28:$S$60,3,FALSE),1))),0))</f>
        <v>40</v>
      </c>
      <c r="K822" s="2" t="str">
        <f>IF('Base S2'!H22="","",'Base S2'!H22)</f>
        <v/>
      </c>
      <c r="L822" s="2">
        <f t="shared" si="156"/>
        <v>0</v>
      </c>
      <c r="M822" s="2">
        <f t="shared" si="157"/>
        <v>0</v>
      </c>
      <c r="N822" s="2">
        <f t="shared" si="158"/>
        <v>0</v>
      </c>
      <c r="O822" s="2">
        <f t="shared" si="159"/>
        <v>1</v>
      </c>
      <c r="P822" s="112">
        <f t="shared" si="160"/>
        <v>0</v>
      </c>
      <c r="Q822" s="112">
        <f t="shared" si="161"/>
        <v>0</v>
      </c>
      <c r="R822" s="53"/>
      <c r="S822" s="53" t="str">
        <f t="shared" si="162"/>
        <v>Base S2|Black Parallel - Season 2|121|Black</v>
      </c>
      <c r="T822" s="57" t="str">
        <f>IF($S822="","",IFERROR(VLOOKUP($S822,'Pop Estimates (Non-#d)'!$N$2:$O$500,2,FALSE),""))</f>
        <v/>
      </c>
      <c r="U822" s="57">
        <f t="shared" si="163"/>
        <v>25</v>
      </c>
      <c r="V822" s="53" t="str">
        <f t="shared" si="164"/>
        <v/>
      </c>
      <c r="W822" s="53" t="str">
        <f t="shared" si="165"/>
        <v/>
      </c>
      <c r="X822" s="53" t="str">
        <f t="shared" si="166"/>
        <v/>
      </c>
      <c r="Y822" s="57" t="str">
        <f>IF($X822="","",IFERROR(VLOOKUP($X822,'Char Popularity'!$A$2:$C$500,2,FALSE),""))</f>
        <v/>
      </c>
      <c r="Z822" s="56">
        <f>IF($X822="",1,IFERROR(VLOOKUP($X822,'Char Popularity'!$A$2:$C$500,3,FALSE),1))</f>
        <v>1</v>
      </c>
      <c r="AA822" s="62">
        <f>IF($H822&lt;&gt;"Y",0,(IF($F822&lt;&gt;"",ROUND(Dashboard!$R$4/$F822,1),IF(AND($I822="Base",$E822="Base"),Dashboard!$R$5,IF(AND($I822="Base",$E822="Red"),Dashboard!$R$6,IF(AND($I822="Base",$E822="Gold"),Dashboard!$R$7,VLOOKUP($I822,Dashboard!$Q$16:$R$21,2,FALSE)))))*VLOOKUP($I822,Dashboard!$Q$9:$R$13,2,FALSE)*IF(AND($I822="Auto",$F822="",OR($B822="Autographs Duals",$B822="Autographs Triples",$B822="Autographs Quads",$B822="Autographs Quads (Inscribed)")),IF($B822="Autographs Duals",2,IF($B822="Autographs Triples",3,4)),1)))</f>
        <v>40</v>
      </c>
      <c r="AB822" s="62">
        <f t="shared" si="167"/>
        <v>0</v>
      </c>
      <c r="AC822" s="62">
        <f t="shared" si="168"/>
        <v>0</v>
      </c>
    </row>
    <row r="823" spans="1:29" ht="28.7" customHeight="1" x14ac:dyDescent="0.25">
      <c r="A823" s="4" t="s">
        <v>19</v>
      </c>
      <c r="B823" s="7" t="s">
        <v>81</v>
      </c>
      <c r="C823" s="2" t="s">
        <v>1521</v>
      </c>
      <c r="D823" s="7" t="s">
        <v>1079</v>
      </c>
      <c r="E823" s="4" t="s">
        <v>780</v>
      </c>
      <c r="F823" s="2">
        <v>25</v>
      </c>
      <c r="G823" s="2" t="s">
        <v>1399</v>
      </c>
      <c r="H823" s="2" t="s">
        <v>1400</v>
      </c>
      <c r="I823" s="4" t="s">
        <v>60</v>
      </c>
      <c r="J823" s="112">
        <f>IF($H823&lt;&gt;"Y",0,ROUND(MIN(Dashboard!$R$24,IF(IFERROR(VLOOKUP($B823,Dashboard!$Q$28:$S$60,2,FALSE),0)&gt;0,IFERROR(VLOOKUP($B823,Dashboard!$Q$28:$S$60,2,FALSE),0),$Z823*IF($U823&lt;&gt;"",ROUND((Dashboard!$R$4/$U823)*VLOOKUP($I823,Dashboard!$Q$9:$R$13,2,FALSE)*IF(ISNUMBER(SEARCH("Duals",$B823)),2,IF(ISNUMBER(SEARCH("Triples",$B823)),3,IF(ISNUMBER(SEARCH("Quads",$B823)),4,1))),2),ROUND(VLOOKUP($I823,Dashboard!$Q$15:$R$20,2,FALSE)*IF($E823="Red",Dashboard!$R$6,IF($E823="Gold",Dashboard!$R$7,Dashboard!$R$5))*IF(ISNUMBER(SEARCH("Duals",$B823)),2,IF(ISNUMBER(SEARCH("Triples",$B823)),3,IF(ISNUMBER(SEARCH("Quads",$B823)),4,1))),2))*IF(IFERROR(VLOOKUP($B823,Dashboard!$Q$28:$S$60,3,FALSE),0)&gt;0,VLOOKUP($B823,Dashboard!$Q$28:$S$60,3,FALSE),1))),0))</f>
        <v>40</v>
      </c>
      <c r="K823" s="2" t="str">
        <f>IF('Base S2'!H23="","",'Base S2'!H23)</f>
        <v/>
      </c>
      <c r="L823" s="2">
        <f t="shared" si="156"/>
        <v>0</v>
      </c>
      <c r="M823" s="2">
        <f t="shared" si="157"/>
        <v>0</v>
      </c>
      <c r="N823" s="2">
        <f t="shared" si="158"/>
        <v>0</v>
      </c>
      <c r="O823" s="2">
        <f t="shared" si="159"/>
        <v>1</v>
      </c>
      <c r="P823" s="112">
        <f t="shared" si="160"/>
        <v>0</v>
      </c>
      <c r="Q823" s="112">
        <f t="shared" si="161"/>
        <v>0</v>
      </c>
      <c r="R823" s="53"/>
      <c r="S823" s="53" t="str">
        <f t="shared" si="162"/>
        <v>Base S2|Black Parallel - Season 2|122|Black</v>
      </c>
      <c r="T823" s="57" t="str">
        <f>IF($S823="","",IFERROR(VLOOKUP($S823,'Pop Estimates (Non-#d)'!$N$2:$O$500,2,FALSE),""))</f>
        <v/>
      </c>
      <c r="U823" s="57">
        <f t="shared" si="163"/>
        <v>25</v>
      </c>
      <c r="V823" s="53" t="str">
        <f t="shared" si="164"/>
        <v/>
      </c>
      <c r="W823" s="53" t="str">
        <f t="shared" si="165"/>
        <v/>
      </c>
      <c r="X823" s="53" t="str">
        <f t="shared" si="166"/>
        <v/>
      </c>
      <c r="Y823" s="57" t="str">
        <f>IF($X823="","",IFERROR(VLOOKUP($X823,'Char Popularity'!$A$2:$C$500,2,FALSE),""))</f>
        <v/>
      </c>
      <c r="Z823" s="56">
        <f>IF($X823="",1,IFERROR(VLOOKUP($X823,'Char Popularity'!$A$2:$C$500,3,FALSE),1))</f>
        <v>1</v>
      </c>
      <c r="AA823" s="62">
        <f>IF($H823&lt;&gt;"Y",0,(IF($F823&lt;&gt;"",ROUND(Dashboard!$R$4/$F823,1),IF(AND($I823="Base",$E823="Base"),Dashboard!$R$5,IF(AND($I823="Base",$E823="Red"),Dashboard!$R$6,IF(AND($I823="Base",$E823="Gold"),Dashboard!$R$7,VLOOKUP($I823,Dashboard!$Q$16:$R$21,2,FALSE)))))*VLOOKUP($I823,Dashboard!$Q$9:$R$13,2,FALSE)*IF(AND($I823="Auto",$F823="",OR($B823="Autographs Duals",$B823="Autographs Triples",$B823="Autographs Quads",$B823="Autographs Quads (Inscribed)")),IF($B823="Autographs Duals",2,IF($B823="Autographs Triples",3,4)),1)))</f>
        <v>40</v>
      </c>
      <c r="AB823" s="62">
        <f t="shared" si="167"/>
        <v>0</v>
      </c>
      <c r="AC823" s="62">
        <f t="shared" si="168"/>
        <v>0</v>
      </c>
    </row>
    <row r="824" spans="1:29" ht="28.7" customHeight="1" x14ac:dyDescent="0.25">
      <c r="A824" s="4" t="s">
        <v>19</v>
      </c>
      <c r="B824" s="7" t="s">
        <v>81</v>
      </c>
      <c r="C824" s="2" t="s">
        <v>1522</v>
      </c>
      <c r="D824" s="7" t="s">
        <v>1080</v>
      </c>
      <c r="E824" s="4" t="s">
        <v>780</v>
      </c>
      <c r="F824" s="2">
        <v>25</v>
      </c>
      <c r="G824" s="2" t="s">
        <v>1399</v>
      </c>
      <c r="H824" s="2" t="s">
        <v>1400</v>
      </c>
      <c r="I824" s="4" t="s">
        <v>60</v>
      </c>
      <c r="J824" s="112">
        <f>IF($H824&lt;&gt;"Y",0,ROUND(MIN(Dashboard!$R$24,IF(IFERROR(VLOOKUP($B824,Dashboard!$Q$28:$S$60,2,FALSE),0)&gt;0,IFERROR(VLOOKUP($B824,Dashboard!$Q$28:$S$60,2,FALSE),0),$Z824*IF($U824&lt;&gt;"",ROUND((Dashboard!$R$4/$U824)*VLOOKUP($I824,Dashboard!$Q$9:$R$13,2,FALSE)*IF(ISNUMBER(SEARCH("Duals",$B824)),2,IF(ISNUMBER(SEARCH("Triples",$B824)),3,IF(ISNUMBER(SEARCH("Quads",$B824)),4,1))),2),ROUND(VLOOKUP($I824,Dashboard!$Q$15:$R$20,2,FALSE)*IF($E824="Red",Dashboard!$R$6,IF($E824="Gold",Dashboard!$R$7,Dashboard!$R$5))*IF(ISNUMBER(SEARCH("Duals",$B824)),2,IF(ISNUMBER(SEARCH("Triples",$B824)),3,IF(ISNUMBER(SEARCH("Quads",$B824)),4,1))),2))*IF(IFERROR(VLOOKUP($B824,Dashboard!$Q$28:$S$60,3,FALSE),0)&gt;0,VLOOKUP($B824,Dashboard!$Q$28:$S$60,3,FALSE),1))),0))</f>
        <v>40</v>
      </c>
      <c r="K824" s="2" t="str">
        <f>IF('Base S2'!H24="","",'Base S2'!H24)</f>
        <v>C 24/25</v>
      </c>
      <c r="L824" s="2">
        <f t="shared" si="156"/>
        <v>1</v>
      </c>
      <c r="M824" s="2">
        <f t="shared" si="157"/>
        <v>0</v>
      </c>
      <c r="N824" s="2">
        <f t="shared" si="158"/>
        <v>1</v>
      </c>
      <c r="O824" s="2">
        <f t="shared" si="159"/>
        <v>0</v>
      </c>
      <c r="P824" s="112">
        <f t="shared" si="160"/>
        <v>40</v>
      </c>
      <c r="Q824" s="112">
        <f t="shared" si="161"/>
        <v>0</v>
      </c>
      <c r="R824" s="53"/>
      <c r="S824" s="53" t="str">
        <f t="shared" si="162"/>
        <v>Base S2|Black Parallel - Season 2|123|Black</v>
      </c>
      <c r="T824" s="57" t="str">
        <f>IF($S824="","",IFERROR(VLOOKUP($S824,'Pop Estimates (Non-#d)'!$N$2:$O$500,2,FALSE),""))</f>
        <v/>
      </c>
      <c r="U824" s="57">
        <f t="shared" si="163"/>
        <v>25</v>
      </c>
      <c r="V824" s="53" t="str">
        <f t="shared" si="164"/>
        <v/>
      </c>
      <c r="W824" s="53" t="str">
        <f t="shared" si="165"/>
        <v/>
      </c>
      <c r="X824" s="53" t="str">
        <f t="shared" si="166"/>
        <v/>
      </c>
      <c r="Y824" s="57" t="str">
        <f>IF($X824="","",IFERROR(VLOOKUP($X824,'Char Popularity'!$A$2:$C$500,2,FALSE),""))</f>
        <v/>
      </c>
      <c r="Z824" s="56">
        <f>IF($X824="",1,IFERROR(VLOOKUP($X824,'Char Popularity'!$A$2:$C$500,3,FALSE),1))</f>
        <v>1</v>
      </c>
      <c r="AA824" s="62">
        <f>IF($H824&lt;&gt;"Y",0,(IF($F824&lt;&gt;"",ROUND(Dashboard!$R$4/$F824,1),IF(AND($I824="Base",$E824="Base"),Dashboard!$R$5,IF(AND($I824="Base",$E824="Red"),Dashboard!$R$6,IF(AND($I824="Base",$E824="Gold"),Dashboard!$R$7,VLOOKUP($I824,Dashboard!$Q$16:$R$21,2,FALSE)))))*VLOOKUP($I824,Dashboard!$Q$9:$R$13,2,FALSE)*IF(AND($I824="Auto",$F824="",OR($B824="Autographs Duals",$B824="Autographs Triples",$B824="Autographs Quads",$B824="Autographs Quads (Inscribed)")),IF($B824="Autographs Duals",2,IF($B824="Autographs Triples",3,4)),1)))</f>
        <v>40</v>
      </c>
      <c r="AB824" s="62">
        <f t="shared" si="167"/>
        <v>40</v>
      </c>
      <c r="AC824" s="62">
        <f t="shared" si="168"/>
        <v>0</v>
      </c>
    </row>
    <row r="825" spans="1:29" ht="28.7" customHeight="1" x14ac:dyDescent="0.25">
      <c r="A825" s="4" t="s">
        <v>19</v>
      </c>
      <c r="B825" s="7" t="s">
        <v>81</v>
      </c>
      <c r="C825" s="2" t="s">
        <v>1523</v>
      </c>
      <c r="D825" s="7" t="s">
        <v>1081</v>
      </c>
      <c r="E825" s="4" t="s">
        <v>780</v>
      </c>
      <c r="F825" s="2">
        <v>25</v>
      </c>
      <c r="G825" s="2" t="s">
        <v>1399</v>
      </c>
      <c r="H825" s="2" t="s">
        <v>1400</v>
      </c>
      <c r="I825" s="4" t="s">
        <v>60</v>
      </c>
      <c r="J825" s="112">
        <f>IF($H825&lt;&gt;"Y",0,ROUND(MIN(Dashboard!$R$24,IF(IFERROR(VLOOKUP($B825,Dashboard!$Q$28:$S$60,2,FALSE),0)&gt;0,IFERROR(VLOOKUP($B825,Dashboard!$Q$28:$S$60,2,FALSE),0),$Z825*IF($U825&lt;&gt;"",ROUND((Dashboard!$R$4/$U825)*VLOOKUP($I825,Dashboard!$Q$9:$R$13,2,FALSE)*IF(ISNUMBER(SEARCH("Duals",$B825)),2,IF(ISNUMBER(SEARCH("Triples",$B825)),3,IF(ISNUMBER(SEARCH("Quads",$B825)),4,1))),2),ROUND(VLOOKUP($I825,Dashboard!$Q$15:$R$20,2,FALSE)*IF($E825="Red",Dashboard!$R$6,IF($E825="Gold",Dashboard!$R$7,Dashboard!$R$5))*IF(ISNUMBER(SEARCH("Duals",$B825)),2,IF(ISNUMBER(SEARCH("Triples",$B825)),3,IF(ISNUMBER(SEARCH("Quads",$B825)),4,1))),2))*IF(IFERROR(VLOOKUP($B825,Dashboard!$Q$28:$S$60,3,FALSE),0)&gt;0,VLOOKUP($B825,Dashboard!$Q$28:$S$60,3,FALSE),1))),0))</f>
        <v>40</v>
      </c>
      <c r="K825" s="2" t="str">
        <f>IF('Base S2'!H25="","",'Base S2'!H25)</f>
        <v/>
      </c>
      <c r="L825" s="2">
        <f t="shared" si="156"/>
        <v>0</v>
      </c>
      <c r="M825" s="2">
        <f t="shared" si="157"/>
        <v>0</v>
      </c>
      <c r="N825" s="2">
        <f t="shared" si="158"/>
        <v>0</v>
      </c>
      <c r="O825" s="2">
        <f t="shared" si="159"/>
        <v>1</v>
      </c>
      <c r="P825" s="112">
        <f t="shared" si="160"/>
        <v>0</v>
      </c>
      <c r="Q825" s="112">
        <f t="shared" si="161"/>
        <v>0</v>
      </c>
      <c r="R825" s="53"/>
      <c r="S825" s="53" t="str">
        <f t="shared" si="162"/>
        <v>Base S2|Black Parallel - Season 2|124|Black</v>
      </c>
      <c r="T825" s="57" t="str">
        <f>IF($S825="","",IFERROR(VLOOKUP($S825,'Pop Estimates (Non-#d)'!$N$2:$O$500,2,FALSE),""))</f>
        <v/>
      </c>
      <c r="U825" s="57">
        <f t="shared" si="163"/>
        <v>25</v>
      </c>
      <c r="V825" s="53" t="str">
        <f t="shared" si="164"/>
        <v/>
      </c>
      <c r="W825" s="53" t="str">
        <f t="shared" si="165"/>
        <v/>
      </c>
      <c r="X825" s="53" t="str">
        <f t="shared" si="166"/>
        <v/>
      </c>
      <c r="Y825" s="57" t="str">
        <f>IF($X825="","",IFERROR(VLOOKUP($X825,'Char Popularity'!$A$2:$C$500,2,FALSE),""))</f>
        <v/>
      </c>
      <c r="Z825" s="56">
        <f>IF($X825="",1,IFERROR(VLOOKUP($X825,'Char Popularity'!$A$2:$C$500,3,FALSE),1))</f>
        <v>1</v>
      </c>
      <c r="AA825" s="62">
        <f>IF($H825&lt;&gt;"Y",0,(IF($F825&lt;&gt;"",ROUND(Dashboard!$R$4/$F825,1),IF(AND($I825="Base",$E825="Base"),Dashboard!$R$5,IF(AND($I825="Base",$E825="Red"),Dashboard!$R$6,IF(AND($I825="Base",$E825="Gold"),Dashboard!$R$7,VLOOKUP($I825,Dashboard!$Q$16:$R$21,2,FALSE)))))*VLOOKUP($I825,Dashboard!$Q$9:$R$13,2,FALSE)*IF(AND($I825="Auto",$F825="",OR($B825="Autographs Duals",$B825="Autographs Triples",$B825="Autographs Quads",$B825="Autographs Quads (Inscribed)")),IF($B825="Autographs Duals",2,IF($B825="Autographs Triples",3,4)),1)))</f>
        <v>40</v>
      </c>
      <c r="AB825" s="62">
        <f t="shared" si="167"/>
        <v>0</v>
      </c>
      <c r="AC825" s="62">
        <f t="shared" si="168"/>
        <v>0</v>
      </c>
    </row>
    <row r="826" spans="1:29" ht="28.7" customHeight="1" x14ac:dyDescent="0.25">
      <c r="A826" s="4" t="s">
        <v>19</v>
      </c>
      <c r="B826" s="7" t="s">
        <v>81</v>
      </c>
      <c r="C826" s="2" t="s">
        <v>1524</v>
      </c>
      <c r="D826" s="7" t="s">
        <v>1082</v>
      </c>
      <c r="E826" s="4" t="s">
        <v>780</v>
      </c>
      <c r="F826" s="2">
        <v>25</v>
      </c>
      <c r="G826" s="2" t="s">
        <v>1399</v>
      </c>
      <c r="H826" s="2" t="s">
        <v>1400</v>
      </c>
      <c r="I826" s="4" t="s">
        <v>60</v>
      </c>
      <c r="J826" s="112">
        <f>IF($H826&lt;&gt;"Y",0,ROUND(MIN(Dashboard!$R$24,IF(IFERROR(VLOOKUP($B826,Dashboard!$Q$28:$S$60,2,FALSE),0)&gt;0,IFERROR(VLOOKUP($B826,Dashboard!$Q$28:$S$60,2,FALSE),0),$Z826*IF($U826&lt;&gt;"",ROUND((Dashboard!$R$4/$U826)*VLOOKUP($I826,Dashboard!$Q$9:$R$13,2,FALSE)*IF(ISNUMBER(SEARCH("Duals",$B826)),2,IF(ISNUMBER(SEARCH("Triples",$B826)),3,IF(ISNUMBER(SEARCH("Quads",$B826)),4,1))),2),ROUND(VLOOKUP($I826,Dashboard!$Q$15:$R$20,2,FALSE)*IF($E826="Red",Dashboard!$R$6,IF($E826="Gold",Dashboard!$R$7,Dashboard!$R$5))*IF(ISNUMBER(SEARCH("Duals",$B826)),2,IF(ISNUMBER(SEARCH("Triples",$B826)),3,IF(ISNUMBER(SEARCH("Quads",$B826)),4,1))),2))*IF(IFERROR(VLOOKUP($B826,Dashboard!$Q$28:$S$60,3,FALSE),0)&gt;0,VLOOKUP($B826,Dashboard!$Q$28:$S$60,3,FALSE),1))),0))</f>
        <v>40</v>
      </c>
      <c r="K826" s="2" t="str">
        <f>IF('Base S2'!H26="","",'Base S2'!H26)</f>
        <v/>
      </c>
      <c r="L826" s="2">
        <f t="shared" si="156"/>
        <v>0</v>
      </c>
      <c r="M826" s="2">
        <f t="shared" si="157"/>
        <v>0</v>
      </c>
      <c r="N826" s="2">
        <f t="shared" si="158"/>
        <v>0</v>
      </c>
      <c r="O826" s="2">
        <f t="shared" si="159"/>
        <v>1</v>
      </c>
      <c r="P826" s="112">
        <f t="shared" si="160"/>
        <v>0</v>
      </c>
      <c r="Q826" s="112">
        <f t="shared" si="161"/>
        <v>0</v>
      </c>
      <c r="R826" s="53"/>
      <c r="S826" s="53" t="str">
        <f t="shared" si="162"/>
        <v>Base S2|Black Parallel - Season 2|125|Black</v>
      </c>
      <c r="T826" s="57" t="str">
        <f>IF($S826="","",IFERROR(VLOOKUP($S826,'Pop Estimates (Non-#d)'!$N$2:$O$500,2,FALSE),""))</f>
        <v/>
      </c>
      <c r="U826" s="57">
        <f t="shared" si="163"/>
        <v>25</v>
      </c>
      <c r="V826" s="53" t="str">
        <f t="shared" si="164"/>
        <v/>
      </c>
      <c r="W826" s="53" t="str">
        <f t="shared" si="165"/>
        <v/>
      </c>
      <c r="X826" s="53" t="str">
        <f t="shared" si="166"/>
        <v/>
      </c>
      <c r="Y826" s="57" t="str">
        <f>IF($X826="","",IFERROR(VLOOKUP($X826,'Char Popularity'!$A$2:$C$500,2,FALSE),""))</f>
        <v/>
      </c>
      <c r="Z826" s="56">
        <f>IF($X826="",1,IFERROR(VLOOKUP($X826,'Char Popularity'!$A$2:$C$500,3,FALSE),1))</f>
        <v>1</v>
      </c>
      <c r="AA826" s="62">
        <f>IF($H826&lt;&gt;"Y",0,(IF($F826&lt;&gt;"",ROUND(Dashboard!$R$4/$F826,1),IF(AND($I826="Base",$E826="Base"),Dashboard!$R$5,IF(AND($I826="Base",$E826="Red"),Dashboard!$R$6,IF(AND($I826="Base",$E826="Gold"),Dashboard!$R$7,VLOOKUP($I826,Dashboard!$Q$16:$R$21,2,FALSE)))))*VLOOKUP($I826,Dashboard!$Q$9:$R$13,2,FALSE)*IF(AND($I826="Auto",$F826="",OR($B826="Autographs Duals",$B826="Autographs Triples",$B826="Autographs Quads",$B826="Autographs Quads (Inscribed)")),IF($B826="Autographs Duals",2,IF($B826="Autographs Triples",3,4)),1)))</f>
        <v>40</v>
      </c>
      <c r="AB826" s="62">
        <f t="shared" si="167"/>
        <v>0</v>
      </c>
      <c r="AC826" s="62">
        <f t="shared" si="168"/>
        <v>0</v>
      </c>
    </row>
    <row r="827" spans="1:29" ht="28.7" customHeight="1" x14ac:dyDescent="0.25">
      <c r="A827" s="4" t="s">
        <v>19</v>
      </c>
      <c r="B827" s="7" t="s">
        <v>81</v>
      </c>
      <c r="C827" s="2" t="s">
        <v>1525</v>
      </c>
      <c r="D827" s="7" t="s">
        <v>1083</v>
      </c>
      <c r="E827" s="4" t="s">
        <v>780</v>
      </c>
      <c r="F827" s="2">
        <v>25</v>
      </c>
      <c r="G827" s="2" t="s">
        <v>1399</v>
      </c>
      <c r="H827" s="2" t="s">
        <v>1400</v>
      </c>
      <c r="I827" s="4" t="s">
        <v>60</v>
      </c>
      <c r="J827" s="112">
        <f>IF($H827&lt;&gt;"Y",0,ROUND(MIN(Dashboard!$R$24,IF(IFERROR(VLOOKUP($B827,Dashboard!$Q$28:$S$60,2,FALSE),0)&gt;0,IFERROR(VLOOKUP($B827,Dashboard!$Q$28:$S$60,2,FALSE),0),$Z827*IF($U827&lt;&gt;"",ROUND((Dashboard!$R$4/$U827)*VLOOKUP($I827,Dashboard!$Q$9:$R$13,2,FALSE)*IF(ISNUMBER(SEARCH("Duals",$B827)),2,IF(ISNUMBER(SEARCH("Triples",$B827)),3,IF(ISNUMBER(SEARCH("Quads",$B827)),4,1))),2),ROUND(VLOOKUP($I827,Dashboard!$Q$15:$R$20,2,FALSE)*IF($E827="Red",Dashboard!$R$6,IF($E827="Gold",Dashboard!$R$7,Dashboard!$R$5))*IF(ISNUMBER(SEARCH("Duals",$B827)),2,IF(ISNUMBER(SEARCH("Triples",$B827)),3,IF(ISNUMBER(SEARCH("Quads",$B827)),4,1))),2))*IF(IFERROR(VLOOKUP($B827,Dashboard!$Q$28:$S$60,3,FALSE),0)&gt;0,VLOOKUP($B827,Dashboard!$Q$28:$S$60,3,FALSE),1))),0))</f>
        <v>40</v>
      </c>
      <c r="K827" s="2" t="str">
        <f>IF('Base S2'!H27="","",'Base S2'!H27)</f>
        <v>V 24/25</v>
      </c>
      <c r="L827" s="2">
        <f t="shared" si="156"/>
        <v>1</v>
      </c>
      <c r="M827" s="2">
        <f t="shared" si="157"/>
        <v>0</v>
      </c>
      <c r="N827" s="2">
        <f t="shared" si="158"/>
        <v>1</v>
      </c>
      <c r="O827" s="2">
        <f t="shared" si="159"/>
        <v>0</v>
      </c>
      <c r="P827" s="112">
        <f t="shared" si="160"/>
        <v>40</v>
      </c>
      <c r="Q827" s="112">
        <f t="shared" si="161"/>
        <v>0</v>
      </c>
      <c r="R827" s="53"/>
      <c r="S827" s="53" t="str">
        <f t="shared" si="162"/>
        <v>Base S2|Black Parallel - Season 2|126|Black</v>
      </c>
      <c r="T827" s="57" t="str">
        <f>IF($S827="","",IFERROR(VLOOKUP($S827,'Pop Estimates (Non-#d)'!$N$2:$O$500,2,FALSE),""))</f>
        <v/>
      </c>
      <c r="U827" s="57">
        <f t="shared" si="163"/>
        <v>25</v>
      </c>
      <c r="V827" s="53" t="str">
        <f t="shared" si="164"/>
        <v/>
      </c>
      <c r="W827" s="53" t="str">
        <f t="shared" si="165"/>
        <v/>
      </c>
      <c r="X827" s="53" t="str">
        <f t="shared" si="166"/>
        <v/>
      </c>
      <c r="Y827" s="57" t="str">
        <f>IF($X827="","",IFERROR(VLOOKUP($X827,'Char Popularity'!$A$2:$C$500,2,FALSE),""))</f>
        <v/>
      </c>
      <c r="Z827" s="56">
        <f>IF($X827="",1,IFERROR(VLOOKUP($X827,'Char Popularity'!$A$2:$C$500,3,FALSE),1))</f>
        <v>1</v>
      </c>
      <c r="AA827" s="62">
        <f>IF($H827&lt;&gt;"Y",0,(IF($F827&lt;&gt;"",ROUND(Dashboard!$R$4/$F827,1),IF(AND($I827="Base",$E827="Base"),Dashboard!$R$5,IF(AND($I827="Base",$E827="Red"),Dashboard!$R$6,IF(AND($I827="Base",$E827="Gold"),Dashboard!$R$7,VLOOKUP($I827,Dashboard!$Q$16:$R$21,2,FALSE)))))*VLOOKUP($I827,Dashboard!$Q$9:$R$13,2,FALSE)*IF(AND($I827="Auto",$F827="",OR($B827="Autographs Duals",$B827="Autographs Triples",$B827="Autographs Quads",$B827="Autographs Quads (Inscribed)")),IF($B827="Autographs Duals",2,IF($B827="Autographs Triples",3,4)),1)))</f>
        <v>40</v>
      </c>
      <c r="AB827" s="62">
        <f t="shared" si="167"/>
        <v>40</v>
      </c>
      <c r="AC827" s="62">
        <f t="shared" si="168"/>
        <v>0</v>
      </c>
    </row>
    <row r="828" spans="1:29" ht="28.7" customHeight="1" x14ac:dyDescent="0.25">
      <c r="A828" s="4" t="s">
        <v>19</v>
      </c>
      <c r="B828" s="7" t="s">
        <v>81</v>
      </c>
      <c r="C828" s="2" t="s">
        <v>1526</v>
      </c>
      <c r="D828" s="7" t="s">
        <v>1085</v>
      </c>
      <c r="E828" s="4" t="s">
        <v>780</v>
      </c>
      <c r="F828" s="2">
        <v>25</v>
      </c>
      <c r="G828" s="2" t="s">
        <v>1399</v>
      </c>
      <c r="H828" s="2" t="s">
        <v>1400</v>
      </c>
      <c r="I828" s="4" t="s">
        <v>60</v>
      </c>
      <c r="J828" s="112">
        <f>IF($H828&lt;&gt;"Y",0,ROUND(MIN(Dashboard!$R$24,IF(IFERROR(VLOOKUP($B828,Dashboard!$Q$28:$S$60,2,FALSE),0)&gt;0,IFERROR(VLOOKUP($B828,Dashboard!$Q$28:$S$60,2,FALSE),0),$Z828*IF($U828&lt;&gt;"",ROUND((Dashboard!$R$4/$U828)*VLOOKUP($I828,Dashboard!$Q$9:$R$13,2,FALSE)*IF(ISNUMBER(SEARCH("Duals",$B828)),2,IF(ISNUMBER(SEARCH("Triples",$B828)),3,IF(ISNUMBER(SEARCH("Quads",$B828)),4,1))),2),ROUND(VLOOKUP($I828,Dashboard!$Q$15:$R$20,2,FALSE)*IF($E828="Red",Dashboard!$R$6,IF($E828="Gold",Dashboard!$R$7,Dashboard!$R$5))*IF(ISNUMBER(SEARCH("Duals",$B828)),2,IF(ISNUMBER(SEARCH("Triples",$B828)),3,IF(ISNUMBER(SEARCH("Quads",$B828)),4,1))),2))*IF(IFERROR(VLOOKUP($B828,Dashboard!$Q$28:$S$60,3,FALSE),0)&gt;0,VLOOKUP($B828,Dashboard!$Q$28:$S$60,3,FALSE),1))),0))</f>
        <v>40</v>
      </c>
      <c r="K828" s="2" t="str">
        <f>IF('Base S2'!H28="","",'Base S2'!H28)</f>
        <v/>
      </c>
      <c r="L828" s="2">
        <f t="shared" si="156"/>
        <v>0</v>
      </c>
      <c r="M828" s="2">
        <f t="shared" si="157"/>
        <v>0</v>
      </c>
      <c r="N828" s="2">
        <f t="shared" si="158"/>
        <v>0</v>
      </c>
      <c r="O828" s="2">
        <f t="shared" si="159"/>
        <v>1</v>
      </c>
      <c r="P828" s="112">
        <f t="shared" si="160"/>
        <v>0</v>
      </c>
      <c r="Q828" s="112">
        <f t="shared" si="161"/>
        <v>0</v>
      </c>
      <c r="R828" s="53"/>
      <c r="S828" s="53" t="str">
        <f t="shared" si="162"/>
        <v>Base S2|Black Parallel - Season 2|127|Black</v>
      </c>
      <c r="T828" s="57" t="str">
        <f>IF($S828="","",IFERROR(VLOOKUP($S828,'Pop Estimates (Non-#d)'!$N$2:$O$500,2,FALSE),""))</f>
        <v/>
      </c>
      <c r="U828" s="57">
        <f t="shared" si="163"/>
        <v>25</v>
      </c>
      <c r="V828" s="53" t="str">
        <f t="shared" si="164"/>
        <v/>
      </c>
      <c r="W828" s="53" t="str">
        <f t="shared" si="165"/>
        <v/>
      </c>
      <c r="X828" s="53" t="str">
        <f t="shared" si="166"/>
        <v/>
      </c>
      <c r="Y828" s="57" t="str">
        <f>IF($X828="","",IFERROR(VLOOKUP($X828,'Char Popularity'!$A$2:$C$500,2,FALSE),""))</f>
        <v/>
      </c>
      <c r="Z828" s="56">
        <f>IF($X828="",1,IFERROR(VLOOKUP($X828,'Char Popularity'!$A$2:$C$500,3,FALSE),1))</f>
        <v>1</v>
      </c>
      <c r="AA828" s="62">
        <f>IF($H828&lt;&gt;"Y",0,(IF($F828&lt;&gt;"",ROUND(Dashboard!$R$4/$F828,1),IF(AND($I828="Base",$E828="Base"),Dashboard!$R$5,IF(AND($I828="Base",$E828="Red"),Dashboard!$R$6,IF(AND($I828="Base",$E828="Gold"),Dashboard!$R$7,VLOOKUP($I828,Dashboard!$Q$16:$R$21,2,FALSE)))))*VLOOKUP($I828,Dashboard!$Q$9:$R$13,2,FALSE)*IF(AND($I828="Auto",$F828="",OR($B828="Autographs Duals",$B828="Autographs Triples",$B828="Autographs Quads",$B828="Autographs Quads (Inscribed)")),IF($B828="Autographs Duals",2,IF($B828="Autographs Triples",3,4)),1)))</f>
        <v>40</v>
      </c>
      <c r="AB828" s="62">
        <f t="shared" si="167"/>
        <v>0</v>
      </c>
      <c r="AC828" s="62">
        <f t="shared" si="168"/>
        <v>0</v>
      </c>
    </row>
    <row r="829" spans="1:29" ht="28.7" customHeight="1" x14ac:dyDescent="0.25">
      <c r="A829" s="4" t="s">
        <v>19</v>
      </c>
      <c r="B829" s="7" t="s">
        <v>81</v>
      </c>
      <c r="C829" s="2" t="s">
        <v>1527</v>
      </c>
      <c r="D829" s="7" t="s">
        <v>1086</v>
      </c>
      <c r="E829" s="4" t="s">
        <v>780</v>
      </c>
      <c r="F829" s="2">
        <v>25</v>
      </c>
      <c r="G829" s="2" t="s">
        <v>1399</v>
      </c>
      <c r="H829" s="2" t="s">
        <v>1400</v>
      </c>
      <c r="I829" s="4" t="s">
        <v>60</v>
      </c>
      <c r="J829" s="112">
        <f>IF($H829&lt;&gt;"Y",0,ROUND(MIN(Dashboard!$R$24,IF(IFERROR(VLOOKUP($B829,Dashboard!$Q$28:$S$60,2,FALSE),0)&gt;0,IFERROR(VLOOKUP($B829,Dashboard!$Q$28:$S$60,2,FALSE),0),$Z829*IF($U829&lt;&gt;"",ROUND((Dashboard!$R$4/$U829)*VLOOKUP($I829,Dashboard!$Q$9:$R$13,2,FALSE)*IF(ISNUMBER(SEARCH("Duals",$B829)),2,IF(ISNUMBER(SEARCH("Triples",$B829)),3,IF(ISNUMBER(SEARCH("Quads",$B829)),4,1))),2),ROUND(VLOOKUP($I829,Dashboard!$Q$15:$R$20,2,FALSE)*IF($E829="Red",Dashboard!$R$6,IF($E829="Gold",Dashboard!$R$7,Dashboard!$R$5))*IF(ISNUMBER(SEARCH("Duals",$B829)),2,IF(ISNUMBER(SEARCH("Triples",$B829)),3,IF(ISNUMBER(SEARCH("Quads",$B829)),4,1))),2))*IF(IFERROR(VLOOKUP($B829,Dashboard!$Q$28:$S$60,3,FALSE),0)&gt;0,VLOOKUP($B829,Dashboard!$Q$28:$S$60,3,FALSE),1))),0))</f>
        <v>40</v>
      </c>
      <c r="K829" s="2" t="str">
        <f>IF('Base S2'!H29="","",'Base S2'!H29)</f>
        <v/>
      </c>
      <c r="L829" s="2">
        <f t="shared" si="156"/>
        <v>0</v>
      </c>
      <c r="M829" s="2">
        <f t="shared" si="157"/>
        <v>0</v>
      </c>
      <c r="N829" s="2">
        <f t="shared" si="158"/>
        <v>0</v>
      </c>
      <c r="O829" s="2">
        <f t="shared" si="159"/>
        <v>1</v>
      </c>
      <c r="P829" s="112">
        <f t="shared" si="160"/>
        <v>0</v>
      </c>
      <c r="Q829" s="112">
        <f t="shared" si="161"/>
        <v>0</v>
      </c>
      <c r="R829" s="53"/>
      <c r="S829" s="53" t="str">
        <f t="shared" si="162"/>
        <v>Base S2|Black Parallel - Season 2|128|Black</v>
      </c>
      <c r="T829" s="57" t="str">
        <f>IF($S829="","",IFERROR(VLOOKUP($S829,'Pop Estimates (Non-#d)'!$N$2:$O$500,2,FALSE),""))</f>
        <v/>
      </c>
      <c r="U829" s="57">
        <f t="shared" si="163"/>
        <v>25</v>
      </c>
      <c r="V829" s="53" t="str">
        <f t="shared" si="164"/>
        <v/>
      </c>
      <c r="W829" s="53" t="str">
        <f t="shared" si="165"/>
        <v/>
      </c>
      <c r="X829" s="53" t="str">
        <f t="shared" si="166"/>
        <v/>
      </c>
      <c r="Y829" s="57" t="str">
        <f>IF($X829="","",IFERROR(VLOOKUP($X829,'Char Popularity'!$A$2:$C$500,2,FALSE),""))</f>
        <v/>
      </c>
      <c r="Z829" s="56">
        <f>IF($X829="",1,IFERROR(VLOOKUP($X829,'Char Popularity'!$A$2:$C$500,3,FALSE),1))</f>
        <v>1</v>
      </c>
      <c r="AA829" s="62">
        <f>IF($H829&lt;&gt;"Y",0,(IF($F829&lt;&gt;"",ROUND(Dashboard!$R$4/$F829,1),IF(AND($I829="Base",$E829="Base"),Dashboard!$R$5,IF(AND($I829="Base",$E829="Red"),Dashboard!$R$6,IF(AND($I829="Base",$E829="Gold"),Dashboard!$R$7,VLOOKUP($I829,Dashboard!$Q$16:$R$21,2,FALSE)))))*VLOOKUP($I829,Dashboard!$Q$9:$R$13,2,FALSE)*IF(AND($I829="Auto",$F829="",OR($B829="Autographs Duals",$B829="Autographs Triples",$B829="Autographs Quads",$B829="Autographs Quads (Inscribed)")),IF($B829="Autographs Duals",2,IF($B829="Autographs Triples",3,4)),1)))</f>
        <v>40</v>
      </c>
      <c r="AB829" s="62">
        <f t="shared" si="167"/>
        <v>0</v>
      </c>
      <c r="AC829" s="62">
        <f t="shared" si="168"/>
        <v>0</v>
      </c>
    </row>
    <row r="830" spans="1:29" ht="28.7" customHeight="1" x14ac:dyDescent="0.25">
      <c r="A830" s="4" t="s">
        <v>19</v>
      </c>
      <c r="B830" s="7" t="s">
        <v>81</v>
      </c>
      <c r="C830" s="2" t="s">
        <v>1528</v>
      </c>
      <c r="D830" s="7" t="s">
        <v>1088</v>
      </c>
      <c r="E830" s="4" t="s">
        <v>780</v>
      </c>
      <c r="F830" s="2">
        <v>25</v>
      </c>
      <c r="G830" s="2" t="s">
        <v>1399</v>
      </c>
      <c r="H830" s="2" t="s">
        <v>1400</v>
      </c>
      <c r="I830" s="4" t="s">
        <v>60</v>
      </c>
      <c r="J830" s="112">
        <f>IF($H830&lt;&gt;"Y",0,ROUND(MIN(Dashboard!$R$24,IF(IFERROR(VLOOKUP($B830,Dashboard!$Q$28:$S$60,2,FALSE),0)&gt;0,IFERROR(VLOOKUP($B830,Dashboard!$Q$28:$S$60,2,FALSE),0),$Z830*IF($U830&lt;&gt;"",ROUND((Dashboard!$R$4/$U830)*VLOOKUP($I830,Dashboard!$Q$9:$R$13,2,FALSE)*IF(ISNUMBER(SEARCH("Duals",$B830)),2,IF(ISNUMBER(SEARCH("Triples",$B830)),3,IF(ISNUMBER(SEARCH("Quads",$B830)),4,1))),2),ROUND(VLOOKUP($I830,Dashboard!$Q$15:$R$20,2,FALSE)*IF($E830="Red",Dashboard!$R$6,IF($E830="Gold",Dashboard!$R$7,Dashboard!$R$5))*IF(ISNUMBER(SEARCH("Duals",$B830)),2,IF(ISNUMBER(SEARCH("Triples",$B830)),3,IF(ISNUMBER(SEARCH("Quads",$B830)),4,1))),2))*IF(IFERROR(VLOOKUP($B830,Dashboard!$Q$28:$S$60,3,FALSE),0)&gt;0,VLOOKUP($B830,Dashboard!$Q$28:$S$60,3,FALSE),1))),0))</f>
        <v>40</v>
      </c>
      <c r="K830" s="2" t="str">
        <f>IF('Base S2'!H30="","",'Base S2'!H30)</f>
        <v>C 20/25</v>
      </c>
      <c r="L830" s="2">
        <f t="shared" si="156"/>
        <v>1</v>
      </c>
      <c r="M830" s="2">
        <f t="shared" si="157"/>
        <v>0</v>
      </c>
      <c r="N830" s="2">
        <f t="shared" si="158"/>
        <v>1</v>
      </c>
      <c r="O830" s="2">
        <f t="shared" si="159"/>
        <v>0</v>
      </c>
      <c r="P830" s="112">
        <f t="shared" si="160"/>
        <v>40</v>
      </c>
      <c r="Q830" s="112">
        <f t="shared" si="161"/>
        <v>0</v>
      </c>
      <c r="R830" s="53"/>
      <c r="S830" s="53" t="str">
        <f t="shared" si="162"/>
        <v>Base S2|Black Parallel - Season 2|129|Black</v>
      </c>
      <c r="T830" s="57" t="str">
        <f>IF($S830="","",IFERROR(VLOOKUP($S830,'Pop Estimates (Non-#d)'!$N$2:$O$500,2,FALSE),""))</f>
        <v/>
      </c>
      <c r="U830" s="57">
        <f t="shared" si="163"/>
        <v>25</v>
      </c>
      <c r="V830" s="53" t="str">
        <f t="shared" si="164"/>
        <v/>
      </c>
      <c r="W830" s="53" t="str">
        <f t="shared" si="165"/>
        <v/>
      </c>
      <c r="X830" s="53" t="str">
        <f t="shared" si="166"/>
        <v/>
      </c>
      <c r="Y830" s="57" t="str">
        <f>IF($X830="","",IFERROR(VLOOKUP($X830,'Char Popularity'!$A$2:$C$500,2,FALSE),""))</f>
        <v/>
      </c>
      <c r="Z830" s="56">
        <f>IF($X830="",1,IFERROR(VLOOKUP($X830,'Char Popularity'!$A$2:$C$500,3,FALSE),1))</f>
        <v>1</v>
      </c>
      <c r="AA830" s="62">
        <f>IF($H830&lt;&gt;"Y",0,(IF($F830&lt;&gt;"",ROUND(Dashboard!$R$4/$F830,1),IF(AND($I830="Base",$E830="Base"),Dashboard!$R$5,IF(AND($I830="Base",$E830="Red"),Dashboard!$R$6,IF(AND($I830="Base",$E830="Gold"),Dashboard!$R$7,VLOOKUP($I830,Dashboard!$Q$16:$R$21,2,FALSE)))))*VLOOKUP($I830,Dashboard!$Q$9:$R$13,2,FALSE)*IF(AND($I830="Auto",$F830="",OR($B830="Autographs Duals",$B830="Autographs Triples",$B830="Autographs Quads",$B830="Autographs Quads (Inscribed)")),IF($B830="Autographs Duals",2,IF($B830="Autographs Triples",3,4)),1)))</f>
        <v>40</v>
      </c>
      <c r="AB830" s="62">
        <f t="shared" si="167"/>
        <v>40</v>
      </c>
      <c r="AC830" s="62">
        <f t="shared" si="168"/>
        <v>0</v>
      </c>
    </row>
    <row r="831" spans="1:29" ht="28.7" customHeight="1" x14ac:dyDescent="0.25">
      <c r="A831" s="4" t="s">
        <v>19</v>
      </c>
      <c r="B831" s="7" t="s">
        <v>81</v>
      </c>
      <c r="C831" s="2" t="s">
        <v>1529</v>
      </c>
      <c r="D831" s="7" t="s">
        <v>1091</v>
      </c>
      <c r="E831" s="4" t="s">
        <v>780</v>
      </c>
      <c r="F831" s="2">
        <v>25</v>
      </c>
      <c r="G831" s="2" t="s">
        <v>1399</v>
      </c>
      <c r="H831" s="2" t="s">
        <v>1400</v>
      </c>
      <c r="I831" s="4" t="s">
        <v>60</v>
      </c>
      <c r="J831" s="112">
        <f>IF($H831&lt;&gt;"Y",0,ROUND(MIN(Dashboard!$R$24,IF(IFERROR(VLOOKUP($B831,Dashboard!$Q$28:$S$60,2,FALSE),0)&gt;0,IFERROR(VLOOKUP($B831,Dashboard!$Q$28:$S$60,2,FALSE),0),$Z831*IF($U831&lt;&gt;"",ROUND((Dashboard!$R$4/$U831)*VLOOKUP($I831,Dashboard!$Q$9:$R$13,2,FALSE)*IF(ISNUMBER(SEARCH("Duals",$B831)),2,IF(ISNUMBER(SEARCH("Triples",$B831)),3,IF(ISNUMBER(SEARCH("Quads",$B831)),4,1))),2),ROUND(VLOOKUP($I831,Dashboard!$Q$15:$R$20,2,FALSE)*IF($E831="Red",Dashboard!$R$6,IF($E831="Gold",Dashboard!$R$7,Dashboard!$R$5))*IF(ISNUMBER(SEARCH("Duals",$B831)),2,IF(ISNUMBER(SEARCH("Triples",$B831)),3,IF(ISNUMBER(SEARCH("Quads",$B831)),4,1))),2))*IF(IFERROR(VLOOKUP($B831,Dashboard!$Q$28:$S$60,3,FALSE),0)&gt;0,VLOOKUP($B831,Dashboard!$Q$28:$S$60,3,FALSE),1))),0))</f>
        <v>40</v>
      </c>
      <c r="K831" s="2" t="str">
        <f>IF('Base S2'!H31="","",'Base S2'!H31)</f>
        <v>C 06/25</v>
      </c>
      <c r="L831" s="2">
        <f t="shared" si="156"/>
        <v>1</v>
      </c>
      <c r="M831" s="2">
        <f t="shared" si="157"/>
        <v>0</v>
      </c>
      <c r="N831" s="2">
        <f t="shared" si="158"/>
        <v>1</v>
      </c>
      <c r="O831" s="2">
        <f t="shared" si="159"/>
        <v>0</v>
      </c>
      <c r="P831" s="112">
        <f t="shared" si="160"/>
        <v>40</v>
      </c>
      <c r="Q831" s="112">
        <f t="shared" si="161"/>
        <v>0</v>
      </c>
      <c r="R831" s="53"/>
      <c r="S831" s="53" t="str">
        <f t="shared" si="162"/>
        <v>Base S2|Black Parallel - Season 2|130|Black</v>
      </c>
      <c r="T831" s="57" t="str">
        <f>IF($S831="","",IFERROR(VLOOKUP($S831,'Pop Estimates (Non-#d)'!$N$2:$O$500,2,FALSE),""))</f>
        <v/>
      </c>
      <c r="U831" s="57">
        <f t="shared" si="163"/>
        <v>25</v>
      </c>
      <c r="V831" s="53" t="str">
        <f t="shared" si="164"/>
        <v/>
      </c>
      <c r="W831" s="53" t="str">
        <f t="shared" si="165"/>
        <v/>
      </c>
      <c r="X831" s="53" t="str">
        <f t="shared" si="166"/>
        <v/>
      </c>
      <c r="Y831" s="57" t="str">
        <f>IF($X831="","",IFERROR(VLOOKUP($X831,'Char Popularity'!$A$2:$C$500,2,FALSE),""))</f>
        <v/>
      </c>
      <c r="Z831" s="56">
        <f>IF($X831="",1,IFERROR(VLOOKUP($X831,'Char Popularity'!$A$2:$C$500,3,FALSE),1))</f>
        <v>1</v>
      </c>
      <c r="AA831" s="62">
        <f>IF($H831&lt;&gt;"Y",0,(IF($F831&lt;&gt;"",ROUND(Dashboard!$R$4/$F831,1),IF(AND($I831="Base",$E831="Base"),Dashboard!$R$5,IF(AND($I831="Base",$E831="Red"),Dashboard!$R$6,IF(AND($I831="Base",$E831="Gold"),Dashboard!$R$7,VLOOKUP($I831,Dashboard!$Q$16:$R$21,2,FALSE)))))*VLOOKUP($I831,Dashboard!$Q$9:$R$13,2,FALSE)*IF(AND($I831="Auto",$F831="",OR($B831="Autographs Duals",$B831="Autographs Triples",$B831="Autographs Quads",$B831="Autographs Quads (Inscribed)")),IF($B831="Autographs Duals",2,IF($B831="Autographs Triples",3,4)),1)))</f>
        <v>40</v>
      </c>
      <c r="AB831" s="62">
        <f t="shared" si="167"/>
        <v>40</v>
      </c>
      <c r="AC831" s="62">
        <f t="shared" si="168"/>
        <v>0</v>
      </c>
    </row>
    <row r="832" spans="1:29" ht="28.7" customHeight="1" x14ac:dyDescent="0.25">
      <c r="A832" s="4" t="s">
        <v>19</v>
      </c>
      <c r="B832" s="7" t="s">
        <v>81</v>
      </c>
      <c r="C832" s="2" t="s">
        <v>1530</v>
      </c>
      <c r="D832" s="7" t="s">
        <v>1093</v>
      </c>
      <c r="E832" s="4" t="s">
        <v>780</v>
      </c>
      <c r="F832" s="2">
        <v>25</v>
      </c>
      <c r="G832" s="2" t="s">
        <v>1399</v>
      </c>
      <c r="H832" s="2" t="s">
        <v>1400</v>
      </c>
      <c r="I832" s="4" t="s">
        <v>60</v>
      </c>
      <c r="J832" s="112">
        <f>IF($H832&lt;&gt;"Y",0,ROUND(MIN(Dashboard!$R$24,IF(IFERROR(VLOOKUP($B832,Dashboard!$Q$28:$S$60,2,FALSE),0)&gt;0,IFERROR(VLOOKUP($B832,Dashboard!$Q$28:$S$60,2,FALSE),0),$Z832*IF($U832&lt;&gt;"",ROUND((Dashboard!$R$4/$U832)*VLOOKUP($I832,Dashboard!$Q$9:$R$13,2,FALSE)*IF(ISNUMBER(SEARCH("Duals",$B832)),2,IF(ISNUMBER(SEARCH("Triples",$B832)),3,IF(ISNUMBER(SEARCH("Quads",$B832)),4,1))),2),ROUND(VLOOKUP($I832,Dashboard!$Q$15:$R$20,2,FALSE)*IF($E832="Red",Dashboard!$R$6,IF($E832="Gold",Dashboard!$R$7,Dashboard!$R$5))*IF(ISNUMBER(SEARCH("Duals",$B832)),2,IF(ISNUMBER(SEARCH("Triples",$B832)),3,IF(ISNUMBER(SEARCH("Quads",$B832)),4,1))),2))*IF(IFERROR(VLOOKUP($B832,Dashboard!$Q$28:$S$60,3,FALSE),0)&gt;0,VLOOKUP($B832,Dashboard!$Q$28:$S$60,3,FALSE),1))),0))</f>
        <v>40</v>
      </c>
      <c r="K832" s="2" t="str">
        <f>IF('Base S2'!H32="","",'Base S2'!H32)</f>
        <v>C 04/25</v>
      </c>
      <c r="L832" s="2">
        <f t="shared" si="156"/>
        <v>1</v>
      </c>
      <c r="M832" s="2">
        <f t="shared" si="157"/>
        <v>0</v>
      </c>
      <c r="N832" s="2">
        <f t="shared" si="158"/>
        <v>1</v>
      </c>
      <c r="O832" s="2">
        <f t="shared" si="159"/>
        <v>0</v>
      </c>
      <c r="P832" s="112">
        <f t="shared" si="160"/>
        <v>40</v>
      </c>
      <c r="Q832" s="112">
        <f t="shared" si="161"/>
        <v>0</v>
      </c>
      <c r="R832" s="53"/>
      <c r="S832" s="53" t="str">
        <f t="shared" si="162"/>
        <v>Base S2|Black Parallel - Season 2|131|Black</v>
      </c>
      <c r="T832" s="57" t="str">
        <f>IF($S832="","",IFERROR(VLOOKUP($S832,'Pop Estimates (Non-#d)'!$N$2:$O$500,2,FALSE),""))</f>
        <v/>
      </c>
      <c r="U832" s="57">
        <f t="shared" si="163"/>
        <v>25</v>
      </c>
      <c r="V832" s="53" t="str">
        <f t="shared" si="164"/>
        <v/>
      </c>
      <c r="W832" s="53" t="str">
        <f t="shared" si="165"/>
        <v/>
      </c>
      <c r="X832" s="53" t="str">
        <f t="shared" si="166"/>
        <v/>
      </c>
      <c r="Y832" s="57" t="str">
        <f>IF($X832="","",IFERROR(VLOOKUP($X832,'Char Popularity'!$A$2:$C$500,2,FALSE),""))</f>
        <v/>
      </c>
      <c r="Z832" s="56">
        <f>IF($X832="",1,IFERROR(VLOOKUP($X832,'Char Popularity'!$A$2:$C$500,3,FALSE),1))</f>
        <v>1</v>
      </c>
      <c r="AA832" s="62">
        <f>IF($H832&lt;&gt;"Y",0,(IF($F832&lt;&gt;"",ROUND(Dashboard!$R$4/$F832,1),IF(AND($I832="Base",$E832="Base"),Dashboard!$R$5,IF(AND($I832="Base",$E832="Red"),Dashboard!$R$6,IF(AND($I832="Base",$E832="Gold"),Dashboard!$R$7,VLOOKUP($I832,Dashboard!$Q$16:$R$21,2,FALSE)))))*VLOOKUP($I832,Dashboard!$Q$9:$R$13,2,FALSE)*IF(AND($I832="Auto",$F832="",OR($B832="Autographs Duals",$B832="Autographs Triples",$B832="Autographs Quads",$B832="Autographs Quads (Inscribed)")),IF($B832="Autographs Duals",2,IF($B832="Autographs Triples",3,4)),1)))</f>
        <v>40</v>
      </c>
      <c r="AB832" s="62">
        <f t="shared" si="167"/>
        <v>40</v>
      </c>
      <c r="AC832" s="62">
        <f t="shared" si="168"/>
        <v>0</v>
      </c>
    </row>
    <row r="833" spans="1:29" ht="28.7" customHeight="1" x14ac:dyDescent="0.25">
      <c r="A833" s="4" t="s">
        <v>19</v>
      </c>
      <c r="B833" s="7" t="s">
        <v>81</v>
      </c>
      <c r="C833" s="2" t="s">
        <v>1531</v>
      </c>
      <c r="D833" s="7" t="s">
        <v>1096</v>
      </c>
      <c r="E833" s="4" t="s">
        <v>780</v>
      </c>
      <c r="F833" s="2">
        <v>25</v>
      </c>
      <c r="G833" s="2" t="s">
        <v>1399</v>
      </c>
      <c r="H833" s="2" t="s">
        <v>1400</v>
      </c>
      <c r="I833" s="4" t="s">
        <v>60</v>
      </c>
      <c r="J833" s="112">
        <f>IF($H833&lt;&gt;"Y",0,ROUND(MIN(Dashboard!$R$24,IF(IFERROR(VLOOKUP($B833,Dashboard!$Q$28:$S$60,2,FALSE),0)&gt;0,IFERROR(VLOOKUP($B833,Dashboard!$Q$28:$S$60,2,FALSE),0),$Z833*IF($U833&lt;&gt;"",ROUND((Dashboard!$R$4/$U833)*VLOOKUP($I833,Dashboard!$Q$9:$R$13,2,FALSE)*IF(ISNUMBER(SEARCH("Duals",$B833)),2,IF(ISNUMBER(SEARCH("Triples",$B833)),3,IF(ISNUMBER(SEARCH("Quads",$B833)),4,1))),2),ROUND(VLOOKUP($I833,Dashboard!$Q$15:$R$20,2,FALSE)*IF($E833="Red",Dashboard!$R$6,IF($E833="Gold",Dashboard!$R$7,Dashboard!$R$5))*IF(ISNUMBER(SEARCH("Duals",$B833)),2,IF(ISNUMBER(SEARCH("Triples",$B833)),3,IF(ISNUMBER(SEARCH("Quads",$B833)),4,1))),2))*IF(IFERROR(VLOOKUP($B833,Dashboard!$Q$28:$S$60,3,FALSE),0)&gt;0,VLOOKUP($B833,Dashboard!$Q$28:$S$60,3,FALSE),1))),0))</f>
        <v>40</v>
      </c>
      <c r="K833" s="2" t="str">
        <f>IF('Base S2'!H33="","",'Base S2'!H33)</f>
        <v>C 20/25</v>
      </c>
      <c r="L833" s="2">
        <f t="shared" si="156"/>
        <v>1</v>
      </c>
      <c r="M833" s="2">
        <f t="shared" si="157"/>
        <v>0</v>
      </c>
      <c r="N833" s="2">
        <f t="shared" si="158"/>
        <v>1</v>
      </c>
      <c r="O833" s="2">
        <f t="shared" si="159"/>
        <v>0</v>
      </c>
      <c r="P833" s="112">
        <f t="shared" si="160"/>
        <v>40</v>
      </c>
      <c r="Q833" s="112">
        <f t="shared" si="161"/>
        <v>0</v>
      </c>
      <c r="R833" s="53"/>
      <c r="S833" s="53" t="str">
        <f t="shared" si="162"/>
        <v>Base S2|Black Parallel - Season 2|132|Black</v>
      </c>
      <c r="T833" s="57" t="str">
        <f>IF($S833="","",IFERROR(VLOOKUP($S833,'Pop Estimates (Non-#d)'!$N$2:$O$500,2,FALSE),""))</f>
        <v/>
      </c>
      <c r="U833" s="57">
        <f t="shared" si="163"/>
        <v>25</v>
      </c>
      <c r="V833" s="53" t="str">
        <f t="shared" si="164"/>
        <v/>
      </c>
      <c r="W833" s="53" t="str">
        <f t="shared" si="165"/>
        <v/>
      </c>
      <c r="X833" s="53" t="str">
        <f t="shared" si="166"/>
        <v/>
      </c>
      <c r="Y833" s="57" t="str">
        <f>IF($X833="","",IFERROR(VLOOKUP($X833,'Char Popularity'!$A$2:$C$500,2,FALSE),""))</f>
        <v/>
      </c>
      <c r="Z833" s="56">
        <f>IF($X833="",1,IFERROR(VLOOKUP($X833,'Char Popularity'!$A$2:$C$500,3,FALSE),1))</f>
        <v>1</v>
      </c>
      <c r="AA833" s="62">
        <f>IF($H833&lt;&gt;"Y",0,(IF($F833&lt;&gt;"",ROUND(Dashboard!$R$4/$F833,1),IF(AND($I833="Base",$E833="Base"),Dashboard!$R$5,IF(AND($I833="Base",$E833="Red"),Dashboard!$R$6,IF(AND($I833="Base",$E833="Gold"),Dashboard!$R$7,VLOOKUP($I833,Dashboard!$Q$16:$R$21,2,FALSE)))))*VLOOKUP($I833,Dashboard!$Q$9:$R$13,2,FALSE)*IF(AND($I833="Auto",$F833="",OR($B833="Autographs Duals",$B833="Autographs Triples",$B833="Autographs Quads",$B833="Autographs Quads (Inscribed)")),IF($B833="Autographs Duals",2,IF($B833="Autographs Triples",3,4)),1)))</f>
        <v>40</v>
      </c>
      <c r="AB833" s="62">
        <f t="shared" si="167"/>
        <v>40</v>
      </c>
      <c r="AC833" s="62">
        <f t="shared" si="168"/>
        <v>0</v>
      </c>
    </row>
    <row r="834" spans="1:29" ht="28.7" customHeight="1" x14ac:dyDescent="0.25">
      <c r="A834" s="4" t="s">
        <v>19</v>
      </c>
      <c r="B834" s="7" t="s">
        <v>81</v>
      </c>
      <c r="C834" s="2" t="s">
        <v>1532</v>
      </c>
      <c r="D834" s="7" t="s">
        <v>1097</v>
      </c>
      <c r="E834" s="4" t="s">
        <v>780</v>
      </c>
      <c r="F834" s="2">
        <v>25</v>
      </c>
      <c r="G834" s="2" t="s">
        <v>1399</v>
      </c>
      <c r="H834" s="2" t="s">
        <v>1400</v>
      </c>
      <c r="I834" s="4" t="s">
        <v>60</v>
      </c>
      <c r="J834" s="112">
        <f>IF($H834&lt;&gt;"Y",0,ROUND(MIN(Dashboard!$R$24,IF(IFERROR(VLOOKUP($B834,Dashboard!$Q$28:$S$60,2,FALSE),0)&gt;0,IFERROR(VLOOKUP($B834,Dashboard!$Q$28:$S$60,2,FALSE),0),$Z834*IF($U834&lt;&gt;"",ROUND((Dashboard!$R$4/$U834)*VLOOKUP($I834,Dashboard!$Q$9:$R$13,2,FALSE)*IF(ISNUMBER(SEARCH("Duals",$B834)),2,IF(ISNUMBER(SEARCH("Triples",$B834)),3,IF(ISNUMBER(SEARCH("Quads",$B834)),4,1))),2),ROUND(VLOOKUP($I834,Dashboard!$Q$15:$R$20,2,FALSE)*IF($E834="Red",Dashboard!$R$6,IF($E834="Gold",Dashboard!$R$7,Dashboard!$R$5))*IF(ISNUMBER(SEARCH("Duals",$B834)),2,IF(ISNUMBER(SEARCH("Triples",$B834)),3,IF(ISNUMBER(SEARCH("Quads",$B834)),4,1))),2))*IF(IFERROR(VLOOKUP($B834,Dashboard!$Q$28:$S$60,3,FALSE),0)&gt;0,VLOOKUP($B834,Dashboard!$Q$28:$S$60,3,FALSE),1))),0))</f>
        <v>40</v>
      </c>
      <c r="K834" s="2" t="str">
        <f>IF('Base S2'!H34="","",'Base S2'!H34)</f>
        <v/>
      </c>
      <c r="L834" s="2">
        <f t="shared" ref="L834:L897" si="169">IF(AND($K834&lt;&gt;"",LEFT($K834,1)&lt;&gt;"Y"),1,0)</f>
        <v>0</v>
      </c>
      <c r="M834" s="2">
        <f t="shared" ref="M834:M897" si="170">IF(LEFT($K834,1)="Y",1,0)</f>
        <v>0</v>
      </c>
      <c r="N834" s="2">
        <f t="shared" ref="N834:N897" si="171">$L834+$M834</f>
        <v>0</v>
      </c>
      <c r="O834" s="2">
        <f t="shared" ref="O834:O897" si="172">IF($H834="Y",1-$N834,0)</f>
        <v>1</v>
      </c>
      <c r="P834" s="112">
        <f t="shared" ref="P834:P897" si="173">IF($L834=1,$J834,0)</f>
        <v>0</v>
      </c>
      <c r="Q834" s="112">
        <f t="shared" ref="Q834:Q897" si="174">IF($M834=1,$J834,0)</f>
        <v>0</v>
      </c>
      <c r="R834" s="53"/>
      <c r="S834" s="53" t="str">
        <f t="shared" ref="S834:S897" si="175">IF($A834="","",$A834&amp;"|"&amp;$B834&amp;"|"&amp;$C834&amp;"|"&amp;$E834)</f>
        <v>Base S2|Black Parallel - Season 2|133|Black</v>
      </c>
      <c r="T834" s="57" t="str">
        <f>IF($S834="","",IFERROR(VLOOKUP($S834,'Pop Estimates (Non-#d)'!$N$2:$O$500,2,FALSE),""))</f>
        <v/>
      </c>
      <c r="U834" s="57">
        <f t="shared" ref="U834:U897" si="176">IF($A834="","",IF($F834&lt;&gt;"",$F834,$T834))</f>
        <v>25</v>
      </c>
      <c r="V834" s="53" t="str">
        <f t="shared" ref="V834:V897" si="177">IF($A834="","",IF(ISNUMBER(SEARCH(" as ",$D834)),MID($D834,SEARCH(" as ",$D834)+4,255),IF(ISNUMBER(SEARCH("/",$D834)),LEFT($D834,FIND("/",$D834&amp;"/")-1),"")))</f>
        <v/>
      </c>
      <c r="W834" s="53" t="str">
        <f t="shared" ref="W834:W897" si="178">IF($V834="","",TRIM(IFERROR(MID($V834,SEARCH("(", $V834)+1,SEARCH(")",$V834)-SEARCH("(", $V834)-1),$V834)))</f>
        <v/>
      </c>
      <c r="X834" s="53" t="str">
        <f t="shared" ref="X834:X897" si="179">IF($W834="","",TRIM(LEFT($W834&amp;"""",FIND("""",$W834&amp;"""")-1)))</f>
        <v/>
      </c>
      <c r="Y834" s="57" t="str">
        <f>IF($X834="","",IFERROR(VLOOKUP($X834,'Char Popularity'!$A$2:$C$500,2,FALSE),""))</f>
        <v/>
      </c>
      <c r="Z834" s="56">
        <f>IF($X834="",1,IFERROR(VLOOKUP($X834,'Char Popularity'!$A$2:$C$500,3,FALSE),1))</f>
        <v>1</v>
      </c>
      <c r="AA834" s="62">
        <f>IF($H834&lt;&gt;"Y",0,(IF($F834&lt;&gt;"",ROUND(Dashboard!$R$4/$F834,1),IF(AND($I834="Base",$E834="Base"),Dashboard!$R$5,IF(AND($I834="Base",$E834="Red"),Dashboard!$R$6,IF(AND($I834="Base",$E834="Gold"),Dashboard!$R$7,VLOOKUP($I834,Dashboard!$Q$16:$R$21,2,FALSE)))))*VLOOKUP($I834,Dashboard!$Q$9:$R$13,2,FALSE)*IF(AND($I834="Auto",$F834="",OR($B834="Autographs Duals",$B834="Autographs Triples",$B834="Autographs Quads",$B834="Autographs Quads (Inscribed)")),IF($B834="Autographs Duals",2,IF($B834="Autographs Triples",3,4)),1)))</f>
        <v>40</v>
      </c>
      <c r="AB834" s="62">
        <f t="shared" ref="AB834:AB897" si="180">IF($L834=1,$AA834,0)</f>
        <v>0</v>
      </c>
      <c r="AC834" s="62">
        <f t="shared" ref="AC834:AC897" si="181">IF($M834=1,$AA834,0)</f>
        <v>0</v>
      </c>
    </row>
    <row r="835" spans="1:29" ht="28.7" customHeight="1" x14ac:dyDescent="0.25">
      <c r="A835" s="4" t="s">
        <v>19</v>
      </c>
      <c r="B835" s="7" t="s">
        <v>81</v>
      </c>
      <c r="C835" s="2" t="s">
        <v>1533</v>
      </c>
      <c r="D835" s="7" t="s">
        <v>1099</v>
      </c>
      <c r="E835" s="4" t="s">
        <v>780</v>
      </c>
      <c r="F835" s="2">
        <v>25</v>
      </c>
      <c r="G835" s="2" t="s">
        <v>1399</v>
      </c>
      <c r="H835" s="2" t="s">
        <v>1400</v>
      </c>
      <c r="I835" s="4" t="s">
        <v>60</v>
      </c>
      <c r="J835" s="112">
        <f>IF($H835&lt;&gt;"Y",0,ROUND(MIN(Dashboard!$R$24,IF(IFERROR(VLOOKUP($B835,Dashboard!$Q$28:$S$60,2,FALSE),0)&gt;0,IFERROR(VLOOKUP($B835,Dashboard!$Q$28:$S$60,2,FALSE),0),$Z835*IF($U835&lt;&gt;"",ROUND((Dashboard!$R$4/$U835)*VLOOKUP($I835,Dashboard!$Q$9:$R$13,2,FALSE)*IF(ISNUMBER(SEARCH("Duals",$B835)),2,IF(ISNUMBER(SEARCH("Triples",$B835)),3,IF(ISNUMBER(SEARCH("Quads",$B835)),4,1))),2),ROUND(VLOOKUP($I835,Dashboard!$Q$15:$R$20,2,FALSE)*IF($E835="Red",Dashboard!$R$6,IF($E835="Gold",Dashboard!$R$7,Dashboard!$R$5))*IF(ISNUMBER(SEARCH("Duals",$B835)),2,IF(ISNUMBER(SEARCH("Triples",$B835)),3,IF(ISNUMBER(SEARCH("Quads",$B835)),4,1))),2))*IF(IFERROR(VLOOKUP($B835,Dashboard!$Q$28:$S$60,3,FALSE),0)&gt;0,VLOOKUP($B835,Dashboard!$Q$28:$S$60,3,FALSE),1))),0))</f>
        <v>40</v>
      </c>
      <c r="K835" s="2" t="str">
        <f>IF('Base S2'!H35="","",'Base S2'!H35)</f>
        <v/>
      </c>
      <c r="L835" s="2">
        <f t="shared" si="169"/>
        <v>0</v>
      </c>
      <c r="M835" s="2">
        <f t="shared" si="170"/>
        <v>0</v>
      </c>
      <c r="N835" s="2">
        <f t="shared" si="171"/>
        <v>0</v>
      </c>
      <c r="O835" s="2">
        <f t="shared" si="172"/>
        <v>1</v>
      </c>
      <c r="P835" s="112">
        <f t="shared" si="173"/>
        <v>0</v>
      </c>
      <c r="Q835" s="112">
        <f t="shared" si="174"/>
        <v>0</v>
      </c>
      <c r="R835" s="53"/>
      <c r="S835" s="53" t="str">
        <f t="shared" si="175"/>
        <v>Base S2|Black Parallel - Season 2|134|Black</v>
      </c>
      <c r="T835" s="57" t="str">
        <f>IF($S835="","",IFERROR(VLOOKUP($S835,'Pop Estimates (Non-#d)'!$N$2:$O$500,2,FALSE),""))</f>
        <v/>
      </c>
      <c r="U835" s="57">
        <f t="shared" si="176"/>
        <v>25</v>
      </c>
      <c r="V835" s="53" t="str">
        <f t="shared" si="177"/>
        <v/>
      </c>
      <c r="W835" s="53" t="str">
        <f t="shared" si="178"/>
        <v/>
      </c>
      <c r="X835" s="53" t="str">
        <f t="shared" si="179"/>
        <v/>
      </c>
      <c r="Y835" s="57" t="str">
        <f>IF($X835="","",IFERROR(VLOOKUP($X835,'Char Popularity'!$A$2:$C$500,2,FALSE),""))</f>
        <v/>
      </c>
      <c r="Z835" s="56">
        <f>IF($X835="",1,IFERROR(VLOOKUP($X835,'Char Popularity'!$A$2:$C$500,3,FALSE),1))</f>
        <v>1</v>
      </c>
      <c r="AA835" s="62">
        <f>IF($H835&lt;&gt;"Y",0,(IF($F835&lt;&gt;"",ROUND(Dashboard!$R$4/$F835,1),IF(AND($I835="Base",$E835="Base"),Dashboard!$R$5,IF(AND($I835="Base",$E835="Red"),Dashboard!$R$6,IF(AND($I835="Base",$E835="Gold"),Dashboard!$R$7,VLOOKUP($I835,Dashboard!$Q$16:$R$21,2,FALSE)))))*VLOOKUP($I835,Dashboard!$Q$9:$R$13,2,FALSE)*IF(AND($I835="Auto",$F835="",OR($B835="Autographs Duals",$B835="Autographs Triples",$B835="Autographs Quads",$B835="Autographs Quads (Inscribed)")),IF($B835="Autographs Duals",2,IF($B835="Autographs Triples",3,4)),1)))</f>
        <v>40</v>
      </c>
      <c r="AB835" s="62">
        <f t="shared" si="180"/>
        <v>0</v>
      </c>
      <c r="AC835" s="62">
        <f t="shared" si="181"/>
        <v>0</v>
      </c>
    </row>
    <row r="836" spans="1:29" ht="28.7" customHeight="1" x14ac:dyDescent="0.25">
      <c r="A836" s="4" t="s">
        <v>19</v>
      </c>
      <c r="B836" s="7" t="s">
        <v>81</v>
      </c>
      <c r="C836" s="2" t="s">
        <v>1534</v>
      </c>
      <c r="D836" s="7" t="s">
        <v>1100</v>
      </c>
      <c r="E836" s="4" t="s">
        <v>780</v>
      </c>
      <c r="F836" s="2">
        <v>25</v>
      </c>
      <c r="G836" s="2" t="s">
        <v>1399</v>
      </c>
      <c r="H836" s="2" t="s">
        <v>1400</v>
      </c>
      <c r="I836" s="4" t="s">
        <v>60</v>
      </c>
      <c r="J836" s="112">
        <f>IF($H836&lt;&gt;"Y",0,ROUND(MIN(Dashboard!$R$24,IF(IFERROR(VLOOKUP($B836,Dashboard!$Q$28:$S$60,2,FALSE),0)&gt;0,IFERROR(VLOOKUP($B836,Dashboard!$Q$28:$S$60,2,FALSE),0),$Z836*IF($U836&lt;&gt;"",ROUND((Dashboard!$R$4/$U836)*VLOOKUP($I836,Dashboard!$Q$9:$R$13,2,FALSE)*IF(ISNUMBER(SEARCH("Duals",$B836)),2,IF(ISNUMBER(SEARCH("Triples",$B836)),3,IF(ISNUMBER(SEARCH("Quads",$B836)),4,1))),2),ROUND(VLOOKUP($I836,Dashboard!$Q$15:$R$20,2,FALSE)*IF($E836="Red",Dashboard!$R$6,IF($E836="Gold",Dashboard!$R$7,Dashboard!$R$5))*IF(ISNUMBER(SEARCH("Duals",$B836)),2,IF(ISNUMBER(SEARCH("Triples",$B836)),3,IF(ISNUMBER(SEARCH("Quads",$B836)),4,1))),2))*IF(IFERROR(VLOOKUP($B836,Dashboard!$Q$28:$S$60,3,FALSE),0)&gt;0,VLOOKUP($B836,Dashboard!$Q$28:$S$60,3,FALSE),1))),0))</f>
        <v>40</v>
      </c>
      <c r="K836" s="2" t="str">
        <f>IF('Base S2'!H36="","",'Base S2'!H36)</f>
        <v/>
      </c>
      <c r="L836" s="2">
        <f t="shared" si="169"/>
        <v>0</v>
      </c>
      <c r="M836" s="2">
        <f t="shared" si="170"/>
        <v>0</v>
      </c>
      <c r="N836" s="2">
        <f t="shared" si="171"/>
        <v>0</v>
      </c>
      <c r="O836" s="2">
        <f t="shared" si="172"/>
        <v>1</v>
      </c>
      <c r="P836" s="112">
        <f t="shared" si="173"/>
        <v>0</v>
      </c>
      <c r="Q836" s="112">
        <f t="shared" si="174"/>
        <v>0</v>
      </c>
      <c r="R836" s="53"/>
      <c r="S836" s="53" t="str">
        <f t="shared" si="175"/>
        <v>Base S2|Black Parallel - Season 2|135|Black</v>
      </c>
      <c r="T836" s="57" t="str">
        <f>IF($S836="","",IFERROR(VLOOKUP($S836,'Pop Estimates (Non-#d)'!$N$2:$O$500,2,FALSE),""))</f>
        <v/>
      </c>
      <c r="U836" s="57">
        <f t="shared" si="176"/>
        <v>25</v>
      </c>
      <c r="V836" s="53" t="str">
        <f t="shared" si="177"/>
        <v/>
      </c>
      <c r="W836" s="53" t="str">
        <f t="shared" si="178"/>
        <v/>
      </c>
      <c r="X836" s="53" t="str">
        <f t="shared" si="179"/>
        <v/>
      </c>
      <c r="Y836" s="57" t="str">
        <f>IF($X836="","",IFERROR(VLOOKUP($X836,'Char Popularity'!$A$2:$C$500,2,FALSE),""))</f>
        <v/>
      </c>
      <c r="Z836" s="56">
        <f>IF($X836="",1,IFERROR(VLOOKUP($X836,'Char Popularity'!$A$2:$C$500,3,FALSE),1))</f>
        <v>1</v>
      </c>
      <c r="AA836" s="62">
        <f>IF($H836&lt;&gt;"Y",0,(IF($F836&lt;&gt;"",ROUND(Dashboard!$R$4/$F836,1),IF(AND($I836="Base",$E836="Base"),Dashboard!$R$5,IF(AND($I836="Base",$E836="Red"),Dashboard!$R$6,IF(AND($I836="Base",$E836="Gold"),Dashboard!$R$7,VLOOKUP($I836,Dashboard!$Q$16:$R$21,2,FALSE)))))*VLOOKUP($I836,Dashboard!$Q$9:$R$13,2,FALSE)*IF(AND($I836="Auto",$F836="",OR($B836="Autographs Duals",$B836="Autographs Triples",$B836="Autographs Quads",$B836="Autographs Quads (Inscribed)")),IF($B836="Autographs Duals",2,IF($B836="Autographs Triples",3,4)),1)))</f>
        <v>40</v>
      </c>
      <c r="AB836" s="62">
        <f t="shared" si="180"/>
        <v>0</v>
      </c>
      <c r="AC836" s="62">
        <f t="shared" si="181"/>
        <v>0</v>
      </c>
    </row>
    <row r="837" spans="1:29" ht="28.7" customHeight="1" x14ac:dyDescent="0.25">
      <c r="A837" s="4" t="s">
        <v>19</v>
      </c>
      <c r="B837" s="7" t="s">
        <v>81</v>
      </c>
      <c r="C837" s="2" t="s">
        <v>1535</v>
      </c>
      <c r="D837" s="7" t="s">
        <v>1101</v>
      </c>
      <c r="E837" s="4" t="s">
        <v>780</v>
      </c>
      <c r="F837" s="2">
        <v>25</v>
      </c>
      <c r="G837" s="2" t="s">
        <v>1399</v>
      </c>
      <c r="H837" s="2" t="s">
        <v>1400</v>
      </c>
      <c r="I837" s="4" t="s">
        <v>60</v>
      </c>
      <c r="J837" s="112">
        <f>IF($H837&lt;&gt;"Y",0,ROUND(MIN(Dashboard!$R$24,IF(IFERROR(VLOOKUP($B837,Dashboard!$Q$28:$S$60,2,FALSE),0)&gt;0,IFERROR(VLOOKUP($B837,Dashboard!$Q$28:$S$60,2,FALSE),0),$Z837*IF($U837&lt;&gt;"",ROUND((Dashboard!$R$4/$U837)*VLOOKUP($I837,Dashboard!$Q$9:$R$13,2,FALSE)*IF(ISNUMBER(SEARCH("Duals",$B837)),2,IF(ISNUMBER(SEARCH("Triples",$B837)),3,IF(ISNUMBER(SEARCH("Quads",$B837)),4,1))),2),ROUND(VLOOKUP($I837,Dashboard!$Q$15:$R$20,2,FALSE)*IF($E837="Red",Dashboard!$R$6,IF($E837="Gold",Dashboard!$R$7,Dashboard!$R$5))*IF(ISNUMBER(SEARCH("Duals",$B837)),2,IF(ISNUMBER(SEARCH("Triples",$B837)),3,IF(ISNUMBER(SEARCH("Quads",$B837)),4,1))),2))*IF(IFERROR(VLOOKUP($B837,Dashboard!$Q$28:$S$60,3,FALSE),0)&gt;0,VLOOKUP($B837,Dashboard!$Q$28:$S$60,3,FALSE),1))),0))</f>
        <v>40</v>
      </c>
      <c r="K837" s="2" t="str">
        <f>IF('Base S2'!H37="","",'Base S2'!H37)</f>
        <v/>
      </c>
      <c r="L837" s="2">
        <f t="shared" si="169"/>
        <v>0</v>
      </c>
      <c r="M837" s="2">
        <f t="shared" si="170"/>
        <v>0</v>
      </c>
      <c r="N837" s="2">
        <f t="shared" si="171"/>
        <v>0</v>
      </c>
      <c r="O837" s="2">
        <f t="shared" si="172"/>
        <v>1</v>
      </c>
      <c r="P837" s="112">
        <f t="shared" si="173"/>
        <v>0</v>
      </c>
      <c r="Q837" s="112">
        <f t="shared" si="174"/>
        <v>0</v>
      </c>
      <c r="R837" s="53"/>
      <c r="S837" s="53" t="str">
        <f t="shared" si="175"/>
        <v>Base S2|Black Parallel - Season 2|136|Black</v>
      </c>
      <c r="T837" s="57" t="str">
        <f>IF($S837="","",IFERROR(VLOOKUP($S837,'Pop Estimates (Non-#d)'!$N$2:$O$500,2,FALSE),""))</f>
        <v/>
      </c>
      <c r="U837" s="57">
        <f t="shared" si="176"/>
        <v>25</v>
      </c>
      <c r="V837" s="53" t="str">
        <f t="shared" si="177"/>
        <v/>
      </c>
      <c r="W837" s="53" t="str">
        <f t="shared" si="178"/>
        <v/>
      </c>
      <c r="X837" s="53" t="str">
        <f t="shared" si="179"/>
        <v/>
      </c>
      <c r="Y837" s="57" t="str">
        <f>IF($X837="","",IFERROR(VLOOKUP($X837,'Char Popularity'!$A$2:$C$500,2,FALSE),""))</f>
        <v/>
      </c>
      <c r="Z837" s="56">
        <f>IF($X837="",1,IFERROR(VLOOKUP($X837,'Char Popularity'!$A$2:$C$500,3,FALSE),1))</f>
        <v>1</v>
      </c>
      <c r="AA837" s="62">
        <f>IF($H837&lt;&gt;"Y",0,(IF($F837&lt;&gt;"",ROUND(Dashboard!$R$4/$F837,1),IF(AND($I837="Base",$E837="Base"),Dashboard!$R$5,IF(AND($I837="Base",$E837="Red"),Dashboard!$R$6,IF(AND($I837="Base",$E837="Gold"),Dashboard!$R$7,VLOOKUP($I837,Dashboard!$Q$16:$R$21,2,FALSE)))))*VLOOKUP($I837,Dashboard!$Q$9:$R$13,2,FALSE)*IF(AND($I837="Auto",$F837="",OR($B837="Autographs Duals",$B837="Autographs Triples",$B837="Autographs Quads",$B837="Autographs Quads (Inscribed)")),IF($B837="Autographs Duals",2,IF($B837="Autographs Triples",3,4)),1)))</f>
        <v>40</v>
      </c>
      <c r="AB837" s="62">
        <f t="shared" si="180"/>
        <v>0</v>
      </c>
      <c r="AC837" s="62">
        <f t="shared" si="181"/>
        <v>0</v>
      </c>
    </row>
    <row r="838" spans="1:29" ht="28.7" customHeight="1" x14ac:dyDescent="0.25">
      <c r="A838" s="4" t="s">
        <v>19</v>
      </c>
      <c r="B838" s="7" t="s">
        <v>81</v>
      </c>
      <c r="C838" s="2" t="s">
        <v>1536</v>
      </c>
      <c r="D838" s="7" t="s">
        <v>1103</v>
      </c>
      <c r="E838" s="4" t="s">
        <v>780</v>
      </c>
      <c r="F838" s="2">
        <v>25</v>
      </c>
      <c r="G838" s="2" t="s">
        <v>1399</v>
      </c>
      <c r="H838" s="2" t="s">
        <v>1400</v>
      </c>
      <c r="I838" s="4" t="s">
        <v>60</v>
      </c>
      <c r="J838" s="112">
        <f>IF($H838&lt;&gt;"Y",0,ROUND(MIN(Dashboard!$R$24,IF(IFERROR(VLOOKUP($B838,Dashboard!$Q$28:$S$60,2,FALSE),0)&gt;0,IFERROR(VLOOKUP($B838,Dashboard!$Q$28:$S$60,2,FALSE),0),$Z838*IF($U838&lt;&gt;"",ROUND((Dashboard!$R$4/$U838)*VLOOKUP($I838,Dashboard!$Q$9:$R$13,2,FALSE)*IF(ISNUMBER(SEARCH("Duals",$B838)),2,IF(ISNUMBER(SEARCH("Triples",$B838)),3,IF(ISNUMBER(SEARCH("Quads",$B838)),4,1))),2),ROUND(VLOOKUP($I838,Dashboard!$Q$15:$R$20,2,FALSE)*IF($E838="Red",Dashboard!$R$6,IF($E838="Gold",Dashboard!$R$7,Dashboard!$R$5))*IF(ISNUMBER(SEARCH("Duals",$B838)),2,IF(ISNUMBER(SEARCH("Triples",$B838)),3,IF(ISNUMBER(SEARCH("Quads",$B838)),4,1))),2))*IF(IFERROR(VLOOKUP($B838,Dashboard!$Q$28:$S$60,3,FALSE),0)&gt;0,VLOOKUP($B838,Dashboard!$Q$28:$S$60,3,FALSE),1))),0))</f>
        <v>40</v>
      </c>
      <c r="K838" s="2" t="str">
        <f>IF('Base S2'!H38="","",'Base S2'!H38)</f>
        <v>C 20/25</v>
      </c>
      <c r="L838" s="2">
        <f t="shared" si="169"/>
        <v>1</v>
      </c>
      <c r="M838" s="2">
        <f t="shared" si="170"/>
        <v>0</v>
      </c>
      <c r="N838" s="2">
        <f t="shared" si="171"/>
        <v>1</v>
      </c>
      <c r="O838" s="2">
        <f t="shared" si="172"/>
        <v>0</v>
      </c>
      <c r="P838" s="112">
        <f t="shared" si="173"/>
        <v>40</v>
      </c>
      <c r="Q838" s="112">
        <f t="shared" si="174"/>
        <v>0</v>
      </c>
      <c r="R838" s="53"/>
      <c r="S838" s="53" t="str">
        <f t="shared" si="175"/>
        <v>Base S2|Black Parallel - Season 2|137|Black</v>
      </c>
      <c r="T838" s="57" t="str">
        <f>IF($S838="","",IFERROR(VLOOKUP($S838,'Pop Estimates (Non-#d)'!$N$2:$O$500,2,FALSE),""))</f>
        <v/>
      </c>
      <c r="U838" s="57">
        <f t="shared" si="176"/>
        <v>25</v>
      </c>
      <c r="V838" s="53" t="str">
        <f t="shared" si="177"/>
        <v/>
      </c>
      <c r="W838" s="53" t="str">
        <f t="shared" si="178"/>
        <v/>
      </c>
      <c r="X838" s="53" t="str">
        <f t="shared" si="179"/>
        <v/>
      </c>
      <c r="Y838" s="57" t="str">
        <f>IF($X838="","",IFERROR(VLOOKUP($X838,'Char Popularity'!$A$2:$C$500,2,FALSE),""))</f>
        <v/>
      </c>
      <c r="Z838" s="56">
        <f>IF($X838="",1,IFERROR(VLOOKUP($X838,'Char Popularity'!$A$2:$C$500,3,FALSE),1))</f>
        <v>1</v>
      </c>
      <c r="AA838" s="62">
        <f>IF($H838&lt;&gt;"Y",0,(IF($F838&lt;&gt;"",ROUND(Dashboard!$R$4/$F838,1),IF(AND($I838="Base",$E838="Base"),Dashboard!$R$5,IF(AND($I838="Base",$E838="Red"),Dashboard!$R$6,IF(AND($I838="Base",$E838="Gold"),Dashboard!$R$7,VLOOKUP($I838,Dashboard!$Q$16:$R$21,2,FALSE)))))*VLOOKUP($I838,Dashboard!$Q$9:$R$13,2,FALSE)*IF(AND($I838="Auto",$F838="",OR($B838="Autographs Duals",$B838="Autographs Triples",$B838="Autographs Quads",$B838="Autographs Quads (Inscribed)")),IF($B838="Autographs Duals",2,IF($B838="Autographs Triples",3,4)),1)))</f>
        <v>40</v>
      </c>
      <c r="AB838" s="62">
        <f t="shared" si="180"/>
        <v>40</v>
      </c>
      <c r="AC838" s="62">
        <f t="shared" si="181"/>
        <v>0</v>
      </c>
    </row>
    <row r="839" spans="1:29" ht="28.7" customHeight="1" x14ac:dyDescent="0.25">
      <c r="A839" s="4" t="s">
        <v>19</v>
      </c>
      <c r="B839" s="7" t="s">
        <v>81</v>
      </c>
      <c r="C839" s="2" t="s">
        <v>1537</v>
      </c>
      <c r="D839" s="7" t="s">
        <v>1104</v>
      </c>
      <c r="E839" s="4" t="s">
        <v>780</v>
      </c>
      <c r="F839" s="2">
        <v>25</v>
      </c>
      <c r="G839" s="2" t="s">
        <v>1399</v>
      </c>
      <c r="H839" s="2" t="s">
        <v>1400</v>
      </c>
      <c r="I839" s="4" t="s">
        <v>60</v>
      </c>
      <c r="J839" s="112">
        <f>IF($H839&lt;&gt;"Y",0,ROUND(MIN(Dashboard!$R$24,IF(IFERROR(VLOOKUP($B839,Dashboard!$Q$28:$S$60,2,FALSE),0)&gt;0,IFERROR(VLOOKUP($B839,Dashboard!$Q$28:$S$60,2,FALSE),0),$Z839*IF($U839&lt;&gt;"",ROUND((Dashboard!$R$4/$U839)*VLOOKUP($I839,Dashboard!$Q$9:$R$13,2,FALSE)*IF(ISNUMBER(SEARCH("Duals",$B839)),2,IF(ISNUMBER(SEARCH("Triples",$B839)),3,IF(ISNUMBER(SEARCH("Quads",$B839)),4,1))),2),ROUND(VLOOKUP($I839,Dashboard!$Q$15:$R$20,2,FALSE)*IF($E839="Red",Dashboard!$R$6,IF($E839="Gold",Dashboard!$R$7,Dashboard!$R$5))*IF(ISNUMBER(SEARCH("Duals",$B839)),2,IF(ISNUMBER(SEARCH("Triples",$B839)),3,IF(ISNUMBER(SEARCH("Quads",$B839)),4,1))),2))*IF(IFERROR(VLOOKUP($B839,Dashboard!$Q$28:$S$60,3,FALSE),0)&gt;0,VLOOKUP($B839,Dashboard!$Q$28:$S$60,3,FALSE),1))),0))</f>
        <v>40</v>
      </c>
      <c r="K839" s="2" t="str">
        <f>IF('Base S2'!H39="","",'Base S2'!H39)</f>
        <v/>
      </c>
      <c r="L839" s="2">
        <f t="shared" si="169"/>
        <v>0</v>
      </c>
      <c r="M839" s="2">
        <f t="shared" si="170"/>
        <v>0</v>
      </c>
      <c r="N839" s="2">
        <f t="shared" si="171"/>
        <v>0</v>
      </c>
      <c r="O839" s="2">
        <f t="shared" si="172"/>
        <v>1</v>
      </c>
      <c r="P839" s="112">
        <f t="shared" si="173"/>
        <v>0</v>
      </c>
      <c r="Q839" s="112">
        <f t="shared" si="174"/>
        <v>0</v>
      </c>
      <c r="R839" s="53"/>
      <c r="S839" s="53" t="str">
        <f t="shared" si="175"/>
        <v>Base S2|Black Parallel - Season 2|138|Black</v>
      </c>
      <c r="T839" s="57" t="str">
        <f>IF($S839="","",IFERROR(VLOOKUP($S839,'Pop Estimates (Non-#d)'!$N$2:$O$500,2,FALSE),""))</f>
        <v/>
      </c>
      <c r="U839" s="57">
        <f t="shared" si="176"/>
        <v>25</v>
      </c>
      <c r="V839" s="53" t="str">
        <f t="shared" si="177"/>
        <v/>
      </c>
      <c r="W839" s="53" t="str">
        <f t="shared" si="178"/>
        <v/>
      </c>
      <c r="X839" s="53" t="str">
        <f t="shared" si="179"/>
        <v/>
      </c>
      <c r="Y839" s="57" t="str">
        <f>IF($X839="","",IFERROR(VLOOKUP($X839,'Char Popularity'!$A$2:$C$500,2,FALSE),""))</f>
        <v/>
      </c>
      <c r="Z839" s="56">
        <f>IF($X839="",1,IFERROR(VLOOKUP($X839,'Char Popularity'!$A$2:$C$500,3,FALSE),1))</f>
        <v>1</v>
      </c>
      <c r="AA839" s="62">
        <f>IF($H839&lt;&gt;"Y",0,(IF($F839&lt;&gt;"",ROUND(Dashboard!$R$4/$F839,1),IF(AND($I839="Base",$E839="Base"),Dashboard!$R$5,IF(AND($I839="Base",$E839="Red"),Dashboard!$R$6,IF(AND($I839="Base",$E839="Gold"),Dashboard!$R$7,VLOOKUP($I839,Dashboard!$Q$16:$R$21,2,FALSE)))))*VLOOKUP($I839,Dashboard!$Q$9:$R$13,2,FALSE)*IF(AND($I839="Auto",$F839="",OR($B839="Autographs Duals",$B839="Autographs Triples",$B839="Autographs Quads",$B839="Autographs Quads (Inscribed)")),IF($B839="Autographs Duals",2,IF($B839="Autographs Triples",3,4)),1)))</f>
        <v>40</v>
      </c>
      <c r="AB839" s="62">
        <f t="shared" si="180"/>
        <v>0</v>
      </c>
      <c r="AC839" s="62">
        <f t="shared" si="181"/>
        <v>0</v>
      </c>
    </row>
    <row r="840" spans="1:29" ht="28.7" customHeight="1" x14ac:dyDescent="0.25">
      <c r="A840" s="4" t="s">
        <v>19</v>
      </c>
      <c r="B840" s="7" t="s">
        <v>81</v>
      </c>
      <c r="C840" s="2" t="s">
        <v>1538</v>
      </c>
      <c r="D840" s="7" t="s">
        <v>1106</v>
      </c>
      <c r="E840" s="4" t="s">
        <v>780</v>
      </c>
      <c r="F840" s="2">
        <v>25</v>
      </c>
      <c r="G840" s="2" t="s">
        <v>1399</v>
      </c>
      <c r="H840" s="2" t="s">
        <v>1400</v>
      </c>
      <c r="I840" s="4" t="s">
        <v>60</v>
      </c>
      <c r="J840" s="112">
        <f>IF($H840&lt;&gt;"Y",0,ROUND(MIN(Dashboard!$R$24,IF(IFERROR(VLOOKUP($B840,Dashboard!$Q$28:$S$60,2,FALSE),0)&gt;0,IFERROR(VLOOKUP($B840,Dashboard!$Q$28:$S$60,2,FALSE),0),$Z840*IF($U840&lt;&gt;"",ROUND((Dashboard!$R$4/$U840)*VLOOKUP($I840,Dashboard!$Q$9:$R$13,2,FALSE)*IF(ISNUMBER(SEARCH("Duals",$B840)),2,IF(ISNUMBER(SEARCH("Triples",$B840)),3,IF(ISNUMBER(SEARCH("Quads",$B840)),4,1))),2),ROUND(VLOOKUP($I840,Dashboard!$Q$15:$R$20,2,FALSE)*IF($E840="Red",Dashboard!$R$6,IF($E840="Gold",Dashboard!$R$7,Dashboard!$R$5))*IF(ISNUMBER(SEARCH("Duals",$B840)),2,IF(ISNUMBER(SEARCH("Triples",$B840)),3,IF(ISNUMBER(SEARCH("Quads",$B840)),4,1))),2))*IF(IFERROR(VLOOKUP($B840,Dashboard!$Q$28:$S$60,3,FALSE),0)&gt;0,VLOOKUP($B840,Dashboard!$Q$28:$S$60,3,FALSE),1))),0))</f>
        <v>40</v>
      </c>
      <c r="K840" s="2" t="str">
        <f>IF('Base S2'!H40="","",'Base S2'!H40)</f>
        <v>V 16/25</v>
      </c>
      <c r="L840" s="2">
        <f t="shared" si="169"/>
        <v>1</v>
      </c>
      <c r="M840" s="2">
        <f t="shared" si="170"/>
        <v>0</v>
      </c>
      <c r="N840" s="2">
        <f t="shared" si="171"/>
        <v>1</v>
      </c>
      <c r="O840" s="2">
        <f t="shared" si="172"/>
        <v>0</v>
      </c>
      <c r="P840" s="112">
        <f t="shared" si="173"/>
        <v>40</v>
      </c>
      <c r="Q840" s="112">
        <f t="shared" si="174"/>
        <v>0</v>
      </c>
      <c r="R840" s="53"/>
      <c r="S840" s="53" t="str">
        <f t="shared" si="175"/>
        <v>Base S2|Black Parallel - Season 2|139|Black</v>
      </c>
      <c r="T840" s="57" t="str">
        <f>IF($S840="","",IFERROR(VLOOKUP($S840,'Pop Estimates (Non-#d)'!$N$2:$O$500,2,FALSE),""))</f>
        <v/>
      </c>
      <c r="U840" s="57">
        <f t="shared" si="176"/>
        <v>25</v>
      </c>
      <c r="V840" s="53" t="str">
        <f t="shared" si="177"/>
        <v/>
      </c>
      <c r="W840" s="53" t="str">
        <f t="shared" si="178"/>
        <v/>
      </c>
      <c r="X840" s="53" t="str">
        <f t="shared" si="179"/>
        <v/>
      </c>
      <c r="Y840" s="57" t="str">
        <f>IF($X840="","",IFERROR(VLOOKUP($X840,'Char Popularity'!$A$2:$C$500,2,FALSE),""))</f>
        <v/>
      </c>
      <c r="Z840" s="56">
        <f>IF($X840="",1,IFERROR(VLOOKUP($X840,'Char Popularity'!$A$2:$C$500,3,FALSE),1))</f>
        <v>1</v>
      </c>
      <c r="AA840" s="62">
        <f>IF($H840&lt;&gt;"Y",0,(IF($F840&lt;&gt;"",ROUND(Dashboard!$R$4/$F840,1),IF(AND($I840="Base",$E840="Base"),Dashboard!$R$5,IF(AND($I840="Base",$E840="Red"),Dashboard!$R$6,IF(AND($I840="Base",$E840="Gold"),Dashboard!$R$7,VLOOKUP($I840,Dashboard!$Q$16:$R$21,2,FALSE)))))*VLOOKUP($I840,Dashboard!$Q$9:$R$13,2,FALSE)*IF(AND($I840="Auto",$F840="",OR($B840="Autographs Duals",$B840="Autographs Triples",$B840="Autographs Quads",$B840="Autographs Quads (Inscribed)")),IF($B840="Autographs Duals",2,IF($B840="Autographs Triples",3,4)),1)))</f>
        <v>40</v>
      </c>
      <c r="AB840" s="62">
        <f t="shared" si="180"/>
        <v>40</v>
      </c>
      <c r="AC840" s="62">
        <f t="shared" si="181"/>
        <v>0</v>
      </c>
    </row>
    <row r="841" spans="1:29" ht="28.7" customHeight="1" x14ac:dyDescent="0.25">
      <c r="A841" s="4" t="s">
        <v>19</v>
      </c>
      <c r="B841" s="7" t="s">
        <v>81</v>
      </c>
      <c r="C841" s="2" t="s">
        <v>1539</v>
      </c>
      <c r="D841" s="7" t="s">
        <v>1108</v>
      </c>
      <c r="E841" s="4" t="s">
        <v>780</v>
      </c>
      <c r="F841" s="2">
        <v>25</v>
      </c>
      <c r="G841" s="2" t="s">
        <v>1399</v>
      </c>
      <c r="H841" s="2" t="s">
        <v>1400</v>
      </c>
      <c r="I841" s="4" t="s">
        <v>60</v>
      </c>
      <c r="J841" s="112">
        <f>IF($H841&lt;&gt;"Y",0,ROUND(MIN(Dashboard!$R$24,IF(IFERROR(VLOOKUP($B841,Dashboard!$Q$28:$S$60,2,FALSE),0)&gt;0,IFERROR(VLOOKUP($B841,Dashboard!$Q$28:$S$60,2,FALSE),0),$Z841*IF($U841&lt;&gt;"",ROUND((Dashboard!$R$4/$U841)*VLOOKUP($I841,Dashboard!$Q$9:$R$13,2,FALSE)*IF(ISNUMBER(SEARCH("Duals",$B841)),2,IF(ISNUMBER(SEARCH("Triples",$B841)),3,IF(ISNUMBER(SEARCH("Quads",$B841)),4,1))),2),ROUND(VLOOKUP($I841,Dashboard!$Q$15:$R$20,2,FALSE)*IF($E841="Red",Dashboard!$R$6,IF($E841="Gold",Dashboard!$R$7,Dashboard!$R$5))*IF(ISNUMBER(SEARCH("Duals",$B841)),2,IF(ISNUMBER(SEARCH("Triples",$B841)),3,IF(ISNUMBER(SEARCH("Quads",$B841)),4,1))),2))*IF(IFERROR(VLOOKUP($B841,Dashboard!$Q$28:$S$60,3,FALSE),0)&gt;0,VLOOKUP($B841,Dashboard!$Q$28:$S$60,3,FALSE),1))),0))</f>
        <v>40</v>
      </c>
      <c r="K841" s="2" t="str">
        <f>IF('Base S2'!H41="","",'Base S2'!H41)</f>
        <v/>
      </c>
      <c r="L841" s="2">
        <f t="shared" si="169"/>
        <v>0</v>
      </c>
      <c r="M841" s="2">
        <f t="shared" si="170"/>
        <v>0</v>
      </c>
      <c r="N841" s="2">
        <f t="shared" si="171"/>
        <v>0</v>
      </c>
      <c r="O841" s="2">
        <f t="shared" si="172"/>
        <v>1</v>
      </c>
      <c r="P841" s="112">
        <f t="shared" si="173"/>
        <v>0</v>
      </c>
      <c r="Q841" s="112">
        <f t="shared" si="174"/>
        <v>0</v>
      </c>
      <c r="R841" s="53"/>
      <c r="S841" s="53" t="str">
        <f t="shared" si="175"/>
        <v>Base S2|Black Parallel - Season 2|140|Black</v>
      </c>
      <c r="T841" s="57" t="str">
        <f>IF($S841="","",IFERROR(VLOOKUP($S841,'Pop Estimates (Non-#d)'!$N$2:$O$500,2,FALSE),""))</f>
        <v/>
      </c>
      <c r="U841" s="57">
        <f t="shared" si="176"/>
        <v>25</v>
      </c>
      <c r="V841" s="53" t="str">
        <f t="shared" si="177"/>
        <v/>
      </c>
      <c r="W841" s="53" t="str">
        <f t="shared" si="178"/>
        <v/>
      </c>
      <c r="X841" s="53" t="str">
        <f t="shared" si="179"/>
        <v/>
      </c>
      <c r="Y841" s="57" t="str">
        <f>IF($X841="","",IFERROR(VLOOKUP($X841,'Char Popularity'!$A$2:$C$500,2,FALSE),""))</f>
        <v/>
      </c>
      <c r="Z841" s="56">
        <f>IF($X841="",1,IFERROR(VLOOKUP($X841,'Char Popularity'!$A$2:$C$500,3,FALSE),1))</f>
        <v>1</v>
      </c>
      <c r="AA841" s="62">
        <f>IF($H841&lt;&gt;"Y",0,(IF($F841&lt;&gt;"",ROUND(Dashboard!$R$4/$F841,1),IF(AND($I841="Base",$E841="Base"),Dashboard!$R$5,IF(AND($I841="Base",$E841="Red"),Dashboard!$R$6,IF(AND($I841="Base",$E841="Gold"),Dashboard!$R$7,VLOOKUP($I841,Dashboard!$Q$16:$R$21,2,FALSE)))))*VLOOKUP($I841,Dashboard!$Q$9:$R$13,2,FALSE)*IF(AND($I841="Auto",$F841="",OR($B841="Autographs Duals",$B841="Autographs Triples",$B841="Autographs Quads",$B841="Autographs Quads (Inscribed)")),IF($B841="Autographs Duals",2,IF($B841="Autographs Triples",3,4)),1)))</f>
        <v>40</v>
      </c>
      <c r="AB841" s="62">
        <f t="shared" si="180"/>
        <v>0</v>
      </c>
      <c r="AC841" s="62">
        <f t="shared" si="181"/>
        <v>0</v>
      </c>
    </row>
    <row r="842" spans="1:29" ht="28.7" customHeight="1" x14ac:dyDescent="0.25">
      <c r="A842" s="4" t="s">
        <v>19</v>
      </c>
      <c r="B842" s="7" t="s">
        <v>81</v>
      </c>
      <c r="C842" s="2" t="s">
        <v>1540</v>
      </c>
      <c r="D842" s="7" t="s">
        <v>1109</v>
      </c>
      <c r="E842" s="4" t="s">
        <v>780</v>
      </c>
      <c r="F842" s="2">
        <v>25</v>
      </c>
      <c r="G842" s="2" t="s">
        <v>1399</v>
      </c>
      <c r="H842" s="2" t="s">
        <v>1400</v>
      </c>
      <c r="I842" s="4" t="s">
        <v>60</v>
      </c>
      <c r="J842" s="112">
        <f>IF($H842&lt;&gt;"Y",0,ROUND(MIN(Dashboard!$R$24,IF(IFERROR(VLOOKUP($B842,Dashboard!$Q$28:$S$60,2,FALSE),0)&gt;0,IFERROR(VLOOKUP($B842,Dashboard!$Q$28:$S$60,2,FALSE),0),$Z842*IF($U842&lt;&gt;"",ROUND((Dashboard!$R$4/$U842)*VLOOKUP($I842,Dashboard!$Q$9:$R$13,2,FALSE)*IF(ISNUMBER(SEARCH("Duals",$B842)),2,IF(ISNUMBER(SEARCH("Triples",$B842)),3,IF(ISNUMBER(SEARCH("Quads",$B842)),4,1))),2),ROUND(VLOOKUP($I842,Dashboard!$Q$15:$R$20,2,FALSE)*IF($E842="Red",Dashboard!$R$6,IF($E842="Gold",Dashboard!$R$7,Dashboard!$R$5))*IF(ISNUMBER(SEARCH("Duals",$B842)),2,IF(ISNUMBER(SEARCH("Triples",$B842)),3,IF(ISNUMBER(SEARCH("Quads",$B842)),4,1))),2))*IF(IFERROR(VLOOKUP($B842,Dashboard!$Q$28:$S$60,3,FALSE),0)&gt;0,VLOOKUP($B842,Dashboard!$Q$28:$S$60,3,FALSE),1))),0))</f>
        <v>40</v>
      </c>
      <c r="K842" s="2" t="str">
        <f>IF('Base S2'!H42="","",'Base S2'!H42)</f>
        <v/>
      </c>
      <c r="L842" s="2">
        <f t="shared" si="169"/>
        <v>0</v>
      </c>
      <c r="M842" s="2">
        <f t="shared" si="170"/>
        <v>0</v>
      </c>
      <c r="N842" s="2">
        <f t="shared" si="171"/>
        <v>0</v>
      </c>
      <c r="O842" s="2">
        <f t="shared" si="172"/>
        <v>1</v>
      </c>
      <c r="P842" s="112">
        <f t="shared" si="173"/>
        <v>0</v>
      </c>
      <c r="Q842" s="112">
        <f t="shared" si="174"/>
        <v>0</v>
      </c>
      <c r="R842" s="53"/>
      <c r="S842" s="53" t="str">
        <f t="shared" si="175"/>
        <v>Base S2|Black Parallel - Season 2|141|Black</v>
      </c>
      <c r="T842" s="57" t="str">
        <f>IF($S842="","",IFERROR(VLOOKUP($S842,'Pop Estimates (Non-#d)'!$N$2:$O$500,2,FALSE),""))</f>
        <v/>
      </c>
      <c r="U842" s="57">
        <f t="shared" si="176"/>
        <v>25</v>
      </c>
      <c r="V842" s="53" t="str">
        <f t="shared" si="177"/>
        <v/>
      </c>
      <c r="W842" s="53" t="str">
        <f t="shared" si="178"/>
        <v/>
      </c>
      <c r="X842" s="53" t="str">
        <f t="shared" si="179"/>
        <v/>
      </c>
      <c r="Y842" s="57" t="str">
        <f>IF($X842="","",IFERROR(VLOOKUP($X842,'Char Popularity'!$A$2:$C$500,2,FALSE),""))</f>
        <v/>
      </c>
      <c r="Z842" s="56">
        <f>IF($X842="",1,IFERROR(VLOOKUP($X842,'Char Popularity'!$A$2:$C$500,3,FALSE),1))</f>
        <v>1</v>
      </c>
      <c r="AA842" s="62">
        <f>IF($H842&lt;&gt;"Y",0,(IF($F842&lt;&gt;"",ROUND(Dashboard!$R$4/$F842,1),IF(AND($I842="Base",$E842="Base"),Dashboard!$R$5,IF(AND($I842="Base",$E842="Red"),Dashboard!$R$6,IF(AND($I842="Base",$E842="Gold"),Dashboard!$R$7,VLOOKUP($I842,Dashboard!$Q$16:$R$21,2,FALSE)))))*VLOOKUP($I842,Dashboard!$Q$9:$R$13,2,FALSE)*IF(AND($I842="Auto",$F842="",OR($B842="Autographs Duals",$B842="Autographs Triples",$B842="Autographs Quads",$B842="Autographs Quads (Inscribed)")),IF($B842="Autographs Duals",2,IF($B842="Autographs Triples",3,4)),1)))</f>
        <v>40</v>
      </c>
      <c r="AB842" s="62">
        <f t="shared" si="180"/>
        <v>0</v>
      </c>
      <c r="AC842" s="62">
        <f t="shared" si="181"/>
        <v>0</v>
      </c>
    </row>
    <row r="843" spans="1:29" ht="28.7" customHeight="1" x14ac:dyDescent="0.25">
      <c r="A843" s="4" t="s">
        <v>19</v>
      </c>
      <c r="B843" s="7" t="s">
        <v>81</v>
      </c>
      <c r="C843" s="2" t="s">
        <v>1541</v>
      </c>
      <c r="D843" s="7" t="s">
        <v>1110</v>
      </c>
      <c r="E843" s="4" t="s">
        <v>780</v>
      </c>
      <c r="F843" s="2">
        <v>25</v>
      </c>
      <c r="G843" s="2" t="s">
        <v>1399</v>
      </c>
      <c r="H843" s="2" t="s">
        <v>1400</v>
      </c>
      <c r="I843" s="4" t="s">
        <v>60</v>
      </c>
      <c r="J843" s="112">
        <f>IF($H843&lt;&gt;"Y",0,ROUND(MIN(Dashboard!$R$24,IF(IFERROR(VLOOKUP($B843,Dashboard!$Q$28:$S$60,2,FALSE),0)&gt;0,IFERROR(VLOOKUP($B843,Dashboard!$Q$28:$S$60,2,FALSE),0),$Z843*IF($U843&lt;&gt;"",ROUND((Dashboard!$R$4/$U843)*VLOOKUP($I843,Dashboard!$Q$9:$R$13,2,FALSE)*IF(ISNUMBER(SEARCH("Duals",$B843)),2,IF(ISNUMBER(SEARCH("Triples",$B843)),3,IF(ISNUMBER(SEARCH("Quads",$B843)),4,1))),2),ROUND(VLOOKUP($I843,Dashboard!$Q$15:$R$20,2,FALSE)*IF($E843="Red",Dashboard!$R$6,IF($E843="Gold",Dashboard!$R$7,Dashboard!$R$5))*IF(ISNUMBER(SEARCH("Duals",$B843)),2,IF(ISNUMBER(SEARCH("Triples",$B843)),3,IF(ISNUMBER(SEARCH("Quads",$B843)),4,1))),2))*IF(IFERROR(VLOOKUP($B843,Dashboard!$Q$28:$S$60,3,FALSE),0)&gt;0,VLOOKUP($B843,Dashboard!$Q$28:$S$60,3,FALSE),1))),0))</f>
        <v>40</v>
      </c>
      <c r="K843" s="2" t="str">
        <f>IF('Base S2'!H43="","",'Base S2'!H43)</f>
        <v/>
      </c>
      <c r="L843" s="2">
        <f t="shared" si="169"/>
        <v>0</v>
      </c>
      <c r="M843" s="2">
        <f t="shared" si="170"/>
        <v>0</v>
      </c>
      <c r="N843" s="2">
        <f t="shared" si="171"/>
        <v>0</v>
      </c>
      <c r="O843" s="2">
        <f t="shared" si="172"/>
        <v>1</v>
      </c>
      <c r="P843" s="112">
        <f t="shared" si="173"/>
        <v>0</v>
      </c>
      <c r="Q843" s="112">
        <f t="shared" si="174"/>
        <v>0</v>
      </c>
      <c r="R843" s="53"/>
      <c r="S843" s="53" t="str">
        <f t="shared" si="175"/>
        <v>Base S2|Black Parallel - Season 2|142|Black</v>
      </c>
      <c r="T843" s="57" t="str">
        <f>IF($S843="","",IFERROR(VLOOKUP($S843,'Pop Estimates (Non-#d)'!$N$2:$O$500,2,FALSE),""))</f>
        <v/>
      </c>
      <c r="U843" s="57">
        <f t="shared" si="176"/>
        <v>25</v>
      </c>
      <c r="V843" s="53" t="str">
        <f t="shared" si="177"/>
        <v/>
      </c>
      <c r="W843" s="53" t="str">
        <f t="shared" si="178"/>
        <v/>
      </c>
      <c r="X843" s="53" t="str">
        <f t="shared" si="179"/>
        <v/>
      </c>
      <c r="Y843" s="57" t="str">
        <f>IF($X843="","",IFERROR(VLOOKUP($X843,'Char Popularity'!$A$2:$C$500,2,FALSE),""))</f>
        <v/>
      </c>
      <c r="Z843" s="56">
        <f>IF($X843="",1,IFERROR(VLOOKUP($X843,'Char Popularity'!$A$2:$C$500,3,FALSE),1))</f>
        <v>1</v>
      </c>
      <c r="AA843" s="62">
        <f>IF($H843&lt;&gt;"Y",0,(IF($F843&lt;&gt;"",ROUND(Dashboard!$R$4/$F843,1),IF(AND($I843="Base",$E843="Base"),Dashboard!$R$5,IF(AND($I843="Base",$E843="Red"),Dashboard!$R$6,IF(AND($I843="Base",$E843="Gold"),Dashboard!$R$7,VLOOKUP($I843,Dashboard!$Q$16:$R$21,2,FALSE)))))*VLOOKUP($I843,Dashboard!$Q$9:$R$13,2,FALSE)*IF(AND($I843="Auto",$F843="",OR($B843="Autographs Duals",$B843="Autographs Triples",$B843="Autographs Quads",$B843="Autographs Quads (Inscribed)")),IF($B843="Autographs Duals",2,IF($B843="Autographs Triples",3,4)),1)))</f>
        <v>40</v>
      </c>
      <c r="AB843" s="62">
        <f t="shared" si="180"/>
        <v>0</v>
      </c>
      <c r="AC843" s="62">
        <f t="shared" si="181"/>
        <v>0</v>
      </c>
    </row>
    <row r="844" spans="1:29" ht="28.7" customHeight="1" x14ac:dyDescent="0.25">
      <c r="A844" s="4" t="s">
        <v>19</v>
      </c>
      <c r="B844" s="7" t="s">
        <v>81</v>
      </c>
      <c r="C844" s="2" t="s">
        <v>1542</v>
      </c>
      <c r="D844" s="7" t="s">
        <v>1111</v>
      </c>
      <c r="E844" s="4" t="s">
        <v>780</v>
      </c>
      <c r="F844" s="2">
        <v>25</v>
      </c>
      <c r="G844" s="2" t="s">
        <v>1399</v>
      </c>
      <c r="H844" s="2" t="s">
        <v>1400</v>
      </c>
      <c r="I844" s="4" t="s">
        <v>60</v>
      </c>
      <c r="J844" s="112">
        <f>IF($H844&lt;&gt;"Y",0,ROUND(MIN(Dashboard!$R$24,IF(IFERROR(VLOOKUP($B844,Dashboard!$Q$28:$S$60,2,FALSE),0)&gt;0,IFERROR(VLOOKUP($B844,Dashboard!$Q$28:$S$60,2,FALSE),0),$Z844*IF($U844&lt;&gt;"",ROUND((Dashboard!$R$4/$U844)*VLOOKUP($I844,Dashboard!$Q$9:$R$13,2,FALSE)*IF(ISNUMBER(SEARCH("Duals",$B844)),2,IF(ISNUMBER(SEARCH("Triples",$B844)),3,IF(ISNUMBER(SEARCH("Quads",$B844)),4,1))),2),ROUND(VLOOKUP($I844,Dashboard!$Q$15:$R$20,2,FALSE)*IF($E844="Red",Dashboard!$R$6,IF($E844="Gold",Dashboard!$R$7,Dashboard!$R$5))*IF(ISNUMBER(SEARCH("Duals",$B844)),2,IF(ISNUMBER(SEARCH("Triples",$B844)),3,IF(ISNUMBER(SEARCH("Quads",$B844)),4,1))),2))*IF(IFERROR(VLOOKUP($B844,Dashboard!$Q$28:$S$60,3,FALSE),0)&gt;0,VLOOKUP($B844,Dashboard!$Q$28:$S$60,3,FALSE),1))),0))</f>
        <v>40</v>
      </c>
      <c r="K844" s="2" t="str">
        <f>IF('Base S2'!H44="","",'Base S2'!H44)</f>
        <v>C 02/25</v>
      </c>
      <c r="L844" s="2">
        <f t="shared" si="169"/>
        <v>1</v>
      </c>
      <c r="M844" s="2">
        <f t="shared" si="170"/>
        <v>0</v>
      </c>
      <c r="N844" s="2">
        <f t="shared" si="171"/>
        <v>1</v>
      </c>
      <c r="O844" s="2">
        <f t="shared" si="172"/>
        <v>0</v>
      </c>
      <c r="P844" s="112">
        <f t="shared" si="173"/>
        <v>40</v>
      </c>
      <c r="Q844" s="112">
        <f t="shared" si="174"/>
        <v>0</v>
      </c>
      <c r="R844" s="53"/>
      <c r="S844" s="53" t="str">
        <f t="shared" si="175"/>
        <v>Base S2|Black Parallel - Season 2|143|Black</v>
      </c>
      <c r="T844" s="57" t="str">
        <f>IF($S844="","",IFERROR(VLOOKUP($S844,'Pop Estimates (Non-#d)'!$N$2:$O$500,2,FALSE),""))</f>
        <v/>
      </c>
      <c r="U844" s="57">
        <f t="shared" si="176"/>
        <v>25</v>
      </c>
      <c r="V844" s="53" t="str">
        <f t="shared" si="177"/>
        <v/>
      </c>
      <c r="W844" s="53" t="str">
        <f t="shared" si="178"/>
        <v/>
      </c>
      <c r="X844" s="53" t="str">
        <f t="shared" si="179"/>
        <v/>
      </c>
      <c r="Y844" s="57" t="str">
        <f>IF($X844="","",IFERROR(VLOOKUP($X844,'Char Popularity'!$A$2:$C$500,2,FALSE),""))</f>
        <v/>
      </c>
      <c r="Z844" s="56">
        <f>IF($X844="",1,IFERROR(VLOOKUP($X844,'Char Popularity'!$A$2:$C$500,3,FALSE),1))</f>
        <v>1</v>
      </c>
      <c r="AA844" s="62">
        <f>IF($H844&lt;&gt;"Y",0,(IF($F844&lt;&gt;"",ROUND(Dashboard!$R$4/$F844,1),IF(AND($I844="Base",$E844="Base"),Dashboard!$R$5,IF(AND($I844="Base",$E844="Red"),Dashboard!$R$6,IF(AND($I844="Base",$E844="Gold"),Dashboard!$R$7,VLOOKUP($I844,Dashboard!$Q$16:$R$21,2,FALSE)))))*VLOOKUP($I844,Dashboard!$Q$9:$R$13,2,FALSE)*IF(AND($I844="Auto",$F844="",OR($B844="Autographs Duals",$B844="Autographs Triples",$B844="Autographs Quads",$B844="Autographs Quads (Inscribed)")),IF($B844="Autographs Duals",2,IF($B844="Autographs Triples",3,4)),1)))</f>
        <v>40</v>
      </c>
      <c r="AB844" s="62">
        <f t="shared" si="180"/>
        <v>40</v>
      </c>
      <c r="AC844" s="62">
        <f t="shared" si="181"/>
        <v>0</v>
      </c>
    </row>
    <row r="845" spans="1:29" ht="28.7" customHeight="1" x14ac:dyDescent="0.25">
      <c r="A845" s="4" t="s">
        <v>19</v>
      </c>
      <c r="B845" s="7" t="s">
        <v>81</v>
      </c>
      <c r="C845" s="2" t="s">
        <v>1543</v>
      </c>
      <c r="D845" s="7" t="s">
        <v>1113</v>
      </c>
      <c r="E845" s="4" t="s">
        <v>780</v>
      </c>
      <c r="F845" s="2">
        <v>25</v>
      </c>
      <c r="G845" s="2" t="s">
        <v>1399</v>
      </c>
      <c r="H845" s="2" t="s">
        <v>1400</v>
      </c>
      <c r="I845" s="4" t="s">
        <v>60</v>
      </c>
      <c r="J845" s="112">
        <f>IF($H845&lt;&gt;"Y",0,ROUND(MIN(Dashboard!$R$24,IF(IFERROR(VLOOKUP($B845,Dashboard!$Q$28:$S$60,2,FALSE),0)&gt;0,IFERROR(VLOOKUP($B845,Dashboard!$Q$28:$S$60,2,FALSE),0),$Z845*IF($U845&lt;&gt;"",ROUND((Dashboard!$R$4/$U845)*VLOOKUP($I845,Dashboard!$Q$9:$R$13,2,FALSE)*IF(ISNUMBER(SEARCH("Duals",$B845)),2,IF(ISNUMBER(SEARCH("Triples",$B845)),3,IF(ISNUMBER(SEARCH("Quads",$B845)),4,1))),2),ROUND(VLOOKUP($I845,Dashboard!$Q$15:$R$20,2,FALSE)*IF($E845="Red",Dashboard!$R$6,IF($E845="Gold",Dashboard!$R$7,Dashboard!$R$5))*IF(ISNUMBER(SEARCH("Duals",$B845)),2,IF(ISNUMBER(SEARCH("Triples",$B845)),3,IF(ISNUMBER(SEARCH("Quads",$B845)),4,1))),2))*IF(IFERROR(VLOOKUP($B845,Dashboard!$Q$28:$S$60,3,FALSE),0)&gt;0,VLOOKUP($B845,Dashboard!$Q$28:$S$60,3,FALSE),1))),0))</f>
        <v>40</v>
      </c>
      <c r="K845" s="2" t="str">
        <f>IF('Base S2'!H45="","",'Base S2'!H45)</f>
        <v/>
      </c>
      <c r="L845" s="2">
        <f t="shared" si="169"/>
        <v>0</v>
      </c>
      <c r="M845" s="2">
        <f t="shared" si="170"/>
        <v>0</v>
      </c>
      <c r="N845" s="2">
        <f t="shared" si="171"/>
        <v>0</v>
      </c>
      <c r="O845" s="2">
        <f t="shared" si="172"/>
        <v>1</v>
      </c>
      <c r="P845" s="112">
        <f t="shared" si="173"/>
        <v>0</v>
      </c>
      <c r="Q845" s="112">
        <f t="shared" si="174"/>
        <v>0</v>
      </c>
      <c r="R845" s="53"/>
      <c r="S845" s="53" t="str">
        <f t="shared" si="175"/>
        <v>Base S2|Black Parallel - Season 2|144|Black</v>
      </c>
      <c r="T845" s="57" t="str">
        <f>IF($S845="","",IFERROR(VLOOKUP($S845,'Pop Estimates (Non-#d)'!$N$2:$O$500,2,FALSE),""))</f>
        <v/>
      </c>
      <c r="U845" s="57">
        <f t="shared" si="176"/>
        <v>25</v>
      </c>
      <c r="V845" s="53" t="str">
        <f t="shared" si="177"/>
        <v/>
      </c>
      <c r="W845" s="53" t="str">
        <f t="shared" si="178"/>
        <v/>
      </c>
      <c r="X845" s="53" t="str">
        <f t="shared" si="179"/>
        <v/>
      </c>
      <c r="Y845" s="57" t="str">
        <f>IF($X845="","",IFERROR(VLOOKUP($X845,'Char Popularity'!$A$2:$C$500,2,FALSE),""))</f>
        <v/>
      </c>
      <c r="Z845" s="56">
        <f>IF($X845="",1,IFERROR(VLOOKUP($X845,'Char Popularity'!$A$2:$C$500,3,FALSE),1))</f>
        <v>1</v>
      </c>
      <c r="AA845" s="62">
        <f>IF($H845&lt;&gt;"Y",0,(IF($F845&lt;&gt;"",ROUND(Dashboard!$R$4/$F845,1),IF(AND($I845="Base",$E845="Base"),Dashboard!$R$5,IF(AND($I845="Base",$E845="Red"),Dashboard!$R$6,IF(AND($I845="Base",$E845="Gold"),Dashboard!$R$7,VLOOKUP($I845,Dashboard!$Q$16:$R$21,2,FALSE)))))*VLOOKUP($I845,Dashboard!$Q$9:$R$13,2,FALSE)*IF(AND($I845="Auto",$F845="",OR($B845="Autographs Duals",$B845="Autographs Triples",$B845="Autographs Quads",$B845="Autographs Quads (Inscribed)")),IF($B845="Autographs Duals",2,IF($B845="Autographs Triples",3,4)),1)))</f>
        <v>40</v>
      </c>
      <c r="AB845" s="62">
        <f t="shared" si="180"/>
        <v>0</v>
      </c>
      <c r="AC845" s="62">
        <f t="shared" si="181"/>
        <v>0</v>
      </c>
    </row>
    <row r="846" spans="1:29" ht="28.7" customHeight="1" x14ac:dyDescent="0.25">
      <c r="A846" s="4" t="s">
        <v>19</v>
      </c>
      <c r="B846" s="7" t="s">
        <v>81</v>
      </c>
      <c r="C846" s="2" t="s">
        <v>1544</v>
      </c>
      <c r="D846" s="7" t="s">
        <v>1114</v>
      </c>
      <c r="E846" s="4" t="s">
        <v>780</v>
      </c>
      <c r="F846" s="2">
        <v>25</v>
      </c>
      <c r="G846" s="2" t="s">
        <v>1399</v>
      </c>
      <c r="H846" s="2" t="s">
        <v>1400</v>
      </c>
      <c r="I846" s="4" t="s">
        <v>60</v>
      </c>
      <c r="J846" s="112">
        <f>IF($H846&lt;&gt;"Y",0,ROUND(MIN(Dashboard!$R$24,IF(IFERROR(VLOOKUP($B846,Dashboard!$Q$28:$S$60,2,FALSE),0)&gt;0,IFERROR(VLOOKUP($B846,Dashboard!$Q$28:$S$60,2,FALSE),0),$Z846*IF($U846&lt;&gt;"",ROUND((Dashboard!$R$4/$U846)*VLOOKUP($I846,Dashboard!$Q$9:$R$13,2,FALSE)*IF(ISNUMBER(SEARCH("Duals",$B846)),2,IF(ISNUMBER(SEARCH("Triples",$B846)),3,IF(ISNUMBER(SEARCH("Quads",$B846)),4,1))),2),ROUND(VLOOKUP($I846,Dashboard!$Q$15:$R$20,2,FALSE)*IF($E846="Red",Dashboard!$R$6,IF($E846="Gold",Dashboard!$R$7,Dashboard!$R$5))*IF(ISNUMBER(SEARCH("Duals",$B846)),2,IF(ISNUMBER(SEARCH("Triples",$B846)),3,IF(ISNUMBER(SEARCH("Quads",$B846)),4,1))),2))*IF(IFERROR(VLOOKUP($B846,Dashboard!$Q$28:$S$60,3,FALSE),0)&gt;0,VLOOKUP($B846,Dashboard!$Q$28:$S$60,3,FALSE),1))),0))</f>
        <v>40</v>
      </c>
      <c r="K846" s="2" t="str">
        <f>IF('Base S2'!H46="","",'Base S2'!H46)</f>
        <v/>
      </c>
      <c r="L846" s="2">
        <f t="shared" si="169"/>
        <v>0</v>
      </c>
      <c r="M846" s="2">
        <f t="shared" si="170"/>
        <v>0</v>
      </c>
      <c r="N846" s="2">
        <f t="shared" si="171"/>
        <v>0</v>
      </c>
      <c r="O846" s="2">
        <f t="shared" si="172"/>
        <v>1</v>
      </c>
      <c r="P846" s="112">
        <f t="shared" si="173"/>
        <v>0</v>
      </c>
      <c r="Q846" s="112">
        <f t="shared" si="174"/>
        <v>0</v>
      </c>
      <c r="R846" s="53"/>
      <c r="S846" s="53" t="str">
        <f t="shared" si="175"/>
        <v>Base S2|Black Parallel - Season 2|145|Black</v>
      </c>
      <c r="T846" s="57" t="str">
        <f>IF($S846="","",IFERROR(VLOOKUP($S846,'Pop Estimates (Non-#d)'!$N$2:$O$500,2,FALSE),""))</f>
        <v/>
      </c>
      <c r="U846" s="57">
        <f t="shared" si="176"/>
        <v>25</v>
      </c>
      <c r="V846" s="53" t="str">
        <f t="shared" si="177"/>
        <v/>
      </c>
      <c r="W846" s="53" t="str">
        <f t="shared" si="178"/>
        <v/>
      </c>
      <c r="X846" s="53" t="str">
        <f t="shared" si="179"/>
        <v/>
      </c>
      <c r="Y846" s="57" t="str">
        <f>IF($X846="","",IFERROR(VLOOKUP($X846,'Char Popularity'!$A$2:$C$500,2,FALSE),""))</f>
        <v/>
      </c>
      <c r="Z846" s="56">
        <f>IF($X846="",1,IFERROR(VLOOKUP($X846,'Char Popularity'!$A$2:$C$500,3,FALSE),1))</f>
        <v>1</v>
      </c>
      <c r="AA846" s="62">
        <f>IF($H846&lt;&gt;"Y",0,(IF($F846&lt;&gt;"",ROUND(Dashboard!$R$4/$F846,1),IF(AND($I846="Base",$E846="Base"),Dashboard!$R$5,IF(AND($I846="Base",$E846="Red"),Dashboard!$R$6,IF(AND($I846="Base",$E846="Gold"),Dashboard!$R$7,VLOOKUP($I846,Dashboard!$Q$16:$R$21,2,FALSE)))))*VLOOKUP($I846,Dashboard!$Q$9:$R$13,2,FALSE)*IF(AND($I846="Auto",$F846="",OR($B846="Autographs Duals",$B846="Autographs Triples",$B846="Autographs Quads",$B846="Autographs Quads (Inscribed)")),IF($B846="Autographs Duals",2,IF($B846="Autographs Triples",3,4)),1)))</f>
        <v>40</v>
      </c>
      <c r="AB846" s="62">
        <f t="shared" si="180"/>
        <v>0</v>
      </c>
      <c r="AC846" s="62">
        <f t="shared" si="181"/>
        <v>0</v>
      </c>
    </row>
    <row r="847" spans="1:29" ht="28.7" customHeight="1" x14ac:dyDescent="0.25">
      <c r="A847" s="4" t="s">
        <v>19</v>
      </c>
      <c r="B847" s="7" t="s">
        <v>81</v>
      </c>
      <c r="C847" s="2" t="s">
        <v>1545</v>
      </c>
      <c r="D847" s="7" t="s">
        <v>1116</v>
      </c>
      <c r="E847" s="4" t="s">
        <v>780</v>
      </c>
      <c r="F847" s="2">
        <v>25</v>
      </c>
      <c r="G847" s="2" t="s">
        <v>1399</v>
      </c>
      <c r="H847" s="2" t="s">
        <v>1400</v>
      </c>
      <c r="I847" s="4" t="s">
        <v>60</v>
      </c>
      <c r="J847" s="112">
        <f>IF($H847&lt;&gt;"Y",0,ROUND(MIN(Dashboard!$R$24,IF(IFERROR(VLOOKUP($B847,Dashboard!$Q$28:$S$60,2,FALSE),0)&gt;0,IFERROR(VLOOKUP($B847,Dashboard!$Q$28:$S$60,2,FALSE),0),$Z847*IF($U847&lt;&gt;"",ROUND((Dashboard!$R$4/$U847)*VLOOKUP($I847,Dashboard!$Q$9:$R$13,2,FALSE)*IF(ISNUMBER(SEARCH("Duals",$B847)),2,IF(ISNUMBER(SEARCH("Triples",$B847)),3,IF(ISNUMBER(SEARCH("Quads",$B847)),4,1))),2),ROUND(VLOOKUP($I847,Dashboard!$Q$15:$R$20,2,FALSE)*IF($E847="Red",Dashboard!$R$6,IF($E847="Gold",Dashboard!$R$7,Dashboard!$R$5))*IF(ISNUMBER(SEARCH("Duals",$B847)),2,IF(ISNUMBER(SEARCH("Triples",$B847)),3,IF(ISNUMBER(SEARCH("Quads",$B847)),4,1))),2))*IF(IFERROR(VLOOKUP($B847,Dashboard!$Q$28:$S$60,3,FALSE),0)&gt;0,VLOOKUP($B847,Dashboard!$Q$28:$S$60,3,FALSE),1))),0))</f>
        <v>40</v>
      </c>
      <c r="K847" s="2" t="str">
        <f>IF('Base S2'!H47="","",'Base S2'!H47)</f>
        <v>V 20/25</v>
      </c>
      <c r="L847" s="2">
        <f t="shared" si="169"/>
        <v>1</v>
      </c>
      <c r="M847" s="2">
        <f t="shared" si="170"/>
        <v>0</v>
      </c>
      <c r="N847" s="2">
        <f t="shared" si="171"/>
        <v>1</v>
      </c>
      <c r="O847" s="2">
        <f t="shared" si="172"/>
        <v>0</v>
      </c>
      <c r="P847" s="112">
        <f t="shared" si="173"/>
        <v>40</v>
      </c>
      <c r="Q847" s="112">
        <f t="shared" si="174"/>
        <v>0</v>
      </c>
      <c r="R847" s="53"/>
      <c r="S847" s="53" t="str">
        <f t="shared" si="175"/>
        <v>Base S2|Black Parallel - Season 2|146|Black</v>
      </c>
      <c r="T847" s="57" t="str">
        <f>IF($S847="","",IFERROR(VLOOKUP($S847,'Pop Estimates (Non-#d)'!$N$2:$O$500,2,FALSE),""))</f>
        <v/>
      </c>
      <c r="U847" s="57">
        <f t="shared" si="176"/>
        <v>25</v>
      </c>
      <c r="V847" s="53" t="str">
        <f t="shared" si="177"/>
        <v/>
      </c>
      <c r="W847" s="53" t="str">
        <f t="shared" si="178"/>
        <v/>
      </c>
      <c r="X847" s="53" t="str">
        <f t="shared" si="179"/>
        <v/>
      </c>
      <c r="Y847" s="57" t="str">
        <f>IF($X847="","",IFERROR(VLOOKUP($X847,'Char Popularity'!$A$2:$C$500,2,FALSE),""))</f>
        <v/>
      </c>
      <c r="Z847" s="56">
        <f>IF($X847="",1,IFERROR(VLOOKUP($X847,'Char Popularity'!$A$2:$C$500,3,FALSE),1))</f>
        <v>1</v>
      </c>
      <c r="AA847" s="62">
        <f>IF($H847&lt;&gt;"Y",0,(IF($F847&lt;&gt;"",ROUND(Dashboard!$R$4/$F847,1),IF(AND($I847="Base",$E847="Base"),Dashboard!$R$5,IF(AND($I847="Base",$E847="Red"),Dashboard!$R$6,IF(AND($I847="Base",$E847="Gold"),Dashboard!$R$7,VLOOKUP($I847,Dashboard!$Q$16:$R$21,2,FALSE)))))*VLOOKUP($I847,Dashboard!$Q$9:$R$13,2,FALSE)*IF(AND($I847="Auto",$F847="",OR($B847="Autographs Duals",$B847="Autographs Triples",$B847="Autographs Quads",$B847="Autographs Quads (Inscribed)")),IF($B847="Autographs Duals",2,IF($B847="Autographs Triples",3,4)),1)))</f>
        <v>40</v>
      </c>
      <c r="AB847" s="62">
        <f t="shared" si="180"/>
        <v>40</v>
      </c>
      <c r="AC847" s="62">
        <f t="shared" si="181"/>
        <v>0</v>
      </c>
    </row>
    <row r="848" spans="1:29" ht="28.7" customHeight="1" x14ac:dyDescent="0.25">
      <c r="A848" s="4" t="s">
        <v>19</v>
      </c>
      <c r="B848" s="7" t="s">
        <v>81</v>
      </c>
      <c r="C848" s="2" t="s">
        <v>1546</v>
      </c>
      <c r="D848" s="7" t="s">
        <v>1118</v>
      </c>
      <c r="E848" s="4" t="s">
        <v>780</v>
      </c>
      <c r="F848" s="2">
        <v>25</v>
      </c>
      <c r="G848" s="2" t="s">
        <v>1399</v>
      </c>
      <c r="H848" s="2" t="s">
        <v>1400</v>
      </c>
      <c r="I848" s="4" t="s">
        <v>60</v>
      </c>
      <c r="J848" s="112">
        <f>IF($H848&lt;&gt;"Y",0,ROUND(MIN(Dashboard!$R$24,IF(IFERROR(VLOOKUP($B848,Dashboard!$Q$28:$S$60,2,FALSE),0)&gt;0,IFERROR(VLOOKUP($B848,Dashboard!$Q$28:$S$60,2,FALSE),0),$Z848*IF($U848&lt;&gt;"",ROUND((Dashboard!$R$4/$U848)*VLOOKUP($I848,Dashboard!$Q$9:$R$13,2,FALSE)*IF(ISNUMBER(SEARCH("Duals",$B848)),2,IF(ISNUMBER(SEARCH("Triples",$B848)),3,IF(ISNUMBER(SEARCH("Quads",$B848)),4,1))),2),ROUND(VLOOKUP($I848,Dashboard!$Q$15:$R$20,2,FALSE)*IF($E848="Red",Dashboard!$R$6,IF($E848="Gold",Dashboard!$R$7,Dashboard!$R$5))*IF(ISNUMBER(SEARCH("Duals",$B848)),2,IF(ISNUMBER(SEARCH("Triples",$B848)),3,IF(ISNUMBER(SEARCH("Quads",$B848)),4,1))),2))*IF(IFERROR(VLOOKUP($B848,Dashboard!$Q$28:$S$60,3,FALSE),0)&gt;0,VLOOKUP($B848,Dashboard!$Q$28:$S$60,3,FALSE),1))),0))</f>
        <v>40</v>
      </c>
      <c r="K848" s="2" t="str">
        <f>IF('Base S2'!H48="","",'Base S2'!H48)</f>
        <v>C 3/25</v>
      </c>
      <c r="L848" s="2">
        <f t="shared" si="169"/>
        <v>1</v>
      </c>
      <c r="M848" s="2">
        <f t="shared" si="170"/>
        <v>0</v>
      </c>
      <c r="N848" s="2">
        <f t="shared" si="171"/>
        <v>1</v>
      </c>
      <c r="O848" s="2">
        <f t="shared" si="172"/>
        <v>0</v>
      </c>
      <c r="P848" s="112">
        <f t="shared" si="173"/>
        <v>40</v>
      </c>
      <c r="Q848" s="112">
        <f t="shared" si="174"/>
        <v>0</v>
      </c>
      <c r="R848" s="53"/>
      <c r="S848" s="53" t="str">
        <f t="shared" si="175"/>
        <v>Base S2|Black Parallel - Season 2|147|Black</v>
      </c>
      <c r="T848" s="57" t="str">
        <f>IF($S848="","",IFERROR(VLOOKUP($S848,'Pop Estimates (Non-#d)'!$N$2:$O$500,2,FALSE),""))</f>
        <v/>
      </c>
      <c r="U848" s="57">
        <f t="shared" si="176"/>
        <v>25</v>
      </c>
      <c r="V848" s="53" t="str">
        <f t="shared" si="177"/>
        <v/>
      </c>
      <c r="W848" s="53" t="str">
        <f t="shared" si="178"/>
        <v/>
      </c>
      <c r="X848" s="53" t="str">
        <f t="shared" si="179"/>
        <v/>
      </c>
      <c r="Y848" s="57" t="str">
        <f>IF($X848="","",IFERROR(VLOOKUP($X848,'Char Popularity'!$A$2:$C$500,2,FALSE),""))</f>
        <v/>
      </c>
      <c r="Z848" s="56">
        <f>IF($X848="",1,IFERROR(VLOOKUP($X848,'Char Popularity'!$A$2:$C$500,3,FALSE),1))</f>
        <v>1</v>
      </c>
      <c r="AA848" s="62">
        <f>IF($H848&lt;&gt;"Y",0,(IF($F848&lt;&gt;"",ROUND(Dashboard!$R$4/$F848,1),IF(AND($I848="Base",$E848="Base"),Dashboard!$R$5,IF(AND($I848="Base",$E848="Red"),Dashboard!$R$6,IF(AND($I848="Base",$E848="Gold"),Dashboard!$R$7,VLOOKUP($I848,Dashboard!$Q$16:$R$21,2,FALSE)))))*VLOOKUP($I848,Dashboard!$Q$9:$R$13,2,FALSE)*IF(AND($I848="Auto",$F848="",OR($B848="Autographs Duals",$B848="Autographs Triples",$B848="Autographs Quads",$B848="Autographs Quads (Inscribed)")),IF($B848="Autographs Duals",2,IF($B848="Autographs Triples",3,4)),1)))</f>
        <v>40</v>
      </c>
      <c r="AB848" s="62">
        <f t="shared" si="180"/>
        <v>40</v>
      </c>
      <c r="AC848" s="62">
        <f t="shared" si="181"/>
        <v>0</v>
      </c>
    </row>
    <row r="849" spans="1:29" ht="28.7" customHeight="1" x14ac:dyDescent="0.25">
      <c r="A849" s="4" t="s">
        <v>19</v>
      </c>
      <c r="B849" s="7" t="s">
        <v>81</v>
      </c>
      <c r="C849" s="2" t="s">
        <v>1547</v>
      </c>
      <c r="D849" s="7" t="s">
        <v>1120</v>
      </c>
      <c r="E849" s="4" t="s">
        <v>780</v>
      </c>
      <c r="F849" s="2">
        <v>25</v>
      </c>
      <c r="G849" s="2" t="s">
        <v>1399</v>
      </c>
      <c r="H849" s="2" t="s">
        <v>1400</v>
      </c>
      <c r="I849" s="4" t="s">
        <v>60</v>
      </c>
      <c r="J849" s="112">
        <f>IF($H849&lt;&gt;"Y",0,ROUND(MIN(Dashboard!$R$24,IF(IFERROR(VLOOKUP($B849,Dashboard!$Q$28:$S$60,2,FALSE),0)&gt;0,IFERROR(VLOOKUP($B849,Dashboard!$Q$28:$S$60,2,FALSE),0),$Z849*IF($U849&lt;&gt;"",ROUND((Dashboard!$R$4/$U849)*VLOOKUP($I849,Dashboard!$Q$9:$R$13,2,FALSE)*IF(ISNUMBER(SEARCH("Duals",$B849)),2,IF(ISNUMBER(SEARCH("Triples",$B849)),3,IF(ISNUMBER(SEARCH("Quads",$B849)),4,1))),2),ROUND(VLOOKUP($I849,Dashboard!$Q$15:$R$20,2,FALSE)*IF($E849="Red",Dashboard!$R$6,IF($E849="Gold",Dashboard!$R$7,Dashboard!$R$5))*IF(ISNUMBER(SEARCH("Duals",$B849)),2,IF(ISNUMBER(SEARCH("Triples",$B849)),3,IF(ISNUMBER(SEARCH("Quads",$B849)),4,1))),2))*IF(IFERROR(VLOOKUP($B849,Dashboard!$Q$28:$S$60,3,FALSE),0)&gt;0,VLOOKUP($B849,Dashboard!$Q$28:$S$60,3,FALSE),1))),0))</f>
        <v>40</v>
      </c>
      <c r="K849" s="2" t="str">
        <f>IF('Base S2'!H49="","",'Base S2'!H49)</f>
        <v>V 13/25</v>
      </c>
      <c r="L849" s="2">
        <f t="shared" si="169"/>
        <v>1</v>
      </c>
      <c r="M849" s="2">
        <f t="shared" si="170"/>
        <v>0</v>
      </c>
      <c r="N849" s="2">
        <f t="shared" si="171"/>
        <v>1</v>
      </c>
      <c r="O849" s="2">
        <f t="shared" si="172"/>
        <v>0</v>
      </c>
      <c r="P849" s="112">
        <f t="shared" si="173"/>
        <v>40</v>
      </c>
      <c r="Q849" s="112">
        <f t="shared" si="174"/>
        <v>0</v>
      </c>
      <c r="R849" s="53"/>
      <c r="S849" s="53" t="str">
        <f t="shared" si="175"/>
        <v>Base S2|Black Parallel - Season 2|148|Black</v>
      </c>
      <c r="T849" s="57" t="str">
        <f>IF($S849="","",IFERROR(VLOOKUP($S849,'Pop Estimates (Non-#d)'!$N$2:$O$500,2,FALSE),""))</f>
        <v/>
      </c>
      <c r="U849" s="57">
        <f t="shared" si="176"/>
        <v>25</v>
      </c>
      <c r="V849" s="53" t="str">
        <f t="shared" si="177"/>
        <v/>
      </c>
      <c r="W849" s="53" t="str">
        <f t="shared" si="178"/>
        <v/>
      </c>
      <c r="X849" s="53" t="str">
        <f t="shared" si="179"/>
        <v/>
      </c>
      <c r="Y849" s="57" t="str">
        <f>IF($X849="","",IFERROR(VLOOKUP($X849,'Char Popularity'!$A$2:$C$500,2,FALSE),""))</f>
        <v/>
      </c>
      <c r="Z849" s="56">
        <f>IF($X849="",1,IFERROR(VLOOKUP($X849,'Char Popularity'!$A$2:$C$500,3,FALSE),1))</f>
        <v>1</v>
      </c>
      <c r="AA849" s="62">
        <f>IF($H849&lt;&gt;"Y",0,(IF($F849&lt;&gt;"",ROUND(Dashboard!$R$4/$F849,1),IF(AND($I849="Base",$E849="Base"),Dashboard!$R$5,IF(AND($I849="Base",$E849="Red"),Dashboard!$R$6,IF(AND($I849="Base",$E849="Gold"),Dashboard!$R$7,VLOOKUP($I849,Dashboard!$Q$16:$R$21,2,FALSE)))))*VLOOKUP($I849,Dashboard!$Q$9:$R$13,2,FALSE)*IF(AND($I849="Auto",$F849="",OR($B849="Autographs Duals",$B849="Autographs Triples",$B849="Autographs Quads",$B849="Autographs Quads (Inscribed)")),IF($B849="Autographs Duals",2,IF($B849="Autographs Triples",3,4)),1)))</f>
        <v>40</v>
      </c>
      <c r="AB849" s="62">
        <f t="shared" si="180"/>
        <v>40</v>
      </c>
      <c r="AC849" s="62">
        <f t="shared" si="181"/>
        <v>0</v>
      </c>
    </row>
    <row r="850" spans="1:29" ht="28.7" customHeight="1" x14ac:dyDescent="0.25">
      <c r="A850" s="4" t="s">
        <v>19</v>
      </c>
      <c r="B850" s="7" t="s">
        <v>81</v>
      </c>
      <c r="C850" s="2" t="s">
        <v>1548</v>
      </c>
      <c r="D850" s="7" t="s">
        <v>1122</v>
      </c>
      <c r="E850" s="4" t="s">
        <v>780</v>
      </c>
      <c r="F850" s="2">
        <v>25</v>
      </c>
      <c r="G850" s="2" t="s">
        <v>1399</v>
      </c>
      <c r="H850" s="2" t="s">
        <v>1400</v>
      </c>
      <c r="I850" s="4" t="s">
        <v>60</v>
      </c>
      <c r="J850" s="112">
        <f>IF($H850&lt;&gt;"Y",0,ROUND(MIN(Dashboard!$R$24,IF(IFERROR(VLOOKUP($B850,Dashboard!$Q$28:$S$60,2,FALSE),0)&gt;0,IFERROR(VLOOKUP($B850,Dashboard!$Q$28:$S$60,2,FALSE),0),$Z850*IF($U850&lt;&gt;"",ROUND((Dashboard!$R$4/$U850)*VLOOKUP($I850,Dashboard!$Q$9:$R$13,2,FALSE)*IF(ISNUMBER(SEARCH("Duals",$B850)),2,IF(ISNUMBER(SEARCH("Triples",$B850)),3,IF(ISNUMBER(SEARCH("Quads",$B850)),4,1))),2),ROUND(VLOOKUP($I850,Dashboard!$Q$15:$R$20,2,FALSE)*IF($E850="Red",Dashboard!$R$6,IF($E850="Gold",Dashboard!$R$7,Dashboard!$R$5))*IF(ISNUMBER(SEARCH("Duals",$B850)),2,IF(ISNUMBER(SEARCH("Triples",$B850)),3,IF(ISNUMBER(SEARCH("Quads",$B850)),4,1))),2))*IF(IFERROR(VLOOKUP($B850,Dashboard!$Q$28:$S$60,3,FALSE),0)&gt;0,VLOOKUP($B850,Dashboard!$Q$28:$S$60,3,FALSE),1))),0))</f>
        <v>40</v>
      </c>
      <c r="K850" s="2" t="str">
        <f>IF('Base S2'!H50="","",'Base S2'!H50)</f>
        <v>C 23/25</v>
      </c>
      <c r="L850" s="2">
        <f t="shared" si="169"/>
        <v>1</v>
      </c>
      <c r="M850" s="2">
        <f t="shared" si="170"/>
        <v>0</v>
      </c>
      <c r="N850" s="2">
        <f t="shared" si="171"/>
        <v>1</v>
      </c>
      <c r="O850" s="2">
        <f t="shared" si="172"/>
        <v>0</v>
      </c>
      <c r="P850" s="112">
        <f t="shared" si="173"/>
        <v>40</v>
      </c>
      <c r="Q850" s="112">
        <f t="shared" si="174"/>
        <v>0</v>
      </c>
      <c r="R850" s="53"/>
      <c r="S850" s="53" t="str">
        <f t="shared" si="175"/>
        <v>Base S2|Black Parallel - Season 2|149|Black</v>
      </c>
      <c r="T850" s="57" t="str">
        <f>IF($S850="","",IFERROR(VLOOKUP($S850,'Pop Estimates (Non-#d)'!$N$2:$O$500,2,FALSE),""))</f>
        <v/>
      </c>
      <c r="U850" s="57">
        <f t="shared" si="176"/>
        <v>25</v>
      </c>
      <c r="V850" s="53" t="str">
        <f t="shared" si="177"/>
        <v/>
      </c>
      <c r="W850" s="53" t="str">
        <f t="shared" si="178"/>
        <v/>
      </c>
      <c r="X850" s="53" t="str">
        <f t="shared" si="179"/>
        <v/>
      </c>
      <c r="Y850" s="57" t="str">
        <f>IF($X850="","",IFERROR(VLOOKUP($X850,'Char Popularity'!$A$2:$C$500,2,FALSE),""))</f>
        <v/>
      </c>
      <c r="Z850" s="56">
        <f>IF($X850="",1,IFERROR(VLOOKUP($X850,'Char Popularity'!$A$2:$C$500,3,FALSE),1))</f>
        <v>1</v>
      </c>
      <c r="AA850" s="62">
        <f>IF($H850&lt;&gt;"Y",0,(IF($F850&lt;&gt;"",ROUND(Dashboard!$R$4/$F850,1),IF(AND($I850="Base",$E850="Base"),Dashboard!$R$5,IF(AND($I850="Base",$E850="Red"),Dashboard!$R$6,IF(AND($I850="Base",$E850="Gold"),Dashboard!$R$7,VLOOKUP($I850,Dashboard!$Q$16:$R$21,2,FALSE)))))*VLOOKUP($I850,Dashboard!$Q$9:$R$13,2,FALSE)*IF(AND($I850="Auto",$F850="",OR($B850="Autographs Duals",$B850="Autographs Triples",$B850="Autographs Quads",$B850="Autographs Quads (Inscribed)")),IF($B850="Autographs Duals",2,IF($B850="Autographs Triples",3,4)),1)))</f>
        <v>40</v>
      </c>
      <c r="AB850" s="62">
        <f t="shared" si="180"/>
        <v>40</v>
      </c>
      <c r="AC850" s="62">
        <f t="shared" si="181"/>
        <v>0</v>
      </c>
    </row>
    <row r="851" spans="1:29" ht="28.7" customHeight="1" x14ac:dyDescent="0.25">
      <c r="A851" s="4" t="s">
        <v>19</v>
      </c>
      <c r="B851" s="7" t="s">
        <v>81</v>
      </c>
      <c r="C851" s="2" t="s">
        <v>1549</v>
      </c>
      <c r="D851" s="7" t="s">
        <v>1123</v>
      </c>
      <c r="E851" s="4" t="s">
        <v>780</v>
      </c>
      <c r="F851" s="2">
        <v>25</v>
      </c>
      <c r="G851" s="2" t="s">
        <v>1399</v>
      </c>
      <c r="H851" s="2" t="s">
        <v>1400</v>
      </c>
      <c r="I851" s="4" t="s">
        <v>60</v>
      </c>
      <c r="J851" s="112">
        <f>IF($H851&lt;&gt;"Y",0,ROUND(MIN(Dashboard!$R$24,IF(IFERROR(VLOOKUP($B851,Dashboard!$Q$28:$S$60,2,FALSE),0)&gt;0,IFERROR(VLOOKUP($B851,Dashboard!$Q$28:$S$60,2,FALSE),0),$Z851*IF($U851&lt;&gt;"",ROUND((Dashboard!$R$4/$U851)*VLOOKUP($I851,Dashboard!$Q$9:$R$13,2,FALSE)*IF(ISNUMBER(SEARCH("Duals",$B851)),2,IF(ISNUMBER(SEARCH("Triples",$B851)),3,IF(ISNUMBER(SEARCH("Quads",$B851)),4,1))),2),ROUND(VLOOKUP($I851,Dashboard!$Q$15:$R$20,2,FALSE)*IF($E851="Red",Dashboard!$R$6,IF($E851="Gold",Dashboard!$R$7,Dashboard!$R$5))*IF(ISNUMBER(SEARCH("Duals",$B851)),2,IF(ISNUMBER(SEARCH("Triples",$B851)),3,IF(ISNUMBER(SEARCH("Quads",$B851)),4,1))),2))*IF(IFERROR(VLOOKUP($B851,Dashboard!$Q$28:$S$60,3,FALSE),0)&gt;0,VLOOKUP($B851,Dashboard!$Q$28:$S$60,3,FALSE),1))),0))</f>
        <v>40</v>
      </c>
      <c r="K851" s="2" t="str">
        <f>IF('Base S2'!H51="","",'Base S2'!H51)</f>
        <v/>
      </c>
      <c r="L851" s="2">
        <f t="shared" si="169"/>
        <v>0</v>
      </c>
      <c r="M851" s="2">
        <f t="shared" si="170"/>
        <v>0</v>
      </c>
      <c r="N851" s="2">
        <f t="shared" si="171"/>
        <v>0</v>
      </c>
      <c r="O851" s="2">
        <f t="shared" si="172"/>
        <v>1</v>
      </c>
      <c r="P851" s="112">
        <f t="shared" si="173"/>
        <v>0</v>
      </c>
      <c r="Q851" s="112">
        <f t="shared" si="174"/>
        <v>0</v>
      </c>
      <c r="R851" s="53"/>
      <c r="S851" s="53" t="str">
        <f t="shared" si="175"/>
        <v>Base S2|Black Parallel - Season 2|150|Black</v>
      </c>
      <c r="T851" s="57" t="str">
        <f>IF($S851="","",IFERROR(VLOOKUP($S851,'Pop Estimates (Non-#d)'!$N$2:$O$500,2,FALSE),""))</f>
        <v/>
      </c>
      <c r="U851" s="57">
        <f t="shared" si="176"/>
        <v>25</v>
      </c>
      <c r="V851" s="53" t="str">
        <f t="shared" si="177"/>
        <v/>
      </c>
      <c r="W851" s="53" t="str">
        <f t="shared" si="178"/>
        <v/>
      </c>
      <c r="X851" s="53" t="str">
        <f t="shared" si="179"/>
        <v/>
      </c>
      <c r="Y851" s="57" t="str">
        <f>IF($X851="","",IFERROR(VLOOKUP($X851,'Char Popularity'!$A$2:$C$500,2,FALSE),""))</f>
        <v/>
      </c>
      <c r="Z851" s="56">
        <f>IF($X851="",1,IFERROR(VLOOKUP($X851,'Char Popularity'!$A$2:$C$500,3,FALSE),1))</f>
        <v>1</v>
      </c>
      <c r="AA851" s="62">
        <f>IF($H851&lt;&gt;"Y",0,(IF($F851&lt;&gt;"",ROUND(Dashboard!$R$4/$F851,1),IF(AND($I851="Base",$E851="Base"),Dashboard!$R$5,IF(AND($I851="Base",$E851="Red"),Dashboard!$R$6,IF(AND($I851="Base",$E851="Gold"),Dashboard!$R$7,VLOOKUP($I851,Dashboard!$Q$16:$R$21,2,FALSE)))))*VLOOKUP($I851,Dashboard!$Q$9:$R$13,2,FALSE)*IF(AND($I851="Auto",$F851="",OR($B851="Autographs Duals",$B851="Autographs Triples",$B851="Autographs Quads",$B851="Autographs Quads (Inscribed)")),IF($B851="Autographs Duals",2,IF($B851="Autographs Triples",3,4)),1)))</f>
        <v>40</v>
      </c>
      <c r="AB851" s="62">
        <f t="shared" si="180"/>
        <v>0</v>
      </c>
      <c r="AC851" s="62">
        <f t="shared" si="181"/>
        <v>0</v>
      </c>
    </row>
    <row r="852" spans="1:29" ht="28.7" customHeight="1" x14ac:dyDescent="0.25">
      <c r="A852" s="4" t="s">
        <v>19</v>
      </c>
      <c r="B852" s="7" t="s">
        <v>81</v>
      </c>
      <c r="C852" s="2" t="s">
        <v>1550</v>
      </c>
      <c r="D852" s="7" t="s">
        <v>1125</v>
      </c>
      <c r="E852" s="4" t="s">
        <v>780</v>
      </c>
      <c r="F852" s="2">
        <v>25</v>
      </c>
      <c r="G852" s="2" t="s">
        <v>1399</v>
      </c>
      <c r="H852" s="2" t="s">
        <v>1400</v>
      </c>
      <c r="I852" s="4" t="s">
        <v>60</v>
      </c>
      <c r="J852" s="112">
        <f>IF($H852&lt;&gt;"Y",0,ROUND(MIN(Dashboard!$R$24,IF(IFERROR(VLOOKUP($B852,Dashboard!$Q$28:$S$60,2,FALSE),0)&gt;0,IFERROR(VLOOKUP($B852,Dashboard!$Q$28:$S$60,2,FALSE),0),$Z852*IF($U852&lt;&gt;"",ROUND((Dashboard!$R$4/$U852)*VLOOKUP($I852,Dashboard!$Q$9:$R$13,2,FALSE)*IF(ISNUMBER(SEARCH("Duals",$B852)),2,IF(ISNUMBER(SEARCH("Triples",$B852)),3,IF(ISNUMBER(SEARCH("Quads",$B852)),4,1))),2),ROUND(VLOOKUP($I852,Dashboard!$Q$15:$R$20,2,FALSE)*IF($E852="Red",Dashboard!$R$6,IF($E852="Gold",Dashboard!$R$7,Dashboard!$R$5))*IF(ISNUMBER(SEARCH("Duals",$B852)),2,IF(ISNUMBER(SEARCH("Triples",$B852)),3,IF(ISNUMBER(SEARCH("Quads",$B852)),4,1))),2))*IF(IFERROR(VLOOKUP($B852,Dashboard!$Q$28:$S$60,3,FALSE),0)&gt;0,VLOOKUP($B852,Dashboard!$Q$28:$S$60,3,FALSE),1))),0))</f>
        <v>40</v>
      </c>
      <c r="K852" s="2" t="str">
        <f>IF('Base S2'!H52="","",'Base S2'!H52)</f>
        <v>C 10/25</v>
      </c>
      <c r="L852" s="2">
        <f t="shared" si="169"/>
        <v>1</v>
      </c>
      <c r="M852" s="2">
        <f t="shared" si="170"/>
        <v>0</v>
      </c>
      <c r="N852" s="2">
        <f t="shared" si="171"/>
        <v>1</v>
      </c>
      <c r="O852" s="2">
        <f t="shared" si="172"/>
        <v>0</v>
      </c>
      <c r="P852" s="112">
        <f t="shared" si="173"/>
        <v>40</v>
      </c>
      <c r="Q852" s="112">
        <f t="shared" si="174"/>
        <v>0</v>
      </c>
      <c r="R852" s="53"/>
      <c r="S852" s="53" t="str">
        <f t="shared" si="175"/>
        <v>Base S2|Black Parallel - Season 2|151|Black</v>
      </c>
      <c r="T852" s="57" t="str">
        <f>IF($S852="","",IFERROR(VLOOKUP($S852,'Pop Estimates (Non-#d)'!$N$2:$O$500,2,FALSE),""))</f>
        <v/>
      </c>
      <c r="U852" s="57">
        <f t="shared" si="176"/>
        <v>25</v>
      </c>
      <c r="V852" s="53" t="str">
        <f t="shared" si="177"/>
        <v/>
      </c>
      <c r="W852" s="53" t="str">
        <f t="shared" si="178"/>
        <v/>
      </c>
      <c r="X852" s="53" t="str">
        <f t="shared" si="179"/>
        <v/>
      </c>
      <c r="Y852" s="57" t="str">
        <f>IF($X852="","",IFERROR(VLOOKUP($X852,'Char Popularity'!$A$2:$C$500,2,FALSE),""))</f>
        <v/>
      </c>
      <c r="Z852" s="56">
        <f>IF($X852="",1,IFERROR(VLOOKUP($X852,'Char Popularity'!$A$2:$C$500,3,FALSE),1))</f>
        <v>1</v>
      </c>
      <c r="AA852" s="62">
        <f>IF($H852&lt;&gt;"Y",0,(IF($F852&lt;&gt;"",ROUND(Dashboard!$R$4/$F852,1),IF(AND($I852="Base",$E852="Base"),Dashboard!$R$5,IF(AND($I852="Base",$E852="Red"),Dashboard!$R$6,IF(AND($I852="Base",$E852="Gold"),Dashboard!$R$7,VLOOKUP($I852,Dashboard!$Q$16:$R$21,2,FALSE)))))*VLOOKUP($I852,Dashboard!$Q$9:$R$13,2,FALSE)*IF(AND($I852="Auto",$F852="",OR($B852="Autographs Duals",$B852="Autographs Triples",$B852="Autographs Quads",$B852="Autographs Quads (Inscribed)")),IF($B852="Autographs Duals",2,IF($B852="Autographs Triples",3,4)),1)))</f>
        <v>40</v>
      </c>
      <c r="AB852" s="62">
        <f t="shared" si="180"/>
        <v>40</v>
      </c>
      <c r="AC852" s="62">
        <f t="shared" si="181"/>
        <v>0</v>
      </c>
    </row>
    <row r="853" spans="1:29" ht="28.7" customHeight="1" x14ac:dyDescent="0.25">
      <c r="A853" s="4" t="s">
        <v>19</v>
      </c>
      <c r="B853" s="7" t="s">
        <v>81</v>
      </c>
      <c r="C853" s="2" t="s">
        <v>1551</v>
      </c>
      <c r="D853" s="7" t="s">
        <v>1126</v>
      </c>
      <c r="E853" s="4" t="s">
        <v>780</v>
      </c>
      <c r="F853" s="2">
        <v>25</v>
      </c>
      <c r="G853" s="2" t="s">
        <v>1399</v>
      </c>
      <c r="H853" s="2" t="s">
        <v>1400</v>
      </c>
      <c r="I853" s="4" t="s">
        <v>60</v>
      </c>
      <c r="J853" s="112">
        <f>IF($H853&lt;&gt;"Y",0,ROUND(MIN(Dashboard!$R$24,IF(IFERROR(VLOOKUP($B853,Dashboard!$Q$28:$S$60,2,FALSE),0)&gt;0,IFERROR(VLOOKUP($B853,Dashboard!$Q$28:$S$60,2,FALSE),0),$Z853*IF($U853&lt;&gt;"",ROUND((Dashboard!$R$4/$U853)*VLOOKUP($I853,Dashboard!$Q$9:$R$13,2,FALSE)*IF(ISNUMBER(SEARCH("Duals",$B853)),2,IF(ISNUMBER(SEARCH("Triples",$B853)),3,IF(ISNUMBER(SEARCH("Quads",$B853)),4,1))),2),ROUND(VLOOKUP($I853,Dashboard!$Q$15:$R$20,2,FALSE)*IF($E853="Red",Dashboard!$R$6,IF($E853="Gold",Dashboard!$R$7,Dashboard!$R$5))*IF(ISNUMBER(SEARCH("Duals",$B853)),2,IF(ISNUMBER(SEARCH("Triples",$B853)),3,IF(ISNUMBER(SEARCH("Quads",$B853)),4,1))),2))*IF(IFERROR(VLOOKUP($B853,Dashboard!$Q$28:$S$60,3,FALSE),0)&gt;0,VLOOKUP($B853,Dashboard!$Q$28:$S$60,3,FALSE),1))),0))</f>
        <v>40</v>
      </c>
      <c r="K853" s="2" t="str">
        <f>IF('Base S2'!H53="","",'Base S2'!H53)</f>
        <v/>
      </c>
      <c r="L853" s="2">
        <f t="shared" si="169"/>
        <v>0</v>
      </c>
      <c r="M853" s="2">
        <f t="shared" si="170"/>
        <v>0</v>
      </c>
      <c r="N853" s="2">
        <f t="shared" si="171"/>
        <v>0</v>
      </c>
      <c r="O853" s="2">
        <f t="shared" si="172"/>
        <v>1</v>
      </c>
      <c r="P853" s="112">
        <f t="shared" si="173"/>
        <v>0</v>
      </c>
      <c r="Q853" s="112">
        <f t="shared" si="174"/>
        <v>0</v>
      </c>
      <c r="R853" s="53"/>
      <c r="S853" s="53" t="str">
        <f t="shared" si="175"/>
        <v>Base S2|Black Parallel - Season 2|152|Black</v>
      </c>
      <c r="T853" s="57" t="str">
        <f>IF($S853="","",IFERROR(VLOOKUP($S853,'Pop Estimates (Non-#d)'!$N$2:$O$500,2,FALSE),""))</f>
        <v/>
      </c>
      <c r="U853" s="57">
        <f t="shared" si="176"/>
        <v>25</v>
      </c>
      <c r="V853" s="53" t="str">
        <f t="shared" si="177"/>
        <v/>
      </c>
      <c r="W853" s="53" t="str">
        <f t="shared" si="178"/>
        <v/>
      </c>
      <c r="X853" s="53" t="str">
        <f t="shared" si="179"/>
        <v/>
      </c>
      <c r="Y853" s="57" t="str">
        <f>IF($X853="","",IFERROR(VLOOKUP($X853,'Char Popularity'!$A$2:$C$500,2,FALSE),""))</f>
        <v/>
      </c>
      <c r="Z853" s="56">
        <f>IF($X853="",1,IFERROR(VLOOKUP($X853,'Char Popularity'!$A$2:$C$500,3,FALSE),1))</f>
        <v>1</v>
      </c>
      <c r="AA853" s="62">
        <f>IF($H853&lt;&gt;"Y",0,(IF($F853&lt;&gt;"",ROUND(Dashboard!$R$4/$F853,1),IF(AND($I853="Base",$E853="Base"),Dashboard!$R$5,IF(AND($I853="Base",$E853="Red"),Dashboard!$R$6,IF(AND($I853="Base",$E853="Gold"),Dashboard!$R$7,VLOOKUP($I853,Dashboard!$Q$16:$R$21,2,FALSE)))))*VLOOKUP($I853,Dashboard!$Q$9:$R$13,2,FALSE)*IF(AND($I853="Auto",$F853="",OR($B853="Autographs Duals",$B853="Autographs Triples",$B853="Autographs Quads",$B853="Autographs Quads (Inscribed)")),IF($B853="Autographs Duals",2,IF($B853="Autographs Triples",3,4)),1)))</f>
        <v>40</v>
      </c>
      <c r="AB853" s="62">
        <f t="shared" si="180"/>
        <v>0</v>
      </c>
      <c r="AC853" s="62">
        <f t="shared" si="181"/>
        <v>0</v>
      </c>
    </row>
    <row r="854" spans="1:29" ht="28.7" customHeight="1" x14ac:dyDescent="0.25">
      <c r="A854" s="4" t="s">
        <v>19</v>
      </c>
      <c r="B854" s="7" t="s">
        <v>81</v>
      </c>
      <c r="C854" s="2" t="s">
        <v>1552</v>
      </c>
      <c r="D854" s="7" t="s">
        <v>335</v>
      </c>
      <c r="E854" s="4" t="s">
        <v>780</v>
      </c>
      <c r="F854" s="2">
        <v>25</v>
      </c>
      <c r="G854" s="2" t="s">
        <v>1399</v>
      </c>
      <c r="H854" s="2" t="s">
        <v>1400</v>
      </c>
      <c r="I854" s="4" t="s">
        <v>60</v>
      </c>
      <c r="J854" s="112">
        <f>IF($H854&lt;&gt;"Y",0,ROUND(MIN(Dashboard!$R$24,IF(IFERROR(VLOOKUP($B854,Dashboard!$Q$28:$S$60,2,FALSE),0)&gt;0,IFERROR(VLOOKUP($B854,Dashboard!$Q$28:$S$60,2,FALSE),0),$Z854*IF($U854&lt;&gt;"",ROUND((Dashboard!$R$4/$U854)*VLOOKUP($I854,Dashboard!$Q$9:$R$13,2,FALSE)*IF(ISNUMBER(SEARCH("Duals",$B854)),2,IF(ISNUMBER(SEARCH("Triples",$B854)),3,IF(ISNUMBER(SEARCH("Quads",$B854)),4,1))),2),ROUND(VLOOKUP($I854,Dashboard!$Q$15:$R$20,2,FALSE)*IF($E854="Red",Dashboard!$R$6,IF($E854="Gold",Dashboard!$R$7,Dashboard!$R$5))*IF(ISNUMBER(SEARCH("Duals",$B854)),2,IF(ISNUMBER(SEARCH("Triples",$B854)),3,IF(ISNUMBER(SEARCH("Quads",$B854)),4,1))),2))*IF(IFERROR(VLOOKUP($B854,Dashboard!$Q$28:$S$60,3,FALSE),0)&gt;0,VLOOKUP($B854,Dashboard!$Q$28:$S$60,3,FALSE),1))),0))</f>
        <v>40</v>
      </c>
      <c r="K854" s="2" t="str">
        <f>IF('Base S2'!H54="","",'Base S2'!H54)</f>
        <v>C 24/25</v>
      </c>
      <c r="L854" s="2">
        <f t="shared" si="169"/>
        <v>1</v>
      </c>
      <c r="M854" s="2">
        <f t="shared" si="170"/>
        <v>0</v>
      </c>
      <c r="N854" s="2">
        <f t="shared" si="171"/>
        <v>1</v>
      </c>
      <c r="O854" s="2">
        <f t="shared" si="172"/>
        <v>0</v>
      </c>
      <c r="P854" s="112">
        <f t="shared" si="173"/>
        <v>40</v>
      </c>
      <c r="Q854" s="112">
        <f t="shared" si="174"/>
        <v>0</v>
      </c>
      <c r="R854" s="53"/>
      <c r="S854" s="53" t="str">
        <f t="shared" si="175"/>
        <v>Base S2|Black Parallel - Season 2|153|Black</v>
      </c>
      <c r="T854" s="57" t="str">
        <f>IF($S854="","",IFERROR(VLOOKUP($S854,'Pop Estimates (Non-#d)'!$N$2:$O$500,2,FALSE),""))</f>
        <v/>
      </c>
      <c r="U854" s="57">
        <f t="shared" si="176"/>
        <v>25</v>
      </c>
      <c r="V854" s="53" t="str">
        <f t="shared" si="177"/>
        <v/>
      </c>
      <c r="W854" s="53" t="str">
        <f t="shared" si="178"/>
        <v/>
      </c>
      <c r="X854" s="53" t="str">
        <f t="shared" si="179"/>
        <v/>
      </c>
      <c r="Y854" s="57" t="str">
        <f>IF($X854="","",IFERROR(VLOOKUP($X854,'Char Popularity'!$A$2:$C$500,2,FALSE),""))</f>
        <v/>
      </c>
      <c r="Z854" s="56">
        <f>IF($X854="",1,IFERROR(VLOOKUP($X854,'Char Popularity'!$A$2:$C$500,3,FALSE),1))</f>
        <v>1</v>
      </c>
      <c r="AA854" s="62">
        <f>IF($H854&lt;&gt;"Y",0,(IF($F854&lt;&gt;"",ROUND(Dashboard!$R$4/$F854,1),IF(AND($I854="Base",$E854="Base"),Dashboard!$R$5,IF(AND($I854="Base",$E854="Red"),Dashboard!$R$6,IF(AND($I854="Base",$E854="Gold"),Dashboard!$R$7,VLOOKUP($I854,Dashboard!$Q$16:$R$21,2,FALSE)))))*VLOOKUP($I854,Dashboard!$Q$9:$R$13,2,FALSE)*IF(AND($I854="Auto",$F854="",OR($B854="Autographs Duals",$B854="Autographs Triples",$B854="Autographs Quads",$B854="Autographs Quads (Inscribed)")),IF($B854="Autographs Duals",2,IF($B854="Autographs Triples",3,4)),1)))</f>
        <v>40</v>
      </c>
      <c r="AB854" s="62">
        <f t="shared" si="180"/>
        <v>40</v>
      </c>
      <c r="AC854" s="62">
        <f t="shared" si="181"/>
        <v>0</v>
      </c>
    </row>
    <row r="855" spans="1:29" ht="28.7" customHeight="1" x14ac:dyDescent="0.25">
      <c r="A855" s="4" t="s">
        <v>19</v>
      </c>
      <c r="B855" s="7" t="s">
        <v>81</v>
      </c>
      <c r="C855" s="2" t="s">
        <v>1553</v>
      </c>
      <c r="D855" s="7" t="s">
        <v>1128</v>
      </c>
      <c r="E855" s="4" t="s">
        <v>780</v>
      </c>
      <c r="F855" s="2">
        <v>25</v>
      </c>
      <c r="G855" s="2" t="s">
        <v>1399</v>
      </c>
      <c r="H855" s="2" t="s">
        <v>1400</v>
      </c>
      <c r="I855" s="4" t="s">
        <v>60</v>
      </c>
      <c r="J855" s="112">
        <f>IF($H855&lt;&gt;"Y",0,ROUND(MIN(Dashboard!$R$24,IF(IFERROR(VLOOKUP($B855,Dashboard!$Q$28:$S$60,2,FALSE),0)&gt;0,IFERROR(VLOOKUP($B855,Dashboard!$Q$28:$S$60,2,FALSE),0),$Z855*IF($U855&lt;&gt;"",ROUND((Dashboard!$R$4/$U855)*VLOOKUP($I855,Dashboard!$Q$9:$R$13,2,FALSE)*IF(ISNUMBER(SEARCH("Duals",$B855)),2,IF(ISNUMBER(SEARCH("Triples",$B855)),3,IF(ISNUMBER(SEARCH("Quads",$B855)),4,1))),2),ROUND(VLOOKUP($I855,Dashboard!$Q$15:$R$20,2,FALSE)*IF($E855="Red",Dashboard!$R$6,IF($E855="Gold",Dashboard!$R$7,Dashboard!$R$5))*IF(ISNUMBER(SEARCH("Duals",$B855)),2,IF(ISNUMBER(SEARCH("Triples",$B855)),3,IF(ISNUMBER(SEARCH("Quads",$B855)),4,1))),2))*IF(IFERROR(VLOOKUP($B855,Dashboard!$Q$28:$S$60,3,FALSE),0)&gt;0,VLOOKUP($B855,Dashboard!$Q$28:$S$60,3,FALSE),1))),0))</f>
        <v>40</v>
      </c>
      <c r="K855" s="2" t="str">
        <f>IF('Base S2'!H55="","",'Base S2'!H55)</f>
        <v>V 12/25</v>
      </c>
      <c r="L855" s="2">
        <f t="shared" si="169"/>
        <v>1</v>
      </c>
      <c r="M855" s="2">
        <f t="shared" si="170"/>
        <v>0</v>
      </c>
      <c r="N855" s="2">
        <f t="shared" si="171"/>
        <v>1</v>
      </c>
      <c r="O855" s="2">
        <f t="shared" si="172"/>
        <v>0</v>
      </c>
      <c r="P855" s="112">
        <f t="shared" si="173"/>
        <v>40</v>
      </c>
      <c r="Q855" s="112">
        <f t="shared" si="174"/>
        <v>0</v>
      </c>
      <c r="R855" s="53"/>
      <c r="S855" s="53" t="str">
        <f t="shared" si="175"/>
        <v>Base S2|Black Parallel - Season 2|154|Black</v>
      </c>
      <c r="T855" s="57" t="str">
        <f>IF($S855="","",IFERROR(VLOOKUP($S855,'Pop Estimates (Non-#d)'!$N$2:$O$500,2,FALSE),""))</f>
        <v/>
      </c>
      <c r="U855" s="57">
        <f t="shared" si="176"/>
        <v>25</v>
      </c>
      <c r="V855" s="53" t="str">
        <f t="shared" si="177"/>
        <v/>
      </c>
      <c r="W855" s="53" t="str">
        <f t="shared" si="178"/>
        <v/>
      </c>
      <c r="X855" s="53" t="str">
        <f t="shared" si="179"/>
        <v/>
      </c>
      <c r="Y855" s="57" t="str">
        <f>IF($X855="","",IFERROR(VLOOKUP($X855,'Char Popularity'!$A$2:$C$500,2,FALSE),""))</f>
        <v/>
      </c>
      <c r="Z855" s="56">
        <f>IF($X855="",1,IFERROR(VLOOKUP($X855,'Char Popularity'!$A$2:$C$500,3,FALSE),1))</f>
        <v>1</v>
      </c>
      <c r="AA855" s="62">
        <f>IF($H855&lt;&gt;"Y",0,(IF($F855&lt;&gt;"",ROUND(Dashboard!$R$4/$F855,1),IF(AND($I855="Base",$E855="Base"),Dashboard!$R$5,IF(AND($I855="Base",$E855="Red"),Dashboard!$R$6,IF(AND($I855="Base",$E855="Gold"),Dashboard!$R$7,VLOOKUP($I855,Dashboard!$Q$16:$R$21,2,FALSE)))))*VLOOKUP($I855,Dashboard!$Q$9:$R$13,2,FALSE)*IF(AND($I855="Auto",$F855="",OR($B855="Autographs Duals",$B855="Autographs Triples",$B855="Autographs Quads",$B855="Autographs Quads (Inscribed)")),IF($B855="Autographs Duals",2,IF($B855="Autographs Triples",3,4)),1)))</f>
        <v>40</v>
      </c>
      <c r="AB855" s="62">
        <f t="shared" si="180"/>
        <v>40</v>
      </c>
      <c r="AC855" s="62">
        <f t="shared" si="181"/>
        <v>0</v>
      </c>
    </row>
    <row r="856" spans="1:29" ht="28.7" customHeight="1" x14ac:dyDescent="0.25">
      <c r="A856" s="4" t="s">
        <v>19</v>
      </c>
      <c r="B856" s="7" t="s">
        <v>81</v>
      </c>
      <c r="C856" s="2" t="s">
        <v>1554</v>
      </c>
      <c r="D856" s="7" t="s">
        <v>1130</v>
      </c>
      <c r="E856" s="4" t="s">
        <v>780</v>
      </c>
      <c r="F856" s="2">
        <v>25</v>
      </c>
      <c r="G856" s="2" t="s">
        <v>1399</v>
      </c>
      <c r="H856" s="2" t="s">
        <v>1400</v>
      </c>
      <c r="I856" s="4" t="s">
        <v>60</v>
      </c>
      <c r="J856" s="112">
        <f>IF($H856&lt;&gt;"Y",0,ROUND(MIN(Dashboard!$R$24,IF(IFERROR(VLOOKUP($B856,Dashboard!$Q$28:$S$60,2,FALSE),0)&gt;0,IFERROR(VLOOKUP($B856,Dashboard!$Q$28:$S$60,2,FALSE),0),$Z856*IF($U856&lt;&gt;"",ROUND((Dashboard!$R$4/$U856)*VLOOKUP($I856,Dashboard!$Q$9:$R$13,2,FALSE)*IF(ISNUMBER(SEARCH("Duals",$B856)),2,IF(ISNUMBER(SEARCH("Triples",$B856)),3,IF(ISNUMBER(SEARCH("Quads",$B856)),4,1))),2),ROUND(VLOOKUP($I856,Dashboard!$Q$15:$R$20,2,FALSE)*IF($E856="Red",Dashboard!$R$6,IF($E856="Gold",Dashboard!$R$7,Dashboard!$R$5))*IF(ISNUMBER(SEARCH("Duals",$B856)),2,IF(ISNUMBER(SEARCH("Triples",$B856)),3,IF(ISNUMBER(SEARCH("Quads",$B856)),4,1))),2))*IF(IFERROR(VLOOKUP($B856,Dashboard!$Q$28:$S$60,3,FALSE),0)&gt;0,VLOOKUP($B856,Dashboard!$Q$28:$S$60,3,FALSE),1))),0))</f>
        <v>40</v>
      </c>
      <c r="K856" s="2" t="str">
        <f>IF('Base S2'!H56="","",'Base S2'!H56)</f>
        <v/>
      </c>
      <c r="L856" s="2">
        <f t="shared" si="169"/>
        <v>0</v>
      </c>
      <c r="M856" s="2">
        <f t="shared" si="170"/>
        <v>0</v>
      </c>
      <c r="N856" s="2">
        <f t="shared" si="171"/>
        <v>0</v>
      </c>
      <c r="O856" s="2">
        <f t="shared" si="172"/>
        <v>1</v>
      </c>
      <c r="P856" s="112">
        <f t="shared" si="173"/>
        <v>0</v>
      </c>
      <c r="Q856" s="112">
        <f t="shared" si="174"/>
        <v>0</v>
      </c>
      <c r="R856" s="53"/>
      <c r="S856" s="53" t="str">
        <f t="shared" si="175"/>
        <v>Base S2|Black Parallel - Season 2|155|Black</v>
      </c>
      <c r="T856" s="57" t="str">
        <f>IF($S856="","",IFERROR(VLOOKUP($S856,'Pop Estimates (Non-#d)'!$N$2:$O$500,2,FALSE),""))</f>
        <v/>
      </c>
      <c r="U856" s="57">
        <f t="shared" si="176"/>
        <v>25</v>
      </c>
      <c r="V856" s="53" t="str">
        <f t="shared" si="177"/>
        <v/>
      </c>
      <c r="W856" s="53" t="str">
        <f t="shared" si="178"/>
        <v/>
      </c>
      <c r="X856" s="53" t="str">
        <f t="shared" si="179"/>
        <v/>
      </c>
      <c r="Y856" s="57" t="str">
        <f>IF($X856="","",IFERROR(VLOOKUP($X856,'Char Popularity'!$A$2:$C$500,2,FALSE),""))</f>
        <v/>
      </c>
      <c r="Z856" s="56">
        <f>IF($X856="",1,IFERROR(VLOOKUP($X856,'Char Popularity'!$A$2:$C$500,3,FALSE),1))</f>
        <v>1</v>
      </c>
      <c r="AA856" s="62">
        <f>IF($H856&lt;&gt;"Y",0,(IF($F856&lt;&gt;"",ROUND(Dashboard!$R$4/$F856,1),IF(AND($I856="Base",$E856="Base"),Dashboard!$R$5,IF(AND($I856="Base",$E856="Red"),Dashboard!$R$6,IF(AND($I856="Base",$E856="Gold"),Dashboard!$R$7,VLOOKUP($I856,Dashboard!$Q$16:$R$21,2,FALSE)))))*VLOOKUP($I856,Dashboard!$Q$9:$R$13,2,FALSE)*IF(AND($I856="Auto",$F856="",OR($B856="Autographs Duals",$B856="Autographs Triples",$B856="Autographs Quads",$B856="Autographs Quads (Inscribed)")),IF($B856="Autographs Duals",2,IF($B856="Autographs Triples",3,4)),1)))</f>
        <v>40</v>
      </c>
      <c r="AB856" s="62">
        <f t="shared" si="180"/>
        <v>0</v>
      </c>
      <c r="AC856" s="62">
        <f t="shared" si="181"/>
        <v>0</v>
      </c>
    </row>
    <row r="857" spans="1:29" ht="28.7" customHeight="1" x14ac:dyDescent="0.25">
      <c r="A857" s="4" t="s">
        <v>19</v>
      </c>
      <c r="B857" s="7" t="s">
        <v>81</v>
      </c>
      <c r="C857" s="2" t="s">
        <v>1555</v>
      </c>
      <c r="D857" s="7" t="s">
        <v>1132</v>
      </c>
      <c r="E857" s="4" t="s">
        <v>780</v>
      </c>
      <c r="F857" s="2">
        <v>25</v>
      </c>
      <c r="G857" s="2" t="s">
        <v>1399</v>
      </c>
      <c r="H857" s="2" t="s">
        <v>1400</v>
      </c>
      <c r="I857" s="4" t="s">
        <v>60</v>
      </c>
      <c r="J857" s="112">
        <f>IF($H857&lt;&gt;"Y",0,ROUND(MIN(Dashboard!$R$24,IF(IFERROR(VLOOKUP($B857,Dashboard!$Q$28:$S$60,2,FALSE),0)&gt;0,IFERROR(VLOOKUP($B857,Dashboard!$Q$28:$S$60,2,FALSE),0),$Z857*IF($U857&lt;&gt;"",ROUND((Dashboard!$R$4/$U857)*VLOOKUP($I857,Dashboard!$Q$9:$R$13,2,FALSE)*IF(ISNUMBER(SEARCH("Duals",$B857)),2,IF(ISNUMBER(SEARCH("Triples",$B857)),3,IF(ISNUMBER(SEARCH("Quads",$B857)),4,1))),2),ROUND(VLOOKUP($I857,Dashboard!$Q$15:$R$20,2,FALSE)*IF($E857="Red",Dashboard!$R$6,IF($E857="Gold",Dashboard!$R$7,Dashboard!$R$5))*IF(ISNUMBER(SEARCH("Duals",$B857)),2,IF(ISNUMBER(SEARCH("Triples",$B857)),3,IF(ISNUMBER(SEARCH("Quads",$B857)),4,1))),2))*IF(IFERROR(VLOOKUP($B857,Dashboard!$Q$28:$S$60,3,FALSE),0)&gt;0,VLOOKUP($B857,Dashboard!$Q$28:$S$60,3,FALSE),1))),0))</f>
        <v>40</v>
      </c>
      <c r="K857" s="2" t="str">
        <f>IF('Base S2'!H57="","",'Base S2'!H57)</f>
        <v/>
      </c>
      <c r="L857" s="2">
        <f t="shared" si="169"/>
        <v>0</v>
      </c>
      <c r="M857" s="2">
        <f t="shared" si="170"/>
        <v>0</v>
      </c>
      <c r="N857" s="2">
        <f t="shared" si="171"/>
        <v>0</v>
      </c>
      <c r="O857" s="2">
        <f t="shared" si="172"/>
        <v>1</v>
      </c>
      <c r="P857" s="112">
        <f t="shared" si="173"/>
        <v>0</v>
      </c>
      <c r="Q857" s="112">
        <f t="shared" si="174"/>
        <v>0</v>
      </c>
      <c r="R857" s="53"/>
      <c r="S857" s="53" t="str">
        <f t="shared" si="175"/>
        <v>Base S2|Black Parallel - Season 2|156|Black</v>
      </c>
      <c r="T857" s="57" t="str">
        <f>IF($S857="","",IFERROR(VLOOKUP($S857,'Pop Estimates (Non-#d)'!$N$2:$O$500,2,FALSE),""))</f>
        <v/>
      </c>
      <c r="U857" s="57">
        <f t="shared" si="176"/>
        <v>25</v>
      </c>
      <c r="V857" s="53" t="str">
        <f t="shared" si="177"/>
        <v/>
      </c>
      <c r="W857" s="53" t="str">
        <f t="shared" si="178"/>
        <v/>
      </c>
      <c r="X857" s="53" t="str">
        <f t="shared" si="179"/>
        <v/>
      </c>
      <c r="Y857" s="57" t="str">
        <f>IF($X857="","",IFERROR(VLOOKUP($X857,'Char Popularity'!$A$2:$C$500,2,FALSE),""))</f>
        <v/>
      </c>
      <c r="Z857" s="56">
        <f>IF($X857="",1,IFERROR(VLOOKUP($X857,'Char Popularity'!$A$2:$C$500,3,FALSE),1))</f>
        <v>1</v>
      </c>
      <c r="AA857" s="62">
        <f>IF($H857&lt;&gt;"Y",0,(IF($F857&lt;&gt;"",ROUND(Dashboard!$R$4/$F857,1),IF(AND($I857="Base",$E857="Base"),Dashboard!$R$5,IF(AND($I857="Base",$E857="Red"),Dashboard!$R$6,IF(AND($I857="Base",$E857="Gold"),Dashboard!$R$7,VLOOKUP($I857,Dashboard!$Q$16:$R$21,2,FALSE)))))*VLOOKUP($I857,Dashboard!$Q$9:$R$13,2,FALSE)*IF(AND($I857="Auto",$F857="",OR($B857="Autographs Duals",$B857="Autographs Triples",$B857="Autographs Quads",$B857="Autographs Quads (Inscribed)")),IF($B857="Autographs Duals",2,IF($B857="Autographs Triples",3,4)),1)))</f>
        <v>40</v>
      </c>
      <c r="AB857" s="62">
        <f t="shared" si="180"/>
        <v>0</v>
      </c>
      <c r="AC857" s="62">
        <f t="shared" si="181"/>
        <v>0</v>
      </c>
    </row>
    <row r="858" spans="1:29" ht="28.7" customHeight="1" x14ac:dyDescent="0.25">
      <c r="A858" s="4" t="s">
        <v>19</v>
      </c>
      <c r="B858" s="7" t="s">
        <v>81</v>
      </c>
      <c r="C858" s="2" t="s">
        <v>1556</v>
      </c>
      <c r="D858" s="7" t="s">
        <v>1134</v>
      </c>
      <c r="E858" s="4" t="s">
        <v>780</v>
      </c>
      <c r="F858" s="2">
        <v>25</v>
      </c>
      <c r="G858" s="2" t="s">
        <v>1399</v>
      </c>
      <c r="H858" s="2" t="s">
        <v>1400</v>
      </c>
      <c r="I858" s="4" t="s">
        <v>60</v>
      </c>
      <c r="J858" s="112">
        <f>IF($H858&lt;&gt;"Y",0,ROUND(MIN(Dashboard!$R$24,IF(IFERROR(VLOOKUP($B858,Dashboard!$Q$28:$S$60,2,FALSE),0)&gt;0,IFERROR(VLOOKUP($B858,Dashboard!$Q$28:$S$60,2,FALSE),0),$Z858*IF($U858&lt;&gt;"",ROUND((Dashboard!$R$4/$U858)*VLOOKUP($I858,Dashboard!$Q$9:$R$13,2,FALSE)*IF(ISNUMBER(SEARCH("Duals",$B858)),2,IF(ISNUMBER(SEARCH("Triples",$B858)),3,IF(ISNUMBER(SEARCH("Quads",$B858)),4,1))),2),ROUND(VLOOKUP($I858,Dashboard!$Q$15:$R$20,2,FALSE)*IF($E858="Red",Dashboard!$R$6,IF($E858="Gold",Dashboard!$R$7,Dashboard!$R$5))*IF(ISNUMBER(SEARCH("Duals",$B858)),2,IF(ISNUMBER(SEARCH("Triples",$B858)),3,IF(ISNUMBER(SEARCH("Quads",$B858)),4,1))),2))*IF(IFERROR(VLOOKUP($B858,Dashboard!$Q$28:$S$60,3,FALSE),0)&gt;0,VLOOKUP($B858,Dashboard!$Q$28:$S$60,3,FALSE),1))),0))</f>
        <v>40</v>
      </c>
      <c r="K858" s="2" t="str">
        <f>IF('Base S2'!H58="","",'Base S2'!H58)</f>
        <v/>
      </c>
      <c r="L858" s="2">
        <f t="shared" si="169"/>
        <v>0</v>
      </c>
      <c r="M858" s="2">
        <f t="shared" si="170"/>
        <v>0</v>
      </c>
      <c r="N858" s="2">
        <f t="shared" si="171"/>
        <v>0</v>
      </c>
      <c r="O858" s="2">
        <f t="shared" si="172"/>
        <v>1</v>
      </c>
      <c r="P858" s="112">
        <f t="shared" si="173"/>
        <v>0</v>
      </c>
      <c r="Q858" s="112">
        <f t="shared" si="174"/>
        <v>0</v>
      </c>
      <c r="R858" s="53"/>
      <c r="S858" s="53" t="str">
        <f t="shared" si="175"/>
        <v>Base S2|Black Parallel - Season 2|157|Black</v>
      </c>
      <c r="T858" s="57" t="str">
        <f>IF($S858="","",IFERROR(VLOOKUP($S858,'Pop Estimates (Non-#d)'!$N$2:$O$500,2,FALSE),""))</f>
        <v/>
      </c>
      <c r="U858" s="57">
        <f t="shared" si="176"/>
        <v>25</v>
      </c>
      <c r="V858" s="53" t="str">
        <f t="shared" si="177"/>
        <v/>
      </c>
      <c r="W858" s="53" t="str">
        <f t="shared" si="178"/>
        <v/>
      </c>
      <c r="X858" s="53" t="str">
        <f t="shared" si="179"/>
        <v/>
      </c>
      <c r="Y858" s="57" t="str">
        <f>IF($X858="","",IFERROR(VLOOKUP($X858,'Char Popularity'!$A$2:$C$500,2,FALSE),""))</f>
        <v/>
      </c>
      <c r="Z858" s="56">
        <f>IF($X858="",1,IFERROR(VLOOKUP($X858,'Char Popularity'!$A$2:$C$500,3,FALSE),1))</f>
        <v>1</v>
      </c>
      <c r="AA858" s="62">
        <f>IF($H858&lt;&gt;"Y",0,(IF($F858&lt;&gt;"",ROUND(Dashboard!$R$4/$F858,1),IF(AND($I858="Base",$E858="Base"),Dashboard!$R$5,IF(AND($I858="Base",$E858="Red"),Dashboard!$R$6,IF(AND($I858="Base",$E858="Gold"),Dashboard!$R$7,VLOOKUP($I858,Dashboard!$Q$16:$R$21,2,FALSE)))))*VLOOKUP($I858,Dashboard!$Q$9:$R$13,2,FALSE)*IF(AND($I858="Auto",$F858="",OR($B858="Autographs Duals",$B858="Autographs Triples",$B858="Autographs Quads",$B858="Autographs Quads (Inscribed)")),IF($B858="Autographs Duals",2,IF($B858="Autographs Triples",3,4)),1)))</f>
        <v>40</v>
      </c>
      <c r="AB858" s="62">
        <f t="shared" si="180"/>
        <v>0</v>
      </c>
      <c r="AC858" s="62">
        <f t="shared" si="181"/>
        <v>0</v>
      </c>
    </row>
    <row r="859" spans="1:29" ht="28.7" customHeight="1" x14ac:dyDescent="0.25">
      <c r="A859" s="4" t="s">
        <v>19</v>
      </c>
      <c r="B859" s="7" t="s">
        <v>81</v>
      </c>
      <c r="C859" s="2" t="s">
        <v>1557</v>
      </c>
      <c r="D859" s="7" t="s">
        <v>1136</v>
      </c>
      <c r="E859" s="4" t="s">
        <v>780</v>
      </c>
      <c r="F859" s="2">
        <v>25</v>
      </c>
      <c r="G859" s="2" t="s">
        <v>1399</v>
      </c>
      <c r="H859" s="2" t="s">
        <v>1400</v>
      </c>
      <c r="I859" s="4" t="s">
        <v>60</v>
      </c>
      <c r="J859" s="112">
        <f>IF($H859&lt;&gt;"Y",0,ROUND(MIN(Dashboard!$R$24,IF(IFERROR(VLOOKUP($B859,Dashboard!$Q$28:$S$60,2,FALSE),0)&gt;0,IFERROR(VLOOKUP($B859,Dashboard!$Q$28:$S$60,2,FALSE),0),$Z859*IF($U859&lt;&gt;"",ROUND((Dashboard!$R$4/$U859)*VLOOKUP($I859,Dashboard!$Q$9:$R$13,2,FALSE)*IF(ISNUMBER(SEARCH("Duals",$B859)),2,IF(ISNUMBER(SEARCH("Triples",$B859)),3,IF(ISNUMBER(SEARCH("Quads",$B859)),4,1))),2),ROUND(VLOOKUP($I859,Dashboard!$Q$15:$R$20,2,FALSE)*IF($E859="Red",Dashboard!$R$6,IF($E859="Gold",Dashboard!$R$7,Dashboard!$R$5))*IF(ISNUMBER(SEARCH("Duals",$B859)),2,IF(ISNUMBER(SEARCH("Triples",$B859)),3,IF(ISNUMBER(SEARCH("Quads",$B859)),4,1))),2))*IF(IFERROR(VLOOKUP($B859,Dashboard!$Q$28:$S$60,3,FALSE),0)&gt;0,VLOOKUP($B859,Dashboard!$Q$28:$S$60,3,FALSE),1))),0))</f>
        <v>40</v>
      </c>
      <c r="K859" s="2" t="str">
        <f>IF('Base S2'!H59="","",'Base S2'!H59)</f>
        <v/>
      </c>
      <c r="L859" s="2">
        <f t="shared" si="169"/>
        <v>0</v>
      </c>
      <c r="M859" s="2">
        <f t="shared" si="170"/>
        <v>0</v>
      </c>
      <c r="N859" s="2">
        <f t="shared" si="171"/>
        <v>0</v>
      </c>
      <c r="O859" s="2">
        <f t="shared" si="172"/>
        <v>1</v>
      </c>
      <c r="P859" s="112">
        <f t="shared" si="173"/>
        <v>0</v>
      </c>
      <c r="Q859" s="112">
        <f t="shared" si="174"/>
        <v>0</v>
      </c>
      <c r="R859" s="53"/>
      <c r="S859" s="53" t="str">
        <f t="shared" si="175"/>
        <v>Base S2|Black Parallel - Season 2|158|Black</v>
      </c>
      <c r="T859" s="57" t="str">
        <f>IF($S859="","",IFERROR(VLOOKUP($S859,'Pop Estimates (Non-#d)'!$N$2:$O$500,2,FALSE),""))</f>
        <v/>
      </c>
      <c r="U859" s="57">
        <f t="shared" si="176"/>
        <v>25</v>
      </c>
      <c r="V859" s="53" t="str">
        <f t="shared" si="177"/>
        <v/>
      </c>
      <c r="W859" s="53" t="str">
        <f t="shared" si="178"/>
        <v/>
      </c>
      <c r="X859" s="53" t="str">
        <f t="shared" si="179"/>
        <v/>
      </c>
      <c r="Y859" s="57" t="str">
        <f>IF($X859="","",IFERROR(VLOOKUP($X859,'Char Popularity'!$A$2:$C$500,2,FALSE),""))</f>
        <v/>
      </c>
      <c r="Z859" s="56">
        <f>IF($X859="",1,IFERROR(VLOOKUP($X859,'Char Popularity'!$A$2:$C$500,3,FALSE),1))</f>
        <v>1</v>
      </c>
      <c r="AA859" s="62">
        <f>IF($H859&lt;&gt;"Y",0,(IF($F859&lt;&gt;"",ROUND(Dashboard!$R$4/$F859,1),IF(AND($I859="Base",$E859="Base"),Dashboard!$R$5,IF(AND($I859="Base",$E859="Red"),Dashboard!$R$6,IF(AND($I859="Base",$E859="Gold"),Dashboard!$R$7,VLOOKUP($I859,Dashboard!$Q$16:$R$21,2,FALSE)))))*VLOOKUP($I859,Dashboard!$Q$9:$R$13,2,FALSE)*IF(AND($I859="Auto",$F859="",OR($B859="Autographs Duals",$B859="Autographs Triples",$B859="Autographs Quads",$B859="Autographs Quads (Inscribed)")),IF($B859="Autographs Duals",2,IF($B859="Autographs Triples",3,4)),1)))</f>
        <v>40</v>
      </c>
      <c r="AB859" s="62">
        <f t="shared" si="180"/>
        <v>0</v>
      </c>
      <c r="AC859" s="62">
        <f t="shared" si="181"/>
        <v>0</v>
      </c>
    </row>
    <row r="860" spans="1:29" ht="28.7" customHeight="1" x14ac:dyDescent="0.25">
      <c r="A860" s="4" t="s">
        <v>19</v>
      </c>
      <c r="B860" s="7" t="s">
        <v>81</v>
      </c>
      <c r="C860" s="2" t="s">
        <v>1558</v>
      </c>
      <c r="D860" s="7" t="s">
        <v>1137</v>
      </c>
      <c r="E860" s="4" t="s">
        <v>780</v>
      </c>
      <c r="F860" s="2">
        <v>25</v>
      </c>
      <c r="G860" s="2" t="s">
        <v>1399</v>
      </c>
      <c r="H860" s="2" t="s">
        <v>1400</v>
      </c>
      <c r="I860" s="4" t="s">
        <v>60</v>
      </c>
      <c r="J860" s="112">
        <f>IF($H860&lt;&gt;"Y",0,ROUND(MIN(Dashboard!$R$24,IF(IFERROR(VLOOKUP($B860,Dashboard!$Q$28:$S$60,2,FALSE),0)&gt;0,IFERROR(VLOOKUP($B860,Dashboard!$Q$28:$S$60,2,FALSE),0),$Z860*IF($U860&lt;&gt;"",ROUND((Dashboard!$R$4/$U860)*VLOOKUP($I860,Dashboard!$Q$9:$R$13,2,FALSE)*IF(ISNUMBER(SEARCH("Duals",$B860)),2,IF(ISNUMBER(SEARCH("Triples",$B860)),3,IF(ISNUMBER(SEARCH("Quads",$B860)),4,1))),2),ROUND(VLOOKUP($I860,Dashboard!$Q$15:$R$20,2,FALSE)*IF($E860="Red",Dashboard!$R$6,IF($E860="Gold",Dashboard!$R$7,Dashboard!$R$5))*IF(ISNUMBER(SEARCH("Duals",$B860)),2,IF(ISNUMBER(SEARCH("Triples",$B860)),3,IF(ISNUMBER(SEARCH("Quads",$B860)),4,1))),2))*IF(IFERROR(VLOOKUP($B860,Dashboard!$Q$28:$S$60,3,FALSE),0)&gt;0,VLOOKUP($B860,Dashboard!$Q$28:$S$60,3,FALSE),1))),0))</f>
        <v>40</v>
      </c>
      <c r="K860" s="2" t="str">
        <f>IF('Base S2'!H60="","",'Base S2'!H60)</f>
        <v/>
      </c>
      <c r="L860" s="2">
        <f t="shared" si="169"/>
        <v>0</v>
      </c>
      <c r="M860" s="2">
        <f t="shared" si="170"/>
        <v>0</v>
      </c>
      <c r="N860" s="2">
        <f t="shared" si="171"/>
        <v>0</v>
      </c>
      <c r="O860" s="2">
        <f t="shared" si="172"/>
        <v>1</v>
      </c>
      <c r="P860" s="112">
        <f t="shared" si="173"/>
        <v>0</v>
      </c>
      <c r="Q860" s="112">
        <f t="shared" si="174"/>
        <v>0</v>
      </c>
      <c r="R860" s="53"/>
      <c r="S860" s="53" t="str">
        <f t="shared" si="175"/>
        <v>Base S2|Black Parallel - Season 2|159|Black</v>
      </c>
      <c r="T860" s="57" t="str">
        <f>IF($S860="","",IFERROR(VLOOKUP($S860,'Pop Estimates (Non-#d)'!$N$2:$O$500,2,FALSE),""))</f>
        <v/>
      </c>
      <c r="U860" s="57">
        <f t="shared" si="176"/>
        <v>25</v>
      </c>
      <c r="V860" s="53" t="str">
        <f t="shared" si="177"/>
        <v/>
      </c>
      <c r="W860" s="53" t="str">
        <f t="shared" si="178"/>
        <v/>
      </c>
      <c r="X860" s="53" t="str">
        <f t="shared" si="179"/>
        <v/>
      </c>
      <c r="Y860" s="57" t="str">
        <f>IF($X860="","",IFERROR(VLOOKUP($X860,'Char Popularity'!$A$2:$C$500,2,FALSE),""))</f>
        <v/>
      </c>
      <c r="Z860" s="56">
        <f>IF($X860="",1,IFERROR(VLOOKUP($X860,'Char Popularity'!$A$2:$C$500,3,FALSE),1))</f>
        <v>1</v>
      </c>
      <c r="AA860" s="62">
        <f>IF($H860&lt;&gt;"Y",0,(IF($F860&lt;&gt;"",ROUND(Dashboard!$R$4/$F860,1),IF(AND($I860="Base",$E860="Base"),Dashboard!$R$5,IF(AND($I860="Base",$E860="Red"),Dashboard!$R$6,IF(AND($I860="Base",$E860="Gold"),Dashboard!$R$7,VLOOKUP($I860,Dashboard!$Q$16:$R$21,2,FALSE)))))*VLOOKUP($I860,Dashboard!$Q$9:$R$13,2,FALSE)*IF(AND($I860="Auto",$F860="",OR($B860="Autographs Duals",$B860="Autographs Triples",$B860="Autographs Quads",$B860="Autographs Quads (Inscribed)")),IF($B860="Autographs Duals",2,IF($B860="Autographs Triples",3,4)),1)))</f>
        <v>40</v>
      </c>
      <c r="AB860" s="62">
        <f t="shared" si="180"/>
        <v>0</v>
      </c>
      <c r="AC860" s="62">
        <f t="shared" si="181"/>
        <v>0</v>
      </c>
    </row>
    <row r="861" spans="1:29" ht="28.7" customHeight="1" x14ac:dyDescent="0.25">
      <c r="A861" s="4" t="s">
        <v>19</v>
      </c>
      <c r="B861" s="7" t="s">
        <v>81</v>
      </c>
      <c r="C861" s="2" t="s">
        <v>1559</v>
      </c>
      <c r="D861" s="7" t="s">
        <v>1139</v>
      </c>
      <c r="E861" s="4" t="s">
        <v>780</v>
      </c>
      <c r="F861" s="2">
        <v>25</v>
      </c>
      <c r="G861" s="2" t="s">
        <v>1399</v>
      </c>
      <c r="H861" s="2" t="s">
        <v>1400</v>
      </c>
      <c r="I861" s="4" t="s">
        <v>60</v>
      </c>
      <c r="J861" s="112">
        <f>IF($H861&lt;&gt;"Y",0,ROUND(MIN(Dashboard!$R$24,IF(IFERROR(VLOOKUP($B861,Dashboard!$Q$28:$S$60,2,FALSE),0)&gt;0,IFERROR(VLOOKUP($B861,Dashboard!$Q$28:$S$60,2,FALSE),0),$Z861*IF($U861&lt;&gt;"",ROUND((Dashboard!$R$4/$U861)*VLOOKUP($I861,Dashboard!$Q$9:$R$13,2,FALSE)*IF(ISNUMBER(SEARCH("Duals",$B861)),2,IF(ISNUMBER(SEARCH("Triples",$B861)),3,IF(ISNUMBER(SEARCH("Quads",$B861)),4,1))),2),ROUND(VLOOKUP($I861,Dashboard!$Q$15:$R$20,2,FALSE)*IF($E861="Red",Dashboard!$R$6,IF($E861="Gold",Dashboard!$R$7,Dashboard!$R$5))*IF(ISNUMBER(SEARCH("Duals",$B861)),2,IF(ISNUMBER(SEARCH("Triples",$B861)),3,IF(ISNUMBER(SEARCH("Quads",$B861)),4,1))),2))*IF(IFERROR(VLOOKUP($B861,Dashboard!$Q$28:$S$60,3,FALSE),0)&gt;0,VLOOKUP($B861,Dashboard!$Q$28:$S$60,3,FALSE),1))),0))</f>
        <v>40</v>
      </c>
      <c r="K861" s="2" t="str">
        <f>IF('Base S2'!H61="","",'Base S2'!H61)</f>
        <v>C 21/25</v>
      </c>
      <c r="L861" s="2">
        <f t="shared" si="169"/>
        <v>1</v>
      </c>
      <c r="M861" s="2">
        <f t="shared" si="170"/>
        <v>0</v>
      </c>
      <c r="N861" s="2">
        <f t="shared" si="171"/>
        <v>1</v>
      </c>
      <c r="O861" s="2">
        <f t="shared" si="172"/>
        <v>0</v>
      </c>
      <c r="P861" s="112">
        <f t="shared" si="173"/>
        <v>40</v>
      </c>
      <c r="Q861" s="112">
        <f t="shared" si="174"/>
        <v>0</v>
      </c>
      <c r="R861" s="53"/>
      <c r="S861" s="53" t="str">
        <f t="shared" si="175"/>
        <v>Base S2|Black Parallel - Season 2|160|Black</v>
      </c>
      <c r="T861" s="57" t="str">
        <f>IF($S861="","",IFERROR(VLOOKUP($S861,'Pop Estimates (Non-#d)'!$N$2:$O$500,2,FALSE),""))</f>
        <v/>
      </c>
      <c r="U861" s="57">
        <f t="shared" si="176"/>
        <v>25</v>
      </c>
      <c r="V861" s="53" t="str">
        <f t="shared" si="177"/>
        <v/>
      </c>
      <c r="W861" s="53" t="str">
        <f t="shared" si="178"/>
        <v/>
      </c>
      <c r="X861" s="53" t="str">
        <f t="shared" si="179"/>
        <v/>
      </c>
      <c r="Y861" s="57" t="str">
        <f>IF($X861="","",IFERROR(VLOOKUP($X861,'Char Popularity'!$A$2:$C$500,2,FALSE),""))</f>
        <v/>
      </c>
      <c r="Z861" s="56">
        <f>IF($X861="",1,IFERROR(VLOOKUP($X861,'Char Popularity'!$A$2:$C$500,3,FALSE),1))</f>
        <v>1</v>
      </c>
      <c r="AA861" s="62">
        <f>IF($H861&lt;&gt;"Y",0,(IF($F861&lt;&gt;"",ROUND(Dashboard!$R$4/$F861,1),IF(AND($I861="Base",$E861="Base"),Dashboard!$R$5,IF(AND($I861="Base",$E861="Red"),Dashboard!$R$6,IF(AND($I861="Base",$E861="Gold"),Dashboard!$R$7,VLOOKUP($I861,Dashboard!$Q$16:$R$21,2,FALSE)))))*VLOOKUP($I861,Dashboard!$Q$9:$R$13,2,FALSE)*IF(AND($I861="Auto",$F861="",OR($B861="Autographs Duals",$B861="Autographs Triples",$B861="Autographs Quads",$B861="Autographs Quads (Inscribed)")),IF($B861="Autographs Duals",2,IF($B861="Autographs Triples",3,4)),1)))</f>
        <v>40</v>
      </c>
      <c r="AB861" s="62">
        <f t="shared" si="180"/>
        <v>40</v>
      </c>
      <c r="AC861" s="62">
        <f t="shared" si="181"/>
        <v>0</v>
      </c>
    </row>
    <row r="862" spans="1:29" ht="28.7" customHeight="1" x14ac:dyDescent="0.25">
      <c r="A862" s="4" t="s">
        <v>19</v>
      </c>
      <c r="B862" s="7" t="s">
        <v>81</v>
      </c>
      <c r="C862" s="2" t="s">
        <v>1560</v>
      </c>
      <c r="D862" s="7" t="s">
        <v>1140</v>
      </c>
      <c r="E862" s="4" t="s">
        <v>780</v>
      </c>
      <c r="F862" s="2">
        <v>25</v>
      </c>
      <c r="G862" s="2" t="s">
        <v>1399</v>
      </c>
      <c r="H862" s="2" t="s">
        <v>1400</v>
      </c>
      <c r="I862" s="4" t="s">
        <v>60</v>
      </c>
      <c r="J862" s="112">
        <f>IF($H862&lt;&gt;"Y",0,ROUND(MIN(Dashboard!$R$24,IF(IFERROR(VLOOKUP($B862,Dashboard!$Q$28:$S$60,2,FALSE),0)&gt;0,IFERROR(VLOOKUP($B862,Dashboard!$Q$28:$S$60,2,FALSE),0),$Z862*IF($U862&lt;&gt;"",ROUND((Dashboard!$R$4/$U862)*VLOOKUP($I862,Dashboard!$Q$9:$R$13,2,FALSE)*IF(ISNUMBER(SEARCH("Duals",$B862)),2,IF(ISNUMBER(SEARCH("Triples",$B862)),3,IF(ISNUMBER(SEARCH("Quads",$B862)),4,1))),2),ROUND(VLOOKUP($I862,Dashboard!$Q$15:$R$20,2,FALSE)*IF($E862="Red",Dashboard!$R$6,IF($E862="Gold",Dashboard!$R$7,Dashboard!$R$5))*IF(ISNUMBER(SEARCH("Duals",$B862)),2,IF(ISNUMBER(SEARCH("Triples",$B862)),3,IF(ISNUMBER(SEARCH("Quads",$B862)),4,1))),2))*IF(IFERROR(VLOOKUP($B862,Dashboard!$Q$28:$S$60,3,FALSE),0)&gt;0,VLOOKUP($B862,Dashboard!$Q$28:$S$60,3,FALSE),1))),0))</f>
        <v>40</v>
      </c>
      <c r="K862" s="2" t="str">
        <f>IF('Base S2'!H62="","",'Base S2'!H62)</f>
        <v/>
      </c>
      <c r="L862" s="2">
        <f t="shared" si="169"/>
        <v>0</v>
      </c>
      <c r="M862" s="2">
        <f t="shared" si="170"/>
        <v>0</v>
      </c>
      <c r="N862" s="2">
        <f t="shared" si="171"/>
        <v>0</v>
      </c>
      <c r="O862" s="2">
        <f t="shared" si="172"/>
        <v>1</v>
      </c>
      <c r="P862" s="112">
        <f t="shared" si="173"/>
        <v>0</v>
      </c>
      <c r="Q862" s="112">
        <f t="shared" si="174"/>
        <v>0</v>
      </c>
      <c r="R862" s="53"/>
      <c r="S862" s="53" t="str">
        <f t="shared" si="175"/>
        <v>Base S2|Black Parallel - Season 2|161|Black</v>
      </c>
      <c r="T862" s="57" t="str">
        <f>IF($S862="","",IFERROR(VLOOKUP($S862,'Pop Estimates (Non-#d)'!$N$2:$O$500,2,FALSE),""))</f>
        <v/>
      </c>
      <c r="U862" s="57">
        <f t="shared" si="176"/>
        <v>25</v>
      </c>
      <c r="V862" s="53" t="str">
        <f t="shared" si="177"/>
        <v/>
      </c>
      <c r="W862" s="53" t="str">
        <f t="shared" si="178"/>
        <v/>
      </c>
      <c r="X862" s="53" t="str">
        <f t="shared" si="179"/>
        <v/>
      </c>
      <c r="Y862" s="57" t="str">
        <f>IF($X862="","",IFERROR(VLOOKUP($X862,'Char Popularity'!$A$2:$C$500,2,FALSE),""))</f>
        <v/>
      </c>
      <c r="Z862" s="56">
        <f>IF($X862="",1,IFERROR(VLOOKUP($X862,'Char Popularity'!$A$2:$C$500,3,FALSE),1))</f>
        <v>1</v>
      </c>
      <c r="AA862" s="62">
        <f>IF($H862&lt;&gt;"Y",0,(IF($F862&lt;&gt;"",ROUND(Dashboard!$R$4/$F862,1),IF(AND($I862="Base",$E862="Base"),Dashboard!$R$5,IF(AND($I862="Base",$E862="Red"),Dashboard!$R$6,IF(AND($I862="Base",$E862="Gold"),Dashboard!$R$7,VLOOKUP($I862,Dashboard!$Q$16:$R$21,2,FALSE)))))*VLOOKUP($I862,Dashboard!$Q$9:$R$13,2,FALSE)*IF(AND($I862="Auto",$F862="",OR($B862="Autographs Duals",$B862="Autographs Triples",$B862="Autographs Quads",$B862="Autographs Quads (Inscribed)")),IF($B862="Autographs Duals",2,IF($B862="Autographs Triples",3,4)),1)))</f>
        <v>40</v>
      </c>
      <c r="AB862" s="62">
        <f t="shared" si="180"/>
        <v>0</v>
      </c>
      <c r="AC862" s="62">
        <f t="shared" si="181"/>
        <v>0</v>
      </c>
    </row>
    <row r="863" spans="1:29" ht="28.7" customHeight="1" x14ac:dyDescent="0.25">
      <c r="A863" s="4" t="s">
        <v>19</v>
      </c>
      <c r="B863" s="7" t="s">
        <v>81</v>
      </c>
      <c r="C863" s="2" t="s">
        <v>1561</v>
      </c>
      <c r="D863" s="7" t="s">
        <v>1142</v>
      </c>
      <c r="E863" s="4" t="s">
        <v>780</v>
      </c>
      <c r="F863" s="2">
        <v>25</v>
      </c>
      <c r="G863" s="2" t="s">
        <v>1399</v>
      </c>
      <c r="H863" s="2" t="s">
        <v>1400</v>
      </c>
      <c r="I863" s="4" t="s">
        <v>60</v>
      </c>
      <c r="J863" s="112">
        <f>IF($H863&lt;&gt;"Y",0,ROUND(MIN(Dashboard!$R$24,IF(IFERROR(VLOOKUP($B863,Dashboard!$Q$28:$S$60,2,FALSE),0)&gt;0,IFERROR(VLOOKUP($B863,Dashboard!$Q$28:$S$60,2,FALSE),0),$Z863*IF($U863&lt;&gt;"",ROUND((Dashboard!$R$4/$U863)*VLOOKUP($I863,Dashboard!$Q$9:$R$13,2,FALSE)*IF(ISNUMBER(SEARCH("Duals",$B863)),2,IF(ISNUMBER(SEARCH("Triples",$B863)),3,IF(ISNUMBER(SEARCH("Quads",$B863)),4,1))),2),ROUND(VLOOKUP($I863,Dashboard!$Q$15:$R$20,2,FALSE)*IF($E863="Red",Dashboard!$R$6,IF($E863="Gold",Dashboard!$R$7,Dashboard!$R$5))*IF(ISNUMBER(SEARCH("Duals",$B863)),2,IF(ISNUMBER(SEARCH("Triples",$B863)),3,IF(ISNUMBER(SEARCH("Quads",$B863)),4,1))),2))*IF(IFERROR(VLOOKUP($B863,Dashboard!$Q$28:$S$60,3,FALSE),0)&gt;0,VLOOKUP($B863,Dashboard!$Q$28:$S$60,3,FALSE),1))),0))</f>
        <v>40</v>
      </c>
      <c r="K863" s="2" t="str">
        <f>IF('Base S2'!H63="","",'Base S2'!H63)</f>
        <v>C 15/25</v>
      </c>
      <c r="L863" s="2">
        <f t="shared" si="169"/>
        <v>1</v>
      </c>
      <c r="M863" s="2">
        <f t="shared" si="170"/>
        <v>0</v>
      </c>
      <c r="N863" s="2">
        <f t="shared" si="171"/>
        <v>1</v>
      </c>
      <c r="O863" s="2">
        <f t="shared" si="172"/>
        <v>0</v>
      </c>
      <c r="P863" s="112">
        <f t="shared" si="173"/>
        <v>40</v>
      </c>
      <c r="Q863" s="112">
        <f t="shared" si="174"/>
        <v>0</v>
      </c>
      <c r="R863" s="53"/>
      <c r="S863" s="53" t="str">
        <f t="shared" si="175"/>
        <v>Base S2|Black Parallel - Season 2|162|Black</v>
      </c>
      <c r="T863" s="57" t="str">
        <f>IF($S863="","",IFERROR(VLOOKUP($S863,'Pop Estimates (Non-#d)'!$N$2:$O$500,2,FALSE),""))</f>
        <v/>
      </c>
      <c r="U863" s="57">
        <f t="shared" si="176"/>
        <v>25</v>
      </c>
      <c r="V863" s="53" t="str">
        <f t="shared" si="177"/>
        <v/>
      </c>
      <c r="W863" s="53" t="str">
        <f t="shared" si="178"/>
        <v/>
      </c>
      <c r="X863" s="53" t="str">
        <f t="shared" si="179"/>
        <v/>
      </c>
      <c r="Y863" s="57" t="str">
        <f>IF($X863="","",IFERROR(VLOOKUP($X863,'Char Popularity'!$A$2:$C$500,2,FALSE),""))</f>
        <v/>
      </c>
      <c r="Z863" s="56">
        <f>IF($X863="",1,IFERROR(VLOOKUP($X863,'Char Popularity'!$A$2:$C$500,3,FALSE),1))</f>
        <v>1</v>
      </c>
      <c r="AA863" s="62">
        <f>IF($H863&lt;&gt;"Y",0,(IF($F863&lt;&gt;"",ROUND(Dashboard!$R$4/$F863,1),IF(AND($I863="Base",$E863="Base"),Dashboard!$R$5,IF(AND($I863="Base",$E863="Red"),Dashboard!$R$6,IF(AND($I863="Base",$E863="Gold"),Dashboard!$R$7,VLOOKUP($I863,Dashboard!$Q$16:$R$21,2,FALSE)))))*VLOOKUP($I863,Dashboard!$Q$9:$R$13,2,FALSE)*IF(AND($I863="Auto",$F863="",OR($B863="Autographs Duals",$B863="Autographs Triples",$B863="Autographs Quads",$B863="Autographs Quads (Inscribed)")),IF($B863="Autographs Duals",2,IF($B863="Autographs Triples",3,4)),1)))</f>
        <v>40</v>
      </c>
      <c r="AB863" s="62">
        <f t="shared" si="180"/>
        <v>40</v>
      </c>
      <c r="AC863" s="62">
        <f t="shared" si="181"/>
        <v>0</v>
      </c>
    </row>
    <row r="864" spans="1:29" ht="28.7" customHeight="1" x14ac:dyDescent="0.25">
      <c r="A864" s="4" t="s">
        <v>19</v>
      </c>
      <c r="B864" s="7" t="s">
        <v>81</v>
      </c>
      <c r="C864" s="2" t="s">
        <v>1562</v>
      </c>
      <c r="D864" s="7" t="s">
        <v>1143</v>
      </c>
      <c r="E864" s="4" t="s">
        <v>780</v>
      </c>
      <c r="F864" s="2">
        <v>25</v>
      </c>
      <c r="G864" s="2" t="s">
        <v>1399</v>
      </c>
      <c r="H864" s="2" t="s">
        <v>1400</v>
      </c>
      <c r="I864" s="4" t="s">
        <v>60</v>
      </c>
      <c r="J864" s="112">
        <f>IF($H864&lt;&gt;"Y",0,ROUND(MIN(Dashboard!$R$24,IF(IFERROR(VLOOKUP($B864,Dashboard!$Q$28:$S$60,2,FALSE),0)&gt;0,IFERROR(VLOOKUP($B864,Dashboard!$Q$28:$S$60,2,FALSE),0),$Z864*IF($U864&lt;&gt;"",ROUND((Dashboard!$R$4/$U864)*VLOOKUP($I864,Dashboard!$Q$9:$R$13,2,FALSE)*IF(ISNUMBER(SEARCH("Duals",$B864)),2,IF(ISNUMBER(SEARCH("Triples",$B864)),3,IF(ISNUMBER(SEARCH("Quads",$B864)),4,1))),2),ROUND(VLOOKUP($I864,Dashboard!$Q$15:$R$20,2,FALSE)*IF($E864="Red",Dashboard!$R$6,IF($E864="Gold",Dashboard!$R$7,Dashboard!$R$5))*IF(ISNUMBER(SEARCH("Duals",$B864)),2,IF(ISNUMBER(SEARCH("Triples",$B864)),3,IF(ISNUMBER(SEARCH("Quads",$B864)),4,1))),2))*IF(IFERROR(VLOOKUP($B864,Dashboard!$Q$28:$S$60,3,FALSE),0)&gt;0,VLOOKUP($B864,Dashboard!$Q$28:$S$60,3,FALSE),1))),0))</f>
        <v>40</v>
      </c>
      <c r="K864" s="2" t="str">
        <f>IF('Base S2'!H64="","",'Base S2'!H64)</f>
        <v/>
      </c>
      <c r="L864" s="2">
        <f t="shared" si="169"/>
        <v>0</v>
      </c>
      <c r="M864" s="2">
        <f t="shared" si="170"/>
        <v>0</v>
      </c>
      <c r="N864" s="2">
        <f t="shared" si="171"/>
        <v>0</v>
      </c>
      <c r="O864" s="2">
        <f t="shared" si="172"/>
        <v>1</v>
      </c>
      <c r="P864" s="112">
        <f t="shared" si="173"/>
        <v>0</v>
      </c>
      <c r="Q864" s="112">
        <f t="shared" si="174"/>
        <v>0</v>
      </c>
      <c r="R864" s="53"/>
      <c r="S864" s="53" t="str">
        <f t="shared" si="175"/>
        <v>Base S2|Black Parallel - Season 2|163|Black</v>
      </c>
      <c r="T864" s="57" t="str">
        <f>IF($S864="","",IFERROR(VLOOKUP($S864,'Pop Estimates (Non-#d)'!$N$2:$O$500,2,FALSE),""))</f>
        <v/>
      </c>
      <c r="U864" s="57">
        <f t="shared" si="176"/>
        <v>25</v>
      </c>
      <c r="V864" s="53" t="str">
        <f t="shared" si="177"/>
        <v/>
      </c>
      <c r="W864" s="53" t="str">
        <f t="shared" si="178"/>
        <v/>
      </c>
      <c r="X864" s="53" t="str">
        <f t="shared" si="179"/>
        <v/>
      </c>
      <c r="Y864" s="57" t="str">
        <f>IF($X864="","",IFERROR(VLOOKUP($X864,'Char Popularity'!$A$2:$C$500,2,FALSE),""))</f>
        <v/>
      </c>
      <c r="Z864" s="56">
        <f>IF($X864="",1,IFERROR(VLOOKUP($X864,'Char Popularity'!$A$2:$C$500,3,FALSE),1))</f>
        <v>1</v>
      </c>
      <c r="AA864" s="62">
        <f>IF($H864&lt;&gt;"Y",0,(IF($F864&lt;&gt;"",ROUND(Dashboard!$R$4/$F864,1),IF(AND($I864="Base",$E864="Base"),Dashboard!$R$5,IF(AND($I864="Base",$E864="Red"),Dashboard!$R$6,IF(AND($I864="Base",$E864="Gold"),Dashboard!$R$7,VLOOKUP($I864,Dashboard!$Q$16:$R$21,2,FALSE)))))*VLOOKUP($I864,Dashboard!$Q$9:$R$13,2,FALSE)*IF(AND($I864="Auto",$F864="",OR($B864="Autographs Duals",$B864="Autographs Triples",$B864="Autographs Quads",$B864="Autographs Quads (Inscribed)")),IF($B864="Autographs Duals",2,IF($B864="Autographs Triples",3,4)),1)))</f>
        <v>40</v>
      </c>
      <c r="AB864" s="62">
        <f t="shared" si="180"/>
        <v>0</v>
      </c>
      <c r="AC864" s="62">
        <f t="shared" si="181"/>
        <v>0</v>
      </c>
    </row>
    <row r="865" spans="1:29" ht="28.7" customHeight="1" x14ac:dyDescent="0.25">
      <c r="A865" s="4" t="s">
        <v>19</v>
      </c>
      <c r="B865" s="7" t="s">
        <v>81</v>
      </c>
      <c r="C865" s="2" t="s">
        <v>1563</v>
      </c>
      <c r="D865" s="7" t="s">
        <v>1145</v>
      </c>
      <c r="E865" s="4" t="s">
        <v>780</v>
      </c>
      <c r="F865" s="2">
        <v>25</v>
      </c>
      <c r="G865" s="2" t="s">
        <v>1399</v>
      </c>
      <c r="H865" s="2" t="s">
        <v>1400</v>
      </c>
      <c r="I865" s="4" t="s">
        <v>60</v>
      </c>
      <c r="J865" s="112">
        <f>IF($H865&lt;&gt;"Y",0,ROUND(MIN(Dashboard!$R$24,IF(IFERROR(VLOOKUP($B865,Dashboard!$Q$28:$S$60,2,FALSE),0)&gt;0,IFERROR(VLOOKUP($B865,Dashboard!$Q$28:$S$60,2,FALSE),0),$Z865*IF($U865&lt;&gt;"",ROUND((Dashboard!$R$4/$U865)*VLOOKUP($I865,Dashboard!$Q$9:$R$13,2,FALSE)*IF(ISNUMBER(SEARCH("Duals",$B865)),2,IF(ISNUMBER(SEARCH("Triples",$B865)),3,IF(ISNUMBER(SEARCH("Quads",$B865)),4,1))),2),ROUND(VLOOKUP($I865,Dashboard!$Q$15:$R$20,2,FALSE)*IF($E865="Red",Dashboard!$R$6,IF($E865="Gold",Dashboard!$R$7,Dashboard!$R$5))*IF(ISNUMBER(SEARCH("Duals",$B865)),2,IF(ISNUMBER(SEARCH("Triples",$B865)),3,IF(ISNUMBER(SEARCH("Quads",$B865)),4,1))),2))*IF(IFERROR(VLOOKUP($B865,Dashboard!$Q$28:$S$60,3,FALSE),0)&gt;0,VLOOKUP($B865,Dashboard!$Q$28:$S$60,3,FALSE),1))),0))</f>
        <v>40</v>
      </c>
      <c r="K865" s="2" t="str">
        <f>IF('Base S2'!H65="","",'Base S2'!H65)</f>
        <v/>
      </c>
      <c r="L865" s="2">
        <f t="shared" si="169"/>
        <v>0</v>
      </c>
      <c r="M865" s="2">
        <f t="shared" si="170"/>
        <v>0</v>
      </c>
      <c r="N865" s="2">
        <f t="shared" si="171"/>
        <v>0</v>
      </c>
      <c r="O865" s="2">
        <f t="shared" si="172"/>
        <v>1</v>
      </c>
      <c r="P865" s="112">
        <f t="shared" si="173"/>
        <v>0</v>
      </c>
      <c r="Q865" s="112">
        <f t="shared" si="174"/>
        <v>0</v>
      </c>
      <c r="R865" s="53"/>
      <c r="S865" s="53" t="str">
        <f t="shared" si="175"/>
        <v>Base S2|Black Parallel - Season 2|164|Black</v>
      </c>
      <c r="T865" s="57" t="str">
        <f>IF($S865="","",IFERROR(VLOOKUP($S865,'Pop Estimates (Non-#d)'!$N$2:$O$500,2,FALSE),""))</f>
        <v/>
      </c>
      <c r="U865" s="57">
        <f t="shared" si="176"/>
        <v>25</v>
      </c>
      <c r="V865" s="53" t="str">
        <f t="shared" si="177"/>
        <v/>
      </c>
      <c r="W865" s="53" t="str">
        <f t="shared" si="178"/>
        <v/>
      </c>
      <c r="X865" s="53" t="str">
        <f t="shared" si="179"/>
        <v/>
      </c>
      <c r="Y865" s="57" t="str">
        <f>IF($X865="","",IFERROR(VLOOKUP($X865,'Char Popularity'!$A$2:$C$500,2,FALSE),""))</f>
        <v/>
      </c>
      <c r="Z865" s="56">
        <f>IF($X865="",1,IFERROR(VLOOKUP($X865,'Char Popularity'!$A$2:$C$500,3,FALSE),1))</f>
        <v>1</v>
      </c>
      <c r="AA865" s="62">
        <f>IF($H865&lt;&gt;"Y",0,(IF($F865&lt;&gt;"",ROUND(Dashboard!$R$4/$F865,1),IF(AND($I865="Base",$E865="Base"),Dashboard!$R$5,IF(AND($I865="Base",$E865="Red"),Dashboard!$R$6,IF(AND($I865="Base",$E865="Gold"),Dashboard!$R$7,VLOOKUP($I865,Dashboard!$Q$16:$R$21,2,FALSE)))))*VLOOKUP($I865,Dashboard!$Q$9:$R$13,2,FALSE)*IF(AND($I865="Auto",$F865="",OR($B865="Autographs Duals",$B865="Autographs Triples",$B865="Autographs Quads",$B865="Autographs Quads (Inscribed)")),IF($B865="Autographs Duals",2,IF($B865="Autographs Triples",3,4)),1)))</f>
        <v>40</v>
      </c>
      <c r="AB865" s="62">
        <f t="shared" si="180"/>
        <v>0</v>
      </c>
      <c r="AC865" s="62">
        <f t="shared" si="181"/>
        <v>0</v>
      </c>
    </row>
    <row r="866" spans="1:29" ht="28.7" customHeight="1" x14ac:dyDescent="0.25">
      <c r="A866" s="4" t="s">
        <v>19</v>
      </c>
      <c r="B866" s="7" t="s">
        <v>81</v>
      </c>
      <c r="C866" s="2" t="s">
        <v>1564</v>
      </c>
      <c r="D866" s="7" t="s">
        <v>1147</v>
      </c>
      <c r="E866" s="4" t="s">
        <v>780</v>
      </c>
      <c r="F866" s="2">
        <v>25</v>
      </c>
      <c r="G866" s="2" t="s">
        <v>1399</v>
      </c>
      <c r="H866" s="2" t="s">
        <v>1400</v>
      </c>
      <c r="I866" s="4" t="s">
        <v>60</v>
      </c>
      <c r="J866" s="112">
        <f>IF($H866&lt;&gt;"Y",0,ROUND(MIN(Dashboard!$R$24,IF(IFERROR(VLOOKUP($B866,Dashboard!$Q$28:$S$60,2,FALSE),0)&gt;0,IFERROR(VLOOKUP($B866,Dashboard!$Q$28:$S$60,2,FALSE),0),$Z866*IF($U866&lt;&gt;"",ROUND((Dashboard!$R$4/$U866)*VLOOKUP($I866,Dashboard!$Q$9:$R$13,2,FALSE)*IF(ISNUMBER(SEARCH("Duals",$B866)),2,IF(ISNUMBER(SEARCH("Triples",$B866)),3,IF(ISNUMBER(SEARCH("Quads",$B866)),4,1))),2),ROUND(VLOOKUP($I866,Dashboard!$Q$15:$R$20,2,FALSE)*IF($E866="Red",Dashboard!$R$6,IF($E866="Gold",Dashboard!$R$7,Dashboard!$R$5))*IF(ISNUMBER(SEARCH("Duals",$B866)),2,IF(ISNUMBER(SEARCH("Triples",$B866)),3,IF(ISNUMBER(SEARCH("Quads",$B866)),4,1))),2))*IF(IFERROR(VLOOKUP($B866,Dashboard!$Q$28:$S$60,3,FALSE),0)&gt;0,VLOOKUP($B866,Dashboard!$Q$28:$S$60,3,FALSE),1))),0))</f>
        <v>40</v>
      </c>
      <c r="K866" s="2" t="str">
        <f>IF('Base S2'!H66="","",'Base S2'!H66)</f>
        <v/>
      </c>
      <c r="L866" s="2">
        <f t="shared" si="169"/>
        <v>0</v>
      </c>
      <c r="M866" s="2">
        <f t="shared" si="170"/>
        <v>0</v>
      </c>
      <c r="N866" s="2">
        <f t="shared" si="171"/>
        <v>0</v>
      </c>
      <c r="O866" s="2">
        <f t="shared" si="172"/>
        <v>1</v>
      </c>
      <c r="P866" s="112">
        <f t="shared" si="173"/>
        <v>0</v>
      </c>
      <c r="Q866" s="112">
        <f t="shared" si="174"/>
        <v>0</v>
      </c>
      <c r="R866" s="53"/>
      <c r="S866" s="53" t="str">
        <f t="shared" si="175"/>
        <v>Base S2|Black Parallel - Season 2|165|Black</v>
      </c>
      <c r="T866" s="57" t="str">
        <f>IF($S866="","",IFERROR(VLOOKUP($S866,'Pop Estimates (Non-#d)'!$N$2:$O$500,2,FALSE),""))</f>
        <v/>
      </c>
      <c r="U866" s="57">
        <f t="shared" si="176"/>
        <v>25</v>
      </c>
      <c r="V866" s="53" t="str">
        <f t="shared" si="177"/>
        <v/>
      </c>
      <c r="W866" s="53" t="str">
        <f t="shared" si="178"/>
        <v/>
      </c>
      <c r="X866" s="53" t="str">
        <f t="shared" si="179"/>
        <v/>
      </c>
      <c r="Y866" s="57" t="str">
        <f>IF($X866="","",IFERROR(VLOOKUP($X866,'Char Popularity'!$A$2:$C$500,2,FALSE),""))</f>
        <v/>
      </c>
      <c r="Z866" s="56">
        <f>IF($X866="",1,IFERROR(VLOOKUP($X866,'Char Popularity'!$A$2:$C$500,3,FALSE),1))</f>
        <v>1</v>
      </c>
      <c r="AA866" s="62">
        <f>IF($H866&lt;&gt;"Y",0,(IF($F866&lt;&gt;"",ROUND(Dashboard!$R$4/$F866,1),IF(AND($I866="Base",$E866="Base"),Dashboard!$R$5,IF(AND($I866="Base",$E866="Red"),Dashboard!$R$6,IF(AND($I866="Base",$E866="Gold"),Dashboard!$R$7,VLOOKUP($I866,Dashboard!$Q$16:$R$21,2,FALSE)))))*VLOOKUP($I866,Dashboard!$Q$9:$R$13,2,FALSE)*IF(AND($I866="Auto",$F866="",OR($B866="Autographs Duals",$B866="Autographs Triples",$B866="Autographs Quads",$B866="Autographs Quads (Inscribed)")),IF($B866="Autographs Duals",2,IF($B866="Autographs Triples",3,4)),1)))</f>
        <v>40</v>
      </c>
      <c r="AB866" s="62">
        <f t="shared" si="180"/>
        <v>0</v>
      </c>
      <c r="AC866" s="62">
        <f t="shared" si="181"/>
        <v>0</v>
      </c>
    </row>
    <row r="867" spans="1:29" ht="28.7" customHeight="1" x14ac:dyDescent="0.25">
      <c r="A867" s="4" t="s">
        <v>19</v>
      </c>
      <c r="B867" s="7" t="s">
        <v>81</v>
      </c>
      <c r="C867" s="2" t="s">
        <v>1565</v>
      </c>
      <c r="D867" s="7" t="s">
        <v>1148</v>
      </c>
      <c r="E867" s="4" t="s">
        <v>780</v>
      </c>
      <c r="F867" s="2">
        <v>25</v>
      </c>
      <c r="G867" s="2" t="s">
        <v>1399</v>
      </c>
      <c r="H867" s="2" t="s">
        <v>1400</v>
      </c>
      <c r="I867" s="4" t="s">
        <v>60</v>
      </c>
      <c r="J867" s="112">
        <f>IF($H867&lt;&gt;"Y",0,ROUND(MIN(Dashboard!$R$24,IF(IFERROR(VLOOKUP($B867,Dashboard!$Q$28:$S$60,2,FALSE),0)&gt;0,IFERROR(VLOOKUP($B867,Dashboard!$Q$28:$S$60,2,FALSE),0),$Z867*IF($U867&lt;&gt;"",ROUND((Dashboard!$R$4/$U867)*VLOOKUP($I867,Dashboard!$Q$9:$R$13,2,FALSE)*IF(ISNUMBER(SEARCH("Duals",$B867)),2,IF(ISNUMBER(SEARCH("Triples",$B867)),3,IF(ISNUMBER(SEARCH("Quads",$B867)),4,1))),2),ROUND(VLOOKUP($I867,Dashboard!$Q$15:$R$20,2,FALSE)*IF($E867="Red",Dashboard!$R$6,IF($E867="Gold",Dashboard!$R$7,Dashboard!$R$5))*IF(ISNUMBER(SEARCH("Duals",$B867)),2,IF(ISNUMBER(SEARCH("Triples",$B867)),3,IF(ISNUMBER(SEARCH("Quads",$B867)),4,1))),2))*IF(IFERROR(VLOOKUP($B867,Dashboard!$Q$28:$S$60,3,FALSE),0)&gt;0,VLOOKUP($B867,Dashboard!$Q$28:$S$60,3,FALSE),1))),0))</f>
        <v>40</v>
      </c>
      <c r="K867" s="2" t="str">
        <f>IF('Base S2'!H67="","",'Base S2'!H67)</f>
        <v/>
      </c>
      <c r="L867" s="2">
        <f t="shared" si="169"/>
        <v>0</v>
      </c>
      <c r="M867" s="2">
        <f t="shared" si="170"/>
        <v>0</v>
      </c>
      <c r="N867" s="2">
        <f t="shared" si="171"/>
        <v>0</v>
      </c>
      <c r="O867" s="2">
        <f t="shared" si="172"/>
        <v>1</v>
      </c>
      <c r="P867" s="112">
        <f t="shared" si="173"/>
        <v>0</v>
      </c>
      <c r="Q867" s="112">
        <f t="shared" si="174"/>
        <v>0</v>
      </c>
      <c r="R867" s="53"/>
      <c r="S867" s="53" t="str">
        <f t="shared" si="175"/>
        <v>Base S2|Black Parallel - Season 2|166|Black</v>
      </c>
      <c r="T867" s="57" t="str">
        <f>IF($S867="","",IFERROR(VLOOKUP($S867,'Pop Estimates (Non-#d)'!$N$2:$O$500,2,FALSE),""))</f>
        <v/>
      </c>
      <c r="U867" s="57">
        <f t="shared" si="176"/>
        <v>25</v>
      </c>
      <c r="V867" s="53" t="str">
        <f t="shared" si="177"/>
        <v/>
      </c>
      <c r="W867" s="53" t="str">
        <f t="shared" si="178"/>
        <v/>
      </c>
      <c r="X867" s="53" t="str">
        <f t="shared" si="179"/>
        <v/>
      </c>
      <c r="Y867" s="57" t="str">
        <f>IF($X867="","",IFERROR(VLOOKUP($X867,'Char Popularity'!$A$2:$C$500,2,FALSE),""))</f>
        <v/>
      </c>
      <c r="Z867" s="56">
        <f>IF($X867="",1,IFERROR(VLOOKUP($X867,'Char Popularity'!$A$2:$C$500,3,FALSE),1))</f>
        <v>1</v>
      </c>
      <c r="AA867" s="62">
        <f>IF($H867&lt;&gt;"Y",0,(IF($F867&lt;&gt;"",ROUND(Dashboard!$R$4/$F867,1),IF(AND($I867="Base",$E867="Base"),Dashboard!$R$5,IF(AND($I867="Base",$E867="Red"),Dashboard!$R$6,IF(AND($I867="Base",$E867="Gold"),Dashboard!$R$7,VLOOKUP($I867,Dashboard!$Q$16:$R$21,2,FALSE)))))*VLOOKUP($I867,Dashboard!$Q$9:$R$13,2,FALSE)*IF(AND($I867="Auto",$F867="",OR($B867="Autographs Duals",$B867="Autographs Triples",$B867="Autographs Quads",$B867="Autographs Quads (Inscribed)")),IF($B867="Autographs Duals",2,IF($B867="Autographs Triples",3,4)),1)))</f>
        <v>40</v>
      </c>
      <c r="AB867" s="62">
        <f t="shared" si="180"/>
        <v>0</v>
      </c>
      <c r="AC867" s="62">
        <f t="shared" si="181"/>
        <v>0</v>
      </c>
    </row>
    <row r="868" spans="1:29" ht="28.7" customHeight="1" x14ac:dyDescent="0.25">
      <c r="A868" s="4" t="s">
        <v>19</v>
      </c>
      <c r="B868" s="7" t="s">
        <v>81</v>
      </c>
      <c r="C868" s="2" t="s">
        <v>1566</v>
      </c>
      <c r="D868" s="7" t="s">
        <v>1150</v>
      </c>
      <c r="E868" s="4" t="s">
        <v>780</v>
      </c>
      <c r="F868" s="2">
        <v>25</v>
      </c>
      <c r="G868" s="2" t="s">
        <v>1399</v>
      </c>
      <c r="H868" s="2" t="s">
        <v>1400</v>
      </c>
      <c r="I868" s="4" t="s">
        <v>60</v>
      </c>
      <c r="J868" s="112">
        <f>IF($H868&lt;&gt;"Y",0,ROUND(MIN(Dashboard!$R$24,IF(IFERROR(VLOOKUP($B868,Dashboard!$Q$28:$S$60,2,FALSE),0)&gt;0,IFERROR(VLOOKUP($B868,Dashboard!$Q$28:$S$60,2,FALSE),0),$Z868*IF($U868&lt;&gt;"",ROUND((Dashboard!$R$4/$U868)*VLOOKUP($I868,Dashboard!$Q$9:$R$13,2,FALSE)*IF(ISNUMBER(SEARCH("Duals",$B868)),2,IF(ISNUMBER(SEARCH("Triples",$B868)),3,IF(ISNUMBER(SEARCH("Quads",$B868)),4,1))),2),ROUND(VLOOKUP($I868,Dashboard!$Q$15:$R$20,2,FALSE)*IF($E868="Red",Dashboard!$R$6,IF($E868="Gold",Dashboard!$R$7,Dashboard!$R$5))*IF(ISNUMBER(SEARCH("Duals",$B868)),2,IF(ISNUMBER(SEARCH("Triples",$B868)),3,IF(ISNUMBER(SEARCH("Quads",$B868)),4,1))),2))*IF(IFERROR(VLOOKUP($B868,Dashboard!$Q$28:$S$60,3,FALSE),0)&gt;0,VLOOKUP($B868,Dashboard!$Q$28:$S$60,3,FALSE),1))),0))</f>
        <v>40</v>
      </c>
      <c r="K868" s="2" t="str">
        <f>IF('Base S2'!H68="","",'Base S2'!H68)</f>
        <v/>
      </c>
      <c r="L868" s="2">
        <f t="shared" si="169"/>
        <v>0</v>
      </c>
      <c r="M868" s="2">
        <f t="shared" si="170"/>
        <v>0</v>
      </c>
      <c r="N868" s="2">
        <f t="shared" si="171"/>
        <v>0</v>
      </c>
      <c r="O868" s="2">
        <f t="shared" si="172"/>
        <v>1</v>
      </c>
      <c r="P868" s="112">
        <f t="shared" si="173"/>
        <v>0</v>
      </c>
      <c r="Q868" s="112">
        <f t="shared" si="174"/>
        <v>0</v>
      </c>
      <c r="R868" s="53"/>
      <c r="S868" s="53" t="str">
        <f t="shared" si="175"/>
        <v>Base S2|Black Parallel - Season 2|167|Black</v>
      </c>
      <c r="T868" s="57" t="str">
        <f>IF($S868="","",IFERROR(VLOOKUP($S868,'Pop Estimates (Non-#d)'!$N$2:$O$500,2,FALSE),""))</f>
        <v/>
      </c>
      <c r="U868" s="57">
        <f t="shared" si="176"/>
        <v>25</v>
      </c>
      <c r="V868" s="53" t="str">
        <f t="shared" si="177"/>
        <v/>
      </c>
      <c r="W868" s="53" t="str">
        <f t="shared" si="178"/>
        <v/>
      </c>
      <c r="X868" s="53" t="str">
        <f t="shared" si="179"/>
        <v/>
      </c>
      <c r="Y868" s="57" t="str">
        <f>IF($X868="","",IFERROR(VLOOKUP($X868,'Char Popularity'!$A$2:$C$500,2,FALSE),""))</f>
        <v/>
      </c>
      <c r="Z868" s="56">
        <f>IF($X868="",1,IFERROR(VLOOKUP($X868,'Char Popularity'!$A$2:$C$500,3,FALSE),1))</f>
        <v>1</v>
      </c>
      <c r="AA868" s="62">
        <f>IF($H868&lt;&gt;"Y",0,(IF($F868&lt;&gt;"",ROUND(Dashboard!$R$4/$F868,1),IF(AND($I868="Base",$E868="Base"),Dashboard!$R$5,IF(AND($I868="Base",$E868="Red"),Dashboard!$R$6,IF(AND($I868="Base",$E868="Gold"),Dashboard!$R$7,VLOOKUP($I868,Dashboard!$Q$16:$R$21,2,FALSE)))))*VLOOKUP($I868,Dashboard!$Q$9:$R$13,2,FALSE)*IF(AND($I868="Auto",$F868="",OR($B868="Autographs Duals",$B868="Autographs Triples",$B868="Autographs Quads",$B868="Autographs Quads (Inscribed)")),IF($B868="Autographs Duals",2,IF($B868="Autographs Triples",3,4)),1)))</f>
        <v>40</v>
      </c>
      <c r="AB868" s="62">
        <f t="shared" si="180"/>
        <v>0</v>
      </c>
      <c r="AC868" s="62">
        <f t="shared" si="181"/>
        <v>0</v>
      </c>
    </row>
    <row r="869" spans="1:29" ht="28.7" customHeight="1" x14ac:dyDescent="0.25">
      <c r="A869" s="4" t="s">
        <v>19</v>
      </c>
      <c r="B869" s="7" t="s">
        <v>81</v>
      </c>
      <c r="C869" s="2" t="s">
        <v>1567</v>
      </c>
      <c r="D869" s="7" t="s">
        <v>1151</v>
      </c>
      <c r="E869" s="4" t="s">
        <v>780</v>
      </c>
      <c r="F869" s="2">
        <v>25</v>
      </c>
      <c r="G869" s="2" t="s">
        <v>1399</v>
      </c>
      <c r="H869" s="2" t="s">
        <v>1400</v>
      </c>
      <c r="I869" s="4" t="s">
        <v>60</v>
      </c>
      <c r="J869" s="112">
        <f>IF($H869&lt;&gt;"Y",0,ROUND(MIN(Dashboard!$R$24,IF(IFERROR(VLOOKUP($B869,Dashboard!$Q$28:$S$60,2,FALSE),0)&gt;0,IFERROR(VLOOKUP($B869,Dashboard!$Q$28:$S$60,2,FALSE),0),$Z869*IF($U869&lt;&gt;"",ROUND((Dashboard!$R$4/$U869)*VLOOKUP($I869,Dashboard!$Q$9:$R$13,2,FALSE)*IF(ISNUMBER(SEARCH("Duals",$B869)),2,IF(ISNUMBER(SEARCH("Triples",$B869)),3,IF(ISNUMBER(SEARCH("Quads",$B869)),4,1))),2),ROUND(VLOOKUP($I869,Dashboard!$Q$15:$R$20,2,FALSE)*IF($E869="Red",Dashboard!$R$6,IF($E869="Gold",Dashboard!$R$7,Dashboard!$R$5))*IF(ISNUMBER(SEARCH("Duals",$B869)),2,IF(ISNUMBER(SEARCH("Triples",$B869)),3,IF(ISNUMBER(SEARCH("Quads",$B869)),4,1))),2))*IF(IFERROR(VLOOKUP($B869,Dashboard!$Q$28:$S$60,3,FALSE),0)&gt;0,VLOOKUP($B869,Dashboard!$Q$28:$S$60,3,FALSE),1))),0))</f>
        <v>40</v>
      </c>
      <c r="K869" s="2" t="str">
        <f>IF('Base S2'!H69="","",'Base S2'!H69)</f>
        <v/>
      </c>
      <c r="L869" s="2">
        <f t="shared" si="169"/>
        <v>0</v>
      </c>
      <c r="M869" s="2">
        <f t="shared" si="170"/>
        <v>0</v>
      </c>
      <c r="N869" s="2">
        <f t="shared" si="171"/>
        <v>0</v>
      </c>
      <c r="O869" s="2">
        <f t="shared" si="172"/>
        <v>1</v>
      </c>
      <c r="P869" s="112">
        <f t="shared" si="173"/>
        <v>0</v>
      </c>
      <c r="Q869" s="112">
        <f t="shared" si="174"/>
        <v>0</v>
      </c>
      <c r="R869" s="53"/>
      <c r="S869" s="53" t="str">
        <f t="shared" si="175"/>
        <v>Base S2|Black Parallel - Season 2|168|Black</v>
      </c>
      <c r="T869" s="57" t="str">
        <f>IF($S869="","",IFERROR(VLOOKUP($S869,'Pop Estimates (Non-#d)'!$N$2:$O$500,2,FALSE),""))</f>
        <v/>
      </c>
      <c r="U869" s="57">
        <f t="shared" si="176"/>
        <v>25</v>
      </c>
      <c r="V869" s="53" t="str">
        <f t="shared" si="177"/>
        <v/>
      </c>
      <c r="W869" s="53" t="str">
        <f t="shared" si="178"/>
        <v/>
      </c>
      <c r="X869" s="53" t="str">
        <f t="shared" si="179"/>
        <v/>
      </c>
      <c r="Y869" s="57" t="str">
        <f>IF($X869="","",IFERROR(VLOOKUP($X869,'Char Popularity'!$A$2:$C$500,2,FALSE),""))</f>
        <v/>
      </c>
      <c r="Z869" s="56">
        <f>IF($X869="",1,IFERROR(VLOOKUP($X869,'Char Popularity'!$A$2:$C$500,3,FALSE),1))</f>
        <v>1</v>
      </c>
      <c r="AA869" s="62">
        <f>IF($H869&lt;&gt;"Y",0,(IF($F869&lt;&gt;"",ROUND(Dashboard!$R$4/$F869,1),IF(AND($I869="Base",$E869="Base"),Dashboard!$R$5,IF(AND($I869="Base",$E869="Red"),Dashboard!$R$6,IF(AND($I869="Base",$E869="Gold"),Dashboard!$R$7,VLOOKUP($I869,Dashboard!$Q$16:$R$21,2,FALSE)))))*VLOOKUP($I869,Dashboard!$Q$9:$R$13,2,FALSE)*IF(AND($I869="Auto",$F869="",OR($B869="Autographs Duals",$B869="Autographs Triples",$B869="Autographs Quads",$B869="Autographs Quads (Inscribed)")),IF($B869="Autographs Duals",2,IF($B869="Autographs Triples",3,4)),1)))</f>
        <v>40</v>
      </c>
      <c r="AB869" s="62">
        <f t="shared" si="180"/>
        <v>0</v>
      </c>
      <c r="AC869" s="62">
        <f t="shared" si="181"/>
        <v>0</v>
      </c>
    </row>
    <row r="870" spans="1:29" ht="28.7" customHeight="1" x14ac:dyDescent="0.25">
      <c r="A870" s="4" t="s">
        <v>19</v>
      </c>
      <c r="B870" s="7" t="s">
        <v>81</v>
      </c>
      <c r="C870" s="2" t="s">
        <v>1568</v>
      </c>
      <c r="D870" s="7" t="s">
        <v>1153</v>
      </c>
      <c r="E870" s="4" t="s">
        <v>780</v>
      </c>
      <c r="F870" s="2">
        <v>25</v>
      </c>
      <c r="G870" s="2" t="s">
        <v>1399</v>
      </c>
      <c r="H870" s="2" t="s">
        <v>1400</v>
      </c>
      <c r="I870" s="4" t="s">
        <v>60</v>
      </c>
      <c r="J870" s="112">
        <f>IF($H870&lt;&gt;"Y",0,ROUND(MIN(Dashboard!$R$24,IF(IFERROR(VLOOKUP($B870,Dashboard!$Q$28:$S$60,2,FALSE),0)&gt;0,IFERROR(VLOOKUP($B870,Dashboard!$Q$28:$S$60,2,FALSE),0),$Z870*IF($U870&lt;&gt;"",ROUND((Dashboard!$R$4/$U870)*VLOOKUP($I870,Dashboard!$Q$9:$R$13,2,FALSE)*IF(ISNUMBER(SEARCH("Duals",$B870)),2,IF(ISNUMBER(SEARCH("Triples",$B870)),3,IF(ISNUMBER(SEARCH("Quads",$B870)),4,1))),2),ROUND(VLOOKUP($I870,Dashboard!$Q$15:$R$20,2,FALSE)*IF($E870="Red",Dashboard!$R$6,IF($E870="Gold",Dashboard!$R$7,Dashboard!$R$5))*IF(ISNUMBER(SEARCH("Duals",$B870)),2,IF(ISNUMBER(SEARCH("Triples",$B870)),3,IF(ISNUMBER(SEARCH("Quads",$B870)),4,1))),2))*IF(IFERROR(VLOOKUP($B870,Dashboard!$Q$28:$S$60,3,FALSE),0)&gt;0,VLOOKUP($B870,Dashboard!$Q$28:$S$60,3,FALSE),1))),0))</f>
        <v>40</v>
      </c>
      <c r="K870" s="2" t="str">
        <f>IF('Base S2'!H70="","",'Base S2'!H70)</f>
        <v>C 25/25</v>
      </c>
      <c r="L870" s="2">
        <f t="shared" si="169"/>
        <v>1</v>
      </c>
      <c r="M870" s="2">
        <f t="shared" si="170"/>
        <v>0</v>
      </c>
      <c r="N870" s="2">
        <f t="shared" si="171"/>
        <v>1</v>
      </c>
      <c r="O870" s="2">
        <f t="shared" si="172"/>
        <v>0</v>
      </c>
      <c r="P870" s="112">
        <f t="shared" si="173"/>
        <v>40</v>
      </c>
      <c r="Q870" s="112">
        <f t="shared" si="174"/>
        <v>0</v>
      </c>
      <c r="R870" s="53"/>
      <c r="S870" s="53" t="str">
        <f t="shared" si="175"/>
        <v>Base S2|Black Parallel - Season 2|169|Black</v>
      </c>
      <c r="T870" s="57" t="str">
        <f>IF($S870="","",IFERROR(VLOOKUP($S870,'Pop Estimates (Non-#d)'!$N$2:$O$500,2,FALSE),""))</f>
        <v/>
      </c>
      <c r="U870" s="57">
        <f t="shared" si="176"/>
        <v>25</v>
      </c>
      <c r="V870" s="53" t="str">
        <f t="shared" si="177"/>
        <v/>
      </c>
      <c r="W870" s="53" t="str">
        <f t="shared" si="178"/>
        <v/>
      </c>
      <c r="X870" s="53" t="str">
        <f t="shared" si="179"/>
        <v/>
      </c>
      <c r="Y870" s="57" t="str">
        <f>IF($X870="","",IFERROR(VLOOKUP($X870,'Char Popularity'!$A$2:$C$500,2,FALSE),""))</f>
        <v/>
      </c>
      <c r="Z870" s="56">
        <f>IF($X870="",1,IFERROR(VLOOKUP($X870,'Char Popularity'!$A$2:$C$500,3,FALSE),1))</f>
        <v>1</v>
      </c>
      <c r="AA870" s="62">
        <f>IF($H870&lt;&gt;"Y",0,(IF($F870&lt;&gt;"",ROUND(Dashboard!$R$4/$F870,1),IF(AND($I870="Base",$E870="Base"),Dashboard!$R$5,IF(AND($I870="Base",$E870="Red"),Dashboard!$R$6,IF(AND($I870="Base",$E870="Gold"),Dashboard!$R$7,VLOOKUP($I870,Dashboard!$Q$16:$R$21,2,FALSE)))))*VLOOKUP($I870,Dashboard!$Q$9:$R$13,2,FALSE)*IF(AND($I870="Auto",$F870="",OR($B870="Autographs Duals",$B870="Autographs Triples",$B870="Autographs Quads",$B870="Autographs Quads (Inscribed)")),IF($B870="Autographs Duals",2,IF($B870="Autographs Triples",3,4)),1)))</f>
        <v>40</v>
      </c>
      <c r="AB870" s="62">
        <f t="shared" si="180"/>
        <v>40</v>
      </c>
      <c r="AC870" s="62">
        <f t="shared" si="181"/>
        <v>0</v>
      </c>
    </row>
    <row r="871" spans="1:29" ht="28.7" customHeight="1" x14ac:dyDescent="0.25">
      <c r="A871" s="4" t="s">
        <v>19</v>
      </c>
      <c r="B871" s="7" t="s">
        <v>81</v>
      </c>
      <c r="C871" s="2" t="s">
        <v>1569</v>
      </c>
      <c r="D871" s="7" t="s">
        <v>1154</v>
      </c>
      <c r="E871" s="4" t="s">
        <v>780</v>
      </c>
      <c r="F871" s="2">
        <v>25</v>
      </c>
      <c r="G871" s="2" t="s">
        <v>1399</v>
      </c>
      <c r="H871" s="2" t="s">
        <v>1400</v>
      </c>
      <c r="I871" s="4" t="s">
        <v>60</v>
      </c>
      <c r="J871" s="112">
        <f>IF($H871&lt;&gt;"Y",0,ROUND(MIN(Dashboard!$R$24,IF(IFERROR(VLOOKUP($B871,Dashboard!$Q$28:$S$60,2,FALSE),0)&gt;0,IFERROR(VLOOKUP($B871,Dashboard!$Q$28:$S$60,2,FALSE),0),$Z871*IF($U871&lt;&gt;"",ROUND((Dashboard!$R$4/$U871)*VLOOKUP($I871,Dashboard!$Q$9:$R$13,2,FALSE)*IF(ISNUMBER(SEARCH("Duals",$B871)),2,IF(ISNUMBER(SEARCH("Triples",$B871)),3,IF(ISNUMBER(SEARCH("Quads",$B871)),4,1))),2),ROUND(VLOOKUP($I871,Dashboard!$Q$15:$R$20,2,FALSE)*IF($E871="Red",Dashboard!$R$6,IF($E871="Gold",Dashboard!$R$7,Dashboard!$R$5))*IF(ISNUMBER(SEARCH("Duals",$B871)),2,IF(ISNUMBER(SEARCH("Triples",$B871)),3,IF(ISNUMBER(SEARCH("Quads",$B871)),4,1))),2))*IF(IFERROR(VLOOKUP($B871,Dashboard!$Q$28:$S$60,3,FALSE),0)&gt;0,VLOOKUP($B871,Dashboard!$Q$28:$S$60,3,FALSE),1))),0))</f>
        <v>40</v>
      </c>
      <c r="K871" s="2" t="str">
        <f>IF('Base S2'!H71="","",'Base S2'!H71)</f>
        <v>C 01/25</v>
      </c>
      <c r="L871" s="2">
        <f t="shared" si="169"/>
        <v>1</v>
      </c>
      <c r="M871" s="2">
        <f t="shared" si="170"/>
        <v>0</v>
      </c>
      <c r="N871" s="2">
        <f t="shared" si="171"/>
        <v>1</v>
      </c>
      <c r="O871" s="2">
        <f t="shared" si="172"/>
        <v>0</v>
      </c>
      <c r="P871" s="112">
        <f t="shared" si="173"/>
        <v>40</v>
      </c>
      <c r="Q871" s="112">
        <f t="shared" si="174"/>
        <v>0</v>
      </c>
      <c r="R871" s="53"/>
      <c r="S871" s="53" t="str">
        <f t="shared" si="175"/>
        <v>Base S2|Black Parallel - Season 2|170|Black</v>
      </c>
      <c r="T871" s="57" t="str">
        <f>IF($S871="","",IFERROR(VLOOKUP($S871,'Pop Estimates (Non-#d)'!$N$2:$O$500,2,FALSE),""))</f>
        <v/>
      </c>
      <c r="U871" s="57">
        <f t="shared" si="176"/>
        <v>25</v>
      </c>
      <c r="V871" s="53" t="str">
        <f t="shared" si="177"/>
        <v/>
      </c>
      <c r="W871" s="53" t="str">
        <f t="shared" si="178"/>
        <v/>
      </c>
      <c r="X871" s="53" t="str">
        <f t="shared" si="179"/>
        <v/>
      </c>
      <c r="Y871" s="57" t="str">
        <f>IF($X871="","",IFERROR(VLOOKUP($X871,'Char Popularity'!$A$2:$C$500,2,FALSE),""))</f>
        <v/>
      </c>
      <c r="Z871" s="56">
        <f>IF($X871="",1,IFERROR(VLOOKUP($X871,'Char Popularity'!$A$2:$C$500,3,FALSE),1))</f>
        <v>1</v>
      </c>
      <c r="AA871" s="62">
        <f>IF($H871&lt;&gt;"Y",0,(IF($F871&lt;&gt;"",ROUND(Dashboard!$R$4/$F871,1),IF(AND($I871="Base",$E871="Base"),Dashboard!$R$5,IF(AND($I871="Base",$E871="Red"),Dashboard!$R$6,IF(AND($I871="Base",$E871="Gold"),Dashboard!$R$7,VLOOKUP($I871,Dashboard!$Q$16:$R$21,2,FALSE)))))*VLOOKUP($I871,Dashboard!$Q$9:$R$13,2,FALSE)*IF(AND($I871="Auto",$F871="",OR($B871="Autographs Duals",$B871="Autographs Triples",$B871="Autographs Quads",$B871="Autographs Quads (Inscribed)")),IF($B871="Autographs Duals",2,IF($B871="Autographs Triples",3,4)),1)))</f>
        <v>40</v>
      </c>
      <c r="AB871" s="62">
        <f t="shared" si="180"/>
        <v>40</v>
      </c>
      <c r="AC871" s="62">
        <f t="shared" si="181"/>
        <v>0</v>
      </c>
    </row>
    <row r="872" spans="1:29" ht="28.7" customHeight="1" x14ac:dyDescent="0.25">
      <c r="A872" s="4" t="s">
        <v>19</v>
      </c>
      <c r="B872" s="7" t="s">
        <v>81</v>
      </c>
      <c r="C872" s="2" t="s">
        <v>1570</v>
      </c>
      <c r="D872" s="7" t="s">
        <v>1158</v>
      </c>
      <c r="E872" s="4" t="s">
        <v>780</v>
      </c>
      <c r="F872" s="2">
        <v>25</v>
      </c>
      <c r="G872" s="2" t="s">
        <v>1399</v>
      </c>
      <c r="H872" s="2" t="s">
        <v>1400</v>
      </c>
      <c r="I872" s="4" t="s">
        <v>60</v>
      </c>
      <c r="J872" s="112">
        <f>IF($H872&lt;&gt;"Y",0,ROUND(MIN(Dashboard!$R$24,IF(IFERROR(VLOOKUP($B872,Dashboard!$Q$28:$S$60,2,FALSE),0)&gt;0,IFERROR(VLOOKUP($B872,Dashboard!$Q$28:$S$60,2,FALSE),0),$Z872*IF($U872&lt;&gt;"",ROUND((Dashboard!$R$4/$U872)*VLOOKUP($I872,Dashboard!$Q$9:$R$13,2,FALSE)*IF(ISNUMBER(SEARCH("Duals",$B872)),2,IF(ISNUMBER(SEARCH("Triples",$B872)),3,IF(ISNUMBER(SEARCH("Quads",$B872)),4,1))),2),ROUND(VLOOKUP($I872,Dashboard!$Q$15:$R$20,2,FALSE)*IF($E872="Red",Dashboard!$R$6,IF($E872="Gold",Dashboard!$R$7,Dashboard!$R$5))*IF(ISNUMBER(SEARCH("Duals",$B872)),2,IF(ISNUMBER(SEARCH("Triples",$B872)),3,IF(ISNUMBER(SEARCH("Quads",$B872)),4,1))),2))*IF(IFERROR(VLOOKUP($B872,Dashboard!$Q$28:$S$60,3,FALSE),0)&gt;0,VLOOKUP($B872,Dashboard!$Q$28:$S$60,3,FALSE),1))),0))</f>
        <v>40</v>
      </c>
      <c r="K872" s="2" t="str">
        <f>IF('Base S2'!H72="","",'Base S2'!H72)</f>
        <v/>
      </c>
      <c r="L872" s="2">
        <f t="shared" si="169"/>
        <v>0</v>
      </c>
      <c r="M872" s="2">
        <f t="shared" si="170"/>
        <v>0</v>
      </c>
      <c r="N872" s="2">
        <f t="shared" si="171"/>
        <v>0</v>
      </c>
      <c r="O872" s="2">
        <f t="shared" si="172"/>
        <v>1</v>
      </c>
      <c r="P872" s="112">
        <f t="shared" si="173"/>
        <v>0</v>
      </c>
      <c r="Q872" s="112">
        <f t="shared" si="174"/>
        <v>0</v>
      </c>
      <c r="R872" s="53"/>
      <c r="S872" s="53" t="str">
        <f t="shared" si="175"/>
        <v>Base S2|Black Parallel - Season 2|171|Black</v>
      </c>
      <c r="T872" s="57" t="str">
        <f>IF($S872="","",IFERROR(VLOOKUP($S872,'Pop Estimates (Non-#d)'!$N$2:$O$500,2,FALSE),""))</f>
        <v/>
      </c>
      <c r="U872" s="57">
        <f t="shared" si="176"/>
        <v>25</v>
      </c>
      <c r="V872" s="53" t="str">
        <f t="shared" si="177"/>
        <v/>
      </c>
      <c r="W872" s="53" t="str">
        <f t="shared" si="178"/>
        <v/>
      </c>
      <c r="X872" s="53" t="str">
        <f t="shared" si="179"/>
        <v/>
      </c>
      <c r="Y872" s="57" t="str">
        <f>IF($X872="","",IFERROR(VLOOKUP($X872,'Char Popularity'!$A$2:$C$500,2,FALSE),""))</f>
        <v/>
      </c>
      <c r="Z872" s="56">
        <f>IF($X872="",1,IFERROR(VLOOKUP($X872,'Char Popularity'!$A$2:$C$500,3,FALSE),1))</f>
        <v>1</v>
      </c>
      <c r="AA872" s="62">
        <f>IF($H872&lt;&gt;"Y",0,(IF($F872&lt;&gt;"",ROUND(Dashboard!$R$4/$F872,1),IF(AND($I872="Base",$E872="Base"),Dashboard!$R$5,IF(AND($I872="Base",$E872="Red"),Dashboard!$R$6,IF(AND($I872="Base",$E872="Gold"),Dashboard!$R$7,VLOOKUP($I872,Dashboard!$Q$16:$R$21,2,FALSE)))))*VLOOKUP($I872,Dashboard!$Q$9:$R$13,2,FALSE)*IF(AND($I872="Auto",$F872="",OR($B872="Autographs Duals",$B872="Autographs Triples",$B872="Autographs Quads",$B872="Autographs Quads (Inscribed)")),IF($B872="Autographs Duals",2,IF($B872="Autographs Triples",3,4)),1)))</f>
        <v>40</v>
      </c>
      <c r="AB872" s="62">
        <f t="shared" si="180"/>
        <v>0</v>
      </c>
      <c r="AC872" s="62">
        <f t="shared" si="181"/>
        <v>0</v>
      </c>
    </row>
    <row r="873" spans="1:29" ht="28.7" customHeight="1" x14ac:dyDescent="0.25">
      <c r="A873" s="4" t="s">
        <v>19</v>
      </c>
      <c r="B873" s="7" t="s">
        <v>81</v>
      </c>
      <c r="C873" s="2" t="s">
        <v>1571</v>
      </c>
      <c r="D873" s="7" t="s">
        <v>1160</v>
      </c>
      <c r="E873" s="4" t="s">
        <v>780</v>
      </c>
      <c r="F873" s="2">
        <v>25</v>
      </c>
      <c r="G873" s="2" t="s">
        <v>1399</v>
      </c>
      <c r="H873" s="2" t="s">
        <v>1400</v>
      </c>
      <c r="I873" s="4" t="s">
        <v>60</v>
      </c>
      <c r="J873" s="112">
        <f>IF($H873&lt;&gt;"Y",0,ROUND(MIN(Dashboard!$R$24,IF(IFERROR(VLOOKUP($B873,Dashboard!$Q$28:$S$60,2,FALSE),0)&gt;0,IFERROR(VLOOKUP($B873,Dashboard!$Q$28:$S$60,2,FALSE),0),$Z873*IF($U873&lt;&gt;"",ROUND((Dashboard!$R$4/$U873)*VLOOKUP($I873,Dashboard!$Q$9:$R$13,2,FALSE)*IF(ISNUMBER(SEARCH("Duals",$B873)),2,IF(ISNUMBER(SEARCH("Triples",$B873)),3,IF(ISNUMBER(SEARCH("Quads",$B873)),4,1))),2),ROUND(VLOOKUP($I873,Dashboard!$Q$15:$R$20,2,FALSE)*IF($E873="Red",Dashboard!$R$6,IF($E873="Gold",Dashboard!$R$7,Dashboard!$R$5))*IF(ISNUMBER(SEARCH("Duals",$B873)),2,IF(ISNUMBER(SEARCH("Triples",$B873)),3,IF(ISNUMBER(SEARCH("Quads",$B873)),4,1))),2))*IF(IFERROR(VLOOKUP($B873,Dashboard!$Q$28:$S$60,3,FALSE),0)&gt;0,VLOOKUP($B873,Dashboard!$Q$28:$S$60,3,FALSE),1))),0))</f>
        <v>40</v>
      </c>
      <c r="K873" s="2" t="str">
        <f>IF('Base S2'!H73="","",'Base S2'!H73)</f>
        <v>V 02/25</v>
      </c>
      <c r="L873" s="2">
        <f t="shared" si="169"/>
        <v>1</v>
      </c>
      <c r="M873" s="2">
        <f t="shared" si="170"/>
        <v>0</v>
      </c>
      <c r="N873" s="2">
        <f t="shared" si="171"/>
        <v>1</v>
      </c>
      <c r="O873" s="2">
        <f t="shared" si="172"/>
        <v>0</v>
      </c>
      <c r="P873" s="112">
        <f t="shared" si="173"/>
        <v>40</v>
      </c>
      <c r="Q873" s="112">
        <f t="shared" si="174"/>
        <v>0</v>
      </c>
      <c r="R873" s="53"/>
      <c r="S873" s="53" t="str">
        <f t="shared" si="175"/>
        <v>Base S2|Black Parallel - Season 2|172|Black</v>
      </c>
      <c r="T873" s="57" t="str">
        <f>IF($S873="","",IFERROR(VLOOKUP($S873,'Pop Estimates (Non-#d)'!$N$2:$O$500,2,FALSE),""))</f>
        <v/>
      </c>
      <c r="U873" s="57">
        <f t="shared" si="176"/>
        <v>25</v>
      </c>
      <c r="V873" s="53" t="str">
        <f t="shared" si="177"/>
        <v/>
      </c>
      <c r="W873" s="53" t="str">
        <f t="shared" si="178"/>
        <v/>
      </c>
      <c r="X873" s="53" t="str">
        <f t="shared" si="179"/>
        <v/>
      </c>
      <c r="Y873" s="57" t="str">
        <f>IF($X873="","",IFERROR(VLOOKUP($X873,'Char Popularity'!$A$2:$C$500,2,FALSE),""))</f>
        <v/>
      </c>
      <c r="Z873" s="56">
        <f>IF($X873="",1,IFERROR(VLOOKUP($X873,'Char Popularity'!$A$2:$C$500,3,FALSE),1))</f>
        <v>1</v>
      </c>
      <c r="AA873" s="62">
        <f>IF($H873&lt;&gt;"Y",0,(IF($F873&lt;&gt;"",ROUND(Dashboard!$R$4/$F873,1),IF(AND($I873="Base",$E873="Base"),Dashboard!$R$5,IF(AND($I873="Base",$E873="Red"),Dashboard!$R$6,IF(AND($I873="Base",$E873="Gold"),Dashboard!$R$7,VLOOKUP($I873,Dashboard!$Q$16:$R$21,2,FALSE)))))*VLOOKUP($I873,Dashboard!$Q$9:$R$13,2,FALSE)*IF(AND($I873="Auto",$F873="",OR($B873="Autographs Duals",$B873="Autographs Triples",$B873="Autographs Quads",$B873="Autographs Quads (Inscribed)")),IF($B873="Autographs Duals",2,IF($B873="Autographs Triples",3,4)),1)))</f>
        <v>40</v>
      </c>
      <c r="AB873" s="62">
        <f t="shared" si="180"/>
        <v>40</v>
      </c>
      <c r="AC873" s="62">
        <f t="shared" si="181"/>
        <v>0</v>
      </c>
    </row>
    <row r="874" spans="1:29" ht="28.7" customHeight="1" x14ac:dyDescent="0.25">
      <c r="A874" s="4" t="s">
        <v>19</v>
      </c>
      <c r="B874" s="7" t="s">
        <v>81</v>
      </c>
      <c r="C874" s="2" t="s">
        <v>1572</v>
      </c>
      <c r="D874" s="7" t="s">
        <v>1161</v>
      </c>
      <c r="E874" s="4" t="s">
        <v>780</v>
      </c>
      <c r="F874" s="2">
        <v>25</v>
      </c>
      <c r="G874" s="2" t="s">
        <v>1399</v>
      </c>
      <c r="H874" s="2" t="s">
        <v>1400</v>
      </c>
      <c r="I874" s="4" t="s">
        <v>60</v>
      </c>
      <c r="J874" s="112">
        <f>IF($H874&lt;&gt;"Y",0,ROUND(MIN(Dashboard!$R$24,IF(IFERROR(VLOOKUP($B874,Dashboard!$Q$28:$S$60,2,FALSE),0)&gt;0,IFERROR(VLOOKUP($B874,Dashboard!$Q$28:$S$60,2,FALSE),0),$Z874*IF($U874&lt;&gt;"",ROUND((Dashboard!$R$4/$U874)*VLOOKUP($I874,Dashboard!$Q$9:$R$13,2,FALSE)*IF(ISNUMBER(SEARCH("Duals",$B874)),2,IF(ISNUMBER(SEARCH("Triples",$B874)),3,IF(ISNUMBER(SEARCH("Quads",$B874)),4,1))),2),ROUND(VLOOKUP($I874,Dashboard!$Q$15:$R$20,2,FALSE)*IF($E874="Red",Dashboard!$R$6,IF($E874="Gold",Dashboard!$R$7,Dashboard!$R$5))*IF(ISNUMBER(SEARCH("Duals",$B874)),2,IF(ISNUMBER(SEARCH("Triples",$B874)),3,IF(ISNUMBER(SEARCH("Quads",$B874)),4,1))),2))*IF(IFERROR(VLOOKUP($B874,Dashboard!$Q$28:$S$60,3,FALSE),0)&gt;0,VLOOKUP($B874,Dashboard!$Q$28:$S$60,3,FALSE),1))),0))</f>
        <v>40</v>
      </c>
      <c r="K874" s="2" t="str">
        <f>IF('Base S2'!H74="","",'Base S2'!H74)</f>
        <v>V 21/25</v>
      </c>
      <c r="L874" s="2">
        <f t="shared" si="169"/>
        <v>1</v>
      </c>
      <c r="M874" s="2">
        <f t="shared" si="170"/>
        <v>0</v>
      </c>
      <c r="N874" s="2">
        <f t="shared" si="171"/>
        <v>1</v>
      </c>
      <c r="O874" s="2">
        <f t="shared" si="172"/>
        <v>0</v>
      </c>
      <c r="P874" s="112">
        <f t="shared" si="173"/>
        <v>40</v>
      </c>
      <c r="Q874" s="112">
        <f t="shared" si="174"/>
        <v>0</v>
      </c>
      <c r="R874" s="53"/>
      <c r="S874" s="53" t="str">
        <f t="shared" si="175"/>
        <v>Base S2|Black Parallel - Season 2|173|Black</v>
      </c>
      <c r="T874" s="57" t="str">
        <f>IF($S874="","",IFERROR(VLOOKUP($S874,'Pop Estimates (Non-#d)'!$N$2:$O$500,2,FALSE),""))</f>
        <v/>
      </c>
      <c r="U874" s="57">
        <f t="shared" si="176"/>
        <v>25</v>
      </c>
      <c r="V874" s="53" t="str">
        <f t="shared" si="177"/>
        <v/>
      </c>
      <c r="W874" s="53" t="str">
        <f t="shared" si="178"/>
        <v/>
      </c>
      <c r="X874" s="53" t="str">
        <f t="shared" si="179"/>
        <v/>
      </c>
      <c r="Y874" s="57" t="str">
        <f>IF($X874="","",IFERROR(VLOOKUP($X874,'Char Popularity'!$A$2:$C$500,2,FALSE),""))</f>
        <v/>
      </c>
      <c r="Z874" s="56">
        <f>IF($X874="",1,IFERROR(VLOOKUP($X874,'Char Popularity'!$A$2:$C$500,3,FALSE),1))</f>
        <v>1</v>
      </c>
      <c r="AA874" s="62">
        <f>IF($H874&lt;&gt;"Y",0,(IF($F874&lt;&gt;"",ROUND(Dashboard!$R$4/$F874,1),IF(AND($I874="Base",$E874="Base"),Dashboard!$R$5,IF(AND($I874="Base",$E874="Red"),Dashboard!$R$6,IF(AND($I874="Base",$E874="Gold"),Dashboard!$R$7,VLOOKUP($I874,Dashboard!$Q$16:$R$21,2,FALSE)))))*VLOOKUP($I874,Dashboard!$Q$9:$R$13,2,FALSE)*IF(AND($I874="Auto",$F874="",OR($B874="Autographs Duals",$B874="Autographs Triples",$B874="Autographs Quads",$B874="Autographs Quads (Inscribed)")),IF($B874="Autographs Duals",2,IF($B874="Autographs Triples",3,4)),1)))</f>
        <v>40</v>
      </c>
      <c r="AB874" s="62">
        <f t="shared" si="180"/>
        <v>40</v>
      </c>
      <c r="AC874" s="62">
        <f t="shared" si="181"/>
        <v>0</v>
      </c>
    </row>
    <row r="875" spans="1:29" ht="28.7" customHeight="1" x14ac:dyDescent="0.25">
      <c r="A875" s="4" t="s">
        <v>19</v>
      </c>
      <c r="B875" s="7" t="s">
        <v>81</v>
      </c>
      <c r="C875" s="2" t="s">
        <v>1573</v>
      </c>
      <c r="D875" s="7" t="s">
        <v>1164</v>
      </c>
      <c r="E875" s="4" t="s">
        <v>780</v>
      </c>
      <c r="F875" s="2">
        <v>25</v>
      </c>
      <c r="G875" s="2" t="s">
        <v>1399</v>
      </c>
      <c r="H875" s="2" t="s">
        <v>1400</v>
      </c>
      <c r="I875" s="4" t="s">
        <v>60</v>
      </c>
      <c r="J875" s="112">
        <f>IF($H875&lt;&gt;"Y",0,ROUND(MIN(Dashboard!$R$24,IF(IFERROR(VLOOKUP($B875,Dashboard!$Q$28:$S$60,2,FALSE),0)&gt;0,IFERROR(VLOOKUP($B875,Dashboard!$Q$28:$S$60,2,FALSE),0),$Z875*IF($U875&lt;&gt;"",ROUND((Dashboard!$R$4/$U875)*VLOOKUP($I875,Dashboard!$Q$9:$R$13,2,FALSE)*IF(ISNUMBER(SEARCH("Duals",$B875)),2,IF(ISNUMBER(SEARCH("Triples",$B875)),3,IF(ISNUMBER(SEARCH("Quads",$B875)),4,1))),2),ROUND(VLOOKUP($I875,Dashboard!$Q$15:$R$20,2,FALSE)*IF($E875="Red",Dashboard!$R$6,IF($E875="Gold",Dashboard!$R$7,Dashboard!$R$5))*IF(ISNUMBER(SEARCH("Duals",$B875)),2,IF(ISNUMBER(SEARCH("Triples",$B875)),3,IF(ISNUMBER(SEARCH("Quads",$B875)),4,1))),2))*IF(IFERROR(VLOOKUP($B875,Dashboard!$Q$28:$S$60,3,FALSE),0)&gt;0,VLOOKUP($B875,Dashboard!$Q$28:$S$60,3,FALSE),1))),0))</f>
        <v>40</v>
      </c>
      <c r="K875" s="2" t="str">
        <f>IF('Base S2'!H75="","",'Base S2'!H75)</f>
        <v>C 18/25</v>
      </c>
      <c r="L875" s="2">
        <f t="shared" si="169"/>
        <v>1</v>
      </c>
      <c r="M875" s="2">
        <f t="shared" si="170"/>
        <v>0</v>
      </c>
      <c r="N875" s="2">
        <f t="shared" si="171"/>
        <v>1</v>
      </c>
      <c r="O875" s="2">
        <f t="shared" si="172"/>
        <v>0</v>
      </c>
      <c r="P875" s="112">
        <f t="shared" si="173"/>
        <v>40</v>
      </c>
      <c r="Q875" s="112">
        <f t="shared" si="174"/>
        <v>0</v>
      </c>
      <c r="R875" s="53"/>
      <c r="S875" s="53" t="str">
        <f t="shared" si="175"/>
        <v>Base S2|Black Parallel - Season 2|174|Black</v>
      </c>
      <c r="T875" s="57" t="str">
        <f>IF($S875="","",IFERROR(VLOOKUP($S875,'Pop Estimates (Non-#d)'!$N$2:$O$500,2,FALSE),""))</f>
        <v/>
      </c>
      <c r="U875" s="57">
        <f t="shared" si="176"/>
        <v>25</v>
      </c>
      <c r="V875" s="53" t="str">
        <f t="shared" si="177"/>
        <v/>
      </c>
      <c r="W875" s="53" t="str">
        <f t="shared" si="178"/>
        <v/>
      </c>
      <c r="X875" s="53" t="str">
        <f t="shared" si="179"/>
        <v/>
      </c>
      <c r="Y875" s="57" t="str">
        <f>IF($X875="","",IFERROR(VLOOKUP($X875,'Char Popularity'!$A$2:$C$500,2,FALSE),""))</f>
        <v/>
      </c>
      <c r="Z875" s="56">
        <f>IF($X875="",1,IFERROR(VLOOKUP($X875,'Char Popularity'!$A$2:$C$500,3,FALSE),1))</f>
        <v>1</v>
      </c>
      <c r="AA875" s="62">
        <f>IF($H875&lt;&gt;"Y",0,(IF($F875&lt;&gt;"",ROUND(Dashboard!$R$4/$F875,1),IF(AND($I875="Base",$E875="Base"),Dashboard!$R$5,IF(AND($I875="Base",$E875="Red"),Dashboard!$R$6,IF(AND($I875="Base",$E875="Gold"),Dashboard!$R$7,VLOOKUP($I875,Dashboard!$Q$16:$R$21,2,FALSE)))))*VLOOKUP($I875,Dashboard!$Q$9:$R$13,2,FALSE)*IF(AND($I875="Auto",$F875="",OR($B875="Autographs Duals",$B875="Autographs Triples",$B875="Autographs Quads",$B875="Autographs Quads (Inscribed)")),IF($B875="Autographs Duals",2,IF($B875="Autographs Triples",3,4)),1)))</f>
        <v>40</v>
      </c>
      <c r="AB875" s="62">
        <f t="shared" si="180"/>
        <v>40</v>
      </c>
      <c r="AC875" s="62">
        <f t="shared" si="181"/>
        <v>0</v>
      </c>
    </row>
    <row r="876" spans="1:29" ht="28.7" customHeight="1" x14ac:dyDescent="0.25">
      <c r="A876" s="4" t="s">
        <v>19</v>
      </c>
      <c r="B876" s="7" t="s">
        <v>81</v>
      </c>
      <c r="C876" s="2" t="s">
        <v>1574</v>
      </c>
      <c r="D876" s="7" t="s">
        <v>1165</v>
      </c>
      <c r="E876" s="4" t="s">
        <v>780</v>
      </c>
      <c r="F876" s="2">
        <v>25</v>
      </c>
      <c r="G876" s="2" t="s">
        <v>1399</v>
      </c>
      <c r="H876" s="2" t="s">
        <v>1400</v>
      </c>
      <c r="I876" s="4" t="s">
        <v>60</v>
      </c>
      <c r="J876" s="112">
        <f>IF($H876&lt;&gt;"Y",0,ROUND(MIN(Dashboard!$R$24,IF(IFERROR(VLOOKUP($B876,Dashboard!$Q$28:$S$60,2,FALSE),0)&gt;0,IFERROR(VLOOKUP($B876,Dashboard!$Q$28:$S$60,2,FALSE),0),$Z876*IF($U876&lt;&gt;"",ROUND((Dashboard!$R$4/$U876)*VLOOKUP($I876,Dashboard!$Q$9:$R$13,2,FALSE)*IF(ISNUMBER(SEARCH("Duals",$B876)),2,IF(ISNUMBER(SEARCH("Triples",$B876)),3,IF(ISNUMBER(SEARCH("Quads",$B876)),4,1))),2),ROUND(VLOOKUP($I876,Dashboard!$Q$15:$R$20,2,FALSE)*IF($E876="Red",Dashboard!$R$6,IF($E876="Gold",Dashboard!$R$7,Dashboard!$R$5))*IF(ISNUMBER(SEARCH("Duals",$B876)),2,IF(ISNUMBER(SEARCH("Triples",$B876)),3,IF(ISNUMBER(SEARCH("Quads",$B876)),4,1))),2))*IF(IFERROR(VLOOKUP($B876,Dashboard!$Q$28:$S$60,3,FALSE),0)&gt;0,VLOOKUP($B876,Dashboard!$Q$28:$S$60,3,FALSE),1))),0))</f>
        <v>40</v>
      </c>
      <c r="K876" s="2" t="str">
        <f>IF('Base S2'!H76="","",'Base S2'!H76)</f>
        <v>C 25/25</v>
      </c>
      <c r="L876" s="2">
        <f t="shared" si="169"/>
        <v>1</v>
      </c>
      <c r="M876" s="2">
        <f t="shared" si="170"/>
        <v>0</v>
      </c>
      <c r="N876" s="2">
        <f t="shared" si="171"/>
        <v>1</v>
      </c>
      <c r="O876" s="2">
        <f t="shared" si="172"/>
        <v>0</v>
      </c>
      <c r="P876" s="112">
        <f t="shared" si="173"/>
        <v>40</v>
      </c>
      <c r="Q876" s="112">
        <f t="shared" si="174"/>
        <v>0</v>
      </c>
      <c r="R876" s="53"/>
      <c r="S876" s="53" t="str">
        <f t="shared" si="175"/>
        <v>Base S2|Black Parallel - Season 2|175|Black</v>
      </c>
      <c r="T876" s="57" t="str">
        <f>IF($S876="","",IFERROR(VLOOKUP($S876,'Pop Estimates (Non-#d)'!$N$2:$O$500,2,FALSE),""))</f>
        <v/>
      </c>
      <c r="U876" s="57">
        <f t="shared" si="176"/>
        <v>25</v>
      </c>
      <c r="V876" s="53" t="str">
        <f t="shared" si="177"/>
        <v/>
      </c>
      <c r="W876" s="53" t="str">
        <f t="shared" si="178"/>
        <v/>
      </c>
      <c r="X876" s="53" t="str">
        <f t="shared" si="179"/>
        <v/>
      </c>
      <c r="Y876" s="57" t="str">
        <f>IF($X876="","",IFERROR(VLOOKUP($X876,'Char Popularity'!$A$2:$C$500,2,FALSE),""))</f>
        <v/>
      </c>
      <c r="Z876" s="56">
        <f>IF($X876="",1,IFERROR(VLOOKUP($X876,'Char Popularity'!$A$2:$C$500,3,FALSE),1))</f>
        <v>1</v>
      </c>
      <c r="AA876" s="62">
        <f>IF($H876&lt;&gt;"Y",0,(IF($F876&lt;&gt;"",ROUND(Dashboard!$R$4/$F876,1),IF(AND($I876="Base",$E876="Base"),Dashboard!$R$5,IF(AND($I876="Base",$E876="Red"),Dashboard!$R$6,IF(AND($I876="Base",$E876="Gold"),Dashboard!$R$7,VLOOKUP($I876,Dashboard!$Q$16:$R$21,2,FALSE)))))*VLOOKUP($I876,Dashboard!$Q$9:$R$13,2,FALSE)*IF(AND($I876="Auto",$F876="",OR($B876="Autographs Duals",$B876="Autographs Triples",$B876="Autographs Quads",$B876="Autographs Quads (Inscribed)")),IF($B876="Autographs Duals",2,IF($B876="Autographs Triples",3,4)),1)))</f>
        <v>40</v>
      </c>
      <c r="AB876" s="62">
        <f t="shared" si="180"/>
        <v>40</v>
      </c>
      <c r="AC876" s="62">
        <f t="shared" si="181"/>
        <v>0</v>
      </c>
    </row>
    <row r="877" spans="1:29" ht="28.7" customHeight="1" x14ac:dyDescent="0.25">
      <c r="A877" s="4" t="s">
        <v>19</v>
      </c>
      <c r="B877" s="7" t="s">
        <v>81</v>
      </c>
      <c r="C877" s="2" t="s">
        <v>1575</v>
      </c>
      <c r="D877" s="7" t="s">
        <v>1167</v>
      </c>
      <c r="E877" s="4" t="s">
        <v>780</v>
      </c>
      <c r="F877" s="2">
        <v>25</v>
      </c>
      <c r="G877" s="2" t="s">
        <v>1399</v>
      </c>
      <c r="H877" s="2" t="s">
        <v>1400</v>
      </c>
      <c r="I877" s="4" t="s">
        <v>60</v>
      </c>
      <c r="J877" s="112">
        <f>IF($H877&lt;&gt;"Y",0,ROUND(MIN(Dashboard!$R$24,IF(IFERROR(VLOOKUP($B877,Dashboard!$Q$28:$S$60,2,FALSE),0)&gt;0,IFERROR(VLOOKUP($B877,Dashboard!$Q$28:$S$60,2,FALSE),0),$Z877*IF($U877&lt;&gt;"",ROUND((Dashboard!$R$4/$U877)*VLOOKUP($I877,Dashboard!$Q$9:$R$13,2,FALSE)*IF(ISNUMBER(SEARCH("Duals",$B877)),2,IF(ISNUMBER(SEARCH("Triples",$B877)),3,IF(ISNUMBER(SEARCH("Quads",$B877)),4,1))),2),ROUND(VLOOKUP($I877,Dashboard!$Q$15:$R$20,2,FALSE)*IF($E877="Red",Dashboard!$R$6,IF($E877="Gold",Dashboard!$R$7,Dashboard!$R$5))*IF(ISNUMBER(SEARCH("Duals",$B877)),2,IF(ISNUMBER(SEARCH("Triples",$B877)),3,IF(ISNUMBER(SEARCH("Quads",$B877)),4,1))),2))*IF(IFERROR(VLOOKUP($B877,Dashboard!$Q$28:$S$60,3,FALSE),0)&gt;0,VLOOKUP($B877,Dashboard!$Q$28:$S$60,3,FALSE),1))),0))</f>
        <v>40</v>
      </c>
      <c r="K877" s="2" t="str">
        <f>IF('Base S2'!H77="","",'Base S2'!H77)</f>
        <v/>
      </c>
      <c r="L877" s="2">
        <f t="shared" si="169"/>
        <v>0</v>
      </c>
      <c r="M877" s="2">
        <f t="shared" si="170"/>
        <v>0</v>
      </c>
      <c r="N877" s="2">
        <f t="shared" si="171"/>
        <v>0</v>
      </c>
      <c r="O877" s="2">
        <f t="shared" si="172"/>
        <v>1</v>
      </c>
      <c r="P877" s="112">
        <f t="shared" si="173"/>
        <v>0</v>
      </c>
      <c r="Q877" s="112">
        <f t="shared" si="174"/>
        <v>0</v>
      </c>
      <c r="R877" s="53"/>
      <c r="S877" s="53" t="str">
        <f t="shared" si="175"/>
        <v>Base S2|Black Parallel - Season 2|176|Black</v>
      </c>
      <c r="T877" s="57" t="str">
        <f>IF($S877="","",IFERROR(VLOOKUP($S877,'Pop Estimates (Non-#d)'!$N$2:$O$500,2,FALSE),""))</f>
        <v/>
      </c>
      <c r="U877" s="57">
        <f t="shared" si="176"/>
        <v>25</v>
      </c>
      <c r="V877" s="53" t="str">
        <f t="shared" si="177"/>
        <v/>
      </c>
      <c r="W877" s="53" t="str">
        <f t="shared" si="178"/>
        <v/>
      </c>
      <c r="X877" s="53" t="str">
        <f t="shared" si="179"/>
        <v/>
      </c>
      <c r="Y877" s="57" t="str">
        <f>IF($X877="","",IFERROR(VLOOKUP($X877,'Char Popularity'!$A$2:$C$500,2,FALSE),""))</f>
        <v/>
      </c>
      <c r="Z877" s="56">
        <f>IF($X877="",1,IFERROR(VLOOKUP($X877,'Char Popularity'!$A$2:$C$500,3,FALSE),1))</f>
        <v>1</v>
      </c>
      <c r="AA877" s="62">
        <f>IF($H877&lt;&gt;"Y",0,(IF($F877&lt;&gt;"",ROUND(Dashboard!$R$4/$F877,1),IF(AND($I877="Base",$E877="Base"),Dashboard!$R$5,IF(AND($I877="Base",$E877="Red"),Dashboard!$R$6,IF(AND($I877="Base",$E877="Gold"),Dashboard!$R$7,VLOOKUP($I877,Dashboard!$Q$16:$R$21,2,FALSE)))))*VLOOKUP($I877,Dashboard!$Q$9:$R$13,2,FALSE)*IF(AND($I877="Auto",$F877="",OR($B877="Autographs Duals",$B877="Autographs Triples",$B877="Autographs Quads",$B877="Autographs Quads (Inscribed)")),IF($B877="Autographs Duals",2,IF($B877="Autographs Triples",3,4)),1)))</f>
        <v>40</v>
      </c>
      <c r="AB877" s="62">
        <f t="shared" si="180"/>
        <v>0</v>
      </c>
      <c r="AC877" s="62">
        <f t="shared" si="181"/>
        <v>0</v>
      </c>
    </row>
    <row r="878" spans="1:29" ht="28.7" customHeight="1" x14ac:dyDescent="0.25">
      <c r="A878" s="4" t="s">
        <v>19</v>
      </c>
      <c r="B878" s="7" t="s">
        <v>81</v>
      </c>
      <c r="C878" s="2" t="s">
        <v>1576</v>
      </c>
      <c r="D878" s="7" t="s">
        <v>1168</v>
      </c>
      <c r="E878" s="4" t="s">
        <v>780</v>
      </c>
      <c r="F878" s="2">
        <v>25</v>
      </c>
      <c r="G878" s="2" t="s">
        <v>1399</v>
      </c>
      <c r="H878" s="2" t="s">
        <v>1400</v>
      </c>
      <c r="I878" s="4" t="s">
        <v>60</v>
      </c>
      <c r="J878" s="112">
        <f>IF($H878&lt;&gt;"Y",0,ROUND(MIN(Dashboard!$R$24,IF(IFERROR(VLOOKUP($B878,Dashboard!$Q$28:$S$60,2,FALSE),0)&gt;0,IFERROR(VLOOKUP($B878,Dashboard!$Q$28:$S$60,2,FALSE),0),$Z878*IF($U878&lt;&gt;"",ROUND((Dashboard!$R$4/$U878)*VLOOKUP($I878,Dashboard!$Q$9:$R$13,2,FALSE)*IF(ISNUMBER(SEARCH("Duals",$B878)),2,IF(ISNUMBER(SEARCH("Triples",$B878)),3,IF(ISNUMBER(SEARCH("Quads",$B878)),4,1))),2),ROUND(VLOOKUP($I878,Dashboard!$Q$15:$R$20,2,FALSE)*IF($E878="Red",Dashboard!$R$6,IF($E878="Gold",Dashboard!$R$7,Dashboard!$R$5))*IF(ISNUMBER(SEARCH("Duals",$B878)),2,IF(ISNUMBER(SEARCH("Triples",$B878)),3,IF(ISNUMBER(SEARCH("Quads",$B878)),4,1))),2))*IF(IFERROR(VLOOKUP($B878,Dashboard!$Q$28:$S$60,3,FALSE),0)&gt;0,VLOOKUP($B878,Dashboard!$Q$28:$S$60,3,FALSE),1))),0))</f>
        <v>40</v>
      </c>
      <c r="K878" s="2" t="str">
        <f>IF('Base S2'!H78="","",'Base S2'!H78)</f>
        <v>C 11/25</v>
      </c>
      <c r="L878" s="2">
        <f t="shared" si="169"/>
        <v>1</v>
      </c>
      <c r="M878" s="2">
        <f t="shared" si="170"/>
        <v>0</v>
      </c>
      <c r="N878" s="2">
        <f t="shared" si="171"/>
        <v>1</v>
      </c>
      <c r="O878" s="2">
        <f t="shared" si="172"/>
        <v>0</v>
      </c>
      <c r="P878" s="112">
        <f t="shared" si="173"/>
        <v>40</v>
      </c>
      <c r="Q878" s="112">
        <f t="shared" si="174"/>
        <v>0</v>
      </c>
      <c r="R878" s="53"/>
      <c r="S878" s="53" t="str">
        <f t="shared" si="175"/>
        <v>Base S2|Black Parallel - Season 2|177|Black</v>
      </c>
      <c r="T878" s="57" t="str">
        <f>IF($S878="","",IFERROR(VLOOKUP($S878,'Pop Estimates (Non-#d)'!$N$2:$O$500,2,FALSE),""))</f>
        <v/>
      </c>
      <c r="U878" s="57">
        <f t="shared" si="176"/>
        <v>25</v>
      </c>
      <c r="V878" s="53" t="str">
        <f t="shared" si="177"/>
        <v/>
      </c>
      <c r="W878" s="53" t="str">
        <f t="shared" si="178"/>
        <v/>
      </c>
      <c r="X878" s="53" t="str">
        <f t="shared" si="179"/>
        <v/>
      </c>
      <c r="Y878" s="57" t="str">
        <f>IF($X878="","",IFERROR(VLOOKUP($X878,'Char Popularity'!$A$2:$C$500,2,FALSE),""))</f>
        <v/>
      </c>
      <c r="Z878" s="56">
        <f>IF($X878="",1,IFERROR(VLOOKUP($X878,'Char Popularity'!$A$2:$C$500,3,FALSE),1))</f>
        <v>1</v>
      </c>
      <c r="AA878" s="62">
        <f>IF($H878&lt;&gt;"Y",0,(IF($F878&lt;&gt;"",ROUND(Dashboard!$R$4/$F878,1),IF(AND($I878="Base",$E878="Base"),Dashboard!$R$5,IF(AND($I878="Base",$E878="Red"),Dashboard!$R$6,IF(AND($I878="Base",$E878="Gold"),Dashboard!$R$7,VLOOKUP($I878,Dashboard!$Q$16:$R$21,2,FALSE)))))*VLOOKUP($I878,Dashboard!$Q$9:$R$13,2,FALSE)*IF(AND($I878="Auto",$F878="",OR($B878="Autographs Duals",$B878="Autographs Triples",$B878="Autographs Quads",$B878="Autographs Quads (Inscribed)")),IF($B878="Autographs Duals",2,IF($B878="Autographs Triples",3,4)),1)))</f>
        <v>40</v>
      </c>
      <c r="AB878" s="62">
        <f t="shared" si="180"/>
        <v>40</v>
      </c>
      <c r="AC878" s="62">
        <f t="shared" si="181"/>
        <v>0</v>
      </c>
    </row>
    <row r="879" spans="1:29" ht="28.7" customHeight="1" x14ac:dyDescent="0.25">
      <c r="A879" s="4" t="s">
        <v>19</v>
      </c>
      <c r="B879" s="7" t="s">
        <v>81</v>
      </c>
      <c r="C879" s="2" t="s">
        <v>1577</v>
      </c>
      <c r="D879" s="7" t="s">
        <v>1169</v>
      </c>
      <c r="E879" s="4" t="s">
        <v>780</v>
      </c>
      <c r="F879" s="2">
        <v>25</v>
      </c>
      <c r="G879" s="2" t="s">
        <v>1399</v>
      </c>
      <c r="H879" s="2" t="s">
        <v>1400</v>
      </c>
      <c r="I879" s="4" t="s">
        <v>60</v>
      </c>
      <c r="J879" s="112">
        <f>IF($H879&lt;&gt;"Y",0,ROUND(MIN(Dashboard!$R$24,IF(IFERROR(VLOOKUP($B879,Dashboard!$Q$28:$S$60,2,FALSE),0)&gt;0,IFERROR(VLOOKUP($B879,Dashboard!$Q$28:$S$60,2,FALSE),0),$Z879*IF($U879&lt;&gt;"",ROUND((Dashboard!$R$4/$U879)*VLOOKUP($I879,Dashboard!$Q$9:$R$13,2,FALSE)*IF(ISNUMBER(SEARCH("Duals",$B879)),2,IF(ISNUMBER(SEARCH("Triples",$B879)),3,IF(ISNUMBER(SEARCH("Quads",$B879)),4,1))),2),ROUND(VLOOKUP($I879,Dashboard!$Q$15:$R$20,2,FALSE)*IF($E879="Red",Dashboard!$R$6,IF($E879="Gold",Dashboard!$R$7,Dashboard!$R$5))*IF(ISNUMBER(SEARCH("Duals",$B879)),2,IF(ISNUMBER(SEARCH("Triples",$B879)),3,IF(ISNUMBER(SEARCH("Quads",$B879)),4,1))),2))*IF(IFERROR(VLOOKUP($B879,Dashboard!$Q$28:$S$60,3,FALSE),0)&gt;0,VLOOKUP($B879,Dashboard!$Q$28:$S$60,3,FALSE),1))),0))</f>
        <v>40</v>
      </c>
      <c r="K879" s="2" t="str">
        <f>IF('Base S2'!H79="","",'Base S2'!H79)</f>
        <v/>
      </c>
      <c r="L879" s="2">
        <f t="shared" si="169"/>
        <v>0</v>
      </c>
      <c r="M879" s="2">
        <f t="shared" si="170"/>
        <v>0</v>
      </c>
      <c r="N879" s="2">
        <f t="shared" si="171"/>
        <v>0</v>
      </c>
      <c r="O879" s="2">
        <f t="shared" si="172"/>
        <v>1</v>
      </c>
      <c r="P879" s="112">
        <f t="shared" si="173"/>
        <v>0</v>
      </c>
      <c r="Q879" s="112">
        <f t="shared" si="174"/>
        <v>0</v>
      </c>
      <c r="R879" s="53"/>
      <c r="S879" s="53" t="str">
        <f t="shared" si="175"/>
        <v>Base S2|Black Parallel - Season 2|178|Black</v>
      </c>
      <c r="T879" s="57" t="str">
        <f>IF($S879="","",IFERROR(VLOOKUP($S879,'Pop Estimates (Non-#d)'!$N$2:$O$500,2,FALSE),""))</f>
        <v/>
      </c>
      <c r="U879" s="57">
        <f t="shared" si="176"/>
        <v>25</v>
      </c>
      <c r="V879" s="53" t="str">
        <f t="shared" si="177"/>
        <v/>
      </c>
      <c r="W879" s="53" t="str">
        <f t="shared" si="178"/>
        <v/>
      </c>
      <c r="X879" s="53" t="str">
        <f t="shared" si="179"/>
        <v/>
      </c>
      <c r="Y879" s="57" t="str">
        <f>IF($X879="","",IFERROR(VLOOKUP($X879,'Char Popularity'!$A$2:$C$500,2,FALSE),""))</f>
        <v/>
      </c>
      <c r="Z879" s="56">
        <f>IF($X879="",1,IFERROR(VLOOKUP($X879,'Char Popularity'!$A$2:$C$500,3,FALSE),1))</f>
        <v>1</v>
      </c>
      <c r="AA879" s="62">
        <f>IF($H879&lt;&gt;"Y",0,(IF($F879&lt;&gt;"",ROUND(Dashboard!$R$4/$F879,1),IF(AND($I879="Base",$E879="Base"),Dashboard!$R$5,IF(AND($I879="Base",$E879="Red"),Dashboard!$R$6,IF(AND($I879="Base",$E879="Gold"),Dashboard!$R$7,VLOOKUP($I879,Dashboard!$Q$16:$R$21,2,FALSE)))))*VLOOKUP($I879,Dashboard!$Q$9:$R$13,2,FALSE)*IF(AND($I879="Auto",$F879="",OR($B879="Autographs Duals",$B879="Autographs Triples",$B879="Autographs Quads",$B879="Autographs Quads (Inscribed)")),IF($B879="Autographs Duals",2,IF($B879="Autographs Triples",3,4)),1)))</f>
        <v>40</v>
      </c>
      <c r="AB879" s="62">
        <f t="shared" si="180"/>
        <v>0</v>
      </c>
      <c r="AC879" s="62">
        <f t="shared" si="181"/>
        <v>0</v>
      </c>
    </row>
    <row r="880" spans="1:29" ht="28.7" customHeight="1" x14ac:dyDescent="0.25">
      <c r="A880" s="4" t="s">
        <v>19</v>
      </c>
      <c r="B880" s="7" t="s">
        <v>81</v>
      </c>
      <c r="C880" s="2" t="s">
        <v>1578</v>
      </c>
      <c r="D880" s="7" t="s">
        <v>1170</v>
      </c>
      <c r="E880" s="4" t="s">
        <v>780</v>
      </c>
      <c r="F880" s="2">
        <v>25</v>
      </c>
      <c r="G880" s="2" t="s">
        <v>1399</v>
      </c>
      <c r="H880" s="2" t="s">
        <v>1400</v>
      </c>
      <c r="I880" s="4" t="s">
        <v>60</v>
      </c>
      <c r="J880" s="112">
        <f>IF($H880&lt;&gt;"Y",0,ROUND(MIN(Dashboard!$R$24,IF(IFERROR(VLOOKUP($B880,Dashboard!$Q$28:$S$60,2,FALSE),0)&gt;0,IFERROR(VLOOKUP($B880,Dashboard!$Q$28:$S$60,2,FALSE),0),$Z880*IF($U880&lt;&gt;"",ROUND((Dashboard!$R$4/$U880)*VLOOKUP($I880,Dashboard!$Q$9:$R$13,2,FALSE)*IF(ISNUMBER(SEARCH("Duals",$B880)),2,IF(ISNUMBER(SEARCH("Triples",$B880)),3,IF(ISNUMBER(SEARCH("Quads",$B880)),4,1))),2),ROUND(VLOOKUP($I880,Dashboard!$Q$15:$R$20,2,FALSE)*IF($E880="Red",Dashboard!$R$6,IF($E880="Gold",Dashboard!$R$7,Dashboard!$R$5))*IF(ISNUMBER(SEARCH("Duals",$B880)),2,IF(ISNUMBER(SEARCH("Triples",$B880)),3,IF(ISNUMBER(SEARCH("Quads",$B880)),4,1))),2))*IF(IFERROR(VLOOKUP($B880,Dashboard!$Q$28:$S$60,3,FALSE),0)&gt;0,VLOOKUP($B880,Dashboard!$Q$28:$S$60,3,FALSE),1))),0))</f>
        <v>40</v>
      </c>
      <c r="K880" s="2" t="str">
        <f>IF('Base S2'!H80="","",'Base S2'!H80)</f>
        <v/>
      </c>
      <c r="L880" s="2">
        <f t="shared" si="169"/>
        <v>0</v>
      </c>
      <c r="M880" s="2">
        <f t="shared" si="170"/>
        <v>0</v>
      </c>
      <c r="N880" s="2">
        <f t="shared" si="171"/>
        <v>0</v>
      </c>
      <c r="O880" s="2">
        <f t="shared" si="172"/>
        <v>1</v>
      </c>
      <c r="P880" s="112">
        <f t="shared" si="173"/>
        <v>0</v>
      </c>
      <c r="Q880" s="112">
        <f t="shared" si="174"/>
        <v>0</v>
      </c>
      <c r="R880" s="53"/>
      <c r="S880" s="53" t="str">
        <f t="shared" si="175"/>
        <v>Base S2|Black Parallel - Season 2|179|Black</v>
      </c>
      <c r="T880" s="57" t="str">
        <f>IF($S880="","",IFERROR(VLOOKUP($S880,'Pop Estimates (Non-#d)'!$N$2:$O$500,2,FALSE),""))</f>
        <v/>
      </c>
      <c r="U880" s="57">
        <f t="shared" si="176"/>
        <v>25</v>
      </c>
      <c r="V880" s="53" t="str">
        <f t="shared" si="177"/>
        <v/>
      </c>
      <c r="W880" s="53" t="str">
        <f t="shared" si="178"/>
        <v/>
      </c>
      <c r="X880" s="53" t="str">
        <f t="shared" si="179"/>
        <v/>
      </c>
      <c r="Y880" s="57" t="str">
        <f>IF($X880="","",IFERROR(VLOOKUP($X880,'Char Popularity'!$A$2:$C$500,2,FALSE),""))</f>
        <v/>
      </c>
      <c r="Z880" s="56">
        <f>IF($X880="",1,IFERROR(VLOOKUP($X880,'Char Popularity'!$A$2:$C$500,3,FALSE),1))</f>
        <v>1</v>
      </c>
      <c r="AA880" s="62">
        <f>IF($H880&lt;&gt;"Y",0,(IF($F880&lt;&gt;"",ROUND(Dashboard!$R$4/$F880,1),IF(AND($I880="Base",$E880="Base"),Dashboard!$R$5,IF(AND($I880="Base",$E880="Red"),Dashboard!$R$6,IF(AND($I880="Base",$E880="Gold"),Dashboard!$R$7,VLOOKUP($I880,Dashboard!$Q$16:$R$21,2,FALSE)))))*VLOOKUP($I880,Dashboard!$Q$9:$R$13,2,FALSE)*IF(AND($I880="Auto",$F880="",OR($B880="Autographs Duals",$B880="Autographs Triples",$B880="Autographs Quads",$B880="Autographs Quads (Inscribed)")),IF($B880="Autographs Duals",2,IF($B880="Autographs Triples",3,4)),1)))</f>
        <v>40</v>
      </c>
      <c r="AB880" s="62">
        <f t="shared" si="180"/>
        <v>0</v>
      </c>
      <c r="AC880" s="62">
        <f t="shared" si="181"/>
        <v>0</v>
      </c>
    </row>
    <row r="881" spans="1:29" ht="28.7" customHeight="1" x14ac:dyDescent="0.25">
      <c r="A881" s="4" t="s">
        <v>19</v>
      </c>
      <c r="B881" s="7" t="s">
        <v>81</v>
      </c>
      <c r="C881" s="2" t="s">
        <v>1579</v>
      </c>
      <c r="D881" s="7" t="s">
        <v>1172</v>
      </c>
      <c r="E881" s="4" t="s">
        <v>780</v>
      </c>
      <c r="F881" s="2">
        <v>25</v>
      </c>
      <c r="G881" s="2" t="s">
        <v>1399</v>
      </c>
      <c r="H881" s="2" t="s">
        <v>1400</v>
      </c>
      <c r="I881" s="4" t="s">
        <v>60</v>
      </c>
      <c r="J881" s="112">
        <f>IF($H881&lt;&gt;"Y",0,ROUND(MIN(Dashboard!$R$24,IF(IFERROR(VLOOKUP($B881,Dashboard!$Q$28:$S$60,2,FALSE),0)&gt;0,IFERROR(VLOOKUP($B881,Dashboard!$Q$28:$S$60,2,FALSE),0),$Z881*IF($U881&lt;&gt;"",ROUND((Dashboard!$R$4/$U881)*VLOOKUP($I881,Dashboard!$Q$9:$R$13,2,FALSE)*IF(ISNUMBER(SEARCH("Duals",$B881)),2,IF(ISNUMBER(SEARCH("Triples",$B881)),3,IF(ISNUMBER(SEARCH("Quads",$B881)),4,1))),2),ROUND(VLOOKUP($I881,Dashboard!$Q$15:$R$20,2,FALSE)*IF($E881="Red",Dashboard!$R$6,IF($E881="Gold",Dashboard!$R$7,Dashboard!$R$5))*IF(ISNUMBER(SEARCH("Duals",$B881)),2,IF(ISNUMBER(SEARCH("Triples",$B881)),3,IF(ISNUMBER(SEARCH("Quads",$B881)),4,1))),2))*IF(IFERROR(VLOOKUP($B881,Dashboard!$Q$28:$S$60,3,FALSE),0)&gt;0,VLOOKUP($B881,Dashboard!$Q$28:$S$60,3,FALSE),1))),0))</f>
        <v>40</v>
      </c>
      <c r="K881" s="2" t="str">
        <f>IF('Base S2'!H81="","",'Base S2'!H81)</f>
        <v/>
      </c>
      <c r="L881" s="2">
        <f t="shared" si="169"/>
        <v>0</v>
      </c>
      <c r="M881" s="2">
        <f t="shared" si="170"/>
        <v>0</v>
      </c>
      <c r="N881" s="2">
        <f t="shared" si="171"/>
        <v>0</v>
      </c>
      <c r="O881" s="2">
        <f t="shared" si="172"/>
        <v>1</v>
      </c>
      <c r="P881" s="112">
        <f t="shared" si="173"/>
        <v>0</v>
      </c>
      <c r="Q881" s="112">
        <f t="shared" si="174"/>
        <v>0</v>
      </c>
      <c r="R881" s="53"/>
      <c r="S881" s="53" t="str">
        <f t="shared" si="175"/>
        <v>Base S2|Black Parallel - Season 2|180|Black</v>
      </c>
      <c r="T881" s="57" t="str">
        <f>IF($S881="","",IFERROR(VLOOKUP($S881,'Pop Estimates (Non-#d)'!$N$2:$O$500,2,FALSE),""))</f>
        <v/>
      </c>
      <c r="U881" s="57">
        <f t="shared" si="176"/>
        <v>25</v>
      </c>
      <c r="V881" s="53" t="str">
        <f t="shared" si="177"/>
        <v/>
      </c>
      <c r="W881" s="53" t="str">
        <f t="shared" si="178"/>
        <v/>
      </c>
      <c r="X881" s="53" t="str">
        <f t="shared" si="179"/>
        <v/>
      </c>
      <c r="Y881" s="57" t="str">
        <f>IF($X881="","",IFERROR(VLOOKUP($X881,'Char Popularity'!$A$2:$C$500,2,FALSE),""))</f>
        <v/>
      </c>
      <c r="Z881" s="56">
        <f>IF($X881="",1,IFERROR(VLOOKUP($X881,'Char Popularity'!$A$2:$C$500,3,FALSE),1))</f>
        <v>1</v>
      </c>
      <c r="AA881" s="62">
        <f>IF($H881&lt;&gt;"Y",0,(IF($F881&lt;&gt;"",ROUND(Dashboard!$R$4/$F881,1),IF(AND($I881="Base",$E881="Base"),Dashboard!$R$5,IF(AND($I881="Base",$E881="Red"),Dashboard!$R$6,IF(AND($I881="Base",$E881="Gold"),Dashboard!$R$7,VLOOKUP($I881,Dashboard!$Q$16:$R$21,2,FALSE)))))*VLOOKUP($I881,Dashboard!$Q$9:$R$13,2,FALSE)*IF(AND($I881="Auto",$F881="",OR($B881="Autographs Duals",$B881="Autographs Triples",$B881="Autographs Quads",$B881="Autographs Quads (Inscribed)")),IF($B881="Autographs Duals",2,IF($B881="Autographs Triples",3,4)),1)))</f>
        <v>40</v>
      </c>
      <c r="AB881" s="62">
        <f t="shared" si="180"/>
        <v>0</v>
      </c>
      <c r="AC881" s="62">
        <f t="shared" si="181"/>
        <v>0</v>
      </c>
    </row>
    <row r="882" spans="1:29" ht="28.7" customHeight="1" x14ac:dyDescent="0.25">
      <c r="A882" s="4" t="s">
        <v>19</v>
      </c>
      <c r="B882" s="7" t="s">
        <v>81</v>
      </c>
      <c r="C882" s="2" t="s">
        <v>1580</v>
      </c>
      <c r="D882" s="7" t="s">
        <v>1173</v>
      </c>
      <c r="E882" s="4" t="s">
        <v>780</v>
      </c>
      <c r="F882" s="2">
        <v>25</v>
      </c>
      <c r="G882" s="2" t="s">
        <v>1399</v>
      </c>
      <c r="H882" s="2" t="s">
        <v>1400</v>
      </c>
      <c r="I882" s="4" t="s">
        <v>60</v>
      </c>
      <c r="J882" s="112">
        <f>IF($H882&lt;&gt;"Y",0,ROUND(MIN(Dashboard!$R$24,IF(IFERROR(VLOOKUP($B882,Dashboard!$Q$28:$S$60,2,FALSE),0)&gt;0,IFERROR(VLOOKUP($B882,Dashboard!$Q$28:$S$60,2,FALSE),0),$Z882*IF($U882&lt;&gt;"",ROUND((Dashboard!$R$4/$U882)*VLOOKUP($I882,Dashboard!$Q$9:$R$13,2,FALSE)*IF(ISNUMBER(SEARCH("Duals",$B882)),2,IF(ISNUMBER(SEARCH("Triples",$B882)),3,IF(ISNUMBER(SEARCH("Quads",$B882)),4,1))),2),ROUND(VLOOKUP($I882,Dashboard!$Q$15:$R$20,2,FALSE)*IF($E882="Red",Dashboard!$R$6,IF($E882="Gold",Dashboard!$R$7,Dashboard!$R$5))*IF(ISNUMBER(SEARCH("Duals",$B882)),2,IF(ISNUMBER(SEARCH("Triples",$B882)),3,IF(ISNUMBER(SEARCH("Quads",$B882)),4,1))),2))*IF(IFERROR(VLOOKUP($B882,Dashboard!$Q$28:$S$60,3,FALSE),0)&gt;0,VLOOKUP($B882,Dashboard!$Q$28:$S$60,3,FALSE),1))),0))</f>
        <v>40</v>
      </c>
      <c r="K882" s="2" t="str">
        <f>IF('Base S2'!H82="","",'Base S2'!H82)</f>
        <v>C 06/25</v>
      </c>
      <c r="L882" s="2">
        <f t="shared" si="169"/>
        <v>1</v>
      </c>
      <c r="M882" s="2">
        <f t="shared" si="170"/>
        <v>0</v>
      </c>
      <c r="N882" s="2">
        <f t="shared" si="171"/>
        <v>1</v>
      </c>
      <c r="O882" s="2">
        <f t="shared" si="172"/>
        <v>0</v>
      </c>
      <c r="P882" s="112">
        <f t="shared" si="173"/>
        <v>40</v>
      </c>
      <c r="Q882" s="112">
        <f t="shared" si="174"/>
        <v>0</v>
      </c>
      <c r="R882" s="53"/>
      <c r="S882" s="53" t="str">
        <f t="shared" si="175"/>
        <v>Base S2|Black Parallel - Season 2|181|Black</v>
      </c>
      <c r="T882" s="57" t="str">
        <f>IF($S882="","",IFERROR(VLOOKUP($S882,'Pop Estimates (Non-#d)'!$N$2:$O$500,2,FALSE),""))</f>
        <v/>
      </c>
      <c r="U882" s="57">
        <f t="shared" si="176"/>
        <v>25</v>
      </c>
      <c r="V882" s="53" t="str">
        <f t="shared" si="177"/>
        <v/>
      </c>
      <c r="W882" s="53" t="str">
        <f t="shared" si="178"/>
        <v/>
      </c>
      <c r="X882" s="53" t="str">
        <f t="shared" si="179"/>
        <v/>
      </c>
      <c r="Y882" s="57" t="str">
        <f>IF($X882="","",IFERROR(VLOOKUP($X882,'Char Popularity'!$A$2:$C$500,2,FALSE),""))</f>
        <v/>
      </c>
      <c r="Z882" s="56">
        <f>IF($X882="",1,IFERROR(VLOOKUP($X882,'Char Popularity'!$A$2:$C$500,3,FALSE),1))</f>
        <v>1</v>
      </c>
      <c r="AA882" s="62">
        <f>IF($H882&lt;&gt;"Y",0,(IF($F882&lt;&gt;"",ROUND(Dashboard!$R$4/$F882,1),IF(AND($I882="Base",$E882="Base"),Dashboard!$R$5,IF(AND($I882="Base",$E882="Red"),Dashboard!$R$6,IF(AND($I882="Base",$E882="Gold"),Dashboard!$R$7,VLOOKUP($I882,Dashboard!$Q$16:$R$21,2,FALSE)))))*VLOOKUP($I882,Dashboard!$Q$9:$R$13,2,FALSE)*IF(AND($I882="Auto",$F882="",OR($B882="Autographs Duals",$B882="Autographs Triples",$B882="Autographs Quads",$B882="Autographs Quads (Inscribed)")),IF($B882="Autographs Duals",2,IF($B882="Autographs Triples",3,4)),1)))</f>
        <v>40</v>
      </c>
      <c r="AB882" s="62">
        <f t="shared" si="180"/>
        <v>40</v>
      </c>
      <c r="AC882" s="62">
        <f t="shared" si="181"/>
        <v>0</v>
      </c>
    </row>
    <row r="883" spans="1:29" ht="28.7" customHeight="1" x14ac:dyDescent="0.25">
      <c r="A883" s="4" t="s">
        <v>19</v>
      </c>
      <c r="B883" s="7" t="s">
        <v>81</v>
      </c>
      <c r="C883" s="2" t="s">
        <v>1581</v>
      </c>
      <c r="D883" s="7" t="s">
        <v>1174</v>
      </c>
      <c r="E883" s="4" t="s">
        <v>780</v>
      </c>
      <c r="F883" s="2">
        <v>25</v>
      </c>
      <c r="G883" s="2" t="s">
        <v>1399</v>
      </c>
      <c r="H883" s="2" t="s">
        <v>1400</v>
      </c>
      <c r="I883" s="4" t="s">
        <v>60</v>
      </c>
      <c r="J883" s="112">
        <f>IF($H883&lt;&gt;"Y",0,ROUND(MIN(Dashboard!$R$24,IF(IFERROR(VLOOKUP($B883,Dashboard!$Q$28:$S$60,2,FALSE),0)&gt;0,IFERROR(VLOOKUP($B883,Dashboard!$Q$28:$S$60,2,FALSE),0),$Z883*IF($U883&lt;&gt;"",ROUND((Dashboard!$R$4/$U883)*VLOOKUP($I883,Dashboard!$Q$9:$R$13,2,FALSE)*IF(ISNUMBER(SEARCH("Duals",$B883)),2,IF(ISNUMBER(SEARCH("Triples",$B883)),3,IF(ISNUMBER(SEARCH("Quads",$B883)),4,1))),2),ROUND(VLOOKUP($I883,Dashboard!$Q$15:$R$20,2,FALSE)*IF($E883="Red",Dashboard!$R$6,IF($E883="Gold",Dashboard!$R$7,Dashboard!$R$5))*IF(ISNUMBER(SEARCH("Duals",$B883)),2,IF(ISNUMBER(SEARCH("Triples",$B883)),3,IF(ISNUMBER(SEARCH("Quads",$B883)),4,1))),2))*IF(IFERROR(VLOOKUP($B883,Dashboard!$Q$28:$S$60,3,FALSE),0)&gt;0,VLOOKUP($B883,Dashboard!$Q$28:$S$60,3,FALSE),1))),0))</f>
        <v>40</v>
      </c>
      <c r="K883" s="2" t="str">
        <f>IF('Base S2'!H83="","",'Base S2'!H83)</f>
        <v>V 15/25</v>
      </c>
      <c r="L883" s="2">
        <f t="shared" si="169"/>
        <v>1</v>
      </c>
      <c r="M883" s="2">
        <f t="shared" si="170"/>
        <v>0</v>
      </c>
      <c r="N883" s="2">
        <f t="shared" si="171"/>
        <v>1</v>
      </c>
      <c r="O883" s="2">
        <f t="shared" si="172"/>
        <v>0</v>
      </c>
      <c r="P883" s="112">
        <f t="shared" si="173"/>
        <v>40</v>
      </c>
      <c r="Q883" s="112">
        <f t="shared" si="174"/>
        <v>0</v>
      </c>
      <c r="R883" s="53"/>
      <c r="S883" s="53" t="str">
        <f t="shared" si="175"/>
        <v>Base S2|Black Parallel - Season 2|182|Black</v>
      </c>
      <c r="T883" s="57" t="str">
        <f>IF($S883="","",IFERROR(VLOOKUP($S883,'Pop Estimates (Non-#d)'!$N$2:$O$500,2,FALSE),""))</f>
        <v/>
      </c>
      <c r="U883" s="57">
        <f t="shared" si="176"/>
        <v>25</v>
      </c>
      <c r="V883" s="53" t="str">
        <f t="shared" si="177"/>
        <v/>
      </c>
      <c r="W883" s="53" t="str">
        <f t="shared" si="178"/>
        <v/>
      </c>
      <c r="X883" s="53" t="str">
        <f t="shared" si="179"/>
        <v/>
      </c>
      <c r="Y883" s="57" t="str">
        <f>IF($X883="","",IFERROR(VLOOKUP($X883,'Char Popularity'!$A$2:$C$500,2,FALSE),""))</f>
        <v/>
      </c>
      <c r="Z883" s="56">
        <f>IF($X883="",1,IFERROR(VLOOKUP($X883,'Char Popularity'!$A$2:$C$500,3,FALSE),1))</f>
        <v>1</v>
      </c>
      <c r="AA883" s="62">
        <f>IF($H883&lt;&gt;"Y",0,(IF($F883&lt;&gt;"",ROUND(Dashboard!$R$4/$F883,1),IF(AND($I883="Base",$E883="Base"),Dashboard!$R$5,IF(AND($I883="Base",$E883="Red"),Dashboard!$R$6,IF(AND($I883="Base",$E883="Gold"),Dashboard!$R$7,VLOOKUP($I883,Dashboard!$Q$16:$R$21,2,FALSE)))))*VLOOKUP($I883,Dashboard!$Q$9:$R$13,2,FALSE)*IF(AND($I883="Auto",$F883="",OR($B883="Autographs Duals",$B883="Autographs Triples",$B883="Autographs Quads",$B883="Autographs Quads (Inscribed)")),IF($B883="Autographs Duals",2,IF($B883="Autographs Triples",3,4)),1)))</f>
        <v>40</v>
      </c>
      <c r="AB883" s="62">
        <f t="shared" si="180"/>
        <v>40</v>
      </c>
      <c r="AC883" s="62">
        <f t="shared" si="181"/>
        <v>0</v>
      </c>
    </row>
    <row r="884" spans="1:29" ht="28.7" customHeight="1" x14ac:dyDescent="0.25">
      <c r="A884" s="4" t="s">
        <v>19</v>
      </c>
      <c r="B884" s="7" t="s">
        <v>81</v>
      </c>
      <c r="C884" s="2" t="s">
        <v>1582</v>
      </c>
      <c r="D884" s="7" t="s">
        <v>1177</v>
      </c>
      <c r="E884" s="4" t="s">
        <v>780</v>
      </c>
      <c r="F884" s="2">
        <v>25</v>
      </c>
      <c r="G884" s="2" t="s">
        <v>1399</v>
      </c>
      <c r="H884" s="2" t="s">
        <v>1400</v>
      </c>
      <c r="I884" s="4" t="s">
        <v>60</v>
      </c>
      <c r="J884" s="112">
        <f>IF($H884&lt;&gt;"Y",0,ROUND(MIN(Dashboard!$R$24,IF(IFERROR(VLOOKUP($B884,Dashboard!$Q$28:$S$60,2,FALSE),0)&gt;0,IFERROR(VLOOKUP($B884,Dashboard!$Q$28:$S$60,2,FALSE),0),$Z884*IF($U884&lt;&gt;"",ROUND((Dashboard!$R$4/$U884)*VLOOKUP($I884,Dashboard!$Q$9:$R$13,2,FALSE)*IF(ISNUMBER(SEARCH("Duals",$B884)),2,IF(ISNUMBER(SEARCH("Triples",$B884)),3,IF(ISNUMBER(SEARCH("Quads",$B884)),4,1))),2),ROUND(VLOOKUP($I884,Dashboard!$Q$15:$R$20,2,FALSE)*IF($E884="Red",Dashboard!$R$6,IF($E884="Gold",Dashboard!$R$7,Dashboard!$R$5))*IF(ISNUMBER(SEARCH("Duals",$B884)),2,IF(ISNUMBER(SEARCH("Triples",$B884)),3,IF(ISNUMBER(SEARCH("Quads",$B884)),4,1))),2))*IF(IFERROR(VLOOKUP($B884,Dashboard!$Q$28:$S$60,3,FALSE),0)&gt;0,VLOOKUP($B884,Dashboard!$Q$28:$S$60,3,FALSE),1))),0))</f>
        <v>40</v>
      </c>
      <c r="K884" s="2" t="str">
        <f>IF('Base S2'!H84="","",'Base S2'!H84)</f>
        <v/>
      </c>
      <c r="L884" s="2">
        <f t="shared" si="169"/>
        <v>0</v>
      </c>
      <c r="M884" s="2">
        <f t="shared" si="170"/>
        <v>0</v>
      </c>
      <c r="N884" s="2">
        <f t="shared" si="171"/>
        <v>0</v>
      </c>
      <c r="O884" s="2">
        <f t="shared" si="172"/>
        <v>1</v>
      </c>
      <c r="P884" s="112">
        <f t="shared" si="173"/>
        <v>0</v>
      </c>
      <c r="Q884" s="112">
        <f t="shared" si="174"/>
        <v>0</v>
      </c>
      <c r="R884" s="53"/>
      <c r="S884" s="53" t="str">
        <f t="shared" si="175"/>
        <v>Base S2|Black Parallel - Season 2|183|Black</v>
      </c>
      <c r="T884" s="57" t="str">
        <f>IF($S884="","",IFERROR(VLOOKUP($S884,'Pop Estimates (Non-#d)'!$N$2:$O$500,2,FALSE),""))</f>
        <v/>
      </c>
      <c r="U884" s="57">
        <f t="shared" si="176"/>
        <v>25</v>
      </c>
      <c r="V884" s="53" t="str">
        <f t="shared" si="177"/>
        <v/>
      </c>
      <c r="W884" s="53" t="str">
        <f t="shared" si="178"/>
        <v/>
      </c>
      <c r="X884" s="53" t="str">
        <f t="shared" si="179"/>
        <v/>
      </c>
      <c r="Y884" s="57" t="str">
        <f>IF($X884="","",IFERROR(VLOOKUP($X884,'Char Popularity'!$A$2:$C$500,2,FALSE),""))</f>
        <v/>
      </c>
      <c r="Z884" s="56">
        <f>IF($X884="",1,IFERROR(VLOOKUP($X884,'Char Popularity'!$A$2:$C$500,3,FALSE),1))</f>
        <v>1</v>
      </c>
      <c r="AA884" s="62">
        <f>IF($H884&lt;&gt;"Y",0,(IF($F884&lt;&gt;"",ROUND(Dashboard!$R$4/$F884,1),IF(AND($I884="Base",$E884="Base"),Dashboard!$R$5,IF(AND($I884="Base",$E884="Red"),Dashboard!$R$6,IF(AND($I884="Base",$E884="Gold"),Dashboard!$R$7,VLOOKUP($I884,Dashboard!$Q$16:$R$21,2,FALSE)))))*VLOOKUP($I884,Dashboard!$Q$9:$R$13,2,FALSE)*IF(AND($I884="Auto",$F884="",OR($B884="Autographs Duals",$B884="Autographs Triples",$B884="Autographs Quads",$B884="Autographs Quads (Inscribed)")),IF($B884="Autographs Duals",2,IF($B884="Autographs Triples",3,4)),1)))</f>
        <v>40</v>
      </c>
      <c r="AB884" s="62">
        <f t="shared" si="180"/>
        <v>0</v>
      </c>
      <c r="AC884" s="62">
        <f t="shared" si="181"/>
        <v>0</v>
      </c>
    </row>
    <row r="885" spans="1:29" ht="28.7" customHeight="1" x14ac:dyDescent="0.25">
      <c r="A885" s="4" t="s">
        <v>19</v>
      </c>
      <c r="B885" s="7" t="s">
        <v>81</v>
      </c>
      <c r="C885" s="2" t="s">
        <v>1583</v>
      </c>
      <c r="D885" s="7" t="s">
        <v>1179</v>
      </c>
      <c r="E885" s="4" t="s">
        <v>780</v>
      </c>
      <c r="F885" s="2">
        <v>25</v>
      </c>
      <c r="G885" s="2" t="s">
        <v>1399</v>
      </c>
      <c r="H885" s="2" t="s">
        <v>1400</v>
      </c>
      <c r="I885" s="4" t="s">
        <v>60</v>
      </c>
      <c r="J885" s="112">
        <f>IF($H885&lt;&gt;"Y",0,ROUND(MIN(Dashboard!$R$24,IF(IFERROR(VLOOKUP($B885,Dashboard!$Q$28:$S$60,2,FALSE),0)&gt;0,IFERROR(VLOOKUP($B885,Dashboard!$Q$28:$S$60,2,FALSE),0),$Z885*IF($U885&lt;&gt;"",ROUND((Dashboard!$R$4/$U885)*VLOOKUP($I885,Dashboard!$Q$9:$R$13,2,FALSE)*IF(ISNUMBER(SEARCH("Duals",$B885)),2,IF(ISNUMBER(SEARCH("Triples",$B885)),3,IF(ISNUMBER(SEARCH("Quads",$B885)),4,1))),2),ROUND(VLOOKUP($I885,Dashboard!$Q$15:$R$20,2,FALSE)*IF($E885="Red",Dashboard!$R$6,IF($E885="Gold",Dashboard!$R$7,Dashboard!$R$5))*IF(ISNUMBER(SEARCH("Duals",$B885)),2,IF(ISNUMBER(SEARCH("Triples",$B885)),3,IF(ISNUMBER(SEARCH("Quads",$B885)),4,1))),2))*IF(IFERROR(VLOOKUP($B885,Dashboard!$Q$28:$S$60,3,FALSE),0)&gt;0,VLOOKUP($B885,Dashboard!$Q$28:$S$60,3,FALSE),1))),0))</f>
        <v>40</v>
      </c>
      <c r="K885" s="2" t="str">
        <f>IF('Base S2'!H85="","",'Base S2'!H85)</f>
        <v/>
      </c>
      <c r="L885" s="2">
        <f t="shared" si="169"/>
        <v>0</v>
      </c>
      <c r="M885" s="2">
        <f t="shared" si="170"/>
        <v>0</v>
      </c>
      <c r="N885" s="2">
        <f t="shared" si="171"/>
        <v>0</v>
      </c>
      <c r="O885" s="2">
        <f t="shared" si="172"/>
        <v>1</v>
      </c>
      <c r="P885" s="112">
        <f t="shared" si="173"/>
        <v>0</v>
      </c>
      <c r="Q885" s="112">
        <f t="shared" si="174"/>
        <v>0</v>
      </c>
      <c r="R885" s="53"/>
      <c r="S885" s="53" t="str">
        <f t="shared" si="175"/>
        <v>Base S2|Black Parallel - Season 2|184|Black</v>
      </c>
      <c r="T885" s="57" t="str">
        <f>IF($S885="","",IFERROR(VLOOKUP($S885,'Pop Estimates (Non-#d)'!$N$2:$O$500,2,FALSE),""))</f>
        <v/>
      </c>
      <c r="U885" s="57">
        <f t="shared" si="176"/>
        <v>25</v>
      </c>
      <c r="V885" s="53" t="str">
        <f t="shared" si="177"/>
        <v/>
      </c>
      <c r="W885" s="53" t="str">
        <f t="shared" si="178"/>
        <v/>
      </c>
      <c r="X885" s="53" t="str">
        <f t="shared" si="179"/>
        <v/>
      </c>
      <c r="Y885" s="57" t="str">
        <f>IF($X885="","",IFERROR(VLOOKUP($X885,'Char Popularity'!$A$2:$C$500,2,FALSE),""))</f>
        <v/>
      </c>
      <c r="Z885" s="56">
        <f>IF($X885="",1,IFERROR(VLOOKUP($X885,'Char Popularity'!$A$2:$C$500,3,FALSE),1))</f>
        <v>1</v>
      </c>
      <c r="AA885" s="62">
        <f>IF($H885&lt;&gt;"Y",0,(IF($F885&lt;&gt;"",ROUND(Dashboard!$R$4/$F885,1),IF(AND($I885="Base",$E885="Base"),Dashboard!$R$5,IF(AND($I885="Base",$E885="Red"),Dashboard!$R$6,IF(AND($I885="Base",$E885="Gold"),Dashboard!$R$7,VLOOKUP($I885,Dashboard!$Q$16:$R$21,2,FALSE)))))*VLOOKUP($I885,Dashboard!$Q$9:$R$13,2,FALSE)*IF(AND($I885="Auto",$F885="",OR($B885="Autographs Duals",$B885="Autographs Triples",$B885="Autographs Quads",$B885="Autographs Quads (Inscribed)")),IF($B885="Autographs Duals",2,IF($B885="Autographs Triples",3,4)),1)))</f>
        <v>40</v>
      </c>
      <c r="AB885" s="62">
        <f t="shared" si="180"/>
        <v>0</v>
      </c>
      <c r="AC885" s="62">
        <f t="shared" si="181"/>
        <v>0</v>
      </c>
    </row>
    <row r="886" spans="1:29" ht="28.7" customHeight="1" x14ac:dyDescent="0.25">
      <c r="A886" s="4" t="s">
        <v>19</v>
      </c>
      <c r="B886" s="7" t="s">
        <v>81</v>
      </c>
      <c r="C886" s="2" t="s">
        <v>1584</v>
      </c>
      <c r="D886" s="7" t="s">
        <v>1180</v>
      </c>
      <c r="E886" s="4" t="s">
        <v>780</v>
      </c>
      <c r="F886" s="2">
        <v>25</v>
      </c>
      <c r="G886" s="2" t="s">
        <v>1399</v>
      </c>
      <c r="H886" s="2" t="s">
        <v>1400</v>
      </c>
      <c r="I886" s="4" t="s">
        <v>60</v>
      </c>
      <c r="J886" s="112">
        <f>IF($H886&lt;&gt;"Y",0,ROUND(MIN(Dashboard!$R$24,IF(IFERROR(VLOOKUP($B886,Dashboard!$Q$28:$S$60,2,FALSE),0)&gt;0,IFERROR(VLOOKUP($B886,Dashboard!$Q$28:$S$60,2,FALSE),0),$Z886*IF($U886&lt;&gt;"",ROUND((Dashboard!$R$4/$U886)*VLOOKUP($I886,Dashboard!$Q$9:$R$13,2,FALSE)*IF(ISNUMBER(SEARCH("Duals",$B886)),2,IF(ISNUMBER(SEARCH("Triples",$B886)),3,IF(ISNUMBER(SEARCH("Quads",$B886)),4,1))),2),ROUND(VLOOKUP($I886,Dashboard!$Q$15:$R$20,2,FALSE)*IF($E886="Red",Dashboard!$R$6,IF($E886="Gold",Dashboard!$R$7,Dashboard!$R$5))*IF(ISNUMBER(SEARCH("Duals",$B886)),2,IF(ISNUMBER(SEARCH("Triples",$B886)),3,IF(ISNUMBER(SEARCH("Quads",$B886)),4,1))),2))*IF(IFERROR(VLOOKUP($B886,Dashboard!$Q$28:$S$60,3,FALSE),0)&gt;0,VLOOKUP($B886,Dashboard!$Q$28:$S$60,3,FALSE),1))),0))</f>
        <v>40</v>
      </c>
      <c r="K886" s="2" t="str">
        <f>IF('Base S2'!H86="","",'Base S2'!H86)</f>
        <v/>
      </c>
      <c r="L886" s="2">
        <f t="shared" si="169"/>
        <v>0</v>
      </c>
      <c r="M886" s="2">
        <f t="shared" si="170"/>
        <v>0</v>
      </c>
      <c r="N886" s="2">
        <f t="shared" si="171"/>
        <v>0</v>
      </c>
      <c r="O886" s="2">
        <f t="shared" si="172"/>
        <v>1</v>
      </c>
      <c r="P886" s="112">
        <f t="shared" si="173"/>
        <v>0</v>
      </c>
      <c r="Q886" s="112">
        <f t="shared" si="174"/>
        <v>0</v>
      </c>
      <c r="R886" s="53"/>
      <c r="S886" s="53" t="str">
        <f t="shared" si="175"/>
        <v>Base S2|Black Parallel - Season 2|185|Black</v>
      </c>
      <c r="T886" s="57" t="str">
        <f>IF($S886="","",IFERROR(VLOOKUP($S886,'Pop Estimates (Non-#d)'!$N$2:$O$500,2,FALSE),""))</f>
        <v/>
      </c>
      <c r="U886" s="57">
        <f t="shared" si="176"/>
        <v>25</v>
      </c>
      <c r="V886" s="53" t="str">
        <f t="shared" si="177"/>
        <v/>
      </c>
      <c r="W886" s="53" t="str">
        <f t="shared" si="178"/>
        <v/>
      </c>
      <c r="X886" s="53" t="str">
        <f t="shared" si="179"/>
        <v/>
      </c>
      <c r="Y886" s="57" t="str">
        <f>IF($X886="","",IFERROR(VLOOKUP($X886,'Char Popularity'!$A$2:$C$500,2,FALSE),""))</f>
        <v/>
      </c>
      <c r="Z886" s="56">
        <f>IF($X886="",1,IFERROR(VLOOKUP($X886,'Char Popularity'!$A$2:$C$500,3,FALSE),1))</f>
        <v>1</v>
      </c>
      <c r="AA886" s="62">
        <f>IF($H886&lt;&gt;"Y",0,(IF($F886&lt;&gt;"",ROUND(Dashboard!$R$4/$F886,1),IF(AND($I886="Base",$E886="Base"),Dashboard!$R$5,IF(AND($I886="Base",$E886="Red"),Dashboard!$R$6,IF(AND($I886="Base",$E886="Gold"),Dashboard!$R$7,VLOOKUP($I886,Dashboard!$Q$16:$R$21,2,FALSE)))))*VLOOKUP($I886,Dashboard!$Q$9:$R$13,2,FALSE)*IF(AND($I886="Auto",$F886="",OR($B886="Autographs Duals",$B886="Autographs Triples",$B886="Autographs Quads",$B886="Autographs Quads (Inscribed)")),IF($B886="Autographs Duals",2,IF($B886="Autographs Triples",3,4)),1)))</f>
        <v>40</v>
      </c>
      <c r="AB886" s="62">
        <f t="shared" si="180"/>
        <v>0</v>
      </c>
      <c r="AC886" s="62">
        <f t="shared" si="181"/>
        <v>0</v>
      </c>
    </row>
    <row r="887" spans="1:29" ht="28.7" customHeight="1" x14ac:dyDescent="0.25">
      <c r="A887" s="4" t="s">
        <v>19</v>
      </c>
      <c r="B887" s="7" t="s">
        <v>81</v>
      </c>
      <c r="C887" s="2" t="s">
        <v>1585</v>
      </c>
      <c r="D887" s="7" t="s">
        <v>1181</v>
      </c>
      <c r="E887" s="4" t="s">
        <v>780</v>
      </c>
      <c r="F887" s="2">
        <v>25</v>
      </c>
      <c r="G887" s="2" t="s">
        <v>1399</v>
      </c>
      <c r="H887" s="2" t="s">
        <v>1400</v>
      </c>
      <c r="I887" s="4" t="s">
        <v>60</v>
      </c>
      <c r="J887" s="112">
        <f>IF($H887&lt;&gt;"Y",0,ROUND(MIN(Dashboard!$R$24,IF(IFERROR(VLOOKUP($B887,Dashboard!$Q$28:$S$60,2,FALSE),0)&gt;0,IFERROR(VLOOKUP($B887,Dashboard!$Q$28:$S$60,2,FALSE),0),$Z887*IF($U887&lt;&gt;"",ROUND((Dashboard!$R$4/$U887)*VLOOKUP($I887,Dashboard!$Q$9:$R$13,2,FALSE)*IF(ISNUMBER(SEARCH("Duals",$B887)),2,IF(ISNUMBER(SEARCH("Triples",$B887)),3,IF(ISNUMBER(SEARCH("Quads",$B887)),4,1))),2),ROUND(VLOOKUP($I887,Dashboard!$Q$15:$R$20,2,FALSE)*IF($E887="Red",Dashboard!$R$6,IF($E887="Gold",Dashboard!$R$7,Dashboard!$R$5))*IF(ISNUMBER(SEARCH("Duals",$B887)),2,IF(ISNUMBER(SEARCH("Triples",$B887)),3,IF(ISNUMBER(SEARCH("Quads",$B887)),4,1))),2))*IF(IFERROR(VLOOKUP($B887,Dashboard!$Q$28:$S$60,3,FALSE),0)&gt;0,VLOOKUP($B887,Dashboard!$Q$28:$S$60,3,FALSE),1))),0))</f>
        <v>40</v>
      </c>
      <c r="K887" s="2" t="str">
        <f>IF('Base S2'!H87="","",'Base S2'!H87)</f>
        <v/>
      </c>
      <c r="L887" s="2">
        <f t="shared" si="169"/>
        <v>0</v>
      </c>
      <c r="M887" s="2">
        <f t="shared" si="170"/>
        <v>0</v>
      </c>
      <c r="N887" s="2">
        <f t="shared" si="171"/>
        <v>0</v>
      </c>
      <c r="O887" s="2">
        <f t="shared" si="172"/>
        <v>1</v>
      </c>
      <c r="P887" s="112">
        <f t="shared" si="173"/>
        <v>0</v>
      </c>
      <c r="Q887" s="112">
        <f t="shared" si="174"/>
        <v>0</v>
      </c>
      <c r="R887" s="53"/>
      <c r="S887" s="53" t="str">
        <f t="shared" si="175"/>
        <v>Base S2|Black Parallel - Season 2|186|Black</v>
      </c>
      <c r="T887" s="57" t="str">
        <f>IF($S887="","",IFERROR(VLOOKUP($S887,'Pop Estimates (Non-#d)'!$N$2:$O$500,2,FALSE),""))</f>
        <v/>
      </c>
      <c r="U887" s="57">
        <f t="shared" si="176"/>
        <v>25</v>
      </c>
      <c r="V887" s="53" t="str">
        <f t="shared" si="177"/>
        <v/>
      </c>
      <c r="W887" s="53" t="str">
        <f t="shared" si="178"/>
        <v/>
      </c>
      <c r="X887" s="53" t="str">
        <f t="shared" si="179"/>
        <v/>
      </c>
      <c r="Y887" s="57" t="str">
        <f>IF($X887="","",IFERROR(VLOOKUP($X887,'Char Popularity'!$A$2:$C$500,2,FALSE),""))</f>
        <v/>
      </c>
      <c r="Z887" s="56">
        <f>IF($X887="",1,IFERROR(VLOOKUP($X887,'Char Popularity'!$A$2:$C$500,3,FALSE),1))</f>
        <v>1</v>
      </c>
      <c r="AA887" s="62">
        <f>IF($H887&lt;&gt;"Y",0,(IF($F887&lt;&gt;"",ROUND(Dashboard!$R$4/$F887,1),IF(AND($I887="Base",$E887="Base"),Dashboard!$R$5,IF(AND($I887="Base",$E887="Red"),Dashboard!$R$6,IF(AND($I887="Base",$E887="Gold"),Dashboard!$R$7,VLOOKUP($I887,Dashboard!$Q$16:$R$21,2,FALSE)))))*VLOOKUP($I887,Dashboard!$Q$9:$R$13,2,FALSE)*IF(AND($I887="Auto",$F887="",OR($B887="Autographs Duals",$B887="Autographs Triples",$B887="Autographs Quads",$B887="Autographs Quads (Inscribed)")),IF($B887="Autographs Duals",2,IF($B887="Autographs Triples",3,4)),1)))</f>
        <v>40</v>
      </c>
      <c r="AB887" s="62">
        <f t="shared" si="180"/>
        <v>0</v>
      </c>
      <c r="AC887" s="62">
        <f t="shared" si="181"/>
        <v>0</v>
      </c>
    </row>
    <row r="888" spans="1:29" ht="28.7" customHeight="1" x14ac:dyDescent="0.25">
      <c r="A888" s="4" t="s">
        <v>19</v>
      </c>
      <c r="B888" s="7" t="s">
        <v>81</v>
      </c>
      <c r="C888" s="2" t="s">
        <v>1586</v>
      </c>
      <c r="D888" s="7" t="s">
        <v>1182</v>
      </c>
      <c r="E888" s="4" t="s">
        <v>780</v>
      </c>
      <c r="F888" s="2">
        <v>25</v>
      </c>
      <c r="G888" s="2" t="s">
        <v>1399</v>
      </c>
      <c r="H888" s="2" t="s">
        <v>1400</v>
      </c>
      <c r="I888" s="4" t="s">
        <v>60</v>
      </c>
      <c r="J888" s="112">
        <f>IF($H888&lt;&gt;"Y",0,ROUND(MIN(Dashboard!$R$24,IF(IFERROR(VLOOKUP($B888,Dashboard!$Q$28:$S$60,2,FALSE),0)&gt;0,IFERROR(VLOOKUP($B888,Dashboard!$Q$28:$S$60,2,FALSE),0),$Z888*IF($U888&lt;&gt;"",ROUND((Dashboard!$R$4/$U888)*VLOOKUP($I888,Dashboard!$Q$9:$R$13,2,FALSE)*IF(ISNUMBER(SEARCH("Duals",$B888)),2,IF(ISNUMBER(SEARCH("Triples",$B888)),3,IF(ISNUMBER(SEARCH("Quads",$B888)),4,1))),2),ROUND(VLOOKUP($I888,Dashboard!$Q$15:$R$20,2,FALSE)*IF($E888="Red",Dashboard!$R$6,IF($E888="Gold",Dashboard!$R$7,Dashboard!$R$5))*IF(ISNUMBER(SEARCH("Duals",$B888)),2,IF(ISNUMBER(SEARCH("Triples",$B888)),3,IF(ISNUMBER(SEARCH("Quads",$B888)),4,1))),2))*IF(IFERROR(VLOOKUP($B888,Dashboard!$Q$28:$S$60,3,FALSE),0)&gt;0,VLOOKUP($B888,Dashboard!$Q$28:$S$60,3,FALSE),1))),0))</f>
        <v>40</v>
      </c>
      <c r="K888" s="2" t="str">
        <f>IF('Base S2'!H88="","",'Base S2'!H88)</f>
        <v>C 06/25</v>
      </c>
      <c r="L888" s="2">
        <f t="shared" si="169"/>
        <v>1</v>
      </c>
      <c r="M888" s="2">
        <f t="shared" si="170"/>
        <v>0</v>
      </c>
      <c r="N888" s="2">
        <f t="shared" si="171"/>
        <v>1</v>
      </c>
      <c r="O888" s="2">
        <f t="shared" si="172"/>
        <v>0</v>
      </c>
      <c r="P888" s="112">
        <f t="shared" si="173"/>
        <v>40</v>
      </c>
      <c r="Q888" s="112">
        <f t="shared" si="174"/>
        <v>0</v>
      </c>
      <c r="R888" s="53"/>
      <c r="S888" s="53" t="str">
        <f t="shared" si="175"/>
        <v>Base S2|Black Parallel - Season 2|187|Black</v>
      </c>
      <c r="T888" s="57" t="str">
        <f>IF($S888="","",IFERROR(VLOOKUP($S888,'Pop Estimates (Non-#d)'!$N$2:$O$500,2,FALSE),""))</f>
        <v/>
      </c>
      <c r="U888" s="57">
        <f t="shared" si="176"/>
        <v>25</v>
      </c>
      <c r="V888" s="53" t="str">
        <f t="shared" si="177"/>
        <v/>
      </c>
      <c r="W888" s="53" t="str">
        <f t="shared" si="178"/>
        <v/>
      </c>
      <c r="X888" s="53" t="str">
        <f t="shared" si="179"/>
        <v/>
      </c>
      <c r="Y888" s="57" t="str">
        <f>IF($X888="","",IFERROR(VLOOKUP($X888,'Char Popularity'!$A$2:$C$500,2,FALSE),""))</f>
        <v/>
      </c>
      <c r="Z888" s="56">
        <f>IF($X888="",1,IFERROR(VLOOKUP($X888,'Char Popularity'!$A$2:$C$500,3,FALSE),1))</f>
        <v>1</v>
      </c>
      <c r="AA888" s="62">
        <f>IF($H888&lt;&gt;"Y",0,(IF($F888&lt;&gt;"",ROUND(Dashboard!$R$4/$F888,1),IF(AND($I888="Base",$E888="Base"),Dashboard!$R$5,IF(AND($I888="Base",$E888="Red"),Dashboard!$R$6,IF(AND($I888="Base",$E888="Gold"),Dashboard!$R$7,VLOOKUP($I888,Dashboard!$Q$16:$R$21,2,FALSE)))))*VLOOKUP($I888,Dashboard!$Q$9:$R$13,2,FALSE)*IF(AND($I888="Auto",$F888="",OR($B888="Autographs Duals",$B888="Autographs Triples",$B888="Autographs Quads",$B888="Autographs Quads (Inscribed)")),IF($B888="Autographs Duals",2,IF($B888="Autographs Triples",3,4)),1)))</f>
        <v>40</v>
      </c>
      <c r="AB888" s="62">
        <f t="shared" si="180"/>
        <v>40</v>
      </c>
      <c r="AC888" s="62">
        <f t="shared" si="181"/>
        <v>0</v>
      </c>
    </row>
    <row r="889" spans="1:29" ht="28.7" customHeight="1" x14ac:dyDescent="0.25">
      <c r="A889" s="4" t="s">
        <v>19</v>
      </c>
      <c r="B889" s="7" t="s">
        <v>81</v>
      </c>
      <c r="C889" s="2" t="s">
        <v>1587</v>
      </c>
      <c r="D889" s="7" t="s">
        <v>1183</v>
      </c>
      <c r="E889" s="4" t="s">
        <v>780</v>
      </c>
      <c r="F889" s="2">
        <v>25</v>
      </c>
      <c r="G889" s="2" t="s">
        <v>1399</v>
      </c>
      <c r="H889" s="2" t="s">
        <v>1400</v>
      </c>
      <c r="I889" s="4" t="s">
        <v>60</v>
      </c>
      <c r="J889" s="112">
        <f>IF($H889&lt;&gt;"Y",0,ROUND(MIN(Dashboard!$R$24,IF(IFERROR(VLOOKUP($B889,Dashboard!$Q$28:$S$60,2,FALSE),0)&gt;0,IFERROR(VLOOKUP($B889,Dashboard!$Q$28:$S$60,2,FALSE),0),$Z889*IF($U889&lt;&gt;"",ROUND((Dashboard!$R$4/$U889)*VLOOKUP($I889,Dashboard!$Q$9:$R$13,2,FALSE)*IF(ISNUMBER(SEARCH("Duals",$B889)),2,IF(ISNUMBER(SEARCH("Triples",$B889)),3,IF(ISNUMBER(SEARCH("Quads",$B889)),4,1))),2),ROUND(VLOOKUP($I889,Dashboard!$Q$15:$R$20,2,FALSE)*IF($E889="Red",Dashboard!$R$6,IF($E889="Gold",Dashboard!$R$7,Dashboard!$R$5))*IF(ISNUMBER(SEARCH("Duals",$B889)),2,IF(ISNUMBER(SEARCH("Triples",$B889)),3,IF(ISNUMBER(SEARCH("Quads",$B889)),4,1))),2))*IF(IFERROR(VLOOKUP($B889,Dashboard!$Q$28:$S$60,3,FALSE),0)&gt;0,VLOOKUP($B889,Dashboard!$Q$28:$S$60,3,FALSE),1))),0))</f>
        <v>40</v>
      </c>
      <c r="K889" s="2" t="str">
        <f>IF('Base S2'!H89="","",'Base S2'!H89)</f>
        <v/>
      </c>
      <c r="L889" s="2">
        <f t="shared" si="169"/>
        <v>0</v>
      </c>
      <c r="M889" s="2">
        <f t="shared" si="170"/>
        <v>0</v>
      </c>
      <c r="N889" s="2">
        <f t="shared" si="171"/>
        <v>0</v>
      </c>
      <c r="O889" s="2">
        <f t="shared" si="172"/>
        <v>1</v>
      </c>
      <c r="P889" s="112">
        <f t="shared" si="173"/>
        <v>0</v>
      </c>
      <c r="Q889" s="112">
        <f t="shared" si="174"/>
        <v>0</v>
      </c>
      <c r="R889" s="53"/>
      <c r="S889" s="53" t="str">
        <f t="shared" si="175"/>
        <v>Base S2|Black Parallel - Season 2|188|Black</v>
      </c>
      <c r="T889" s="57" t="str">
        <f>IF($S889="","",IFERROR(VLOOKUP($S889,'Pop Estimates (Non-#d)'!$N$2:$O$500,2,FALSE),""))</f>
        <v/>
      </c>
      <c r="U889" s="57">
        <f t="shared" si="176"/>
        <v>25</v>
      </c>
      <c r="V889" s="53" t="str">
        <f t="shared" si="177"/>
        <v/>
      </c>
      <c r="W889" s="53" t="str">
        <f t="shared" si="178"/>
        <v/>
      </c>
      <c r="X889" s="53" t="str">
        <f t="shared" si="179"/>
        <v/>
      </c>
      <c r="Y889" s="57" t="str">
        <f>IF($X889="","",IFERROR(VLOOKUP($X889,'Char Popularity'!$A$2:$C$500,2,FALSE),""))</f>
        <v/>
      </c>
      <c r="Z889" s="56">
        <f>IF($X889="",1,IFERROR(VLOOKUP($X889,'Char Popularity'!$A$2:$C$500,3,FALSE),1))</f>
        <v>1</v>
      </c>
      <c r="AA889" s="62">
        <f>IF($H889&lt;&gt;"Y",0,(IF($F889&lt;&gt;"",ROUND(Dashboard!$R$4/$F889,1),IF(AND($I889="Base",$E889="Base"),Dashboard!$R$5,IF(AND($I889="Base",$E889="Red"),Dashboard!$R$6,IF(AND($I889="Base",$E889="Gold"),Dashboard!$R$7,VLOOKUP($I889,Dashboard!$Q$16:$R$21,2,FALSE)))))*VLOOKUP($I889,Dashboard!$Q$9:$R$13,2,FALSE)*IF(AND($I889="Auto",$F889="",OR($B889="Autographs Duals",$B889="Autographs Triples",$B889="Autographs Quads",$B889="Autographs Quads (Inscribed)")),IF($B889="Autographs Duals",2,IF($B889="Autographs Triples",3,4)),1)))</f>
        <v>40</v>
      </c>
      <c r="AB889" s="62">
        <f t="shared" si="180"/>
        <v>0</v>
      </c>
      <c r="AC889" s="62">
        <f t="shared" si="181"/>
        <v>0</v>
      </c>
    </row>
    <row r="890" spans="1:29" ht="28.7" customHeight="1" x14ac:dyDescent="0.25">
      <c r="A890" s="4" t="s">
        <v>19</v>
      </c>
      <c r="B890" s="7" t="s">
        <v>81</v>
      </c>
      <c r="C890" s="2" t="s">
        <v>1588</v>
      </c>
      <c r="D890" s="7" t="s">
        <v>1185</v>
      </c>
      <c r="E890" s="4" t="s">
        <v>780</v>
      </c>
      <c r="F890" s="2">
        <v>25</v>
      </c>
      <c r="G890" s="2" t="s">
        <v>1399</v>
      </c>
      <c r="H890" s="2" t="s">
        <v>1400</v>
      </c>
      <c r="I890" s="4" t="s">
        <v>60</v>
      </c>
      <c r="J890" s="112">
        <f>IF($H890&lt;&gt;"Y",0,ROUND(MIN(Dashboard!$R$24,IF(IFERROR(VLOOKUP($B890,Dashboard!$Q$28:$S$60,2,FALSE),0)&gt;0,IFERROR(VLOOKUP($B890,Dashboard!$Q$28:$S$60,2,FALSE),0),$Z890*IF($U890&lt;&gt;"",ROUND((Dashboard!$R$4/$U890)*VLOOKUP($I890,Dashboard!$Q$9:$R$13,2,FALSE)*IF(ISNUMBER(SEARCH("Duals",$B890)),2,IF(ISNUMBER(SEARCH("Triples",$B890)),3,IF(ISNUMBER(SEARCH("Quads",$B890)),4,1))),2),ROUND(VLOOKUP($I890,Dashboard!$Q$15:$R$20,2,FALSE)*IF($E890="Red",Dashboard!$R$6,IF($E890="Gold",Dashboard!$R$7,Dashboard!$R$5))*IF(ISNUMBER(SEARCH("Duals",$B890)),2,IF(ISNUMBER(SEARCH("Triples",$B890)),3,IF(ISNUMBER(SEARCH("Quads",$B890)),4,1))),2))*IF(IFERROR(VLOOKUP($B890,Dashboard!$Q$28:$S$60,3,FALSE),0)&gt;0,VLOOKUP($B890,Dashboard!$Q$28:$S$60,3,FALSE),1))),0))</f>
        <v>40</v>
      </c>
      <c r="K890" s="2" t="str">
        <f>IF('Base S2'!H90="","",'Base S2'!H90)</f>
        <v>V 21/25</v>
      </c>
      <c r="L890" s="2">
        <f t="shared" si="169"/>
        <v>1</v>
      </c>
      <c r="M890" s="2">
        <f t="shared" si="170"/>
        <v>0</v>
      </c>
      <c r="N890" s="2">
        <f t="shared" si="171"/>
        <v>1</v>
      </c>
      <c r="O890" s="2">
        <f t="shared" si="172"/>
        <v>0</v>
      </c>
      <c r="P890" s="112">
        <f t="shared" si="173"/>
        <v>40</v>
      </c>
      <c r="Q890" s="112">
        <f t="shared" si="174"/>
        <v>0</v>
      </c>
      <c r="R890" s="53"/>
      <c r="S890" s="53" t="str">
        <f t="shared" si="175"/>
        <v>Base S2|Black Parallel - Season 2|189|Black</v>
      </c>
      <c r="T890" s="57" t="str">
        <f>IF($S890="","",IFERROR(VLOOKUP($S890,'Pop Estimates (Non-#d)'!$N$2:$O$500,2,FALSE),""))</f>
        <v/>
      </c>
      <c r="U890" s="57">
        <f t="shared" si="176"/>
        <v>25</v>
      </c>
      <c r="V890" s="53" t="str">
        <f t="shared" si="177"/>
        <v/>
      </c>
      <c r="W890" s="53" t="str">
        <f t="shared" si="178"/>
        <v/>
      </c>
      <c r="X890" s="53" t="str">
        <f t="shared" si="179"/>
        <v/>
      </c>
      <c r="Y890" s="57" t="str">
        <f>IF($X890="","",IFERROR(VLOOKUP($X890,'Char Popularity'!$A$2:$C$500,2,FALSE),""))</f>
        <v/>
      </c>
      <c r="Z890" s="56">
        <f>IF($X890="",1,IFERROR(VLOOKUP($X890,'Char Popularity'!$A$2:$C$500,3,FALSE),1))</f>
        <v>1</v>
      </c>
      <c r="AA890" s="62">
        <f>IF($H890&lt;&gt;"Y",0,(IF($F890&lt;&gt;"",ROUND(Dashboard!$R$4/$F890,1),IF(AND($I890="Base",$E890="Base"),Dashboard!$R$5,IF(AND($I890="Base",$E890="Red"),Dashboard!$R$6,IF(AND($I890="Base",$E890="Gold"),Dashboard!$R$7,VLOOKUP($I890,Dashboard!$Q$16:$R$21,2,FALSE)))))*VLOOKUP($I890,Dashboard!$Q$9:$R$13,2,FALSE)*IF(AND($I890="Auto",$F890="",OR($B890="Autographs Duals",$B890="Autographs Triples",$B890="Autographs Quads",$B890="Autographs Quads (Inscribed)")),IF($B890="Autographs Duals",2,IF($B890="Autographs Triples",3,4)),1)))</f>
        <v>40</v>
      </c>
      <c r="AB890" s="62">
        <f t="shared" si="180"/>
        <v>40</v>
      </c>
      <c r="AC890" s="62">
        <f t="shared" si="181"/>
        <v>0</v>
      </c>
    </row>
    <row r="891" spans="1:29" ht="28.7" customHeight="1" x14ac:dyDescent="0.25">
      <c r="A891" s="4" t="s">
        <v>19</v>
      </c>
      <c r="B891" s="7" t="s">
        <v>81</v>
      </c>
      <c r="C891" s="2" t="s">
        <v>1589</v>
      </c>
      <c r="D891" s="7" t="s">
        <v>1186</v>
      </c>
      <c r="E891" s="4" t="s">
        <v>780</v>
      </c>
      <c r="F891" s="2">
        <v>25</v>
      </c>
      <c r="G891" s="2" t="s">
        <v>1399</v>
      </c>
      <c r="H891" s="2" t="s">
        <v>1400</v>
      </c>
      <c r="I891" s="4" t="s">
        <v>60</v>
      </c>
      <c r="J891" s="112">
        <f>IF($H891&lt;&gt;"Y",0,ROUND(MIN(Dashboard!$R$24,IF(IFERROR(VLOOKUP($B891,Dashboard!$Q$28:$S$60,2,FALSE),0)&gt;0,IFERROR(VLOOKUP($B891,Dashboard!$Q$28:$S$60,2,FALSE),0),$Z891*IF($U891&lt;&gt;"",ROUND((Dashboard!$R$4/$U891)*VLOOKUP($I891,Dashboard!$Q$9:$R$13,2,FALSE)*IF(ISNUMBER(SEARCH("Duals",$B891)),2,IF(ISNUMBER(SEARCH("Triples",$B891)),3,IF(ISNUMBER(SEARCH("Quads",$B891)),4,1))),2),ROUND(VLOOKUP($I891,Dashboard!$Q$15:$R$20,2,FALSE)*IF($E891="Red",Dashboard!$R$6,IF($E891="Gold",Dashboard!$R$7,Dashboard!$R$5))*IF(ISNUMBER(SEARCH("Duals",$B891)),2,IF(ISNUMBER(SEARCH("Triples",$B891)),3,IF(ISNUMBER(SEARCH("Quads",$B891)),4,1))),2))*IF(IFERROR(VLOOKUP($B891,Dashboard!$Q$28:$S$60,3,FALSE),0)&gt;0,VLOOKUP($B891,Dashboard!$Q$28:$S$60,3,FALSE),1))),0))</f>
        <v>40</v>
      </c>
      <c r="K891" s="2" t="str">
        <f>IF('Base S2'!H91="","",'Base S2'!H91)</f>
        <v>C 18/25</v>
      </c>
      <c r="L891" s="2">
        <f t="shared" si="169"/>
        <v>1</v>
      </c>
      <c r="M891" s="2">
        <f t="shared" si="170"/>
        <v>0</v>
      </c>
      <c r="N891" s="2">
        <f t="shared" si="171"/>
        <v>1</v>
      </c>
      <c r="O891" s="2">
        <f t="shared" si="172"/>
        <v>0</v>
      </c>
      <c r="P891" s="112">
        <f t="shared" si="173"/>
        <v>40</v>
      </c>
      <c r="Q891" s="112">
        <f t="shared" si="174"/>
        <v>0</v>
      </c>
      <c r="R891" s="53"/>
      <c r="S891" s="53" t="str">
        <f t="shared" si="175"/>
        <v>Base S2|Black Parallel - Season 2|190|Black</v>
      </c>
      <c r="T891" s="57" t="str">
        <f>IF($S891="","",IFERROR(VLOOKUP($S891,'Pop Estimates (Non-#d)'!$N$2:$O$500,2,FALSE),""))</f>
        <v/>
      </c>
      <c r="U891" s="57">
        <f t="shared" si="176"/>
        <v>25</v>
      </c>
      <c r="V891" s="53" t="str">
        <f t="shared" si="177"/>
        <v/>
      </c>
      <c r="W891" s="53" t="str">
        <f t="shared" si="178"/>
        <v/>
      </c>
      <c r="X891" s="53" t="str">
        <f t="shared" si="179"/>
        <v/>
      </c>
      <c r="Y891" s="57" t="str">
        <f>IF($X891="","",IFERROR(VLOOKUP($X891,'Char Popularity'!$A$2:$C$500,2,FALSE),""))</f>
        <v/>
      </c>
      <c r="Z891" s="56">
        <f>IF($X891="",1,IFERROR(VLOOKUP($X891,'Char Popularity'!$A$2:$C$500,3,FALSE),1))</f>
        <v>1</v>
      </c>
      <c r="AA891" s="62">
        <f>IF($H891&lt;&gt;"Y",0,(IF($F891&lt;&gt;"",ROUND(Dashboard!$R$4/$F891,1),IF(AND($I891="Base",$E891="Base"),Dashboard!$R$5,IF(AND($I891="Base",$E891="Red"),Dashboard!$R$6,IF(AND($I891="Base",$E891="Gold"),Dashboard!$R$7,VLOOKUP($I891,Dashboard!$Q$16:$R$21,2,FALSE)))))*VLOOKUP($I891,Dashboard!$Q$9:$R$13,2,FALSE)*IF(AND($I891="Auto",$F891="",OR($B891="Autographs Duals",$B891="Autographs Triples",$B891="Autographs Quads",$B891="Autographs Quads (Inscribed)")),IF($B891="Autographs Duals",2,IF($B891="Autographs Triples",3,4)),1)))</f>
        <v>40</v>
      </c>
      <c r="AB891" s="62">
        <f t="shared" si="180"/>
        <v>40</v>
      </c>
      <c r="AC891" s="62">
        <f t="shared" si="181"/>
        <v>0</v>
      </c>
    </row>
    <row r="892" spans="1:29" ht="28.7" customHeight="1" x14ac:dyDescent="0.25">
      <c r="A892" s="4" t="s">
        <v>19</v>
      </c>
      <c r="B892" s="7" t="s">
        <v>81</v>
      </c>
      <c r="C892" s="2" t="s">
        <v>1590</v>
      </c>
      <c r="D892" s="7" t="s">
        <v>1187</v>
      </c>
      <c r="E892" s="4" t="s">
        <v>780</v>
      </c>
      <c r="F892" s="2">
        <v>25</v>
      </c>
      <c r="G892" s="2" t="s">
        <v>1399</v>
      </c>
      <c r="H892" s="2" t="s">
        <v>1400</v>
      </c>
      <c r="I892" s="4" t="s">
        <v>60</v>
      </c>
      <c r="J892" s="112">
        <f>IF($H892&lt;&gt;"Y",0,ROUND(MIN(Dashboard!$R$24,IF(IFERROR(VLOOKUP($B892,Dashboard!$Q$28:$S$60,2,FALSE),0)&gt;0,IFERROR(VLOOKUP($B892,Dashboard!$Q$28:$S$60,2,FALSE),0),$Z892*IF($U892&lt;&gt;"",ROUND((Dashboard!$R$4/$U892)*VLOOKUP($I892,Dashboard!$Q$9:$R$13,2,FALSE)*IF(ISNUMBER(SEARCH("Duals",$B892)),2,IF(ISNUMBER(SEARCH("Triples",$B892)),3,IF(ISNUMBER(SEARCH("Quads",$B892)),4,1))),2),ROUND(VLOOKUP($I892,Dashboard!$Q$15:$R$20,2,FALSE)*IF($E892="Red",Dashboard!$R$6,IF($E892="Gold",Dashboard!$R$7,Dashboard!$R$5))*IF(ISNUMBER(SEARCH("Duals",$B892)),2,IF(ISNUMBER(SEARCH("Triples",$B892)),3,IF(ISNUMBER(SEARCH("Quads",$B892)),4,1))),2))*IF(IFERROR(VLOOKUP($B892,Dashboard!$Q$28:$S$60,3,FALSE),0)&gt;0,VLOOKUP($B892,Dashboard!$Q$28:$S$60,3,FALSE),1))),0))</f>
        <v>40</v>
      </c>
      <c r="K892" s="2" t="str">
        <f>IF('Base S2'!H92="","",'Base S2'!H92)</f>
        <v/>
      </c>
      <c r="L892" s="2">
        <f t="shared" si="169"/>
        <v>0</v>
      </c>
      <c r="M892" s="2">
        <f t="shared" si="170"/>
        <v>0</v>
      </c>
      <c r="N892" s="2">
        <f t="shared" si="171"/>
        <v>0</v>
      </c>
      <c r="O892" s="2">
        <f t="shared" si="172"/>
        <v>1</v>
      </c>
      <c r="P892" s="112">
        <f t="shared" si="173"/>
        <v>0</v>
      </c>
      <c r="Q892" s="112">
        <f t="shared" si="174"/>
        <v>0</v>
      </c>
      <c r="R892" s="53"/>
      <c r="S892" s="53" t="str">
        <f t="shared" si="175"/>
        <v>Base S2|Black Parallel - Season 2|191|Black</v>
      </c>
      <c r="T892" s="57" t="str">
        <f>IF($S892="","",IFERROR(VLOOKUP($S892,'Pop Estimates (Non-#d)'!$N$2:$O$500,2,FALSE),""))</f>
        <v/>
      </c>
      <c r="U892" s="57">
        <f t="shared" si="176"/>
        <v>25</v>
      </c>
      <c r="V892" s="53" t="str">
        <f t="shared" si="177"/>
        <v/>
      </c>
      <c r="W892" s="53" t="str">
        <f t="shared" si="178"/>
        <v/>
      </c>
      <c r="X892" s="53" t="str">
        <f t="shared" si="179"/>
        <v/>
      </c>
      <c r="Y892" s="57" t="str">
        <f>IF($X892="","",IFERROR(VLOOKUP($X892,'Char Popularity'!$A$2:$C$500,2,FALSE),""))</f>
        <v/>
      </c>
      <c r="Z892" s="56">
        <f>IF($X892="",1,IFERROR(VLOOKUP($X892,'Char Popularity'!$A$2:$C$500,3,FALSE),1))</f>
        <v>1</v>
      </c>
      <c r="AA892" s="62">
        <f>IF($H892&lt;&gt;"Y",0,(IF($F892&lt;&gt;"",ROUND(Dashboard!$R$4/$F892,1),IF(AND($I892="Base",$E892="Base"),Dashboard!$R$5,IF(AND($I892="Base",$E892="Red"),Dashboard!$R$6,IF(AND($I892="Base",$E892="Gold"),Dashboard!$R$7,VLOOKUP($I892,Dashboard!$Q$16:$R$21,2,FALSE)))))*VLOOKUP($I892,Dashboard!$Q$9:$R$13,2,FALSE)*IF(AND($I892="Auto",$F892="",OR($B892="Autographs Duals",$B892="Autographs Triples",$B892="Autographs Quads",$B892="Autographs Quads (Inscribed)")),IF($B892="Autographs Duals",2,IF($B892="Autographs Triples",3,4)),1)))</f>
        <v>40</v>
      </c>
      <c r="AB892" s="62">
        <f t="shared" si="180"/>
        <v>0</v>
      </c>
      <c r="AC892" s="62">
        <f t="shared" si="181"/>
        <v>0</v>
      </c>
    </row>
    <row r="893" spans="1:29" ht="28.7" customHeight="1" x14ac:dyDescent="0.25">
      <c r="A893" s="4" t="s">
        <v>19</v>
      </c>
      <c r="B893" s="7" t="s">
        <v>81</v>
      </c>
      <c r="C893" s="2" t="s">
        <v>1591</v>
      </c>
      <c r="D893" s="7" t="s">
        <v>1188</v>
      </c>
      <c r="E893" s="4" t="s">
        <v>780</v>
      </c>
      <c r="F893" s="2">
        <v>25</v>
      </c>
      <c r="G893" s="2" t="s">
        <v>1399</v>
      </c>
      <c r="H893" s="2" t="s">
        <v>1400</v>
      </c>
      <c r="I893" s="4" t="s">
        <v>60</v>
      </c>
      <c r="J893" s="112">
        <f>IF($H893&lt;&gt;"Y",0,ROUND(MIN(Dashboard!$R$24,IF(IFERROR(VLOOKUP($B893,Dashboard!$Q$28:$S$60,2,FALSE),0)&gt;0,IFERROR(VLOOKUP($B893,Dashboard!$Q$28:$S$60,2,FALSE),0),$Z893*IF($U893&lt;&gt;"",ROUND((Dashboard!$R$4/$U893)*VLOOKUP($I893,Dashboard!$Q$9:$R$13,2,FALSE)*IF(ISNUMBER(SEARCH("Duals",$B893)),2,IF(ISNUMBER(SEARCH("Triples",$B893)),3,IF(ISNUMBER(SEARCH("Quads",$B893)),4,1))),2),ROUND(VLOOKUP($I893,Dashboard!$Q$15:$R$20,2,FALSE)*IF($E893="Red",Dashboard!$R$6,IF($E893="Gold",Dashboard!$R$7,Dashboard!$R$5))*IF(ISNUMBER(SEARCH("Duals",$B893)),2,IF(ISNUMBER(SEARCH("Triples",$B893)),3,IF(ISNUMBER(SEARCH("Quads",$B893)),4,1))),2))*IF(IFERROR(VLOOKUP($B893,Dashboard!$Q$28:$S$60,3,FALSE),0)&gt;0,VLOOKUP($B893,Dashboard!$Q$28:$S$60,3,FALSE),1))),0))</f>
        <v>40</v>
      </c>
      <c r="K893" s="2" t="str">
        <f>IF('Base S2'!H93="","",'Base S2'!H93)</f>
        <v/>
      </c>
      <c r="L893" s="2">
        <f t="shared" si="169"/>
        <v>0</v>
      </c>
      <c r="M893" s="2">
        <f t="shared" si="170"/>
        <v>0</v>
      </c>
      <c r="N893" s="2">
        <f t="shared" si="171"/>
        <v>0</v>
      </c>
      <c r="O893" s="2">
        <f t="shared" si="172"/>
        <v>1</v>
      </c>
      <c r="P893" s="112">
        <f t="shared" si="173"/>
        <v>0</v>
      </c>
      <c r="Q893" s="112">
        <f t="shared" si="174"/>
        <v>0</v>
      </c>
      <c r="R893" s="53"/>
      <c r="S893" s="53" t="str">
        <f t="shared" si="175"/>
        <v>Base S2|Black Parallel - Season 2|192|Black</v>
      </c>
      <c r="T893" s="57" t="str">
        <f>IF($S893="","",IFERROR(VLOOKUP($S893,'Pop Estimates (Non-#d)'!$N$2:$O$500,2,FALSE),""))</f>
        <v/>
      </c>
      <c r="U893" s="57">
        <f t="shared" si="176"/>
        <v>25</v>
      </c>
      <c r="V893" s="53" t="str">
        <f t="shared" si="177"/>
        <v/>
      </c>
      <c r="W893" s="53" t="str">
        <f t="shared" si="178"/>
        <v/>
      </c>
      <c r="X893" s="53" t="str">
        <f t="shared" si="179"/>
        <v/>
      </c>
      <c r="Y893" s="57" t="str">
        <f>IF($X893="","",IFERROR(VLOOKUP($X893,'Char Popularity'!$A$2:$C$500,2,FALSE),""))</f>
        <v/>
      </c>
      <c r="Z893" s="56">
        <f>IF($X893="",1,IFERROR(VLOOKUP($X893,'Char Popularity'!$A$2:$C$500,3,FALSE),1))</f>
        <v>1</v>
      </c>
      <c r="AA893" s="62">
        <f>IF($H893&lt;&gt;"Y",0,(IF($F893&lt;&gt;"",ROUND(Dashboard!$R$4/$F893,1),IF(AND($I893="Base",$E893="Base"),Dashboard!$R$5,IF(AND($I893="Base",$E893="Red"),Dashboard!$R$6,IF(AND($I893="Base",$E893="Gold"),Dashboard!$R$7,VLOOKUP($I893,Dashboard!$Q$16:$R$21,2,FALSE)))))*VLOOKUP($I893,Dashboard!$Q$9:$R$13,2,FALSE)*IF(AND($I893="Auto",$F893="",OR($B893="Autographs Duals",$B893="Autographs Triples",$B893="Autographs Quads",$B893="Autographs Quads (Inscribed)")),IF($B893="Autographs Duals",2,IF($B893="Autographs Triples",3,4)),1)))</f>
        <v>40</v>
      </c>
      <c r="AB893" s="62">
        <f t="shared" si="180"/>
        <v>0</v>
      </c>
      <c r="AC893" s="62">
        <f t="shared" si="181"/>
        <v>0</v>
      </c>
    </row>
    <row r="894" spans="1:29" ht="28.7" customHeight="1" x14ac:dyDescent="0.25">
      <c r="A894" s="4" t="s">
        <v>19</v>
      </c>
      <c r="B894" s="7" t="s">
        <v>81</v>
      </c>
      <c r="C894" s="2" t="s">
        <v>1592</v>
      </c>
      <c r="D894" s="7" t="s">
        <v>1190</v>
      </c>
      <c r="E894" s="4" t="s">
        <v>780</v>
      </c>
      <c r="F894" s="2">
        <v>25</v>
      </c>
      <c r="G894" s="2" t="s">
        <v>1399</v>
      </c>
      <c r="H894" s="2" t="s">
        <v>1400</v>
      </c>
      <c r="I894" s="4" t="s">
        <v>60</v>
      </c>
      <c r="J894" s="112">
        <f>IF($H894&lt;&gt;"Y",0,ROUND(MIN(Dashboard!$R$24,IF(IFERROR(VLOOKUP($B894,Dashboard!$Q$28:$S$60,2,FALSE),0)&gt;0,IFERROR(VLOOKUP($B894,Dashboard!$Q$28:$S$60,2,FALSE),0),$Z894*IF($U894&lt;&gt;"",ROUND((Dashboard!$R$4/$U894)*VLOOKUP($I894,Dashboard!$Q$9:$R$13,2,FALSE)*IF(ISNUMBER(SEARCH("Duals",$B894)),2,IF(ISNUMBER(SEARCH("Triples",$B894)),3,IF(ISNUMBER(SEARCH("Quads",$B894)),4,1))),2),ROUND(VLOOKUP($I894,Dashboard!$Q$15:$R$20,2,FALSE)*IF($E894="Red",Dashboard!$R$6,IF($E894="Gold",Dashboard!$R$7,Dashboard!$R$5))*IF(ISNUMBER(SEARCH("Duals",$B894)),2,IF(ISNUMBER(SEARCH("Triples",$B894)),3,IF(ISNUMBER(SEARCH("Quads",$B894)),4,1))),2))*IF(IFERROR(VLOOKUP($B894,Dashboard!$Q$28:$S$60,3,FALSE),0)&gt;0,VLOOKUP($B894,Dashboard!$Q$28:$S$60,3,FALSE),1))),0))</f>
        <v>40</v>
      </c>
      <c r="K894" s="2" t="str">
        <f>IF('Base S2'!H94="","",'Base S2'!H94)</f>
        <v/>
      </c>
      <c r="L894" s="2">
        <f t="shared" si="169"/>
        <v>0</v>
      </c>
      <c r="M894" s="2">
        <f t="shared" si="170"/>
        <v>0</v>
      </c>
      <c r="N894" s="2">
        <f t="shared" si="171"/>
        <v>0</v>
      </c>
      <c r="O894" s="2">
        <f t="shared" si="172"/>
        <v>1</v>
      </c>
      <c r="P894" s="112">
        <f t="shared" si="173"/>
        <v>0</v>
      </c>
      <c r="Q894" s="112">
        <f t="shared" si="174"/>
        <v>0</v>
      </c>
      <c r="R894" s="53"/>
      <c r="S894" s="53" t="str">
        <f t="shared" si="175"/>
        <v>Base S2|Black Parallel - Season 2|193|Black</v>
      </c>
      <c r="T894" s="57" t="str">
        <f>IF($S894="","",IFERROR(VLOOKUP($S894,'Pop Estimates (Non-#d)'!$N$2:$O$500,2,FALSE),""))</f>
        <v/>
      </c>
      <c r="U894" s="57">
        <f t="shared" si="176"/>
        <v>25</v>
      </c>
      <c r="V894" s="53" t="str">
        <f t="shared" si="177"/>
        <v/>
      </c>
      <c r="W894" s="53" t="str">
        <f t="shared" si="178"/>
        <v/>
      </c>
      <c r="X894" s="53" t="str">
        <f t="shared" si="179"/>
        <v/>
      </c>
      <c r="Y894" s="57" t="str">
        <f>IF($X894="","",IFERROR(VLOOKUP($X894,'Char Popularity'!$A$2:$C$500,2,FALSE),""))</f>
        <v/>
      </c>
      <c r="Z894" s="56">
        <f>IF($X894="",1,IFERROR(VLOOKUP($X894,'Char Popularity'!$A$2:$C$500,3,FALSE),1))</f>
        <v>1</v>
      </c>
      <c r="AA894" s="62">
        <f>IF($H894&lt;&gt;"Y",0,(IF($F894&lt;&gt;"",ROUND(Dashboard!$R$4/$F894,1),IF(AND($I894="Base",$E894="Base"),Dashboard!$R$5,IF(AND($I894="Base",$E894="Red"),Dashboard!$R$6,IF(AND($I894="Base",$E894="Gold"),Dashboard!$R$7,VLOOKUP($I894,Dashboard!$Q$16:$R$21,2,FALSE)))))*VLOOKUP($I894,Dashboard!$Q$9:$R$13,2,FALSE)*IF(AND($I894="Auto",$F894="",OR($B894="Autographs Duals",$B894="Autographs Triples",$B894="Autographs Quads",$B894="Autographs Quads (Inscribed)")),IF($B894="Autographs Duals",2,IF($B894="Autographs Triples",3,4)),1)))</f>
        <v>40</v>
      </c>
      <c r="AB894" s="62">
        <f t="shared" si="180"/>
        <v>0</v>
      </c>
      <c r="AC894" s="62">
        <f t="shared" si="181"/>
        <v>0</v>
      </c>
    </row>
    <row r="895" spans="1:29" ht="28.7" customHeight="1" x14ac:dyDescent="0.25">
      <c r="A895" s="4" t="s">
        <v>19</v>
      </c>
      <c r="B895" s="7" t="s">
        <v>81</v>
      </c>
      <c r="C895" s="2" t="s">
        <v>1593</v>
      </c>
      <c r="D895" s="7" t="s">
        <v>1191</v>
      </c>
      <c r="E895" s="4" t="s">
        <v>780</v>
      </c>
      <c r="F895" s="2">
        <v>25</v>
      </c>
      <c r="G895" s="2" t="s">
        <v>1399</v>
      </c>
      <c r="H895" s="2" t="s">
        <v>1400</v>
      </c>
      <c r="I895" s="4" t="s">
        <v>60</v>
      </c>
      <c r="J895" s="112">
        <f>IF($H895&lt;&gt;"Y",0,ROUND(MIN(Dashboard!$R$24,IF(IFERROR(VLOOKUP($B895,Dashboard!$Q$28:$S$60,2,FALSE),0)&gt;0,IFERROR(VLOOKUP($B895,Dashboard!$Q$28:$S$60,2,FALSE),0),$Z895*IF($U895&lt;&gt;"",ROUND((Dashboard!$R$4/$U895)*VLOOKUP($I895,Dashboard!$Q$9:$R$13,2,FALSE)*IF(ISNUMBER(SEARCH("Duals",$B895)),2,IF(ISNUMBER(SEARCH("Triples",$B895)),3,IF(ISNUMBER(SEARCH("Quads",$B895)),4,1))),2),ROUND(VLOOKUP($I895,Dashboard!$Q$15:$R$20,2,FALSE)*IF($E895="Red",Dashboard!$R$6,IF($E895="Gold",Dashboard!$R$7,Dashboard!$R$5))*IF(ISNUMBER(SEARCH("Duals",$B895)),2,IF(ISNUMBER(SEARCH("Triples",$B895)),3,IF(ISNUMBER(SEARCH("Quads",$B895)),4,1))),2))*IF(IFERROR(VLOOKUP($B895,Dashboard!$Q$28:$S$60,3,FALSE),0)&gt;0,VLOOKUP($B895,Dashboard!$Q$28:$S$60,3,FALSE),1))),0))</f>
        <v>40</v>
      </c>
      <c r="K895" s="2" t="str">
        <f>IF('Base S2'!H95="","",'Base S2'!H95)</f>
        <v/>
      </c>
      <c r="L895" s="2">
        <f t="shared" si="169"/>
        <v>0</v>
      </c>
      <c r="M895" s="2">
        <f t="shared" si="170"/>
        <v>0</v>
      </c>
      <c r="N895" s="2">
        <f t="shared" si="171"/>
        <v>0</v>
      </c>
      <c r="O895" s="2">
        <f t="shared" si="172"/>
        <v>1</v>
      </c>
      <c r="P895" s="112">
        <f t="shared" si="173"/>
        <v>0</v>
      </c>
      <c r="Q895" s="112">
        <f t="shared" si="174"/>
        <v>0</v>
      </c>
      <c r="R895" s="53"/>
      <c r="S895" s="53" t="str">
        <f t="shared" si="175"/>
        <v>Base S2|Black Parallel - Season 2|194|Black</v>
      </c>
      <c r="T895" s="57" t="str">
        <f>IF($S895="","",IFERROR(VLOOKUP($S895,'Pop Estimates (Non-#d)'!$N$2:$O$500,2,FALSE),""))</f>
        <v/>
      </c>
      <c r="U895" s="57">
        <f t="shared" si="176"/>
        <v>25</v>
      </c>
      <c r="V895" s="53" t="str">
        <f t="shared" si="177"/>
        <v/>
      </c>
      <c r="W895" s="53" t="str">
        <f t="shared" si="178"/>
        <v/>
      </c>
      <c r="X895" s="53" t="str">
        <f t="shared" si="179"/>
        <v/>
      </c>
      <c r="Y895" s="57" t="str">
        <f>IF($X895="","",IFERROR(VLOOKUP($X895,'Char Popularity'!$A$2:$C$500,2,FALSE),""))</f>
        <v/>
      </c>
      <c r="Z895" s="56">
        <f>IF($X895="",1,IFERROR(VLOOKUP($X895,'Char Popularity'!$A$2:$C$500,3,FALSE),1))</f>
        <v>1</v>
      </c>
      <c r="AA895" s="62">
        <f>IF($H895&lt;&gt;"Y",0,(IF($F895&lt;&gt;"",ROUND(Dashboard!$R$4/$F895,1),IF(AND($I895="Base",$E895="Base"),Dashboard!$R$5,IF(AND($I895="Base",$E895="Red"),Dashboard!$R$6,IF(AND($I895="Base",$E895="Gold"),Dashboard!$R$7,VLOOKUP($I895,Dashboard!$Q$16:$R$21,2,FALSE)))))*VLOOKUP($I895,Dashboard!$Q$9:$R$13,2,FALSE)*IF(AND($I895="Auto",$F895="",OR($B895="Autographs Duals",$B895="Autographs Triples",$B895="Autographs Quads",$B895="Autographs Quads (Inscribed)")),IF($B895="Autographs Duals",2,IF($B895="Autographs Triples",3,4)),1)))</f>
        <v>40</v>
      </c>
      <c r="AB895" s="62">
        <f t="shared" si="180"/>
        <v>0</v>
      </c>
      <c r="AC895" s="62">
        <f t="shared" si="181"/>
        <v>0</v>
      </c>
    </row>
    <row r="896" spans="1:29" ht="28.7" customHeight="1" x14ac:dyDescent="0.25">
      <c r="A896" s="4" t="s">
        <v>19</v>
      </c>
      <c r="B896" s="7" t="s">
        <v>81</v>
      </c>
      <c r="C896" s="2" t="s">
        <v>1594</v>
      </c>
      <c r="D896" s="7" t="s">
        <v>1192</v>
      </c>
      <c r="E896" s="4" t="s">
        <v>780</v>
      </c>
      <c r="F896" s="2">
        <v>25</v>
      </c>
      <c r="G896" s="2" t="s">
        <v>1399</v>
      </c>
      <c r="H896" s="2" t="s">
        <v>1400</v>
      </c>
      <c r="I896" s="4" t="s">
        <v>60</v>
      </c>
      <c r="J896" s="112">
        <f>IF($H896&lt;&gt;"Y",0,ROUND(MIN(Dashboard!$R$24,IF(IFERROR(VLOOKUP($B896,Dashboard!$Q$28:$S$60,2,FALSE),0)&gt;0,IFERROR(VLOOKUP($B896,Dashboard!$Q$28:$S$60,2,FALSE),0),$Z896*IF($U896&lt;&gt;"",ROUND((Dashboard!$R$4/$U896)*VLOOKUP($I896,Dashboard!$Q$9:$R$13,2,FALSE)*IF(ISNUMBER(SEARCH("Duals",$B896)),2,IF(ISNUMBER(SEARCH("Triples",$B896)),3,IF(ISNUMBER(SEARCH("Quads",$B896)),4,1))),2),ROUND(VLOOKUP($I896,Dashboard!$Q$15:$R$20,2,FALSE)*IF($E896="Red",Dashboard!$R$6,IF($E896="Gold",Dashboard!$R$7,Dashboard!$R$5))*IF(ISNUMBER(SEARCH("Duals",$B896)),2,IF(ISNUMBER(SEARCH("Triples",$B896)),3,IF(ISNUMBER(SEARCH("Quads",$B896)),4,1))),2))*IF(IFERROR(VLOOKUP($B896,Dashboard!$Q$28:$S$60,3,FALSE),0)&gt;0,VLOOKUP($B896,Dashboard!$Q$28:$S$60,3,FALSE),1))),0))</f>
        <v>40</v>
      </c>
      <c r="K896" s="2" t="str">
        <f>IF('Base S2'!H96="","",'Base S2'!H96)</f>
        <v>C 19/25</v>
      </c>
      <c r="L896" s="2">
        <f t="shared" si="169"/>
        <v>1</v>
      </c>
      <c r="M896" s="2">
        <f t="shared" si="170"/>
        <v>0</v>
      </c>
      <c r="N896" s="2">
        <f t="shared" si="171"/>
        <v>1</v>
      </c>
      <c r="O896" s="2">
        <f t="shared" si="172"/>
        <v>0</v>
      </c>
      <c r="P896" s="112">
        <f t="shared" si="173"/>
        <v>40</v>
      </c>
      <c r="Q896" s="112">
        <f t="shared" si="174"/>
        <v>0</v>
      </c>
      <c r="R896" s="53"/>
      <c r="S896" s="53" t="str">
        <f t="shared" si="175"/>
        <v>Base S2|Black Parallel - Season 2|195|Black</v>
      </c>
      <c r="T896" s="57" t="str">
        <f>IF($S896="","",IFERROR(VLOOKUP($S896,'Pop Estimates (Non-#d)'!$N$2:$O$500,2,FALSE),""))</f>
        <v/>
      </c>
      <c r="U896" s="57">
        <f t="shared" si="176"/>
        <v>25</v>
      </c>
      <c r="V896" s="53" t="str">
        <f t="shared" si="177"/>
        <v/>
      </c>
      <c r="W896" s="53" t="str">
        <f t="shared" si="178"/>
        <v/>
      </c>
      <c r="X896" s="53" t="str">
        <f t="shared" si="179"/>
        <v/>
      </c>
      <c r="Y896" s="57" t="str">
        <f>IF($X896="","",IFERROR(VLOOKUP($X896,'Char Popularity'!$A$2:$C$500,2,FALSE),""))</f>
        <v/>
      </c>
      <c r="Z896" s="56">
        <f>IF($X896="",1,IFERROR(VLOOKUP($X896,'Char Popularity'!$A$2:$C$500,3,FALSE),1))</f>
        <v>1</v>
      </c>
      <c r="AA896" s="62">
        <f>IF($H896&lt;&gt;"Y",0,(IF($F896&lt;&gt;"",ROUND(Dashboard!$R$4/$F896,1),IF(AND($I896="Base",$E896="Base"),Dashboard!$R$5,IF(AND($I896="Base",$E896="Red"),Dashboard!$R$6,IF(AND($I896="Base",$E896="Gold"),Dashboard!$R$7,VLOOKUP($I896,Dashboard!$Q$16:$R$21,2,FALSE)))))*VLOOKUP($I896,Dashboard!$Q$9:$R$13,2,FALSE)*IF(AND($I896="Auto",$F896="",OR($B896="Autographs Duals",$B896="Autographs Triples",$B896="Autographs Quads",$B896="Autographs Quads (Inscribed)")),IF($B896="Autographs Duals",2,IF($B896="Autographs Triples",3,4)),1)))</f>
        <v>40</v>
      </c>
      <c r="AB896" s="62">
        <f t="shared" si="180"/>
        <v>40</v>
      </c>
      <c r="AC896" s="62">
        <f t="shared" si="181"/>
        <v>0</v>
      </c>
    </row>
    <row r="897" spans="1:29" ht="28.7" customHeight="1" x14ac:dyDescent="0.25">
      <c r="A897" s="4" t="s">
        <v>19</v>
      </c>
      <c r="B897" s="7" t="s">
        <v>81</v>
      </c>
      <c r="C897" s="2" t="s">
        <v>1595</v>
      </c>
      <c r="D897" s="7" t="s">
        <v>1193</v>
      </c>
      <c r="E897" s="4" t="s">
        <v>780</v>
      </c>
      <c r="F897" s="2">
        <v>25</v>
      </c>
      <c r="G897" s="2" t="s">
        <v>1399</v>
      </c>
      <c r="H897" s="2" t="s">
        <v>1400</v>
      </c>
      <c r="I897" s="4" t="s">
        <v>60</v>
      </c>
      <c r="J897" s="112">
        <f>IF($H897&lt;&gt;"Y",0,ROUND(MIN(Dashboard!$R$24,IF(IFERROR(VLOOKUP($B897,Dashboard!$Q$28:$S$60,2,FALSE),0)&gt;0,IFERROR(VLOOKUP($B897,Dashboard!$Q$28:$S$60,2,FALSE),0),$Z897*IF($U897&lt;&gt;"",ROUND((Dashboard!$R$4/$U897)*VLOOKUP($I897,Dashboard!$Q$9:$R$13,2,FALSE)*IF(ISNUMBER(SEARCH("Duals",$B897)),2,IF(ISNUMBER(SEARCH("Triples",$B897)),3,IF(ISNUMBER(SEARCH("Quads",$B897)),4,1))),2),ROUND(VLOOKUP($I897,Dashboard!$Q$15:$R$20,2,FALSE)*IF($E897="Red",Dashboard!$R$6,IF($E897="Gold",Dashboard!$R$7,Dashboard!$R$5))*IF(ISNUMBER(SEARCH("Duals",$B897)),2,IF(ISNUMBER(SEARCH("Triples",$B897)),3,IF(ISNUMBER(SEARCH("Quads",$B897)),4,1))),2))*IF(IFERROR(VLOOKUP($B897,Dashboard!$Q$28:$S$60,3,FALSE),0)&gt;0,VLOOKUP($B897,Dashboard!$Q$28:$S$60,3,FALSE),1))),0))</f>
        <v>40</v>
      </c>
      <c r="K897" s="2" t="str">
        <f>IF('Base S2'!H97="","",'Base S2'!H97)</f>
        <v/>
      </c>
      <c r="L897" s="2">
        <f t="shared" si="169"/>
        <v>0</v>
      </c>
      <c r="M897" s="2">
        <f t="shared" si="170"/>
        <v>0</v>
      </c>
      <c r="N897" s="2">
        <f t="shared" si="171"/>
        <v>0</v>
      </c>
      <c r="O897" s="2">
        <f t="shared" si="172"/>
        <v>1</v>
      </c>
      <c r="P897" s="112">
        <f t="shared" si="173"/>
        <v>0</v>
      </c>
      <c r="Q897" s="112">
        <f t="shared" si="174"/>
        <v>0</v>
      </c>
      <c r="R897" s="53"/>
      <c r="S897" s="53" t="str">
        <f t="shared" si="175"/>
        <v>Base S2|Black Parallel - Season 2|196|Black</v>
      </c>
      <c r="T897" s="57" t="str">
        <f>IF($S897="","",IFERROR(VLOOKUP($S897,'Pop Estimates (Non-#d)'!$N$2:$O$500,2,FALSE),""))</f>
        <v/>
      </c>
      <c r="U897" s="57">
        <f t="shared" si="176"/>
        <v>25</v>
      </c>
      <c r="V897" s="53" t="str">
        <f t="shared" si="177"/>
        <v/>
      </c>
      <c r="W897" s="53" t="str">
        <f t="shared" si="178"/>
        <v/>
      </c>
      <c r="X897" s="53" t="str">
        <f t="shared" si="179"/>
        <v/>
      </c>
      <c r="Y897" s="57" t="str">
        <f>IF($X897="","",IFERROR(VLOOKUP($X897,'Char Popularity'!$A$2:$C$500,2,FALSE),""))</f>
        <v/>
      </c>
      <c r="Z897" s="56">
        <f>IF($X897="",1,IFERROR(VLOOKUP($X897,'Char Popularity'!$A$2:$C$500,3,FALSE),1))</f>
        <v>1</v>
      </c>
      <c r="AA897" s="62">
        <f>IF($H897&lt;&gt;"Y",0,(IF($F897&lt;&gt;"",ROUND(Dashboard!$R$4/$F897,1),IF(AND($I897="Base",$E897="Base"),Dashboard!$R$5,IF(AND($I897="Base",$E897="Red"),Dashboard!$R$6,IF(AND($I897="Base",$E897="Gold"),Dashboard!$R$7,VLOOKUP($I897,Dashboard!$Q$16:$R$21,2,FALSE)))))*VLOOKUP($I897,Dashboard!$Q$9:$R$13,2,FALSE)*IF(AND($I897="Auto",$F897="",OR($B897="Autographs Duals",$B897="Autographs Triples",$B897="Autographs Quads",$B897="Autographs Quads (Inscribed)")),IF($B897="Autographs Duals",2,IF($B897="Autographs Triples",3,4)),1)))</f>
        <v>40</v>
      </c>
      <c r="AB897" s="62">
        <f t="shared" si="180"/>
        <v>0</v>
      </c>
      <c r="AC897" s="62">
        <f t="shared" si="181"/>
        <v>0</v>
      </c>
    </row>
    <row r="898" spans="1:29" ht="28.7" customHeight="1" x14ac:dyDescent="0.25">
      <c r="A898" s="4" t="s">
        <v>19</v>
      </c>
      <c r="B898" s="7" t="s">
        <v>81</v>
      </c>
      <c r="C898" s="2" t="s">
        <v>1596</v>
      </c>
      <c r="D898" s="7" t="s">
        <v>1195</v>
      </c>
      <c r="E898" s="4" t="s">
        <v>780</v>
      </c>
      <c r="F898" s="2">
        <v>25</v>
      </c>
      <c r="G898" s="2" t="s">
        <v>1399</v>
      </c>
      <c r="H898" s="2" t="s">
        <v>1400</v>
      </c>
      <c r="I898" s="4" t="s">
        <v>60</v>
      </c>
      <c r="J898" s="112">
        <f>IF($H898&lt;&gt;"Y",0,ROUND(MIN(Dashboard!$R$24,IF(IFERROR(VLOOKUP($B898,Dashboard!$Q$28:$S$60,2,FALSE),0)&gt;0,IFERROR(VLOOKUP($B898,Dashboard!$Q$28:$S$60,2,FALSE),0),$Z898*IF($U898&lt;&gt;"",ROUND((Dashboard!$R$4/$U898)*VLOOKUP($I898,Dashboard!$Q$9:$R$13,2,FALSE)*IF(ISNUMBER(SEARCH("Duals",$B898)),2,IF(ISNUMBER(SEARCH("Triples",$B898)),3,IF(ISNUMBER(SEARCH("Quads",$B898)),4,1))),2),ROUND(VLOOKUP($I898,Dashboard!$Q$15:$R$20,2,FALSE)*IF($E898="Red",Dashboard!$R$6,IF($E898="Gold",Dashboard!$R$7,Dashboard!$R$5))*IF(ISNUMBER(SEARCH("Duals",$B898)),2,IF(ISNUMBER(SEARCH("Triples",$B898)),3,IF(ISNUMBER(SEARCH("Quads",$B898)),4,1))),2))*IF(IFERROR(VLOOKUP($B898,Dashboard!$Q$28:$S$60,3,FALSE),0)&gt;0,VLOOKUP($B898,Dashboard!$Q$28:$S$60,3,FALSE),1))),0))</f>
        <v>40</v>
      </c>
      <c r="K898" s="2" t="str">
        <f>IF('Base S2'!H98="","",'Base S2'!H98)</f>
        <v>C 14/25</v>
      </c>
      <c r="L898" s="2">
        <f t="shared" ref="L898:L961" si="182">IF(AND($K898&lt;&gt;"",LEFT($K898,1)&lt;&gt;"Y"),1,0)</f>
        <v>1</v>
      </c>
      <c r="M898" s="2">
        <f t="shared" ref="M898:M961" si="183">IF(LEFT($K898,1)="Y",1,0)</f>
        <v>0</v>
      </c>
      <c r="N898" s="2">
        <f t="shared" ref="N898:N961" si="184">$L898+$M898</f>
        <v>1</v>
      </c>
      <c r="O898" s="2">
        <f t="shared" ref="O898:O961" si="185">IF($H898="Y",1-$N898,0)</f>
        <v>0</v>
      </c>
      <c r="P898" s="112">
        <f t="shared" ref="P898:P961" si="186">IF($L898=1,$J898,0)</f>
        <v>40</v>
      </c>
      <c r="Q898" s="112">
        <f t="shared" ref="Q898:Q961" si="187">IF($M898=1,$J898,0)</f>
        <v>0</v>
      </c>
      <c r="R898" s="53"/>
      <c r="S898" s="53" t="str">
        <f t="shared" ref="S898:S961" si="188">IF($A898="","",$A898&amp;"|"&amp;$B898&amp;"|"&amp;$C898&amp;"|"&amp;$E898)</f>
        <v>Base S2|Black Parallel - Season 2|197|Black</v>
      </c>
      <c r="T898" s="57" t="str">
        <f>IF($S898="","",IFERROR(VLOOKUP($S898,'Pop Estimates (Non-#d)'!$N$2:$O$500,2,FALSE),""))</f>
        <v/>
      </c>
      <c r="U898" s="57">
        <f t="shared" ref="U898:U961" si="189">IF($A898="","",IF($F898&lt;&gt;"",$F898,$T898))</f>
        <v>25</v>
      </c>
      <c r="V898" s="53" t="str">
        <f t="shared" ref="V898:V961" si="190">IF($A898="","",IF(ISNUMBER(SEARCH(" as ",$D898)),MID($D898,SEARCH(" as ",$D898)+4,255),IF(ISNUMBER(SEARCH("/",$D898)),LEFT($D898,FIND("/",$D898&amp;"/")-1),"")))</f>
        <v/>
      </c>
      <c r="W898" s="53" t="str">
        <f t="shared" ref="W898:W961" si="191">IF($V898="","",TRIM(IFERROR(MID($V898,SEARCH("(", $V898)+1,SEARCH(")",$V898)-SEARCH("(", $V898)-1),$V898)))</f>
        <v/>
      </c>
      <c r="X898" s="53" t="str">
        <f t="shared" ref="X898:X961" si="192">IF($W898="","",TRIM(LEFT($W898&amp;"""",FIND("""",$W898&amp;"""")-1)))</f>
        <v/>
      </c>
      <c r="Y898" s="57" t="str">
        <f>IF($X898="","",IFERROR(VLOOKUP($X898,'Char Popularity'!$A$2:$C$500,2,FALSE),""))</f>
        <v/>
      </c>
      <c r="Z898" s="56">
        <f>IF($X898="",1,IFERROR(VLOOKUP($X898,'Char Popularity'!$A$2:$C$500,3,FALSE),1))</f>
        <v>1</v>
      </c>
      <c r="AA898" s="62">
        <f>IF($H898&lt;&gt;"Y",0,(IF($F898&lt;&gt;"",ROUND(Dashboard!$R$4/$F898,1),IF(AND($I898="Base",$E898="Base"),Dashboard!$R$5,IF(AND($I898="Base",$E898="Red"),Dashboard!$R$6,IF(AND($I898="Base",$E898="Gold"),Dashboard!$R$7,VLOOKUP($I898,Dashboard!$Q$16:$R$21,2,FALSE)))))*VLOOKUP($I898,Dashboard!$Q$9:$R$13,2,FALSE)*IF(AND($I898="Auto",$F898="",OR($B898="Autographs Duals",$B898="Autographs Triples",$B898="Autographs Quads",$B898="Autographs Quads (Inscribed)")),IF($B898="Autographs Duals",2,IF($B898="Autographs Triples",3,4)),1)))</f>
        <v>40</v>
      </c>
      <c r="AB898" s="62">
        <f t="shared" ref="AB898:AB961" si="193">IF($L898=1,$AA898,0)</f>
        <v>40</v>
      </c>
      <c r="AC898" s="62">
        <f t="shared" ref="AC898:AC961" si="194">IF($M898=1,$AA898,0)</f>
        <v>0</v>
      </c>
    </row>
    <row r="899" spans="1:29" ht="28.7" customHeight="1" x14ac:dyDescent="0.25">
      <c r="A899" s="4" t="s">
        <v>19</v>
      </c>
      <c r="B899" s="7" t="s">
        <v>81</v>
      </c>
      <c r="C899" s="2" t="s">
        <v>1597</v>
      </c>
      <c r="D899" s="7" t="s">
        <v>1197</v>
      </c>
      <c r="E899" s="4" t="s">
        <v>780</v>
      </c>
      <c r="F899" s="2">
        <v>25</v>
      </c>
      <c r="G899" s="2" t="s">
        <v>1399</v>
      </c>
      <c r="H899" s="2" t="s">
        <v>1400</v>
      </c>
      <c r="I899" s="4" t="s">
        <v>60</v>
      </c>
      <c r="J899" s="112">
        <f>IF($H899&lt;&gt;"Y",0,ROUND(MIN(Dashboard!$R$24,IF(IFERROR(VLOOKUP($B899,Dashboard!$Q$28:$S$60,2,FALSE),0)&gt;0,IFERROR(VLOOKUP($B899,Dashboard!$Q$28:$S$60,2,FALSE),0),$Z899*IF($U899&lt;&gt;"",ROUND((Dashboard!$R$4/$U899)*VLOOKUP($I899,Dashboard!$Q$9:$R$13,2,FALSE)*IF(ISNUMBER(SEARCH("Duals",$B899)),2,IF(ISNUMBER(SEARCH("Triples",$B899)),3,IF(ISNUMBER(SEARCH("Quads",$B899)),4,1))),2),ROUND(VLOOKUP($I899,Dashboard!$Q$15:$R$20,2,FALSE)*IF($E899="Red",Dashboard!$R$6,IF($E899="Gold",Dashboard!$R$7,Dashboard!$R$5))*IF(ISNUMBER(SEARCH("Duals",$B899)),2,IF(ISNUMBER(SEARCH("Triples",$B899)),3,IF(ISNUMBER(SEARCH("Quads",$B899)),4,1))),2))*IF(IFERROR(VLOOKUP($B899,Dashboard!$Q$28:$S$60,3,FALSE),0)&gt;0,VLOOKUP($B899,Dashboard!$Q$28:$S$60,3,FALSE),1))),0))</f>
        <v>40</v>
      </c>
      <c r="K899" s="2" t="str">
        <f>IF('Base S2'!H99="","",'Base S2'!H99)</f>
        <v>C 13/25</v>
      </c>
      <c r="L899" s="2">
        <f t="shared" si="182"/>
        <v>1</v>
      </c>
      <c r="M899" s="2">
        <f t="shared" si="183"/>
        <v>0</v>
      </c>
      <c r="N899" s="2">
        <f t="shared" si="184"/>
        <v>1</v>
      </c>
      <c r="O899" s="2">
        <f t="shared" si="185"/>
        <v>0</v>
      </c>
      <c r="P899" s="112">
        <f t="shared" si="186"/>
        <v>40</v>
      </c>
      <c r="Q899" s="112">
        <f t="shared" si="187"/>
        <v>0</v>
      </c>
      <c r="R899" s="53"/>
      <c r="S899" s="53" t="str">
        <f t="shared" si="188"/>
        <v>Base S2|Black Parallel - Season 2|198|Black</v>
      </c>
      <c r="T899" s="57" t="str">
        <f>IF($S899="","",IFERROR(VLOOKUP($S899,'Pop Estimates (Non-#d)'!$N$2:$O$500,2,FALSE),""))</f>
        <v/>
      </c>
      <c r="U899" s="57">
        <f t="shared" si="189"/>
        <v>25</v>
      </c>
      <c r="V899" s="53" t="str">
        <f t="shared" si="190"/>
        <v/>
      </c>
      <c r="W899" s="53" t="str">
        <f t="shared" si="191"/>
        <v/>
      </c>
      <c r="X899" s="53" t="str">
        <f t="shared" si="192"/>
        <v/>
      </c>
      <c r="Y899" s="57" t="str">
        <f>IF($X899="","",IFERROR(VLOOKUP($X899,'Char Popularity'!$A$2:$C$500,2,FALSE),""))</f>
        <v/>
      </c>
      <c r="Z899" s="56">
        <f>IF($X899="",1,IFERROR(VLOOKUP($X899,'Char Popularity'!$A$2:$C$500,3,FALSE),1))</f>
        <v>1</v>
      </c>
      <c r="AA899" s="62">
        <f>IF($H899&lt;&gt;"Y",0,(IF($F899&lt;&gt;"",ROUND(Dashboard!$R$4/$F899,1),IF(AND($I899="Base",$E899="Base"),Dashboard!$R$5,IF(AND($I899="Base",$E899="Red"),Dashboard!$R$6,IF(AND($I899="Base",$E899="Gold"),Dashboard!$R$7,VLOOKUP($I899,Dashboard!$Q$16:$R$21,2,FALSE)))))*VLOOKUP($I899,Dashboard!$Q$9:$R$13,2,FALSE)*IF(AND($I899="Auto",$F899="",OR($B899="Autographs Duals",$B899="Autographs Triples",$B899="Autographs Quads",$B899="Autographs Quads (Inscribed)")),IF($B899="Autographs Duals",2,IF($B899="Autographs Triples",3,4)),1)))</f>
        <v>40</v>
      </c>
      <c r="AB899" s="62">
        <f t="shared" si="193"/>
        <v>40</v>
      </c>
      <c r="AC899" s="62">
        <f t="shared" si="194"/>
        <v>0</v>
      </c>
    </row>
    <row r="900" spans="1:29" ht="28.7" customHeight="1" x14ac:dyDescent="0.25">
      <c r="A900" s="4" t="s">
        <v>19</v>
      </c>
      <c r="B900" s="7" t="s">
        <v>81</v>
      </c>
      <c r="C900" s="2" t="s">
        <v>1598</v>
      </c>
      <c r="D900" s="7" t="s">
        <v>1199</v>
      </c>
      <c r="E900" s="4" t="s">
        <v>780</v>
      </c>
      <c r="F900" s="2">
        <v>25</v>
      </c>
      <c r="G900" s="2" t="s">
        <v>1399</v>
      </c>
      <c r="H900" s="2" t="s">
        <v>1400</v>
      </c>
      <c r="I900" s="4" t="s">
        <v>60</v>
      </c>
      <c r="J900" s="112">
        <f>IF($H900&lt;&gt;"Y",0,ROUND(MIN(Dashboard!$R$24,IF(IFERROR(VLOOKUP($B900,Dashboard!$Q$28:$S$60,2,FALSE),0)&gt;0,IFERROR(VLOOKUP($B900,Dashboard!$Q$28:$S$60,2,FALSE),0),$Z900*IF($U900&lt;&gt;"",ROUND((Dashboard!$R$4/$U900)*VLOOKUP($I900,Dashboard!$Q$9:$R$13,2,FALSE)*IF(ISNUMBER(SEARCH("Duals",$B900)),2,IF(ISNUMBER(SEARCH("Triples",$B900)),3,IF(ISNUMBER(SEARCH("Quads",$B900)),4,1))),2),ROUND(VLOOKUP($I900,Dashboard!$Q$15:$R$20,2,FALSE)*IF($E900="Red",Dashboard!$R$6,IF($E900="Gold",Dashboard!$R$7,Dashboard!$R$5))*IF(ISNUMBER(SEARCH("Duals",$B900)),2,IF(ISNUMBER(SEARCH("Triples",$B900)),3,IF(ISNUMBER(SEARCH("Quads",$B900)),4,1))),2))*IF(IFERROR(VLOOKUP($B900,Dashboard!$Q$28:$S$60,3,FALSE),0)&gt;0,VLOOKUP($B900,Dashboard!$Q$28:$S$60,3,FALSE),1))),0))</f>
        <v>40</v>
      </c>
      <c r="K900" s="2" t="str">
        <f>IF('Base S2'!H100="","",'Base S2'!H100)</f>
        <v>C 12/25</v>
      </c>
      <c r="L900" s="2">
        <f t="shared" si="182"/>
        <v>1</v>
      </c>
      <c r="M900" s="2">
        <f t="shared" si="183"/>
        <v>0</v>
      </c>
      <c r="N900" s="2">
        <f t="shared" si="184"/>
        <v>1</v>
      </c>
      <c r="O900" s="2">
        <f t="shared" si="185"/>
        <v>0</v>
      </c>
      <c r="P900" s="112">
        <f t="shared" si="186"/>
        <v>40</v>
      </c>
      <c r="Q900" s="112">
        <f t="shared" si="187"/>
        <v>0</v>
      </c>
      <c r="R900" s="53"/>
      <c r="S900" s="53" t="str">
        <f t="shared" si="188"/>
        <v>Base S2|Black Parallel - Season 2|199|Black</v>
      </c>
      <c r="T900" s="57" t="str">
        <f>IF($S900="","",IFERROR(VLOOKUP($S900,'Pop Estimates (Non-#d)'!$N$2:$O$500,2,FALSE),""))</f>
        <v/>
      </c>
      <c r="U900" s="57">
        <f t="shared" si="189"/>
        <v>25</v>
      </c>
      <c r="V900" s="53" t="str">
        <f t="shared" si="190"/>
        <v/>
      </c>
      <c r="W900" s="53" t="str">
        <f t="shared" si="191"/>
        <v/>
      </c>
      <c r="X900" s="53" t="str">
        <f t="shared" si="192"/>
        <v/>
      </c>
      <c r="Y900" s="57" t="str">
        <f>IF($X900="","",IFERROR(VLOOKUP($X900,'Char Popularity'!$A$2:$C$500,2,FALSE),""))</f>
        <v/>
      </c>
      <c r="Z900" s="56">
        <f>IF($X900="",1,IFERROR(VLOOKUP($X900,'Char Popularity'!$A$2:$C$500,3,FALSE),1))</f>
        <v>1</v>
      </c>
      <c r="AA900" s="62">
        <f>IF($H900&lt;&gt;"Y",0,(IF($F900&lt;&gt;"",ROUND(Dashboard!$R$4/$F900,1),IF(AND($I900="Base",$E900="Base"),Dashboard!$R$5,IF(AND($I900="Base",$E900="Red"),Dashboard!$R$6,IF(AND($I900="Base",$E900="Gold"),Dashboard!$R$7,VLOOKUP($I900,Dashboard!$Q$16:$R$21,2,FALSE)))))*VLOOKUP($I900,Dashboard!$Q$9:$R$13,2,FALSE)*IF(AND($I900="Auto",$F900="",OR($B900="Autographs Duals",$B900="Autographs Triples",$B900="Autographs Quads",$B900="Autographs Quads (Inscribed)")),IF($B900="Autographs Duals",2,IF($B900="Autographs Triples",3,4)),1)))</f>
        <v>40</v>
      </c>
      <c r="AB900" s="62">
        <f t="shared" si="193"/>
        <v>40</v>
      </c>
      <c r="AC900" s="62">
        <f t="shared" si="194"/>
        <v>0</v>
      </c>
    </row>
    <row r="901" spans="1:29" ht="28.7" customHeight="1" x14ac:dyDescent="0.25">
      <c r="A901" s="4" t="s">
        <v>19</v>
      </c>
      <c r="B901" s="7" t="s">
        <v>81</v>
      </c>
      <c r="C901" s="2" t="s">
        <v>1599</v>
      </c>
      <c r="D901" s="7" t="s">
        <v>1201</v>
      </c>
      <c r="E901" s="4" t="s">
        <v>780</v>
      </c>
      <c r="F901" s="2">
        <v>25</v>
      </c>
      <c r="G901" s="2" t="s">
        <v>1399</v>
      </c>
      <c r="H901" s="2" t="s">
        <v>1400</v>
      </c>
      <c r="I901" s="4" t="s">
        <v>60</v>
      </c>
      <c r="J901" s="112">
        <f>IF($H901&lt;&gt;"Y",0,ROUND(MIN(Dashboard!$R$24,IF(IFERROR(VLOOKUP($B901,Dashboard!$Q$28:$S$60,2,FALSE),0)&gt;0,IFERROR(VLOOKUP($B901,Dashboard!$Q$28:$S$60,2,FALSE),0),$Z901*IF($U901&lt;&gt;"",ROUND((Dashboard!$R$4/$U901)*VLOOKUP($I901,Dashboard!$Q$9:$R$13,2,FALSE)*IF(ISNUMBER(SEARCH("Duals",$B901)),2,IF(ISNUMBER(SEARCH("Triples",$B901)),3,IF(ISNUMBER(SEARCH("Quads",$B901)),4,1))),2),ROUND(VLOOKUP($I901,Dashboard!$Q$15:$R$20,2,FALSE)*IF($E901="Red",Dashboard!$R$6,IF($E901="Gold",Dashboard!$R$7,Dashboard!$R$5))*IF(ISNUMBER(SEARCH("Duals",$B901)),2,IF(ISNUMBER(SEARCH("Triples",$B901)),3,IF(ISNUMBER(SEARCH("Quads",$B901)),4,1))),2))*IF(IFERROR(VLOOKUP($B901,Dashboard!$Q$28:$S$60,3,FALSE),0)&gt;0,VLOOKUP($B901,Dashboard!$Q$28:$S$60,3,FALSE),1))),0))</f>
        <v>40</v>
      </c>
      <c r="K901" s="2" t="str">
        <f>IF('Base S2'!H101="","",'Base S2'!H101)</f>
        <v/>
      </c>
      <c r="L901" s="2">
        <f t="shared" si="182"/>
        <v>0</v>
      </c>
      <c r="M901" s="2">
        <f t="shared" si="183"/>
        <v>0</v>
      </c>
      <c r="N901" s="2">
        <f t="shared" si="184"/>
        <v>0</v>
      </c>
      <c r="O901" s="2">
        <f t="shared" si="185"/>
        <v>1</v>
      </c>
      <c r="P901" s="112">
        <f t="shared" si="186"/>
        <v>0</v>
      </c>
      <c r="Q901" s="112">
        <f t="shared" si="187"/>
        <v>0</v>
      </c>
      <c r="R901" s="53"/>
      <c r="S901" s="53" t="str">
        <f t="shared" si="188"/>
        <v>Base S2|Black Parallel - Season 2|200|Black</v>
      </c>
      <c r="T901" s="57" t="str">
        <f>IF($S901="","",IFERROR(VLOOKUP($S901,'Pop Estimates (Non-#d)'!$N$2:$O$500,2,FALSE),""))</f>
        <v/>
      </c>
      <c r="U901" s="57">
        <f t="shared" si="189"/>
        <v>25</v>
      </c>
      <c r="V901" s="53" t="str">
        <f t="shared" si="190"/>
        <v/>
      </c>
      <c r="W901" s="53" t="str">
        <f t="shared" si="191"/>
        <v/>
      </c>
      <c r="X901" s="53" t="str">
        <f t="shared" si="192"/>
        <v/>
      </c>
      <c r="Y901" s="57" t="str">
        <f>IF($X901="","",IFERROR(VLOOKUP($X901,'Char Popularity'!$A$2:$C$500,2,FALSE),""))</f>
        <v/>
      </c>
      <c r="Z901" s="56">
        <f>IF($X901="",1,IFERROR(VLOOKUP($X901,'Char Popularity'!$A$2:$C$500,3,FALSE),1))</f>
        <v>1</v>
      </c>
      <c r="AA901" s="62">
        <f>IF($H901&lt;&gt;"Y",0,(IF($F901&lt;&gt;"",ROUND(Dashboard!$R$4/$F901,1),IF(AND($I901="Base",$E901="Base"),Dashboard!$R$5,IF(AND($I901="Base",$E901="Red"),Dashboard!$R$6,IF(AND($I901="Base",$E901="Gold"),Dashboard!$R$7,VLOOKUP($I901,Dashboard!$Q$16:$R$21,2,FALSE)))))*VLOOKUP($I901,Dashboard!$Q$9:$R$13,2,FALSE)*IF(AND($I901="Auto",$F901="",OR($B901="Autographs Duals",$B901="Autographs Triples",$B901="Autographs Quads",$B901="Autographs Quads (Inscribed)")),IF($B901="Autographs Duals",2,IF($B901="Autographs Triples",3,4)),1)))</f>
        <v>40</v>
      </c>
      <c r="AB901" s="62">
        <f t="shared" si="193"/>
        <v>0</v>
      </c>
      <c r="AC901" s="62">
        <f t="shared" si="194"/>
        <v>0</v>
      </c>
    </row>
    <row r="902" spans="1:29" ht="42.95" customHeight="1" x14ac:dyDescent="0.25">
      <c r="A902" s="4" t="s">
        <v>19</v>
      </c>
      <c r="B902" s="7" t="s">
        <v>76</v>
      </c>
      <c r="C902" s="2" t="s">
        <v>1500</v>
      </c>
      <c r="D902" s="7" t="s">
        <v>1043</v>
      </c>
      <c r="E902" s="4" t="s">
        <v>778</v>
      </c>
      <c r="F902" s="2">
        <v>399</v>
      </c>
      <c r="G902" s="2" t="s">
        <v>1399</v>
      </c>
      <c r="H902" s="2" t="s">
        <v>1400</v>
      </c>
      <c r="I902" s="4" t="s">
        <v>60</v>
      </c>
      <c r="J902" s="112">
        <f>IF($H902&lt;&gt;"Y",0,ROUND(MIN(Dashboard!$R$24,IF(IFERROR(VLOOKUP($B902,Dashboard!$Q$28:$S$60,2,FALSE),0)&gt;0,IFERROR(VLOOKUP($B902,Dashboard!$Q$28:$S$60,2,FALSE),0),$Z902*IF($U902&lt;&gt;"",ROUND((Dashboard!$R$4/$U902)*VLOOKUP($I902,Dashboard!$Q$9:$R$13,2,FALSE)*IF(ISNUMBER(SEARCH("Duals",$B902)),2,IF(ISNUMBER(SEARCH("Triples",$B902)),3,IF(ISNUMBER(SEARCH("Quads",$B902)),4,1))),2),ROUND(VLOOKUP($I902,Dashboard!$Q$15:$R$20,2,FALSE)*IF($E902="Red",Dashboard!$R$6,IF($E902="Gold",Dashboard!$R$7,Dashboard!$R$5))*IF(ISNUMBER(SEARCH("Duals",$B902)),2,IF(ISNUMBER(SEARCH("Triples",$B902)),3,IF(ISNUMBER(SEARCH("Quads",$B902)),4,1))),2))*IF(IFERROR(VLOOKUP($B902,Dashboard!$Q$28:$S$60,3,FALSE),0)&gt;0,VLOOKUP($B902,Dashboard!$Q$28:$S$60,3,FALSE),1))),0))</f>
        <v>3</v>
      </c>
      <c r="K902" s="2" t="str">
        <f>IF('Base S2'!F2="","",'Base S2'!F2)</f>
        <v>V</v>
      </c>
      <c r="L902" s="2">
        <f t="shared" si="182"/>
        <v>1</v>
      </c>
      <c r="M902" s="2">
        <f t="shared" si="183"/>
        <v>0</v>
      </c>
      <c r="N902" s="2">
        <f t="shared" si="184"/>
        <v>1</v>
      </c>
      <c r="O902" s="2">
        <f t="shared" si="185"/>
        <v>0</v>
      </c>
      <c r="P902" s="112">
        <f t="shared" si="186"/>
        <v>3</v>
      </c>
      <c r="Q902" s="112">
        <f t="shared" si="187"/>
        <v>0</v>
      </c>
      <c r="R902" s="53"/>
      <c r="S902" s="53" t="str">
        <f t="shared" si="188"/>
        <v>Base S2|Compound V Parallel - Season 2|101|Compound V</v>
      </c>
      <c r="T902" s="57" t="str">
        <f>IF($S902="","",IFERROR(VLOOKUP($S902,'Pop Estimates (Non-#d)'!$N$2:$O$500,2,FALSE),""))</f>
        <v/>
      </c>
      <c r="U902" s="57">
        <f t="shared" si="189"/>
        <v>399</v>
      </c>
      <c r="V902" s="53" t="str">
        <f t="shared" si="190"/>
        <v/>
      </c>
      <c r="W902" s="53" t="str">
        <f t="shared" si="191"/>
        <v/>
      </c>
      <c r="X902" s="53" t="str">
        <f t="shared" si="192"/>
        <v/>
      </c>
      <c r="Y902" s="57" t="str">
        <f>IF($X902="","",IFERROR(VLOOKUP($X902,'Char Popularity'!$A$2:$C$500,2,FALSE),""))</f>
        <v/>
      </c>
      <c r="Z902" s="56">
        <f>IF($X902="",1,IFERROR(VLOOKUP($X902,'Char Popularity'!$A$2:$C$500,3,FALSE),1))</f>
        <v>1</v>
      </c>
      <c r="AA902" s="62">
        <f>IF($H902&lt;&gt;"Y",0,(IF($F902&lt;&gt;"",ROUND(Dashboard!$R$4/$F902,1),IF(AND($I902="Base",$E902="Base"),Dashboard!$R$5,IF(AND($I902="Base",$E902="Red"),Dashboard!$R$6,IF(AND($I902="Base",$E902="Gold"),Dashboard!$R$7,VLOOKUP($I902,Dashboard!$Q$16:$R$21,2,FALSE)))))*VLOOKUP($I902,Dashboard!$Q$9:$R$13,2,FALSE)*IF(AND($I902="Auto",$F902="",OR($B902="Autographs Duals",$B902="Autographs Triples",$B902="Autographs Quads",$B902="Autographs Quads (Inscribed)")),IF($B902="Autographs Duals",2,IF($B902="Autographs Triples",3,4)),1)))</f>
        <v>2.5</v>
      </c>
      <c r="AB902" s="62">
        <f t="shared" si="193"/>
        <v>2.5</v>
      </c>
      <c r="AC902" s="62">
        <f t="shared" si="194"/>
        <v>0</v>
      </c>
    </row>
    <row r="903" spans="1:29" ht="42.95" customHeight="1" x14ac:dyDescent="0.25">
      <c r="A903" s="4" t="s">
        <v>19</v>
      </c>
      <c r="B903" s="7" t="s">
        <v>76</v>
      </c>
      <c r="C903" s="2" t="s">
        <v>1501</v>
      </c>
      <c r="D903" s="7" t="s">
        <v>1045</v>
      </c>
      <c r="E903" s="4" t="s">
        <v>778</v>
      </c>
      <c r="F903" s="2">
        <v>399</v>
      </c>
      <c r="G903" s="2" t="s">
        <v>1399</v>
      </c>
      <c r="H903" s="2" t="s">
        <v>1400</v>
      </c>
      <c r="I903" s="4" t="s">
        <v>60</v>
      </c>
      <c r="J903" s="112">
        <f>IF($H903&lt;&gt;"Y",0,ROUND(MIN(Dashboard!$R$24,IF(IFERROR(VLOOKUP($B903,Dashboard!$Q$28:$S$60,2,FALSE),0)&gt;0,IFERROR(VLOOKUP($B903,Dashboard!$Q$28:$S$60,2,FALSE),0),$Z903*IF($U903&lt;&gt;"",ROUND((Dashboard!$R$4/$U903)*VLOOKUP($I903,Dashboard!$Q$9:$R$13,2,FALSE)*IF(ISNUMBER(SEARCH("Duals",$B903)),2,IF(ISNUMBER(SEARCH("Triples",$B903)),3,IF(ISNUMBER(SEARCH("Quads",$B903)),4,1))),2),ROUND(VLOOKUP($I903,Dashboard!$Q$15:$R$20,2,FALSE)*IF($E903="Red",Dashboard!$R$6,IF($E903="Gold",Dashboard!$R$7,Dashboard!$R$5))*IF(ISNUMBER(SEARCH("Duals",$B903)),2,IF(ISNUMBER(SEARCH("Triples",$B903)),3,IF(ISNUMBER(SEARCH("Quads",$B903)),4,1))),2))*IF(IFERROR(VLOOKUP($B903,Dashboard!$Q$28:$S$60,3,FALSE),0)&gt;0,VLOOKUP($B903,Dashboard!$Q$28:$S$60,3,FALSE),1))),0))</f>
        <v>3</v>
      </c>
      <c r="K903" s="2" t="str">
        <f>IF('Base S2'!F3="","",'Base S2'!F3)</f>
        <v>C</v>
      </c>
      <c r="L903" s="2">
        <f t="shared" si="182"/>
        <v>1</v>
      </c>
      <c r="M903" s="2">
        <f t="shared" si="183"/>
        <v>0</v>
      </c>
      <c r="N903" s="2">
        <f t="shared" si="184"/>
        <v>1</v>
      </c>
      <c r="O903" s="2">
        <f t="shared" si="185"/>
        <v>0</v>
      </c>
      <c r="P903" s="112">
        <f t="shared" si="186"/>
        <v>3</v>
      </c>
      <c r="Q903" s="112">
        <f t="shared" si="187"/>
        <v>0</v>
      </c>
      <c r="R903" s="53"/>
      <c r="S903" s="53" t="str">
        <f t="shared" si="188"/>
        <v>Base S2|Compound V Parallel - Season 2|102|Compound V</v>
      </c>
      <c r="T903" s="57" t="str">
        <f>IF($S903="","",IFERROR(VLOOKUP($S903,'Pop Estimates (Non-#d)'!$N$2:$O$500,2,FALSE),""))</f>
        <v/>
      </c>
      <c r="U903" s="57">
        <f t="shared" si="189"/>
        <v>399</v>
      </c>
      <c r="V903" s="53" t="str">
        <f t="shared" si="190"/>
        <v/>
      </c>
      <c r="W903" s="53" t="str">
        <f t="shared" si="191"/>
        <v/>
      </c>
      <c r="X903" s="53" t="str">
        <f t="shared" si="192"/>
        <v/>
      </c>
      <c r="Y903" s="57" t="str">
        <f>IF($X903="","",IFERROR(VLOOKUP($X903,'Char Popularity'!$A$2:$C$500,2,FALSE),""))</f>
        <v/>
      </c>
      <c r="Z903" s="56">
        <f>IF($X903="",1,IFERROR(VLOOKUP($X903,'Char Popularity'!$A$2:$C$500,3,FALSE),1))</f>
        <v>1</v>
      </c>
      <c r="AA903" s="62">
        <f>IF($H903&lt;&gt;"Y",0,(IF($F903&lt;&gt;"",ROUND(Dashboard!$R$4/$F903,1),IF(AND($I903="Base",$E903="Base"),Dashboard!$R$5,IF(AND($I903="Base",$E903="Red"),Dashboard!$R$6,IF(AND($I903="Base",$E903="Gold"),Dashboard!$R$7,VLOOKUP($I903,Dashboard!$Q$16:$R$21,2,FALSE)))))*VLOOKUP($I903,Dashboard!$Q$9:$R$13,2,FALSE)*IF(AND($I903="Auto",$F903="",OR($B903="Autographs Duals",$B903="Autographs Triples",$B903="Autographs Quads",$B903="Autographs Quads (Inscribed)")),IF($B903="Autographs Duals",2,IF($B903="Autographs Triples",3,4)),1)))</f>
        <v>2.5</v>
      </c>
      <c r="AB903" s="62">
        <f t="shared" si="193"/>
        <v>2.5</v>
      </c>
      <c r="AC903" s="62">
        <f t="shared" si="194"/>
        <v>0</v>
      </c>
    </row>
    <row r="904" spans="1:29" ht="42.95" customHeight="1" x14ac:dyDescent="0.25">
      <c r="A904" s="4" t="s">
        <v>19</v>
      </c>
      <c r="B904" s="7" t="s">
        <v>76</v>
      </c>
      <c r="C904" s="2" t="s">
        <v>1502</v>
      </c>
      <c r="D904" s="7" t="s">
        <v>1047</v>
      </c>
      <c r="E904" s="4" t="s">
        <v>778</v>
      </c>
      <c r="F904" s="2">
        <v>399</v>
      </c>
      <c r="G904" s="2" t="s">
        <v>1399</v>
      </c>
      <c r="H904" s="2" t="s">
        <v>1400</v>
      </c>
      <c r="I904" s="4" t="s">
        <v>60</v>
      </c>
      <c r="J904" s="112">
        <f>IF($H904&lt;&gt;"Y",0,ROUND(MIN(Dashboard!$R$24,IF(IFERROR(VLOOKUP($B904,Dashboard!$Q$28:$S$60,2,FALSE),0)&gt;0,IFERROR(VLOOKUP($B904,Dashboard!$Q$28:$S$60,2,FALSE),0),$Z904*IF($U904&lt;&gt;"",ROUND((Dashboard!$R$4/$U904)*VLOOKUP($I904,Dashboard!$Q$9:$R$13,2,FALSE)*IF(ISNUMBER(SEARCH("Duals",$B904)),2,IF(ISNUMBER(SEARCH("Triples",$B904)),3,IF(ISNUMBER(SEARCH("Quads",$B904)),4,1))),2),ROUND(VLOOKUP($I904,Dashboard!$Q$15:$R$20,2,FALSE)*IF($E904="Red",Dashboard!$R$6,IF($E904="Gold",Dashboard!$R$7,Dashboard!$R$5))*IF(ISNUMBER(SEARCH("Duals",$B904)),2,IF(ISNUMBER(SEARCH("Triples",$B904)),3,IF(ISNUMBER(SEARCH("Quads",$B904)),4,1))),2))*IF(IFERROR(VLOOKUP($B904,Dashboard!$Q$28:$S$60,3,FALSE),0)&gt;0,VLOOKUP($B904,Dashboard!$Q$28:$S$60,3,FALSE),1))),0))</f>
        <v>3</v>
      </c>
      <c r="K904" s="2" t="str">
        <f>IF('Base S2'!F4="","",'Base S2'!F4)</f>
        <v>C</v>
      </c>
      <c r="L904" s="2">
        <f t="shared" si="182"/>
        <v>1</v>
      </c>
      <c r="M904" s="2">
        <f t="shared" si="183"/>
        <v>0</v>
      </c>
      <c r="N904" s="2">
        <f t="shared" si="184"/>
        <v>1</v>
      </c>
      <c r="O904" s="2">
        <f t="shared" si="185"/>
        <v>0</v>
      </c>
      <c r="P904" s="112">
        <f t="shared" si="186"/>
        <v>3</v>
      </c>
      <c r="Q904" s="112">
        <f t="shared" si="187"/>
        <v>0</v>
      </c>
      <c r="R904" s="53"/>
      <c r="S904" s="53" t="str">
        <f t="shared" si="188"/>
        <v>Base S2|Compound V Parallel - Season 2|103|Compound V</v>
      </c>
      <c r="T904" s="57" t="str">
        <f>IF($S904="","",IFERROR(VLOOKUP($S904,'Pop Estimates (Non-#d)'!$N$2:$O$500,2,FALSE),""))</f>
        <v/>
      </c>
      <c r="U904" s="57">
        <f t="shared" si="189"/>
        <v>399</v>
      </c>
      <c r="V904" s="53" t="str">
        <f t="shared" si="190"/>
        <v/>
      </c>
      <c r="W904" s="53" t="str">
        <f t="shared" si="191"/>
        <v/>
      </c>
      <c r="X904" s="53" t="str">
        <f t="shared" si="192"/>
        <v/>
      </c>
      <c r="Y904" s="57" t="str">
        <f>IF($X904="","",IFERROR(VLOOKUP($X904,'Char Popularity'!$A$2:$C$500,2,FALSE),""))</f>
        <v/>
      </c>
      <c r="Z904" s="56">
        <f>IF($X904="",1,IFERROR(VLOOKUP($X904,'Char Popularity'!$A$2:$C$500,3,FALSE),1))</f>
        <v>1</v>
      </c>
      <c r="AA904" s="62">
        <f>IF($H904&lt;&gt;"Y",0,(IF($F904&lt;&gt;"",ROUND(Dashboard!$R$4/$F904,1),IF(AND($I904="Base",$E904="Base"),Dashboard!$R$5,IF(AND($I904="Base",$E904="Red"),Dashboard!$R$6,IF(AND($I904="Base",$E904="Gold"),Dashboard!$R$7,VLOOKUP($I904,Dashboard!$Q$16:$R$21,2,FALSE)))))*VLOOKUP($I904,Dashboard!$Q$9:$R$13,2,FALSE)*IF(AND($I904="Auto",$F904="",OR($B904="Autographs Duals",$B904="Autographs Triples",$B904="Autographs Quads",$B904="Autographs Quads (Inscribed)")),IF($B904="Autographs Duals",2,IF($B904="Autographs Triples",3,4)),1)))</f>
        <v>2.5</v>
      </c>
      <c r="AB904" s="62">
        <f t="shared" si="193"/>
        <v>2.5</v>
      </c>
      <c r="AC904" s="62">
        <f t="shared" si="194"/>
        <v>0</v>
      </c>
    </row>
    <row r="905" spans="1:29" ht="42.95" customHeight="1" x14ac:dyDescent="0.25">
      <c r="A905" s="4" t="s">
        <v>19</v>
      </c>
      <c r="B905" s="7" t="s">
        <v>76</v>
      </c>
      <c r="C905" s="2" t="s">
        <v>1503</v>
      </c>
      <c r="D905" s="7" t="s">
        <v>1048</v>
      </c>
      <c r="E905" s="4" t="s">
        <v>778</v>
      </c>
      <c r="F905" s="2">
        <v>399</v>
      </c>
      <c r="G905" s="2" t="s">
        <v>1399</v>
      </c>
      <c r="H905" s="2" t="s">
        <v>1400</v>
      </c>
      <c r="I905" s="4" t="s">
        <v>60</v>
      </c>
      <c r="J905" s="112">
        <f>IF($H905&lt;&gt;"Y",0,ROUND(MIN(Dashboard!$R$24,IF(IFERROR(VLOOKUP($B905,Dashboard!$Q$28:$S$60,2,FALSE),0)&gt;0,IFERROR(VLOOKUP($B905,Dashboard!$Q$28:$S$60,2,FALSE),0),$Z905*IF($U905&lt;&gt;"",ROUND((Dashboard!$R$4/$U905)*VLOOKUP($I905,Dashboard!$Q$9:$R$13,2,FALSE)*IF(ISNUMBER(SEARCH("Duals",$B905)),2,IF(ISNUMBER(SEARCH("Triples",$B905)),3,IF(ISNUMBER(SEARCH("Quads",$B905)),4,1))),2),ROUND(VLOOKUP($I905,Dashboard!$Q$15:$R$20,2,FALSE)*IF($E905="Red",Dashboard!$R$6,IF($E905="Gold",Dashboard!$R$7,Dashboard!$R$5))*IF(ISNUMBER(SEARCH("Duals",$B905)),2,IF(ISNUMBER(SEARCH("Triples",$B905)),3,IF(ISNUMBER(SEARCH("Quads",$B905)),4,1))),2))*IF(IFERROR(VLOOKUP($B905,Dashboard!$Q$28:$S$60,3,FALSE),0)&gt;0,VLOOKUP($B905,Dashboard!$Q$28:$S$60,3,FALSE),1))),0))</f>
        <v>3</v>
      </c>
      <c r="K905" s="2" t="str">
        <f>IF('Base S2'!F5="","",'Base S2'!F5)</f>
        <v>C</v>
      </c>
      <c r="L905" s="2">
        <f t="shared" si="182"/>
        <v>1</v>
      </c>
      <c r="M905" s="2">
        <f t="shared" si="183"/>
        <v>0</v>
      </c>
      <c r="N905" s="2">
        <f t="shared" si="184"/>
        <v>1</v>
      </c>
      <c r="O905" s="2">
        <f t="shared" si="185"/>
        <v>0</v>
      </c>
      <c r="P905" s="112">
        <f t="shared" si="186"/>
        <v>3</v>
      </c>
      <c r="Q905" s="112">
        <f t="shared" si="187"/>
        <v>0</v>
      </c>
      <c r="R905" s="53"/>
      <c r="S905" s="53" t="str">
        <f t="shared" si="188"/>
        <v>Base S2|Compound V Parallel - Season 2|104|Compound V</v>
      </c>
      <c r="T905" s="57" t="str">
        <f>IF($S905="","",IFERROR(VLOOKUP($S905,'Pop Estimates (Non-#d)'!$N$2:$O$500,2,FALSE),""))</f>
        <v/>
      </c>
      <c r="U905" s="57">
        <f t="shared" si="189"/>
        <v>399</v>
      </c>
      <c r="V905" s="53" t="str">
        <f t="shared" si="190"/>
        <v/>
      </c>
      <c r="W905" s="53" t="str">
        <f t="shared" si="191"/>
        <v/>
      </c>
      <c r="X905" s="53" t="str">
        <f t="shared" si="192"/>
        <v/>
      </c>
      <c r="Y905" s="57" t="str">
        <f>IF($X905="","",IFERROR(VLOOKUP($X905,'Char Popularity'!$A$2:$C$500,2,FALSE),""))</f>
        <v/>
      </c>
      <c r="Z905" s="56">
        <f>IF($X905="",1,IFERROR(VLOOKUP($X905,'Char Popularity'!$A$2:$C$500,3,FALSE),1))</f>
        <v>1</v>
      </c>
      <c r="AA905" s="62">
        <f>IF($H905&lt;&gt;"Y",0,(IF($F905&lt;&gt;"",ROUND(Dashboard!$R$4/$F905,1),IF(AND($I905="Base",$E905="Base"),Dashboard!$R$5,IF(AND($I905="Base",$E905="Red"),Dashboard!$R$6,IF(AND($I905="Base",$E905="Gold"),Dashboard!$R$7,VLOOKUP($I905,Dashboard!$Q$16:$R$21,2,FALSE)))))*VLOOKUP($I905,Dashboard!$Q$9:$R$13,2,FALSE)*IF(AND($I905="Auto",$F905="",OR($B905="Autographs Duals",$B905="Autographs Triples",$B905="Autographs Quads",$B905="Autographs Quads (Inscribed)")),IF($B905="Autographs Duals",2,IF($B905="Autographs Triples",3,4)),1)))</f>
        <v>2.5</v>
      </c>
      <c r="AB905" s="62">
        <f t="shared" si="193"/>
        <v>2.5</v>
      </c>
      <c r="AC905" s="62">
        <f t="shared" si="194"/>
        <v>0</v>
      </c>
    </row>
    <row r="906" spans="1:29" ht="42.95" customHeight="1" x14ac:dyDescent="0.25">
      <c r="A906" s="4" t="s">
        <v>19</v>
      </c>
      <c r="B906" s="7" t="s">
        <v>76</v>
      </c>
      <c r="C906" s="2" t="s">
        <v>1504</v>
      </c>
      <c r="D906" s="7" t="s">
        <v>1049</v>
      </c>
      <c r="E906" s="4" t="s">
        <v>778</v>
      </c>
      <c r="F906" s="2">
        <v>399</v>
      </c>
      <c r="G906" s="2" t="s">
        <v>1399</v>
      </c>
      <c r="H906" s="2" t="s">
        <v>1400</v>
      </c>
      <c r="I906" s="4" t="s">
        <v>60</v>
      </c>
      <c r="J906" s="112">
        <f>IF($H906&lt;&gt;"Y",0,ROUND(MIN(Dashboard!$R$24,IF(IFERROR(VLOOKUP($B906,Dashboard!$Q$28:$S$60,2,FALSE),0)&gt;0,IFERROR(VLOOKUP($B906,Dashboard!$Q$28:$S$60,2,FALSE),0),$Z906*IF($U906&lt;&gt;"",ROUND((Dashboard!$R$4/$U906)*VLOOKUP($I906,Dashboard!$Q$9:$R$13,2,FALSE)*IF(ISNUMBER(SEARCH("Duals",$B906)),2,IF(ISNUMBER(SEARCH("Triples",$B906)),3,IF(ISNUMBER(SEARCH("Quads",$B906)),4,1))),2),ROUND(VLOOKUP($I906,Dashboard!$Q$15:$R$20,2,FALSE)*IF($E906="Red",Dashboard!$R$6,IF($E906="Gold",Dashboard!$R$7,Dashboard!$R$5))*IF(ISNUMBER(SEARCH("Duals",$B906)),2,IF(ISNUMBER(SEARCH("Triples",$B906)),3,IF(ISNUMBER(SEARCH("Quads",$B906)),4,1))),2))*IF(IFERROR(VLOOKUP($B906,Dashboard!$Q$28:$S$60,3,FALSE),0)&gt;0,VLOOKUP($B906,Dashboard!$Q$28:$S$60,3,FALSE),1))),0))</f>
        <v>3</v>
      </c>
      <c r="K906" s="2" t="str">
        <f>IF('Base S2'!F6="","",'Base S2'!F6)</f>
        <v>C</v>
      </c>
      <c r="L906" s="2">
        <f t="shared" si="182"/>
        <v>1</v>
      </c>
      <c r="M906" s="2">
        <f t="shared" si="183"/>
        <v>0</v>
      </c>
      <c r="N906" s="2">
        <f t="shared" si="184"/>
        <v>1</v>
      </c>
      <c r="O906" s="2">
        <f t="shared" si="185"/>
        <v>0</v>
      </c>
      <c r="P906" s="112">
        <f t="shared" si="186"/>
        <v>3</v>
      </c>
      <c r="Q906" s="112">
        <f t="shared" si="187"/>
        <v>0</v>
      </c>
      <c r="R906" s="53"/>
      <c r="S906" s="53" t="str">
        <f t="shared" si="188"/>
        <v>Base S2|Compound V Parallel - Season 2|105|Compound V</v>
      </c>
      <c r="T906" s="57" t="str">
        <f>IF($S906="","",IFERROR(VLOOKUP($S906,'Pop Estimates (Non-#d)'!$N$2:$O$500,2,FALSE),""))</f>
        <v/>
      </c>
      <c r="U906" s="57">
        <f t="shared" si="189"/>
        <v>399</v>
      </c>
      <c r="V906" s="53" t="str">
        <f t="shared" si="190"/>
        <v/>
      </c>
      <c r="W906" s="53" t="str">
        <f t="shared" si="191"/>
        <v/>
      </c>
      <c r="X906" s="53" t="str">
        <f t="shared" si="192"/>
        <v/>
      </c>
      <c r="Y906" s="57" t="str">
        <f>IF($X906="","",IFERROR(VLOOKUP($X906,'Char Popularity'!$A$2:$C$500,2,FALSE),""))</f>
        <v/>
      </c>
      <c r="Z906" s="56">
        <f>IF($X906="",1,IFERROR(VLOOKUP($X906,'Char Popularity'!$A$2:$C$500,3,FALSE),1))</f>
        <v>1</v>
      </c>
      <c r="AA906" s="62">
        <f>IF($H906&lt;&gt;"Y",0,(IF($F906&lt;&gt;"",ROUND(Dashboard!$R$4/$F906,1),IF(AND($I906="Base",$E906="Base"),Dashboard!$R$5,IF(AND($I906="Base",$E906="Red"),Dashboard!$R$6,IF(AND($I906="Base",$E906="Gold"),Dashboard!$R$7,VLOOKUP($I906,Dashboard!$Q$16:$R$21,2,FALSE)))))*VLOOKUP($I906,Dashboard!$Q$9:$R$13,2,FALSE)*IF(AND($I906="Auto",$F906="",OR($B906="Autographs Duals",$B906="Autographs Triples",$B906="Autographs Quads",$B906="Autographs Quads (Inscribed)")),IF($B906="Autographs Duals",2,IF($B906="Autographs Triples",3,4)),1)))</f>
        <v>2.5</v>
      </c>
      <c r="AB906" s="62">
        <f t="shared" si="193"/>
        <v>2.5</v>
      </c>
      <c r="AC906" s="62">
        <f t="shared" si="194"/>
        <v>0</v>
      </c>
    </row>
    <row r="907" spans="1:29" ht="42.95" customHeight="1" x14ac:dyDescent="0.25">
      <c r="A907" s="4" t="s">
        <v>19</v>
      </c>
      <c r="B907" s="7" t="s">
        <v>76</v>
      </c>
      <c r="C907" s="2" t="s">
        <v>1505</v>
      </c>
      <c r="D907" s="7" t="s">
        <v>1050</v>
      </c>
      <c r="E907" s="4" t="s">
        <v>778</v>
      </c>
      <c r="F907" s="2">
        <v>399</v>
      </c>
      <c r="G907" s="2" t="s">
        <v>1399</v>
      </c>
      <c r="H907" s="2" t="s">
        <v>1400</v>
      </c>
      <c r="I907" s="4" t="s">
        <v>60</v>
      </c>
      <c r="J907" s="112">
        <f>IF($H907&lt;&gt;"Y",0,ROUND(MIN(Dashboard!$R$24,IF(IFERROR(VLOOKUP($B907,Dashboard!$Q$28:$S$60,2,FALSE),0)&gt;0,IFERROR(VLOOKUP($B907,Dashboard!$Q$28:$S$60,2,FALSE),0),$Z907*IF($U907&lt;&gt;"",ROUND((Dashboard!$R$4/$U907)*VLOOKUP($I907,Dashboard!$Q$9:$R$13,2,FALSE)*IF(ISNUMBER(SEARCH("Duals",$B907)),2,IF(ISNUMBER(SEARCH("Triples",$B907)),3,IF(ISNUMBER(SEARCH("Quads",$B907)),4,1))),2),ROUND(VLOOKUP($I907,Dashboard!$Q$15:$R$20,2,FALSE)*IF($E907="Red",Dashboard!$R$6,IF($E907="Gold",Dashboard!$R$7,Dashboard!$R$5))*IF(ISNUMBER(SEARCH("Duals",$B907)),2,IF(ISNUMBER(SEARCH("Triples",$B907)),3,IF(ISNUMBER(SEARCH("Quads",$B907)),4,1))),2))*IF(IFERROR(VLOOKUP($B907,Dashboard!$Q$28:$S$60,3,FALSE),0)&gt;0,VLOOKUP($B907,Dashboard!$Q$28:$S$60,3,FALSE),1))),0))</f>
        <v>3</v>
      </c>
      <c r="K907" s="2" t="str">
        <f>IF('Base S2'!F7="","",'Base S2'!F7)</f>
        <v>C</v>
      </c>
      <c r="L907" s="2">
        <f t="shared" si="182"/>
        <v>1</v>
      </c>
      <c r="M907" s="2">
        <f t="shared" si="183"/>
        <v>0</v>
      </c>
      <c r="N907" s="2">
        <f t="shared" si="184"/>
        <v>1</v>
      </c>
      <c r="O907" s="2">
        <f t="shared" si="185"/>
        <v>0</v>
      </c>
      <c r="P907" s="112">
        <f t="shared" si="186"/>
        <v>3</v>
      </c>
      <c r="Q907" s="112">
        <f t="shared" si="187"/>
        <v>0</v>
      </c>
      <c r="R907" s="53"/>
      <c r="S907" s="53" t="str">
        <f t="shared" si="188"/>
        <v>Base S2|Compound V Parallel - Season 2|106|Compound V</v>
      </c>
      <c r="T907" s="57" t="str">
        <f>IF($S907="","",IFERROR(VLOOKUP($S907,'Pop Estimates (Non-#d)'!$N$2:$O$500,2,FALSE),""))</f>
        <v/>
      </c>
      <c r="U907" s="57">
        <f t="shared" si="189"/>
        <v>399</v>
      </c>
      <c r="V907" s="53" t="str">
        <f t="shared" si="190"/>
        <v/>
      </c>
      <c r="W907" s="53" t="str">
        <f t="shared" si="191"/>
        <v/>
      </c>
      <c r="X907" s="53" t="str">
        <f t="shared" si="192"/>
        <v/>
      </c>
      <c r="Y907" s="57" t="str">
        <f>IF($X907="","",IFERROR(VLOOKUP($X907,'Char Popularity'!$A$2:$C$500,2,FALSE),""))</f>
        <v/>
      </c>
      <c r="Z907" s="56">
        <f>IF($X907="",1,IFERROR(VLOOKUP($X907,'Char Popularity'!$A$2:$C$500,3,FALSE),1))</f>
        <v>1</v>
      </c>
      <c r="AA907" s="62">
        <f>IF($H907&lt;&gt;"Y",0,(IF($F907&lt;&gt;"",ROUND(Dashboard!$R$4/$F907,1),IF(AND($I907="Base",$E907="Base"),Dashboard!$R$5,IF(AND($I907="Base",$E907="Red"),Dashboard!$R$6,IF(AND($I907="Base",$E907="Gold"),Dashboard!$R$7,VLOOKUP($I907,Dashboard!$Q$16:$R$21,2,FALSE)))))*VLOOKUP($I907,Dashboard!$Q$9:$R$13,2,FALSE)*IF(AND($I907="Auto",$F907="",OR($B907="Autographs Duals",$B907="Autographs Triples",$B907="Autographs Quads",$B907="Autographs Quads (Inscribed)")),IF($B907="Autographs Duals",2,IF($B907="Autographs Triples",3,4)),1)))</f>
        <v>2.5</v>
      </c>
      <c r="AB907" s="62">
        <f t="shared" si="193"/>
        <v>2.5</v>
      </c>
      <c r="AC907" s="62">
        <f t="shared" si="194"/>
        <v>0</v>
      </c>
    </row>
    <row r="908" spans="1:29" ht="42.95" customHeight="1" x14ac:dyDescent="0.25">
      <c r="A908" s="4" t="s">
        <v>19</v>
      </c>
      <c r="B908" s="7" t="s">
        <v>76</v>
      </c>
      <c r="C908" s="2" t="s">
        <v>1506</v>
      </c>
      <c r="D908" s="7" t="s">
        <v>1051</v>
      </c>
      <c r="E908" s="4" t="s">
        <v>778</v>
      </c>
      <c r="F908" s="2">
        <v>399</v>
      </c>
      <c r="G908" s="2" t="s">
        <v>1399</v>
      </c>
      <c r="H908" s="2" t="s">
        <v>1400</v>
      </c>
      <c r="I908" s="4" t="s">
        <v>60</v>
      </c>
      <c r="J908" s="112">
        <f>IF($H908&lt;&gt;"Y",0,ROUND(MIN(Dashboard!$R$24,IF(IFERROR(VLOOKUP($B908,Dashboard!$Q$28:$S$60,2,FALSE),0)&gt;0,IFERROR(VLOOKUP($B908,Dashboard!$Q$28:$S$60,2,FALSE),0),$Z908*IF($U908&lt;&gt;"",ROUND((Dashboard!$R$4/$U908)*VLOOKUP($I908,Dashboard!$Q$9:$R$13,2,FALSE)*IF(ISNUMBER(SEARCH("Duals",$B908)),2,IF(ISNUMBER(SEARCH("Triples",$B908)),3,IF(ISNUMBER(SEARCH("Quads",$B908)),4,1))),2),ROUND(VLOOKUP($I908,Dashboard!$Q$15:$R$20,2,FALSE)*IF($E908="Red",Dashboard!$R$6,IF($E908="Gold",Dashboard!$R$7,Dashboard!$R$5))*IF(ISNUMBER(SEARCH("Duals",$B908)),2,IF(ISNUMBER(SEARCH("Triples",$B908)),3,IF(ISNUMBER(SEARCH("Quads",$B908)),4,1))),2))*IF(IFERROR(VLOOKUP($B908,Dashboard!$Q$28:$S$60,3,FALSE),0)&gt;0,VLOOKUP($B908,Dashboard!$Q$28:$S$60,3,FALSE),1))),0))</f>
        <v>3</v>
      </c>
      <c r="K908" s="2" t="str">
        <f>IF('Base S2'!F8="","",'Base S2'!F8)</f>
        <v>C</v>
      </c>
      <c r="L908" s="2">
        <f t="shared" si="182"/>
        <v>1</v>
      </c>
      <c r="M908" s="2">
        <f t="shared" si="183"/>
        <v>0</v>
      </c>
      <c r="N908" s="2">
        <f t="shared" si="184"/>
        <v>1</v>
      </c>
      <c r="O908" s="2">
        <f t="shared" si="185"/>
        <v>0</v>
      </c>
      <c r="P908" s="112">
        <f t="shared" si="186"/>
        <v>3</v>
      </c>
      <c r="Q908" s="112">
        <f t="shared" si="187"/>
        <v>0</v>
      </c>
      <c r="R908" s="53"/>
      <c r="S908" s="53" t="str">
        <f t="shared" si="188"/>
        <v>Base S2|Compound V Parallel - Season 2|107|Compound V</v>
      </c>
      <c r="T908" s="57" t="str">
        <f>IF($S908="","",IFERROR(VLOOKUP($S908,'Pop Estimates (Non-#d)'!$N$2:$O$500,2,FALSE),""))</f>
        <v/>
      </c>
      <c r="U908" s="57">
        <f t="shared" si="189"/>
        <v>399</v>
      </c>
      <c r="V908" s="53" t="str">
        <f t="shared" si="190"/>
        <v/>
      </c>
      <c r="W908" s="53" t="str">
        <f t="shared" si="191"/>
        <v/>
      </c>
      <c r="X908" s="53" t="str">
        <f t="shared" si="192"/>
        <v/>
      </c>
      <c r="Y908" s="57" t="str">
        <f>IF($X908="","",IFERROR(VLOOKUP($X908,'Char Popularity'!$A$2:$C$500,2,FALSE),""))</f>
        <v/>
      </c>
      <c r="Z908" s="56">
        <f>IF($X908="",1,IFERROR(VLOOKUP($X908,'Char Popularity'!$A$2:$C$500,3,FALSE),1))</f>
        <v>1</v>
      </c>
      <c r="AA908" s="62">
        <f>IF($H908&lt;&gt;"Y",0,(IF($F908&lt;&gt;"",ROUND(Dashboard!$R$4/$F908,1),IF(AND($I908="Base",$E908="Base"),Dashboard!$R$5,IF(AND($I908="Base",$E908="Red"),Dashboard!$R$6,IF(AND($I908="Base",$E908="Gold"),Dashboard!$R$7,VLOOKUP($I908,Dashboard!$Q$16:$R$21,2,FALSE)))))*VLOOKUP($I908,Dashboard!$Q$9:$R$13,2,FALSE)*IF(AND($I908="Auto",$F908="",OR($B908="Autographs Duals",$B908="Autographs Triples",$B908="Autographs Quads",$B908="Autographs Quads (Inscribed)")),IF($B908="Autographs Duals",2,IF($B908="Autographs Triples",3,4)),1)))</f>
        <v>2.5</v>
      </c>
      <c r="AB908" s="62">
        <f t="shared" si="193"/>
        <v>2.5</v>
      </c>
      <c r="AC908" s="62">
        <f t="shared" si="194"/>
        <v>0</v>
      </c>
    </row>
    <row r="909" spans="1:29" ht="42.95" customHeight="1" x14ac:dyDescent="0.25">
      <c r="A909" s="4" t="s">
        <v>19</v>
      </c>
      <c r="B909" s="7" t="s">
        <v>76</v>
      </c>
      <c r="C909" s="2" t="s">
        <v>1507</v>
      </c>
      <c r="D909" s="7" t="s">
        <v>1053</v>
      </c>
      <c r="E909" s="4" t="s">
        <v>778</v>
      </c>
      <c r="F909" s="2">
        <v>399</v>
      </c>
      <c r="G909" s="2" t="s">
        <v>1399</v>
      </c>
      <c r="H909" s="2" t="s">
        <v>1400</v>
      </c>
      <c r="I909" s="4" t="s">
        <v>60</v>
      </c>
      <c r="J909" s="112">
        <f>IF($H909&lt;&gt;"Y",0,ROUND(MIN(Dashboard!$R$24,IF(IFERROR(VLOOKUP($B909,Dashboard!$Q$28:$S$60,2,FALSE),0)&gt;0,IFERROR(VLOOKUP($B909,Dashboard!$Q$28:$S$60,2,FALSE),0),$Z909*IF($U909&lt;&gt;"",ROUND((Dashboard!$R$4/$U909)*VLOOKUP($I909,Dashboard!$Q$9:$R$13,2,FALSE)*IF(ISNUMBER(SEARCH("Duals",$B909)),2,IF(ISNUMBER(SEARCH("Triples",$B909)),3,IF(ISNUMBER(SEARCH("Quads",$B909)),4,1))),2),ROUND(VLOOKUP($I909,Dashboard!$Q$15:$R$20,2,FALSE)*IF($E909="Red",Dashboard!$R$6,IF($E909="Gold",Dashboard!$R$7,Dashboard!$R$5))*IF(ISNUMBER(SEARCH("Duals",$B909)),2,IF(ISNUMBER(SEARCH("Triples",$B909)),3,IF(ISNUMBER(SEARCH("Quads",$B909)),4,1))),2))*IF(IFERROR(VLOOKUP($B909,Dashboard!$Q$28:$S$60,3,FALSE),0)&gt;0,VLOOKUP($B909,Dashboard!$Q$28:$S$60,3,FALSE),1))),0))</f>
        <v>3</v>
      </c>
      <c r="K909" s="2" t="str">
        <f>IF('Base S2'!F9="","",'Base S2'!F9)</f>
        <v>V</v>
      </c>
      <c r="L909" s="2">
        <f t="shared" si="182"/>
        <v>1</v>
      </c>
      <c r="M909" s="2">
        <f t="shared" si="183"/>
        <v>0</v>
      </c>
      <c r="N909" s="2">
        <f t="shared" si="184"/>
        <v>1</v>
      </c>
      <c r="O909" s="2">
        <f t="shared" si="185"/>
        <v>0</v>
      </c>
      <c r="P909" s="112">
        <f t="shared" si="186"/>
        <v>3</v>
      </c>
      <c r="Q909" s="112">
        <f t="shared" si="187"/>
        <v>0</v>
      </c>
      <c r="R909" s="53"/>
      <c r="S909" s="53" t="str">
        <f t="shared" si="188"/>
        <v>Base S2|Compound V Parallel - Season 2|108|Compound V</v>
      </c>
      <c r="T909" s="57" t="str">
        <f>IF($S909="","",IFERROR(VLOOKUP($S909,'Pop Estimates (Non-#d)'!$N$2:$O$500,2,FALSE),""))</f>
        <v/>
      </c>
      <c r="U909" s="57">
        <f t="shared" si="189"/>
        <v>399</v>
      </c>
      <c r="V909" s="53" t="str">
        <f t="shared" si="190"/>
        <v/>
      </c>
      <c r="W909" s="53" t="str">
        <f t="shared" si="191"/>
        <v/>
      </c>
      <c r="X909" s="53" t="str">
        <f t="shared" si="192"/>
        <v/>
      </c>
      <c r="Y909" s="57" t="str">
        <f>IF($X909="","",IFERROR(VLOOKUP($X909,'Char Popularity'!$A$2:$C$500,2,FALSE),""))</f>
        <v/>
      </c>
      <c r="Z909" s="56">
        <f>IF($X909="",1,IFERROR(VLOOKUP($X909,'Char Popularity'!$A$2:$C$500,3,FALSE),1))</f>
        <v>1</v>
      </c>
      <c r="AA909" s="62">
        <f>IF($H909&lt;&gt;"Y",0,(IF($F909&lt;&gt;"",ROUND(Dashboard!$R$4/$F909,1),IF(AND($I909="Base",$E909="Base"),Dashboard!$R$5,IF(AND($I909="Base",$E909="Red"),Dashboard!$R$6,IF(AND($I909="Base",$E909="Gold"),Dashboard!$R$7,VLOOKUP($I909,Dashboard!$Q$16:$R$21,2,FALSE)))))*VLOOKUP($I909,Dashboard!$Q$9:$R$13,2,FALSE)*IF(AND($I909="Auto",$F909="",OR($B909="Autographs Duals",$B909="Autographs Triples",$B909="Autographs Quads",$B909="Autographs Quads (Inscribed)")),IF($B909="Autographs Duals",2,IF($B909="Autographs Triples",3,4)),1)))</f>
        <v>2.5</v>
      </c>
      <c r="AB909" s="62">
        <f t="shared" si="193"/>
        <v>2.5</v>
      </c>
      <c r="AC909" s="62">
        <f t="shared" si="194"/>
        <v>0</v>
      </c>
    </row>
    <row r="910" spans="1:29" ht="42.95" customHeight="1" x14ac:dyDescent="0.25">
      <c r="A910" s="4" t="s">
        <v>19</v>
      </c>
      <c r="B910" s="7" t="s">
        <v>76</v>
      </c>
      <c r="C910" s="2" t="s">
        <v>1508</v>
      </c>
      <c r="D910" s="7" t="s">
        <v>1056</v>
      </c>
      <c r="E910" s="4" t="s">
        <v>778</v>
      </c>
      <c r="F910" s="2">
        <v>399</v>
      </c>
      <c r="G910" s="2" t="s">
        <v>1399</v>
      </c>
      <c r="H910" s="2" t="s">
        <v>1400</v>
      </c>
      <c r="I910" s="4" t="s">
        <v>60</v>
      </c>
      <c r="J910" s="112">
        <f>IF($H910&lt;&gt;"Y",0,ROUND(MIN(Dashboard!$R$24,IF(IFERROR(VLOOKUP($B910,Dashboard!$Q$28:$S$60,2,FALSE),0)&gt;0,IFERROR(VLOOKUP($B910,Dashboard!$Q$28:$S$60,2,FALSE),0),$Z910*IF($U910&lt;&gt;"",ROUND((Dashboard!$R$4/$U910)*VLOOKUP($I910,Dashboard!$Q$9:$R$13,2,FALSE)*IF(ISNUMBER(SEARCH("Duals",$B910)),2,IF(ISNUMBER(SEARCH("Triples",$B910)),3,IF(ISNUMBER(SEARCH("Quads",$B910)),4,1))),2),ROUND(VLOOKUP($I910,Dashboard!$Q$15:$R$20,2,FALSE)*IF($E910="Red",Dashboard!$R$6,IF($E910="Gold",Dashboard!$R$7,Dashboard!$R$5))*IF(ISNUMBER(SEARCH("Duals",$B910)),2,IF(ISNUMBER(SEARCH("Triples",$B910)),3,IF(ISNUMBER(SEARCH("Quads",$B910)),4,1))),2))*IF(IFERROR(VLOOKUP($B910,Dashboard!$Q$28:$S$60,3,FALSE),0)&gt;0,VLOOKUP($B910,Dashboard!$Q$28:$S$60,3,FALSE),1))),0))</f>
        <v>3</v>
      </c>
      <c r="K910" s="2" t="str">
        <f>IF('Base S2'!F10="","",'Base S2'!F10)</f>
        <v>C</v>
      </c>
      <c r="L910" s="2">
        <f t="shared" si="182"/>
        <v>1</v>
      </c>
      <c r="M910" s="2">
        <f t="shared" si="183"/>
        <v>0</v>
      </c>
      <c r="N910" s="2">
        <f t="shared" si="184"/>
        <v>1</v>
      </c>
      <c r="O910" s="2">
        <f t="shared" si="185"/>
        <v>0</v>
      </c>
      <c r="P910" s="112">
        <f t="shared" si="186"/>
        <v>3</v>
      </c>
      <c r="Q910" s="112">
        <f t="shared" si="187"/>
        <v>0</v>
      </c>
      <c r="R910" s="53"/>
      <c r="S910" s="53" t="str">
        <f t="shared" si="188"/>
        <v>Base S2|Compound V Parallel - Season 2|109|Compound V</v>
      </c>
      <c r="T910" s="57" t="str">
        <f>IF($S910="","",IFERROR(VLOOKUP($S910,'Pop Estimates (Non-#d)'!$N$2:$O$500,2,FALSE),""))</f>
        <v/>
      </c>
      <c r="U910" s="57">
        <f t="shared" si="189"/>
        <v>399</v>
      </c>
      <c r="V910" s="53" t="str">
        <f t="shared" si="190"/>
        <v/>
      </c>
      <c r="W910" s="53" t="str">
        <f t="shared" si="191"/>
        <v/>
      </c>
      <c r="X910" s="53" t="str">
        <f t="shared" si="192"/>
        <v/>
      </c>
      <c r="Y910" s="57" t="str">
        <f>IF($X910="","",IFERROR(VLOOKUP($X910,'Char Popularity'!$A$2:$C$500,2,FALSE),""))</f>
        <v/>
      </c>
      <c r="Z910" s="56">
        <f>IF($X910="",1,IFERROR(VLOOKUP($X910,'Char Popularity'!$A$2:$C$500,3,FALSE),1))</f>
        <v>1</v>
      </c>
      <c r="AA910" s="62">
        <f>IF($H910&lt;&gt;"Y",0,(IF($F910&lt;&gt;"",ROUND(Dashboard!$R$4/$F910,1),IF(AND($I910="Base",$E910="Base"),Dashboard!$R$5,IF(AND($I910="Base",$E910="Red"),Dashboard!$R$6,IF(AND($I910="Base",$E910="Gold"),Dashboard!$R$7,VLOOKUP($I910,Dashboard!$Q$16:$R$21,2,FALSE)))))*VLOOKUP($I910,Dashboard!$Q$9:$R$13,2,FALSE)*IF(AND($I910="Auto",$F910="",OR($B910="Autographs Duals",$B910="Autographs Triples",$B910="Autographs Quads",$B910="Autographs Quads (Inscribed)")),IF($B910="Autographs Duals",2,IF($B910="Autographs Triples",3,4)),1)))</f>
        <v>2.5</v>
      </c>
      <c r="AB910" s="62">
        <f t="shared" si="193"/>
        <v>2.5</v>
      </c>
      <c r="AC910" s="62">
        <f t="shared" si="194"/>
        <v>0</v>
      </c>
    </row>
    <row r="911" spans="1:29" ht="42.95" customHeight="1" x14ac:dyDescent="0.25">
      <c r="A911" s="4" t="s">
        <v>19</v>
      </c>
      <c r="B911" s="7" t="s">
        <v>76</v>
      </c>
      <c r="C911" s="2" t="s">
        <v>1509</v>
      </c>
      <c r="D911" s="7" t="s">
        <v>1059</v>
      </c>
      <c r="E911" s="4" t="s">
        <v>778</v>
      </c>
      <c r="F911" s="2">
        <v>399</v>
      </c>
      <c r="G911" s="2" t="s">
        <v>1399</v>
      </c>
      <c r="H911" s="2" t="s">
        <v>1400</v>
      </c>
      <c r="I911" s="4" t="s">
        <v>60</v>
      </c>
      <c r="J911" s="112">
        <f>IF($H911&lt;&gt;"Y",0,ROUND(MIN(Dashboard!$R$24,IF(IFERROR(VLOOKUP($B911,Dashboard!$Q$28:$S$60,2,FALSE),0)&gt;0,IFERROR(VLOOKUP($B911,Dashboard!$Q$28:$S$60,2,FALSE),0),$Z911*IF($U911&lt;&gt;"",ROUND((Dashboard!$R$4/$U911)*VLOOKUP($I911,Dashboard!$Q$9:$R$13,2,FALSE)*IF(ISNUMBER(SEARCH("Duals",$B911)),2,IF(ISNUMBER(SEARCH("Triples",$B911)),3,IF(ISNUMBER(SEARCH("Quads",$B911)),4,1))),2),ROUND(VLOOKUP($I911,Dashboard!$Q$15:$R$20,2,FALSE)*IF($E911="Red",Dashboard!$R$6,IF($E911="Gold",Dashboard!$R$7,Dashboard!$R$5))*IF(ISNUMBER(SEARCH("Duals",$B911)),2,IF(ISNUMBER(SEARCH("Triples",$B911)),3,IF(ISNUMBER(SEARCH("Quads",$B911)),4,1))),2))*IF(IFERROR(VLOOKUP($B911,Dashboard!$Q$28:$S$60,3,FALSE),0)&gt;0,VLOOKUP($B911,Dashboard!$Q$28:$S$60,3,FALSE),1))),0))</f>
        <v>3</v>
      </c>
      <c r="K911" s="2" t="str">
        <f>IF('Base S2'!F11="","",'Base S2'!F11)</f>
        <v>C</v>
      </c>
      <c r="L911" s="2">
        <f t="shared" si="182"/>
        <v>1</v>
      </c>
      <c r="M911" s="2">
        <f t="shared" si="183"/>
        <v>0</v>
      </c>
      <c r="N911" s="2">
        <f t="shared" si="184"/>
        <v>1</v>
      </c>
      <c r="O911" s="2">
        <f t="shared" si="185"/>
        <v>0</v>
      </c>
      <c r="P911" s="112">
        <f t="shared" si="186"/>
        <v>3</v>
      </c>
      <c r="Q911" s="112">
        <f t="shared" si="187"/>
        <v>0</v>
      </c>
      <c r="R911" s="53"/>
      <c r="S911" s="53" t="str">
        <f t="shared" si="188"/>
        <v>Base S2|Compound V Parallel - Season 2|110|Compound V</v>
      </c>
      <c r="T911" s="57" t="str">
        <f>IF($S911="","",IFERROR(VLOOKUP($S911,'Pop Estimates (Non-#d)'!$N$2:$O$500,2,FALSE),""))</f>
        <v/>
      </c>
      <c r="U911" s="57">
        <f t="shared" si="189"/>
        <v>399</v>
      </c>
      <c r="V911" s="53" t="str">
        <f t="shared" si="190"/>
        <v/>
      </c>
      <c r="W911" s="53" t="str">
        <f t="shared" si="191"/>
        <v/>
      </c>
      <c r="X911" s="53" t="str">
        <f t="shared" si="192"/>
        <v/>
      </c>
      <c r="Y911" s="57" t="str">
        <f>IF($X911="","",IFERROR(VLOOKUP($X911,'Char Popularity'!$A$2:$C$500,2,FALSE),""))</f>
        <v/>
      </c>
      <c r="Z911" s="56">
        <f>IF($X911="",1,IFERROR(VLOOKUP($X911,'Char Popularity'!$A$2:$C$500,3,FALSE),1))</f>
        <v>1</v>
      </c>
      <c r="AA911" s="62">
        <f>IF($H911&lt;&gt;"Y",0,(IF($F911&lt;&gt;"",ROUND(Dashboard!$R$4/$F911,1),IF(AND($I911="Base",$E911="Base"),Dashboard!$R$5,IF(AND($I911="Base",$E911="Red"),Dashboard!$R$6,IF(AND($I911="Base",$E911="Gold"),Dashboard!$R$7,VLOOKUP($I911,Dashboard!$Q$16:$R$21,2,FALSE)))))*VLOOKUP($I911,Dashboard!$Q$9:$R$13,2,FALSE)*IF(AND($I911="Auto",$F911="",OR($B911="Autographs Duals",$B911="Autographs Triples",$B911="Autographs Quads",$B911="Autographs Quads (Inscribed)")),IF($B911="Autographs Duals",2,IF($B911="Autographs Triples",3,4)),1)))</f>
        <v>2.5</v>
      </c>
      <c r="AB911" s="62">
        <f t="shared" si="193"/>
        <v>2.5</v>
      </c>
      <c r="AC911" s="62">
        <f t="shared" si="194"/>
        <v>0</v>
      </c>
    </row>
    <row r="912" spans="1:29" ht="42.95" customHeight="1" x14ac:dyDescent="0.25">
      <c r="A912" s="4" t="s">
        <v>19</v>
      </c>
      <c r="B912" s="7" t="s">
        <v>76</v>
      </c>
      <c r="C912" s="2" t="s">
        <v>1510</v>
      </c>
      <c r="D912" s="7" t="s">
        <v>1061</v>
      </c>
      <c r="E912" s="4" t="s">
        <v>778</v>
      </c>
      <c r="F912" s="2">
        <v>399</v>
      </c>
      <c r="G912" s="2" t="s">
        <v>1399</v>
      </c>
      <c r="H912" s="2" t="s">
        <v>1400</v>
      </c>
      <c r="I912" s="4" t="s">
        <v>60</v>
      </c>
      <c r="J912" s="112">
        <f>IF($H912&lt;&gt;"Y",0,ROUND(MIN(Dashboard!$R$24,IF(IFERROR(VLOOKUP($B912,Dashboard!$Q$28:$S$60,2,FALSE),0)&gt;0,IFERROR(VLOOKUP($B912,Dashboard!$Q$28:$S$60,2,FALSE),0),$Z912*IF($U912&lt;&gt;"",ROUND((Dashboard!$R$4/$U912)*VLOOKUP($I912,Dashboard!$Q$9:$R$13,2,FALSE)*IF(ISNUMBER(SEARCH("Duals",$B912)),2,IF(ISNUMBER(SEARCH("Triples",$B912)),3,IF(ISNUMBER(SEARCH("Quads",$B912)),4,1))),2),ROUND(VLOOKUP($I912,Dashboard!$Q$15:$R$20,2,FALSE)*IF($E912="Red",Dashboard!$R$6,IF($E912="Gold",Dashboard!$R$7,Dashboard!$R$5))*IF(ISNUMBER(SEARCH("Duals",$B912)),2,IF(ISNUMBER(SEARCH("Triples",$B912)),3,IF(ISNUMBER(SEARCH("Quads",$B912)),4,1))),2))*IF(IFERROR(VLOOKUP($B912,Dashboard!$Q$28:$S$60,3,FALSE),0)&gt;0,VLOOKUP($B912,Dashboard!$Q$28:$S$60,3,FALSE),1))),0))</f>
        <v>3</v>
      </c>
      <c r="K912" s="2" t="str">
        <f>IF('Base S2'!F12="","",'Base S2'!F12)</f>
        <v>C</v>
      </c>
      <c r="L912" s="2">
        <f t="shared" si="182"/>
        <v>1</v>
      </c>
      <c r="M912" s="2">
        <f t="shared" si="183"/>
        <v>0</v>
      </c>
      <c r="N912" s="2">
        <f t="shared" si="184"/>
        <v>1</v>
      </c>
      <c r="O912" s="2">
        <f t="shared" si="185"/>
        <v>0</v>
      </c>
      <c r="P912" s="112">
        <f t="shared" si="186"/>
        <v>3</v>
      </c>
      <c r="Q912" s="112">
        <f t="shared" si="187"/>
        <v>0</v>
      </c>
      <c r="R912" s="53"/>
      <c r="S912" s="53" t="str">
        <f t="shared" si="188"/>
        <v>Base S2|Compound V Parallel - Season 2|111|Compound V</v>
      </c>
      <c r="T912" s="57" t="str">
        <f>IF($S912="","",IFERROR(VLOOKUP($S912,'Pop Estimates (Non-#d)'!$N$2:$O$500,2,FALSE),""))</f>
        <v/>
      </c>
      <c r="U912" s="57">
        <f t="shared" si="189"/>
        <v>399</v>
      </c>
      <c r="V912" s="53" t="str">
        <f t="shared" si="190"/>
        <v/>
      </c>
      <c r="W912" s="53" t="str">
        <f t="shared" si="191"/>
        <v/>
      </c>
      <c r="X912" s="53" t="str">
        <f t="shared" si="192"/>
        <v/>
      </c>
      <c r="Y912" s="57" t="str">
        <f>IF($X912="","",IFERROR(VLOOKUP($X912,'Char Popularity'!$A$2:$C$500,2,FALSE),""))</f>
        <v/>
      </c>
      <c r="Z912" s="56">
        <f>IF($X912="",1,IFERROR(VLOOKUP($X912,'Char Popularity'!$A$2:$C$500,3,FALSE),1))</f>
        <v>1</v>
      </c>
      <c r="AA912" s="62">
        <f>IF($H912&lt;&gt;"Y",0,(IF($F912&lt;&gt;"",ROUND(Dashboard!$R$4/$F912,1),IF(AND($I912="Base",$E912="Base"),Dashboard!$R$5,IF(AND($I912="Base",$E912="Red"),Dashboard!$R$6,IF(AND($I912="Base",$E912="Gold"),Dashboard!$R$7,VLOOKUP($I912,Dashboard!$Q$16:$R$21,2,FALSE)))))*VLOOKUP($I912,Dashboard!$Q$9:$R$13,2,FALSE)*IF(AND($I912="Auto",$F912="",OR($B912="Autographs Duals",$B912="Autographs Triples",$B912="Autographs Quads",$B912="Autographs Quads (Inscribed)")),IF($B912="Autographs Duals",2,IF($B912="Autographs Triples",3,4)),1)))</f>
        <v>2.5</v>
      </c>
      <c r="AB912" s="62">
        <f t="shared" si="193"/>
        <v>2.5</v>
      </c>
      <c r="AC912" s="62">
        <f t="shared" si="194"/>
        <v>0</v>
      </c>
    </row>
    <row r="913" spans="1:29" ht="42.95" customHeight="1" x14ac:dyDescent="0.25">
      <c r="A913" s="4" t="s">
        <v>19</v>
      </c>
      <c r="B913" s="7" t="s">
        <v>76</v>
      </c>
      <c r="C913" s="2" t="s">
        <v>1511</v>
      </c>
      <c r="D913" s="7" t="s">
        <v>1063</v>
      </c>
      <c r="E913" s="4" t="s">
        <v>778</v>
      </c>
      <c r="F913" s="2">
        <v>399</v>
      </c>
      <c r="G913" s="2" t="s">
        <v>1399</v>
      </c>
      <c r="H913" s="2" t="s">
        <v>1400</v>
      </c>
      <c r="I913" s="4" t="s">
        <v>60</v>
      </c>
      <c r="J913" s="112">
        <f>IF($H913&lt;&gt;"Y",0,ROUND(MIN(Dashboard!$R$24,IF(IFERROR(VLOOKUP($B913,Dashboard!$Q$28:$S$60,2,FALSE),0)&gt;0,IFERROR(VLOOKUP($B913,Dashboard!$Q$28:$S$60,2,FALSE),0),$Z913*IF($U913&lt;&gt;"",ROUND((Dashboard!$R$4/$U913)*VLOOKUP($I913,Dashboard!$Q$9:$R$13,2,FALSE)*IF(ISNUMBER(SEARCH("Duals",$B913)),2,IF(ISNUMBER(SEARCH("Triples",$B913)),3,IF(ISNUMBER(SEARCH("Quads",$B913)),4,1))),2),ROUND(VLOOKUP($I913,Dashboard!$Q$15:$R$20,2,FALSE)*IF($E913="Red",Dashboard!$R$6,IF($E913="Gold",Dashboard!$R$7,Dashboard!$R$5))*IF(ISNUMBER(SEARCH("Duals",$B913)),2,IF(ISNUMBER(SEARCH("Triples",$B913)),3,IF(ISNUMBER(SEARCH("Quads",$B913)),4,1))),2))*IF(IFERROR(VLOOKUP($B913,Dashboard!$Q$28:$S$60,3,FALSE),0)&gt;0,VLOOKUP($B913,Dashboard!$Q$28:$S$60,3,FALSE),1))),0))</f>
        <v>3</v>
      </c>
      <c r="K913" s="2" t="str">
        <f>IF('Base S2'!F13="","",'Base S2'!F13)</f>
        <v>V</v>
      </c>
      <c r="L913" s="2">
        <f t="shared" si="182"/>
        <v>1</v>
      </c>
      <c r="M913" s="2">
        <f t="shared" si="183"/>
        <v>0</v>
      </c>
      <c r="N913" s="2">
        <f t="shared" si="184"/>
        <v>1</v>
      </c>
      <c r="O913" s="2">
        <f t="shared" si="185"/>
        <v>0</v>
      </c>
      <c r="P913" s="112">
        <f t="shared" si="186"/>
        <v>3</v>
      </c>
      <c r="Q913" s="112">
        <f t="shared" si="187"/>
        <v>0</v>
      </c>
      <c r="R913" s="53"/>
      <c r="S913" s="53" t="str">
        <f t="shared" si="188"/>
        <v>Base S2|Compound V Parallel - Season 2|112|Compound V</v>
      </c>
      <c r="T913" s="57" t="str">
        <f>IF($S913="","",IFERROR(VLOOKUP($S913,'Pop Estimates (Non-#d)'!$N$2:$O$500,2,FALSE),""))</f>
        <v/>
      </c>
      <c r="U913" s="57">
        <f t="shared" si="189"/>
        <v>399</v>
      </c>
      <c r="V913" s="53" t="str">
        <f t="shared" si="190"/>
        <v/>
      </c>
      <c r="W913" s="53" t="str">
        <f t="shared" si="191"/>
        <v/>
      </c>
      <c r="X913" s="53" t="str">
        <f t="shared" si="192"/>
        <v/>
      </c>
      <c r="Y913" s="57" t="str">
        <f>IF($X913="","",IFERROR(VLOOKUP($X913,'Char Popularity'!$A$2:$C$500,2,FALSE),""))</f>
        <v/>
      </c>
      <c r="Z913" s="56">
        <f>IF($X913="",1,IFERROR(VLOOKUP($X913,'Char Popularity'!$A$2:$C$500,3,FALSE),1))</f>
        <v>1</v>
      </c>
      <c r="AA913" s="62">
        <f>IF($H913&lt;&gt;"Y",0,(IF($F913&lt;&gt;"",ROUND(Dashboard!$R$4/$F913,1),IF(AND($I913="Base",$E913="Base"),Dashboard!$R$5,IF(AND($I913="Base",$E913="Red"),Dashboard!$R$6,IF(AND($I913="Base",$E913="Gold"),Dashboard!$R$7,VLOOKUP($I913,Dashboard!$Q$16:$R$21,2,FALSE)))))*VLOOKUP($I913,Dashboard!$Q$9:$R$13,2,FALSE)*IF(AND($I913="Auto",$F913="",OR($B913="Autographs Duals",$B913="Autographs Triples",$B913="Autographs Quads",$B913="Autographs Quads (Inscribed)")),IF($B913="Autographs Duals",2,IF($B913="Autographs Triples",3,4)),1)))</f>
        <v>2.5</v>
      </c>
      <c r="AB913" s="62">
        <f t="shared" si="193"/>
        <v>2.5</v>
      </c>
      <c r="AC913" s="62">
        <f t="shared" si="194"/>
        <v>0</v>
      </c>
    </row>
    <row r="914" spans="1:29" ht="42.95" customHeight="1" x14ac:dyDescent="0.25">
      <c r="A914" s="4" t="s">
        <v>19</v>
      </c>
      <c r="B914" s="7" t="s">
        <v>76</v>
      </c>
      <c r="C914" s="2" t="s">
        <v>1512</v>
      </c>
      <c r="D914" s="7" t="s">
        <v>1065</v>
      </c>
      <c r="E914" s="4" t="s">
        <v>778</v>
      </c>
      <c r="F914" s="2">
        <v>399</v>
      </c>
      <c r="G914" s="2" t="s">
        <v>1399</v>
      </c>
      <c r="H914" s="2" t="s">
        <v>1400</v>
      </c>
      <c r="I914" s="4" t="s">
        <v>60</v>
      </c>
      <c r="J914" s="112">
        <f>IF($H914&lt;&gt;"Y",0,ROUND(MIN(Dashboard!$R$24,IF(IFERROR(VLOOKUP($B914,Dashboard!$Q$28:$S$60,2,FALSE),0)&gt;0,IFERROR(VLOOKUP($B914,Dashboard!$Q$28:$S$60,2,FALSE),0),$Z914*IF($U914&lt;&gt;"",ROUND((Dashboard!$R$4/$U914)*VLOOKUP($I914,Dashboard!$Q$9:$R$13,2,FALSE)*IF(ISNUMBER(SEARCH("Duals",$B914)),2,IF(ISNUMBER(SEARCH("Triples",$B914)),3,IF(ISNUMBER(SEARCH("Quads",$B914)),4,1))),2),ROUND(VLOOKUP($I914,Dashboard!$Q$15:$R$20,2,FALSE)*IF($E914="Red",Dashboard!$R$6,IF($E914="Gold",Dashboard!$R$7,Dashboard!$R$5))*IF(ISNUMBER(SEARCH("Duals",$B914)),2,IF(ISNUMBER(SEARCH("Triples",$B914)),3,IF(ISNUMBER(SEARCH("Quads",$B914)),4,1))),2))*IF(IFERROR(VLOOKUP($B914,Dashboard!$Q$28:$S$60,3,FALSE),0)&gt;0,VLOOKUP($B914,Dashboard!$Q$28:$S$60,3,FALSE),1))),0))</f>
        <v>3</v>
      </c>
      <c r="K914" s="2" t="str">
        <f>IF('Base S2'!F14="","",'Base S2'!F14)</f>
        <v>V</v>
      </c>
      <c r="L914" s="2">
        <f t="shared" si="182"/>
        <v>1</v>
      </c>
      <c r="M914" s="2">
        <f t="shared" si="183"/>
        <v>0</v>
      </c>
      <c r="N914" s="2">
        <f t="shared" si="184"/>
        <v>1</v>
      </c>
      <c r="O914" s="2">
        <f t="shared" si="185"/>
        <v>0</v>
      </c>
      <c r="P914" s="112">
        <f t="shared" si="186"/>
        <v>3</v>
      </c>
      <c r="Q914" s="112">
        <f t="shared" si="187"/>
        <v>0</v>
      </c>
      <c r="R914" s="53"/>
      <c r="S914" s="53" t="str">
        <f t="shared" si="188"/>
        <v>Base S2|Compound V Parallel - Season 2|113|Compound V</v>
      </c>
      <c r="T914" s="57" t="str">
        <f>IF($S914="","",IFERROR(VLOOKUP($S914,'Pop Estimates (Non-#d)'!$N$2:$O$500,2,FALSE),""))</f>
        <v/>
      </c>
      <c r="U914" s="57">
        <f t="shared" si="189"/>
        <v>399</v>
      </c>
      <c r="V914" s="53" t="str">
        <f t="shared" si="190"/>
        <v/>
      </c>
      <c r="W914" s="53" t="str">
        <f t="shared" si="191"/>
        <v/>
      </c>
      <c r="X914" s="53" t="str">
        <f t="shared" si="192"/>
        <v/>
      </c>
      <c r="Y914" s="57" t="str">
        <f>IF($X914="","",IFERROR(VLOOKUP($X914,'Char Popularity'!$A$2:$C$500,2,FALSE),""))</f>
        <v/>
      </c>
      <c r="Z914" s="56">
        <f>IF($X914="",1,IFERROR(VLOOKUP($X914,'Char Popularity'!$A$2:$C$500,3,FALSE),1))</f>
        <v>1</v>
      </c>
      <c r="AA914" s="62">
        <f>IF($H914&lt;&gt;"Y",0,(IF($F914&lt;&gt;"",ROUND(Dashboard!$R$4/$F914,1),IF(AND($I914="Base",$E914="Base"),Dashboard!$R$5,IF(AND($I914="Base",$E914="Red"),Dashboard!$R$6,IF(AND($I914="Base",$E914="Gold"),Dashboard!$R$7,VLOOKUP($I914,Dashboard!$Q$16:$R$21,2,FALSE)))))*VLOOKUP($I914,Dashboard!$Q$9:$R$13,2,FALSE)*IF(AND($I914="Auto",$F914="",OR($B914="Autographs Duals",$B914="Autographs Triples",$B914="Autographs Quads",$B914="Autographs Quads (Inscribed)")),IF($B914="Autographs Duals",2,IF($B914="Autographs Triples",3,4)),1)))</f>
        <v>2.5</v>
      </c>
      <c r="AB914" s="62">
        <f t="shared" si="193"/>
        <v>2.5</v>
      </c>
      <c r="AC914" s="62">
        <f t="shared" si="194"/>
        <v>0</v>
      </c>
    </row>
    <row r="915" spans="1:29" ht="42.95" customHeight="1" x14ac:dyDescent="0.25">
      <c r="A915" s="4" t="s">
        <v>19</v>
      </c>
      <c r="B915" s="7" t="s">
        <v>76</v>
      </c>
      <c r="C915" s="2" t="s">
        <v>1513</v>
      </c>
      <c r="D915" s="7" t="s">
        <v>1067</v>
      </c>
      <c r="E915" s="4" t="s">
        <v>778</v>
      </c>
      <c r="F915" s="2">
        <v>399</v>
      </c>
      <c r="G915" s="2" t="s">
        <v>1399</v>
      </c>
      <c r="H915" s="2" t="s">
        <v>1400</v>
      </c>
      <c r="I915" s="4" t="s">
        <v>60</v>
      </c>
      <c r="J915" s="112">
        <f>IF($H915&lt;&gt;"Y",0,ROUND(MIN(Dashboard!$R$24,IF(IFERROR(VLOOKUP($B915,Dashboard!$Q$28:$S$60,2,FALSE),0)&gt;0,IFERROR(VLOOKUP($B915,Dashboard!$Q$28:$S$60,2,FALSE),0),$Z915*IF($U915&lt;&gt;"",ROUND((Dashboard!$R$4/$U915)*VLOOKUP($I915,Dashboard!$Q$9:$R$13,2,FALSE)*IF(ISNUMBER(SEARCH("Duals",$B915)),2,IF(ISNUMBER(SEARCH("Triples",$B915)),3,IF(ISNUMBER(SEARCH("Quads",$B915)),4,1))),2),ROUND(VLOOKUP($I915,Dashboard!$Q$15:$R$20,2,FALSE)*IF($E915="Red",Dashboard!$R$6,IF($E915="Gold",Dashboard!$R$7,Dashboard!$R$5))*IF(ISNUMBER(SEARCH("Duals",$B915)),2,IF(ISNUMBER(SEARCH("Triples",$B915)),3,IF(ISNUMBER(SEARCH("Quads",$B915)),4,1))),2))*IF(IFERROR(VLOOKUP($B915,Dashboard!$Q$28:$S$60,3,FALSE),0)&gt;0,VLOOKUP($B915,Dashboard!$Q$28:$S$60,3,FALSE),1))),0))</f>
        <v>3</v>
      </c>
      <c r="K915" s="2" t="str">
        <f>IF('Base S2'!F15="","",'Base S2'!F15)</f>
        <v>V</v>
      </c>
      <c r="L915" s="2">
        <f t="shared" si="182"/>
        <v>1</v>
      </c>
      <c r="M915" s="2">
        <f t="shared" si="183"/>
        <v>0</v>
      </c>
      <c r="N915" s="2">
        <f t="shared" si="184"/>
        <v>1</v>
      </c>
      <c r="O915" s="2">
        <f t="shared" si="185"/>
        <v>0</v>
      </c>
      <c r="P915" s="112">
        <f t="shared" si="186"/>
        <v>3</v>
      </c>
      <c r="Q915" s="112">
        <f t="shared" si="187"/>
        <v>0</v>
      </c>
      <c r="R915" s="53"/>
      <c r="S915" s="53" t="str">
        <f t="shared" si="188"/>
        <v>Base S2|Compound V Parallel - Season 2|114|Compound V</v>
      </c>
      <c r="T915" s="57" t="str">
        <f>IF($S915="","",IFERROR(VLOOKUP($S915,'Pop Estimates (Non-#d)'!$N$2:$O$500,2,FALSE),""))</f>
        <v/>
      </c>
      <c r="U915" s="57">
        <f t="shared" si="189"/>
        <v>399</v>
      </c>
      <c r="V915" s="53" t="str">
        <f t="shared" si="190"/>
        <v/>
      </c>
      <c r="W915" s="53" t="str">
        <f t="shared" si="191"/>
        <v/>
      </c>
      <c r="X915" s="53" t="str">
        <f t="shared" si="192"/>
        <v/>
      </c>
      <c r="Y915" s="57" t="str">
        <f>IF($X915="","",IFERROR(VLOOKUP($X915,'Char Popularity'!$A$2:$C$500,2,FALSE),""))</f>
        <v/>
      </c>
      <c r="Z915" s="56">
        <f>IF($X915="",1,IFERROR(VLOOKUP($X915,'Char Popularity'!$A$2:$C$500,3,FALSE),1))</f>
        <v>1</v>
      </c>
      <c r="AA915" s="62">
        <f>IF($H915&lt;&gt;"Y",0,(IF($F915&lt;&gt;"",ROUND(Dashboard!$R$4/$F915,1),IF(AND($I915="Base",$E915="Base"),Dashboard!$R$5,IF(AND($I915="Base",$E915="Red"),Dashboard!$R$6,IF(AND($I915="Base",$E915="Gold"),Dashboard!$R$7,VLOOKUP($I915,Dashboard!$Q$16:$R$21,2,FALSE)))))*VLOOKUP($I915,Dashboard!$Q$9:$R$13,2,FALSE)*IF(AND($I915="Auto",$F915="",OR($B915="Autographs Duals",$B915="Autographs Triples",$B915="Autographs Quads",$B915="Autographs Quads (Inscribed)")),IF($B915="Autographs Duals",2,IF($B915="Autographs Triples",3,4)),1)))</f>
        <v>2.5</v>
      </c>
      <c r="AB915" s="62">
        <f t="shared" si="193"/>
        <v>2.5</v>
      </c>
      <c r="AC915" s="62">
        <f t="shared" si="194"/>
        <v>0</v>
      </c>
    </row>
    <row r="916" spans="1:29" ht="42.95" customHeight="1" x14ac:dyDescent="0.25">
      <c r="A916" s="4" t="s">
        <v>19</v>
      </c>
      <c r="B916" s="7" t="s">
        <v>76</v>
      </c>
      <c r="C916" s="2" t="s">
        <v>1514</v>
      </c>
      <c r="D916" s="7" t="s">
        <v>1069</v>
      </c>
      <c r="E916" s="4" t="s">
        <v>778</v>
      </c>
      <c r="F916" s="2">
        <v>399</v>
      </c>
      <c r="G916" s="2" t="s">
        <v>1399</v>
      </c>
      <c r="H916" s="2" t="s">
        <v>1400</v>
      </c>
      <c r="I916" s="4" t="s">
        <v>60</v>
      </c>
      <c r="J916" s="112">
        <f>IF($H916&lt;&gt;"Y",0,ROUND(MIN(Dashboard!$R$24,IF(IFERROR(VLOOKUP($B916,Dashboard!$Q$28:$S$60,2,FALSE),0)&gt;0,IFERROR(VLOOKUP($B916,Dashboard!$Q$28:$S$60,2,FALSE),0),$Z916*IF($U916&lt;&gt;"",ROUND((Dashboard!$R$4/$U916)*VLOOKUP($I916,Dashboard!$Q$9:$R$13,2,FALSE)*IF(ISNUMBER(SEARCH("Duals",$B916)),2,IF(ISNUMBER(SEARCH("Triples",$B916)),3,IF(ISNUMBER(SEARCH("Quads",$B916)),4,1))),2),ROUND(VLOOKUP($I916,Dashboard!$Q$15:$R$20,2,FALSE)*IF($E916="Red",Dashboard!$R$6,IF($E916="Gold",Dashboard!$R$7,Dashboard!$R$5))*IF(ISNUMBER(SEARCH("Duals",$B916)),2,IF(ISNUMBER(SEARCH("Triples",$B916)),3,IF(ISNUMBER(SEARCH("Quads",$B916)),4,1))),2))*IF(IFERROR(VLOOKUP($B916,Dashboard!$Q$28:$S$60,3,FALSE),0)&gt;0,VLOOKUP($B916,Dashboard!$Q$28:$S$60,3,FALSE),1))),0))</f>
        <v>3</v>
      </c>
      <c r="K916" s="2" t="str">
        <f>IF('Base S2'!F16="","",'Base S2'!F16)</f>
        <v>C</v>
      </c>
      <c r="L916" s="2">
        <f t="shared" si="182"/>
        <v>1</v>
      </c>
      <c r="M916" s="2">
        <f t="shared" si="183"/>
        <v>0</v>
      </c>
      <c r="N916" s="2">
        <f t="shared" si="184"/>
        <v>1</v>
      </c>
      <c r="O916" s="2">
        <f t="shared" si="185"/>
        <v>0</v>
      </c>
      <c r="P916" s="112">
        <f t="shared" si="186"/>
        <v>3</v>
      </c>
      <c r="Q916" s="112">
        <f t="shared" si="187"/>
        <v>0</v>
      </c>
      <c r="R916" s="53"/>
      <c r="S916" s="53" t="str">
        <f t="shared" si="188"/>
        <v>Base S2|Compound V Parallel - Season 2|115|Compound V</v>
      </c>
      <c r="T916" s="57" t="str">
        <f>IF($S916="","",IFERROR(VLOOKUP($S916,'Pop Estimates (Non-#d)'!$N$2:$O$500,2,FALSE),""))</f>
        <v/>
      </c>
      <c r="U916" s="57">
        <f t="shared" si="189"/>
        <v>399</v>
      </c>
      <c r="V916" s="53" t="str">
        <f t="shared" si="190"/>
        <v/>
      </c>
      <c r="W916" s="53" t="str">
        <f t="shared" si="191"/>
        <v/>
      </c>
      <c r="X916" s="53" t="str">
        <f t="shared" si="192"/>
        <v/>
      </c>
      <c r="Y916" s="57" t="str">
        <f>IF($X916="","",IFERROR(VLOOKUP($X916,'Char Popularity'!$A$2:$C$500,2,FALSE),""))</f>
        <v/>
      </c>
      <c r="Z916" s="56">
        <f>IF($X916="",1,IFERROR(VLOOKUP($X916,'Char Popularity'!$A$2:$C$500,3,FALSE),1))</f>
        <v>1</v>
      </c>
      <c r="AA916" s="62">
        <f>IF($H916&lt;&gt;"Y",0,(IF($F916&lt;&gt;"",ROUND(Dashboard!$R$4/$F916,1),IF(AND($I916="Base",$E916="Base"),Dashboard!$R$5,IF(AND($I916="Base",$E916="Red"),Dashboard!$R$6,IF(AND($I916="Base",$E916="Gold"),Dashboard!$R$7,VLOOKUP($I916,Dashboard!$Q$16:$R$21,2,FALSE)))))*VLOOKUP($I916,Dashboard!$Q$9:$R$13,2,FALSE)*IF(AND($I916="Auto",$F916="",OR($B916="Autographs Duals",$B916="Autographs Triples",$B916="Autographs Quads",$B916="Autographs Quads (Inscribed)")),IF($B916="Autographs Duals",2,IF($B916="Autographs Triples",3,4)),1)))</f>
        <v>2.5</v>
      </c>
      <c r="AB916" s="62">
        <f t="shared" si="193"/>
        <v>2.5</v>
      </c>
      <c r="AC916" s="62">
        <f t="shared" si="194"/>
        <v>0</v>
      </c>
    </row>
    <row r="917" spans="1:29" ht="42.95" customHeight="1" x14ac:dyDescent="0.25">
      <c r="A917" s="4" t="s">
        <v>19</v>
      </c>
      <c r="B917" s="7" t="s">
        <v>76</v>
      </c>
      <c r="C917" s="2" t="s">
        <v>1515</v>
      </c>
      <c r="D917" s="7" t="s">
        <v>1070</v>
      </c>
      <c r="E917" s="4" t="s">
        <v>778</v>
      </c>
      <c r="F917" s="2">
        <v>399</v>
      </c>
      <c r="G917" s="2" t="s">
        <v>1399</v>
      </c>
      <c r="H917" s="2" t="s">
        <v>1400</v>
      </c>
      <c r="I917" s="4" t="s">
        <v>60</v>
      </c>
      <c r="J917" s="112">
        <f>IF($H917&lt;&gt;"Y",0,ROUND(MIN(Dashboard!$R$24,IF(IFERROR(VLOOKUP($B917,Dashboard!$Q$28:$S$60,2,FALSE),0)&gt;0,IFERROR(VLOOKUP($B917,Dashboard!$Q$28:$S$60,2,FALSE),0),$Z917*IF($U917&lt;&gt;"",ROUND((Dashboard!$R$4/$U917)*VLOOKUP($I917,Dashboard!$Q$9:$R$13,2,FALSE)*IF(ISNUMBER(SEARCH("Duals",$B917)),2,IF(ISNUMBER(SEARCH("Triples",$B917)),3,IF(ISNUMBER(SEARCH("Quads",$B917)),4,1))),2),ROUND(VLOOKUP($I917,Dashboard!$Q$15:$R$20,2,FALSE)*IF($E917="Red",Dashboard!$R$6,IF($E917="Gold",Dashboard!$R$7,Dashboard!$R$5))*IF(ISNUMBER(SEARCH("Duals",$B917)),2,IF(ISNUMBER(SEARCH("Triples",$B917)),3,IF(ISNUMBER(SEARCH("Quads",$B917)),4,1))),2))*IF(IFERROR(VLOOKUP($B917,Dashboard!$Q$28:$S$60,3,FALSE),0)&gt;0,VLOOKUP($B917,Dashboard!$Q$28:$S$60,3,FALSE),1))),0))</f>
        <v>3</v>
      </c>
      <c r="K917" s="2" t="str">
        <f>IF('Base S2'!F17="","",'Base S2'!F17)</f>
        <v>C</v>
      </c>
      <c r="L917" s="2">
        <f t="shared" si="182"/>
        <v>1</v>
      </c>
      <c r="M917" s="2">
        <f t="shared" si="183"/>
        <v>0</v>
      </c>
      <c r="N917" s="2">
        <f t="shared" si="184"/>
        <v>1</v>
      </c>
      <c r="O917" s="2">
        <f t="shared" si="185"/>
        <v>0</v>
      </c>
      <c r="P917" s="112">
        <f t="shared" si="186"/>
        <v>3</v>
      </c>
      <c r="Q917" s="112">
        <f t="shared" si="187"/>
        <v>0</v>
      </c>
      <c r="R917" s="53"/>
      <c r="S917" s="53" t="str">
        <f t="shared" si="188"/>
        <v>Base S2|Compound V Parallel - Season 2|116|Compound V</v>
      </c>
      <c r="T917" s="57" t="str">
        <f>IF($S917="","",IFERROR(VLOOKUP($S917,'Pop Estimates (Non-#d)'!$N$2:$O$500,2,FALSE),""))</f>
        <v/>
      </c>
      <c r="U917" s="57">
        <f t="shared" si="189"/>
        <v>399</v>
      </c>
      <c r="V917" s="53" t="str">
        <f t="shared" si="190"/>
        <v/>
      </c>
      <c r="W917" s="53" t="str">
        <f t="shared" si="191"/>
        <v/>
      </c>
      <c r="X917" s="53" t="str">
        <f t="shared" si="192"/>
        <v/>
      </c>
      <c r="Y917" s="57" t="str">
        <f>IF($X917="","",IFERROR(VLOOKUP($X917,'Char Popularity'!$A$2:$C$500,2,FALSE),""))</f>
        <v/>
      </c>
      <c r="Z917" s="56">
        <f>IF($X917="",1,IFERROR(VLOOKUP($X917,'Char Popularity'!$A$2:$C$500,3,FALSE),1))</f>
        <v>1</v>
      </c>
      <c r="AA917" s="62">
        <f>IF($H917&lt;&gt;"Y",0,(IF($F917&lt;&gt;"",ROUND(Dashboard!$R$4/$F917,1),IF(AND($I917="Base",$E917="Base"),Dashboard!$R$5,IF(AND($I917="Base",$E917="Red"),Dashboard!$R$6,IF(AND($I917="Base",$E917="Gold"),Dashboard!$R$7,VLOOKUP($I917,Dashboard!$Q$16:$R$21,2,FALSE)))))*VLOOKUP($I917,Dashboard!$Q$9:$R$13,2,FALSE)*IF(AND($I917="Auto",$F917="",OR($B917="Autographs Duals",$B917="Autographs Triples",$B917="Autographs Quads",$B917="Autographs Quads (Inscribed)")),IF($B917="Autographs Duals",2,IF($B917="Autographs Triples",3,4)),1)))</f>
        <v>2.5</v>
      </c>
      <c r="AB917" s="62">
        <f t="shared" si="193"/>
        <v>2.5</v>
      </c>
      <c r="AC917" s="62">
        <f t="shared" si="194"/>
        <v>0</v>
      </c>
    </row>
    <row r="918" spans="1:29" ht="42.95" customHeight="1" x14ac:dyDescent="0.25">
      <c r="A918" s="4" t="s">
        <v>19</v>
      </c>
      <c r="B918" s="7" t="s">
        <v>76</v>
      </c>
      <c r="C918" s="2" t="s">
        <v>1516</v>
      </c>
      <c r="D918" s="7" t="s">
        <v>695</v>
      </c>
      <c r="E918" s="4" t="s">
        <v>778</v>
      </c>
      <c r="F918" s="2">
        <v>399</v>
      </c>
      <c r="G918" s="2" t="s">
        <v>1399</v>
      </c>
      <c r="H918" s="2" t="s">
        <v>1400</v>
      </c>
      <c r="I918" s="4" t="s">
        <v>60</v>
      </c>
      <c r="J918" s="112">
        <f>IF($H918&lt;&gt;"Y",0,ROUND(MIN(Dashboard!$R$24,IF(IFERROR(VLOOKUP($B918,Dashboard!$Q$28:$S$60,2,FALSE),0)&gt;0,IFERROR(VLOOKUP($B918,Dashboard!$Q$28:$S$60,2,FALSE),0),$Z918*IF($U918&lt;&gt;"",ROUND((Dashboard!$R$4/$U918)*VLOOKUP($I918,Dashboard!$Q$9:$R$13,2,FALSE)*IF(ISNUMBER(SEARCH("Duals",$B918)),2,IF(ISNUMBER(SEARCH("Triples",$B918)),3,IF(ISNUMBER(SEARCH("Quads",$B918)),4,1))),2),ROUND(VLOOKUP($I918,Dashboard!$Q$15:$R$20,2,FALSE)*IF($E918="Red",Dashboard!$R$6,IF($E918="Gold",Dashboard!$R$7,Dashboard!$R$5))*IF(ISNUMBER(SEARCH("Duals",$B918)),2,IF(ISNUMBER(SEARCH("Triples",$B918)),3,IF(ISNUMBER(SEARCH("Quads",$B918)),4,1))),2))*IF(IFERROR(VLOOKUP($B918,Dashboard!$Q$28:$S$60,3,FALSE),0)&gt;0,VLOOKUP($B918,Dashboard!$Q$28:$S$60,3,FALSE),1))),0))</f>
        <v>3</v>
      </c>
      <c r="K918" s="2" t="str">
        <f>IF('Base S2'!F18="","",'Base S2'!F18)</f>
        <v>C</v>
      </c>
      <c r="L918" s="2">
        <f t="shared" si="182"/>
        <v>1</v>
      </c>
      <c r="M918" s="2">
        <f t="shared" si="183"/>
        <v>0</v>
      </c>
      <c r="N918" s="2">
        <f t="shared" si="184"/>
        <v>1</v>
      </c>
      <c r="O918" s="2">
        <f t="shared" si="185"/>
        <v>0</v>
      </c>
      <c r="P918" s="112">
        <f t="shared" si="186"/>
        <v>3</v>
      </c>
      <c r="Q918" s="112">
        <f t="shared" si="187"/>
        <v>0</v>
      </c>
      <c r="R918" s="53"/>
      <c r="S918" s="53" t="str">
        <f t="shared" si="188"/>
        <v>Base S2|Compound V Parallel - Season 2|117|Compound V</v>
      </c>
      <c r="T918" s="57" t="str">
        <f>IF($S918="","",IFERROR(VLOOKUP($S918,'Pop Estimates (Non-#d)'!$N$2:$O$500,2,FALSE),""))</f>
        <v/>
      </c>
      <c r="U918" s="57">
        <f t="shared" si="189"/>
        <v>399</v>
      </c>
      <c r="V918" s="53" t="str">
        <f t="shared" si="190"/>
        <v/>
      </c>
      <c r="W918" s="53" t="str">
        <f t="shared" si="191"/>
        <v/>
      </c>
      <c r="X918" s="53" t="str">
        <f t="shared" si="192"/>
        <v/>
      </c>
      <c r="Y918" s="57" t="str">
        <f>IF($X918="","",IFERROR(VLOOKUP($X918,'Char Popularity'!$A$2:$C$500,2,FALSE),""))</f>
        <v/>
      </c>
      <c r="Z918" s="56">
        <f>IF($X918="",1,IFERROR(VLOOKUP($X918,'Char Popularity'!$A$2:$C$500,3,FALSE),1))</f>
        <v>1</v>
      </c>
      <c r="AA918" s="62">
        <f>IF($H918&lt;&gt;"Y",0,(IF($F918&lt;&gt;"",ROUND(Dashboard!$R$4/$F918,1),IF(AND($I918="Base",$E918="Base"),Dashboard!$R$5,IF(AND($I918="Base",$E918="Red"),Dashboard!$R$6,IF(AND($I918="Base",$E918="Gold"),Dashboard!$R$7,VLOOKUP($I918,Dashboard!$Q$16:$R$21,2,FALSE)))))*VLOOKUP($I918,Dashboard!$Q$9:$R$13,2,FALSE)*IF(AND($I918="Auto",$F918="",OR($B918="Autographs Duals",$B918="Autographs Triples",$B918="Autographs Quads",$B918="Autographs Quads (Inscribed)")),IF($B918="Autographs Duals",2,IF($B918="Autographs Triples",3,4)),1)))</f>
        <v>2.5</v>
      </c>
      <c r="AB918" s="62">
        <f t="shared" si="193"/>
        <v>2.5</v>
      </c>
      <c r="AC918" s="62">
        <f t="shared" si="194"/>
        <v>0</v>
      </c>
    </row>
    <row r="919" spans="1:29" ht="42.95" customHeight="1" x14ac:dyDescent="0.25">
      <c r="A919" s="4" t="s">
        <v>19</v>
      </c>
      <c r="B919" s="7" t="s">
        <v>76</v>
      </c>
      <c r="C919" s="2" t="s">
        <v>1517</v>
      </c>
      <c r="D919" s="7" t="s">
        <v>1072</v>
      </c>
      <c r="E919" s="4" t="s">
        <v>778</v>
      </c>
      <c r="F919" s="2">
        <v>399</v>
      </c>
      <c r="G919" s="2" t="s">
        <v>1399</v>
      </c>
      <c r="H919" s="2" t="s">
        <v>1400</v>
      </c>
      <c r="I919" s="4" t="s">
        <v>60</v>
      </c>
      <c r="J919" s="112">
        <f>IF($H919&lt;&gt;"Y",0,ROUND(MIN(Dashboard!$R$24,IF(IFERROR(VLOOKUP($B919,Dashboard!$Q$28:$S$60,2,FALSE),0)&gt;0,IFERROR(VLOOKUP($B919,Dashboard!$Q$28:$S$60,2,FALSE),0),$Z919*IF($U919&lt;&gt;"",ROUND((Dashboard!$R$4/$U919)*VLOOKUP($I919,Dashboard!$Q$9:$R$13,2,FALSE)*IF(ISNUMBER(SEARCH("Duals",$B919)),2,IF(ISNUMBER(SEARCH("Triples",$B919)),3,IF(ISNUMBER(SEARCH("Quads",$B919)),4,1))),2),ROUND(VLOOKUP($I919,Dashboard!$Q$15:$R$20,2,FALSE)*IF($E919="Red",Dashboard!$R$6,IF($E919="Gold",Dashboard!$R$7,Dashboard!$R$5))*IF(ISNUMBER(SEARCH("Duals",$B919)),2,IF(ISNUMBER(SEARCH("Triples",$B919)),3,IF(ISNUMBER(SEARCH("Quads",$B919)),4,1))),2))*IF(IFERROR(VLOOKUP($B919,Dashboard!$Q$28:$S$60,3,FALSE),0)&gt;0,VLOOKUP($B919,Dashboard!$Q$28:$S$60,3,FALSE),1))),0))</f>
        <v>3</v>
      </c>
      <c r="K919" s="2" t="str">
        <f>IF('Base S2'!F19="","",'Base S2'!F19)</f>
        <v>C</v>
      </c>
      <c r="L919" s="2">
        <f t="shared" si="182"/>
        <v>1</v>
      </c>
      <c r="M919" s="2">
        <f t="shared" si="183"/>
        <v>0</v>
      </c>
      <c r="N919" s="2">
        <f t="shared" si="184"/>
        <v>1</v>
      </c>
      <c r="O919" s="2">
        <f t="shared" si="185"/>
        <v>0</v>
      </c>
      <c r="P919" s="112">
        <f t="shared" si="186"/>
        <v>3</v>
      </c>
      <c r="Q919" s="112">
        <f t="shared" si="187"/>
        <v>0</v>
      </c>
      <c r="R919" s="53"/>
      <c r="S919" s="53" t="str">
        <f t="shared" si="188"/>
        <v>Base S2|Compound V Parallel - Season 2|118|Compound V</v>
      </c>
      <c r="T919" s="57" t="str">
        <f>IF($S919="","",IFERROR(VLOOKUP($S919,'Pop Estimates (Non-#d)'!$N$2:$O$500,2,FALSE),""))</f>
        <v/>
      </c>
      <c r="U919" s="57">
        <f t="shared" si="189"/>
        <v>399</v>
      </c>
      <c r="V919" s="53" t="str">
        <f t="shared" si="190"/>
        <v/>
      </c>
      <c r="W919" s="53" t="str">
        <f t="shared" si="191"/>
        <v/>
      </c>
      <c r="X919" s="53" t="str">
        <f t="shared" si="192"/>
        <v/>
      </c>
      <c r="Y919" s="57" t="str">
        <f>IF($X919="","",IFERROR(VLOOKUP($X919,'Char Popularity'!$A$2:$C$500,2,FALSE),""))</f>
        <v/>
      </c>
      <c r="Z919" s="56">
        <f>IF($X919="",1,IFERROR(VLOOKUP($X919,'Char Popularity'!$A$2:$C$500,3,FALSE),1))</f>
        <v>1</v>
      </c>
      <c r="AA919" s="62">
        <f>IF($H919&lt;&gt;"Y",0,(IF($F919&lt;&gt;"",ROUND(Dashboard!$R$4/$F919,1),IF(AND($I919="Base",$E919="Base"),Dashboard!$R$5,IF(AND($I919="Base",$E919="Red"),Dashboard!$R$6,IF(AND($I919="Base",$E919="Gold"),Dashboard!$R$7,VLOOKUP($I919,Dashboard!$Q$16:$R$21,2,FALSE)))))*VLOOKUP($I919,Dashboard!$Q$9:$R$13,2,FALSE)*IF(AND($I919="Auto",$F919="",OR($B919="Autographs Duals",$B919="Autographs Triples",$B919="Autographs Quads",$B919="Autographs Quads (Inscribed)")),IF($B919="Autographs Duals",2,IF($B919="Autographs Triples",3,4)),1)))</f>
        <v>2.5</v>
      </c>
      <c r="AB919" s="62">
        <f t="shared" si="193"/>
        <v>2.5</v>
      </c>
      <c r="AC919" s="62">
        <f t="shared" si="194"/>
        <v>0</v>
      </c>
    </row>
    <row r="920" spans="1:29" ht="42.95" customHeight="1" x14ac:dyDescent="0.25">
      <c r="A920" s="4" t="s">
        <v>19</v>
      </c>
      <c r="B920" s="7" t="s">
        <v>76</v>
      </c>
      <c r="C920" s="2" t="s">
        <v>1518</v>
      </c>
      <c r="D920" s="7" t="s">
        <v>1073</v>
      </c>
      <c r="E920" s="4" t="s">
        <v>778</v>
      </c>
      <c r="F920" s="2">
        <v>399</v>
      </c>
      <c r="G920" s="2" t="s">
        <v>1399</v>
      </c>
      <c r="H920" s="2" t="s">
        <v>1400</v>
      </c>
      <c r="I920" s="4" t="s">
        <v>60</v>
      </c>
      <c r="J920" s="112">
        <f>IF($H920&lt;&gt;"Y",0,ROUND(MIN(Dashboard!$R$24,IF(IFERROR(VLOOKUP($B920,Dashboard!$Q$28:$S$60,2,FALSE),0)&gt;0,IFERROR(VLOOKUP($B920,Dashboard!$Q$28:$S$60,2,FALSE),0),$Z920*IF($U920&lt;&gt;"",ROUND((Dashboard!$R$4/$U920)*VLOOKUP($I920,Dashboard!$Q$9:$R$13,2,FALSE)*IF(ISNUMBER(SEARCH("Duals",$B920)),2,IF(ISNUMBER(SEARCH("Triples",$B920)),3,IF(ISNUMBER(SEARCH("Quads",$B920)),4,1))),2),ROUND(VLOOKUP($I920,Dashboard!$Q$15:$R$20,2,FALSE)*IF($E920="Red",Dashboard!$R$6,IF($E920="Gold",Dashboard!$R$7,Dashboard!$R$5))*IF(ISNUMBER(SEARCH("Duals",$B920)),2,IF(ISNUMBER(SEARCH("Triples",$B920)),3,IF(ISNUMBER(SEARCH("Quads",$B920)),4,1))),2))*IF(IFERROR(VLOOKUP($B920,Dashboard!$Q$28:$S$60,3,FALSE),0)&gt;0,VLOOKUP($B920,Dashboard!$Q$28:$S$60,3,FALSE),1))),0))</f>
        <v>3</v>
      </c>
      <c r="K920" s="2" t="str">
        <f>IF('Base S2'!F20="","",'Base S2'!F20)</f>
        <v>V</v>
      </c>
      <c r="L920" s="2">
        <f t="shared" si="182"/>
        <v>1</v>
      </c>
      <c r="M920" s="2">
        <f t="shared" si="183"/>
        <v>0</v>
      </c>
      <c r="N920" s="2">
        <f t="shared" si="184"/>
        <v>1</v>
      </c>
      <c r="O920" s="2">
        <f t="shared" si="185"/>
        <v>0</v>
      </c>
      <c r="P920" s="112">
        <f t="shared" si="186"/>
        <v>3</v>
      </c>
      <c r="Q920" s="112">
        <f t="shared" si="187"/>
        <v>0</v>
      </c>
      <c r="R920" s="53"/>
      <c r="S920" s="53" t="str">
        <f t="shared" si="188"/>
        <v>Base S2|Compound V Parallel - Season 2|119|Compound V</v>
      </c>
      <c r="T920" s="57" t="str">
        <f>IF($S920="","",IFERROR(VLOOKUP($S920,'Pop Estimates (Non-#d)'!$N$2:$O$500,2,FALSE),""))</f>
        <v/>
      </c>
      <c r="U920" s="57">
        <f t="shared" si="189"/>
        <v>399</v>
      </c>
      <c r="V920" s="53" t="str">
        <f t="shared" si="190"/>
        <v/>
      </c>
      <c r="W920" s="53" t="str">
        <f t="shared" si="191"/>
        <v/>
      </c>
      <c r="X920" s="53" t="str">
        <f t="shared" si="192"/>
        <v/>
      </c>
      <c r="Y920" s="57" t="str">
        <f>IF($X920="","",IFERROR(VLOOKUP($X920,'Char Popularity'!$A$2:$C$500,2,FALSE),""))</f>
        <v/>
      </c>
      <c r="Z920" s="56">
        <f>IF($X920="",1,IFERROR(VLOOKUP($X920,'Char Popularity'!$A$2:$C$500,3,FALSE),1))</f>
        <v>1</v>
      </c>
      <c r="AA920" s="62">
        <f>IF($H920&lt;&gt;"Y",0,(IF($F920&lt;&gt;"",ROUND(Dashboard!$R$4/$F920,1),IF(AND($I920="Base",$E920="Base"),Dashboard!$R$5,IF(AND($I920="Base",$E920="Red"),Dashboard!$R$6,IF(AND($I920="Base",$E920="Gold"),Dashboard!$R$7,VLOOKUP($I920,Dashboard!$Q$16:$R$21,2,FALSE)))))*VLOOKUP($I920,Dashboard!$Q$9:$R$13,2,FALSE)*IF(AND($I920="Auto",$F920="",OR($B920="Autographs Duals",$B920="Autographs Triples",$B920="Autographs Quads",$B920="Autographs Quads (Inscribed)")),IF($B920="Autographs Duals",2,IF($B920="Autographs Triples",3,4)),1)))</f>
        <v>2.5</v>
      </c>
      <c r="AB920" s="62">
        <f t="shared" si="193"/>
        <v>2.5</v>
      </c>
      <c r="AC920" s="62">
        <f t="shared" si="194"/>
        <v>0</v>
      </c>
    </row>
    <row r="921" spans="1:29" ht="42.95" customHeight="1" x14ac:dyDescent="0.25">
      <c r="A921" s="4" t="s">
        <v>19</v>
      </c>
      <c r="B921" s="7" t="s">
        <v>76</v>
      </c>
      <c r="C921" s="2" t="s">
        <v>1519</v>
      </c>
      <c r="D921" s="7" t="s">
        <v>1075</v>
      </c>
      <c r="E921" s="4" t="s">
        <v>778</v>
      </c>
      <c r="F921" s="2">
        <v>399</v>
      </c>
      <c r="G921" s="2" t="s">
        <v>1399</v>
      </c>
      <c r="H921" s="2" t="s">
        <v>1400</v>
      </c>
      <c r="I921" s="4" t="s">
        <v>60</v>
      </c>
      <c r="J921" s="112">
        <f>IF($H921&lt;&gt;"Y",0,ROUND(MIN(Dashboard!$R$24,IF(IFERROR(VLOOKUP($B921,Dashboard!$Q$28:$S$60,2,FALSE),0)&gt;0,IFERROR(VLOOKUP($B921,Dashboard!$Q$28:$S$60,2,FALSE),0),$Z921*IF($U921&lt;&gt;"",ROUND((Dashboard!$R$4/$U921)*VLOOKUP($I921,Dashboard!$Q$9:$R$13,2,FALSE)*IF(ISNUMBER(SEARCH("Duals",$B921)),2,IF(ISNUMBER(SEARCH("Triples",$B921)),3,IF(ISNUMBER(SEARCH("Quads",$B921)),4,1))),2),ROUND(VLOOKUP($I921,Dashboard!$Q$15:$R$20,2,FALSE)*IF($E921="Red",Dashboard!$R$6,IF($E921="Gold",Dashboard!$R$7,Dashboard!$R$5))*IF(ISNUMBER(SEARCH("Duals",$B921)),2,IF(ISNUMBER(SEARCH("Triples",$B921)),3,IF(ISNUMBER(SEARCH("Quads",$B921)),4,1))),2))*IF(IFERROR(VLOOKUP($B921,Dashboard!$Q$28:$S$60,3,FALSE),0)&gt;0,VLOOKUP($B921,Dashboard!$Q$28:$S$60,3,FALSE),1))),0))</f>
        <v>3</v>
      </c>
      <c r="K921" s="2" t="str">
        <f>IF('Base S2'!F21="","",'Base S2'!F21)</f>
        <v>V</v>
      </c>
      <c r="L921" s="2">
        <f t="shared" si="182"/>
        <v>1</v>
      </c>
      <c r="M921" s="2">
        <f t="shared" si="183"/>
        <v>0</v>
      </c>
      <c r="N921" s="2">
        <f t="shared" si="184"/>
        <v>1</v>
      </c>
      <c r="O921" s="2">
        <f t="shared" si="185"/>
        <v>0</v>
      </c>
      <c r="P921" s="112">
        <f t="shared" si="186"/>
        <v>3</v>
      </c>
      <c r="Q921" s="112">
        <f t="shared" si="187"/>
        <v>0</v>
      </c>
      <c r="R921" s="53"/>
      <c r="S921" s="53" t="str">
        <f t="shared" si="188"/>
        <v>Base S2|Compound V Parallel - Season 2|120|Compound V</v>
      </c>
      <c r="T921" s="57" t="str">
        <f>IF($S921="","",IFERROR(VLOOKUP($S921,'Pop Estimates (Non-#d)'!$N$2:$O$500,2,FALSE),""))</f>
        <v/>
      </c>
      <c r="U921" s="57">
        <f t="shared" si="189"/>
        <v>399</v>
      </c>
      <c r="V921" s="53" t="str">
        <f t="shared" si="190"/>
        <v/>
      </c>
      <c r="W921" s="53" t="str">
        <f t="shared" si="191"/>
        <v/>
      </c>
      <c r="X921" s="53" t="str">
        <f t="shared" si="192"/>
        <v/>
      </c>
      <c r="Y921" s="57" t="str">
        <f>IF($X921="","",IFERROR(VLOOKUP($X921,'Char Popularity'!$A$2:$C$500,2,FALSE),""))</f>
        <v/>
      </c>
      <c r="Z921" s="56">
        <f>IF($X921="",1,IFERROR(VLOOKUP($X921,'Char Popularity'!$A$2:$C$500,3,FALSE),1))</f>
        <v>1</v>
      </c>
      <c r="AA921" s="62">
        <f>IF($H921&lt;&gt;"Y",0,(IF($F921&lt;&gt;"",ROUND(Dashboard!$R$4/$F921,1),IF(AND($I921="Base",$E921="Base"),Dashboard!$R$5,IF(AND($I921="Base",$E921="Red"),Dashboard!$R$6,IF(AND($I921="Base",$E921="Gold"),Dashboard!$R$7,VLOOKUP($I921,Dashboard!$Q$16:$R$21,2,FALSE)))))*VLOOKUP($I921,Dashboard!$Q$9:$R$13,2,FALSE)*IF(AND($I921="Auto",$F921="",OR($B921="Autographs Duals",$B921="Autographs Triples",$B921="Autographs Quads",$B921="Autographs Quads (Inscribed)")),IF($B921="Autographs Duals",2,IF($B921="Autographs Triples",3,4)),1)))</f>
        <v>2.5</v>
      </c>
      <c r="AB921" s="62">
        <f t="shared" si="193"/>
        <v>2.5</v>
      </c>
      <c r="AC921" s="62">
        <f t="shared" si="194"/>
        <v>0</v>
      </c>
    </row>
    <row r="922" spans="1:29" ht="42.95" customHeight="1" x14ac:dyDescent="0.25">
      <c r="A922" s="4" t="s">
        <v>19</v>
      </c>
      <c r="B922" s="7" t="s">
        <v>76</v>
      </c>
      <c r="C922" s="2" t="s">
        <v>1520</v>
      </c>
      <c r="D922" s="7" t="s">
        <v>1077</v>
      </c>
      <c r="E922" s="4" t="s">
        <v>778</v>
      </c>
      <c r="F922" s="2">
        <v>399</v>
      </c>
      <c r="G922" s="2" t="s">
        <v>1399</v>
      </c>
      <c r="H922" s="2" t="s">
        <v>1400</v>
      </c>
      <c r="I922" s="4" t="s">
        <v>60</v>
      </c>
      <c r="J922" s="112">
        <f>IF($H922&lt;&gt;"Y",0,ROUND(MIN(Dashboard!$R$24,IF(IFERROR(VLOOKUP($B922,Dashboard!$Q$28:$S$60,2,FALSE),0)&gt;0,IFERROR(VLOOKUP($B922,Dashboard!$Q$28:$S$60,2,FALSE),0),$Z922*IF($U922&lt;&gt;"",ROUND((Dashboard!$R$4/$U922)*VLOOKUP($I922,Dashboard!$Q$9:$R$13,2,FALSE)*IF(ISNUMBER(SEARCH("Duals",$B922)),2,IF(ISNUMBER(SEARCH("Triples",$B922)),3,IF(ISNUMBER(SEARCH("Quads",$B922)),4,1))),2),ROUND(VLOOKUP($I922,Dashboard!$Q$15:$R$20,2,FALSE)*IF($E922="Red",Dashboard!$R$6,IF($E922="Gold",Dashboard!$R$7,Dashboard!$R$5))*IF(ISNUMBER(SEARCH("Duals",$B922)),2,IF(ISNUMBER(SEARCH("Triples",$B922)),3,IF(ISNUMBER(SEARCH("Quads",$B922)),4,1))),2))*IF(IFERROR(VLOOKUP($B922,Dashboard!$Q$28:$S$60,3,FALSE),0)&gt;0,VLOOKUP($B922,Dashboard!$Q$28:$S$60,3,FALSE),1))),0))</f>
        <v>3</v>
      </c>
      <c r="K922" s="2" t="str">
        <f>IF('Base S2'!F22="","",'Base S2'!F22)</f>
        <v>C</v>
      </c>
      <c r="L922" s="2">
        <f t="shared" si="182"/>
        <v>1</v>
      </c>
      <c r="M922" s="2">
        <f t="shared" si="183"/>
        <v>0</v>
      </c>
      <c r="N922" s="2">
        <f t="shared" si="184"/>
        <v>1</v>
      </c>
      <c r="O922" s="2">
        <f t="shared" si="185"/>
        <v>0</v>
      </c>
      <c r="P922" s="112">
        <f t="shared" si="186"/>
        <v>3</v>
      </c>
      <c r="Q922" s="112">
        <f t="shared" si="187"/>
        <v>0</v>
      </c>
      <c r="R922" s="53"/>
      <c r="S922" s="53" t="str">
        <f t="shared" si="188"/>
        <v>Base S2|Compound V Parallel - Season 2|121|Compound V</v>
      </c>
      <c r="T922" s="57" t="str">
        <f>IF($S922="","",IFERROR(VLOOKUP($S922,'Pop Estimates (Non-#d)'!$N$2:$O$500,2,FALSE),""))</f>
        <v/>
      </c>
      <c r="U922" s="57">
        <f t="shared" si="189"/>
        <v>399</v>
      </c>
      <c r="V922" s="53" t="str">
        <f t="shared" si="190"/>
        <v/>
      </c>
      <c r="W922" s="53" t="str">
        <f t="shared" si="191"/>
        <v/>
      </c>
      <c r="X922" s="53" t="str">
        <f t="shared" si="192"/>
        <v/>
      </c>
      <c r="Y922" s="57" t="str">
        <f>IF($X922="","",IFERROR(VLOOKUP($X922,'Char Popularity'!$A$2:$C$500,2,FALSE),""))</f>
        <v/>
      </c>
      <c r="Z922" s="56">
        <f>IF($X922="",1,IFERROR(VLOOKUP($X922,'Char Popularity'!$A$2:$C$500,3,FALSE),1))</f>
        <v>1</v>
      </c>
      <c r="AA922" s="62">
        <f>IF($H922&lt;&gt;"Y",0,(IF($F922&lt;&gt;"",ROUND(Dashboard!$R$4/$F922,1),IF(AND($I922="Base",$E922="Base"),Dashboard!$R$5,IF(AND($I922="Base",$E922="Red"),Dashboard!$R$6,IF(AND($I922="Base",$E922="Gold"),Dashboard!$R$7,VLOOKUP($I922,Dashboard!$Q$16:$R$21,2,FALSE)))))*VLOOKUP($I922,Dashboard!$Q$9:$R$13,2,FALSE)*IF(AND($I922="Auto",$F922="",OR($B922="Autographs Duals",$B922="Autographs Triples",$B922="Autographs Quads",$B922="Autographs Quads (Inscribed)")),IF($B922="Autographs Duals",2,IF($B922="Autographs Triples",3,4)),1)))</f>
        <v>2.5</v>
      </c>
      <c r="AB922" s="62">
        <f t="shared" si="193"/>
        <v>2.5</v>
      </c>
      <c r="AC922" s="62">
        <f t="shared" si="194"/>
        <v>0</v>
      </c>
    </row>
    <row r="923" spans="1:29" ht="42.95" customHeight="1" x14ac:dyDescent="0.25">
      <c r="A923" s="4" t="s">
        <v>19</v>
      </c>
      <c r="B923" s="7" t="s">
        <v>76</v>
      </c>
      <c r="C923" s="2" t="s">
        <v>1521</v>
      </c>
      <c r="D923" s="7" t="s">
        <v>1079</v>
      </c>
      <c r="E923" s="4" t="s">
        <v>778</v>
      </c>
      <c r="F923" s="2">
        <v>399</v>
      </c>
      <c r="G923" s="2" t="s">
        <v>1399</v>
      </c>
      <c r="H923" s="2" t="s">
        <v>1400</v>
      </c>
      <c r="I923" s="4" t="s">
        <v>60</v>
      </c>
      <c r="J923" s="112">
        <f>IF($H923&lt;&gt;"Y",0,ROUND(MIN(Dashboard!$R$24,IF(IFERROR(VLOOKUP($B923,Dashboard!$Q$28:$S$60,2,FALSE),0)&gt;0,IFERROR(VLOOKUP($B923,Dashboard!$Q$28:$S$60,2,FALSE),0),$Z923*IF($U923&lt;&gt;"",ROUND((Dashboard!$R$4/$U923)*VLOOKUP($I923,Dashboard!$Q$9:$R$13,2,FALSE)*IF(ISNUMBER(SEARCH("Duals",$B923)),2,IF(ISNUMBER(SEARCH("Triples",$B923)),3,IF(ISNUMBER(SEARCH("Quads",$B923)),4,1))),2),ROUND(VLOOKUP($I923,Dashboard!$Q$15:$R$20,2,FALSE)*IF($E923="Red",Dashboard!$R$6,IF($E923="Gold",Dashboard!$R$7,Dashboard!$R$5))*IF(ISNUMBER(SEARCH("Duals",$B923)),2,IF(ISNUMBER(SEARCH("Triples",$B923)),3,IF(ISNUMBER(SEARCH("Quads",$B923)),4,1))),2))*IF(IFERROR(VLOOKUP($B923,Dashboard!$Q$28:$S$60,3,FALSE),0)&gt;0,VLOOKUP($B923,Dashboard!$Q$28:$S$60,3,FALSE),1))),0))</f>
        <v>3</v>
      </c>
      <c r="K923" s="2" t="str">
        <f>IF('Base S2'!F23="","",'Base S2'!F23)</f>
        <v>C</v>
      </c>
      <c r="L923" s="2">
        <f t="shared" si="182"/>
        <v>1</v>
      </c>
      <c r="M923" s="2">
        <f t="shared" si="183"/>
        <v>0</v>
      </c>
      <c r="N923" s="2">
        <f t="shared" si="184"/>
        <v>1</v>
      </c>
      <c r="O923" s="2">
        <f t="shared" si="185"/>
        <v>0</v>
      </c>
      <c r="P923" s="112">
        <f t="shared" si="186"/>
        <v>3</v>
      </c>
      <c r="Q923" s="112">
        <f t="shared" si="187"/>
        <v>0</v>
      </c>
      <c r="R923" s="53"/>
      <c r="S923" s="53" t="str">
        <f t="shared" si="188"/>
        <v>Base S2|Compound V Parallel - Season 2|122|Compound V</v>
      </c>
      <c r="T923" s="57" t="str">
        <f>IF($S923="","",IFERROR(VLOOKUP($S923,'Pop Estimates (Non-#d)'!$N$2:$O$500,2,FALSE),""))</f>
        <v/>
      </c>
      <c r="U923" s="57">
        <f t="shared" si="189"/>
        <v>399</v>
      </c>
      <c r="V923" s="53" t="str">
        <f t="shared" si="190"/>
        <v/>
      </c>
      <c r="W923" s="53" t="str">
        <f t="shared" si="191"/>
        <v/>
      </c>
      <c r="X923" s="53" t="str">
        <f t="shared" si="192"/>
        <v/>
      </c>
      <c r="Y923" s="57" t="str">
        <f>IF($X923="","",IFERROR(VLOOKUP($X923,'Char Popularity'!$A$2:$C$500,2,FALSE),""))</f>
        <v/>
      </c>
      <c r="Z923" s="56">
        <f>IF($X923="",1,IFERROR(VLOOKUP($X923,'Char Popularity'!$A$2:$C$500,3,FALSE),1))</f>
        <v>1</v>
      </c>
      <c r="AA923" s="62">
        <f>IF($H923&lt;&gt;"Y",0,(IF($F923&lt;&gt;"",ROUND(Dashboard!$R$4/$F923,1),IF(AND($I923="Base",$E923="Base"),Dashboard!$R$5,IF(AND($I923="Base",$E923="Red"),Dashboard!$R$6,IF(AND($I923="Base",$E923="Gold"),Dashboard!$R$7,VLOOKUP($I923,Dashboard!$Q$16:$R$21,2,FALSE)))))*VLOOKUP($I923,Dashboard!$Q$9:$R$13,2,FALSE)*IF(AND($I923="Auto",$F923="",OR($B923="Autographs Duals",$B923="Autographs Triples",$B923="Autographs Quads",$B923="Autographs Quads (Inscribed)")),IF($B923="Autographs Duals",2,IF($B923="Autographs Triples",3,4)),1)))</f>
        <v>2.5</v>
      </c>
      <c r="AB923" s="62">
        <f t="shared" si="193"/>
        <v>2.5</v>
      </c>
      <c r="AC923" s="62">
        <f t="shared" si="194"/>
        <v>0</v>
      </c>
    </row>
    <row r="924" spans="1:29" ht="42.95" customHeight="1" x14ac:dyDescent="0.25">
      <c r="A924" s="4" t="s">
        <v>19</v>
      </c>
      <c r="B924" s="7" t="s">
        <v>76</v>
      </c>
      <c r="C924" s="2" t="s">
        <v>1522</v>
      </c>
      <c r="D924" s="7" t="s">
        <v>1080</v>
      </c>
      <c r="E924" s="4" t="s">
        <v>778</v>
      </c>
      <c r="F924" s="2">
        <v>399</v>
      </c>
      <c r="G924" s="2" t="s">
        <v>1399</v>
      </c>
      <c r="H924" s="2" t="s">
        <v>1400</v>
      </c>
      <c r="I924" s="4" t="s">
        <v>60</v>
      </c>
      <c r="J924" s="112">
        <f>IF($H924&lt;&gt;"Y",0,ROUND(MIN(Dashboard!$R$24,IF(IFERROR(VLOOKUP($B924,Dashboard!$Q$28:$S$60,2,FALSE),0)&gt;0,IFERROR(VLOOKUP($B924,Dashboard!$Q$28:$S$60,2,FALSE),0),$Z924*IF($U924&lt;&gt;"",ROUND((Dashboard!$R$4/$U924)*VLOOKUP($I924,Dashboard!$Q$9:$R$13,2,FALSE)*IF(ISNUMBER(SEARCH("Duals",$B924)),2,IF(ISNUMBER(SEARCH("Triples",$B924)),3,IF(ISNUMBER(SEARCH("Quads",$B924)),4,1))),2),ROUND(VLOOKUP($I924,Dashboard!$Q$15:$R$20,2,FALSE)*IF($E924="Red",Dashboard!$R$6,IF($E924="Gold",Dashboard!$R$7,Dashboard!$R$5))*IF(ISNUMBER(SEARCH("Duals",$B924)),2,IF(ISNUMBER(SEARCH("Triples",$B924)),3,IF(ISNUMBER(SEARCH("Quads",$B924)),4,1))),2))*IF(IFERROR(VLOOKUP($B924,Dashboard!$Q$28:$S$60,3,FALSE),0)&gt;0,VLOOKUP($B924,Dashboard!$Q$28:$S$60,3,FALSE),1))),0))</f>
        <v>3</v>
      </c>
      <c r="K924" s="2" t="str">
        <f>IF('Base S2'!F24="","",'Base S2'!F24)</f>
        <v>C</v>
      </c>
      <c r="L924" s="2">
        <f t="shared" si="182"/>
        <v>1</v>
      </c>
      <c r="M924" s="2">
        <f t="shared" si="183"/>
        <v>0</v>
      </c>
      <c r="N924" s="2">
        <f t="shared" si="184"/>
        <v>1</v>
      </c>
      <c r="O924" s="2">
        <f t="shared" si="185"/>
        <v>0</v>
      </c>
      <c r="P924" s="112">
        <f t="shared" si="186"/>
        <v>3</v>
      </c>
      <c r="Q924" s="112">
        <f t="shared" si="187"/>
        <v>0</v>
      </c>
      <c r="R924" s="53"/>
      <c r="S924" s="53" t="str">
        <f t="shared" si="188"/>
        <v>Base S2|Compound V Parallel - Season 2|123|Compound V</v>
      </c>
      <c r="T924" s="57" t="str">
        <f>IF($S924="","",IFERROR(VLOOKUP($S924,'Pop Estimates (Non-#d)'!$N$2:$O$500,2,FALSE),""))</f>
        <v/>
      </c>
      <c r="U924" s="57">
        <f t="shared" si="189"/>
        <v>399</v>
      </c>
      <c r="V924" s="53" t="str">
        <f t="shared" si="190"/>
        <v/>
      </c>
      <c r="W924" s="53" t="str">
        <f t="shared" si="191"/>
        <v/>
      </c>
      <c r="X924" s="53" t="str">
        <f t="shared" si="192"/>
        <v/>
      </c>
      <c r="Y924" s="57" t="str">
        <f>IF($X924="","",IFERROR(VLOOKUP($X924,'Char Popularity'!$A$2:$C$500,2,FALSE),""))</f>
        <v/>
      </c>
      <c r="Z924" s="56">
        <f>IF($X924="",1,IFERROR(VLOOKUP($X924,'Char Popularity'!$A$2:$C$500,3,FALSE),1))</f>
        <v>1</v>
      </c>
      <c r="AA924" s="62">
        <f>IF($H924&lt;&gt;"Y",0,(IF($F924&lt;&gt;"",ROUND(Dashboard!$R$4/$F924,1),IF(AND($I924="Base",$E924="Base"),Dashboard!$R$5,IF(AND($I924="Base",$E924="Red"),Dashboard!$R$6,IF(AND($I924="Base",$E924="Gold"),Dashboard!$R$7,VLOOKUP($I924,Dashboard!$Q$16:$R$21,2,FALSE)))))*VLOOKUP($I924,Dashboard!$Q$9:$R$13,2,FALSE)*IF(AND($I924="Auto",$F924="",OR($B924="Autographs Duals",$B924="Autographs Triples",$B924="Autographs Quads",$B924="Autographs Quads (Inscribed)")),IF($B924="Autographs Duals",2,IF($B924="Autographs Triples",3,4)),1)))</f>
        <v>2.5</v>
      </c>
      <c r="AB924" s="62">
        <f t="shared" si="193"/>
        <v>2.5</v>
      </c>
      <c r="AC924" s="62">
        <f t="shared" si="194"/>
        <v>0</v>
      </c>
    </row>
    <row r="925" spans="1:29" ht="42.95" customHeight="1" x14ac:dyDescent="0.25">
      <c r="A925" s="4" t="s">
        <v>19</v>
      </c>
      <c r="B925" s="7" t="s">
        <v>76</v>
      </c>
      <c r="C925" s="2" t="s">
        <v>1523</v>
      </c>
      <c r="D925" s="7" t="s">
        <v>1081</v>
      </c>
      <c r="E925" s="4" t="s">
        <v>778</v>
      </c>
      <c r="F925" s="2">
        <v>399</v>
      </c>
      <c r="G925" s="2" t="s">
        <v>1399</v>
      </c>
      <c r="H925" s="2" t="s">
        <v>1400</v>
      </c>
      <c r="I925" s="4" t="s">
        <v>60</v>
      </c>
      <c r="J925" s="112">
        <f>IF($H925&lt;&gt;"Y",0,ROUND(MIN(Dashboard!$R$24,IF(IFERROR(VLOOKUP($B925,Dashboard!$Q$28:$S$60,2,FALSE),0)&gt;0,IFERROR(VLOOKUP($B925,Dashboard!$Q$28:$S$60,2,FALSE),0),$Z925*IF($U925&lt;&gt;"",ROUND((Dashboard!$R$4/$U925)*VLOOKUP($I925,Dashboard!$Q$9:$R$13,2,FALSE)*IF(ISNUMBER(SEARCH("Duals",$B925)),2,IF(ISNUMBER(SEARCH("Triples",$B925)),3,IF(ISNUMBER(SEARCH("Quads",$B925)),4,1))),2),ROUND(VLOOKUP($I925,Dashboard!$Q$15:$R$20,2,FALSE)*IF($E925="Red",Dashboard!$R$6,IF($E925="Gold",Dashboard!$R$7,Dashboard!$R$5))*IF(ISNUMBER(SEARCH("Duals",$B925)),2,IF(ISNUMBER(SEARCH("Triples",$B925)),3,IF(ISNUMBER(SEARCH("Quads",$B925)),4,1))),2))*IF(IFERROR(VLOOKUP($B925,Dashboard!$Q$28:$S$60,3,FALSE),0)&gt;0,VLOOKUP($B925,Dashboard!$Q$28:$S$60,3,FALSE),1))),0))</f>
        <v>3</v>
      </c>
      <c r="K925" s="2" t="str">
        <f>IF('Base S2'!F25="","",'Base S2'!F25)</f>
        <v>V</v>
      </c>
      <c r="L925" s="2">
        <f t="shared" si="182"/>
        <v>1</v>
      </c>
      <c r="M925" s="2">
        <f t="shared" si="183"/>
        <v>0</v>
      </c>
      <c r="N925" s="2">
        <f t="shared" si="184"/>
        <v>1</v>
      </c>
      <c r="O925" s="2">
        <f t="shared" si="185"/>
        <v>0</v>
      </c>
      <c r="P925" s="112">
        <f t="shared" si="186"/>
        <v>3</v>
      </c>
      <c r="Q925" s="112">
        <f t="shared" si="187"/>
        <v>0</v>
      </c>
      <c r="R925" s="53"/>
      <c r="S925" s="53" t="str">
        <f t="shared" si="188"/>
        <v>Base S2|Compound V Parallel - Season 2|124|Compound V</v>
      </c>
      <c r="T925" s="57" t="str">
        <f>IF($S925="","",IFERROR(VLOOKUP($S925,'Pop Estimates (Non-#d)'!$N$2:$O$500,2,FALSE),""))</f>
        <v/>
      </c>
      <c r="U925" s="57">
        <f t="shared" si="189"/>
        <v>399</v>
      </c>
      <c r="V925" s="53" t="str">
        <f t="shared" si="190"/>
        <v/>
      </c>
      <c r="W925" s="53" t="str">
        <f t="shared" si="191"/>
        <v/>
      </c>
      <c r="X925" s="53" t="str">
        <f t="shared" si="192"/>
        <v/>
      </c>
      <c r="Y925" s="57" t="str">
        <f>IF($X925="","",IFERROR(VLOOKUP($X925,'Char Popularity'!$A$2:$C$500,2,FALSE),""))</f>
        <v/>
      </c>
      <c r="Z925" s="56">
        <f>IF($X925="",1,IFERROR(VLOOKUP($X925,'Char Popularity'!$A$2:$C$500,3,FALSE),1))</f>
        <v>1</v>
      </c>
      <c r="AA925" s="62">
        <f>IF($H925&lt;&gt;"Y",0,(IF($F925&lt;&gt;"",ROUND(Dashboard!$R$4/$F925,1),IF(AND($I925="Base",$E925="Base"),Dashboard!$R$5,IF(AND($I925="Base",$E925="Red"),Dashboard!$R$6,IF(AND($I925="Base",$E925="Gold"),Dashboard!$R$7,VLOOKUP($I925,Dashboard!$Q$16:$R$21,2,FALSE)))))*VLOOKUP($I925,Dashboard!$Q$9:$R$13,2,FALSE)*IF(AND($I925="Auto",$F925="",OR($B925="Autographs Duals",$B925="Autographs Triples",$B925="Autographs Quads",$B925="Autographs Quads (Inscribed)")),IF($B925="Autographs Duals",2,IF($B925="Autographs Triples",3,4)),1)))</f>
        <v>2.5</v>
      </c>
      <c r="AB925" s="62">
        <f t="shared" si="193"/>
        <v>2.5</v>
      </c>
      <c r="AC925" s="62">
        <f t="shared" si="194"/>
        <v>0</v>
      </c>
    </row>
    <row r="926" spans="1:29" ht="42.95" customHeight="1" x14ac:dyDescent="0.25">
      <c r="A926" s="4" t="s">
        <v>19</v>
      </c>
      <c r="B926" s="7" t="s">
        <v>76</v>
      </c>
      <c r="C926" s="2" t="s">
        <v>1524</v>
      </c>
      <c r="D926" s="7" t="s">
        <v>1082</v>
      </c>
      <c r="E926" s="4" t="s">
        <v>778</v>
      </c>
      <c r="F926" s="2">
        <v>399</v>
      </c>
      <c r="G926" s="2" t="s">
        <v>1399</v>
      </c>
      <c r="H926" s="2" t="s">
        <v>1400</v>
      </c>
      <c r="I926" s="4" t="s">
        <v>60</v>
      </c>
      <c r="J926" s="112">
        <f>IF($H926&lt;&gt;"Y",0,ROUND(MIN(Dashboard!$R$24,IF(IFERROR(VLOOKUP($B926,Dashboard!$Q$28:$S$60,2,FALSE),0)&gt;0,IFERROR(VLOOKUP($B926,Dashboard!$Q$28:$S$60,2,FALSE),0),$Z926*IF($U926&lt;&gt;"",ROUND((Dashboard!$R$4/$U926)*VLOOKUP($I926,Dashboard!$Q$9:$R$13,2,FALSE)*IF(ISNUMBER(SEARCH("Duals",$B926)),2,IF(ISNUMBER(SEARCH("Triples",$B926)),3,IF(ISNUMBER(SEARCH("Quads",$B926)),4,1))),2),ROUND(VLOOKUP($I926,Dashboard!$Q$15:$R$20,2,FALSE)*IF($E926="Red",Dashboard!$R$6,IF($E926="Gold",Dashboard!$R$7,Dashboard!$R$5))*IF(ISNUMBER(SEARCH("Duals",$B926)),2,IF(ISNUMBER(SEARCH("Triples",$B926)),3,IF(ISNUMBER(SEARCH("Quads",$B926)),4,1))),2))*IF(IFERROR(VLOOKUP($B926,Dashboard!$Q$28:$S$60,3,FALSE),0)&gt;0,VLOOKUP($B926,Dashboard!$Q$28:$S$60,3,FALSE),1))),0))</f>
        <v>3</v>
      </c>
      <c r="K926" s="2" t="str">
        <f>IF('Base S2'!F26="","",'Base S2'!F26)</f>
        <v>C</v>
      </c>
      <c r="L926" s="2">
        <f t="shared" si="182"/>
        <v>1</v>
      </c>
      <c r="M926" s="2">
        <f t="shared" si="183"/>
        <v>0</v>
      </c>
      <c r="N926" s="2">
        <f t="shared" si="184"/>
        <v>1</v>
      </c>
      <c r="O926" s="2">
        <f t="shared" si="185"/>
        <v>0</v>
      </c>
      <c r="P926" s="112">
        <f t="shared" si="186"/>
        <v>3</v>
      </c>
      <c r="Q926" s="112">
        <f t="shared" si="187"/>
        <v>0</v>
      </c>
      <c r="R926" s="53"/>
      <c r="S926" s="53" t="str">
        <f t="shared" si="188"/>
        <v>Base S2|Compound V Parallel - Season 2|125|Compound V</v>
      </c>
      <c r="T926" s="57" t="str">
        <f>IF($S926="","",IFERROR(VLOOKUP($S926,'Pop Estimates (Non-#d)'!$N$2:$O$500,2,FALSE),""))</f>
        <v/>
      </c>
      <c r="U926" s="57">
        <f t="shared" si="189"/>
        <v>399</v>
      </c>
      <c r="V926" s="53" t="str">
        <f t="shared" si="190"/>
        <v/>
      </c>
      <c r="W926" s="53" t="str">
        <f t="shared" si="191"/>
        <v/>
      </c>
      <c r="X926" s="53" t="str">
        <f t="shared" si="192"/>
        <v/>
      </c>
      <c r="Y926" s="57" t="str">
        <f>IF($X926="","",IFERROR(VLOOKUP($X926,'Char Popularity'!$A$2:$C$500,2,FALSE),""))</f>
        <v/>
      </c>
      <c r="Z926" s="56">
        <f>IF($X926="",1,IFERROR(VLOOKUP($X926,'Char Popularity'!$A$2:$C$500,3,FALSE),1))</f>
        <v>1</v>
      </c>
      <c r="AA926" s="62">
        <f>IF($H926&lt;&gt;"Y",0,(IF($F926&lt;&gt;"",ROUND(Dashboard!$R$4/$F926,1),IF(AND($I926="Base",$E926="Base"),Dashboard!$R$5,IF(AND($I926="Base",$E926="Red"),Dashboard!$R$6,IF(AND($I926="Base",$E926="Gold"),Dashboard!$R$7,VLOOKUP($I926,Dashboard!$Q$16:$R$21,2,FALSE)))))*VLOOKUP($I926,Dashboard!$Q$9:$R$13,2,FALSE)*IF(AND($I926="Auto",$F926="",OR($B926="Autographs Duals",$B926="Autographs Triples",$B926="Autographs Quads",$B926="Autographs Quads (Inscribed)")),IF($B926="Autographs Duals",2,IF($B926="Autographs Triples",3,4)),1)))</f>
        <v>2.5</v>
      </c>
      <c r="AB926" s="62">
        <f t="shared" si="193"/>
        <v>2.5</v>
      </c>
      <c r="AC926" s="62">
        <f t="shared" si="194"/>
        <v>0</v>
      </c>
    </row>
    <row r="927" spans="1:29" ht="42.95" customHeight="1" x14ac:dyDescent="0.25">
      <c r="A927" s="4" t="s">
        <v>19</v>
      </c>
      <c r="B927" s="7" t="s">
        <v>76</v>
      </c>
      <c r="C927" s="2" t="s">
        <v>1525</v>
      </c>
      <c r="D927" s="7" t="s">
        <v>1083</v>
      </c>
      <c r="E927" s="4" t="s">
        <v>778</v>
      </c>
      <c r="F927" s="2">
        <v>399</v>
      </c>
      <c r="G927" s="2" t="s">
        <v>1399</v>
      </c>
      <c r="H927" s="2" t="s">
        <v>1400</v>
      </c>
      <c r="I927" s="4" t="s">
        <v>60</v>
      </c>
      <c r="J927" s="112">
        <f>IF($H927&lt;&gt;"Y",0,ROUND(MIN(Dashboard!$R$24,IF(IFERROR(VLOOKUP($B927,Dashboard!$Q$28:$S$60,2,FALSE),0)&gt;0,IFERROR(VLOOKUP($B927,Dashboard!$Q$28:$S$60,2,FALSE),0),$Z927*IF($U927&lt;&gt;"",ROUND((Dashboard!$R$4/$U927)*VLOOKUP($I927,Dashboard!$Q$9:$R$13,2,FALSE)*IF(ISNUMBER(SEARCH("Duals",$B927)),2,IF(ISNUMBER(SEARCH("Triples",$B927)),3,IF(ISNUMBER(SEARCH("Quads",$B927)),4,1))),2),ROUND(VLOOKUP($I927,Dashboard!$Q$15:$R$20,2,FALSE)*IF($E927="Red",Dashboard!$R$6,IF($E927="Gold",Dashboard!$R$7,Dashboard!$R$5))*IF(ISNUMBER(SEARCH("Duals",$B927)),2,IF(ISNUMBER(SEARCH("Triples",$B927)),3,IF(ISNUMBER(SEARCH("Quads",$B927)),4,1))),2))*IF(IFERROR(VLOOKUP($B927,Dashboard!$Q$28:$S$60,3,FALSE),0)&gt;0,VLOOKUP($B927,Dashboard!$Q$28:$S$60,3,FALSE),1))),0))</f>
        <v>3</v>
      </c>
      <c r="K927" s="2" t="str">
        <f>IF('Base S2'!F27="","",'Base S2'!F27)</f>
        <v>C</v>
      </c>
      <c r="L927" s="2">
        <f t="shared" si="182"/>
        <v>1</v>
      </c>
      <c r="M927" s="2">
        <f t="shared" si="183"/>
        <v>0</v>
      </c>
      <c r="N927" s="2">
        <f t="shared" si="184"/>
        <v>1</v>
      </c>
      <c r="O927" s="2">
        <f t="shared" si="185"/>
        <v>0</v>
      </c>
      <c r="P927" s="112">
        <f t="shared" si="186"/>
        <v>3</v>
      </c>
      <c r="Q927" s="112">
        <f t="shared" si="187"/>
        <v>0</v>
      </c>
      <c r="R927" s="53"/>
      <c r="S927" s="53" t="str">
        <f t="shared" si="188"/>
        <v>Base S2|Compound V Parallel - Season 2|126|Compound V</v>
      </c>
      <c r="T927" s="57" t="str">
        <f>IF($S927="","",IFERROR(VLOOKUP($S927,'Pop Estimates (Non-#d)'!$N$2:$O$500,2,FALSE),""))</f>
        <v/>
      </c>
      <c r="U927" s="57">
        <f t="shared" si="189"/>
        <v>399</v>
      </c>
      <c r="V927" s="53" t="str">
        <f t="shared" si="190"/>
        <v/>
      </c>
      <c r="W927" s="53" t="str">
        <f t="shared" si="191"/>
        <v/>
      </c>
      <c r="X927" s="53" t="str">
        <f t="shared" si="192"/>
        <v/>
      </c>
      <c r="Y927" s="57" t="str">
        <f>IF($X927="","",IFERROR(VLOOKUP($X927,'Char Popularity'!$A$2:$C$500,2,FALSE),""))</f>
        <v/>
      </c>
      <c r="Z927" s="56">
        <f>IF($X927="",1,IFERROR(VLOOKUP($X927,'Char Popularity'!$A$2:$C$500,3,FALSE),1))</f>
        <v>1</v>
      </c>
      <c r="AA927" s="62">
        <f>IF($H927&lt;&gt;"Y",0,(IF($F927&lt;&gt;"",ROUND(Dashboard!$R$4/$F927,1),IF(AND($I927="Base",$E927="Base"),Dashboard!$R$5,IF(AND($I927="Base",$E927="Red"),Dashboard!$R$6,IF(AND($I927="Base",$E927="Gold"),Dashboard!$R$7,VLOOKUP($I927,Dashboard!$Q$16:$R$21,2,FALSE)))))*VLOOKUP($I927,Dashboard!$Q$9:$R$13,2,FALSE)*IF(AND($I927="Auto",$F927="",OR($B927="Autographs Duals",$B927="Autographs Triples",$B927="Autographs Quads",$B927="Autographs Quads (Inscribed)")),IF($B927="Autographs Duals",2,IF($B927="Autographs Triples",3,4)),1)))</f>
        <v>2.5</v>
      </c>
      <c r="AB927" s="62">
        <f t="shared" si="193"/>
        <v>2.5</v>
      </c>
      <c r="AC927" s="62">
        <f t="shared" si="194"/>
        <v>0</v>
      </c>
    </row>
    <row r="928" spans="1:29" ht="42.95" customHeight="1" x14ac:dyDescent="0.25">
      <c r="A928" s="4" t="s">
        <v>19</v>
      </c>
      <c r="B928" s="7" t="s">
        <v>76</v>
      </c>
      <c r="C928" s="2" t="s">
        <v>1526</v>
      </c>
      <c r="D928" s="7" t="s">
        <v>1085</v>
      </c>
      <c r="E928" s="4" t="s">
        <v>778</v>
      </c>
      <c r="F928" s="2">
        <v>399</v>
      </c>
      <c r="G928" s="2" t="s">
        <v>1399</v>
      </c>
      <c r="H928" s="2" t="s">
        <v>1400</v>
      </c>
      <c r="I928" s="4" t="s">
        <v>60</v>
      </c>
      <c r="J928" s="112">
        <f>IF($H928&lt;&gt;"Y",0,ROUND(MIN(Dashboard!$R$24,IF(IFERROR(VLOOKUP($B928,Dashboard!$Q$28:$S$60,2,FALSE),0)&gt;0,IFERROR(VLOOKUP($B928,Dashboard!$Q$28:$S$60,2,FALSE),0),$Z928*IF($U928&lt;&gt;"",ROUND((Dashboard!$R$4/$U928)*VLOOKUP($I928,Dashboard!$Q$9:$R$13,2,FALSE)*IF(ISNUMBER(SEARCH("Duals",$B928)),2,IF(ISNUMBER(SEARCH("Triples",$B928)),3,IF(ISNUMBER(SEARCH("Quads",$B928)),4,1))),2),ROUND(VLOOKUP($I928,Dashboard!$Q$15:$R$20,2,FALSE)*IF($E928="Red",Dashboard!$R$6,IF($E928="Gold",Dashboard!$R$7,Dashboard!$R$5))*IF(ISNUMBER(SEARCH("Duals",$B928)),2,IF(ISNUMBER(SEARCH("Triples",$B928)),3,IF(ISNUMBER(SEARCH("Quads",$B928)),4,1))),2))*IF(IFERROR(VLOOKUP($B928,Dashboard!$Q$28:$S$60,3,FALSE),0)&gt;0,VLOOKUP($B928,Dashboard!$Q$28:$S$60,3,FALSE),1))),0))</f>
        <v>3</v>
      </c>
      <c r="K928" s="2" t="str">
        <f>IF('Base S2'!F28="","",'Base S2'!F28)</f>
        <v>C</v>
      </c>
      <c r="L928" s="2">
        <f t="shared" si="182"/>
        <v>1</v>
      </c>
      <c r="M928" s="2">
        <f t="shared" si="183"/>
        <v>0</v>
      </c>
      <c r="N928" s="2">
        <f t="shared" si="184"/>
        <v>1</v>
      </c>
      <c r="O928" s="2">
        <f t="shared" si="185"/>
        <v>0</v>
      </c>
      <c r="P928" s="112">
        <f t="shared" si="186"/>
        <v>3</v>
      </c>
      <c r="Q928" s="112">
        <f t="shared" si="187"/>
        <v>0</v>
      </c>
      <c r="R928" s="53"/>
      <c r="S928" s="53" t="str">
        <f t="shared" si="188"/>
        <v>Base S2|Compound V Parallel - Season 2|127|Compound V</v>
      </c>
      <c r="T928" s="57" t="str">
        <f>IF($S928="","",IFERROR(VLOOKUP($S928,'Pop Estimates (Non-#d)'!$N$2:$O$500,2,FALSE),""))</f>
        <v/>
      </c>
      <c r="U928" s="57">
        <f t="shared" si="189"/>
        <v>399</v>
      </c>
      <c r="V928" s="53" t="str">
        <f t="shared" si="190"/>
        <v/>
      </c>
      <c r="W928" s="53" t="str">
        <f t="shared" si="191"/>
        <v/>
      </c>
      <c r="X928" s="53" t="str">
        <f t="shared" si="192"/>
        <v/>
      </c>
      <c r="Y928" s="57" t="str">
        <f>IF($X928="","",IFERROR(VLOOKUP($X928,'Char Popularity'!$A$2:$C$500,2,FALSE),""))</f>
        <v/>
      </c>
      <c r="Z928" s="56">
        <f>IF($X928="",1,IFERROR(VLOOKUP($X928,'Char Popularity'!$A$2:$C$500,3,FALSE),1))</f>
        <v>1</v>
      </c>
      <c r="AA928" s="62">
        <f>IF($H928&lt;&gt;"Y",0,(IF($F928&lt;&gt;"",ROUND(Dashboard!$R$4/$F928,1),IF(AND($I928="Base",$E928="Base"),Dashboard!$R$5,IF(AND($I928="Base",$E928="Red"),Dashboard!$R$6,IF(AND($I928="Base",$E928="Gold"),Dashboard!$R$7,VLOOKUP($I928,Dashboard!$Q$16:$R$21,2,FALSE)))))*VLOOKUP($I928,Dashboard!$Q$9:$R$13,2,FALSE)*IF(AND($I928="Auto",$F928="",OR($B928="Autographs Duals",$B928="Autographs Triples",$B928="Autographs Quads",$B928="Autographs Quads (Inscribed)")),IF($B928="Autographs Duals",2,IF($B928="Autographs Triples",3,4)),1)))</f>
        <v>2.5</v>
      </c>
      <c r="AB928" s="62">
        <f t="shared" si="193"/>
        <v>2.5</v>
      </c>
      <c r="AC928" s="62">
        <f t="shared" si="194"/>
        <v>0</v>
      </c>
    </row>
    <row r="929" spans="1:29" ht="42.95" customHeight="1" x14ac:dyDescent="0.25">
      <c r="A929" s="4" t="s">
        <v>19</v>
      </c>
      <c r="B929" s="7" t="s">
        <v>76</v>
      </c>
      <c r="C929" s="2" t="s">
        <v>1527</v>
      </c>
      <c r="D929" s="7" t="s">
        <v>1086</v>
      </c>
      <c r="E929" s="4" t="s">
        <v>778</v>
      </c>
      <c r="F929" s="2">
        <v>399</v>
      </c>
      <c r="G929" s="2" t="s">
        <v>1399</v>
      </c>
      <c r="H929" s="2" t="s">
        <v>1400</v>
      </c>
      <c r="I929" s="4" t="s">
        <v>60</v>
      </c>
      <c r="J929" s="112">
        <f>IF($H929&lt;&gt;"Y",0,ROUND(MIN(Dashboard!$R$24,IF(IFERROR(VLOOKUP($B929,Dashboard!$Q$28:$S$60,2,FALSE),0)&gt;0,IFERROR(VLOOKUP($B929,Dashboard!$Q$28:$S$60,2,FALSE),0),$Z929*IF($U929&lt;&gt;"",ROUND((Dashboard!$R$4/$U929)*VLOOKUP($I929,Dashboard!$Q$9:$R$13,2,FALSE)*IF(ISNUMBER(SEARCH("Duals",$B929)),2,IF(ISNUMBER(SEARCH("Triples",$B929)),3,IF(ISNUMBER(SEARCH("Quads",$B929)),4,1))),2),ROUND(VLOOKUP($I929,Dashboard!$Q$15:$R$20,2,FALSE)*IF($E929="Red",Dashboard!$R$6,IF($E929="Gold",Dashboard!$R$7,Dashboard!$R$5))*IF(ISNUMBER(SEARCH("Duals",$B929)),2,IF(ISNUMBER(SEARCH("Triples",$B929)),3,IF(ISNUMBER(SEARCH("Quads",$B929)),4,1))),2))*IF(IFERROR(VLOOKUP($B929,Dashboard!$Q$28:$S$60,3,FALSE),0)&gt;0,VLOOKUP($B929,Dashboard!$Q$28:$S$60,3,FALSE),1))),0))</f>
        <v>3</v>
      </c>
      <c r="K929" s="2" t="str">
        <f>IF('Base S2'!F29="","",'Base S2'!F29)</f>
        <v>C</v>
      </c>
      <c r="L929" s="2">
        <f t="shared" si="182"/>
        <v>1</v>
      </c>
      <c r="M929" s="2">
        <f t="shared" si="183"/>
        <v>0</v>
      </c>
      <c r="N929" s="2">
        <f t="shared" si="184"/>
        <v>1</v>
      </c>
      <c r="O929" s="2">
        <f t="shared" si="185"/>
        <v>0</v>
      </c>
      <c r="P929" s="112">
        <f t="shared" si="186"/>
        <v>3</v>
      </c>
      <c r="Q929" s="112">
        <f t="shared" si="187"/>
        <v>0</v>
      </c>
      <c r="R929" s="53"/>
      <c r="S929" s="53" t="str">
        <f t="shared" si="188"/>
        <v>Base S2|Compound V Parallel - Season 2|128|Compound V</v>
      </c>
      <c r="T929" s="57" t="str">
        <f>IF($S929="","",IFERROR(VLOOKUP($S929,'Pop Estimates (Non-#d)'!$N$2:$O$500,2,FALSE),""))</f>
        <v/>
      </c>
      <c r="U929" s="57">
        <f t="shared" si="189"/>
        <v>399</v>
      </c>
      <c r="V929" s="53" t="str">
        <f t="shared" si="190"/>
        <v/>
      </c>
      <c r="W929" s="53" t="str">
        <f t="shared" si="191"/>
        <v/>
      </c>
      <c r="X929" s="53" t="str">
        <f t="shared" si="192"/>
        <v/>
      </c>
      <c r="Y929" s="57" t="str">
        <f>IF($X929="","",IFERROR(VLOOKUP($X929,'Char Popularity'!$A$2:$C$500,2,FALSE),""))</f>
        <v/>
      </c>
      <c r="Z929" s="56">
        <f>IF($X929="",1,IFERROR(VLOOKUP($X929,'Char Popularity'!$A$2:$C$500,3,FALSE),1))</f>
        <v>1</v>
      </c>
      <c r="AA929" s="62">
        <f>IF($H929&lt;&gt;"Y",0,(IF($F929&lt;&gt;"",ROUND(Dashboard!$R$4/$F929,1),IF(AND($I929="Base",$E929="Base"),Dashboard!$R$5,IF(AND($I929="Base",$E929="Red"),Dashboard!$R$6,IF(AND($I929="Base",$E929="Gold"),Dashboard!$R$7,VLOOKUP($I929,Dashboard!$Q$16:$R$21,2,FALSE)))))*VLOOKUP($I929,Dashboard!$Q$9:$R$13,2,FALSE)*IF(AND($I929="Auto",$F929="",OR($B929="Autographs Duals",$B929="Autographs Triples",$B929="Autographs Quads",$B929="Autographs Quads (Inscribed)")),IF($B929="Autographs Duals",2,IF($B929="Autographs Triples",3,4)),1)))</f>
        <v>2.5</v>
      </c>
      <c r="AB929" s="62">
        <f t="shared" si="193"/>
        <v>2.5</v>
      </c>
      <c r="AC929" s="62">
        <f t="shared" si="194"/>
        <v>0</v>
      </c>
    </row>
    <row r="930" spans="1:29" ht="42.95" customHeight="1" x14ac:dyDescent="0.25">
      <c r="A930" s="4" t="s">
        <v>19</v>
      </c>
      <c r="B930" s="7" t="s">
        <v>76</v>
      </c>
      <c r="C930" s="2" t="s">
        <v>1528</v>
      </c>
      <c r="D930" s="7" t="s">
        <v>1088</v>
      </c>
      <c r="E930" s="4" t="s">
        <v>778</v>
      </c>
      <c r="F930" s="2">
        <v>399</v>
      </c>
      <c r="G930" s="2" t="s">
        <v>1399</v>
      </c>
      <c r="H930" s="2" t="s">
        <v>1400</v>
      </c>
      <c r="I930" s="4" t="s">
        <v>60</v>
      </c>
      <c r="J930" s="112">
        <f>IF($H930&lt;&gt;"Y",0,ROUND(MIN(Dashboard!$R$24,IF(IFERROR(VLOOKUP($B930,Dashboard!$Q$28:$S$60,2,FALSE),0)&gt;0,IFERROR(VLOOKUP($B930,Dashboard!$Q$28:$S$60,2,FALSE),0),$Z930*IF($U930&lt;&gt;"",ROUND((Dashboard!$R$4/$U930)*VLOOKUP($I930,Dashboard!$Q$9:$R$13,2,FALSE)*IF(ISNUMBER(SEARCH("Duals",$B930)),2,IF(ISNUMBER(SEARCH("Triples",$B930)),3,IF(ISNUMBER(SEARCH("Quads",$B930)),4,1))),2),ROUND(VLOOKUP($I930,Dashboard!$Q$15:$R$20,2,FALSE)*IF($E930="Red",Dashboard!$R$6,IF($E930="Gold",Dashboard!$R$7,Dashboard!$R$5))*IF(ISNUMBER(SEARCH("Duals",$B930)),2,IF(ISNUMBER(SEARCH("Triples",$B930)),3,IF(ISNUMBER(SEARCH("Quads",$B930)),4,1))),2))*IF(IFERROR(VLOOKUP($B930,Dashboard!$Q$28:$S$60,3,FALSE),0)&gt;0,VLOOKUP($B930,Dashboard!$Q$28:$S$60,3,FALSE),1))),0))</f>
        <v>3</v>
      </c>
      <c r="K930" s="2" t="str">
        <f>IF('Base S2'!F30="","",'Base S2'!F30)</f>
        <v>C</v>
      </c>
      <c r="L930" s="2">
        <f t="shared" si="182"/>
        <v>1</v>
      </c>
      <c r="M930" s="2">
        <f t="shared" si="183"/>
        <v>0</v>
      </c>
      <c r="N930" s="2">
        <f t="shared" si="184"/>
        <v>1</v>
      </c>
      <c r="O930" s="2">
        <f t="shared" si="185"/>
        <v>0</v>
      </c>
      <c r="P930" s="112">
        <f t="shared" si="186"/>
        <v>3</v>
      </c>
      <c r="Q930" s="112">
        <f t="shared" si="187"/>
        <v>0</v>
      </c>
      <c r="R930" s="53"/>
      <c r="S930" s="53" t="str">
        <f t="shared" si="188"/>
        <v>Base S2|Compound V Parallel - Season 2|129|Compound V</v>
      </c>
      <c r="T930" s="57" t="str">
        <f>IF($S930="","",IFERROR(VLOOKUP($S930,'Pop Estimates (Non-#d)'!$N$2:$O$500,2,FALSE),""))</f>
        <v/>
      </c>
      <c r="U930" s="57">
        <f t="shared" si="189"/>
        <v>399</v>
      </c>
      <c r="V930" s="53" t="str">
        <f t="shared" si="190"/>
        <v/>
      </c>
      <c r="W930" s="53" t="str">
        <f t="shared" si="191"/>
        <v/>
      </c>
      <c r="X930" s="53" t="str">
        <f t="shared" si="192"/>
        <v/>
      </c>
      <c r="Y930" s="57" t="str">
        <f>IF($X930="","",IFERROR(VLOOKUP($X930,'Char Popularity'!$A$2:$C$500,2,FALSE),""))</f>
        <v/>
      </c>
      <c r="Z930" s="56">
        <f>IF($X930="",1,IFERROR(VLOOKUP($X930,'Char Popularity'!$A$2:$C$500,3,FALSE),1))</f>
        <v>1</v>
      </c>
      <c r="AA930" s="62">
        <f>IF($H930&lt;&gt;"Y",0,(IF($F930&lt;&gt;"",ROUND(Dashboard!$R$4/$F930,1),IF(AND($I930="Base",$E930="Base"),Dashboard!$R$5,IF(AND($I930="Base",$E930="Red"),Dashboard!$R$6,IF(AND($I930="Base",$E930="Gold"),Dashboard!$R$7,VLOOKUP($I930,Dashboard!$Q$16:$R$21,2,FALSE)))))*VLOOKUP($I930,Dashboard!$Q$9:$R$13,2,FALSE)*IF(AND($I930="Auto",$F930="",OR($B930="Autographs Duals",$B930="Autographs Triples",$B930="Autographs Quads",$B930="Autographs Quads (Inscribed)")),IF($B930="Autographs Duals",2,IF($B930="Autographs Triples",3,4)),1)))</f>
        <v>2.5</v>
      </c>
      <c r="AB930" s="62">
        <f t="shared" si="193"/>
        <v>2.5</v>
      </c>
      <c r="AC930" s="62">
        <f t="shared" si="194"/>
        <v>0</v>
      </c>
    </row>
    <row r="931" spans="1:29" ht="42.95" customHeight="1" x14ac:dyDescent="0.25">
      <c r="A931" s="4" t="s">
        <v>19</v>
      </c>
      <c r="B931" s="7" t="s">
        <v>76</v>
      </c>
      <c r="C931" s="2" t="s">
        <v>1529</v>
      </c>
      <c r="D931" s="7" t="s">
        <v>1091</v>
      </c>
      <c r="E931" s="4" t="s">
        <v>778</v>
      </c>
      <c r="F931" s="2">
        <v>399</v>
      </c>
      <c r="G931" s="2" t="s">
        <v>1399</v>
      </c>
      <c r="H931" s="2" t="s">
        <v>1400</v>
      </c>
      <c r="I931" s="4" t="s">
        <v>60</v>
      </c>
      <c r="J931" s="112">
        <f>IF($H931&lt;&gt;"Y",0,ROUND(MIN(Dashboard!$R$24,IF(IFERROR(VLOOKUP($B931,Dashboard!$Q$28:$S$60,2,FALSE),0)&gt;0,IFERROR(VLOOKUP($B931,Dashboard!$Q$28:$S$60,2,FALSE),0),$Z931*IF($U931&lt;&gt;"",ROUND((Dashboard!$R$4/$U931)*VLOOKUP($I931,Dashboard!$Q$9:$R$13,2,FALSE)*IF(ISNUMBER(SEARCH("Duals",$B931)),2,IF(ISNUMBER(SEARCH("Triples",$B931)),3,IF(ISNUMBER(SEARCH("Quads",$B931)),4,1))),2),ROUND(VLOOKUP($I931,Dashboard!$Q$15:$R$20,2,FALSE)*IF($E931="Red",Dashboard!$R$6,IF($E931="Gold",Dashboard!$R$7,Dashboard!$R$5))*IF(ISNUMBER(SEARCH("Duals",$B931)),2,IF(ISNUMBER(SEARCH("Triples",$B931)),3,IF(ISNUMBER(SEARCH("Quads",$B931)),4,1))),2))*IF(IFERROR(VLOOKUP($B931,Dashboard!$Q$28:$S$60,3,FALSE),0)&gt;0,VLOOKUP($B931,Dashboard!$Q$28:$S$60,3,FALSE),1))),0))</f>
        <v>3</v>
      </c>
      <c r="K931" s="2" t="str">
        <f>IF('Base S2'!F31="","",'Base S2'!F31)</f>
        <v>V</v>
      </c>
      <c r="L931" s="2">
        <f t="shared" si="182"/>
        <v>1</v>
      </c>
      <c r="M931" s="2">
        <f t="shared" si="183"/>
        <v>0</v>
      </c>
      <c r="N931" s="2">
        <f t="shared" si="184"/>
        <v>1</v>
      </c>
      <c r="O931" s="2">
        <f t="shared" si="185"/>
        <v>0</v>
      </c>
      <c r="P931" s="112">
        <f t="shared" si="186"/>
        <v>3</v>
      </c>
      <c r="Q931" s="112">
        <f t="shared" si="187"/>
        <v>0</v>
      </c>
      <c r="R931" s="53"/>
      <c r="S931" s="53" t="str">
        <f t="shared" si="188"/>
        <v>Base S2|Compound V Parallel - Season 2|130|Compound V</v>
      </c>
      <c r="T931" s="57" t="str">
        <f>IF($S931="","",IFERROR(VLOOKUP($S931,'Pop Estimates (Non-#d)'!$N$2:$O$500,2,FALSE),""))</f>
        <v/>
      </c>
      <c r="U931" s="57">
        <f t="shared" si="189"/>
        <v>399</v>
      </c>
      <c r="V931" s="53" t="str">
        <f t="shared" si="190"/>
        <v/>
      </c>
      <c r="W931" s="53" t="str">
        <f t="shared" si="191"/>
        <v/>
      </c>
      <c r="X931" s="53" t="str">
        <f t="shared" si="192"/>
        <v/>
      </c>
      <c r="Y931" s="57" t="str">
        <f>IF($X931="","",IFERROR(VLOOKUP($X931,'Char Popularity'!$A$2:$C$500,2,FALSE),""))</f>
        <v/>
      </c>
      <c r="Z931" s="56">
        <f>IF($X931="",1,IFERROR(VLOOKUP($X931,'Char Popularity'!$A$2:$C$500,3,FALSE),1))</f>
        <v>1</v>
      </c>
      <c r="AA931" s="62">
        <f>IF($H931&lt;&gt;"Y",0,(IF($F931&lt;&gt;"",ROUND(Dashboard!$R$4/$F931,1),IF(AND($I931="Base",$E931="Base"),Dashboard!$R$5,IF(AND($I931="Base",$E931="Red"),Dashboard!$R$6,IF(AND($I931="Base",$E931="Gold"),Dashboard!$R$7,VLOOKUP($I931,Dashboard!$Q$16:$R$21,2,FALSE)))))*VLOOKUP($I931,Dashboard!$Q$9:$R$13,2,FALSE)*IF(AND($I931="Auto",$F931="",OR($B931="Autographs Duals",$B931="Autographs Triples",$B931="Autographs Quads",$B931="Autographs Quads (Inscribed)")),IF($B931="Autographs Duals",2,IF($B931="Autographs Triples",3,4)),1)))</f>
        <v>2.5</v>
      </c>
      <c r="AB931" s="62">
        <f t="shared" si="193"/>
        <v>2.5</v>
      </c>
      <c r="AC931" s="62">
        <f t="shared" si="194"/>
        <v>0</v>
      </c>
    </row>
    <row r="932" spans="1:29" ht="42.95" customHeight="1" x14ac:dyDescent="0.25">
      <c r="A932" s="4" t="s">
        <v>19</v>
      </c>
      <c r="B932" s="7" t="s">
        <v>76</v>
      </c>
      <c r="C932" s="2" t="s">
        <v>1530</v>
      </c>
      <c r="D932" s="7" t="s">
        <v>1093</v>
      </c>
      <c r="E932" s="4" t="s">
        <v>778</v>
      </c>
      <c r="F932" s="2">
        <v>399</v>
      </c>
      <c r="G932" s="2" t="s">
        <v>1399</v>
      </c>
      <c r="H932" s="2" t="s">
        <v>1400</v>
      </c>
      <c r="I932" s="4" t="s">
        <v>60</v>
      </c>
      <c r="J932" s="112">
        <f>IF($H932&lt;&gt;"Y",0,ROUND(MIN(Dashboard!$R$24,IF(IFERROR(VLOOKUP($B932,Dashboard!$Q$28:$S$60,2,FALSE),0)&gt;0,IFERROR(VLOOKUP($B932,Dashboard!$Q$28:$S$60,2,FALSE),0),$Z932*IF($U932&lt;&gt;"",ROUND((Dashboard!$R$4/$U932)*VLOOKUP($I932,Dashboard!$Q$9:$R$13,2,FALSE)*IF(ISNUMBER(SEARCH("Duals",$B932)),2,IF(ISNUMBER(SEARCH("Triples",$B932)),3,IF(ISNUMBER(SEARCH("Quads",$B932)),4,1))),2),ROUND(VLOOKUP($I932,Dashboard!$Q$15:$R$20,2,FALSE)*IF($E932="Red",Dashboard!$R$6,IF($E932="Gold",Dashboard!$R$7,Dashboard!$R$5))*IF(ISNUMBER(SEARCH("Duals",$B932)),2,IF(ISNUMBER(SEARCH("Triples",$B932)),3,IF(ISNUMBER(SEARCH("Quads",$B932)),4,1))),2))*IF(IFERROR(VLOOKUP($B932,Dashboard!$Q$28:$S$60,3,FALSE),0)&gt;0,VLOOKUP($B932,Dashboard!$Q$28:$S$60,3,FALSE),1))),0))</f>
        <v>3</v>
      </c>
      <c r="K932" s="2" t="str">
        <f>IF('Base S2'!F32="","",'Base S2'!F32)</f>
        <v>C</v>
      </c>
      <c r="L932" s="2">
        <f t="shared" si="182"/>
        <v>1</v>
      </c>
      <c r="M932" s="2">
        <f t="shared" si="183"/>
        <v>0</v>
      </c>
      <c r="N932" s="2">
        <f t="shared" si="184"/>
        <v>1</v>
      </c>
      <c r="O932" s="2">
        <f t="shared" si="185"/>
        <v>0</v>
      </c>
      <c r="P932" s="112">
        <f t="shared" si="186"/>
        <v>3</v>
      </c>
      <c r="Q932" s="112">
        <f t="shared" si="187"/>
        <v>0</v>
      </c>
      <c r="R932" s="53"/>
      <c r="S932" s="53" t="str">
        <f t="shared" si="188"/>
        <v>Base S2|Compound V Parallel - Season 2|131|Compound V</v>
      </c>
      <c r="T932" s="57" t="str">
        <f>IF($S932="","",IFERROR(VLOOKUP($S932,'Pop Estimates (Non-#d)'!$N$2:$O$500,2,FALSE),""))</f>
        <v/>
      </c>
      <c r="U932" s="57">
        <f t="shared" si="189"/>
        <v>399</v>
      </c>
      <c r="V932" s="53" t="str">
        <f t="shared" si="190"/>
        <v/>
      </c>
      <c r="W932" s="53" t="str">
        <f t="shared" si="191"/>
        <v/>
      </c>
      <c r="X932" s="53" t="str">
        <f t="shared" si="192"/>
        <v/>
      </c>
      <c r="Y932" s="57" t="str">
        <f>IF($X932="","",IFERROR(VLOOKUP($X932,'Char Popularity'!$A$2:$C$500,2,FALSE),""))</f>
        <v/>
      </c>
      <c r="Z932" s="56">
        <f>IF($X932="",1,IFERROR(VLOOKUP($X932,'Char Popularity'!$A$2:$C$500,3,FALSE),1))</f>
        <v>1</v>
      </c>
      <c r="AA932" s="62">
        <f>IF($H932&lt;&gt;"Y",0,(IF($F932&lt;&gt;"",ROUND(Dashboard!$R$4/$F932,1),IF(AND($I932="Base",$E932="Base"),Dashboard!$R$5,IF(AND($I932="Base",$E932="Red"),Dashboard!$R$6,IF(AND($I932="Base",$E932="Gold"),Dashboard!$R$7,VLOOKUP($I932,Dashboard!$Q$16:$R$21,2,FALSE)))))*VLOOKUP($I932,Dashboard!$Q$9:$R$13,2,FALSE)*IF(AND($I932="Auto",$F932="",OR($B932="Autographs Duals",$B932="Autographs Triples",$B932="Autographs Quads",$B932="Autographs Quads (Inscribed)")),IF($B932="Autographs Duals",2,IF($B932="Autographs Triples",3,4)),1)))</f>
        <v>2.5</v>
      </c>
      <c r="AB932" s="62">
        <f t="shared" si="193"/>
        <v>2.5</v>
      </c>
      <c r="AC932" s="62">
        <f t="shared" si="194"/>
        <v>0</v>
      </c>
    </row>
    <row r="933" spans="1:29" ht="42.95" customHeight="1" x14ac:dyDescent="0.25">
      <c r="A933" s="4" t="s">
        <v>19</v>
      </c>
      <c r="B933" s="7" t="s">
        <v>76</v>
      </c>
      <c r="C933" s="2" t="s">
        <v>1531</v>
      </c>
      <c r="D933" s="7" t="s">
        <v>1096</v>
      </c>
      <c r="E933" s="4" t="s">
        <v>778</v>
      </c>
      <c r="F933" s="2">
        <v>399</v>
      </c>
      <c r="G933" s="2" t="s">
        <v>1399</v>
      </c>
      <c r="H933" s="2" t="s">
        <v>1400</v>
      </c>
      <c r="I933" s="4" t="s">
        <v>60</v>
      </c>
      <c r="J933" s="112">
        <f>IF($H933&lt;&gt;"Y",0,ROUND(MIN(Dashboard!$R$24,IF(IFERROR(VLOOKUP($B933,Dashboard!$Q$28:$S$60,2,FALSE),0)&gt;0,IFERROR(VLOOKUP($B933,Dashboard!$Q$28:$S$60,2,FALSE),0),$Z933*IF($U933&lt;&gt;"",ROUND((Dashboard!$R$4/$U933)*VLOOKUP($I933,Dashboard!$Q$9:$R$13,2,FALSE)*IF(ISNUMBER(SEARCH("Duals",$B933)),2,IF(ISNUMBER(SEARCH("Triples",$B933)),3,IF(ISNUMBER(SEARCH("Quads",$B933)),4,1))),2),ROUND(VLOOKUP($I933,Dashboard!$Q$15:$R$20,2,FALSE)*IF($E933="Red",Dashboard!$R$6,IF($E933="Gold",Dashboard!$R$7,Dashboard!$R$5))*IF(ISNUMBER(SEARCH("Duals",$B933)),2,IF(ISNUMBER(SEARCH("Triples",$B933)),3,IF(ISNUMBER(SEARCH("Quads",$B933)),4,1))),2))*IF(IFERROR(VLOOKUP($B933,Dashboard!$Q$28:$S$60,3,FALSE),0)&gt;0,VLOOKUP($B933,Dashboard!$Q$28:$S$60,3,FALSE),1))),0))</f>
        <v>3</v>
      </c>
      <c r="K933" s="2" t="str">
        <f>IF('Base S2'!F33="","",'Base S2'!F33)</f>
        <v>C</v>
      </c>
      <c r="L933" s="2">
        <f t="shared" si="182"/>
        <v>1</v>
      </c>
      <c r="M933" s="2">
        <f t="shared" si="183"/>
        <v>0</v>
      </c>
      <c r="N933" s="2">
        <f t="shared" si="184"/>
        <v>1</v>
      </c>
      <c r="O933" s="2">
        <f t="shared" si="185"/>
        <v>0</v>
      </c>
      <c r="P933" s="112">
        <f t="shared" si="186"/>
        <v>3</v>
      </c>
      <c r="Q933" s="112">
        <f t="shared" si="187"/>
        <v>0</v>
      </c>
      <c r="R933" s="53"/>
      <c r="S933" s="53" t="str">
        <f t="shared" si="188"/>
        <v>Base S2|Compound V Parallel - Season 2|132|Compound V</v>
      </c>
      <c r="T933" s="57" t="str">
        <f>IF($S933="","",IFERROR(VLOOKUP($S933,'Pop Estimates (Non-#d)'!$N$2:$O$500,2,FALSE),""))</f>
        <v/>
      </c>
      <c r="U933" s="57">
        <f t="shared" si="189"/>
        <v>399</v>
      </c>
      <c r="V933" s="53" t="str">
        <f t="shared" si="190"/>
        <v/>
      </c>
      <c r="W933" s="53" t="str">
        <f t="shared" si="191"/>
        <v/>
      </c>
      <c r="X933" s="53" t="str">
        <f t="shared" si="192"/>
        <v/>
      </c>
      <c r="Y933" s="57" t="str">
        <f>IF($X933="","",IFERROR(VLOOKUP($X933,'Char Popularity'!$A$2:$C$500,2,FALSE),""))</f>
        <v/>
      </c>
      <c r="Z933" s="56">
        <f>IF($X933="",1,IFERROR(VLOOKUP($X933,'Char Popularity'!$A$2:$C$500,3,FALSE),1))</f>
        <v>1</v>
      </c>
      <c r="AA933" s="62">
        <f>IF($H933&lt;&gt;"Y",0,(IF($F933&lt;&gt;"",ROUND(Dashboard!$R$4/$F933,1),IF(AND($I933="Base",$E933="Base"),Dashboard!$R$5,IF(AND($I933="Base",$E933="Red"),Dashboard!$R$6,IF(AND($I933="Base",$E933="Gold"),Dashboard!$R$7,VLOOKUP($I933,Dashboard!$Q$16:$R$21,2,FALSE)))))*VLOOKUP($I933,Dashboard!$Q$9:$R$13,2,FALSE)*IF(AND($I933="Auto",$F933="",OR($B933="Autographs Duals",$B933="Autographs Triples",$B933="Autographs Quads",$B933="Autographs Quads (Inscribed)")),IF($B933="Autographs Duals",2,IF($B933="Autographs Triples",3,4)),1)))</f>
        <v>2.5</v>
      </c>
      <c r="AB933" s="62">
        <f t="shared" si="193"/>
        <v>2.5</v>
      </c>
      <c r="AC933" s="62">
        <f t="shared" si="194"/>
        <v>0</v>
      </c>
    </row>
    <row r="934" spans="1:29" ht="42.95" customHeight="1" x14ac:dyDescent="0.25">
      <c r="A934" s="4" t="s">
        <v>19</v>
      </c>
      <c r="B934" s="7" t="s">
        <v>76</v>
      </c>
      <c r="C934" s="2" t="s">
        <v>1532</v>
      </c>
      <c r="D934" s="7" t="s">
        <v>1097</v>
      </c>
      <c r="E934" s="4" t="s">
        <v>778</v>
      </c>
      <c r="F934" s="2">
        <v>399</v>
      </c>
      <c r="G934" s="2" t="s">
        <v>1399</v>
      </c>
      <c r="H934" s="2" t="s">
        <v>1400</v>
      </c>
      <c r="I934" s="4" t="s">
        <v>60</v>
      </c>
      <c r="J934" s="112">
        <f>IF($H934&lt;&gt;"Y",0,ROUND(MIN(Dashboard!$R$24,IF(IFERROR(VLOOKUP($B934,Dashboard!$Q$28:$S$60,2,FALSE),0)&gt;0,IFERROR(VLOOKUP($B934,Dashboard!$Q$28:$S$60,2,FALSE),0),$Z934*IF($U934&lt;&gt;"",ROUND((Dashboard!$R$4/$U934)*VLOOKUP($I934,Dashboard!$Q$9:$R$13,2,FALSE)*IF(ISNUMBER(SEARCH("Duals",$B934)),2,IF(ISNUMBER(SEARCH("Triples",$B934)),3,IF(ISNUMBER(SEARCH("Quads",$B934)),4,1))),2),ROUND(VLOOKUP($I934,Dashboard!$Q$15:$R$20,2,FALSE)*IF($E934="Red",Dashboard!$R$6,IF($E934="Gold",Dashboard!$R$7,Dashboard!$R$5))*IF(ISNUMBER(SEARCH("Duals",$B934)),2,IF(ISNUMBER(SEARCH("Triples",$B934)),3,IF(ISNUMBER(SEARCH("Quads",$B934)),4,1))),2))*IF(IFERROR(VLOOKUP($B934,Dashboard!$Q$28:$S$60,3,FALSE),0)&gt;0,VLOOKUP($B934,Dashboard!$Q$28:$S$60,3,FALSE),1))),0))</f>
        <v>3</v>
      </c>
      <c r="K934" s="2" t="str">
        <f>IF('Base S2'!F34="","",'Base S2'!F34)</f>
        <v>C</v>
      </c>
      <c r="L934" s="2">
        <f t="shared" si="182"/>
        <v>1</v>
      </c>
      <c r="M934" s="2">
        <f t="shared" si="183"/>
        <v>0</v>
      </c>
      <c r="N934" s="2">
        <f t="shared" si="184"/>
        <v>1</v>
      </c>
      <c r="O934" s="2">
        <f t="shared" si="185"/>
        <v>0</v>
      </c>
      <c r="P934" s="112">
        <f t="shared" si="186"/>
        <v>3</v>
      </c>
      <c r="Q934" s="112">
        <f t="shared" si="187"/>
        <v>0</v>
      </c>
      <c r="R934" s="53"/>
      <c r="S934" s="53" t="str">
        <f t="shared" si="188"/>
        <v>Base S2|Compound V Parallel - Season 2|133|Compound V</v>
      </c>
      <c r="T934" s="57" t="str">
        <f>IF($S934="","",IFERROR(VLOOKUP($S934,'Pop Estimates (Non-#d)'!$N$2:$O$500,2,FALSE),""))</f>
        <v/>
      </c>
      <c r="U934" s="57">
        <f t="shared" si="189"/>
        <v>399</v>
      </c>
      <c r="V934" s="53" t="str">
        <f t="shared" si="190"/>
        <v/>
      </c>
      <c r="W934" s="53" t="str">
        <f t="shared" si="191"/>
        <v/>
      </c>
      <c r="X934" s="53" t="str">
        <f t="shared" si="192"/>
        <v/>
      </c>
      <c r="Y934" s="57" t="str">
        <f>IF($X934="","",IFERROR(VLOOKUP($X934,'Char Popularity'!$A$2:$C$500,2,FALSE),""))</f>
        <v/>
      </c>
      <c r="Z934" s="56">
        <f>IF($X934="",1,IFERROR(VLOOKUP($X934,'Char Popularity'!$A$2:$C$500,3,FALSE),1))</f>
        <v>1</v>
      </c>
      <c r="AA934" s="62">
        <f>IF($H934&lt;&gt;"Y",0,(IF($F934&lt;&gt;"",ROUND(Dashboard!$R$4/$F934,1),IF(AND($I934="Base",$E934="Base"),Dashboard!$R$5,IF(AND($I934="Base",$E934="Red"),Dashboard!$R$6,IF(AND($I934="Base",$E934="Gold"),Dashboard!$R$7,VLOOKUP($I934,Dashboard!$Q$16:$R$21,2,FALSE)))))*VLOOKUP($I934,Dashboard!$Q$9:$R$13,2,FALSE)*IF(AND($I934="Auto",$F934="",OR($B934="Autographs Duals",$B934="Autographs Triples",$B934="Autographs Quads",$B934="Autographs Quads (Inscribed)")),IF($B934="Autographs Duals",2,IF($B934="Autographs Triples",3,4)),1)))</f>
        <v>2.5</v>
      </c>
      <c r="AB934" s="62">
        <f t="shared" si="193"/>
        <v>2.5</v>
      </c>
      <c r="AC934" s="62">
        <f t="shared" si="194"/>
        <v>0</v>
      </c>
    </row>
    <row r="935" spans="1:29" ht="42.95" customHeight="1" x14ac:dyDescent="0.25">
      <c r="A935" s="4" t="s">
        <v>19</v>
      </c>
      <c r="B935" s="7" t="s">
        <v>76</v>
      </c>
      <c r="C935" s="2" t="s">
        <v>1533</v>
      </c>
      <c r="D935" s="7" t="s">
        <v>1099</v>
      </c>
      <c r="E935" s="4" t="s">
        <v>778</v>
      </c>
      <c r="F935" s="2">
        <v>399</v>
      </c>
      <c r="G935" s="2" t="s">
        <v>1399</v>
      </c>
      <c r="H935" s="2" t="s">
        <v>1400</v>
      </c>
      <c r="I935" s="4" t="s">
        <v>60</v>
      </c>
      <c r="J935" s="112">
        <f>IF($H935&lt;&gt;"Y",0,ROUND(MIN(Dashboard!$R$24,IF(IFERROR(VLOOKUP($B935,Dashboard!$Q$28:$S$60,2,FALSE),0)&gt;0,IFERROR(VLOOKUP($B935,Dashboard!$Q$28:$S$60,2,FALSE),0),$Z935*IF($U935&lt;&gt;"",ROUND((Dashboard!$R$4/$U935)*VLOOKUP($I935,Dashboard!$Q$9:$R$13,2,FALSE)*IF(ISNUMBER(SEARCH("Duals",$B935)),2,IF(ISNUMBER(SEARCH("Triples",$B935)),3,IF(ISNUMBER(SEARCH("Quads",$B935)),4,1))),2),ROUND(VLOOKUP($I935,Dashboard!$Q$15:$R$20,2,FALSE)*IF($E935="Red",Dashboard!$R$6,IF($E935="Gold",Dashboard!$R$7,Dashboard!$R$5))*IF(ISNUMBER(SEARCH("Duals",$B935)),2,IF(ISNUMBER(SEARCH("Triples",$B935)),3,IF(ISNUMBER(SEARCH("Quads",$B935)),4,1))),2))*IF(IFERROR(VLOOKUP($B935,Dashboard!$Q$28:$S$60,3,FALSE),0)&gt;0,VLOOKUP($B935,Dashboard!$Q$28:$S$60,3,FALSE),1))),0))</f>
        <v>3</v>
      </c>
      <c r="K935" s="2" t="str">
        <f>IF('Base S2'!F35="","",'Base S2'!F35)</f>
        <v>C</v>
      </c>
      <c r="L935" s="2">
        <f t="shared" si="182"/>
        <v>1</v>
      </c>
      <c r="M935" s="2">
        <f t="shared" si="183"/>
        <v>0</v>
      </c>
      <c r="N935" s="2">
        <f t="shared" si="184"/>
        <v>1</v>
      </c>
      <c r="O935" s="2">
        <f t="shared" si="185"/>
        <v>0</v>
      </c>
      <c r="P935" s="112">
        <f t="shared" si="186"/>
        <v>3</v>
      </c>
      <c r="Q935" s="112">
        <f t="shared" si="187"/>
        <v>0</v>
      </c>
      <c r="R935" s="53"/>
      <c r="S935" s="53" t="str">
        <f t="shared" si="188"/>
        <v>Base S2|Compound V Parallel - Season 2|134|Compound V</v>
      </c>
      <c r="T935" s="57" t="str">
        <f>IF($S935="","",IFERROR(VLOOKUP($S935,'Pop Estimates (Non-#d)'!$N$2:$O$500,2,FALSE),""))</f>
        <v/>
      </c>
      <c r="U935" s="57">
        <f t="shared" si="189"/>
        <v>399</v>
      </c>
      <c r="V935" s="53" t="str">
        <f t="shared" si="190"/>
        <v/>
      </c>
      <c r="W935" s="53" t="str">
        <f t="shared" si="191"/>
        <v/>
      </c>
      <c r="X935" s="53" t="str">
        <f t="shared" si="192"/>
        <v/>
      </c>
      <c r="Y935" s="57" t="str">
        <f>IF($X935="","",IFERROR(VLOOKUP($X935,'Char Popularity'!$A$2:$C$500,2,FALSE),""))</f>
        <v/>
      </c>
      <c r="Z935" s="56">
        <f>IF($X935="",1,IFERROR(VLOOKUP($X935,'Char Popularity'!$A$2:$C$500,3,FALSE),1))</f>
        <v>1</v>
      </c>
      <c r="AA935" s="62">
        <f>IF($H935&lt;&gt;"Y",0,(IF($F935&lt;&gt;"",ROUND(Dashboard!$R$4/$F935,1),IF(AND($I935="Base",$E935="Base"),Dashboard!$R$5,IF(AND($I935="Base",$E935="Red"),Dashboard!$R$6,IF(AND($I935="Base",$E935="Gold"),Dashboard!$R$7,VLOOKUP($I935,Dashboard!$Q$16:$R$21,2,FALSE)))))*VLOOKUP($I935,Dashboard!$Q$9:$R$13,2,FALSE)*IF(AND($I935="Auto",$F935="",OR($B935="Autographs Duals",$B935="Autographs Triples",$B935="Autographs Quads",$B935="Autographs Quads (Inscribed)")),IF($B935="Autographs Duals",2,IF($B935="Autographs Triples",3,4)),1)))</f>
        <v>2.5</v>
      </c>
      <c r="AB935" s="62">
        <f t="shared" si="193"/>
        <v>2.5</v>
      </c>
      <c r="AC935" s="62">
        <f t="shared" si="194"/>
        <v>0</v>
      </c>
    </row>
    <row r="936" spans="1:29" ht="42.95" customHeight="1" x14ac:dyDescent="0.25">
      <c r="A936" s="4" t="s">
        <v>19</v>
      </c>
      <c r="B936" s="7" t="s">
        <v>76</v>
      </c>
      <c r="C936" s="2" t="s">
        <v>1534</v>
      </c>
      <c r="D936" s="7" t="s">
        <v>1100</v>
      </c>
      <c r="E936" s="4" t="s">
        <v>778</v>
      </c>
      <c r="F936" s="2">
        <v>399</v>
      </c>
      <c r="G936" s="2" t="s">
        <v>1399</v>
      </c>
      <c r="H936" s="2" t="s">
        <v>1400</v>
      </c>
      <c r="I936" s="4" t="s">
        <v>60</v>
      </c>
      <c r="J936" s="112">
        <f>IF($H936&lt;&gt;"Y",0,ROUND(MIN(Dashboard!$R$24,IF(IFERROR(VLOOKUP($B936,Dashboard!$Q$28:$S$60,2,FALSE),0)&gt;0,IFERROR(VLOOKUP($B936,Dashboard!$Q$28:$S$60,2,FALSE),0),$Z936*IF($U936&lt;&gt;"",ROUND((Dashboard!$R$4/$U936)*VLOOKUP($I936,Dashboard!$Q$9:$R$13,2,FALSE)*IF(ISNUMBER(SEARCH("Duals",$B936)),2,IF(ISNUMBER(SEARCH("Triples",$B936)),3,IF(ISNUMBER(SEARCH("Quads",$B936)),4,1))),2),ROUND(VLOOKUP($I936,Dashboard!$Q$15:$R$20,2,FALSE)*IF($E936="Red",Dashboard!$R$6,IF($E936="Gold",Dashboard!$R$7,Dashboard!$R$5))*IF(ISNUMBER(SEARCH("Duals",$B936)),2,IF(ISNUMBER(SEARCH("Triples",$B936)),3,IF(ISNUMBER(SEARCH("Quads",$B936)),4,1))),2))*IF(IFERROR(VLOOKUP($B936,Dashboard!$Q$28:$S$60,3,FALSE),0)&gt;0,VLOOKUP($B936,Dashboard!$Q$28:$S$60,3,FALSE),1))),0))</f>
        <v>3</v>
      </c>
      <c r="K936" s="2" t="str">
        <f>IF('Base S2'!F36="","",'Base S2'!F36)</f>
        <v>C</v>
      </c>
      <c r="L936" s="2">
        <f t="shared" si="182"/>
        <v>1</v>
      </c>
      <c r="M936" s="2">
        <f t="shared" si="183"/>
        <v>0</v>
      </c>
      <c r="N936" s="2">
        <f t="shared" si="184"/>
        <v>1</v>
      </c>
      <c r="O936" s="2">
        <f t="shared" si="185"/>
        <v>0</v>
      </c>
      <c r="P936" s="112">
        <f t="shared" si="186"/>
        <v>3</v>
      </c>
      <c r="Q936" s="112">
        <f t="shared" si="187"/>
        <v>0</v>
      </c>
      <c r="R936" s="53"/>
      <c r="S936" s="53" t="str">
        <f t="shared" si="188"/>
        <v>Base S2|Compound V Parallel - Season 2|135|Compound V</v>
      </c>
      <c r="T936" s="57" t="str">
        <f>IF($S936="","",IFERROR(VLOOKUP($S936,'Pop Estimates (Non-#d)'!$N$2:$O$500,2,FALSE),""))</f>
        <v/>
      </c>
      <c r="U936" s="57">
        <f t="shared" si="189"/>
        <v>399</v>
      </c>
      <c r="V936" s="53" t="str">
        <f t="shared" si="190"/>
        <v/>
      </c>
      <c r="W936" s="53" t="str">
        <f t="shared" si="191"/>
        <v/>
      </c>
      <c r="X936" s="53" t="str">
        <f t="shared" si="192"/>
        <v/>
      </c>
      <c r="Y936" s="57" t="str">
        <f>IF($X936="","",IFERROR(VLOOKUP($X936,'Char Popularity'!$A$2:$C$500,2,FALSE),""))</f>
        <v/>
      </c>
      <c r="Z936" s="56">
        <f>IF($X936="",1,IFERROR(VLOOKUP($X936,'Char Popularity'!$A$2:$C$500,3,FALSE),1))</f>
        <v>1</v>
      </c>
      <c r="AA936" s="62">
        <f>IF($H936&lt;&gt;"Y",0,(IF($F936&lt;&gt;"",ROUND(Dashboard!$R$4/$F936,1),IF(AND($I936="Base",$E936="Base"),Dashboard!$R$5,IF(AND($I936="Base",$E936="Red"),Dashboard!$R$6,IF(AND($I936="Base",$E936="Gold"),Dashboard!$R$7,VLOOKUP($I936,Dashboard!$Q$16:$R$21,2,FALSE)))))*VLOOKUP($I936,Dashboard!$Q$9:$R$13,2,FALSE)*IF(AND($I936="Auto",$F936="",OR($B936="Autographs Duals",$B936="Autographs Triples",$B936="Autographs Quads",$B936="Autographs Quads (Inscribed)")),IF($B936="Autographs Duals",2,IF($B936="Autographs Triples",3,4)),1)))</f>
        <v>2.5</v>
      </c>
      <c r="AB936" s="62">
        <f t="shared" si="193"/>
        <v>2.5</v>
      </c>
      <c r="AC936" s="62">
        <f t="shared" si="194"/>
        <v>0</v>
      </c>
    </row>
    <row r="937" spans="1:29" ht="42.95" customHeight="1" x14ac:dyDescent="0.25">
      <c r="A937" s="4" t="s">
        <v>19</v>
      </c>
      <c r="B937" s="7" t="s">
        <v>76</v>
      </c>
      <c r="C937" s="2" t="s">
        <v>1535</v>
      </c>
      <c r="D937" s="7" t="s">
        <v>1101</v>
      </c>
      <c r="E937" s="4" t="s">
        <v>778</v>
      </c>
      <c r="F937" s="2">
        <v>399</v>
      </c>
      <c r="G937" s="2" t="s">
        <v>1399</v>
      </c>
      <c r="H937" s="2" t="s">
        <v>1400</v>
      </c>
      <c r="I937" s="4" t="s">
        <v>60</v>
      </c>
      <c r="J937" s="112">
        <f>IF($H937&lt;&gt;"Y",0,ROUND(MIN(Dashboard!$R$24,IF(IFERROR(VLOOKUP($B937,Dashboard!$Q$28:$S$60,2,FALSE),0)&gt;0,IFERROR(VLOOKUP($B937,Dashboard!$Q$28:$S$60,2,FALSE),0),$Z937*IF($U937&lt;&gt;"",ROUND((Dashboard!$R$4/$U937)*VLOOKUP($I937,Dashboard!$Q$9:$R$13,2,FALSE)*IF(ISNUMBER(SEARCH("Duals",$B937)),2,IF(ISNUMBER(SEARCH("Triples",$B937)),3,IF(ISNUMBER(SEARCH("Quads",$B937)),4,1))),2),ROUND(VLOOKUP($I937,Dashboard!$Q$15:$R$20,2,FALSE)*IF($E937="Red",Dashboard!$R$6,IF($E937="Gold",Dashboard!$R$7,Dashboard!$R$5))*IF(ISNUMBER(SEARCH("Duals",$B937)),2,IF(ISNUMBER(SEARCH("Triples",$B937)),3,IF(ISNUMBER(SEARCH("Quads",$B937)),4,1))),2))*IF(IFERROR(VLOOKUP($B937,Dashboard!$Q$28:$S$60,3,FALSE),0)&gt;0,VLOOKUP($B937,Dashboard!$Q$28:$S$60,3,FALSE),1))),0))</f>
        <v>3</v>
      </c>
      <c r="K937" s="2" t="str">
        <f>IF('Base S2'!F37="","",'Base S2'!F37)</f>
        <v>C</v>
      </c>
      <c r="L937" s="2">
        <f t="shared" si="182"/>
        <v>1</v>
      </c>
      <c r="M937" s="2">
        <f t="shared" si="183"/>
        <v>0</v>
      </c>
      <c r="N937" s="2">
        <f t="shared" si="184"/>
        <v>1</v>
      </c>
      <c r="O937" s="2">
        <f t="shared" si="185"/>
        <v>0</v>
      </c>
      <c r="P937" s="112">
        <f t="shared" si="186"/>
        <v>3</v>
      </c>
      <c r="Q937" s="112">
        <f t="shared" si="187"/>
        <v>0</v>
      </c>
      <c r="R937" s="53"/>
      <c r="S937" s="53" t="str">
        <f t="shared" si="188"/>
        <v>Base S2|Compound V Parallel - Season 2|136|Compound V</v>
      </c>
      <c r="T937" s="57" t="str">
        <f>IF($S937="","",IFERROR(VLOOKUP($S937,'Pop Estimates (Non-#d)'!$N$2:$O$500,2,FALSE),""))</f>
        <v/>
      </c>
      <c r="U937" s="57">
        <f t="shared" si="189"/>
        <v>399</v>
      </c>
      <c r="V937" s="53" t="str">
        <f t="shared" si="190"/>
        <v/>
      </c>
      <c r="W937" s="53" t="str">
        <f t="shared" si="191"/>
        <v/>
      </c>
      <c r="X937" s="53" t="str">
        <f t="shared" si="192"/>
        <v/>
      </c>
      <c r="Y937" s="57" t="str">
        <f>IF($X937="","",IFERROR(VLOOKUP($X937,'Char Popularity'!$A$2:$C$500,2,FALSE),""))</f>
        <v/>
      </c>
      <c r="Z937" s="56">
        <f>IF($X937="",1,IFERROR(VLOOKUP($X937,'Char Popularity'!$A$2:$C$500,3,FALSE),1))</f>
        <v>1</v>
      </c>
      <c r="AA937" s="62">
        <f>IF($H937&lt;&gt;"Y",0,(IF($F937&lt;&gt;"",ROUND(Dashboard!$R$4/$F937,1),IF(AND($I937="Base",$E937="Base"),Dashboard!$R$5,IF(AND($I937="Base",$E937="Red"),Dashboard!$R$6,IF(AND($I937="Base",$E937="Gold"),Dashboard!$R$7,VLOOKUP($I937,Dashboard!$Q$16:$R$21,2,FALSE)))))*VLOOKUP($I937,Dashboard!$Q$9:$R$13,2,FALSE)*IF(AND($I937="Auto",$F937="",OR($B937="Autographs Duals",$B937="Autographs Triples",$B937="Autographs Quads",$B937="Autographs Quads (Inscribed)")),IF($B937="Autographs Duals",2,IF($B937="Autographs Triples",3,4)),1)))</f>
        <v>2.5</v>
      </c>
      <c r="AB937" s="62">
        <f t="shared" si="193"/>
        <v>2.5</v>
      </c>
      <c r="AC937" s="62">
        <f t="shared" si="194"/>
        <v>0</v>
      </c>
    </row>
    <row r="938" spans="1:29" ht="42.95" customHeight="1" x14ac:dyDescent="0.25">
      <c r="A938" s="4" t="s">
        <v>19</v>
      </c>
      <c r="B938" s="7" t="s">
        <v>76</v>
      </c>
      <c r="C938" s="2" t="s">
        <v>1536</v>
      </c>
      <c r="D938" s="7" t="s">
        <v>1103</v>
      </c>
      <c r="E938" s="4" t="s">
        <v>778</v>
      </c>
      <c r="F938" s="2">
        <v>399</v>
      </c>
      <c r="G938" s="2" t="s">
        <v>1399</v>
      </c>
      <c r="H938" s="2" t="s">
        <v>1400</v>
      </c>
      <c r="I938" s="4" t="s">
        <v>60</v>
      </c>
      <c r="J938" s="112">
        <f>IF($H938&lt;&gt;"Y",0,ROUND(MIN(Dashboard!$R$24,IF(IFERROR(VLOOKUP($B938,Dashboard!$Q$28:$S$60,2,FALSE),0)&gt;0,IFERROR(VLOOKUP($B938,Dashboard!$Q$28:$S$60,2,FALSE),0),$Z938*IF($U938&lt;&gt;"",ROUND((Dashboard!$R$4/$U938)*VLOOKUP($I938,Dashboard!$Q$9:$R$13,2,FALSE)*IF(ISNUMBER(SEARCH("Duals",$B938)),2,IF(ISNUMBER(SEARCH("Triples",$B938)),3,IF(ISNUMBER(SEARCH("Quads",$B938)),4,1))),2),ROUND(VLOOKUP($I938,Dashboard!$Q$15:$R$20,2,FALSE)*IF($E938="Red",Dashboard!$R$6,IF($E938="Gold",Dashboard!$R$7,Dashboard!$R$5))*IF(ISNUMBER(SEARCH("Duals",$B938)),2,IF(ISNUMBER(SEARCH("Triples",$B938)),3,IF(ISNUMBER(SEARCH("Quads",$B938)),4,1))),2))*IF(IFERROR(VLOOKUP($B938,Dashboard!$Q$28:$S$60,3,FALSE),0)&gt;0,VLOOKUP($B938,Dashboard!$Q$28:$S$60,3,FALSE),1))),0))</f>
        <v>3</v>
      </c>
      <c r="K938" s="2" t="str">
        <f>IF('Base S2'!F38="","",'Base S2'!F38)</f>
        <v>C</v>
      </c>
      <c r="L938" s="2">
        <f t="shared" si="182"/>
        <v>1</v>
      </c>
      <c r="M938" s="2">
        <f t="shared" si="183"/>
        <v>0</v>
      </c>
      <c r="N938" s="2">
        <f t="shared" si="184"/>
        <v>1</v>
      </c>
      <c r="O938" s="2">
        <f t="shared" si="185"/>
        <v>0</v>
      </c>
      <c r="P938" s="112">
        <f t="shared" si="186"/>
        <v>3</v>
      </c>
      <c r="Q938" s="112">
        <f t="shared" si="187"/>
        <v>0</v>
      </c>
      <c r="R938" s="53"/>
      <c r="S938" s="53" t="str">
        <f t="shared" si="188"/>
        <v>Base S2|Compound V Parallel - Season 2|137|Compound V</v>
      </c>
      <c r="T938" s="57" t="str">
        <f>IF($S938="","",IFERROR(VLOOKUP($S938,'Pop Estimates (Non-#d)'!$N$2:$O$500,2,FALSE),""))</f>
        <v/>
      </c>
      <c r="U938" s="57">
        <f t="shared" si="189"/>
        <v>399</v>
      </c>
      <c r="V938" s="53" t="str">
        <f t="shared" si="190"/>
        <v/>
      </c>
      <c r="W938" s="53" t="str">
        <f t="shared" si="191"/>
        <v/>
      </c>
      <c r="X938" s="53" t="str">
        <f t="shared" si="192"/>
        <v/>
      </c>
      <c r="Y938" s="57" t="str">
        <f>IF($X938="","",IFERROR(VLOOKUP($X938,'Char Popularity'!$A$2:$C$500,2,FALSE),""))</f>
        <v/>
      </c>
      <c r="Z938" s="56">
        <f>IF($X938="",1,IFERROR(VLOOKUP($X938,'Char Popularity'!$A$2:$C$500,3,FALSE),1))</f>
        <v>1</v>
      </c>
      <c r="AA938" s="62">
        <f>IF($H938&lt;&gt;"Y",0,(IF($F938&lt;&gt;"",ROUND(Dashboard!$R$4/$F938,1),IF(AND($I938="Base",$E938="Base"),Dashboard!$R$5,IF(AND($I938="Base",$E938="Red"),Dashboard!$R$6,IF(AND($I938="Base",$E938="Gold"),Dashboard!$R$7,VLOOKUP($I938,Dashboard!$Q$16:$R$21,2,FALSE)))))*VLOOKUP($I938,Dashboard!$Q$9:$R$13,2,FALSE)*IF(AND($I938="Auto",$F938="",OR($B938="Autographs Duals",$B938="Autographs Triples",$B938="Autographs Quads",$B938="Autographs Quads (Inscribed)")),IF($B938="Autographs Duals",2,IF($B938="Autographs Triples",3,4)),1)))</f>
        <v>2.5</v>
      </c>
      <c r="AB938" s="62">
        <f t="shared" si="193"/>
        <v>2.5</v>
      </c>
      <c r="AC938" s="62">
        <f t="shared" si="194"/>
        <v>0</v>
      </c>
    </row>
    <row r="939" spans="1:29" ht="42.95" customHeight="1" x14ac:dyDescent="0.25">
      <c r="A939" s="4" t="s">
        <v>19</v>
      </c>
      <c r="B939" s="7" t="s">
        <v>76</v>
      </c>
      <c r="C939" s="2" t="s">
        <v>1537</v>
      </c>
      <c r="D939" s="7" t="s">
        <v>1104</v>
      </c>
      <c r="E939" s="4" t="s">
        <v>778</v>
      </c>
      <c r="F939" s="2">
        <v>399</v>
      </c>
      <c r="G939" s="2" t="s">
        <v>1399</v>
      </c>
      <c r="H939" s="2" t="s">
        <v>1400</v>
      </c>
      <c r="I939" s="4" t="s">
        <v>60</v>
      </c>
      <c r="J939" s="112">
        <f>IF($H939&lt;&gt;"Y",0,ROUND(MIN(Dashboard!$R$24,IF(IFERROR(VLOOKUP($B939,Dashboard!$Q$28:$S$60,2,FALSE),0)&gt;0,IFERROR(VLOOKUP($B939,Dashboard!$Q$28:$S$60,2,FALSE),0),$Z939*IF($U939&lt;&gt;"",ROUND((Dashboard!$R$4/$U939)*VLOOKUP($I939,Dashboard!$Q$9:$R$13,2,FALSE)*IF(ISNUMBER(SEARCH("Duals",$B939)),2,IF(ISNUMBER(SEARCH("Triples",$B939)),3,IF(ISNUMBER(SEARCH("Quads",$B939)),4,1))),2),ROUND(VLOOKUP($I939,Dashboard!$Q$15:$R$20,2,FALSE)*IF($E939="Red",Dashboard!$R$6,IF($E939="Gold",Dashboard!$R$7,Dashboard!$R$5))*IF(ISNUMBER(SEARCH("Duals",$B939)),2,IF(ISNUMBER(SEARCH("Triples",$B939)),3,IF(ISNUMBER(SEARCH("Quads",$B939)),4,1))),2))*IF(IFERROR(VLOOKUP($B939,Dashboard!$Q$28:$S$60,3,FALSE),0)&gt;0,VLOOKUP($B939,Dashboard!$Q$28:$S$60,3,FALSE),1))),0))</f>
        <v>3</v>
      </c>
      <c r="K939" s="2" t="str">
        <f>IF('Base S2'!F39="","",'Base S2'!F39)</f>
        <v>C</v>
      </c>
      <c r="L939" s="2">
        <f t="shared" si="182"/>
        <v>1</v>
      </c>
      <c r="M939" s="2">
        <f t="shared" si="183"/>
        <v>0</v>
      </c>
      <c r="N939" s="2">
        <f t="shared" si="184"/>
        <v>1</v>
      </c>
      <c r="O939" s="2">
        <f t="shared" si="185"/>
        <v>0</v>
      </c>
      <c r="P939" s="112">
        <f t="shared" si="186"/>
        <v>3</v>
      </c>
      <c r="Q939" s="112">
        <f t="shared" si="187"/>
        <v>0</v>
      </c>
      <c r="R939" s="53"/>
      <c r="S939" s="53" t="str">
        <f t="shared" si="188"/>
        <v>Base S2|Compound V Parallel - Season 2|138|Compound V</v>
      </c>
      <c r="T939" s="57" t="str">
        <f>IF($S939="","",IFERROR(VLOOKUP($S939,'Pop Estimates (Non-#d)'!$N$2:$O$500,2,FALSE),""))</f>
        <v/>
      </c>
      <c r="U939" s="57">
        <f t="shared" si="189"/>
        <v>399</v>
      </c>
      <c r="V939" s="53" t="str">
        <f t="shared" si="190"/>
        <v/>
      </c>
      <c r="W939" s="53" t="str">
        <f t="shared" si="191"/>
        <v/>
      </c>
      <c r="X939" s="53" t="str">
        <f t="shared" si="192"/>
        <v/>
      </c>
      <c r="Y939" s="57" t="str">
        <f>IF($X939="","",IFERROR(VLOOKUP($X939,'Char Popularity'!$A$2:$C$500,2,FALSE),""))</f>
        <v/>
      </c>
      <c r="Z939" s="56">
        <f>IF($X939="",1,IFERROR(VLOOKUP($X939,'Char Popularity'!$A$2:$C$500,3,FALSE),1))</f>
        <v>1</v>
      </c>
      <c r="AA939" s="62">
        <f>IF($H939&lt;&gt;"Y",0,(IF($F939&lt;&gt;"",ROUND(Dashboard!$R$4/$F939,1),IF(AND($I939="Base",$E939="Base"),Dashboard!$R$5,IF(AND($I939="Base",$E939="Red"),Dashboard!$R$6,IF(AND($I939="Base",$E939="Gold"),Dashboard!$R$7,VLOOKUP($I939,Dashboard!$Q$16:$R$21,2,FALSE)))))*VLOOKUP($I939,Dashboard!$Q$9:$R$13,2,FALSE)*IF(AND($I939="Auto",$F939="",OR($B939="Autographs Duals",$B939="Autographs Triples",$B939="Autographs Quads",$B939="Autographs Quads (Inscribed)")),IF($B939="Autographs Duals",2,IF($B939="Autographs Triples",3,4)),1)))</f>
        <v>2.5</v>
      </c>
      <c r="AB939" s="62">
        <f t="shared" si="193"/>
        <v>2.5</v>
      </c>
      <c r="AC939" s="62">
        <f t="shared" si="194"/>
        <v>0</v>
      </c>
    </row>
    <row r="940" spans="1:29" ht="42.95" customHeight="1" x14ac:dyDescent="0.25">
      <c r="A940" s="4" t="s">
        <v>19</v>
      </c>
      <c r="B940" s="7" t="s">
        <v>76</v>
      </c>
      <c r="C940" s="2" t="s">
        <v>1538</v>
      </c>
      <c r="D940" s="7" t="s">
        <v>1106</v>
      </c>
      <c r="E940" s="4" t="s">
        <v>778</v>
      </c>
      <c r="F940" s="2">
        <v>399</v>
      </c>
      <c r="G940" s="2" t="s">
        <v>1399</v>
      </c>
      <c r="H940" s="2" t="s">
        <v>1400</v>
      </c>
      <c r="I940" s="4" t="s">
        <v>60</v>
      </c>
      <c r="J940" s="112">
        <f>IF($H940&lt;&gt;"Y",0,ROUND(MIN(Dashboard!$R$24,IF(IFERROR(VLOOKUP($B940,Dashboard!$Q$28:$S$60,2,FALSE),0)&gt;0,IFERROR(VLOOKUP($B940,Dashboard!$Q$28:$S$60,2,FALSE),0),$Z940*IF($U940&lt;&gt;"",ROUND((Dashboard!$R$4/$U940)*VLOOKUP($I940,Dashboard!$Q$9:$R$13,2,FALSE)*IF(ISNUMBER(SEARCH("Duals",$B940)),2,IF(ISNUMBER(SEARCH("Triples",$B940)),3,IF(ISNUMBER(SEARCH("Quads",$B940)),4,1))),2),ROUND(VLOOKUP($I940,Dashboard!$Q$15:$R$20,2,FALSE)*IF($E940="Red",Dashboard!$R$6,IF($E940="Gold",Dashboard!$R$7,Dashboard!$R$5))*IF(ISNUMBER(SEARCH("Duals",$B940)),2,IF(ISNUMBER(SEARCH("Triples",$B940)),3,IF(ISNUMBER(SEARCH("Quads",$B940)),4,1))),2))*IF(IFERROR(VLOOKUP($B940,Dashboard!$Q$28:$S$60,3,FALSE),0)&gt;0,VLOOKUP($B940,Dashboard!$Q$28:$S$60,3,FALSE),1))),0))</f>
        <v>3</v>
      </c>
      <c r="K940" s="2" t="str">
        <f>IF('Base S2'!F40="","",'Base S2'!F40)</f>
        <v>C</v>
      </c>
      <c r="L940" s="2">
        <f t="shared" si="182"/>
        <v>1</v>
      </c>
      <c r="M940" s="2">
        <f t="shared" si="183"/>
        <v>0</v>
      </c>
      <c r="N940" s="2">
        <f t="shared" si="184"/>
        <v>1</v>
      </c>
      <c r="O940" s="2">
        <f t="shared" si="185"/>
        <v>0</v>
      </c>
      <c r="P940" s="112">
        <f t="shared" si="186"/>
        <v>3</v>
      </c>
      <c r="Q940" s="112">
        <f t="shared" si="187"/>
        <v>0</v>
      </c>
      <c r="R940" s="53"/>
      <c r="S940" s="53" t="str">
        <f t="shared" si="188"/>
        <v>Base S2|Compound V Parallel - Season 2|139|Compound V</v>
      </c>
      <c r="T940" s="57" t="str">
        <f>IF($S940="","",IFERROR(VLOOKUP($S940,'Pop Estimates (Non-#d)'!$N$2:$O$500,2,FALSE),""))</f>
        <v/>
      </c>
      <c r="U940" s="57">
        <f t="shared" si="189"/>
        <v>399</v>
      </c>
      <c r="V940" s="53" t="str">
        <f t="shared" si="190"/>
        <v/>
      </c>
      <c r="W940" s="53" t="str">
        <f t="shared" si="191"/>
        <v/>
      </c>
      <c r="X940" s="53" t="str">
        <f t="shared" si="192"/>
        <v/>
      </c>
      <c r="Y940" s="57" t="str">
        <f>IF($X940="","",IFERROR(VLOOKUP($X940,'Char Popularity'!$A$2:$C$500,2,FALSE),""))</f>
        <v/>
      </c>
      <c r="Z940" s="56">
        <f>IF($X940="",1,IFERROR(VLOOKUP($X940,'Char Popularity'!$A$2:$C$500,3,FALSE),1))</f>
        <v>1</v>
      </c>
      <c r="AA940" s="62">
        <f>IF($H940&lt;&gt;"Y",0,(IF($F940&lt;&gt;"",ROUND(Dashboard!$R$4/$F940,1),IF(AND($I940="Base",$E940="Base"),Dashboard!$R$5,IF(AND($I940="Base",$E940="Red"),Dashboard!$R$6,IF(AND($I940="Base",$E940="Gold"),Dashboard!$R$7,VLOOKUP($I940,Dashboard!$Q$16:$R$21,2,FALSE)))))*VLOOKUP($I940,Dashboard!$Q$9:$R$13,2,FALSE)*IF(AND($I940="Auto",$F940="",OR($B940="Autographs Duals",$B940="Autographs Triples",$B940="Autographs Quads",$B940="Autographs Quads (Inscribed)")),IF($B940="Autographs Duals",2,IF($B940="Autographs Triples",3,4)),1)))</f>
        <v>2.5</v>
      </c>
      <c r="AB940" s="62">
        <f t="shared" si="193"/>
        <v>2.5</v>
      </c>
      <c r="AC940" s="62">
        <f t="shared" si="194"/>
        <v>0</v>
      </c>
    </row>
    <row r="941" spans="1:29" ht="42.95" customHeight="1" x14ac:dyDescent="0.25">
      <c r="A941" s="4" t="s">
        <v>19</v>
      </c>
      <c r="B941" s="7" t="s">
        <v>76</v>
      </c>
      <c r="C941" s="2" t="s">
        <v>1539</v>
      </c>
      <c r="D941" s="7" t="s">
        <v>1108</v>
      </c>
      <c r="E941" s="4" t="s">
        <v>778</v>
      </c>
      <c r="F941" s="2">
        <v>399</v>
      </c>
      <c r="G941" s="2" t="s">
        <v>1399</v>
      </c>
      <c r="H941" s="2" t="s">
        <v>1400</v>
      </c>
      <c r="I941" s="4" t="s">
        <v>60</v>
      </c>
      <c r="J941" s="112">
        <f>IF($H941&lt;&gt;"Y",0,ROUND(MIN(Dashboard!$R$24,IF(IFERROR(VLOOKUP($B941,Dashboard!$Q$28:$S$60,2,FALSE),0)&gt;0,IFERROR(VLOOKUP($B941,Dashboard!$Q$28:$S$60,2,FALSE),0),$Z941*IF($U941&lt;&gt;"",ROUND((Dashboard!$R$4/$U941)*VLOOKUP($I941,Dashboard!$Q$9:$R$13,2,FALSE)*IF(ISNUMBER(SEARCH("Duals",$B941)),2,IF(ISNUMBER(SEARCH("Triples",$B941)),3,IF(ISNUMBER(SEARCH("Quads",$B941)),4,1))),2),ROUND(VLOOKUP($I941,Dashboard!$Q$15:$R$20,2,FALSE)*IF($E941="Red",Dashboard!$R$6,IF($E941="Gold",Dashboard!$R$7,Dashboard!$R$5))*IF(ISNUMBER(SEARCH("Duals",$B941)),2,IF(ISNUMBER(SEARCH("Triples",$B941)),3,IF(ISNUMBER(SEARCH("Quads",$B941)),4,1))),2))*IF(IFERROR(VLOOKUP($B941,Dashboard!$Q$28:$S$60,3,FALSE),0)&gt;0,VLOOKUP($B941,Dashboard!$Q$28:$S$60,3,FALSE),1))),0))</f>
        <v>3</v>
      </c>
      <c r="K941" s="2" t="str">
        <f>IF('Base S2'!F41="","",'Base S2'!F41)</f>
        <v>C</v>
      </c>
      <c r="L941" s="2">
        <f t="shared" si="182"/>
        <v>1</v>
      </c>
      <c r="M941" s="2">
        <f t="shared" si="183"/>
        <v>0</v>
      </c>
      <c r="N941" s="2">
        <f t="shared" si="184"/>
        <v>1</v>
      </c>
      <c r="O941" s="2">
        <f t="shared" si="185"/>
        <v>0</v>
      </c>
      <c r="P941" s="112">
        <f t="shared" si="186"/>
        <v>3</v>
      </c>
      <c r="Q941" s="112">
        <f t="shared" si="187"/>
        <v>0</v>
      </c>
      <c r="R941" s="53"/>
      <c r="S941" s="53" t="str">
        <f t="shared" si="188"/>
        <v>Base S2|Compound V Parallel - Season 2|140|Compound V</v>
      </c>
      <c r="T941" s="57" t="str">
        <f>IF($S941="","",IFERROR(VLOOKUP($S941,'Pop Estimates (Non-#d)'!$N$2:$O$500,2,FALSE),""))</f>
        <v/>
      </c>
      <c r="U941" s="57">
        <f t="shared" si="189"/>
        <v>399</v>
      </c>
      <c r="V941" s="53" t="str">
        <f t="shared" si="190"/>
        <v/>
      </c>
      <c r="W941" s="53" t="str">
        <f t="shared" si="191"/>
        <v/>
      </c>
      <c r="X941" s="53" t="str">
        <f t="shared" si="192"/>
        <v/>
      </c>
      <c r="Y941" s="57" t="str">
        <f>IF($X941="","",IFERROR(VLOOKUP($X941,'Char Popularity'!$A$2:$C$500,2,FALSE),""))</f>
        <v/>
      </c>
      <c r="Z941" s="56">
        <f>IF($X941="",1,IFERROR(VLOOKUP($X941,'Char Popularity'!$A$2:$C$500,3,FALSE),1))</f>
        <v>1</v>
      </c>
      <c r="AA941" s="62">
        <f>IF($H941&lt;&gt;"Y",0,(IF($F941&lt;&gt;"",ROUND(Dashboard!$R$4/$F941,1),IF(AND($I941="Base",$E941="Base"),Dashboard!$R$5,IF(AND($I941="Base",$E941="Red"),Dashboard!$R$6,IF(AND($I941="Base",$E941="Gold"),Dashboard!$R$7,VLOOKUP($I941,Dashboard!$Q$16:$R$21,2,FALSE)))))*VLOOKUP($I941,Dashboard!$Q$9:$R$13,2,FALSE)*IF(AND($I941="Auto",$F941="",OR($B941="Autographs Duals",$B941="Autographs Triples",$B941="Autographs Quads",$B941="Autographs Quads (Inscribed)")),IF($B941="Autographs Duals",2,IF($B941="Autographs Triples",3,4)),1)))</f>
        <v>2.5</v>
      </c>
      <c r="AB941" s="62">
        <f t="shared" si="193"/>
        <v>2.5</v>
      </c>
      <c r="AC941" s="62">
        <f t="shared" si="194"/>
        <v>0</v>
      </c>
    </row>
    <row r="942" spans="1:29" ht="42.95" customHeight="1" x14ac:dyDescent="0.25">
      <c r="A942" s="4" t="s">
        <v>19</v>
      </c>
      <c r="B942" s="7" t="s">
        <v>76</v>
      </c>
      <c r="C942" s="2" t="s">
        <v>1540</v>
      </c>
      <c r="D942" s="7" t="s">
        <v>1109</v>
      </c>
      <c r="E942" s="4" t="s">
        <v>778</v>
      </c>
      <c r="F942" s="2">
        <v>399</v>
      </c>
      <c r="G942" s="2" t="s">
        <v>1399</v>
      </c>
      <c r="H942" s="2" t="s">
        <v>1400</v>
      </c>
      <c r="I942" s="4" t="s">
        <v>60</v>
      </c>
      <c r="J942" s="112">
        <f>IF($H942&lt;&gt;"Y",0,ROUND(MIN(Dashboard!$R$24,IF(IFERROR(VLOOKUP($B942,Dashboard!$Q$28:$S$60,2,FALSE),0)&gt;0,IFERROR(VLOOKUP($B942,Dashboard!$Q$28:$S$60,2,FALSE),0),$Z942*IF($U942&lt;&gt;"",ROUND((Dashboard!$R$4/$U942)*VLOOKUP($I942,Dashboard!$Q$9:$R$13,2,FALSE)*IF(ISNUMBER(SEARCH("Duals",$B942)),2,IF(ISNUMBER(SEARCH("Triples",$B942)),3,IF(ISNUMBER(SEARCH("Quads",$B942)),4,1))),2),ROUND(VLOOKUP($I942,Dashboard!$Q$15:$R$20,2,FALSE)*IF($E942="Red",Dashboard!$R$6,IF($E942="Gold",Dashboard!$R$7,Dashboard!$R$5))*IF(ISNUMBER(SEARCH("Duals",$B942)),2,IF(ISNUMBER(SEARCH("Triples",$B942)),3,IF(ISNUMBER(SEARCH("Quads",$B942)),4,1))),2))*IF(IFERROR(VLOOKUP($B942,Dashboard!$Q$28:$S$60,3,FALSE),0)&gt;0,VLOOKUP($B942,Dashboard!$Q$28:$S$60,3,FALSE),1))),0))</f>
        <v>3</v>
      </c>
      <c r="K942" s="2" t="str">
        <f>IF('Base S2'!F42="","",'Base S2'!F42)</f>
        <v>C</v>
      </c>
      <c r="L942" s="2">
        <f t="shared" si="182"/>
        <v>1</v>
      </c>
      <c r="M942" s="2">
        <f t="shared" si="183"/>
        <v>0</v>
      </c>
      <c r="N942" s="2">
        <f t="shared" si="184"/>
        <v>1</v>
      </c>
      <c r="O942" s="2">
        <f t="shared" si="185"/>
        <v>0</v>
      </c>
      <c r="P942" s="112">
        <f t="shared" si="186"/>
        <v>3</v>
      </c>
      <c r="Q942" s="112">
        <f t="shared" si="187"/>
        <v>0</v>
      </c>
      <c r="R942" s="53"/>
      <c r="S942" s="53" t="str">
        <f t="shared" si="188"/>
        <v>Base S2|Compound V Parallel - Season 2|141|Compound V</v>
      </c>
      <c r="T942" s="57" t="str">
        <f>IF($S942="","",IFERROR(VLOOKUP($S942,'Pop Estimates (Non-#d)'!$N$2:$O$500,2,FALSE),""))</f>
        <v/>
      </c>
      <c r="U942" s="57">
        <f t="shared" si="189"/>
        <v>399</v>
      </c>
      <c r="V942" s="53" t="str">
        <f t="shared" si="190"/>
        <v/>
      </c>
      <c r="W942" s="53" t="str">
        <f t="shared" si="191"/>
        <v/>
      </c>
      <c r="X942" s="53" t="str">
        <f t="shared" si="192"/>
        <v/>
      </c>
      <c r="Y942" s="57" t="str">
        <f>IF($X942="","",IFERROR(VLOOKUP($X942,'Char Popularity'!$A$2:$C$500,2,FALSE),""))</f>
        <v/>
      </c>
      <c r="Z942" s="56">
        <f>IF($X942="",1,IFERROR(VLOOKUP($X942,'Char Popularity'!$A$2:$C$500,3,FALSE),1))</f>
        <v>1</v>
      </c>
      <c r="AA942" s="62">
        <f>IF($H942&lt;&gt;"Y",0,(IF($F942&lt;&gt;"",ROUND(Dashboard!$R$4/$F942,1),IF(AND($I942="Base",$E942="Base"),Dashboard!$R$5,IF(AND($I942="Base",$E942="Red"),Dashboard!$R$6,IF(AND($I942="Base",$E942="Gold"),Dashboard!$R$7,VLOOKUP($I942,Dashboard!$Q$16:$R$21,2,FALSE)))))*VLOOKUP($I942,Dashboard!$Q$9:$R$13,2,FALSE)*IF(AND($I942="Auto",$F942="",OR($B942="Autographs Duals",$B942="Autographs Triples",$B942="Autographs Quads",$B942="Autographs Quads (Inscribed)")),IF($B942="Autographs Duals",2,IF($B942="Autographs Triples",3,4)),1)))</f>
        <v>2.5</v>
      </c>
      <c r="AB942" s="62">
        <f t="shared" si="193"/>
        <v>2.5</v>
      </c>
      <c r="AC942" s="62">
        <f t="shared" si="194"/>
        <v>0</v>
      </c>
    </row>
    <row r="943" spans="1:29" ht="42.95" customHeight="1" x14ac:dyDescent="0.25">
      <c r="A943" s="4" t="s">
        <v>19</v>
      </c>
      <c r="B943" s="7" t="s">
        <v>76</v>
      </c>
      <c r="C943" s="2" t="s">
        <v>1541</v>
      </c>
      <c r="D943" s="7" t="s">
        <v>1110</v>
      </c>
      <c r="E943" s="4" t="s">
        <v>778</v>
      </c>
      <c r="F943" s="2">
        <v>399</v>
      </c>
      <c r="G943" s="2" t="s">
        <v>1399</v>
      </c>
      <c r="H943" s="2" t="s">
        <v>1400</v>
      </c>
      <c r="I943" s="4" t="s">
        <v>60</v>
      </c>
      <c r="J943" s="112">
        <f>IF($H943&lt;&gt;"Y",0,ROUND(MIN(Dashboard!$R$24,IF(IFERROR(VLOOKUP($B943,Dashboard!$Q$28:$S$60,2,FALSE),0)&gt;0,IFERROR(VLOOKUP($B943,Dashboard!$Q$28:$S$60,2,FALSE),0),$Z943*IF($U943&lt;&gt;"",ROUND((Dashboard!$R$4/$U943)*VLOOKUP($I943,Dashboard!$Q$9:$R$13,2,FALSE)*IF(ISNUMBER(SEARCH("Duals",$B943)),2,IF(ISNUMBER(SEARCH("Triples",$B943)),3,IF(ISNUMBER(SEARCH("Quads",$B943)),4,1))),2),ROUND(VLOOKUP($I943,Dashboard!$Q$15:$R$20,2,FALSE)*IF($E943="Red",Dashboard!$R$6,IF($E943="Gold",Dashboard!$R$7,Dashboard!$R$5))*IF(ISNUMBER(SEARCH("Duals",$B943)),2,IF(ISNUMBER(SEARCH("Triples",$B943)),3,IF(ISNUMBER(SEARCH("Quads",$B943)),4,1))),2))*IF(IFERROR(VLOOKUP($B943,Dashboard!$Q$28:$S$60,3,FALSE),0)&gt;0,VLOOKUP($B943,Dashboard!$Q$28:$S$60,3,FALSE),1))),0))</f>
        <v>3</v>
      </c>
      <c r="K943" s="2" t="str">
        <f>IF('Base S2'!F43="","",'Base S2'!F43)</f>
        <v>C</v>
      </c>
      <c r="L943" s="2">
        <f t="shared" si="182"/>
        <v>1</v>
      </c>
      <c r="M943" s="2">
        <f t="shared" si="183"/>
        <v>0</v>
      </c>
      <c r="N943" s="2">
        <f t="shared" si="184"/>
        <v>1</v>
      </c>
      <c r="O943" s="2">
        <f t="shared" si="185"/>
        <v>0</v>
      </c>
      <c r="P943" s="112">
        <f t="shared" si="186"/>
        <v>3</v>
      </c>
      <c r="Q943" s="112">
        <f t="shared" si="187"/>
        <v>0</v>
      </c>
      <c r="R943" s="53"/>
      <c r="S943" s="53" t="str">
        <f t="shared" si="188"/>
        <v>Base S2|Compound V Parallel - Season 2|142|Compound V</v>
      </c>
      <c r="T943" s="57" t="str">
        <f>IF($S943="","",IFERROR(VLOOKUP($S943,'Pop Estimates (Non-#d)'!$N$2:$O$500,2,FALSE),""))</f>
        <v/>
      </c>
      <c r="U943" s="57">
        <f t="shared" si="189"/>
        <v>399</v>
      </c>
      <c r="V943" s="53" t="str">
        <f t="shared" si="190"/>
        <v/>
      </c>
      <c r="W943" s="53" t="str">
        <f t="shared" si="191"/>
        <v/>
      </c>
      <c r="X943" s="53" t="str">
        <f t="shared" si="192"/>
        <v/>
      </c>
      <c r="Y943" s="57" t="str">
        <f>IF($X943="","",IFERROR(VLOOKUP($X943,'Char Popularity'!$A$2:$C$500,2,FALSE),""))</f>
        <v/>
      </c>
      <c r="Z943" s="56">
        <f>IF($X943="",1,IFERROR(VLOOKUP($X943,'Char Popularity'!$A$2:$C$500,3,FALSE),1))</f>
        <v>1</v>
      </c>
      <c r="AA943" s="62">
        <f>IF($H943&lt;&gt;"Y",0,(IF($F943&lt;&gt;"",ROUND(Dashboard!$R$4/$F943,1),IF(AND($I943="Base",$E943="Base"),Dashboard!$R$5,IF(AND($I943="Base",$E943="Red"),Dashboard!$R$6,IF(AND($I943="Base",$E943="Gold"),Dashboard!$R$7,VLOOKUP($I943,Dashboard!$Q$16:$R$21,2,FALSE)))))*VLOOKUP($I943,Dashboard!$Q$9:$R$13,2,FALSE)*IF(AND($I943="Auto",$F943="",OR($B943="Autographs Duals",$B943="Autographs Triples",$B943="Autographs Quads",$B943="Autographs Quads (Inscribed)")),IF($B943="Autographs Duals",2,IF($B943="Autographs Triples",3,4)),1)))</f>
        <v>2.5</v>
      </c>
      <c r="AB943" s="62">
        <f t="shared" si="193"/>
        <v>2.5</v>
      </c>
      <c r="AC943" s="62">
        <f t="shared" si="194"/>
        <v>0</v>
      </c>
    </row>
    <row r="944" spans="1:29" ht="42.95" customHeight="1" x14ac:dyDescent="0.25">
      <c r="A944" s="4" t="s">
        <v>19</v>
      </c>
      <c r="B944" s="7" t="s">
        <v>76</v>
      </c>
      <c r="C944" s="2" t="s">
        <v>1542</v>
      </c>
      <c r="D944" s="7" t="s">
        <v>1111</v>
      </c>
      <c r="E944" s="4" t="s">
        <v>778</v>
      </c>
      <c r="F944" s="2">
        <v>399</v>
      </c>
      <c r="G944" s="2" t="s">
        <v>1399</v>
      </c>
      <c r="H944" s="2" t="s">
        <v>1400</v>
      </c>
      <c r="I944" s="4" t="s">
        <v>60</v>
      </c>
      <c r="J944" s="112">
        <f>IF($H944&lt;&gt;"Y",0,ROUND(MIN(Dashboard!$R$24,IF(IFERROR(VLOOKUP($B944,Dashboard!$Q$28:$S$60,2,FALSE),0)&gt;0,IFERROR(VLOOKUP($B944,Dashboard!$Q$28:$S$60,2,FALSE),0),$Z944*IF($U944&lt;&gt;"",ROUND((Dashboard!$R$4/$U944)*VLOOKUP($I944,Dashboard!$Q$9:$R$13,2,FALSE)*IF(ISNUMBER(SEARCH("Duals",$B944)),2,IF(ISNUMBER(SEARCH("Triples",$B944)),3,IF(ISNUMBER(SEARCH("Quads",$B944)),4,1))),2),ROUND(VLOOKUP($I944,Dashboard!$Q$15:$R$20,2,FALSE)*IF($E944="Red",Dashboard!$R$6,IF($E944="Gold",Dashboard!$R$7,Dashboard!$R$5))*IF(ISNUMBER(SEARCH("Duals",$B944)),2,IF(ISNUMBER(SEARCH("Triples",$B944)),3,IF(ISNUMBER(SEARCH("Quads",$B944)),4,1))),2))*IF(IFERROR(VLOOKUP($B944,Dashboard!$Q$28:$S$60,3,FALSE),0)&gt;0,VLOOKUP($B944,Dashboard!$Q$28:$S$60,3,FALSE),1))),0))</f>
        <v>3</v>
      </c>
      <c r="K944" s="2" t="str">
        <f>IF('Base S2'!F44="","",'Base S2'!F44)</f>
        <v>C</v>
      </c>
      <c r="L944" s="2">
        <f t="shared" si="182"/>
        <v>1</v>
      </c>
      <c r="M944" s="2">
        <f t="shared" si="183"/>
        <v>0</v>
      </c>
      <c r="N944" s="2">
        <f t="shared" si="184"/>
        <v>1</v>
      </c>
      <c r="O944" s="2">
        <f t="shared" si="185"/>
        <v>0</v>
      </c>
      <c r="P944" s="112">
        <f t="shared" si="186"/>
        <v>3</v>
      </c>
      <c r="Q944" s="112">
        <f t="shared" si="187"/>
        <v>0</v>
      </c>
      <c r="R944" s="53"/>
      <c r="S944" s="53" t="str">
        <f t="shared" si="188"/>
        <v>Base S2|Compound V Parallel - Season 2|143|Compound V</v>
      </c>
      <c r="T944" s="57" t="str">
        <f>IF($S944="","",IFERROR(VLOOKUP($S944,'Pop Estimates (Non-#d)'!$N$2:$O$500,2,FALSE),""))</f>
        <v/>
      </c>
      <c r="U944" s="57">
        <f t="shared" si="189"/>
        <v>399</v>
      </c>
      <c r="V944" s="53" t="str">
        <f t="shared" si="190"/>
        <v/>
      </c>
      <c r="W944" s="53" t="str">
        <f t="shared" si="191"/>
        <v/>
      </c>
      <c r="X944" s="53" t="str">
        <f t="shared" si="192"/>
        <v/>
      </c>
      <c r="Y944" s="57" t="str">
        <f>IF($X944="","",IFERROR(VLOOKUP($X944,'Char Popularity'!$A$2:$C$500,2,FALSE),""))</f>
        <v/>
      </c>
      <c r="Z944" s="56">
        <f>IF($X944="",1,IFERROR(VLOOKUP($X944,'Char Popularity'!$A$2:$C$500,3,FALSE),1))</f>
        <v>1</v>
      </c>
      <c r="AA944" s="62">
        <f>IF($H944&lt;&gt;"Y",0,(IF($F944&lt;&gt;"",ROUND(Dashboard!$R$4/$F944,1),IF(AND($I944="Base",$E944="Base"),Dashboard!$R$5,IF(AND($I944="Base",$E944="Red"),Dashboard!$R$6,IF(AND($I944="Base",$E944="Gold"),Dashboard!$R$7,VLOOKUP($I944,Dashboard!$Q$16:$R$21,2,FALSE)))))*VLOOKUP($I944,Dashboard!$Q$9:$R$13,2,FALSE)*IF(AND($I944="Auto",$F944="",OR($B944="Autographs Duals",$B944="Autographs Triples",$B944="Autographs Quads",$B944="Autographs Quads (Inscribed)")),IF($B944="Autographs Duals",2,IF($B944="Autographs Triples",3,4)),1)))</f>
        <v>2.5</v>
      </c>
      <c r="AB944" s="62">
        <f t="shared" si="193"/>
        <v>2.5</v>
      </c>
      <c r="AC944" s="62">
        <f t="shared" si="194"/>
        <v>0</v>
      </c>
    </row>
    <row r="945" spans="1:29" ht="42.95" customHeight="1" x14ac:dyDescent="0.25">
      <c r="A945" s="4" t="s">
        <v>19</v>
      </c>
      <c r="B945" s="7" t="s">
        <v>76</v>
      </c>
      <c r="C945" s="2" t="s">
        <v>1543</v>
      </c>
      <c r="D945" s="7" t="s">
        <v>1113</v>
      </c>
      <c r="E945" s="4" t="s">
        <v>778</v>
      </c>
      <c r="F945" s="2">
        <v>399</v>
      </c>
      <c r="G945" s="2" t="s">
        <v>1399</v>
      </c>
      <c r="H945" s="2" t="s">
        <v>1400</v>
      </c>
      <c r="I945" s="4" t="s">
        <v>60</v>
      </c>
      <c r="J945" s="112">
        <f>IF($H945&lt;&gt;"Y",0,ROUND(MIN(Dashboard!$R$24,IF(IFERROR(VLOOKUP($B945,Dashboard!$Q$28:$S$60,2,FALSE),0)&gt;0,IFERROR(VLOOKUP($B945,Dashboard!$Q$28:$S$60,2,FALSE),0),$Z945*IF($U945&lt;&gt;"",ROUND((Dashboard!$R$4/$U945)*VLOOKUP($I945,Dashboard!$Q$9:$R$13,2,FALSE)*IF(ISNUMBER(SEARCH("Duals",$B945)),2,IF(ISNUMBER(SEARCH("Triples",$B945)),3,IF(ISNUMBER(SEARCH("Quads",$B945)),4,1))),2),ROUND(VLOOKUP($I945,Dashboard!$Q$15:$R$20,2,FALSE)*IF($E945="Red",Dashboard!$R$6,IF($E945="Gold",Dashboard!$R$7,Dashboard!$R$5))*IF(ISNUMBER(SEARCH("Duals",$B945)),2,IF(ISNUMBER(SEARCH("Triples",$B945)),3,IF(ISNUMBER(SEARCH("Quads",$B945)),4,1))),2))*IF(IFERROR(VLOOKUP($B945,Dashboard!$Q$28:$S$60,3,FALSE),0)&gt;0,VLOOKUP($B945,Dashboard!$Q$28:$S$60,3,FALSE),1))),0))</f>
        <v>3</v>
      </c>
      <c r="K945" s="2" t="str">
        <f>IF('Base S2'!F45="","",'Base S2'!F45)</f>
        <v>C</v>
      </c>
      <c r="L945" s="2">
        <f t="shared" si="182"/>
        <v>1</v>
      </c>
      <c r="M945" s="2">
        <f t="shared" si="183"/>
        <v>0</v>
      </c>
      <c r="N945" s="2">
        <f t="shared" si="184"/>
        <v>1</v>
      </c>
      <c r="O945" s="2">
        <f t="shared" si="185"/>
        <v>0</v>
      </c>
      <c r="P945" s="112">
        <f t="shared" si="186"/>
        <v>3</v>
      </c>
      <c r="Q945" s="112">
        <f t="shared" si="187"/>
        <v>0</v>
      </c>
      <c r="R945" s="53"/>
      <c r="S945" s="53" t="str">
        <f t="shared" si="188"/>
        <v>Base S2|Compound V Parallel - Season 2|144|Compound V</v>
      </c>
      <c r="T945" s="57" t="str">
        <f>IF($S945="","",IFERROR(VLOOKUP($S945,'Pop Estimates (Non-#d)'!$N$2:$O$500,2,FALSE),""))</f>
        <v/>
      </c>
      <c r="U945" s="57">
        <f t="shared" si="189"/>
        <v>399</v>
      </c>
      <c r="V945" s="53" t="str">
        <f t="shared" si="190"/>
        <v/>
      </c>
      <c r="W945" s="53" t="str">
        <f t="shared" si="191"/>
        <v/>
      </c>
      <c r="X945" s="53" t="str">
        <f t="shared" si="192"/>
        <v/>
      </c>
      <c r="Y945" s="57" t="str">
        <f>IF($X945="","",IFERROR(VLOOKUP($X945,'Char Popularity'!$A$2:$C$500,2,FALSE),""))</f>
        <v/>
      </c>
      <c r="Z945" s="56">
        <f>IF($X945="",1,IFERROR(VLOOKUP($X945,'Char Popularity'!$A$2:$C$500,3,FALSE),1))</f>
        <v>1</v>
      </c>
      <c r="AA945" s="62">
        <f>IF($H945&lt;&gt;"Y",0,(IF($F945&lt;&gt;"",ROUND(Dashboard!$R$4/$F945,1),IF(AND($I945="Base",$E945="Base"),Dashboard!$R$5,IF(AND($I945="Base",$E945="Red"),Dashboard!$R$6,IF(AND($I945="Base",$E945="Gold"),Dashboard!$R$7,VLOOKUP($I945,Dashboard!$Q$16:$R$21,2,FALSE)))))*VLOOKUP($I945,Dashboard!$Q$9:$R$13,2,FALSE)*IF(AND($I945="Auto",$F945="",OR($B945="Autographs Duals",$B945="Autographs Triples",$B945="Autographs Quads",$B945="Autographs Quads (Inscribed)")),IF($B945="Autographs Duals",2,IF($B945="Autographs Triples",3,4)),1)))</f>
        <v>2.5</v>
      </c>
      <c r="AB945" s="62">
        <f t="shared" si="193"/>
        <v>2.5</v>
      </c>
      <c r="AC945" s="62">
        <f t="shared" si="194"/>
        <v>0</v>
      </c>
    </row>
    <row r="946" spans="1:29" ht="42.95" customHeight="1" x14ac:dyDescent="0.25">
      <c r="A946" s="4" t="s">
        <v>19</v>
      </c>
      <c r="B946" s="7" t="s">
        <v>76</v>
      </c>
      <c r="C946" s="2" t="s">
        <v>1544</v>
      </c>
      <c r="D946" s="7" t="s">
        <v>1114</v>
      </c>
      <c r="E946" s="4" t="s">
        <v>778</v>
      </c>
      <c r="F946" s="2">
        <v>399</v>
      </c>
      <c r="G946" s="2" t="s">
        <v>1399</v>
      </c>
      <c r="H946" s="2" t="s">
        <v>1400</v>
      </c>
      <c r="I946" s="4" t="s">
        <v>60</v>
      </c>
      <c r="J946" s="112">
        <f>IF($H946&lt;&gt;"Y",0,ROUND(MIN(Dashboard!$R$24,IF(IFERROR(VLOOKUP($B946,Dashboard!$Q$28:$S$60,2,FALSE),0)&gt;0,IFERROR(VLOOKUP($B946,Dashboard!$Q$28:$S$60,2,FALSE),0),$Z946*IF($U946&lt;&gt;"",ROUND((Dashboard!$R$4/$U946)*VLOOKUP($I946,Dashboard!$Q$9:$R$13,2,FALSE)*IF(ISNUMBER(SEARCH("Duals",$B946)),2,IF(ISNUMBER(SEARCH("Triples",$B946)),3,IF(ISNUMBER(SEARCH("Quads",$B946)),4,1))),2),ROUND(VLOOKUP($I946,Dashboard!$Q$15:$R$20,2,FALSE)*IF($E946="Red",Dashboard!$R$6,IF($E946="Gold",Dashboard!$R$7,Dashboard!$R$5))*IF(ISNUMBER(SEARCH("Duals",$B946)),2,IF(ISNUMBER(SEARCH("Triples",$B946)),3,IF(ISNUMBER(SEARCH("Quads",$B946)),4,1))),2))*IF(IFERROR(VLOOKUP($B946,Dashboard!$Q$28:$S$60,3,FALSE),0)&gt;0,VLOOKUP($B946,Dashboard!$Q$28:$S$60,3,FALSE),1))),0))</f>
        <v>3</v>
      </c>
      <c r="K946" s="2" t="str">
        <f>IF('Base S2'!F46="","",'Base S2'!F46)</f>
        <v>C</v>
      </c>
      <c r="L946" s="2">
        <f t="shared" si="182"/>
        <v>1</v>
      </c>
      <c r="M946" s="2">
        <f t="shared" si="183"/>
        <v>0</v>
      </c>
      <c r="N946" s="2">
        <f t="shared" si="184"/>
        <v>1</v>
      </c>
      <c r="O946" s="2">
        <f t="shared" si="185"/>
        <v>0</v>
      </c>
      <c r="P946" s="112">
        <f t="shared" si="186"/>
        <v>3</v>
      </c>
      <c r="Q946" s="112">
        <f t="shared" si="187"/>
        <v>0</v>
      </c>
      <c r="R946" s="53"/>
      <c r="S946" s="53" t="str">
        <f t="shared" si="188"/>
        <v>Base S2|Compound V Parallel - Season 2|145|Compound V</v>
      </c>
      <c r="T946" s="57" t="str">
        <f>IF($S946="","",IFERROR(VLOOKUP($S946,'Pop Estimates (Non-#d)'!$N$2:$O$500,2,FALSE),""))</f>
        <v/>
      </c>
      <c r="U946" s="57">
        <f t="shared" si="189"/>
        <v>399</v>
      </c>
      <c r="V946" s="53" t="str">
        <f t="shared" si="190"/>
        <v/>
      </c>
      <c r="W946" s="53" t="str">
        <f t="shared" si="191"/>
        <v/>
      </c>
      <c r="X946" s="53" t="str">
        <f t="shared" si="192"/>
        <v/>
      </c>
      <c r="Y946" s="57" t="str">
        <f>IF($X946="","",IFERROR(VLOOKUP($X946,'Char Popularity'!$A$2:$C$500,2,FALSE),""))</f>
        <v/>
      </c>
      <c r="Z946" s="56">
        <f>IF($X946="",1,IFERROR(VLOOKUP($X946,'Char Popularity'!$A$2:$C$500,3,FALSE),1))</f>
        <v>1</v>
      </c>
      <c r="AA946" s="62">
        <f>IF($H946&lt;&gt;"Y",0,(IF($F946&lt;&gt;"",ROUND(Dashboard!$R$4/$F946,1),IF(AND($I946="Base",$E946="Base"),Dashboard!$R$5,IF(AND($I946="Base",$E946="Red"),Dashboard!$R$6,IF(AND($I946="Base",$E946="Gold"),Dashboard!$R$7,VLOOKUP($I946,Dashboard!$Q$16:$R$21,2,FALSE)))))*VLOOKUP($I946,Dashboard!$Q$9:$R$13,2,FALSE)*IF(AND($I946="Auto",$F946="",OR($B946="Autographs Duals",$B946="Autographs Triples",$B946="Autographs Quads",$B946="Autographs Quads (Inscribed)")),IF($B946="Autographs Duals",2,IF($B946="Autographs Triples",3,4)),1)))</f>
        <v>2.5</v>
      </c>
      <c r="AB946" s="62">
        <f t="shared" si="193"/>
        <v>2.5</v>
      </c>
      <c r="AC946" s="62">
        <f t="shared" si="194"/>
        <v>0</v>
      </c>
    </row>
    <row r="947" spans="1:29" ht="42.95" customHeight="1" x14ac:dyDescent="0.25">
      <c r="A947" s="4" t="s">
        <v>19</v>
      </c>
      <c r="B947" s="7" t="s">
        <v>76</v>
      </c>
      <c r="C947" s="2" t="s">
        <v>1545</v>
      </c>
      <c r="D947" s="7" t="s">
        <v>1116</v>
      </c>
      <c r="E947" s="4" t="s">
        <v>778</v>
      </c>
      <c r="F947" s="2">
        <v>399</v>
      </c>
      <c r="G947" s="2" t="s">
        <v>1399</v>
      </c>
      <c r="H947" s="2" t="s">
        <v>1400</v>
      </c>
      <c r="I947" s="4" t="s">
        <v>60</v>
      </c>
      <c r="J947" s="112">
        <f>IF($H947&lt;&gt;"Y",0,ROUND(MIN(Dashboard!$R$24,IF(IFERROR(VLOOKUP($B947,Dashboard!$Q$28:$S$60,2,FALSE),0)&gt;0,IFERROR(VLOOKUP($B947,Dashboard!$Q$28:$S$60,2,FALSE),0),$Z947*IF($U947&lt;&gt;"",ROUND((Dashboard!$R$4/$U947)*VLOOKUP($I947,Dashboard!$Q$9:$R$13,2,FALSE)*IF(ISNUMBER(SEARCH("Duals",$B947)),2,IF(ISNUMBER(SEARCH("Triples",$B947)),3,IF(ISNUMBER(SEARCH("Quads",$B947)),4,1))),2),ROUND(VLOOKUP($I947,Dashboard!$Q$15:$R$20,2,FALSE)*IF($E947="Red",Dashboard!$R$6,IF($E947="Gold",Dashboard!$R$7,Dashboard!$R$5))*IF(ISNUMBER(SEARCH("Duals",$B947)),2,IF(ISNUMBER(SEARCH("Triples",$B947)),3,IF(ISNUMBER(SEARCH("Quads",$B947)),4,1))),2))*IF(IFERROR(VLOOKUP($B947,Dashboard!$Q$28:$S$60,3,FALSE),0)&gt;0,VLOOKUP($B947,Dashboard!$Q$28:$S$60,3,FALSE),1))),0))</f>
        <v>3</v>
      </c>
      <c r="K947" s="2" t="str">
        <f>IF('Base S2'!F47="","",'Base S2'!F47)</f>
        <v>V</v>
      </c>
      <c r="L947" s="2">
        <f t="shared" si="182"/>
        <v>1</v>
      </c>
      <c r="M947" s="2">
        <f t="shared" si="183"/>
        <v>0</v>
      </c>
      <c r="N947" s="2">
        <f t="shared" si="184"/>
        <v>1</v>
      </c>
      <c r="O947" s="2">
        <f t="shared" si="185"/>
        <v>0</v>
      </c>
      <c r="P947" s="112">
        <f t="shared" si="186"/>
        <v>3</v>
      </c>
      <c r="Q947" s="112">
        <f t="shared" si="187"/>
        <v>0</v>
      </c>
      <c r="R947" s="53"/>
      <c r="S947" s="53" t="str">
        <f t="shared" si="188"/>
        <v>Base S2|Compound V Parallel - Season 2|146|Compound V</v>
      </c>
      <c r="T947" s="57" t="str">
        <f>IF($S947="","",IFERROR(VLOOKUP($S947,'Pop Estimates (Non-#d)'!$N$2:$O$500,2,FALSE),""))</f>
        <v/>
      </c>
      <c r="U947" s="57">
        <f t="shared" si="189"/>
        <v>399</v>
      </c>
      <c r="V947" s="53" t="str">
        <f t="shared" si="190"/>
        <v/>
      </c>
      <c r="W947" s="53" t="str">
        <f t="shared" si="191"/>
        <v/>
      </c>
      <c r="X947" s="53" t="str">
        <f t="shared" si="192"/>
        <v/>
      </c>
      <c r="Y947" s="57" t="str">
        <f>IF($X947="","",IFERROR(VLOOKUP($X947,'Char Popularity'!$A$2:$C$500,2,FALSE),""))</f>
        <v/>
      </c>
      <c r="Z947" s="56">
        <f>IF($X947="",1,IFERROR(VLOOKUP($X947,'Char Popularity'!$A$2:$C$500,3,FALSE),1))</f>
        <v>1</v>
      </c>
      <c r="AA947" s="62">
        <f>IF($H947&lt;&gt;"Y",0,(IF($F947&lt;&gt;"",ROUND(Dashboard!$R$4/$F947,1),IF(AND($I947="Base",$E947="Base"),Dashboard!$R$5,IF(AND($I947="Base",$E947="Red"),Dashboard!$R$6,IF(AND($I947="Base",$E947="Gold"),Dashboard!$R$7,VLOOKUP($I947,Dashboard!$Q$16:$R$21,2,FALSE)))))*VLOOKUP($I947,Dashboard!$Q$9:$R$13,2,FALSE)*IF(AND($I947="Auto",$F947="",OR($B947="Autographs Duals",$B947="Autographs Triples",$B947="Autographs Quads",$B947="Autographs Quads (Inscribed)")),IF($B947="Autographs Duals",2,IF($B947="Autographs Triples",3,4)),1)))</f>
        <v>2.5</v>
      </c>
      <c r="AB947" s="62">
        <f t="shared" si="193"/>
        <v>2.5</v>
      </c>
      <c r="AC947" s="62">
        <f t="shared" si="194"/>
        <v>0</v>
      </c>
    </row>
    <row r="948" spans="1:29" ht="42.95" customHeight="1" x14ac:dyDescent="0.25">
      <c r="A948" s="4" t="s">
        <v>19</v>
      </c>
      <c r="B948" s="7" t="s">
        <v>76</v>
      </c>
      <c r="C948" s="2" t="s">
        <v>1546</v>
      </c>
      <c r="D948" s="7" t="s">
        <v>1118</v>
      </c>
      <c r="E948" s="4" t="s">
        <v>778</v>
      </c>
      <c r="F948" s="2">
        <v>399</v>
      </c>
      <c r="G948" s="2" t="s">
        <v>1399</v>
      </c>
      <c r="H948" s="2" t="s">
        <v>1400</v>
      </c>
      <c r="I948" s="4" t="s">
        <v>60</v>
      </c>
      <c r="J948" s="112">
        <f>IF($H948&lt;&gt;"Y",0,ROUND(MIN(Dashboard!$R$24,IF(IFERROR(VLOOKUP($B948,Dashboard!$Q$28:$S$60,2,FALSE),0)&gt;0,IFERROR(VLOOKUP($B948,Dashboard!$Q$28:$S$60,2,FALSE),0),$Z948*IF($U948&lt;&gt;"",ROUND((Dashboard!$R$4/$U948)*VLOOKUP($I948,Dashboard!$Q$9:$R$13,2,FALSE)*IF(ISNUMBER(SEARCH("Duals",$B948)),2,IF(ISNUMBER(SEARCH("Triples",$B948)),3,IF(ISNUMBER(SEARCH("Quads",$B948)),4,1))),2),ROUND(VLOOKUP($I948,Dashboard!$Q$15:$R$20,2,FALSE)*IF($E948="Red",Dashboard!$R$6,IF($E948="Gold",Dashboard!$R$7,Dashboard!$R$5))*IF(ISNUMBER(SEARCH("Duals",$B948)),2,IF(ISNUMBER(SEARCH("Triples",$B948)),3,IF(ISNUMBER(SEARCH("Quads",$B948)),4,1))),2))*IF(IFERROR(VLOOKUP($B948,Dashboard!$Q$28:$S$60,3,FALSE),0)&gt;0,VLOOKUP($B948,Dashboard!$Q$28:$S$60,3,FALSE),1))),0))</f>
        <v>3</v>
      </c>
      <c r="K948" s="2" t="str">
        <f>IF('Base S2'!F48="","",'Base S2'!F48)</f>
        <v>C</v>
      </c>
      <c r="L948" s="2">
        <f t="shared" si="182"/>
        <v>1</v>
      </c>
      <c r="M948" s="2">
        <f t="shared" si="183"/>
        <v>0</v>
      </c>
      <c r="N948" s="2">
        <f t="shared" si="184"/>
        <v>1</v>
      </c>
      <c r="O948" s="2">
        <f t="shared" si="185"/>
        <v>0</v>
      </c>
      <c r="P948" s="112">
        <f t="shared" si="186"/>
        <v>3</v>
      </c>
      <c r="Q948" s="112">
        <f t="shared" si="187"/>
        <v>0</v>
      </c>
      <c r="R948" s="53"/>
      <c r="S948" s="53" t="str">
        <f t="shared" si="188"/>
        <v>Base S2|Compound V Parallel - Season 2|147|Compound V</v>
      </c>
      <c r="T948" s="57" t="str">
        <f>IF($S948="","",IFERROR(VLOOKUP($S948,'Pop Estimates (Non-#d)'!$N$2:$O$500,2,FALSE),""))</f>
        <v/>
      </c>
      <c r="U948" s="57">
        <f t="shared" si="189"/>
        <v>399</v>
      </c>
      <c r="V948" s="53" t="str">
        <f t="shared" si="190"/>
        <v/>
      </c>
      <c r="W948" s="53" t="str">
        <f t="shared" si="191"/>
        <v/>
      </c>
      <c r="X948" s="53" t="str">
        <f t="shared" si="192"/>
        <v/>
      </c>
      <c r="Y948" s="57" t="str">
        <f>IF($X948="","",IFERROR(VLOOKUP($X948,'Char Popularity'!$A$2:$C$500,2,FALSE),""))</f>
        <v/>
      </c>
      <c r="Z948" s="56">
        <f>IF($X948="",1,IFERROR(VLOOKUP($X948,'Char Popularity'!$A$2:$C$500,3,FALSE),1))</f>
        <v>1</v>
      </c>
      <c r="AA948" s="62">
        <f>IF($H948&lt;&gt;"Y",0,(IF($F948&lt;&gt;"",ROUND(Dashboard!$R$4/$F948,1),IF(AND($I948="Base",$E948="Base"),Dashboard!$R$5,IF(AND($I948="Base",$E948="Red"),Dashboard!$R$6,IF(AND($I948="Base",$E948="Gold"),Dashboard!$R$7,VLOOKUP($I948,Dashboard!$Q$16:$R$21,2,FALSE)))))*VLOOKUP($I948,Dashboard!$Q$9:$R$13,2,FALSE)*IF(AND($I948="Auto",$F948="",OR($B948="Autographs Duals",$B948="Autographs Triples",$B948="Autographs Quads",$B948="Autographs Quads (Inscribed)")),IF($B948="Autographs Duals",2,IF($B948="Autographs Triples",3,4)),1)))</f>
        <v>2.5</v>
      </c>
      <c r="AB948" s="62">
        <f t="shared" si="193"/>
        <v>2.5</v>
      </c>
      <c r="AC948" s="62">
        <f t="shared" si="194"/>
        <v>0</v>
      </c>
    </row>
    <row r="949" spans="1:29" ht="42.95" customHeight="1" x14ac:dyDescent="0.25">
      <c r="A949" s="4" t="s">
        <v>19</v>
      </c>
      <c r="B949" s="7" t="s">
        <v>76</v>
      </c>
      <c r="C949" s="2" t="s">
        <v>1547</v>
      </c>
      <c r="D949" s="7" t="s">
        <v>1120</v>
      </c>
      <c r="E949" s="4" t="s">
        <v>778</v>
      </c>
      <c r="F949" s="2">
        <v>399</v>
      </c>
      <c r="G949" s="2" t="s">
        <v>1399</v>
      </c>
      <c r="H949" s="2" t="s">
        <v>1400</v>
      </c>
      <c r="I949" s="4" t="s">
        <v>60</v>
      </c>
      <c r="J949" s="112">
        <f>IF($H949&lt;&gt;"Y",0,ROUND(MIN(Dashboard!$R$24,IF(IFERROR(VLOOKUP($B949,Dashboard!$Q$28:$S$60,2,FALSE),0)&gt;0,IFERROR(VLOOKUP($B949,Dashboard!$Q$28:$S$60,2,FALSE),0),$Z949*IF($U949&lt;&gt;"",ROUND((Dashboard!$R$4/$U949)*VLOOKUP($I949,Dashboard!$Q$9:$R$13,2,FALSE)*IF(ISNUMBER(SEARCH("Duals",$B949)),2,IF(ISNUMBER(SEARCH("Triples",$B949)),3,IF(ISNUMBER(SEARCH("Quads",$B949)),4,1))),2),ROUND(VLOOKUP($I949,Dashboard!$Q$15:$R$20,2,FALSE)*IF($E949="Red",Dashboard!$R$6,IF($E949="Gold",Dashboard!$R$7,Dashboard!$R$5))*IF(ISNUMBER(SEARCH("Duals",$B949)),2,IF(ISNUMBER(SEARCH("Triples",$B949)),3,IF(ISNUMBER(SEARCH("Quads",$B949)),4,1))),2))*IF(IFERROR(VLOOKUP($B949,Dashboard!$Q$28:$S$60,3,FALSE),0)&gt;0,VLOOKUP($B949,Dashboard!$Q$28:$S$60,3,FALSE),1))),0))</f>
        <v>3</v>
      </c>
      <c r="K949" s="2" t="str">
        <f>IF('Base S2'!F49="","",'Base S2'!F49)</f>
        <v>C</v>
      </c>
      <c r="L949" s="2">
        <f t="shared" si="182"/>
        <v>1</v>
      </c>
      <c r="M949" s="2">
        <f t="shared" si="183"/>
        <v>0</v>
      </c>
      <c r="N949" s="2">
        <f t="shared" si="184"/>
        <v>1</v>
      </c>
      <c r="O949" s="2">
        <f t="shared" si="185"/>
        <v>0</v>
      </c>
      <c r="P949" s="112">
        <f t="shared" si="186"/>
        <v>3</v>
      </c>
      <c r="Q949" s="112">
        <f t="shared" si="187"/>
        <v>0</v>
      </c>
      <c r="R949" s="53"/>
      <c r="S949" s="53" t="str">
        <f t="shared" si="188"/>
        <v>Base S2|Compound V Parallel - Season 2|148|Compound V</v>
      </c>
      <c r="T949" s="57" t="str">
        <f>IF($S949="","",IFERROR(VLOOKUP($S949,'Pop Estimates (Non-#d)'!$N$2:$O$500,2,FALSE),""))</f>
        <v/>
      </c>
      <c r="U949" s="57">
        <f t="shared" si="189"/>
        <v>399</v>
      </c>
      <c r="V949" s="53" t="str">
        <f t="shared" si="190"/>
        <v/>
      </c>
      <c r="W949" s="53" t="str">
        <f t="shared" si="191"/>
        <v/>
      </c>
      <c r="X949" s="53" t="str">
        <f t="shared" si="192"/>
        <v/>
      </c>
      <c r="Y949" s="57" t="str">
        <f>IF($X949="","",IFERROR(VLOOKUP($X949,'Char Popularity'!$A$2:$C$500,2,FALSE),""))</f>
        <v/>
      </c>
      <c r="Z949" s="56">
        <f>IF($X949="",1,IFERROR(VLOOKUP($X949,'Char Popularity'!$A$2:$C$500,3,FALSE),1))</f>
        <v>1</v>
      </c>
      <c r="AA949" s="62">
        <f>IF($H949&lt;&gt;"Y",0,(IF($F949&lt;&gt;"",ROUND(Dashboard!$R$4/$F949,1),IF(AND($I949="Base",$E949="Base"),Dashboard!$R$5,IF(AND($I949="Base",$E949="Red"),Dashboard!$R$6,IF(AND($I949="Base",$E949="Gold"),Dashboard!$R$7,VLOOKUP($I949,Dashboard!$Q$16:$R$21,2,FALSE)))))*VLOOKUP($I949,Dashboard!$Q$9:$R$13,2,FALSE)*IF(AND($I949="Auto",$F949="",OR($B949="Autographs Duals",$B949="Autographs Triples",$B949="Autographs Quads",$B949="Autographs Quads (Inscribed)")),IF($B949="Autographs Duals",2,IF($B949="Autographs Triples",3,4)),1)))</f>
        <v>2.5</v>
      </c>
      <c r="AB949" s="62">
        <f t="shared" si="193"/>
        <v>2.5</v>
      </c>
      <c r="AC949" s="62">
        <f t="shared" si="194"/>
        <v>0</v>
      </c>
    </row>
    <row r="950" spans="1:29" ht="42.95" customHeight="1" x14ac:dyDescent="0.25">
      <c r="A950" s="4" t="s">
        <v>19</v>
      </c>
      <c r="B950" s="7" t="s">
        <v>76</v>
      </c>
      <c r="C950" s="2" t="s">
        <v>1548</v>
      </c>
      <c r="D950" s="7" t="s">
        <v>1122</v>
      </c>
      <c r="E950" s="4" t="s">
        <v>778</v>
      </c>
      <c r="F950" s="2">
        <v>399</v>
      </c>
      <c r="G950" s="2" t="s">
        <v>1399</v>
      </c>
      <c r="H950" s="2" t="s">
        <v>1400</v>
      </c>
      <c r="I950" s="4" t="s">
        <v>60</v>
      </c>
      <c r="J950" s="112">
        <f>IF($H950&lt;&gt;"Y",0,ROUND(MIN(Dashboard!$R$24,IF(IFERROR(VLOOKUP($B950,Dashboard!$Q$28:$S$60,2,FALSE),0)&gt;0,IFERROR(VLOOKUP($B950,Dashboard!$Q$28:$S$60,2,FALSE),0),$Z950*IF($U950&lt;&gt;"",ROUND((Dashboard!$R$4/$U950)*VLOOKUP($I950,Dashboard!$Q$9:$R$13,2,FALSE)*IF(ISNUMBER(SEARCH("Duals",$B950)),2,IF(ISNUMBER(SEARCH("Triples",$B950)),3,IF(ISNUMBER(SEARCH("Quads",$B950)),4,1))),2),ROUND(VLOOKUP($I950,Dashboard!$Q$15:$R$20,2,FALSE)*IF($E950="Red",Dashboard!$R$6,IF($E950="Gold",Dashboard!$R$7,Dashboard!$R$5))*IF(ISNUMBER(SEARCH("Duals",$B950)),2,IF(ISNUMBER(SEARCH("Triples",$B950)),3,IF(ISNUMBER(SEARCH("Quads",$B950)),4,1))),2))*IF(IFERROR(VLOOKUP($B950,Dashboard!$Q$28:$S$60,3,FALSE),0)&gt;0,VLOOKUP($B950,Dashboard!$Q$28:$S$60,3,FALSE),1))),0))</f>
        <v>3</v>
      </c>
      <c r="K950" s="2" t="str">
        <f>IF('Base S2'!F50="","",'Base S2'!F50)</f>
        <v>C</v>
      </c>
      <c r="L950" s="2">
        <f t="shared" si="182"/>
        <v>1</v>
      </c>
      <c r="M950" s="2">
        <f t="shared" si="183"/>
        <v>0</v>
      </c>
      <c r="N950" s="2">
        <f t="shared" si="184"/>
        <v>1</v>
      </c>
      <c r="O950" s="2">
        <f t="shared" si="185"/>
        <v>0</v>
      </c>
      <c r="P950" s="112">
        <f t="shared" si="186"/>
        <v>3</v>
      </c>
      <c r="Q950" s="112">
        <f t="shared" si="187"/>
        <v>0</v>
      </c>
      <c r="R950" s="53"/>
      <c r="S950" s="53" t="str">
        <f t="shared" si="188"/>
        <v>Base S2|Compound V Parallel - Season 2|149|Compound V</v>
      </c>
      <c r="T950" s="57" t="str">
        <f>IF($S950="","",IFERROR(VLOOKUP($S950,'Pop Estimates (Non-#d)'!$N$2:$O$500,2,FALSE),""))</f>
        <v/>
      </c>
      <c r="U950" s="57">
        <f t="shared" si="189"/>
        <v>399</v>
      </c>
      <c r="V950" s="53" t="str">
        <f t="shared" si="190"/>
        <v/>
      </c>
      <c r="W950" s="53" t="str">
        <f t="shared" si="191"/>
        <v/>
      </c>
      <c r="X950" s="53" t="str">
        <f t="shared" si="192"/>
        <v/>
      </c>
      <c r="Y950" s="57" t="str">
        <f>IF($X950="","",IFERROR(VLOOKUP($X950,'Char Popularity'!$A$2:$C$500,2,FALSE),""))</f>
        <v/>
      </c>
      <c r="Z950" s="56">
        <f>IF($X950="",1,IFERROR(VLOOKUP($X950,'Char Popularity'!$A$2:$C$500,3,FALSE),1))</f>
        <v>1</v>
      </c>
      <c r="AA950" s="62">
        <f>IF($H950&lt;&gt;"Y",0,(IF($F950&lt;&gt;"",ROUND(Dashboard!$R$4/$F950,1),IF(AND($I950="Base",$E950="Base"),Dashboard!$R$5,IF(AND($I950="Base",$E950="Red"),Dashboard!$R$6,IF(AND($I950="Base",$E950="Gold"),Dashboard!$R$7,VLOOKUP($I950,Dashboard!$Q$16:$R$21,2,FALSE)))))*VLOOKUP($I950,Dashboard!$Q$9:$R$13,2,FALSE)*IF(AND($I950="Auto",$F950="",OR($B950="Autographs Duals",$B950="Autographs Triples",$B950="Autographs Quads",$B950="Autographs Quads (Inscribed)")),IF($B950="Autographs Duals",2,IF($B950="Autographs Triples",3,4)),1)))</f>
        <v>2.5</v>
      </c>
      <c r="AB950" s="62">
        <f t="shared" si="193"/>
        <v>2.5</v>
      </c>
      <c r="AC950" s="62">
        <f t="shared" si="194"/>
        <v>0</v>
      </c>
    </row>
    <row r="951" spans="1:29" ht="42.95" customHeight="1" x14ac:dyDescent="0.25">
      <c r="A951" s="4" t="s">
        <v>19</v>
      </c>
      <c r="B951" s="7" t="s">
        <v>76</v>
      </c>
      <c r="C951" s="2" t="s">
        <v>1549</v>
      </c>
      <c r="D951" s="7" t="s">
        <v>1123</v>
      </c>
      <c r="E951" s="4" t="s">
        <v>778</v>
      </c>
      <c r="F951" s="2">
        <v>399</v>
      </c>
      <c r="G951" s="2" t="s">
        <v>1399</v>
      </c>
      <c r="H951" s="2" t="s">
        <v>1400</v>
      </c>
      <c r="I951" s="4" t="s">
        <v>60</v>
      </c>
      <c r="J951" s="112">
        <f>IF($H951&lt;&gt;"Y",0,ROUND(MIN(Dashboard!$R$24,IF(IFERROR(VLOOKUP($B951,Dashboard!$Q$28:$S$60,2,FALSE),0)&gt;0,IFERROR(VLOOKUP($B951,Dashboard!$Q$28:$S$60,2,FALSE),0),$Z951*IF($U951&lt;&gt;"",ROUND((Dashboard!$R$4/$U951)*VLOOKUP($I951,Dashboard!$Q$9:$R$13,2,FALSE)*IF(ISNUMBER(SEARCH("Duals",$B951)),2,IF(ISNUMBER(SEARCH("Triples",$B951)),3,IF(ISNUMBER(SEARCH("Quads",$B951)),4,1))),2),ROUND(VLOOKUP($I951,Dashboard!$Q$15:$R$20,2,FALSE)*IF($E951="Red",Dashboard!$R$6,IF($E951="Gold",Dashboard!$R$7,Dashboard!$R$5))*IF(ISNUMBER(SEARCH("Duals",$B951)),2,IF(ISNUMBER(SEARCH("Triples",$B951)),3,IF(ISNUMBER(SEARCH("Quads",$B951)),4,1))),2))*IF(IFERROR(VLOOKUP($B951,Dashboard!$Q$28:$S$60,3,FALSE),0)&gt;0,VLOOKUP($B951,Dashboard!$Q$28:$S$60,3,FALSE),1))),0))</f>
        <v>3</v>
      </c>
      <c r="K951" s="2" t="str">
        <f>IF('Base S2'!F51="","",'Base S2'!F51)</f>
        <v>C</v>
      </c>
      <c r="L951" s="2">
        <f t="shared" si="182"/>
        <v>1</v>
      </c>
      <c r="M951" s="2">
        <f t="shared" si="183"/>
        <v>0</v>
      </c>
      <c r="N951" s="2">
        <f t="shared" si="184"/>
        <v>1</v>
      </c>
      <c r="O951" s="2">
        <f t="shared" si="185"/>
        <v>0</v>
      </c>
      <c r="P951" s="112">
        <f t="shared" si="186"/>
        <v>3</v>
      </c>
      <c r="Q951" s="112">
        <f t="shared" si="187"/>
        <v>0</v>
      </c>
      <c r="R951" s="53"/>
      <c r="S951" s="53" t="str">
        <f t="shared" si="188"/>
        <v>Base S2|Compound V Parallel - Season 2|150|Compound V</v>
      </c>
      <c r="T951" s="57" t="str">
        <f>IF($S951="","",IFERROR(VLOOKUP($S951,'Pop Estimates (Non-#d)'!$N$2:$O$500,2,FALSE),""))</f>
        <v/>
      </c>
      <c r="U951" s="57">
        <f t="shared" si="189"/>
        <v>399</v>
      </c>
      <c r="V951" s="53" t="str">
        <f t="shared" si="190"/>
        <v/>
      </c>
      <c r="W951" s="53" t="str">
        <f t="shared" si="191"/>
        <v/>
      </c>
      <c r="X951" s="53" t="str">
        <f t="shared" si="192"/>
        <v/>
      </c>
      <c r="Y951" s="57" t="str">
        <f>IF($X951="","",IFERROR(VLOOKUP($X951,'Char Popularity'!$A$2:$C$500,2,FALSE),""))</f>
        <v/>
      </c>
      <c r="Z951" s="56">
        <f>IF($X951="",1,IFERROR(VLOOKUP($X951,'Char Popularity'!$A$2:$C$500,3,FALSE),1))</f>
        <v>1</v>
      </c>
      <c r="AA951" s="62">
        <f>IF($H951&lt;&gt;"Y",0,(IF($F951&lt;&gt;"",ROUND(Dashboard!$R$4/$F951,1),IF(AND($I951="Base",$E951="Base"),Dashboard!$R$5,IF(AND($I951="Base",$E951="Red"),Dashboard!$R$6,IF(AND($I951="Base",$E951="Gold"),Dashboard!$R$7,VLOOKUP($I951,Dashboard!$Q$16:$R$21,2,FALSE)))))*VLOOKUP($I951,Dashboard!$Q$9:$R$13,2,FALSE)*IF(AND($I951="Auto",$F951="",OR($B951="Autographs Duals",$B951="Autographs Triples",$B951="Autographs Quads",$B951="Autographs Quads (Inscribed)")),IF($B951="Autographs Duals",2,IF($B951="Autographs Triples",3,4)),1)))</f>
        <v>2.5</v>
      </c>
      <c r="AB951" s="62">
        <f t="shared" si="193"/>
        <v>2.5</v>
      </c>
      <c r="AC951" s="62">
        <f t="shared" si="194"/>
        <v>0</v>
      </c>
    </row>
    <row r="952" spans="1:29" ht="42.95" customHeight="1" x14ac:dyDescent="0.25">
      <c r="A952" s="4" t="s">
        <v>19</v>
      </c>
      <c r="B952" s="7" t="s">
        <v>76</v>
      </c>
      <c r="C952" s="2" t="s">
        <v>1550</v>
      </c>
      <c r="D952" s="7" t="s">
        <v>1125</v>
      </c>
      <c r="E952" s="4" t="s">
        <v>778</v>
      </c>
      <c r="F952" s="2">
        <v>399</v>
      </c>
      <c r="G952" s="2" t="s">
        <v>1399</v>
      </c>
      <c r="H952" s="2" t="s">
        <v>1400</v>
      </c>
      <c r="I952" s="4" t="s">
        <v>60</v>
      </c>
      <c r="J952" s="112">
        <f>IF($H952&lt;&gt;"Y",0,ROUND(MIN(Dashboard!$R$24,IF(IFERROR(VLOOKUP($B952,Dashboard!$Q$28:$S$60,2,FALSE),0)&gt;0,IFERROR(VLOOKUP($B952,Dashboard!$Q$28:$S$60,2,FALSE),0),$Z952*IF($U952&lt;&gt;"",ROUND((Dashboard!$R$4/$U952)*VLOOKUP($I952,Dashboard!$Q$9:$R$13,2,FALSE)*IF(ISNUMBER(SEARCH("Duals",$B952)),2,IF(ISNUMBER(SEARCH("Triples",$B952)),3,IF(ISNUMBER(SEARCH("Quads",$B952)),4,1))),2),ROUND(VLOOKUP($I952,Dashboard!$Q$15:$R$20,2,FALSE)*IF($E952="Red",Dashboard!$R$6,IF($E952="Gold",Dashboard!$R$7,Dashboard!$R$5))*IF(ISNUMBER(SEARCH("Duals",$B952)),2,IF(ISNUMBER(SEARCH("Triples",$B952)),3,IF(ISNUMBER(SEARCH("Quads",$B952)),4,1))),2))*IF(IFERROR(VLOOKUP($B952,Dashboard!$Q$28:$S$60,3,FALSE),0)&gt;0,VLOOKUP($B952,Dashboard!$Q$28:$S$60,3,FALSE),1))),0))</f>
        <v>3</v>
      </c>
      <c r="K952" s="2" t="str">
        <f>IF('Base S2'!F52="","",'Base S2'!F52)</f>
        <v>V</v>
      </c>
      <c r="L952" s="2">
        <f t="shared" si="182"/>
        <v>1</v>
      </c>
      <c r="M952" s="2">
        <f t="shared" si="183"/>
        <v>0</v>
      </c>
      <c r="N952" s="2">
        <f t="shared" si="184"/>
        <v>1</v>
      </c>
      <c r="O952" s="2">
        <f t="shared" si="185"/>
        <v>0</v>
      </c>
      <c r="P952" s="112">
        <f t="shared" si="186"/>
        <v>3</v>
      </c>
      <c r="Q952" s="112">
        <f t="shared" si="187"/>
        <v>0</v>
      </c>
      <c r="R952" s="53"/>
      <c r="S952" s="53" t="str">
        <f t="shared" si="188"/>
        <v>Base S2|Compound V Parallel - Season 2|151|Compound V</v>
      </c>
      <c r="T952" s="57" t="str">
        <f>IF($S952="","",IFERROR(VLOOKUP($S952,'Pop Estimates (Non-#d)'!$N$2:$O$500,2,FALSE),""))</f>
        <v/>
      </c>
      <c r="U952" s="57">
        <f t="shared" si="189"/>
        <v>399</v>
      </c>
      <c r="V952" s="53" t="str">
        <f t="shared" si="190"/>
        <v/>
      </c>
      <c r="W952" s="53" t="str">
        <f t="shared" si="191"/>
        <v/>
      </c>
      <c r="X952" s="53" t="str">
        <f t="shared" si="192"/>
        <v/>
      </c>
      <c r="Y952" s="57" t="str">
        <f>IF($X952="","",IFERROR(VLOOKUP($X952,'Char Popularity'!$A$2:$C$500,2,FALSE),""))</f>
        <v/>
      </c>
      <c r="Z952" s="56">
        <f>IF($X952="",1,IFERROR(VLOOKUP($X952,'Char Popularity'!$A$2:$C$500,3,FALSE),1))</f>
        <v>1</v>
      </c>
      <c r="AA952" s="62">
        <f>IF($H952&lt;&gt;"Y",0,(IF($F952&lt;&gt;"",ROUND(Dashboard!$R$4/$F952,1),IF(AND($I952="Base",$E952="Base"),Dashboard!$R$5,IF(AND($I952="Base",$E952="Red"),Dashboard!$R$6,IF(AND($I952="Base",$E952="Gold"),Dashboard!$R$7,VLOOKUP($I952,Dashboard!$Q$16:$R$21,2,FALSE)))))*VLOOKUP($I952,Dashboard!$Q$9:$R$13,2,FALSE)*IF(AND($I952="Auto",$F952="",OR($B952="Autographs Duals",$B952="Autographs Triples",$B952="Autographs Quads",$B952="Autographs Quads (Inscribed)")),IF($B952="Autographs Duals",2,IF($B952="Autographs Triples",3,4)),1)))</f>
        <v>2.5</v>
      </c>
      <c r="AB952" s="62">
        <f t="shared" si="193"/>
        <v>2.5</v>
      </c>
      <c r="AC952" s="62">
        <f t="shared" si="194"/>
        <v>0</v>
      </c>
    </row>
    <row r="953" spans="1:29" ht="42.95" customHeight="1" x14ac:dyDescent="0.25">
      <c r="A953" s="4" t="s">
        <v>19</v>
      </c>
      <c r="B953" s="7" t="s">
        <v>76</v>
      </c>
      <c r="C953" s="2" t="s">
        <v>1551</v>
      </c>
      <c r="D953" s="7" t="s">
        <v>1126</v>
      </c>
      <c r="E953" s="4" t="s">
        <v>778</v>
      </c>
      <c r="F953" s="2">
        <v>399</v>
      </c>
      <c r="G953" s="2" t="s">
        <v>1399</v>
      </c>
      <c r="H953" s="2" t="s">
        <v>1400</v>
      </c>
      <c r="I953" s="4" t="s">
        <v>60</v>
      </c>
      <c r="J953" s="112">
        <f>IF($H953&lt;&gt;"Y",0,ROUND(MIN(Dashboard!$R$24,IF(IFERROR(VLOOKUP($B953,Dashboard!$Q$28:$S$60,2,FALSE),0)&gt;0,IFERROR(VLOOKUP($B953,Dashboard!$Q$28:$S$60,2,FALSE),0),$Z953*IF($U953&lt;&gt;"",ROUND((Dashboard!$R$4/$U953)*VLOOKUP($I953,Dashboard!$Q$9:$R$13,2,FALSE)*IF(ISNUMBER(SEARCH("Duals",$B953)),2,IF(ISNUMBER(SEARCH("Triples",$B953)),3,IF(ISNUMBER(SEARCH("Quads",$B953)),4,1))),2),ROUND(VLOOKUP($I953,Dashboard!$Q$15:$R$20,2,FALSE)*IF($E953="Red",Dashboard!$R$6,IF($E953="Gold",Dashboard!$R$7,Dashboard!$R$5))*IF(ISNUMBER(SEARCH("Duals",$B953)),2,IF(ISNUMBER(SEARCH("Triples",$B953)),3,IF(ISNUMBER(SEARCH("Quads",$B953)),4,1))),2))*IF(IFERROR(VLOOKUP($B953,Dashboard!$Q$28:$S$60,3,FALSE),0)&gt;0,VLOOKUP($B953,Dashboard!$Q$28:$S$60,3,FALSE),1))),0))</f>
        <v>3</v>
      </c>
      <c r="K953" s="2" t="str">
        <f>IF('Base S2'!F53="","",'Base S2'!F53)</f>
        <v>C</v>
      </c>
      <c r="L953" s="2">
        <f t="shared" si="182"/>
        <v>1</v>
      </c>
      <c r="M953" s="2">
        <f t="shared" si="183"/>
        <v>0</v>
      </c>
      <c r="N953" s="2">
        <f t="shared" si="184"/>
        <v>1</v>
      </c>
      <c r="O953" s="2">
        <f t="shared" si="185"/>
        <v>0</v>
      </c>
      <c r="P953" s="112">
        <f t="shared" si="186"/>
        <v>3</v>
      </c>
      <c r="Q953" s="112">
        <f t="shared" si="187"/>
        <v>0</v>
      </c>
      <c r="R953" s="53"/>
      <c r="S953" s="53" t="str">
        <f t="shared" si="188"/>
        <v>Base S2|Compound V Parallel - Season 2|152|Compound V</v>
      </c>
      <c r="T953" s="57" t="str">
        <f>IF($S953="","",IFERROR(VLOOKUP($S953,'Pop Estimates (Non-#d)'!$N$2:$O$500,2,FALSE),""))</f>
        <v/>
      </c>
      <c r="U953" s="57">
        <f t="shared" si="189"/>
        <v>399</v>
      </c>
      <c r="V953" s="53" t="str">
        <f t="shared" si="190"/>
        <v/>
      </c>
      <c r="W953" s="53" t="str">
        <f t="shared" si="191"/>
        <v/>
      </c>
      <c r="X953" s="53" t="str">
        <f t="shared" si="192"/>
        <v/>
      </c>
      <c r="Y953" s="57" t="str">
        <f>IF($X953="","",IFERROR(VLOOKUP($X953,'Char Popularity'!$A$2:$C$500,2,FALSE),""))</f>
        <v/>
      </c>
      <c r="Z953" s="56">
        <f>IF($X953="",1,IFERROR(VLOOKUP($X953,'Char Popularity'!$A$2:$C$500,3,FALSE),1))</f>
        <v>1</v>
      </c>
      <c r="AA953" s="62">
        <f>IF($H953&lt;&gt;"Y",0,(IF($F953&lt;&gt;"",ROUND(Dashboard!$R$4/$F953,1),IF(AND($I953="Base",$E953="Base"),Dashboard!$R$5,IF(AND($I953="Base",$E953="Red"),Dashboard!$R$6,IF(AND($I953="Base",$E953="Gold"),Dashboard!$R$7,VLOOKUP($I953,Dashboard!$Q$16:$R$21,2,FALSE)))))*VLOOKUP($I953,Dashboard!$Q$9:$R$13,2,FALSE)*IF(AND($I953="Auto",$F953="",OR($B953="Autographs Duals",$B953="Autographs Triples",$B953="Autographs Quads",$B953="Autographs Quads (Inscribed)")),IF($B953="Autographs Duals",2,IF($B953="Autographs Triples",3,4)),1)))</f>
        <v>2.5</v>
      </c>
      <c r="AB953" s="62">
        <f t="shared" si="193"/>
        <v>2.5</v>
      </c>
      <c r="AC953" s="62">
        <f t="shared" si="194"/>
        <v>0</v>
      </c>
    </row>
    <row r="954" spans="1:29" ht="42.95" customHeight="1" x14ac:dyDescent="0.25">
      <c r="A954" s="4" t="s">
        <v>19</v>
      </c>
      <c r="B954" s="7" t="s">
        <v>76</v>
      </c>
      <c r="C954" s="2" t="s">
        <v>1552</v>
      </c>
      <c r="D954" s="7" t="s">
        <v>335</v>
      </c>
      <c r="E954" s="4" t="s">
        <v>778</v>
      </c>
      <c r="F954" s="2">
        <v>399</v>
      </c>
      <c r="G954" s="2" t="s">
        <v>1399</v>
      </c>
      <c r="H954" s="2" t="s">
        <v>1400</v>
      </c>
      <c r="I954" s="4" t="s">
        <v>60</v>
      </c>
      <c r="J954" s="112">
        <f>IF($H954&lt;&gt;"Y",0,ROUND(MIN(Dashboard!$R$24,IF(IFERROR(VLOOKUP($B954,Dashboard!$Q$28:$S$60,2,FALSE),0)&gt;0,IFERROR(VLOOKUP($B954,Dashboard!$Q$28:$S$60,2,FALSE),0),$Z954*IF($U954&lt;&gt;"",ROUND((Dashboard!$R$4/$U954)*VLOOKUP($I954,Dashboard!$Q$9:$R$13,2,FALSE)*IF(ISNUMBER(SEARCH("Duals",$B954)),2,IF(ISNUMBER(SEARCH("Triples",$B954)),3,IF(ISNUMBER(SEARCH("Quads",$B954)),4,1))),2),ROUND(VLOOKUP($I954,Dashboard!$Q$15:$R$20,2,FALSE)*IF($E954="Red",Dashboard!$R$6,IF($E954="Gold",Dashboard!$R$7,Dashboard!$R$5))*IF(ISNUMBER(SEARCH("Duals",$B954)),2,IF(ISNUMBER(SEARCH("Triples",$B954)),3,IF(ISNUMBER(SEARCH("Quads",$B954)),4,1))),2))*IF(IFERROR(VLOOKUP($B954,Dashboard!$Q$28:$S$60,3,FALSE),0)&gt;0,VLOOKUP($B954,Dashboard!$Q$28:$S$60,3,FALSE),1))),0))</f>
        <v>3</v>
      </c>
      <c r="K954" s="2" t="str">
        <f>IF('Base S2'!F54="","",'Base S2'!F54)</f>
        <v>V</v>
      </c>
      <c r="L954" s="2">
        <f t="shared" si="182"/>
        <v>1</v>
      </c>
      <c r="M954" s="2">
        <f t="shared" si="183"/>
        <v>0</v>
      </c>
      <c r="N954" s="2">
        <f t="shared" si="184"/>
        <v>1</v>
      </c>
      <c r="O954" s="2">
        <f t="shared" si="185"/>
        <v>0</v>
      </c>
      <c r="P954" s="112">
        <f t="shared" si="186"/>
        <v>3</v>
      </c>
      <c r="Q954" s="112">
        <f t="shared" si="187"/>
        <v>0</v>
      </c>
      <c r="R954" s="53"/>
      <c r="S954" s="53" t="str">
        <f t="shared" si="188"/>
        <v>Base S2|Compound V Parallel - Season 2|153|Compound V</v>
      </c>
      <c r="T954" s="57" t="str">
        <f>IF($S954="","",IFERROR(VLOOKUP($S954,'Pop Estimates (Non-#d)'!$N$2:$O$500,2,FALSE),""))</f>
        <v/>
      </c>
      <c r="U954" s="57">
        <f t="shared" si="189"/>
        <v>399</v>
      </c>
      <c r="V954" s="53" t="str">
        <f t="shared" si="190"/>
        <v/>
      </c>
      <c r="W954" s="53" t="str">
        <f t="shared" si="191"/>
        <v/>
      </c>
      <c r="X954" s="53" t="str">
        <f t="shared" si="192"/>
        <v/>
      </c>
      <c r="Y954" s="57" t="str">
        <f>IF($X954="","",IFERROR(VLOOKUP($X954,'Char Popularity'!$A$2:$C$500,2,FALSE),""))</f>
        <v/>
      </c>
      <c r="Z954" s="56">
        <f>IF($X954="",1,IFERROR(VLOOKUP($X954,'Char Popularity'!$A$2:$C$500,3,FALSE),1))</f>
        <v>1</v>
      </c>
      <c r="AA954" s="62">
        <f>IF($H954&lt;&gt;"Y",0,(IF($F954&lt;&gt;"",ROUND(Dashboard!$R$4/$F954,1),IF(AND($I954="Base",$E954="Base"),Dashboard!$R$5,IF(AND($I954="Base",$E954="Red"),Dashboard!$R$6,IF(AND($I954="Base",$E954="Gold"),Dashboard!$R$7,VLOOKUP($I954,Dashboard!$Q$16:$R$21,2,FALSE)))))*VLOOKUP($I954,Dashboard!$Q$9:$R$13,2,FALSE)*IF(AND($I954="Auto",$F954="",OR($B954="Autographs Duals",$B954="Autographs Triples",$B954="Autographs Quads",$B954="Autographs Quads (Inscribed)")),IF($B954="Autographs Duals",2,IF($B954="Autographs Triples",3,4)),1)))</f>
        <v>2.5</v>
      </c>
      <c r="AB954" s="62">
        <f t="shared" si="193"/>
        <v>2.5</v>
      </c>
      <c r="AC954" s="62">
        <f t="shared" si="194"/>
        <v>0</v>
      </c>
    </row>
    <row r="955" spans="1:29" ht="42.95" customHeight="1" x14ac:dyDescent="0.25">
      <c r="A955" s="4" t="s">
        <v>19</v>
      </c>
      <c r="B955" s="7" t="s">
        <v>76</v>
      </c>
      <c r="C955" s="2" t="s">
        <v>1553</v>
      </c>
      <c r="D955" s="7" t="s">
        <v>1128</v>
      </c>
      <c r="E955" s="4" t="s">
        <v>778</v>
      </c>
      <c r="F955" s="2">
        <v>399</v>
      </c>
      <c r="G955" s="2" t="s">
        <v>1399</v>
      </c>
      <c r="H955" s="2" t="s">
        <v>1400</v>
      </c>
      <c r="I955" s="4" t="s">
        <v>60</v>
      </c>
      <c r="J955" s="112">
        <f>IF($H955&lt;&gt;"Y",0,ROUND(MIN(Dashboard!$R$24,IF(IFERROR(VLOOKUP($B955,Dashboard!$Q$28:$S$60,2,FALSE),0)&gt;0,IFERROR(VLOOKUP($B955,Dashboard!$Q$28:$S$60,2,FALSE),0),$Z955*IF($U955&lt;&gt;"",ROUND((Dashboard!$R$4/$U955)*VLOOKUP($I955,Dashboard!$Q$9:$R$13,2,FALSE)*IF(ISNUMBER(SEARCH("Duals",$B955)),2,IF(ISNUMBER(SEARCH("Triples",$B955)),3,IF(ISNUMBER(SEARCH("Quads",$B955)),4,1))),2),ROUND(VLOOKUP($I955,Dashboard!$Q$15:$R$20,2,FALSE)*IF($E955="Red",Dashboard!$R$6,IF($E955="Gold",Dashboard!$R$7,Dashboard!$R$5))*IF(ISNUMBER(SEARCH("Duals",$B955)),2,IF(ISNUMBER(SEARCH("Triples",$B955)),3,IF(ISNUMBER(SEARCH("Quads",$B955)),4,1))),2))*IF(IFERROR(VLOOKUP($B955,Dashboard!$Q$28:$S$60,3,FALSE),0)&gt;0,VLOOKUP($B955,Dashboard!$Q$28:$S$60,3,FALSE),1))),0))</f>
        <v>3</v>
      </c>
      <c r="K955" s="2" t="str">
        <f>IF('Base S2'!F55="","",'Base S2'!F55)</f>
        <v>C</v>
      </c>
      <c r="L955" s="2">
        <f t="shared" si="182"/>
        <v>1</v>
      </c>
      <c r="M955" s="2">
        <f t="shared" si="183"/>
        <v>0</v>
      </c>
      <c r="N955" s="2">
        <f t="shared" si="184"/>
        <v>1</v>
      </c>
      <c r="O955" s="2">
        <f t="shared" si="185"/>
        <v>0</v>
      </c>
      <c r="P955" s="112">
        <f t="shared" si="186"/>
        <v>3</v>
      </c>
      <c r="Q955" s="112">
        <f t="shared" si="187"/>
        <v>0</v>
      </c>
      <c r="R955" s="53"/>
      <c r="S955" s="53" t="str">
        <f t="shared" si="188"/>
        <v>Base S2|Compound V Parallel - Season 2|154|Compound V</v>
      </c>
      <c r="T955" s="57" t="str">
        <f>IF($S955="","",IFERROR(VLOOKUP($S955,'Pop Estimates (Non-#d)'!$N$2:$O$500,2,FALSE),""))</f>
        <v/>
      </c>
      <c r="U955" s="57">
        <f t="shared" si="189"/>
        <v>399</v>
      </c>
      <c r="V955" s="53" t="str">
        <f t="shared" si="190"/>
        <v/>
      </c>
      <c r="W955" s="53" t="str">
        <f t="shared" si="191"/>
        <v/>
      </c>
      <c r="X955" s="53" t="str">
        <f t="shared" si="192"/>
        <v/>
      </c>
      <c r="Y955" s="57" t="str">
        <f>IF($X955="","",IFERROR(VLOOKUP($X955,'Char Popularity'!$A$2:$C$500,2,FALSE),""))</f>
        <v/>
      </c>
      <c r="Z955" s="56">
        <f>IF($X955="",1,IFERROR(VLOOKUP($X955,'Char Popularity'!$A$2:$C$500,3,FALSE),1))</f>
        <v>1</v>
      </c>
      <c r="AA955" s="62">
        <f>IF($H955&lt;&gt;"Y",0,(IF($F955&lt;&gt;"",ROUND(Dashboard!$R$4/$F955,1),IF(AND($I955="Base",$E955="Base"),Dashboard!$R$5,IF(AND($I955="Base",$E955="Red"),Dashboard!$R$6,IF(AND($I955="Base",$E955="Gold"),Dashboard!$R$7,VLOOKUP($I955,Dashboard!$Q$16:$R$21,2,FALSE)))))*VLOOKUP($I955,Dashboard!$Q$9:$R$13,2,FALSE)*IF(AND($I955="Auto",$F955="",OR($B955="Autographs Duals",$B955="Autographs Triples",$B955="Autographs Quads",$B955="Autographs Quads (Inscribed)")),IF($B955="Autographs Duals",2,IF($B955="Autographs Triples",3,4)),1)))</f>
        <v>2.5</v>
      </c>
      <c r="AB955" s="62">
        <f t="shared" si="193"/>
        <v>2.5</v>
      </c>
      <c r="AC955" s="62">
        <f t="shared" si="194"/>
        <v>0</v>
      </c>
    </row>
    <row r="956" spans="1:29" ht="42.95" customHeight="1" x14ac:dyDescent="0.25">
      <c r="A956" s="4" t="s">
        <v>19</v>
      </c>
      <c r="B956" s="7" t="s">
        <v>76</v>
      </c>
      <c r="C956" s="2" t="s">
        <v>1554</v>
      </c>
      <c r="D956" s="7" t="s">
        <v>1130</v>
      </c>
      <c r="E956" s="4" t="s">
        <v>778</v>
      </c>
      <c r="F956" s="2">
        <v>399</v>
      </c>
      <c r="G956" s="2" t="s">
        <v>1399</v>
      </c>
      <c r="H956" s="2" t="s">
        <v>1400</v>
      </c>
      <c r="I956" s="4" t="s">
        <v>60</v>
      </c>
      <c r="J956" s="112">
        <f>IF($H956&lt;&gt;"Y",0,ROUND(MIN(Dashboard!$R$24,IF(IFERROR(VLOOKUP($B956,Dashboard!$Q$28:$S$60,2,FALSE),0)&gt;0,IFERROR(VLOOKUP($B956,Dashboard!$Q$28:$S$60,2,FALSE),0),$Z956*IF($U956&lt;&gt;"",ROUND((Dashboard!$R$4/$U956)*VLOOKUP($I956,Dashboard!$Q$9:$R$13,2,FALSE)*IF(ISNUMBER(SEARCH("Duals",$B956)),2,IF(ISNUMBER(SEARCH("Triples",$B956)),3,IF(ISNUMBER(SEARCH("Quads",$B956)),4,1))),2),ROUND(VLOOKUP($I956,Dashboard!$Q$15:$R$20,2,FALSE)*IF($E956="Red",Dashboard!$R$6,IF($E956="Gold",Dashboard!$R$7,Dashboard!$R$5))*IF(ISNUMBER(SEARCH("Duals",$B956)),2,IF(ISNUMBER(SEARCH("Triples",$B956)),3,IF(ISNUMBER(SEARCH("Quads",$B956)),4,1))),2))*IF(IFERROR(VLOOKUP($B956,Dashboard!$Q$28:$S$60,3,FALSE),0)&gt;0,VLOOKUP($B956,Dashboard!$Q$28:$S$60,3,FALSE),1))),0))</f>
        <v>3</v>
      </c>
      <c r="K956" s="2" t="str">
        <f>IF('Base S2'!F56="","",'Base S2'!F56)</f>
        <v>V</v>
      </c>
      <c r="L956" s="2">
        <f t="shared" si="182"/>
        <v>1</v>
      </c>
      <c r="M956" s="2">
        <f t="shared" si="183"/>
        <v>0</v>
      </c>
      <c r="N956" s="2">
        <f t="shared" si="184"/>
        <v>1</v>
      </c>
      <c r="O956" s="2">
        <f t="shared" si="185"/>
        <v>0</v>
      </c>
      <c r="P956" s="112">
        <f t="shared" si="186"/>
        <v>3</v>
      </c>
      <c r="Q956" s="112">
        <f t="shared" si="187"/>
        <v>0</v>
      </c>
      <c r="R956" s="53"/>
      <c r="S956" s="53" t="str">
        <f t="shared" si="188"/>
        <v>Base S2|Compound V Parallel - Season 2|155|Compound V</v>
      </c>
      <c r="T956" s="57" t="str">
        <f>IF($S956="","",IFERROR(VLOOKUP($S956,'Pop Estimates (Non-#d)'!$N$2:$O$500,2,FALSE),""))</f>
        <v/>
      </c>
      <c r="U956" s="57">
        <f t="shared" si="189"/>
        <v>399</v>
      </c>
      <c r="V956" s="53" t="str">
        <f t="shared" si="190"/>
        <v/>
      </c>
      <c r="W956" s="53" t="str">
        <f t="shared" si="191"/>
        <v/>
      </c>
      <c r="X956" s="53" t="str">
        <f t="shared" si="192"/>
        <v/>
      </c>
      <c r="Y956" s="57" t="str">
        <f>IF($X956="","",IFERROR(VLOOKUP($X956,'Char Popularity'!$A$2:$C$500,2,FALSE),""))</f>
        <v/>
      </c>
      <c r="Z956" s="56">
        <f>IF($X956="",1,IFERROR(VLOOKUP($X956,'Char Popularity'!$A$2:$C$500,3,FALSE),1))</f>
        <v>1</v>
      </c>
      <c r="AA956" s="62">
        <f>IF($H956&lt;&gt;"Y",0,(IF($F956&lt;&gt;"",ROUND(Dashboard!$R$4/$F956,1),IF(AND($I956="Base",$E956="Base"),Dashboard!$R$5,IF(AND($I956="Base",$E956="Red"),Dashboard!$R$6,IF(AND($I956="Base",$E956="Gold"),Dashboard!$R$7,VLOOKUP($I956,Dashboard!$Q$16:$R$21,2,FALSE)))))*VLOOKUP($I956,Dashboard!$Q$9:$R$13,2,FALSE)*IF(AND($I956="Auto",$F956="",OR($B956="Autographs Duals",$B956="Autographs Triples",$B956="Autographs Quads",$B956="Autographs Quads (Inscribed)")),IF($B956="Autographs Duals",2,IF($B956="Autographs Triples",3,4)),1)))</f>
        <v>2.5</v>
      </c>
      <c r="AB956" s="62">
        <f t="shared" si="193"/>
        <v>2.5</v>
      </c>
      <c r="AC956" s="62">
        <f t="shared" si="194"/>
        <v>0</v>
      </c>
    </row>
    <row r="957" spans="1:29" ht="42.95" customHeight="1" x14ac:dyDescent="0.25">
      <c r="A957" s="4" t="s">
        <v>19</v>
      </c>
      <c r="B957" s="7" t="s">
        <v>76</v>
      </c>
      <c r="C957" s="2" t="s">
        <v>1555</v>
      </c>
      <c r="D957" s="7" t="s">
        <v>1132</v>
      </c>
      <c r="E957" s="4" t="s">
        <v>778</v>
      </c>
      <c r="F957" s="2">
        <v>399</v>
      </c>
      <c r="G957" s="2" t="s">
        <v>1399</v>
      </c>
      <c r="H957" s="2" t="s">
        <v>1400</v>
      </c>
      <c r="I957" s="4" t="s">
        <v>60</v>
      </c>
      <c r="J957" s="112">
        <f>IF($H957&lt;&gt;"Y",0,ROUND(MIN(Dashboard!$R$24,IF(IFERROR(VLOOKUP($B957,Dashboard!$Q$28:$S$60,2,FALSE),0)&gt;0,IFERROR(VLOOKUP($B957,Dashboard!$Q$28:$S$60,2,FALSE),0),$Z957*IF($U957&lt;&gt;"",ROUND((Dashboard!$R$4/$U957)*VLOOKUP($I957,Dashboard!$Q$9:$R$13,2,FALSE)*IF(ISNUMBER(SEARCH("Duals",$B957)),2,IF(ISNUMBER(SEARCH("Triples",$B957)),3,IF(ISNUMBER(SEARCH("Quads",$B957)),4,1))),2),ROUND(VLOOKUP($I957,Dashboard!$Q$15:$R$20,2,FALSE)*IF($E957="Red",Dashboard!$R$6,IF($E957="Gold",Dashboard!$R$7,Dashboard!$R$5))*IF(ISNUMBER(SEARCH("Duals",$B957)),2,IF(ISNUMBER(SEARCH("Triples",$B957)),3,IF(ISNUMBER(SEARCH("Quads",$B957)),4,1))),2))*IF(IFERROR(VLOOKUP($B957,Dashboard!$Q$28:$S$60,3,FALSE),0)&gt;0,VLOOKUP($B957,Dashboard!$Q$28:$S$60,3,FALSE),1))),0))</f>
        <v>3</v>
      </c>
      <c r="K957" s="2" t="str">
        <f>IF('Base S2'!F57="","",'Base S2'!F57)</f>
        <v>C</v>
      </c>
      <c r="L957" s="2">
        <f t="shared" si="182"/>
        <v>1</v>
      </c>
      <c r="M957" s="2">
        <f t="shared" si="183"/>
        <v>0</v>
      </c>
      <c r="N957" s="2">
        <f t="shared" si="184"/>
        <v>1</v>
      </c>
      <c r="O957" s="2">
        <f t="shared" si="185"/>
        <v>0</v>
      </c>
      <c r="P957" s="112">
        <f t="shared" si="186"/>
        <v>3</v>
      </c>
      <c r="Q957" s="112">
        <f t="shared" si="187"/>
        <v>0</v>
      </c>
      <c r="R957" s="53"/>
      <c r="S957" s="53" t="str">
        <f t="shared" si="188"/>
        <v>Base S2|Compound V Parallel - Season 2|156|Compound V</v>
      </c>
      <c r="T957" s="57" t="str">
        <f>IF($S957="","",IFERROR(VLOOKUP($S957,'Pop Estimates (Non-#d)'!$N$2:$O$500,2,FALSE),""))</f>
        <v/>
      </c>
      <c r="U957" s="57">
        <f t="shared" si="189"/>
        <v>399</v>
      </c>
      <c r="V957" s="53" t="str">
        <f t="shared" si="190"/>
        <v/>
      </c>
      <c r="W957" s="53" t="str">
        <f t="shared" si="191"/>
        <v/>
      </c>
      <c r="X957" s="53" t="str">
        <f t="shared" si="192"/>
        <v/>
      </c>
      <c r="Y957" s="57" t="str">
        <f>IF($X957="","",IFERROR(VLOOKUP($X957,'Char Popularity'!$A$2:$C$500,2,FALSE),""))</f>
        <v/>
      </c>
      <c r="Z957" s="56">
        <f>IF($X957="",1,IFERROR(VLOOKUP($X957,'Char Popularity'!$A$2:$C$500,3,FALSE),1))</f>
        <v>1</v>
      </c>
      <c r="AA957" s="62">
        <f>IF($H957&lt;&gt;"Y",0,(IF($F957&lt;&gt;"",ROUND(Dashboard!$R$4/$F957,1),IF(AND($I957="Base",$E957="Base"),Dashboard!$R$5,IF(AND($I957="Base",$E957="Red"),Dashboard!$R$6,IF(AND($I957="Base",$E957="Gold"),Dashboard!$R$7,VLOOKUP($I957,Dashboard!$Q$16:$R$21,2,FALSE)))))*VLOOKUP($I957,Dashboard!$Q$9:$R$13,2,FALSE)*IF(AND($I957="Auto",$F957="",OR($B957="Autographs Duals",$B957="Autographs Triples",$B957="Autographs Quads",$B957="Autographs Quads (Inscribed)")),IF($B957="Autographs Duals",2,IF($B957="Autographs Triples",3,4)),1)))</f>
        <v>2.5</v>
      </c>
      <c r="AB957" s="62">
        <f t="shared" si="193"/>
        <v>2.5</v>
      </c>
      <c r="AC957" s="62">
        <f t="shared" si="194"/>
        <v>0</v>
      </c>
    </row>
    <row r="958" spans="1:29" ht="42.95" customHeight="1" x14ac:dyDescent="0.25">
      <c r="A958" s="4" t="s">
        <v>19</v>
      </c>
      <c r="B958" s="7" t="s">
        <v>76</v>
      </c>
      <c r="C958" s="2" t="s">
        <v>1556</v>
      </c>
      <c r="D958" s="7" t="s">
        <v>1134</v>
      </c>
      <c r="E958" s="4" t="s">
        <v>778</v>
      </c>
      <c r="F958" s="2">
        <v>399</v>
      </c>
      <c r="G958" s="2" t="s">
        <v>1399</v>
      </c>
      <c r="H958" s="2" t="s">
        <v>1400</v>
      </c>
      <c r="I958" s="4" t="s">
        <v>60</v>
      </c>
      <c r="J958" s="112">
        <f>IF($H958&lt;&gt;"Y",0,ROUND(MIN(Dashboard!$R$24,IF(IFERROR(VLOOKUP($B958,Dashboard!$Q$28:$S$60,2,FALSE),0)&gt;0,IFERROR(VLOOKUP($B958,Dashboard!$Q$28:$S$60,2,FALSE),0),$Z958*IF($U958&lt;&gt;"",ROUND((Dashboard!$R$4/$U958)*VLOOKUP($I958,Dashboard!$Q$9:$R$13,2,FALSE)*IF(ISNUMBER(SEARCH("Duals",$B958)),2,IF(ISNUMBER(SEARCH("Triples",$B958)),3,IF(ISNUMBER(SEARCH("Quads",$B958)),4,1))),2),ROUND(VLOOKUP($I958,Dashboard!$Q$15:$R$20,2,FALSE)*IF($E958="Red",Dashboard!$R$6,IF($E958="Gold",Dashboard!$R$7,Dashboard!$R$5))*IF(ISNUMBER(SEARCH("Duals",$B958)),2,IF(ISNUMBER(SEARCH("Triples",$B958)),3,IF(ISNUMBER(SEARCH("Quads",$B958)),4,1))),2))*IF(IFERROR(VLOOKUP($B958,Dashboard!$Q$28:$S$60,3,FALSE),0)&gt;0,VLOOKUP($B958,Dashboard!$Q$28:$S$60,3,FALSE),1))),0))</f>
        <v>3</v>
      </c>
      <c r="K958" s="2" t="str">
        <f>IF('Base S2'!F58="","",'Base S2'!F58)</f>
        <v>V</v>
      </c>
      <c r="L958" s="2">
        <f t="shared" si="182"/>
        <v>1</v>
      </c>
      <c r="M958" s="2">
        <f t="shared" si="183"/>
        <v>0</v>
      </c>
      <c r="N958" s="2">
        <f t="shared" si="184"/>
        <v>1</v>
      </c>
      <c r="O958" s="2">
        <f t="shared" si="185"/>
        <v>0</v>
      </c>
      <c r="P958" s="112">
        <f t="shared" si="186"/>
        <v>3</v>
      </c>
      <c r="Q958" s="112">
        <f t="shared" si="187"/>
        <v>0</v>
      </c>
      <c r="R958" s="53"/>
      <c r="S958" s="53" t="str">
        <f t="shared" si="188"/>
        <v>Base S2|Compound V Parallel - Season 2|157|Compound V</v>
      </c>
      <c r="T958" s="57" t="str">
        <f>IF($S958="","",IFERROR(VLOOKUP($S958,'Pop Estimates (Non-#d)'!$N$2:$O$500,2,FALSE),""))</f>
        <v/>
      </c>
      <c r="U958" s="57">
        <f t="shared" si="189"/>
        <v>399</v>
      </c>
      <c r="V958" s="53" t="str">
        <f t="shared" si="190"/>
        <v/>
      </c>
      <c r="W958" s="53" t="str">
        <f t="shared" si="191"/>
        <v/>
      </c>
      <c r="X958" s="53" t="str">
        <f t="shared" si="192"/>
        <v/>
      </c>
      <c r="Y958" s="57" t="str">
        <f>IF($X958="","",IFERROR(VLOOKUP($X958,'Char Popularity'!$A$2:$C$500,2,FALSE),""))</f>
        <v/>
      </c>
      <c r="Z958" s="56">
        <f>IF($X958="",1,IFERROR(VLOOKUP($X958,'Char Popularity'!$A$2:$C$500,3,FALSE),1))</f>
        <v>1</v>
      </c>
      <c r="AA958" s="62">
        <f>IF($H958&lt;&gt;"Y",0,(IF($F958&lt;&gt;"",ROUND(Dashboard!$R$4/$F958,1),IF(AND($I958="Base",$E958="Base"),Dashboard!$R$5,IF(AND($I958="Base",$E958="Red"),Dashboard!$R$6,IF(AND($I958="Base",$E958="Gold"),Dashboard!$R$7,VLOOKUP($I958,Dashboard!$Q$16:$R$21,2,FALSE)))))*VLOOKUP($I958,Dashboard!$Q$9:$R$13,2,FALSE)*IF(AND($I958="Auto",$F958="",OR($B958="Autographs Duals",$B958="Autographs Triples",$B958="Autographs Quads",$B958="Autographs Quads (Inscribed)")),IF($B958="Autographs Duals",2,IF($B958="Autographs Triples",3,4)),1)))</f>
        <v>2.5</v>
      </c>
      <c r="AB958" s="62">
        <f t="shared" si="193"/>
        <v>2.5</v>
      </c>
      <c r="AC958" s="62">
        <f t="shared" si="194"/>
        <v>0</v>
      </c>
    </row>
    <row r="959" spans="1:29" ht="42.95" customHeight="1" x14ac:dyDescent="0.25">
      <c r="A959" s="4" t="s">
        <v>19</v>
      </c>
      <c r="B959" s="7" t="s">
        <v>76</v>
      </c>
      <c r="C959" s="2" t="s">
        <v>1557</v>
      </c>
      <c r="D959" s="7" t="s">
        <v>1136</v>
      </c>
      <c r="E959" s="4" t="s">
        <v>778</v>
      </c>
      <c r="F959" s="2">
        <v>399</v>
      </c>
      <c r="G959" s="2" t="s">
        <v>1399</v>
      </c>
      <c r="H959" s="2" t="s">
        <v>1400</v>
      </c>
      <c r="I959" s="4" t="s">
        <v>60</v>
      </c>
      <c r="J959" s="112">
        <f>IF($H959&lt;&gt;"Y",0,ROUND(MIN(Dashboard!$R$24,IF(IFERROR(VLOOKUP($B959,Dashboard!$Q$28:$S$60,2,FALSE),0)&gt;0,IFERROR(VLOOKUP($B959,Dashboard!$Q$28:$S$60,2,FALSE),0),$Z959*IF($U959&lt;&gt;"",ROUND((Dashboard!$R$4/$U959)*VLOOKUP($I959,Dashboard!$Q$9:$R$13,2,FALSE)*IF(ISNUMBER(SEARCH("Duals",$B959)),2,IF(ISNUMBER(SEARCH("Triples",$B959)),3,IF(ISNUMBER(SEARCH("Quads",$B959)),4,1))),2),ROUND(VLOOKUP($I959,Dashboard!$Q$15:$R$20,2,FALSE)*IF($E959="Red",Dashboard!$R$6,IF($E959="Gold",Dashboard!$R$7,Dashboard!$R$5))*IF(ISNUMBER(SEARCH("Duals",$B959)),2,IF(ISNUMBER(SEARCH("Triples",$B959)),3,IF(ISNUMBER(SEARCH("Quads",$B959)),4,1))),2))*IF(IFERROR(VLOOKUP($B959,Dashboard!$Q$28:$S$60,3,FALSE),0)&gt;0,VLOOKUP($B959,Dashboard!$Q$28:$S$60,3,FALSE),1))),0))</f>
        <v>3</v>
      </c>
      <c r="K959" s="2" t="str">
        <f>IF('Base S2'!F59="","",'Base S2'!F59)</f>
        <v>C</v>
      </c>
      <c r="L959" s="2">
        <f t="shared" si="182"/>
        <v>1</v>
      </c>
      <c r="M959" s="2">
        <f t="shared" si="183"/>
        <v>0</v>
      </c>
      <c r="N959" s="2">
        <f t="shared" si="184"/>
        <v>1</v>
      </c>
      <c r="O959" s="2">
        <f t="shared" si="185"/>
        <v>0</v>
      </c>
      <c r="P959" s="112">
        <f t="shared" si="186"/>
        <v>3</v>
      </c>
      <c r="Q959" s="112">
        <f t="shared" si="187"/>
        <v>0</v>
      </c>
      <c r="R959" s="53"/>
      <c r="S959" s="53" t="str">
        <f t="shared" si="188"/>
        <v>Base S2|Compound V Parallel - Season 2|158|Compound V</v>
      </c>
      <c r="T959" s="57" t="str">
        <f>IF($S959="","",IFERROR(VLOOKUP($S959,'Pop Estimates (Non-#d)'!$N$2:$O$500,2,FALSE),""))</f>
        <v/>
      </c>
      <c r="U959" s="57">
        <f t="shared" si="189"/>
        <v>399</v>
      </c>
      <c r="V959" s="53" t="str">
        <f t="shared" si="190"/>
        <v/>
      </c>
      <c r="W959" s="53" t="str">
        <f t="shared" si="191"/>
        <v/>
      </c>
      <c r="X959" s="53" t="str">
        <f t="shared" si="192"/>
        <v/>
      </c>
      <c r="Y959" s="57" t="str">
        <f>IF($X959="","",IFERROR(VLOOKUP($X959,'Char Popularity'!$A$2:$C$500,2,FALSE),""))</f>
        <v/>
      </c>
      <c r="Z959" s="56">
        <f>IF($X959="",1,IFERROR(VLOOKUP($X959,'Char Popularity'!$A$2:$C$500,3,FALSE),1))</f>
        <v>1</v>
      </c>
      <c r="AA959" s="62">
        <f>IF($H959&lt;&gt;"Y",0,(IF($F959&lt;&gt;"",ROUND(Dashboard!$R$4/$F959,1),IF(AND($I959="Base",$E959="Base"),Dashboard!$R$5,IF(AND($I959="Base",$E959="Red"),Dashboard!$R$6,IF(AND($I959="Base",$E959="Gold"),Dashboard!$R$7,VLOOKUP($I959,Dashboard!$Q$16:$R$21,2,FALSE)))))*VLOOKUP($I959,Dashboard!$Q$9:$R$13,2,FALSE)*IF(AND($I959="Auto",$F959="",OR($B959="Autographs Duals",$B959="Autographs Triples",$B959="Autographs Quads",$B959="Autographs Quads (Inscribed)")),IF($B959="Autographs Duals",2,IF($B959="Autographs Triples",3,4)),1)))</f>
        <v>2.5</v>
      </c>
      <c r="AB959" s="62">
        <f t="shared" si="193"/>
        <v>2.5</v>
      </c>
      <c r="AC959" s="62">
        <f t="shared" si="194"/>
        <v>0</v>
      </c>
    </row>
    <row r="960" spans="1:29" ht="42.95" customHeight="1" x14ac:dyDescent="0.25">
      <c r="A960" s="4" t="s">
        <v>19</v>
      </c>
      <c r="B960" s="7" t="s">
        <v>76</v>
      </c>
      <c r="C960" s="2" t="s">
        <v>1558</v>
      </c>
      <c r="D960" s="7" t="s">
        <v>1137</v>
      </c>
      <c r="E960" s="4" t="s">
        <v>778</v>
      </c>
      <c r="F960" s="2">
        <v>399</v>
      </c>
      <c r="G960" s="2" t="s">
        <v>1399</v>
      </c>
      <c r="H960" s="2" t="s">
        <v>1400</v>
      </c>
      <c r="I960" s="4" t="s">
        <v>60</v>
      </c>
      <c r="J960" s="112">
        <f>IF($H960&lt;&gt;"Y",0,ROUND(MIN(Dashboard!$R$24,IF(IFERROR(VLOOKUP($B960,Dashboard!$Q$28:$S$60,2,FALSE),0)&gt;0,IFERROR(VLOOKUP($B960,Dashboard!$Q$28:$S$60,2,FALSE),0),$Z960*IF($U960&lt;&gt;"",ROUND((Dashboard!$R$4/$U960)*VLOOKUP($I960,Dashboard!$Q$9:$R$13,2,FALSE)*IF(ISNUMBER(SEARCH("Duals",$B960)),2,IF(ISNUMBER(SEARCH("Triples",$B960)),3,IF(ISNUMBER(SEARCH("Quads",$B960)),4,1))),2),ROUND(VLOOKUP($I960,Dashboard!$Q$15:$R$20,2,FALSE)*IF($E960="Red",Dashboard!$R$6,IF($E960="Gold",Dashboard!$R$7,Dashboard!$R$5))*IF(ISNUMBER(SEARCH("Duals",$B960)),2,IF(ISNUMBER(SEARCH("Triples",$B960)),3,IF(ISNUMBER(SEARCH("Quads",$B960)),4,1))),2))*IF(IFERROR(VLOOKUP($B960,Dashboard!$Q$28:$S$60,3,FALSE),0)&gt;0,VLOOKUP($B960,Dashboard!$Q$28:$S$60,3,FALSE),1))),0))</f>
        <v>3</v>
      </c>
      <c r="K960" s="2" t="str">
        <f>IF('Base S2'!F60="","",'Base S2'!F60)</f>
        <v>V</v>
      </c>
      <c r="L960" s="2">
        <f t="shared" si="182"/>
        <v>1</v>
      </c>
      <c r="M960" s="2">
        <f t="shared" si="183"/>
        <v>0</v>
      </c>
      <c r="N960" s="2">
        <f t="shared" si="184"/>
        <v>1</v>
      </c>
      <c r="O960" s="2">
        <f t="shared" si="185"/>
        <v>0</v>
      </c>
      <c r="P960" s="112">
        <f t="shared" si="186"/>
        <v>3</v>
      </c>
      <c r="Q960" s="112">
        <f t="shared" si="187"/>
        <v>0</v>
      </c>
      <c r="R960" s="53"/>
      <c r="S960" s="53" t="str">
        <f t="shared" si="188"/>
        <v>Base S2|Compound V Parallel - Season 2|159|Compound V</v>
      </c>
      <c r="T960" s="57" t="str">
        <f>IF($S960="","",IFERROR(VLOOKUP($S960,'Pop Estimates (Non-#d)'!$N$2:$O$500,2,FALSE),""))</f>
        <v/>
      </c>
      <c r="U960" s="57">
        <f t="shared" si="189"/>
        <v>399</v>
      </c>
      <c r="V960" s="53" t="str">
        <f t="shared" si="190"/>
        <v/>
      </c>
      <c r="W960" s="53" t="str">
        <f t="shared" si="191"/>
        <v/>
      </c>
      <c r="X960" s="53" t="str">
        <f t="shared" si="192"/>
        <v/>
      </c>
      <c r="Y960" s="57" t="str">
        <f>IF($X960="","",IFERROR(VLOOKUP($X960,'Char Popularity'!$A$2:$C$500,2,FALSE),""))</f>
        <v/>
      </c>
      <c r="Z960" s="56">
        <f>IF($X960="",1,IFERROR(VLOOKUP($X960,'Char Popularity'!$A$2:$C$500,3,FALSE),1))</f>
        <v>1</v>
      </c>
      <c r="AA960" s="62">
        <f>IF($H960&lt;&gt;"Y",0,(IF($F960&lt;&gt;"",ROUND(Dashboard!$R$4/$F960,1),IF(AND($I960="Base",$E960="Base"),Dashboard!$R$5,IF(AND($I960="Base",$E960="Red"),Dashboard!$R$6,IF(AND($I960="Base",$E960="Gold"),Dashboard!$R$7,VLOOKUP($I960,Dashboard!$Q$16:$R$21,2,FALSE)))))*VLOOKUP($I960,Dashboard!$Q$9:$R$13,2,FALSE)*IF(AND($I960="Auto",$F960="",OR($B960="Autographs Duals",$B960="Autographs Triples",$B960="Autographs Quads",$B960="Autographs Quads (Inscribed)")),IF($B960="Autographs Duals",2,IF($B960="Autographs Triples",3,4)),1)))</f>
        <v>2.5</v>
      </c>
      <c r="AB960" s="62">
        <f t="shared" si="193"/>
        <v>2.5</v>
      </c>
      <c r="AC960" s="62">
        <f t="shared" si="194"/>
        <v>0</v>
      </c>
    </row>
    <row r="961" spans="1:29" ht="42.95" customHeight="1" x14ac:dyDescent="0.25">
      <c r="A961" s="4" t="s">
        <v>19</v>
      </c>
      <c r="B961" s="7" t="s">
        <v>76</v>
      </c>
      <c r="C961" s="2" t="s">
        <v>1559</v>
      </c>
      <c r="D961" s="7" t="s">
        <v>1139</v>
      </c>
      <c r="E961" s="4" t="s">
        <v>778</v>
      </c>
      <c r="F961" s="2">
        <v>399</v>
      </c>
      <c r="G961" s="2" t="s">
        <v>1399</v>
      </c>
      <c r="H961" s="2" t="s">
        <v>1400</v>
      </c>
      <c r="I961" s="4" t="s">
        <v>60</v>
      </c>
      <c r="J961" s="112">
        <f>IF($H961&lt;&gt;"Y",0,ROUND(MIN(Dashboard!$R$24,IF(IFERROR(VLOOKUP($B961,Dashboard!$Q$28:$S$60,2,FALSE),0)&gt;0,IFERROR(VLOOKUP($B961,Dashboard!$Q$28:$S$60,2,FALSE),0),$Z961*IF($U961&lt;&gt;"",ROUND((Dashboard!$R$4/$U961)*VLOOKUP($I961,Dashboard!$Q$9:$R$13,2,FALSE)*IF(ISNUMBER(SEARCH("Duals",$B961)),2,IF(ISNUMBER(SEARCH("Triples",$B961)),3,IF(ISNUMBER(SEARCH("Quads",$B961)),4,1))),2),ROUND(VLOOKUP($I961,Dashboard!$Q$15:$R$20,2,FALSE)*IF($E961="Red",Dashboard!$R$6,IF($E961="Gold",Dashboard!$R$7,Dashboard!$R$5))*IF(ISNUMBER(SEARCH("Duals",$B961)),2,IF(ISNUMBER(SEARCH("Triples",$B961)),3,IF(ISNUMBER(SEARCH("Quads",$B961)),4,1))),2))*IF(IFERROR(VLOOKUP($B961,Dashboard!$Q$28:$S$60,3,FALSE),0)&gt;0,VLOOKUP($B961,Dashboard!$Q$28:$S$60,3,FALSE),1))),0))</f>
        <v>3</v>
      </c>
      <c r="K961" s="2" t="str">
        <f>IF('Base S2'!F61="","",'Base S2'!F61)</f>
        <v>C</v>
      </c>
      <c r="L961" s="2">
        <f t="shared" si="182"/>
        <v>1</v>
      </c>
      <c r="M961" s="2">
        <f t="shared" si="183"/>
        <v>0</v>
      </c>
      <c r="N961" s="2">
        <f t="shared" si="184"/>
        <v>1</v>
      </c>
      <c r="O961" s="2">
        <f t="shared" si="185"/>
        <v>0</v>
      </c>
      <c r="P961" s="112">
        <f t="shared" si="186"/>
        <v>3</v>
      </c>
      <c r="Q961" s="112">
        <f t="shared" si="187"/>
        <v>0</v>
      </c>
      <c r="R961" s="53"/>
      <c r="S961" s="53" t="str">
        <f t="shared" si="188"/>
        <v>Base S2|Compound V Parallel - Season 2|160|Compound V</v>
      </c>
      <c r="T961" s="57" t="str">
        <f>IF($S961="","",IFERROR(VLOOKUP($S961,'Pop Estimates (Non-#d)'!$N$2:$O$500,2,FALSE),""))</f>
        <v/>
      </c>
      <c r="U961" s="57">
        <f t="shared" si="189"/>
        <v>399</v>
      </c>
      <c r="V961" s="53" t="str">
        <f t="shared" si="190"/>
        <v/>
      </c>
      <c r="W961" s="53" t="str">
        <f t="shared" si="191"/>
        <v/>
      </c>
      <c r="X961" s="53" t="str">
        <f t="shared" si="192"/>
        <v/>
      </c>
      <c r="Y961" s="57" t="str">
        <f>IF($X961="","",IFERROR(VLOOKUP($X961,'Char Popularity'!$A$2:$C$500,2,FALSE),""))</f>
        <v/>
      </c>
      <c r="Z961" s="56">
        <f>IF($X961="",1,IFERROR(VLOOKUP($X961,'Char Popularity'!$A$2:$C$500,3,FALSE),1))</f>
        <v>1</v>
      </c>
      <c r="AA961" s="62">
        <f>IF($H961&lt;&gt;"Y",0,(IF($F961&lt;&gt;"",ROUND(Dashboard!$R$4/$F961,1),IF(AND($I961="Base",$E961="Base"),Dashboard!$R$5,IF(AND($I961="Base",$E961="Red"),Dashboard!$R$6,IF(AND($I961="Base",$E961="Gold"),Dashboard!$R$7,VLOOKUP($I961,Dashboard!$Q$16:$R$21,2,FALSE)))))*VLOOKUP($I961,Dashboard!$Q$9:$R$13,2,FALSE)*IF(AND($I961="Auto",$F961="",OR($B961="Autographs Duals",$B961="Autographs Triples",$B961="Autographs Quads",$B961="Autographs Quads (Inscribed)")),IF($B961="Autographs Duals",2,IF($B961="Autographs Triples",3,4)),1)))</f>
        <v>2.5</v>
      </c>
      <c r="AB961" s="62">
        <f t="shared" si="193"/>
        <v>2.5</v>
      </c>
      <c r="AC961" s="62">
        <f t="shared" si="194"/>
        <v>0</v>
      </c>
    </row>
    <row r="962" spans="1:29" ht="42.95" customHeight="1" x14ac:dyDescent="0.25">
      <c r="A962" s="4" t="s">
        <v>19</v>
      </c>
      <c r="B962" s="7" t="s">
        <v>76</v>
      </c>
      <c r="C962" s="2" t="s">
        <v>1560</v>
      </c>
      <c r="D962" s="7" t="s">
        <v>1140</v>
      </c>
      <c r="E962" s="4" t="s">
        <v>778</v>
      </c>
      <c r="F962" s="2">
        <v>399</v>
      </c>
      <c r="G962" s="2" t="s">
        <v>1399</v>
      </c>
      <c r="H962" s="2" t="s">
        <v>1400</v>
      </c>
      <c r="I962" s="4" t="s">
        <v>60</v>
      </c>
      <c r="J962" s="112">
        <f>IF($H962&lt;&gt;"Y",0,ROUND(MIN(Dashboard!$R$24,IF(IFERROR(VLOOKUP($B962,Dashboard!$Q$28:$S$60,2,FALSE),0)&gt;0,IFERROR(VLOOKUP($B962,Dashboard!$Q$28:$S$60,2,FALSE),0),$Z962*IF($U962&lt;&gt;"",ROUND((Dashboard!$R$4/$U962)*VLOOKUP($I962,Dashboard!$Q$9:$R$13,2,FALSE)*IF(ISNUMBER(SEARCH("Duals",$B962)),2,IF(ISNUMBER(SEARCH("Triples",$B962)),3,IF(ISNUMBER(SEARCH("Quads",$B962)),4,1))),2),ROUND(VLOOKUP($I962,Dashboard!$Q$15:$R$20,2,FALSE)*IF($E962="Red",Dashboard!$R$6,IF($E962="Gold",Dashboard!$R$7,Dashboard!$R$5))*IF(ISNUMBER(SEARCH("Duals",$B962)),2,IF(ISNUMBER(SEARCH("Triples",$B962)),3,IF(ISNUMBER(SEARCH("Quads",$B962)),4,1))),2))*IF(IFERROR(VLOOKUP($B962,Dashboard!$Q$28:$S$60,3,FALSE),0)&gt;0,VLOOKUP($B962,Dashboard!$Q$28:$S$60,3,FALSE),1))),0))</f>
        <v>3</v>
      </c>
      <c r="K962" s="2" t="str">
        <f>IF('Base S2'!F62="","",'Base S2'!F62)</f>
        <v>C</v>
      </c>
      <c r="L962" s="2">
        <f t="shared" ref="L962:L1025" si="195">IF(AND($K962&lt;&gt;"",LEFT($K962,1)&lt;&gt;"Y"),1,0)</f>
        <v>1</v>
      </c>
      <c r="M962" s="2">
        <f t="shared" ref="M962:M1025" si="196">IF(LEFT($K962,1)="Y",1,0)</f>
        <v>0</v>
      </c>
      <c r="N962" s="2">
        <f t="shared" ref="N962:N1025" si="197">$L962+$M962</f>
        <v>1</v>
      </c>
      <c r="O962" s="2">
        <f t="shared" ref="O962:O1025" si="198">IF($H962="Y",1-$N962,0)</f>
        <v>0</v>
      </c>
      <c r="P962" s="112">
        <f t="shared" ref="P962:P1025" si="199">IF($L962=1,$J962,0)</f>
        <v>3</v>
      </c>
      <c r="Q962" s="112">
        <f t="shared" ref="Q962:Q1025" si="200">IF($M962=1,$J962,0)</f>
        <v>0</v>
      </c>
      <c r="R962" s="53"/>
      <c r="S962" s="53" t="str">
        <f t="shared" ref="S962:S1025" si="201">IF($A962="","",$A962&amp;"|"&amp;$B962&amp;"|"&amp;$C962&amp;"|"&amp;$E962)</f>
        <v>Base S2|Compound V Parallel - Season 2|161|Compound V</v>
      </c>
      <c r="T962" s="57" t="str">
        <f>IF($S962="","",IFERROR(VLOOKUP($S962,'Pop Estimates (Non-#d)'!$N$2:$O$500,2,FALSE),""))</f>
        <v/>
      </c>
      <c r="U962" s="57">
        <f t="shared" ref="U962:U1025" si="202">IF($A962="","",IF($F962&lt;&gt;"",$F962,$T962))</f>
        <v>399</v>
      </c>
      <c r="V962" s="53" t="str">
        <f t="shared" ref="V962:V1025" si="203">IF($A962="","",IF(ISNUMBER(SEARCH(" as ",$D962)),MID($D962,SEARCH(" as ",$D962)+4,255),IF(ISNUMBER(SEARCH("/",$D962)),LEFT($D962,FIND("/",$D962&amp;"/")-1),"")))</f>
        <v/>
      </c>
      <c r="W962" s="53" t="str">
        <f t="shared" ref="W962:W1025" si="204">IF($V962="","",TRIM(IFERROR(MID($V962,SEARCH("(", $V962)+1,SEARCH(")",$V962)-SEARCH("(", $V962)-1),$V962)))</f>
        <v/>
      </c>
      <c r="X962" s="53" t="str">
        <f t="shared" ref="X962:X1025" si="205">IF($W962="","",TRIM(LEFT($W962&amp;"""",FIND("""",$W962&amp;"""")-1)))</f>
        <v/>
      </c>
      <c r="Y962" s="57" t="str">
        <f>IF($X962="","",IFERROR(VLOOKUP($X962,'Char Popularity'!$A$2:$C$500,2,FALSE),""))</f>
        <v/>
      </c>
      <c r="Z962" s="56">
        <f>IF($X962="",1,IFERROR(VLOOKUP($X962,'Char Popularity'!$A$2:$C$500,3,FALSE),1))</f>
        <v>1</v>
      </c>
      <c r="AA962" s="62">
        <f>IF($H962&lt;&gt;"Y",0,(IF($F962&lt;&gt;"",ROUND(Dashboard!$R$4/$F962,1),IF(AND($I962="Base",$E962="Base"),Dashboard!$R$5,IF(AND($I962="Base",$E962="Red"),Dashboard!$R$6,IF(AND($I962="Base",$E962="Gold"),Dashboard!$R$7,VLOOKUP($I962,Dashboard!$Q$16:$R$21,2,FALSE)))))*VLOOKUP($I962,Dashboard!$Q$9:$R$13,2,FALSE)*IF(AND($I962="Auto",$F962="",OR($B962="Autographs Duals",$B962="Autographs Triples",$B962="Autographs Quads",$B962="Autographs Quads (Inscribed)")),IF($B962="Autographs Duals",2,IF($B962="Autographs Triples",3,4)),1)))</f>
        <v>2.5</v>
      </c>
      <c r="AB962" s="62">
        <f t="shared" ref="AB962:AB1025" si="206">IF($L962=1,$AA962,0)</f>
        <v>2.5</v>
      </c>
      <c r="AC962" s="62">
        <f t="shared" ref="AC962:AC1025" si="207">IF($M962=1,$AA962,0)</f>
        <v>0</v>
      </c>
    </row>
    <row r="963" spans="1:29" ht="42.95" customHeight="1" x14ac:dyDescent="0.25">
      <c r="A963" s="4" t="s">
        <v>19</v>
      </c>
      <c r="B963" s="7" t="s">
        <v>76</v>
      </c>
      <c r="C963" s="2" t="s">
        <v>1561</v>
      </c>
      <c r="D963" s="7" t="s">
        <v>1142</v>
      </c>
      <c r="E963" s="4" t="s">
        <v>778</v>
      </c>
      <c r="F963" s="2">
        <v>399</v>
      </c>
      <c r="G963" s="2" t="s">
        <v>1399</v>
      </c>
      <c r="H963" s="2" t="s">
        <v>1400</v>
      </c>
      <c r="I963" s="4" t="s">
        <v>60</v>
      </c>
      <c r="J963" s="112">
        <f>IF($H963&lt;&gt;"Y",0,ROUND(MIN(Dashboard!$R$24,IF(IFERROR(VLOOKUP($B963,Dashboard!$Q$28:$S$60,2,FALSE),0)&gt;0,IFERROR(VLOOKUP($B963,Dashboard!$Q$28:$S$60,2,FALSE),0),$Z963*IF($U963&lt;&gt;"",ROUND((Dashboard!$R$4/$U963)*VLOOKUP($I963,Dashboard!$Q$9:$R$13,2,FALSE)*IF(ISNUMBER(SEARCH("Duals",$B963)),2,IF(ISNUMBER(SEARCH("Triples",$B963)),3,IF(ISNUMBER(SEARCH("Quads",$B963)),4,1))),2),ROUND(VLOOKUP($I963,Dashboard!$Q$15:$R$20,2,FALSE)*IF($E963="Red",Dashboard!$R$6,IF($E963="Gold",Dashboard!$R$7,Dashboard!$R$5))*IF(ISNUMBER(SEARCH("Duals",$B963)),2,IF(ISNUMBER(SEARCH("Triples",$B963)),3,IF(ISNUMBER(SEARCH("Quads",$B963)),4,1))),2))*IF(IFERROR(VLOOKUP($B963,Dashboard!$Q$28:$S$60,3,FALSE),0)&gt;0,VLOOKUP($B963,Dashboard!$Q$28:$S$60,3,FALSE),1))),0))</f>
        <v>3</v>
      </c>
      <c r="K963" s="2" t="str">
        <f>IF('Base S2'!F63="","",'Base S2'!F63)</f>
        <v>C</v>
      </c>
      <c r="L963" s="2">
        <f t="shared" si="195"/>
        <v>1</v>
      </c>
      <c r="M963" s="2">
        <f t="shared" si="196"/>
        <v>0</v>
      </c>
      <c r="N963" s="2">
        <f t="shared" si="197"/>
        <v>1</v>
      </c>
      <c r="O963" s="2">
        <f t="shared" si="198"/>
        <v>0</v>
      </c>
      <c r="P963" s="112">
        <f t="shared" si="199"/>
        <v>3</v>
      </c>
      <c r="Q963" s="112">
        <f t="shared" si="200"/>
        <v>0</v>
      </c>
      <c r="R963" s="53"/>
      <c r="S963" s="53" t="str">
        <f t="shared" si="201"/>
        <v>Base S2|Compound V Parallel - Season 2|162|Compound V</v>
      </c>
      <c r="T963" s="57" t="str">
        <f>IF($S963="","",IFERROR(VLOOKUP($S963,'Pop Estimates (Non-#d)'!$N$2:$O$500,2,FALSE),""))</f>
        <v/>
      </c>
      <c r="U963" s="57">
        <f t="shared" si="202"/>
        <v>399</v>
      </c>
      <c r="V963" s="53" t="str">
        <f t="shared" si="203"/>
        <v/>
      </c>
      <c r="W963" s="53" t="str">
        <f t="shared" si="204"/>
        <v/>
      </c>
      <c r="X963" s="53" t="str">
        <f t="shared" si="205"/>
        <v/>
      </c>
      <c r="Y963" s="57" t="str">
        <f>IF($X963="","",IFERROR(VLOOKUP($X963,'Char Popularity'!$A$2:$C$500,2,FALSE),""))</f>
        <v/>
      </c>
      <c r="Z963" s="56">
        <f>IF($X963="",1,IFERROR(VLOOKUP($X963,'Char Popularity'!$A$2:$C$500,3,FALSE),1))</f>
        <v>1</v>
      </c>
      <c r="AA963" s="62">
        <f>IF($H963&lt;&gt;"Y",0,(IF($F963&lt;&gt;"",ROUND(Dashboard!$R$4/$F963,1),IF(AND($I963="Base",$E963="Base"),Dashboard!$R$5,IF(AND($I963="Base",$E963="Red"),Dashboard!$R$6,IF(AND($I963="Base",$E963="Gold"),Dashboard!$R$7,VLOOKUP($I963,Dashboard!$Q$16:$R$21,2,FALSE)))))*VLOOKUP($I963,Dashboard!$Q$9:$R$13,2,FALSE)*IF(AND($I963="Auto",$F963="",OR($B963="Autographs Duals",$B963="Autographs Triples",$B963="Autographs Quads",$B963="Autographs Quads (Inscribed)")),IF($B963="Autographs Duals",2,IF($B963="Autographs Triples",3,4)),1)))</f>
        <v>2.5</v>
      </c>
      <c r="AB963" s="62">
        <f t="shared" si="206"/>
        <v>2.5</v>
      </c>
      <c r="AC963" s="62">
        <f t="shared" si="207"/>
        <v>0</v>
      </c>
    </row>
    <row r="964" spans="1:29" ht="42.95" customHeight="1" x14ac:dyDescent="0.25">
      <c r="A964" s="4" t="s">
        <v>19</v>
      </c>
      <c r="B964" s="7" t="s">
        <v>76</v>
      </c>
      <c r="C964" s="2" t="s">
        <v>1562</v>
      </c>
      <c r="D964" s="7" t="s">
        <v>1143</v>
      </c>
      <c r="E964" s="4" t="s">
        <v>778</v>
      </c>
      <c r="F964" s="2">
        <v>399</v>
      </c>
      <c r="G964" s="2" t="s">
        <v>1399</v>
      </c>
      <c r="H964" s="2" t="s">
        <v>1400</v>
      </c>
      <c r="I964" s="4" t="s">
        <v>60</v>
      </c>
      <c r="J964" s="112">
        <f>IF($H964&lt;&gt;"Y",0,ROUND(MIN(Dashboard!$R$24,IF(IFERROR(VLOOKUP($B964,Dashboard!$Q$28:$S$60,2,FALSE),0)&gt;0,IFERROR(VLOOKUP($B964,Dashboard!$Q$28:$S$60,2,FALSE),0),$Z964*IF($U964&lt;&gt;"",ROUND((Dashboard!$R$4/$U964)*VLOOKUP($I964,Dashboard!$Q$9:$R$13,2,FALSE)*IF(ISNUMBER(SEARCH("Duals",$B964)),2,IF(ISNUMBER(SEARCH("Triples",$B964)),3,IF(ISNUMBER(SEARCH("Quads",$B964)),4,1))),2),ROUND(VLOOKUP($I964,Dashboard!$Q$15:$R$20,2,FALSE)*IF($E964="Red",Dashboard!$R$6,IF($E964="Gold",Dashboard!$R$7,Dashboard!$R$5))*IF(ISNUMBER(SEARCH("Duals",$B964)),2,IF(ISNUMBER(SEARCH("Triples",$B964)),3,IF(ISNUMBER(SEARCH("Quads",$B964)),4,1))),2))*IF(IFERROR(VLOOKUP($B964,Dashboard!$Q$28:$S$60,3,FALSE),0)&gt;0,VLOOKUP($B964,Dashboard!$Q$28:$S$60,3,FALSE),1))),0))</f>
        <v>3</v>
      </c>
      <c r="K964" s="2" t="str">
        <f>IF('Base S2'!F64="","",'Base S2'!F64)</f>
        <v>C</v>
      </c>
      <c r="L964" s="2">
        <f t="shared" si="195"/>
        <v>1</v>
      </c>
      <c r="M964" s="2">
        <f t="shared" si="196"/>
        <v>0</v>
      </c>
      <c r="N964" s="2">
        <f t="shared" si="197"/>
        <v>1</v>
      </c>
      <c r="O964" s="2">
        <f t="shared" si="198"/>
        <v>0</v>
      </c>
      <c r="P964" s="112">
        <f t="shared" si="199"/>
        <v>3</v>
      </c>
      <c r="Q964" s="112">
        <f t="shared" si="200"/>
        <v>0</v>
      </c>
      <c r="R964" s="53"/>
      <c r="S964" s="53" t="str">
        <f t="shared" si="201"/>
        <v>Base S2|Compound V Parallel - Season 2|163|Compound V</v>
      </c>
      <c r="T964" s="57" t="str">
        <f>IF($S964="","",IFERROR(VLOOKUP($S964,'Pop Estimates (Non-#d)'!$N$2:$O$500,2,FALSE),""))</f>
        <v/>
      </c>
      <c r="U964" s="57">
        <f t="shared" si="202"/>
        <v>399</v>
      </c>
      <c r="V964" s="53" t="str">
        <f t="shared" si="203"/>
        <v/>
      </c>
      <c r="W964" s="53" t="str">
        <f t="shared" si="204"/>
        <v/>
      </c>
      <c r="X964" s="53" t="str">
        <f t="shared" si="205"/>
        <v/>
      </c>
      <c r="Y964" s="57" t="str">
        <f>IF($X964="","",IFERROR(VLOOKUP($X964,'Char Popularity'!$A$2:$C$500,2,FALSE),""))</f>
        <v/>
      </c>
      <c r="Z964" s="56">
        <f>IF($X964="",1,IFERROR(VLOOKUP($X964,'Char Popularity'!$A$2:$C$500,3,FALSE),1))</f>
        <v>1</v>
      </c>
      <c r="AA964" s="62">
        <f>IF($H964&lt;&gt;"Y",0,(IF($F964&lt;&gt;"",ROUND(Dashboard!$R$4/$F964,1),IF(AND($I964="Base",$E964="Base"),Dashboard!$R$5,IF(AND($I964="Base",$E964="Red"),Dashboard!$R$6,IF(AND($I964="Base",$E964="Gold"),Dashboard!$R$7,VLOOKUP($I964,Dashboard!$Q$16:$R$21,2,FALSE)))))*VLOOKUP($I964,Dashboard!$Q$9:$R$13,2,FALSE)*IF(AND($I964="Auto",$F964="",OR($B964="Autographs Duals",$B964="Autographs Triples",$B964="Autographs Quads",$B964="Autographs Quads (Inscribed)")),IF($B964="Autographs Duals",2,IF($B964="Autographs Triples",3,4)),1)))</f>
        <v>2.5</v>
      </c>
      <c r="AB964" s="62">
        <f t="shared" si="206"/>
        <v>2.5</v>
      </c>
      <c r="AC964" s="62">
        <f t="shared" si="207"/>
        <v>0</v>
      </c>
    </row>
    <row r="965" spans="1:29" ht="42.95" customHeight="1" x14ac:dyDescent="0.25">
      <c r="A965" s="4" t="s">
        <v>19</v>
      </c>
      <c r="B965" s="7" t="s">
        <v>76</v>
      </c>
      <c r="C965" s="2" t="s">
        <v>1563</v>
      </c>
      <c r="D965" s="7" t="s">
        <v>1145</v>
      </c>
      <c r="E965" s="4" t="s">
        <v>778</v>
      </c>
      <c r="F965" s="2">
        <v>399</v>
      </c>
      <c r="G965" s="2" t="s">
        <v>1399</v>
      </c>
      <c r="H965" s="2" t="s">
        <v>1400</v>
      </c>
      <c r="I965" s="4" t="s">
        <v>60</v>
      </c>
      <c r="J965" s="112">
        <f>IF($H965&lt;&gt;"Y",0,ROUND(MIN(Dashboard!$R$24,IF(IFERROR(VLOOKUP($B965,Dashboard!$Q$28:$S$60,2,FALSE),0)&gt;0,IFERROR(VLOOKUP($B965,Dashboard!$Q$28:$S$60,2,FALSE),0),$Z965*IF($U965&lt;&gt;"",ROUND((Dashboard!$R$4/$U965)*VLOOKUP($I965,Dashboard!$Q$9:$R$13,2,FALSE)*IF(ISNUMBER(SEARCH("Duals",$B965)),2,IF(ISNUMBER(SEARCH("Triples",$B965)),3,IF(ISNUMBER(SEARCH("Quads",$B965)),4,1))),2),ROUND(VLOOKUP($I965,Dashboard!$Q$15:$R$20,2,FALSE)*IF($E965="Red",Dashboard!$R$6,IF($E965="Gold",Dashboard!$R$7,Dashboard!$R$5))*IF(ISNUMBER(SEARCH("Duals",$B965)),2,IF(ISNUMBER(SEARCH("Triples",$B965)),3,IF(ISNUMBER(SEARCH("Quads",$B965)),4,1))),2))*IF(IFERROR(VLOOKUP($B965,Dashboard!$Q$28:$S$60,3,FALSE),0)&gt;0,VLOOKUP($B965,Dashboard!$Q$28:$S$60,3,FALSE),1))),0))</f>
        <v>3</v>
      </c>
      <c r="K965" s="2" t="str">
        <f>IF('Base S2'!F65="","",'Base S2'!F65)</f>
        <v>V</v>
      </c>
      <c r="L965" s="2">
        <f t="shared" si="195"/>
        <v>1</v>
      </c>
      <c r="M965" s="2">
        <f t="shared" si="196"/>
        <v>0</v>
      </c>
      <c r="N965" s="2">
        <f t="shared" si="197"/>
        <v>1</v>
      </c>
      <c r="O965" s="2">
        <f t="shared" si="198"/>
        <v>0</v>
      </c>
      <c r="P965" s="112">
        <f t="shared" si="199"/>
        <v>3</v>
      </c>
      <c r="Q965" s="112">
        <f t="shared" si="200"/>
        <v>0</v>
      </c>
      <c r="R965" s="53"/>
      <c r="S965" s="53" t="str">
        <f t="shared" si="201"/>
        <v>Base S2|Compound V Parallel - Season 2|164|Compound V</v>
      </c>
      <c r="T965" s="57" t="str">
        <f>IF($S965="","",IFERROR(VLOOKUP($S965,'Pop Estimates (Non-#d)'!$N$2:$O$500,2,FALSE),""))</f>
        <v/>
      </c>
      <c r="U965" s="57">
        <f t="shared" si="202"/>
        <v>399</v>
      </c>
      <c r="V965" s="53" t="str">
        <f t="shared" si="203"/>
        <v/>
      </c>
      <c r="W965" s="53" t="str">
        <f t="shared" si="204"/>
        <v/>
      </c>
      <c r="X965" s="53" t="str">
        <f t="shared" si="205"/>
        <v/>
      </c>
      <c r="Y965" s="57" t="str">
        <f>IF($X965="","",IFERROR(VLOOKUP($X965,'Char Popularity'!$A$2:$C$500,2,FALSE),""))</f>
        <v/>
      </c>
      <c r="Z965" s="56">
        <f>IF($X965="",1,IFERROR(VLOOKUP($X965,'Char Popularity'!$A$2:$C$500,3,FALSE),1))</f>
        <v>1</v>
      </c>
      <c r="AA965" s="62">
        <f>IF($H965&lt;&gt;"Y",0,(IF($F965&lt;&gt;"",ROUND(Dashboard!$R$4/$F965,1),IF(AND($I965="Base",$E965="Base"),Dashboard!$R$5,IF(AND($I965="Base",$E965="Red"),Dashboard!$R$6,IF(AND($I965="Base",$E965="Gold"),Dashboard!$R$7,VLOOKUP($I965,Dashboard!$Q$16:$R$21,2,FALSE)))))*VLOOKUP($I965,Dashboard!$Q$9:$R$13,2,FALSE)*IF(AND($I965="Auto",$F965="",OR($B965="Autographs Duals",$B965="Autographs Triples",$B965="Autographs Quads",$B965="Autographs Quads (Inscribed)")),IF($B965="Autographs Duals",2,IF($B965="Autographs Triples",3,4)),1)))</f>
        <v>2.5</v>
      </c>
      <c r="AB965" s="62">
        <f t="shared" si="206"/>
        <v>2.5</v>
      </c>
      <c r="AC965" s="62">
        <f t="shared" si="207"/>
        <v>0</v>
      </c>
    </row>
    <row r="966" spans="1:29" ht="42.95" customHeight="1" x14ac:dyDescent="0.25">
      <c r="A966" s="4" t="s">
        <v>19</v>
      </c>
      <c r="B966" s="7" t="s">
        <v>76</v>
      </c>
      <c r="C966" s="2" t="s">
        <v>1564</v>
      </c>
      <c r="D966" s="7" t="s">
        <v>1147</v>
      </c>
      <c r="E966" s="4" t="s">
        <v>778</v>
      </c>
      <c r="F966" s="2">
        <v>399</v>
      </c>
      <c r="G966" s="2" t="s">
        <v>1399</v>
      </c>
      <c r="H966" s="2" t="s">
        <v>1400</v>
      </c>
      <c r="I966" s="4" t="s">
        <v>60</v>
      </c>
      <c r="J966" s="112">
        <f>IF($H966&lt;&gt;"Y",0,ROUND(MIN(Dashboard!$R$24,IF(IFERROR(VLOOKUP($B966,Dashboard!$Q$28:$S$60,2,FALSE),0)&gt;0,IFERROR(VLOOKUP($B966,Dashboard!$Q$28:$S$60,2,FALSE),0),$Z966*IF($U966&lt;&gt;"",ROUND((Dashboard!$R$4/$U966)*VLOOKUP($I966,Dashboard!$Q$9:$R$13,2,FALSE)*IF(ISNUMBER(SEARCH("Duals",$B966)),2,IF(ISNUMBER(SEARCH("Triples",$B966)),3,IF(ISNUMBER(SEARCH("Quads",$B966)),4,1))),2),ROUND(VLOOKUP($I966,Dashboard!$Q$15:$R$20,2,FALSE)*IF($E966="Red",Dashboard!$R$6,IF($E966="Gold",Dashboard!$R$7,Dashboard!$R$5))*IF(ISNUMBER(SEARCH("Duals",$B966)),2,IF(ISNUMBER(SEARCH("Triples",$B966)),3,IF(ISNUMBER(SEARCH("Quads",$B966)),4,1))),2))*IF(IFERROR(VLOOKUP($B966,Dashboard!$Q$28:$S$60,3,FALSE),0)&gt;0,VLOOKUP($B966,Dashboard!$Q$28:$S$60,3,FALSE),1))),0))</f>
        <v>3</v>
      </c>
      <c r="K966" s="2" t="str">
        <f>IF('Base S2'!F66="","",'Base S2'!F66)</f>
        <v>C</v>
      </c>
      <c r="L966" s="2">
        <f t="shared" si="195"/>
        <v>1</v>
      </c>
      <c r="M966" s="2">
        <f t="shared" si="196"/>
        <v>0</v>
      </c>
      <c r="N966" s="2">
        <f t="shared" si="197"/>
        <v>1</v>
      </c>
      <c r="O966" s="2">
        <f t="shared" si="198"/>
        <v>0</v>
      </c>
      <c r="P966" s="112">
        <f t="shared" si="199"/>
        <v>3</v>
      </c>
      <c r="Q966" s="112">
        <f t="shared" si="200"/>
        <v>0</v>
      </c>
      <c r="R966" s="53"/>
      <c r="S966" s="53" t="str">
        <f t="shared" si="201"/>
        <v>Base S2|Compound V Parallel - Season 2|165|Compound V</v>
      </c>
      <c r="T966" s="57" t="str">
        <f>IF($S966="","",IFERROR(VLOOKUP($S966,'Pop Estimates (Non-#d)'!$N$2:$O$500,2,FALSE),""))</f>
        <v/>
      </c>
      <c r="U966" s="57">
        <f t="shared" si="202"/>
        <v>399</v>
      </c>
      <c r="V966" s="53" t="str">
        <f t="shared" si="203"/>
        <v/>
      </c>
      <c r="W966" s="53" t="str">
        <f t="shared" si="204"/>
        <v/>
      </c>
      <c r="X966" s="53" t="str">
        <f t="shared" si="205"/>
        <v/>
      </c>
      <c r="Y966" s="57" t="str">
        <f>IF($X966="","",IFERROR(VLOOKUP($X966,'Char Popularity'!$A$2:$C$500,2,FALSE),""))</f>
        <v/>
      </c>
      <c r="Z966" s="56">
        <f>IF($X966="",1,IFERROR(VLOOKUP($X966,'Char Popularity'!$A$2:$C$500,3,FALSE),1))</f>
        <v>1</v>
      </c>
      <c r="AA966" s="62">
        <f>IF($H966&lt;&gt;"Y",0,(IF($F966&lt;&gt;"",ROUND(Dashboard!$R$4/$F966,1),IF(AND($I966="Base",$E966="Base"),Dashboard!$R$5,IF(AND($I966="Base",$E966="Red"),Dashboard!$R$6,IF(AND($I966="Base",$E966="Gold"),Dashboard!$R$7,VLOOKUP($I966,Dashboard!$Q$16:$R$21,2,FALSE)))))*VLOOKUP($I966,Dashboard!$Q$9:$R$13,2,FALSE)*IF(AND($I966="Auto",$F966="",OR($B966="Autographs Duals",$B966="Autographs Triples",$B966="Autographs Quads",$B966="Autographs Quads (Inscribed)")),IF($B966="Autographs Duals",2,IF($B966="Autographs Triples",3,4)),1)))</f>
        <v>2.5</v>
      </c>
      <c r="AB966" s="62">
        <f t="shared" si="206"/>
        <v>2.5</v>
      </c>
      <c r="AC966" s="62">
        <f t="shared" si="207"/>
        <v>0</v>
      </c>
    </row>
    <row r="967" spans="1:29" ht="42.95" customHeight="1" x14ac:dyDescent="0.25">
      <c r="A967" s="4" t="s">
        <v>19</v>
      </c>
      <c r="B967" s="7" t="s">
        <v>76</v>
      </c>
      <c r="C967" s="2" t="s">
        <v>1565</v>
      </c>
      <c r="D967" s="7" t="s">
        <v>1148</v>
      </c>
      <c r="E967" s="4" t="s">
        <v>778</v>
      </c>
      <c r="F967" s="2">
        <v>399</v>
      </c>
      <c r="G967" s="2" t="s">
        <v>1399</v>
      </c>
      <c r="H967" s="2" t="s">
        <v>1400</v>
      </c>
      <c r="I967" s="4" t="s">
        <v>60</v>
      </c>
      <c r="J967" s="112">
        <f>IF($H967&lt;&gt;"Y",0,ROUND(MIN(Dashboard!$R$24,IF(IFERROR(VLOOKUP($B967,Dashboard!$Q$28:$S$60,2,FALSE),0)&gt;0,IFERROR(VLOOKUP($B967,Dashboard!$Q$28:$S$60,2,FALSE),0),$Z967*IF($U967&lt;&gt;"",ROUND((Dashboard!$R$4/$U967)*VLOOKUP($I967,Dashboard!$Q$9:$R$13,2,FALSE)*IF(ISNUMBER(SEARCH("Duals",$B967)),2,IF(ISNUMBER(SEARCH("Triples",$B967)),3,IF(ISNUMBER(SEARCH("Quads",$B967)),4,1))),2),ROUND(VLOOKUP($I967,Dashboard!$Q$15:$R$20,2,FALSE)*IF($E967="Red",Dashboard!$R$6,IF($E967="Gold",Dashboard!$R$7,Dashboard!$R$5))*IF(ISNUMBER(SEARCH("Duals",$B967)),2,IF(ISNUMBER(SEARCH("Triples",$B967)),3,IF(ISNUMBER(SEARCH("Quads",$B967)),4,1))),2))*IF(IFERROR(VLOOKUP($B967,Dashboard!$Q$28:$S$60,3,FALSE),0)&gt;0,VLOOKUP($B967,Dashboard!$Q$28:$S$60,3,FALSE),1))),0))</f>
        <v>3</v>
      </c>
      <c r="K967" s="2" t="str">
        <f>IF('Base S2'!F67="","",'Base S2'!F67)</f>
        <v>V</v>
      </c>
      <c r="L967" s="2">
        <f t="shared" si="195"/>
        <v>1</v>
      </c>
      <c r="M967" s="2">
        <f t="shared" si="196"/>
        <v>0</v>
      </c>
      <c r="N967" s="2">
        <f t="shared" si="197"/>
        <v>1</v>
      </c>
      <c r="O967" s="2">
        <f t="shared" si="198"/>
        <v>0</v>
      </c>
      <c r="P967" s="112">
        <f t="shared" si="199"/>
        <v>3</v>
      </c>
      <c r="Q967" s="112">
        <f t="shared" si="200"/>
        <v>0</v>
      </c>
      <c r="R967" s="53"/>
      <c r="S967" s="53" t="str">
        <f t="shared" si="201"/>
        <v>Base S2|Compound V Parallel - Season 2|166|Compound V</v>
      </c>
      <c r="T967" s="57" t="str">
        <f>IF($S967="","",IFERROR(VLOOKUP($S967,'Pop Estimates (Non-#d)'!$N$2:$O$500,2,FALSE),""))</f>
        <v/>
      </c>
      <c r="U967" s="57">
        <f t="shared" si="202"/>
        <v>399</v>
      </c>
      <c r="V967" s="53" t="str">
        <f t="shared" si="203"/>
        <v/>
      </c>
      <c r="W967" s="53" t="str">
        <f t="shared" si="204"/>
        <v/>
      </c>
      <c r="X967" s="53" t="str">
        <f t="shared" si="205"/>
        <v/>
      </c>
      <c r="Y967" s="57" t="str">
        <f>IF($X967="","",IFERROR(VLOOKUP($X967,'Char Popularity'!$A$2:$C$500,2,FALSE),""))</f>
        <v/>
      </c>
      <c r="Z967" s="56">
        <f>IF($X967="",1,IFERROR(VLOOKUP($X967,'Char Popularity'!$A$2:$C$500,3,FALSE),1))</f>
        <v>1</v>
      </c>
      <c r="AA967" s="62">
        <f>IF($H967&lt;&gt;"Y",0,(IF($F967&lt;&gt;"",ROUND(Dashboard!$R$4/$F967,1),IF(AND($I967="Base",$E967="Base"),Dashboard!$R$5,IF(AND($I967="Base",$E967="Red"),Dashboard!$R$6,IF(AND($I967="Base",$E967="Gold"),Dashboard!$R$7,VLOOKUP($I967,Dashboard!$Q$16:$R$21,2,FALSE)))))*VLOOKUP($I967,Dashboard!$Q$9:$R$13,2,FALSE)*IF(AND($I967="Auto",$F967="",OR($B967="Autographs Duals",$B967="Autographs Triples",$B967="Autographs Quads",$B967="Autographs Quads (Inscribed)")),IF($B967="Autographs Duals",2,IF($B967="Autographs Triples",3,4)),1)))</f>
        <v>2.5</v>
      </c>
      <c r="AB967" s="62">
        <f t="shared" si="206"/>
        <v>2.5</v>
      </c>
      <c r="AC967" s="62">
        <f t="shared" si="207"/>
        <v>0</v>
      </c>
    </row>
    <row r="968" spans="1:29" ht="42.95" customHeight="1" x14ac:dyDescent="0.25">
      <c r="A968" s="4" t="s">
        <v>19</v>
      </c>
      <c r="B968" s="7" t="s">
        <v>76</v>
      </c>
      <c r="C968" s="2" t="s">
        <v>1566</v>
      </c>
      <c r="D968" s="7" t="s">
        <v>1150</v>
      </c>
      <c r="E968" s="4" t="s">
        <v>778</v>
      </c>
      <c r="F968" s="2">
        <v>399</v>
      </c>
      <c r="G968" s="2" t="s">
        <v>1399</v>
      </c>
      <c r="H968" s="2" t="s">
        <v>1400</v>
      </c>
      <c r="I968" s="4" t="s">
        <v>60</v>
      </c>
      <c r="J968" s="112">
        <f>IF($H968&lt;&gt;"Y",0,ROUND(MIN(Dashboard!$R$24,IF(IFERROR(VLOOKUP($B968,Dashboard!$Q$28:$S$60,2,FALSE),0)&gt;0,IFERROR(VLOOKUP($B968,Dashboard!$Q$28:$S$60,2,FALSE),0),$Z968*IF($U968&lt;&gt;"",ROUND((Dashboard!$R$4/$U968)*VLOOKUP($I968,Dashboard!$Q$9:$R$13,2,FALSE)*IF(ISNUMBER(SEARCH("Duals",$B968)),2,IF(ISNUMBER(SEARCH("Triples",$B968)),3,IF(ISNUMBER(SEARCH("Quads",$B968)),4,1))),2),ROUND(VLOOKUP($I968,Dashboard!$Q$15:$R$20,2,FALSE)*IF($E968="Red",Dashboard!$R$6,IF($E968="Gold",Dashboard!$R$7,Dashboard!$R$5))*IF(ISNUMBER(SEARCH("Duals",$B968)),2,IF(ISNUMBER(SEARCH("Triples",$B968)),3,IF(ISNUMBER(SEARCH("Quads",$B968)),4,1))),2))*IF(IFERROR(VLOOKUP($B968,Dashboard!$Q$28:$S$60,3,FALSE),0)&gt;0,VLOOKUP($B968,Dashboard!$Q$28:$S$60,3,FALSE),1))),0))</f>
        <v>3</v>
      </c>
      <c r="K968" s="2" t="str">
        <f>IF('Base S2'!F68="","",'Base S2'!F68)</f>
        <v>C</v>
      </c>
      <c r="L968" s="2">
        <f t="shared" si="195"/>
        <v>1</v>
      </c>
      <c r="M968" s="2">
        <f t="shared" si="196"/>
        <v>0</v>
      </c>
      <c r="N968" s="2">
        <f t="shared" si="197"/>
        <v>1</v>
      </c>
      <c r="O968" s="2">
        <f t="shared" si="198"/>
        <v>0</v>
      </c>
      <c r="P968" s="112">
        <f t="shared" si="199"/>
        <v>3</v>
      </c>
      <c r="Q968" s="112">
        <f t="shared" si="200"/>
        <v>0</v>
      </c>
      <c r="R968" s="53"/>
      <c r="S968" s="53" t="str">
        <f t="shared" si="201"/>
        <v>Base S2|Compound V Parallel - Season 2|167|Compound V</v>
      </c>
      <c r="T968" s="57" t="str">
        <f>IF($S968="","",IFERROR(VLOOKUP($S968,'Pop Estimates (Non-#d)'!$N$2:$O$500,2,FALSE),""))</f>
        <v/>
      </c>
      <c r="U968" s="57">
        <f t="shared" si="202"/>
        <v>399</v>
      </c>
      <c r="V968" s="53" t="str">
        <f t="shared" si="203"/>
        <v/>
      </c>
      <c r="W968" s="53" t="str">
        <f t="shared" si="204"/>
        <v/>
      </c>
      <c r="X968" s="53" t="str">
        <f t="shared" si="205"/>
        <v/>
      </c>
      <c r="Y968" s="57" t="str">
        <f>IF($X968="","",IFERROR(VLOOKUP($X968,'Char Popularity'!$A$2:$C$500,2,FALSE),""))</f>
        <v/>
      </c>
      <c r="Z968" s="56">
        <f>IF($X968="",1,IFERROR(VLOOKUP($X968,'Char Popularity'!$A$2:$C$500,3,FALSE),1))</f>
        <v>1</v>
      </c>
      <c r="AA968" s="62">
        <f>IF($H968&lt;&gt;"Y",0,(IF($F968&lt;&gt;"",ROUND(Dashboard!$R$4/$F968,1),IF(AND($I968="Base",$E968="Base"),Dashboard!$R$5,IF(AND($I968="Base",$E968="Red"),Dashboard!$R$6,IF(AND($I968="Base",$E968="Gold"),Dashboard!$R$7,VLOOKUP($I968,Dashboard!$Q$16:$R$21,2,FALSE)))))*VLOOKUP($I968,Dashboard!$Q$9:$R$13,2,FALSE)*IF(AND($I968="Auto",$F968="",OR($B968="Autographs Duals",$B968="Autographs Triples",$B968="Autographs Quads",$B968="Autographs Quads (Inscribed)")),IF($B968="Autographs Duals",2,IF($B968="Autographs Triples",3,4)),1)))</f>
        <v>2.5</v>
      </c>
      <c r="AB968" s="62">
        <f t="shared" si="206"/>
        <v>2.5</v>
      </c>
      <c r="AC968" s="62">
        <f t="shared" si="207"/>
        <v>0</v>
      </c>
    </row>
    <row r="969" spans="1:29" ht="42.95" customHeight="1" x14ac:dyDescent="0.25">
      <c r="A969" s="4" t="s">
        <v>19</v>
      </c>
      <c r="B969" s="7" t="s">
        <v>76</v>
      </c>
      <c r="C969" s="2" t="s">
        <v>1567</v>
      </c>
      <c r="D969" s="7" t="s">
        <v>1151</v>
      </c>
      <c r="E969" s="4" t="s">
        <v>778</v>
      </c>
      <c r="F969" s="2">
        <v>399</v>
      </c>
      <c r="G969" s="2" t="s">
        <v>1399</v>
      </c>
      <c r="H969" s="2" t="s">
        <v>1400</v>
      </c>
      <c r="I969" s="4" t="s">
        <v>60</v>
      </c>
      <c r="J969" s="112">
        <f>IF($H969&lt;&gt;"Y",0,ROUND(MIN(Dashboard!$R$24,IF(IFERROR(VLOOKUP($B969,Dashboard!$Q$28:$S$60,2,FALSE),0)&gt;0,IFERROR(VLOOKUP($B969,Dashboard!$Q$28:$S$60,2,FALSE),0),$Z969*IF($U969&lt;&gt;"",ROUND((Dashboard!$R$4/$U969)*VLOOKUP($I969,Dashboard!$Q$9:$R$13,2,FALSE)*IF(ISNUMBER(SEARCH("Duals",$B969)),2,IF(ISNUMBER(SEARCH("Triples",$B969)),3,IF(ISNUMBER(SEARCH("Quads",$B969)),4,1))),2),ROUND(VLOOKUP($I969,Dashboard!$Q$15:$R$20,2,FALSE)*IF($E969="Red",Dashboard!$R$6,IF($E969="Gold",Dashboard!$R$7,Dashboard!$R$5))*IF(ISNUMBER(SEARCH("Duals",$B969)),2,IF(ISNUMBER(SEARCH("Triples",$B969)),3,IF(ISNUMBER(SEARCH("Quads",$B969)),4,1))),2))*IF(IFERROR(VLOOKUP($B969,Dashboard!$Q$28:$S$60,3,FALSE),0)&gt;0,VLOOKUP($B969,Dashboard!$Q$28:$S$60,3,FALSE),1))),0))</f>
        <v>3</v>
      </c>
      <c r="K969" s="2" t="str">
        <f>IF('Base S2'!F69="","",'Base S2'!F69)</f>
        <v>C</v>
      </c>
      <c r="L969" s="2">
        <f t="shared" si="195"/>
        <v>1</v>
      </c>
      <c r="M969" s="2">
        <f t="shared" si="196"/>
        <v>0</v>
      </c>
      <c r="N969" s="2">
        <f t="shared" si="197"/>
        <v>1</v>
      </c>
      <c r="O969" s="2">
        <f t="shared" si="198"/>
        <v>0</v>
      </c>
      <c r="P969" s="112">
        <f t="shared" si="199"/>
        <v>3</v>
      </c>
      <c r="Q969" s="112">
        <f t="shared" si="200"/>
        <v>0</v>
      </c>
      <c r="R969" s="53"/>
      <c r="S969" s="53" t="str">
        <f t="shared" si="201"/>
        <v>Base S2|Compound V Parallel - Season 2|168|Compound V</v>
      </c>
      <c r="T969" s="57" t="str">
        <f>IF($S969="","",IFERROR(VLOOKUP($S969,'Pop Estimates (Non-#d)'!$N$2:$O$500,2,FALSE),""))</f>
        <v/>
      </c>
      <c r="U969" s="57">
        <f t="shared" si="202"/>
        <v>399</v>
      </c>
      <c r="V969" s="53" t="str">
        <f t="shared" si="203"/>
        <v/>
      </c>
      <c r="W969" s="53" t="str">
        <f t="shared" si="204"/>
        <v/>
      </c>
      <c r="X969" s="53" t="str">
        <f t="shared" si="205"/>
        <v/>
      </c>
      <c r="Y969" s="57" t="str">
        <f>IF($X969="","",IFERROR(VLOOKUP($X969,'Char Popularity'!$A$2:$C$500,2,FALSE),""))</f>
        <v/>
      </c>
      <c r="Z969" s="56">
        <f>IF($X969="",1,IFERROR(VLOOKUP($X969,'Char Popularity'!$A$2:$C$500,3,FALSE),1))</f>
        <v>1</v>
      </c>
      <c r="AA969" s="62">
        <f>IF($H969&lt;&gt;"Y",0,(IF($F969&lt;&gt;"",ROUND(Dashboard!$R$4/$F969,1),IF(AND($I969="Base",$E969="Base"),Dashboard!$R$5,IF(AND($I969="Base",$E969="Red"),Dashboard!$R$6,IF(AND($I969="Base",$E969="Gold"),Dashboard!$R$7,VLOOKUP($I969,Dashboard!$Q$16:$R$21,2,FALSE)))))*VLOOKUP($I969,Dashboard!$Q$9:$R$13,2,FALSE)*IF(AND($I969="Auto",$F969="",OR($B969="Autographs Duals",$B969="Autographs Triples",$B969="Autographs Quads",$B969="Autographs Quads (Inscribed)")),IF($B969="Autographs Duals",2,IF($B969="Autographs Triples",3,4)),1)))</f>
        <v>2.5</v>
      </c>
      <c r="AB969" s="62">
        <f t="shared" si="206"/>
        <v>2.5</v>
      </c>
      <c r="AC969" s="62">
        <f t="shared" si="207"/>
        <v>0</v>
      </c>
    </row>
    <row r="970" spans="1:29" ht="42.95" customHeight="1" x14ac:dyDescent="0.25">
      <c r="A970" s="4" t="s">
        <v>19</v>
      </c>
      <c r="B970" s="7" t="s">
        <v>76</v>
      </c>
      <c r="C970" s="2" t="s">
        <v>1568</v>
      </c>
      <c r="D970" s="7" t="s">
        <v>1153</v>
      </c>
      <c r="E970" s="4" t="s">
        <v>778</v>
      </c>
      <c r="F970" s="2">
        <v>399</v>
      </c>
      <c r="G970" s="2" t="s">
        <v>1399</v>
      </c>
      <c r="H970" s="2" t="s">
        <v>1400</v>
      </c>
      <c r="I970" s="4" t="s">
        <v>60</v>
      </c>
      <c r="J970" s="112">
        <f>IF($H970&lt;&gt;"Y",0,ROUND(MIN(Dashboard!$R$24,IF(IFERROR(VLOOKUP($B970,Dashboard!$Q$28:$S$60,2,FALSE),0)&gt;0,IFERROR(VLOOKUP($B970,Dashboard!$Q$28:$S$60,2,FALSE),0),$Z970*IF($U970&lt;&gt;"",ROUND((Dashboard!$R$4/$U970)*VLOOKUP($I970,Dashboard!$Q$9:$R$13,2,FALSE)*IF(ISNUMBER(SEARCH("Duals",$B970)),2,IF(ISNUMBER(SEARCH("Triples",$B970)),3,IF(ISNUMBER(SEARCH("Quads",$B970)),4,1))),2),ROUND(VLOOKUP($I970,Dashboard!$Q$15:$R$20,2,FALSE)*IF($E970="Red",Dashboard!$R$6,IF($E970="Gold",Dashboard!$R$7,Dashboard!$R$5))*IF(ISNUMBER(SEARCH("Duals",$B970)),2,IF(ISNUMBER(SEARCH("Triples",$B970)),3,IF(ISNUMBER(SEARCH("Quads",$B970)),4,1))),2))*IF(IFERROR(VLOOKUP($B970,Dashboard!$Q$28:$S$60,3,FALSE),0)&gt;0,VLOOKUP($B970,Dashboard!$Q$28:$S$60,3,FALSE),1))),0))</f>
        <v>3</v>
      </c>
      <c r="K970" s="2" t="str">
        <f>IF('Base S2'!F70="","",'Base S2'!F70)</f>
        <v>V</v>
      </c>
      <c r="L970" s="2">
        <f t="shared" si="195"/>
        <v>1</v>
      </c>
      <c r="M970" s="2">
        <f t="shared" si="196"/>
        <v>0</v>
      </c>
      <c r="N970" s="2">
        <f t="shared" si="197"/>
        <v>1</v>
      </c>
      <c r="O970" s="2">
        <f t="shared" si="198"/>
        <v>0</v>
      </c>
      <c r="P970" s="112">
        <f t="shared" si="199"/>
        <v>3</v>
      </c>
      <c r="Q970" s="112">
        <f t="shared" si="200"/>
        <v>0</v>
      </c>
      <c r="R970" s="53"/>
      <c r="S970" s="53" t="str">
        <f t="shared" si="201"/>
        <v>Base S2|Compound V Parallel - Season 2|169|Compound V</v>
      </c>
      <c r="T970" s="57" t="str">
        <f>IF($S970="","",IFERROR(VLOOKUP($S970,'Pop Estimates (Non-#d)'!$N$2:$O$500,2,FALSE),""))</f>
        <v/>
      </c>
      <c r="U970" s="57">
        <f t="shared" si="202"/>
        <v>399</v>
      </c>
      <c r="V970" s="53" t="str">
        <f t="shared" si="203"/>
        <v/>
      </c>
      <c r="W970" s="53" t="str">
        <f t="shared" si="204"/>
        <v/>
      </c>
      <c r="X970" s="53" t="str">
        <f t="shared" si="205"/>
        <v/>
      </c>
      <c r="Y970" s="57" t="str">
        <f>IF($X970="","",IFERROR(VLOOKUP($X970,'Char Popularity'!$A$2:$C$500,2,FALSE),""))</f>
        <v/>
      </c>
      <c r="Z970" s="56">
        <f>IF($X970="",1,IFERROR(VLOOKUP($X970,'Char Popularity'!$A$2:$C$500,3,FALSE),1))</f>
        <v>1</v>
      </c>
      <c r="AA970" s="62">
        <f>IF($H970&lt;&gt;"Y",0,(IF($F970&lt;&gt;"",ROUND(Dashboard!$R$4/$F970,1),IF(AND($I970="Base",$E970="Base"),Dashboard!$R$5,IF(AND($I970="Base",$E970="Red"),Dashboard!$R$6,IF(AND($I970="Base",$E970="Gold"),Dashboard!$R$7,VLOOKUP($I970,Dashboard!$Q$16:$R$21,2,FALSE)))))*VLOOKUP($I970,Dashboard!$Q$9:$R$13,2,FALSE)*IF(AND($I970="Auto",$F970="",OR($B970="Autographs Duals",$B970="Autographs Triples",$B970="Autographs Quads",$B970="Autographs Quads (Inscribed)")),IF($B970="Autographs Duals",2,IF($B970="Autographs Triples",3,4)),1)))</f>
        <v>2.5</v>
      </c>
      <c r="AB970" s="62">
        <f t="shared" si="206"/>
        <v>2.5</v>
      </c>
      <c r="AC970" s="62">
        <f t="shared" si="207"/>
        <v>0</v>
      </c>
    </row>
    <row r="971" spans="1:29" ht="42.95" customHeight="1" x14ac:dyDescent="0.25">
      <c r="A971" s="4" t="s">
        <v>19</v>
      </c>
      <c r="B971" s="7" t="s">
        <v>76</v>
      </c>
      <c r="C971" s="2" t="s">
        <v>1569</v>
      </c>
      <c r="D971" s="7" t="s">
        <v>1154</v>
      </c>
      <c r="E971" s="4" t="s">
        <v>778</v>
      </c>
      <c r="F971" s="2">
        <v>399</v>
      </c>
      <c r="G971" s="2" t="s">
        <v>1399</v>
      </c>
      <c r="H971" s="2" t="s">
        <v>1400</v>
      </c>
      <c r="I971" s="4" t="s">
        <v>60</v>
      </c>
      <c r="J971" s="112">
        <f>IF($H971&lt;&gt;"Y",0,ROUND(MIN(Dashboard!$R$24,IF(IFERROR(VLOOKUP($B971,Dashboard!$Q$28:$S$60,2,FALSE),0)&gt;0,IFERROR(VLOOKUP($B971,Dashboard!$Q$28:$S$60,2,FALSE),0),$Z971*IF($U971&lt;&gt;"",ROUND((Dashboard!$R$4/$U971)*VLOOKUP($I971,Dashboard!$Q$9:$R$13,2,FALSE)*IF(ISNUMBER(SEARCH("Duals",$B971)),2,IF(ISNUMBER(SEARCH("Triples",$B971)),3,IF(ISNUMBER(SEARCH("Quads",$B971)),4,1))),2),ROUND(VLOOKUP($I971,Dashboard!$Q$15:$R$20,2,FALSE)*IF($E971="Red",Dashboard!$R$6,IF($E971="Gold",Dashboard!$R$7,Dashboard!$R$5))*IF(ISNUMBER(SEARCH("Duals",$B971)),2,IF(ISNUMBER(SEARCH("Triples",$B971)),3,IF(ISNUMBER(SEARCH("Quads",$B971)),4,1))),2))*IF(IFERROR(VLOOKUP($B971,Dashboard!$Q$28:$S$60,3,FALSE),0)&gt;0,VLOOKUP($B971,Dashboard!$Q$28:$S$60,3,FALSE),1))),0))</f>
        <v>3</v>
      </c>
      <c r="K971" s="2" t="str">
        <f>IF('Base S2'!F71="","",'Base S2'!F71)</f>
        <v>C</v>
      </c>
      <c r="L971" s="2">
        <f t="shared" si="195"/>
        <v>1</v>
      </c>
      <c r="M971" s="2">
        <f t="shared" si="196"/>
        <v>0</v>
      </c>
      <c r="N971" s="2">
        <f t="shared" si="197"/>
        <v>1</v>
      </c>
      <c r="O971" s="2">
        <f t="shared" si="198"/>
        <v>0</v>
      </c>
      <c r="P971" s="112">
        <f t="shared" si="199"/>
        <v>3</v>
      </c>
      <c r="Q971" s="112">
        <f t="shared" si="200"/>
        <v>0</v>
      </c>
      <c r="R971" s="53"/>
      <c r="S971" s="53" t="str">
        <f t="shared" si="201"/>
        <v>Base S2|Compound V Parallel - Season 2|170|Compound V</v>
      </c>
      <c r="T971" s="57" t="str">
        <f>IF($S971="","",IFERROR(VLOOKUP($S971,'Pop Estimates (Non-#d)'!$N$2:$O$500,2,FALSE),""))</f>
        <v/>
      </c>
      <c r="U971" s="57">
        <f t="shared" si="202"/>
        <v>399</v>
      </c>
      <c r="V971" s="53" t="str">
        <f t="shared" si="203"/>
        <v/>
      </c>
      <c r="W971" s="53" t="str">
        <f t="shared" si="204"/>
        <v/>
      </c>
      <c r="X971" s="53" t="str">
        <f t="shared" si="205"/>
        <v/>
      </c>
      <c r="Y971" s="57" t="str">
        <f>IF($X971="","",IFERROR(VLOOKUP($X971,'Char Popularity'!$A$2:$C$500,2,FALSE),""))</f>
        <v/>
      </c>
      <c r="Z971" s="56">
        <f>IF($X971="",1,IFERROR(VLOOKUP($X971,'Char Popularity'!$A$2:$C$500,3,FALSE),1))</f>
        <v>1</v>
      </c>
      <c r="AA971" s="62">
        <f>IF($H971&lt;&gt;"Y",0,(IF($F971&lt;&gt;"",ROUND(Dashboard!$R$4/$F971,1),IF(AND($I971="Base",$E971="Base"),Dashboard!$R$5,IF(AND($I971="Base",$E971="Red"),Dashboard!$R$6,IF(AND($I971="Base",$E971="Gold"),Dashboard!$R$7,VLOOKUP($I971,Dashboard!$Q$16:$R$21,2,FALSE)))))*VLOOKUP($I971,Dashboard!$Q$9:$R$13,2,FALSE)*IF(AND($I971="Auto",$F971="",OR($B971="Autographs Duals",$B971="Autographs Triples",$B971="Autographs Quads",$B971="Autographs Quads (Inscribed)")),IF($B971="Autographs Duals",2,IF($B971="Autographs Triples",3,4)),1)))</f>
        <v>2.5</v>
      </c>
      <c r="AB971" s="62">
        <f t="shared" si="206"/>
        <v>2.5</v>
      </c>
      <c r="AC971" s="62">
        <f t="shared" si="207"/>
        <v>0</v>
      </c>
    </row>
    <row r="972" spans="1:29" ht="42.95" customHeight="1" x14ac:dyDescent="0.25">
      <c r="A972" s="4" t="s">
        <v>19</v>
      </c>
      <c r="B972" s="7" t="s">
        <v>76</v>
      </c>
      <c r="C972" s="2" t="s">
        <v>1570</v>
      </c>
      <c r="D972" s="7" t="s">
        <v>1158</v>
      </c>
      <c r="E972" s="4" t="s">
        <v>778</v>
      </c>
      <c r="F972" s="2">
        <v>399</v>
      </c>
      <c r="G972" s="2" t="s">
        <v>1399</v>
      </c>
      <c r="H972" s="2" t="s">
        <v>1400</v>
      </c>
      <c r="I972" s="4" t="s">
        <v>60</v>
      </c>
      <c r="J972" s="112">
        <f>IF($H972&lt;&gt;"Y",0,ROUND(MIN(Dashboard!$R$24,IF(IFERROR(VLOOKUP($B972,Dashboard!$Q$28:$S$60,2,FALSE),0)&gt;0,IFERROR(VLOOKUP($B972,Dashboard!$Q$28:$S$60,2,FALSE),0),$Z972*IF($U972&lt;&gt;"",ROUND((Dashboard!$R$4/$U972)*VLOOKUP($I972,Dashboard!$Q$9:$R$13,2,FALSE)*IF(ISNUMBER(SEARCH("Duals",$B972)),2,IF(ISNUMBER(SEARCH("Triples",$B972)),3,IF(ISNUMBER(SEARCH("Quads",$B972)),4,1))),2),ROUND(VLOOKUP($I972,Dashboard!$Q$15:$R$20,2,FALSE)*IF($E972="Red",Dashboard!$R$6,IF($E972="Gold",Dashboard!$R$7,Dashboard!$R$5))*IF(ISNUMBER(SEARCH("Duals",$B972)),2,IF(ISNUMBER(SEARCH("Triples",$B972)),3,IF(ISNUMBER(SEARCH("Quads",$B972)),4,1))),2))*IF(IFERROR(VLOOKUP($B972,Dashboard!$Q$28:$S$60,3,FALSE),0)&gt;0,VLOOKUP($B972,Dashboard!$Q$28:$S$60,3,FALSE),1))),0))</f>
        <v>3</v>
      </c>
      <c r="K972" s="2" t="str">
        <f>IF('Base S2'!F72="","",'Base S2'!F72)</f>
        <v>C</v>
      </c>
      <c r="L972" s="2">
        <f t="shared" si="195"/>
        <v>1</v>
      </c>
      <c r="M972" s="2">
        <f t="shared" si="196"/>
        <v>0</v>
      </c>
      <c r="N972" s="2">
        <f t="shared" si="197"/>
        <v>1</v>
      </c>
      <c r="O972" s="2">
        <f t="shared" si="198"/>
        <v>0</v>
      </c>
      <c r="P972" s="112">
        <f t="shared" si="199"/>
        <v>3</v>
      </c>
      <c r="Q972" s="112">
        <f t="shared" si="200"/>
        <v>0</v>
      </c>
      <c r="R972" s="53"/>
      <c r="S972" s="53" t="str">
        <f t="shared" si="201"/>
        <v>Base S2|Compound V Parallel - Season 2|171|Compound V</v>
      </c>
      <c r="T972" s="57" t="str">
        <f>IF($S972="","",IFERROR(VLOOKUP($S972,'Pop Estimates (Non-#d)'!$N$2:$O$500,2,FALSE),""))</f>
        <v/>
      </c>
      <c r="U972" s="57">
        <f t="shared" si="202"/>
        <v>399</v>
      </c>
      <c r="V972" s="53" t="str">
        <f t="shared" si="203"/>
        <v/>
      </c>
      <c r="W972" s="53" t="str">
        <f t="shared" si="204"/>
        <v/>
      </c>
      <c r="X972" s="53" t="str">
        <f t="shared" si="205"/>
        <v/>
      </c>
      <c r="Y972" s="57" t="str">
        <f>IF($X972="","",IFERROR(VLOOKUP($X972,'Char Popularity'!$A$2:$C$500,2,FALSE),""))</f>
        <v/>
      </c>
      <c r="Z972" s="56">
        <f>IF($X972="",1,IFERROR(VLOOKUP($X972,'Char Popularity'!$A$2:$C$500,3,FALSE),1))</f>
        <v>1</v>
      </c>
      <c r="AA972" s="62">
        <f>IF($H972&lt;&gt;"Y",0,(IF($F972&lt;&gt;"",ROUND(Dashboard!$R$4/$F972,1),IF(AND($I972="Base",$E972="Base"),Dashboard!$R$5,IF(AND($I972="Base",$E972="Red"),Dashboard!$R$6,IF(AND($I972="Base",$E972="Gold"),Dashboard!$R$7,VLOOKUP($I972,Dashboard!$Q$16:$R$21,2,FALSE)))))*VLOOKUP($I972,Dashboard!$Q$9:$R$13,2,FALSE)*IF(AND($I972="Auto",$F972="",OR($B972="Autographs Duals",$B972="Autographs Triples",$B972="Autographs Quads",$B972="Autographs Quads (Inscribed)")),IF($B972="Autographs Duals",2,IF($B972="Autographs Triples",3,4)),1)))</f>
        <v>2.5</v>
      </c>
      <c r="AB972" s="62">
        <f t="shared" si="206"/>
        <v>2.5</v>
      </c>
      <c r="AC972" s="62">
        <f t="shared" si="207"/>
        <v>0</v>
      </c>
    </row>
    <row r="973" spans="1:29" ht="42.95" customHeight="1" x14ac:dyDescent="0.25">
      <c r="A973" s="4" t="s">
        <v>19</v>
      </c>
      <c r="B973" s="7" t="s">
        <v>76</v>
      </c>
      <c r="C973" s="2" t="s">
        <v>1571</v>
      </c>
      <c r="D973" s="7" t="s">
        <v>1160</v>
      </c>
      <c r="E973" s="4" t="s">
        <v>778</v>
      </c>
      <c r="F973" s="2">
        <v>399</v>
      </c>
      <c r="G973" s="2" t="s">
        <v>1399</v>
      </c>
      <c r="H973" s="2" t="s">
        <v>1400</v>
      </c>
      <c r="I973" s="4" t="s">
        <v>60</v>
      </c>
      <c r="J973" s="112">
        <f>IF($H973&lt;&gt;"Y",0,ROUND(MIN(Dashboard!$R$24,IF(IFERROR(VLOOKUP($B973,Dashboard!$Q$28:$S$60,2,FALSE),0)&gt;0,IFERROR(VLOOKUP($B973,Dashboard!$Q$28:$S$60,2,FALSE),0),$Z973*IF($U973&lt;&gt;"",ROUND((Dashboard!$R$4/$U973)*VLOOKUP($I973,Dashboard!$Q$9:$R$13,2,FALSE)*IF(ISNUMBER(SEARCH("Duals",$B973)),2,IF(ISNUMBER(SEARCH("Triples",$B973)),3,IF(ISNUMBER(SEARCH("Quads",$B973)),4,1))),2),ROUND(VLOOKUP($I973,Dashboard!$Q$15:$R$20,2,FALSE)*IF($E973="Red",Dashboard!$R$6,IF($E973="Gold",Dashboard!$R$7,Dashboard!$R$5))*IF(ISNUMBER(SEARCH("Duals",$B973)),2,IF(ISNUMBER(SEARCH("Triples",$B973)),3,IF(ISNUMBER(SEARCH("Quads",$B973)),4,1))),2))*IF(IFERROR(VLOOKUP($B973,Dashboard!$Q$28:$S$60,3,FALSE),0)&gt;0,VLOOKUP($B973,Dashboard!$Q$28:$S$60,3,FALSE),1))),0))</f>
        <v>3</v>
      </c>
      <c r="K973" s="2" t="str">
        <f>IF('Base S2'!F73="","",'Base S2'!F73)</f>
        <v>C</v>
      </c>
      <c r="L973" s="2">
        <f t="shared" si="195"/>
        <v>1</v>
      </c>
      <c r="M973" s="2">
        <f t="shared" si="196"/>
        <v>0</v>
      </c>
      <c r="N973" s="2">
        <f t="shared" si="197"/>
        <v>1</v>
      </c>
      <c r="O973" s="2">
        <f t="shared" si="198"/>
        <v>0</v>
      </c>
      <c r="P973" s="112">
        <f t="shared" si="199"/>
        <v>3</v>
      </c>
      <c r="Q973" s="112">
        <f t="shared" si="200"/>
        <v>0</v>
      </c>
      <c r="R973" s="53"/>
      <c r="S973" s="53" t="str">
        <f t="shared" si="201"/>
        <v>Base S2|Compound V Parallel - Season 2|172|Compound V</v>
      </c>
      <c r="T973" s="57" t="str">
        <f>IF($S973="","",IFERROR(VLOOKUP($S973,'Pop Estimates (Non-#d)'!$N$2:$O$500,2,FALSE),""))</f>
        <v/>
      </c>
      <c r="U973" s="57">
        <f t="shared" si="202"/>
        <v>399</v>
      </c>
      <c r="V973" s="53" t="str">
        <f t="shared" si="203"/>
        <v/>
      </c>
      <c r="W973" s="53" t="str">
        <f t="shared" si="204"/>
        <v/>
      </c>
      <c r="X973" s="53" t="str">
        <f t="shared" si="205"/>
        <v/>
      </c>
      <c r="Y973" s="57" t="str">
        <f>IF($X973="","",IFERROR(VLOOKUP($X973,'Char Popularity'!$A$2:$C$500,2,FALSE),""))</f>
        <v/>
      </c>
      <c r="Z973" s="56">
        <f>IF($X973="",1,IFERROR(VLOOKUP($X973,'Char Popularity'!$A$2:$C$500,3,FALSE),1))</f>
        <v>1</v>
      </c>
      <c r="AA973" s="62">
        <f>IF($H973&lt;&gt;"Y",0,(IF($F973&lt;&gt;"",ROUND(Dashboard!$R$4/$F973,1),IF(AND($I973="Base",$E973="Base"),Dashboard!$R$5,IF(AND($I973="Base",$E973="Red"),Dashboard!$R$6,IF(AND($I973="Base",$E973="Gold"),Dashboard!$R$7,VLOOKUP($I973,Dashboard!$Q$16:$R$21,2,FALSE)))))*VLOOKUP($I973,Dashboard!$Q$9:$R$13,2,FALSE)*IF(AND($I973="Auto",$F973="",OR($B973="Autographs Duals",$B973="Autographs Triples",$B973="Autographs Quads",$B973="Autographs Quads (Inscribed)")),IF($B973="Autographs Duals",2,IF($B973="Autographs Triples",3,4)),1)))</f>
        <v>2.5</v>
      </c>
      <c r="AB973" s="62">
        <f t="shared" si="206"/>
        <v>2.5</v>
      </c>
      <c r="AC973" s="62">
        <f t="shared" si="207"/>
        <v>0</v>
      </c>
    </row>
    <row r="974" spans="1:29" ht="42.95" customHeight="1" x14ac:dyDescent="0.25">
      <c r="A974" s="4" t="s">
        <v>19</v>
      </c>
      <c r="B974" s="7" t="s">
        <v>76</v>
      </c>
      <c r="C974" s="2" t="s">
        <v>1572</v>
      </c>
      <c r="D974" s="7" t="s">
        <v>1161</v>
      </c>
      <c r="E974" s="4" t="s">
        <v>778</v>
      </c>
      <c r="F974" s="2">
        <v>399</v>
      </c>
      <c r="G974" s="2" t="s">
        <v>1399</v>
      </c>
      <c r="H974" s="2" t="s">
        <v>1400</v>
      </c>
      <c r="I974" s="4" t="s">
        <v>60</v>
      </c>
      <c r="J974" s="112">
        <f>IF($H974&lt;&gt;"Y",0,ROUND(MIN(Dashboard!$R$24,IF(IFERROR(VLOOKUP($B974,Dashboard!$Q$28:$S$60,2,FALSE),0)&gt;0,IFERROR(VLOOKUP($B974,Dashboard!$Q$28:$S$60,2,FALSE),0),$Z974*IF($U974&lt;&gt;"",ROUND((Dashboard!$R$4/$U974)*VLOOKUP($I974,Dashboard!$Q$9:$R$13,2,FALSE)*IF(ISNUMBER(SEARCH("Duals",$B974)),2,IF(ISNUMBER(SEARCH("Triples",$B974)),3,IF(ISNUMBER(SEARCH("Quads",$B974)),4,1))),2),ROUND(VLOOKUP($I974,Dashboard!$Q$15:$R$20,2,FALSE)*IF($E974="Red",Dashboard!$R$6,IF($E974="Gold",Dashboard!$R$7,Dashboard!$R$5))*IF(ISNUMBER(SEARCH("Duals",$B974)),2,IF(ISNUMBER(SEARCH("Triples",$B974)),3,IF(ISNUMBER(SEARCH("Quads",$B974)),4,1))),2))*IF(IFERROR(VLOOKUP($B974,Dashboard!$Q$28:$S$60,3,FALSE),0)&gt;0,VLOOKUP($B974,Dashboard!$Q$28:$S$60,3,FALSE),1))),0))</f>
        <v>3</v>
      </c>
      <c r="K974" s="2" t="str">
        <f>IF('Base S2'!F74="","",'Base S2'!F74)</f>
        <v>C</v>
      </c>
      <c r="L974" s="2">
        <f t="shared" si="195"/>
        <v>1</v>
      </c>
      <c r="M974" s="2">
        <f t="shared" si="196"/>
        <v>0</v>
      </c>
      <c r="N974" s="2">
        <f t="shared" si="197"/>
        <v>1</v>
      </c>
      <c r="O974" s="2">
        <f t="shared" si="198"/>
        <v>0</v>
      </c>
      <c r="P974" s="112">
        <f t="shared" si="199"/>
        <v>3</v>
      </c>
      <c r="Q974" s="112">
        <f t="shared" si="200"/>
        <v>0</v>
      </c>
      <c r="R974" s="53"/>
      <c r="S974" s="53" t="str">
        <f t="shared" si="201"/>
        <v>Base S2|Compound V Parallel - Season 2|173|Compound V</v>
      </c>
      <c r="T974" s="57" t="str">
        <f>IF($S974="","",IFERROR(VLOOKUP($S974,'Pop Estimates (Non-#d)'!$N$2:$O$500,2,FALSE),""))</f>
        <v/>
      </c>
      <c r="U974" s="57">
        <f t="shared" si="202"/>
        <v>399</v>
      </c>
      <c r="V974" s="53" t="str">
        <f t="shared" si="203"/>
        <v/>
      </c>
      <c r="W974" s="53" t="str">
        <f t="shared" si="204"/>
        <v/>
      </c>
      <c r="X974" s="53" t="str">
        <f t="shared" si="205"/>
        <v/>
      </c>
      <c r="Y974" s="57" t="str">
        <f>IF($X974="","",IFERROR(VLOOKUP($X974,'Char Popularity'!$A$2:$C$500,2,FALSE),""))</f>
        <v/>
      </c>
      <c r="Z974" s="56">
        <f>IF($X974="",1,IFERROR(VLOOKUP($X974,'Char Popularity'!$A$2:$C$500,3,FALSE),1))</f>
        <v>1</v>
      </c>
      <c r="AA974" s="62">
        <f>IF($H974&lt;&gt;"Y",0,(IF($F974&lt;&gt;"",ROUND(Dashboard!$R$4/$F974,1),IF(AND($I974="Base",$E974="Base"),Dashboard!$R$5,IF(AND($I974="Base",$E974="Red"),Dashboard!$R$6,IF(AND($I974="Base",$E974="Gold"),Dashboard!$R$7,VLOOKUP($I974,Dashboard!$Q$16:$R$21,2,FALSE)))))*VLOOKUP($I974,Dashboard!$Q$9:$R$13,2,FALSE)*IF(AND($I974="Auto",$F974="",OR($B974="Autographs Duals",$B974="Autographs Triples",$B974="Autographs Quads",$B974="Autographs Quads (Inscribed)")),IF($B974="Autographs Duals",2,IF($B974="Autographs Triples",3,4)),1)))</f>
        <v>2.5</v>
      </c>
      <c r="AB974" s="62">
        <f t="shared" si="206"/>
        <v>2.5</v>
      </c>
      <c r="AC974" s="62">
        <f t="shared" si="207"/>
        <v>0</v>
      </c>
    </row>
    <row r="975" spans="1:29" ht="42.95" customHeight="1" x14ac:dyDescent="0.25">
      <c r="A975" s="4" t="s">
        <v>19</v>
      </c>
      <c r="B975" s="7" t="s">
        <v>76</v>
      </c>
      <c r="C975" s="2" t="s">
        <v>1573</v>
      </c>
      <c r="D975" s="7" t="s">
        <v>1164</v>
      </c>
      <c r="E975" s="4" t="s">
        <v>778</v>
      </c>
      <c r="F975" s="2">
        <v>399</v>
      </c>
      <c r="G975" s="2" t="s">
        <v>1399</v>
      </c>
      <c r="H975" s="2" t="s">
        <v>1400</v>
      </c>
      <c r="I975" s="4" t="s">
        <v>60</v>
      </c>
      <c r="J975" s="112">
        <f>IF($H975&lt;&gt;"Y",0,ROUND(MIN(Dashboard!$R$24,IF(IFERROR(VLOOKUP($B975,Dashboard!$Q$28:$S$60,2,FALSE),0)&gt;0,IFERROR(VLOOKUP($B975,Dashboard!$Q$28:$S$60,2,FALSE),0),$Z975*IF($U975&lt;&gt;"",ROUND((Dashboard!$R$4/$U975)*VLOOKUP($I975,Dashboard!$Q$9:$R$13,2,FALSE)*IF(ISNUMBER(SEARCH("Duals",$B975)),2,IF(ISNUMBER(SEARCH("Triples",$B975)),3,IF(ISNUMBER(SEARCH("Quads",$B975)),4,1))),2),ROUND(VLOOKUP($I975,Dashboard!$Q$15:$R$20,2,FALSE)*IF($E975="Red",Dashboard!$R$6,IF($E975="Gold",Dashboard!$R$7,Dashboard!$R$5))*IF(ISNUMBER(SEARCH("Duals",$B975)),2,IF(ISNUMBER(SEARCH("Triples",$B975)),3,IF(ISNUMBER(SEARCH("Quads",$B975)),4,1))),2))*IF(IFERROR(VLOOKUP($B975,Dashboard!$Q$28:$S$60,3,FALSE),0)&gt;0,VLOOKUP($B975,Dashboard!$Q$28:$S$60,3,FALSE),1))),0))</f>
        <v>3</v>
      </c>
      <c r="K975" s="2" t="str">
        <f>IF('Base S2'!F75="","",'Base S2'!F75)</f>
        <v>V</v>
      </c>
      <c r="L975" s="2">
        <f t="shared" si="195"/>
        <v>1</v>
      </c>
      <c r="M975" s="2">
        <f t="shared" si="196"/>
        <v>0</v>
      </c>
      <c r="N975" s="2">
        <f t="shared" si="197"/>
        <v>1</v>
      </c>
      <c r="O975" s="2">
        <f t="shared" si="198"/>
        <v>0</v>
      </c>
      <c r="P975" s="112">
        <f t="shared" si="199"/>
        <v>3</v>
      </c>
      <c r="Q975" s="112">
        <f t="shared" si="200"/>
        <v>0</v>
      </c>
      <c r="R975" s="53"/>
      <c r="S975" s="53" t="str">
        <f t="shared" si="201"/>
        <v>Base S2|Compound V Parallel - Season 2|174|Compound V</v>
      </c>
      <c r="T975" s="57" t="str">
        <f>IF($S975="","",IFERROR(VLOOKUP($S975,'Pop Estimates (Non-#d)'!$N$2:$O$500,2,FALSE),""))</f>
        <v/>
      </c>
      <c r="U975" s="57">
        <f t="shared" si="202"/>
        <v>399</v>
      </c>
      <c r="V975" s="53" t="str">
        <f t="shared" si="203"/>
        <v/>
      </c>
      <c r="W975" s="53" t="str">
        <f t="shared" si="204"/>
        <v/>
      </c>
      <c r="X975" s="53" t="str">
        <f t="shared" si="205"/>
        <v/>
      </c>
      <c r="Y975" s="57" t="str">
        <f>IF($X975="","",IFERROR(VLOOKUP($X975,'Char Popularity'!$A$2:$C$500,2,FALSE),""))</f>
        <v/>
      </c>
      <c r="Z975" s="56">
        <f>IF($X975="",1,IFERROR(VLOOKUP($X975,'Char Popularity'!$A$2:$C$500,3,FALSE),1))</f>
        <v>1</v>
      </c>
      <c r="AA975" s="62">
        <f>IF($H975&lt;&gt;"Y",0,(IF($F975&lt;&gt;"",ROUND(Dashboard!$R$4/$F975,1),IF(AND($I975="Base",$E975="Base"),Dashboard!$R$5,IF(AND($I975="Base",$E975="Red"),Dashboard!$R$6,IF(AND($I975="Base",$E975="Gold"),Dashboard!$R$7,VLOOKUP($I975,Dashboard!$Q$16:$R$21,2,FALSE)))))*VLOOKUP($I975,Dashboard!$Q$9:$R$13,2,FALSE)*IF(AND($I975="Auto",$F975="",OR($B975="Autographs Duals",$B975="Autographs Triples",$B975="Autographs Quads",$B975="Autographs Quads (Inscribed)")),IF($B975="Autographs Duals",2,IF($B975="Autographs Triples",3,4)),1)))</f>
        <v>2.5</v>
      </c>
      <c r="AB975" s="62">
        <f t="shared" si="206"/>
        <v>2.5</v>
      </c>
      <c r="AC975" s="62">
        <f t="shared" si="207"/>
        <v>0</v>
      </c>
    </row>
    <row r="976" spans="1:29" ht="42.95" customHeight="1" x14ac:dyDescent="0.25">
      <c r="A976" s="4" t="s">
        <v>19</v>
      </c>
      <c r="B976" s="7" t="s">
        <v>76</v>
      </c>
      <c r="C976" s="2" t="s">
        <v>1574</v>
      </c>
      <c r="D976" s="7" t="s">
        <v>1165</v>
      </c>
      <c r="E976" s="4" t="s">
        <v>778</v>
      </c>
      <c r="F976" s="2">
        <v>399</v>
      </c>
      <c r="G976" s="2" t="s">
        <v>1399</v>
      </c>
      <c r="H976" s="2" t="s">
        <v>1400</v>
      </c>
      <c r="I976" s="4" t="s">
        <v>60</v>
      </c>
      <c r="J976" s="112">
        <f>IF($H976&lt;&gt;"Y",0,ROUND(MIN(Dashboard!$R$24,IF(IFERROR(VLOOKUP($B976,Dashboard!$Q$28:$S$60,2,FALSE),0)&gt;0,IFERROR(VLOOKUP($B976,Dashboard!$Q$28:$S$60,2,FALSE),0),$Z976*IF($U976&lt;&gt;"",ROUND((Dashboard!$R$4/$U976)*VLOOKUP($I976,Dashboard!$Q$9:$R$13,2,FALSE)*IF(ISNUMBER(SEARCH("Duals",$B976)),2,IF(ISNUMBER(SEARCH("Triples",$B976)),3,IF(ISNUMBER(SEARCH("Quads",$B976)),4,1))),2),ROUND(VLOOKUP($I976,Dashboard!$Q$15:$R$20,2,FALSE)*IF($E976="Red",Dashboard!$R$6,IF($E976="Gold",Dashboard!$R$7,Dashboard!$R$5))*IF(ISNUMBER(SEARCH("Duals",$B976)),2,IF(ISNUMBER(SEARCH("Triples",$B976)),3,IF(ISNUMBER(SEARCH("Quads",$B976)),4,1))),2))*IF(IFERROR(VLOOKUP($B976,Dashboard!$Q$28:$S$60,3,FALSE),0)&gt;0,VLOOKUP($B976,Dashboard!$Q$28:$S$60,3,FALSE),1))),0))</f>
        <v>3</v>
      </c>
      <c r="K976" s="2" t="str">
        <f>IF('Base S2'!F76="","",'Base S2'!F76)</f>
        <v>C</v>
      </c>
      <c r="L976" s="2">
        <f t="shared" si="195"/>
        <v>1</v>
      </c>
      <c r="M976" s="2">
        <f t="shared" si="196"/>
        <v>0</v>
      </c>
      <c r="N976" s="2">
        <f t="shared" si="197"/>
        <v>1</v>
      </c>
      <c r="O976" s="2">
        <f t="shared" si="198"/>
        <v>0</v>
      </c>
      <c r="P976" s="112">
        <f t="shared" si="199"/>
        <v>3</v>
      </c>
      <c r="Q976" s="112">
        <f t="shared" si="200"/>
        <v>0</v>
      </c>
      <c r="R976" s="53"/>
      <c r="S976" s="53" t="str">
        <f t="shared" si="201"/>
        <v>Base S2|Compound V Parallel - Season 2|175|Compound V</v>
      </c>
      <c r="T976" s="57" t="str">
        <f>IF($S976="","",IFERROR(VLOOKUP($S976,'Pop Estimates (Non-#d)'!$N$2:$O$500,2,FALSE),""))</f>
        <v/>
      </c>
      <c r="U976" s="57">
        <f t="shared" si="202"/>
        <v>399</v>
      </c>
      <c r="V976" s="53" t="str">
        <f t="shared" si="203"/>
        <v/>
      </c>
      <c r="W976" s="53" t="str">
        <f t="shared" si="204"/>
        <v/>
      </c>
      <c r="X976" s="53" t="str">
        <f t="shared" si="205"/>
        <v/>
      </c>
      <c r="Y976" s="57" t="str">
        <f>IF($X976="","",IFERROR(VLOOKUP($X976,'Char Popularity'!$A$2:$C$500,2,FALSE),""))</f>
        <v/>
      </c>
      <c r="Z976" s="56">
        <f>IF($X976="",1,IFERROR(VLOOKUP($X976,'Char Popularity'!$A$2:$C$500,3,FALSE),1))</f>
        <v>1</v>
      </c>
      <c r="AA976" s="62">
        <f>IF($H976&lt;&gt;"Y",0,(IF($F976&lt;&gt;"",ROUND(Dashboard!$R$4/$F976,1),IF(AND($I976="Base",$E976="Base"),Dashboard!$R$5,IF(AND($I976="Base",$E976="Red"),Dashboard!$R$6,IF(AND($I976="Base",$E976="Gold"),Dashboard!$R$7,VLOOKUP($I976,Dashboard!$Q$16:$R$21,2,FALSE)))))*VLOOKUP($I976,Dashboard!$Q$9:$R$13,2,FALSE)*IF(AND($I976="Auto",$F976="",OR($B976="Autographs Duals",$B976="Autographs Triples",$B976="Autographs Quads",$B976="Autographs Quads (Inscribed)")),IF($B976="Autographs Duals",2,IF($B976="Autographs Triples",3,4)),1)))</f>
        <v>2.5</v>
      </c>
      <c r="AB976" s="62">
        <f t="shared" si="206"/>
        <v>2.5</v>
      </c>
      <c r="AC976" s="62">
        <f t="shared" si="207"/>
        <v>0</v>
      </c>
    </row>
    <row r="977" spans="1:29" ht="42.95" customHeight="1" x14ac:dyDescent="0.25">
      <c r="A977" s="4" t="s">
        <v>19</v>
      </c>
      <c r="B977" s="7" t="s">
        <v>76</v>
      </c>
      <c r="C977" s="2" t="s">
        <v>1575</v>
      </c>
      <c r="D977" s="7" t="s">
        <v>1167</v>
      </c>
      <c r="E977" s="4" t="s">
        <v>778</v>
      </c>
      <c r="F977" s="2">
        <v>399</v>
      </c>
      <c r="G977" s="2" t="s">
        <v>1399</v>
      </c>
      <c r="H977" s="2" t="s">
        <v>1400</v>
      </c>
      <c r="I977" s="4" t="s">
        <v>60</v>
      </c>
      <c r="J977" s="112">
        <f>IF($H977&lt;&gt;"Y",0,ROUND(MIN(Dashboard!$R$24,IF(IFERROR(VLOOKUP($B977,Dashboard!$Q$28:$S$60,2,FALSE),0)&gt;0,IFERROR(VLOOKUP($B977,Dashboard!$Q$28:$S$60,2,FALSE),0),$Z977*IF($U977&lt;&gt;"",ROUND((Dashboard!$R$4/$U977)*VLOOKUP($I977,Dashboard!$Q$9:$R$13,2,FALSE)*IF(ISNUMBER(SEARCH("Duals",$B977)),2,IF(ISNUMBER(SEARCH("Triples",$B977)),3,IF(ISNUMBER(SEARCH("Quads",$B977)),4,1))),2),ROUND(VLOOKUP($I977,Dashboard!$Q$15:$R$20,2,FALSE)*IF($E977="Red",Dashboard!$R$6,IF($E977="Gold",Dashboard!$R$7,Dashboard!$R$5))*IF(ISNUMBER(SEARCH("Duals",$B977)),2,IF(ISNUMBER(SEARCH("Triples",$B977)),3,IF(ISNUMBER(SEARCH("Quads",$B977)),4,1))),2))*IF(IFERROR(VLOOKUP($B977,Dashboard!$Q$28:$S$60,3,FALSE),0)&gt;0,VLOOKUP($B977,Dashboard!$Q$28:$S$60,3,FALSE),1))),0))</f>
        <v>3</v>
      </c>
      <c r="K977" s="2" t="str">
        <f>IF('Base S2'!F77="","",'Base S2'!F77)</f>
        <v>C</v>
      </c>
      <c r="L977" s="2">
        <f t="shared" si="195"/>
        <v>1</v>
      </c>
      <c r="M977" s="2">
        <f t="shared" si="196"/>
        <v>0</v>
      </c>
      <c r="N977" s="2">
        <f t="shared" si="197"/>
        <v>1</v>
      </c>
      <c r="O977" s="2">
        <f t="shared" si="198"/>
        <v>0</v>
      </c>
      <c r="P977" s="112">
        <f t="shared" si="199"/>
        <v>3</v>
      </c>
      <c r="Q977" s="112">
        <f t="shared" si="200"/>
        <v>0</v>
      </c>
      <c r="R977" s="53"/>
      <c r="S977" s="53" t="str">
        <f t="shared" si="201"/>
        <v>Base S2|Compound V Parallel - Season 2|176|Compound V</v>
      </c>
      <c r="T977" s="57" t="str">
        <f>IF($S977="","",IFERROR(VLOOKUP($S977,'Pop Estimates (Non-#d)'!$N$2:$O$500,2,FALSE),""))</f>
        <v/>
      </c>
      <c r="U977" s="57">
        <f t="shared" si="202"/>
        <v>399</v>
      </c>
      <c r="V977" s="53" t="str">
        <f t="shared" si="203"/>
        <v/>
      </c>
      <c r="W977" s="53" t="str">
        <f t="shared" si="204"/>
        <v/>
      </c>
      <c r="X977" s="53" t="str">
        <f t="shared" si="205"/>
        <v/>
      </c>
      <c r="Y977" s="57" t="str">
        <f>IF($X977="","",IFERROR(VLOOKUP($X977,'Char Popularity'!$A$2:$C$500,2,FALSE),""))</f>
        <v/>
      </c>
      <c r="Z977" s="56">
        <f>IF($X977="",1,IFERROR(VLOOKUP($X977,'Char Popularity'!$A$2:$C$500,3,FALSE),1))</f>
        <v>1</v>
      </c>
      <c r="AA977" s="62">
        <f>IF($H977&lt;&gt;"Y",0,(IF($F977&lt;&gt;"",ROUND(Dashboard!$R$4/$F977,1),IF(AND($I977="Base",$E977="Base"),Dashboard!$R$5,IF(AND($I977="Base",$E977="Red"),Dashboard!$R$6,IF(AND($I977="Base",$E977="Gold"),Dashboard!$R$7,VLOOKUP($I977,Dashboard!$Q$16:$R$21,2,FALSE)))))*VLOOKUP($I977,Dashboard!$Q$9:$R$13,2,FALSE)*IF(AND($I977="Auto",$F977="",OR($B977="Autographs Duals",$B977="Autographs Triples",$B977="Autographs Quads",$B977="Autographs Quads (Inscribed)")),IF($B977="Autographs Duals",2,IF($B977="Autographs Triples",3,4)),1)))</f>
        <v>2.5</v>
      </c>
      <c r="AB977" s="62">
        <f t="shared" si="206"/>
        <v>2.5</v>
      </c>
      <c r="AC977" s="62">
        <f t="shared" si="207"/>
        <v>0</v>
      </c>
    </row>
    <row r="978" spans="1:29" ht="42.95" customHeight="1" x14ac:dyDescent="0.25">
      <c r="A978" s="4" t="s">
        <v>19</v>
      </c>
      <c r="B978" s="7" t="s">
        <v>76</v>
      </c>
      <c r="C978" s="2" t="s">
        <v>1576</v>
      </c>
      <c r="D978" s="7" t="s">
        <v>1168</v>
      </c>
      <c r="E978" s="4" t="s">
        <v>778</v>
      </c>
      <c r="F978" s="2">
        <v>399</v>
      </c>
      <c r="G978" s="2" t="s">
        <v>1399</v>
      </c>
      <c r="H978" s="2" t="s">
        <v>1400</v>
      </c>
      <c r="I978" s="4" t="s">
        <v>60</v>
      </c>
      <c r="J978" s="112">
        <f>IF($H978&lt;&gt;"Y",0,ROUND(MIN(Dashboard!$R$24,IF(IFERROR(VLOOKUP($B978,Dashboard!$Q$28:$S$60,2,FALSE),0)&gt;0,IFERROR(VLOOKUP($B978,Dashboard!$Q$28:$S$60,2,FALSE),0),$Z978*IF($U978&lt;&gt;"",ROUND((Dashboard!$R$4/$U978)*VLOOKUP($I978,Dashboard!$Q$9:$R$13,2,FALSE)*IF(ISNUMBER(SEARCH("Duals",$B978)),2,IF(ISNUMBER(SEARCH("Triples",$B978)),3,IF(ISNUMBER(SEARCH("Quads",$B978)),4,1))),2),ROUND(VLOOKUP($I978,Dashboard!$Q$15:$R$20,2,FALSE)*IF($E978="Red",Dashboard!$R$6,IF($E978="Gold",Dashboard!$R$7,Dashboard!$R$5))*IF(ISNUMBER(SEARCH("Duals",$B978)),2,IF(ISNUMBER(SEARCH("Triples",$B978)),3,IF(ISNUMBER(SEARCH("Quads",$B978)),4,1))),2))*IF(IFERROR(VLOOKUP($B978,Dashboard!$Q$28:$S$60,3,FALSE),0)&gt;0,VLOOKUP($B978,Dashboard!$Q$28:$S$60,3,FALSE),1))),0))</f>
        <v>3</v>
      </c>
      <c r="K978" s="2" t="str">
        <f>IF('Base S2'!F78="","",'Base S2'!F78)</f>
        <v>V</v>
      </c>
      <c r="L978" s="2">
        <f t="shared" si="195"/>
        <v>1</v>
      </c>
      <c r="M978" s="2">
        <f t="shared" si="196"/>
        <v>0</v>
      </c>
      <c r="N978" s="2">
        <f t="shared" si="197"/>
        <v>1</v>
      </c>
      <c r="O978" s="2">
        <f t="shared" si="198"/>
        <v>0</v>
      </c>
      <c r="P978" s="112">
        <f t="shared" si="199"/>
        <v>3</v>
      </c>
      <c r="Q978" s="112">
        <f t="shared" si="200"/>
        <v>0</v>
      </c>
      <c r="R978" s="53"/>
      <c r="S978" s="53" t="str">
        <f t="shared" si="201"/>
        <v>Base S2|Compound V Parallel - Season 2|177|Compound V</v>
      </c>
      <c r="T978" s="57" t="str">
        <f>IF($S978="","",IFERROR(VLOOKUP($S978,'Pop Estimates (Non-#d)'!$N$2:$O$500,2,FALSE),""))</f>
        <v/>
      </c>
      <c r="U978" s="57">
        <f t="shared" si="202"/>
        <v>399</v>
      </c>
      <c r="V978" s="53" t="str">
        <f t="shared" si="203"/>
        <v/>
      </c>
      <c r="W978" s="53" t="str">
        <f t="shared" si="204"/>
        <v/>
      </c>
      <c r="X978" s="53" t="str">
        <f t="shared" si="205"/>
        <v/>
      </c>
      <c r="Y978" s="57" t="str">
        <f>IF($X978="","",IFERROR(VLOOKUP($X978,'Char Popularity'!$A$2:$C$500,2,FALSE),""))</f>
        <v/>
      </c>
      <c r="Z978" s="56">
        <f>IF($X978="",1,IFERROR(VLOOKUP($X978,'Char Popularity'!$A$2:$C$500,3,FALSE),1))</f>
        <v>1</v>
      </c>
      <c r="AA978" s="62">
        <f>IF($H978&lt;&gt;"Y",0,(IF($F978&lt;&gt;"",ROUND(Dashboard!$R$4/$F978,1),IF(AND($I978="Base",$E978="Base"),Dashboard!$R$5,IF(AND($I978="Base",$E978="Red"),Dashboard!$R$6,IF(AND($I978="Base",$E978="Gold"),Dashboard!$R$7,VLOOKUP($I978,Dashboard!$Q$16:$R$21,2,FALSE)))))*VLOOKUP($I978,Dashboard!$Q$9:$R$13,2,FALSE)*IF(AND($I978="Auto",$F978="",OR($B978="Autographs Duals",$B978="Autographs Triples",$B978="Autographs Quads",$B978="Autographs Quads (Inscribed)")),IF($B978="Autographs Duals",2,IF($B978="Autographs Triples",3,4)),1)))</f>
        <v>2.5</v>
      </c>
      <c r="AB978" s="62">
        <f t="shared" si="206"/>
        <v>2.5</v>
      </c>
      <c r="AC978" s="62">
        <f t="shared" si="207"/>
        <v>0</v>
      </c>
    </row>
    <row r="979" spans="1:29" ht="42.95" customHeight="1" x14ac:dyDescent="0.25">
      <c r="A979" s="4" t="s">
        <v>19</v>
      </c>
      <c r="B979" s="7" t="s">
        <v>76</v>
      </c>
      <c r="C979" s="2" t="s">
        <v>1577</v>
      </c>
      <c r="D979" s="7" t="s">
        <v>1169</v>
      </c>
      <c r="E979" s="4" t="s">
        <v>778</v>
      </c>
      <c r="F979" s="2">
        <v>399</v>
      </c>
      <c r="G979" s="2" t="s">
        <v>1399</v>
      </c>
      <c r="H979" s="2" t="s">
        <v>1400</v>
      </c>
      <c r="I979" s="4" t="s">
        <v>60</v>
      </c>
      <c r="J979" s="112">
        <f>IF($H979&lt;&gt;"Y",0,ROUND(MIN(Dashboard!$R$24,IF(IFERROR(VLOOKUP($B979,Dashboard!$Q$28:$S$60,2,FALSE),0)&gt;0,IFERROR(VLOOKUP($B979,Dashboard!$Q$28:$S$60,2,FALSE),0),$Z979*IF($U979&lt;&gt;"",ROUND((Dashboard!$R$4/$U979)*VLOOKUP($I979,Dashboard!$Q$9:$R$13,2,FALSE)*IF(ISNUMBER(SEARCH("Duals",$B979)),2,IF(ISNUMBER(SEARCH("Triples",$B979)),3,IF(ISNUMBER(SEARCH("Quads",$B979)),4,1))),2),ROUND(VLOOKUP($I979,Dashboard!$Q$15:$R$20,2,FALSE)*IF($E979="Red",Dashboard!$R$6,IF($E979="Gold",Dashboard!$R$7,Dashboard!$R$5))*IF(ISNUMBER(SEARCH("Duals",$B979)),2,IF(ISNUMBER(SEARCH("Triples",$B979)),3,IF(ISNUMBER(SEARCH("Quads",$B979)),4,1))),2))*IF(IFERROR(VLOOKUP($B979,Dashboard!$Q$28:$S$60,3,FALSE),0)&gt;0,VLOOKUP($B979,Dashboard!$Q$28:$S$60,3,FALSE),1))),0))</f>
        <v>3</v>
      </c>
      <c r="K979" s="2" t="str">
        <f>IF('Base S2'!F79="","",'Base S2'!F79)</f>
        <v>C</v>
      </c>
      <c r="L979" s="2">
        <f t="shared" si="195"/>
        <v>1</v>
      </c>
      <c r="M979" s="2">
        <f t="shared" si="196"/>
        <v>0</v>
      </c>
      <c r="N979" s="2">
        <f t="shared" si="197"/>
        <v>1</v>
      </c>
      <c r="O979" s="2">
        <f t="shared" si="198"/>
        <v>0</v>
      </c>
      <c r="P979" s="112">
        <f t="shared" si="199"/>
        <v>3</v>
      </c>
      <c r="Q979" s="112">
        <f t="shared" si="200"/>
        <v>0</v>
      </c>
      <c r="R979" s="53"/>
      <c r="S979" s="53" t="str">
        <f t="shared" si="201"/>
        <v>Base S2|Compound V Parallel - Season 2|178|Compound V</v>
      </c>
      <c r="T979" s="57" t="str">
        <f>IF($S979="","",IFERROR(VLOOKUP($S979,'Pop Estimates (Non-#d)'!$N$2:$O$500,2,FALSE),""))</f>
        <v/>
      </c>
      <c r="U979" s="57">
        <f t="shared" si="202"/>
        <v>399</v>
      </c>
      <c r="V979" s="53" t="str">
        <f t="shared" si="203"/>
        <v/>
      </c>
      <c r="W979" s="53" t="str">
        <f t="shared" si="204"/>
        <v/>
      </c>
      <c r="X979" s="53" t="str">
        <f t="shared" si="205"/>
        <v/>
      </c>
      <c r="Y979" s="57" t="str">
        <f>IF($X979="","",IFERROR(VLOOKUP($X979,'Char Popularity'!$A$2:$C$500,2,FALSE),""))</f>
        <v/>
      </c>
      <c r="Z979" s="56">
        <f>IF($X979="",1,IFERROR(VLOOKUP($X979,'Char Popularity'!$A$2:$C$500,3,FALSE),1))</f>
        <v>1</v>
      </c>
      <c r="AA979" s="62">
        <f>IF($H979&lt;&gt;"Y",0,(IF($F979&lt;&gt;"",ROUND(Dashboard!$R$4/$F979,1),IF(AND($I979="Base",$E979="Base"),Dashboard!$R$5,IF(AND($I979="Base",$E979="Red"),Dashboard!$R$6,IF(AND($I979="Base",$E979="Gold"),Dashboard!$R$7,VLOOKUP($I979,Dashboard!$Q$16:$R$21,2,FALSE)))))*VLOOKUP($I979,Dashboard!$Q$9:$R$13,2,FALSE)*IF(AND($I979="Auto",$F979="",OR($B979="Autographs Duals",$B979="Autographs Triples",$B979="Autographs Quads",$B979="Autographs Quads (Inscribed)")),IF($B979="Autographs Duals",2,IF($B979="Autographs Triples",3,4)),1)))</f>
        <v>2.5</v>
      </c>
      <c r="AB979" s="62">
        <f t="shared" si="206"/>
        <v>2.5</v>
      </c>
      <c r="AC979" s="62">
        <f t="shared" si="207"/>
        <v>0</v>
      </c>
    </row>
    <row r="980" spans="1:29" ht="42.95" customHeight="1" x14ac:dyDescent="0.25">
      <c r="A980" s="4" t="s">
        <v>19</v>
      </c>
      <c r="B980" s="7" t="s">
        <v>76</v>
      </c>
      <c r="C980" s="2" t="s">
        <v>1578</v>
      </c>
      <c r="D980" s="7" t="s">
        <v>1170</v>
      </c>
      <c r="E980" s="4" t="s">
        <v>778</v>
      </c>
      <c r="F980" s="2">
        <v>399</v>
      </c>
      <c r="G980" s="2" t="s">
        <v>1399</v>
      </c>
      <c r="H980" s="2" t="s">
        <v>1400</v>
      </c>
      <c r="I980" s="4" t="s">
        <v>60</v>
      </c>
      <c r="J980" s="112">
        <f>IF($H980&lt;&gt;"Y",0,ROUND(MIN(Dashboard!$R$24,IF(IFERROR(VLOOKUP($B980,Dashboard!$Q$28:$S$60,2,FALSE),0)&gt;0,IFERROR(VLOOKUP($B980,Dashboard!$Q$28:$S$60,2,FALSE),0),$Z980*IF($U980&lt;&gt;"",ROUND((Dashboard!$R$4/$U980)*VLOOKUP($I980,Dashboard!$Q$9:$R$13,2,FALSE)*IF(ISNUMBER(SEARCH("Duals",$B980)),2,IF(ISNUMBER(SEARCH("Triples",$B980)),3,IF(ISNUMBER(SEARCH("Quads",$B980)),4,1))),2),ROUND(VLOOKUP($I980,Dashboard!$Q$15:$R$20,2,FALSE)*IF($E980="Red",Dashboard!$R$6,IF($E980="Gold",Dashboard!$R$7,Dashboard!$R$5))*IF(ISNUMBER(SEARCH("Duals",$B980)),2,IF(ISNUMBER(SEARCH("Triples",$B980)),3,IF(ISNUMBER(SEARCH("Quads",$B980)),4,1))),2))*IF(IFERROR(VLOOKUP($B980,Dashboard!$Q$28:$S$60,3,FALSE),0)&gt;0,VLOOKUP($B980,Dashboard!$Q$28:$S$60,3,FALSE),1))),0))</f>
        <v>3</v>
      </c>
      <c r="K980" s="2" t="str">
        <f>IF('Base S2'!F80="","",'Base S2'!F80)</f>
        <v>C</v>
      </c>
      <c r="L980" s="2">
        <f t="shared" si="195"/>
        <v>1</v>
      </c>
      <c r="M980" s="2">
        <f t="shared" si="196"/>
        <v>0</v>
      </c>
      <c r="N980" s="2">
        <f t="shared" si="197"/>
        <v>1</v>
      </c>
      <c r="O980" s="2">
        <f t="shared" si="198"/>
        <v>0</v>
      </c>
      <c r="P980" s="112">
        <f t="shared" si="199"/>
        <v>3</v>
      </c>
      <c r="Q980" s="112">
        <f t="shared" si="200"/>
        <v>0</v>
      </c>
      <c r="R980" s="53"/>
      <c r="S980" s="53" t="str">
        <f t="shared" si="201"/>
        <v>Base S2|Compound V Parallel - Season 2|179|Compound V</v>
      </c>
      <c r="T980" s="57" t="str">
        <f>IF($S980="","",IFERROR(VLOOKUP($S980,'Pop Estimates (Non-#d)'!$N$2:$O$500,2,FALSE),""))</f>
        <v/>
      </c>
      <c r="U980" s="57">
        <f t="shared" si="202"/>
        <v>399</v>
      </c>
      <c r="V980" s="53" t="str">
        <f t="shared" si="203"/>
        <v/>
      </c>
      <c r="W980" s="53" t="str">
        <f t="shared" si="204"/>
        <v/>
      </c>
      <c r="X980" s="53" t="str">
        <f t="shared" si="205"/>
        <v/>
      </c>
      <c r="Y980" s="57" t="str">
        <f>IF($X980="","",IFERROR(VLOOKUP($X980,'Char Popularity'!$A$2:$C$500,2,FALSE),""))</f>
        <v/>
      </c>
      <c r="Z980" s="56">
        <f>IF($X980="",1,IFERROR(VLOOKUP($X980,'Char Popularity'!$A$2:$C$500,3,FALSE),1))</f>
        <v>1</v>
      </c>
      <c r="AA980" s="62">
        <f>IF($H980&lt;&gt;"Y",0,(IF($F980&lt;&gt;"",ROUND(Dashboard!$R$4/$F980,1),IF(AND($I980="Base",$E980="Base"),Dashboard!$R$5,IF(AND($I980="Base",$E980="Red"),Dashboard!$R$6,IF(AND($I980="Base",$E980="Gold"),Dashboard!$R$7,VLOOKUP($I980,Dashboard!$Q$16:$R$21,2,FALSE)))))*VLOOKUP($I980,Dashboard!$Q$9:$R$13,2,FALSE)*IF(AND($I980="Auto",$F980="",OR($B980="Autographs Duals",$B980="Autographs Triples",$B980="Autographs Quads",$B980="Autographs Quads (Inscribed)")),IF($B980="Autographs Duals",2,IF($B980="Autographs Triples",3,4)),1)))</f>
        <v>2.5</v>
      </c>
      <c r="AB980" s="62">
        <f t="shared" si="206"/>
        <v>2.5</v>
      </c>
      <c r="AC980" s="62">
        <f t="shared" si="207"/>
        <v>0</v>
      </c>
    </row>
    <row r="981" spans="1:29" ht="42.95" customHeight="1" x14ac:dyDescent="0.25">
      <c r="A981" s="4" t="s">
        <v>19</v>
      </c>
      <c r="B981" s="7" t="s">
        <v>76</v>
      </c>
      <c r="C981" s="2" t="s">
        <v>1579</v>
      </c>
      <c r="D981" s="7" t="s">
        <v>1172</v>
      </c>
      <c r="E981" s="4" t="s">
        <v>778</v>
      </c>
      <c r="F981" s="2">
        <v>399</v>
      </c>
      <c r="G981" s="2" t="s">
        <v>1399</v>
      </c>
      <c r="H981" s="2" t="s">
        <v>1400</v>
      </c>
      <c r="I981" s="4" t="s">
        <v>60</v>
      </c>
      <c r="J981" s="112">
        <f>IF($H981&lt;&gt;"Y",0,ROUND(MIN(Dashboard!$R$24,IF(IFERROR(VLOOKUP($B981,Dashboard!$Q$28:$S$60,2,FALSE),0)&gt;0,IFERROR(VLOOKUP($B981,Dashboard!$Q$28:$S$60,2,FALSE),0),$Z981*IF($U981&lt;&gt;"",ROUND((Dashboard!$R$4/$U981)*VLOOKUP($I981,Dashboard!$Q$9:$R$13,2,FALSE)*IF(ISNUMBER(SEARCH("Duals",$B981)),2,IF(ISNUMBER(SEARCH("Triples",$B981)),3,IF(ISNUMBER(SEARCH("Quads",$B981)),4,1))),2),ROUND(VLOOKUP($I981,Dashboard!$Q$15:$R$20,2,FALSE)*IF($E981="Red",Dashboard!$R$6,IF($E981="Gold",Dashboard!$R$7,Dashboard!$R$5))*IF(ISNUMBER(SEARCH("Duals",$B981)),2,IF(ISNUMBER(SEARCH("Triples",$B981)),3,IF(ISNUMBER(SEARCH("Quads",$B981)),4,1))),2))*IF(IFERROR(VLOOKUP($B981,Dashboard!$Q$28:$S$60,3,FALSE),0)&gt;0,VLOOKUP($B981,Dashboard!$Q$28:$S$60,3,FALSE),1))),0))</f>
        <v>3</v>
      </c>
      <c r="K981" s="2" t="str">
        <f>IF('Base S2'!F81="","",'Base S2'!F81)</f>
        <v>C</v>
      </c>
      <c r="L981" s="2">
        <f t="shared" si="195"/>
        <v>1</v>
      </c>
      <c r="M981" s="2">
        <f t="shared" si="196"/>
        <v>0</v>
      </c>
      <c r="N981" s="2">
        <f t="shared" si="197"/>
        <v>1</v>
      </c>
      <c r="O981" s="2">
        <f t="shared" si="198"/>
        <v>0</v>
      </c>
      <c r="P981" s="112">
        <f t="shared" si="199"/>
        <v>3</v>
      </c>
      <c r="Q981" s="112">
        <f t="shared" si="200"/>
        <v>0</v>
      </c>
      <c r="R981" s="53"/>
      <c r="S981" s="53" t="str">
        <f t="shared" si="201"/>
        <v>Base S2|Compound V Parallel - Season 2|180|Compound V</v>
      </c>
      <c r="T981" s="57" t="str">
        <f>IF($S981="","",IFERROR(VLOOKUP($S981,'Pop Estimates (Non-#d)'!$N$2:$O$500,2,FALSE),""))</f>
        <v/>
      </c>
      <c r="U981" s="57">
        <f t="shared" si="202"/>
        <v>399</v>
      </c>
      <c r="V981" s="53" t="str">
        <f t="shared" si="203"/>
        <v/>
      </c>
      <c r="W981" s="53" t="str">
        <f t="shared" si="204"/>
        <v/>
      </c>
      <c r="X981" s="53" t="str">
        <f t="shared" si="205"/>
        <v/>
      </c>
      <c r="Y981" s="57" t="str">
        <f>IF($X981="","",IFERROR(VLOOKUP($X981,'Char Popularity'!$A$2:$C$500,2,FALSE),""))</f>
        <v/>
      </c>
      <c r="Z981" s="56">
        <f>IF($X981="",1,IFERROR(VLOOKUP($X981,'Char Popularity'!$A$2:$C$500,3,FALSE),1))</f>
        <v>1</v>
      </c>
      <c r="AA981" s="62">
        <f>IF($H981&lt;&gt;"Y",0,(IF($F981&lt;&gt;"",ROUND(Dashboard!$R$4/$F981,1),IF(AND($I981="Base",$E981="Base"),Dashboard!$R$5,IF(AND($I981="Base",$E981="Red"),Dashboard!$R$6,IF(AND($I981="Base",$E981="Gold"),Dashboard!$R$7,VLOOKUP($I981,Dashboard!$Q$16:$R$21,2,FALSE)))))*VLOOKUP($I981,Dashboard!$Q$9:$R$13,2,FALSE)*IF(AND($I981="Auto",$F981="",OR($B981="Autographs Duals",$B981="Autographs Triples",$B981="Autographs Quads",$B981="Autographs Quads (Inscribed)")),IF($B981="Autographs Duals",2,IF($B981="Autographs Triples",3,4)),1)))</f>
        <v>2.5</v>
      </c>
      <c r="AB981" s="62">
        <f t="shared" si="206"/>
        <v>2.5</v>
      </c>
      <c r="AC981" s="62">
        <f t="shared" si="207"/>
        <v>0</v>
      </c>
    </row>
    <row r="982" spans="1:29" ht="42.95" customHeight="1" x14ac:dyDescent="0.25">
      <c r="A982" s="4" t="s">
        <v>19</v>
      </c>
      <c r="B982" s="7" t="s">
        <v>76</v>
      </c>
      <c r="C982" s="2" t="s">
        <v>1580</v>
      </c>
      <c r="D982" s="7" t="s">
        <v>1173</v>
      </c>
      <c r="E982" s="4" t="s">
        <v>778</v>
      </c>
      <c r="F982" s="2">
        <v>399</v>
      </c>
      <c r="G982" s="2" t="s">
        <v>1399</v>
      </c>
      <c r="H982" s="2" t="s">
        <v>1400</v>
      </c>
      <c r="I982" s="4" t="s">
        <v>60</v>
      </c>
      <c r="J982" s="112">
        <f>IF($H982&lt;&gt;"Y",0,ROUND(MIN(Dashboard!$R$24,IF(IFERROR(VLOOKUP($B982,Dashboard!$Q$28:$S$60,2,FALSE),0)&gt;0,IFERROR(VLOOKUP($B982,Dashboard!$Q$28:$S$60,2,FALSE),0),$Z982*IF($U982&lt;&gt;"",ROUND((Dashboard!$R$4/$U982)*VLOOKUP($I982,Dashboard!$Q$9:$R$13,2,FALSE)*IF(ISNUMBER(SEARCH("Duals",$B982)),2,IF(ISNUMBER(SEARCH("Triples",$B982)),3,IF(ISNUMBER(SEARCH("Quads",$B982)),4,1))),2),ROUND(VLOOKUP($I982,Dashboard!$Q$15:$R$20,2,FALSE)*IF($E982="Red",Dashboard!$R$6,IF($E982="Gold",Dashboard!$R$7,Dashboard!$R$5))*IF(ISNUMBER(SEARCH("Duals",$B982)),2,IF(ISNUMBER(SEARCH("Triples",$B982)),3,IF(ISNUMBER(SEARCH("Quads",$B982)),4,1))),2))*IF(IFERROR(VLOOKUP($B982,Dashboard!$Q$28:$S$60,3,FALSE),0)&gt;0,VLOOKUP($B982,Dashboard!$Q$28:$S$60,3,FALSE),1))),0))</f>
        <v>3</v>
      </c>
      <c r="K982" s="2" t="str">
        <f>IF('Base S2'!F82="","",'Base S2'!F82)</f>
        <v>C</v>
      </c>
      <c r="L982" s="2">
        <f t="shared" si="195"/>
        <v>1</v>
      </c>
      <c r="M982" s="2">
        <f t="shared" si="196"/>
        <v>0</v>
      </c>
      <c r="N982" s="2">
        <f t="shared" si="197"/>
        <v>1</v>
      </c>
      <c r="O982" s="2">
        <f t="shared" si="198"/>
        <v>0</v>
      </c>
      <c r="P982" s="112">
        <f t="shared" si="199"/>
        <v>3</v>
      </c>
      <c r="Q982" s="112">
        <f t="shared" si="200"/>
        <v>0</v>
      </c>
      <c r="R982" s="53"/>
      <c r="S982" s="53" t="str">
        <f t="shared" si="201"/>
        <v>Base S2|Compound V Parallel - Season 2|181|Compound V</v>
      </c>
      <c r="T982" s="57" t="str">
        <f>IF($S982="","",IFERROR(VLOOKUP($S982,'Pop Estimates (Non-#d)'!$N$2:$O$500,2,FALSE),""))</f>
        <v/>
      </c>
      <c r="U982" s="57">
        <f t="shared" si="202"/>
        <v>399</v>
      </c>
      <c r="V982" s="53" t="str">
        <f t="shared" si="203"/>
        <v/>
      </c>
      <c r="W982" s="53" t="str">
        <f t="shared" si="204"/>
        <v/>
      </c>
      <c r="X982" s="53" t="str">
        <f t="shared" si="205"/>
        <v/>
      </c>
      <c r="Y982" s="57" t="str">
        <f>IF($X982="","",IFERROR(VLOOKUP($X982,'Char Popularity'!$A$2:$C$500,2,FALSE),""))</f>
        <v/>
      </c>
      <c r="Z982" s="56">
        <f>IF($X982="",1,IFERROR(VLOOKUP($X982,'Char Popularity'!$A$2:$C$500,3,FALSE),1))</f>
        <v>1</v>
      </c>
      <c r="AA982" s="62">
        <f>IF($H982&lt;&gt;"Y",0,(IF($F982&lt;&gt;"",ROUND(Dashboard!$R$4/$F982,1),IF(AND($I982="Base",$E982="Base"),Dashboard!$R$5,IF(AND($I982="Base",$E982="Red"),Dashboard!$R$6,IF(AND($I982="Base",$E982="Gold"),Dashboard!$R$7,VLOOKUP($I982,Dashboard!$Q$16:$R$21,2,FALSE)))))*VLOOKUP($I982,Dashboard!$Q$9:$R$13,2,FALSE)*IF(AND($I982="Auto",$F982="",OR($B982="Autographs Duals",$B982="Autographs Triples",$B982="Autographs Quads",$B982="Autographs Quads (Inscribed)")),IF($B982="Autographs Duals",2,IF($B982="Autographs Triples",3,4)),1)))</f>
        <v>2.5</v>
      </c>
      <c r="AB982" s="62">
        <f t="shared" si="206"/>
        <v>2.5</v>
      </c>
      <c r="AC982" s="62">
        <f t="shared" si="207"/>
        <v>0</v>
      </c>
    </row>
    <row r="983" spans="1:29" ht="42.95" customHeight="1" x14ac:dyDescent="0.25">
      <c r="A983" s="4" t="s">
        <v>19</v>
      </c>
      <c r="B983" s="7" t="s">
        <v>76</v>
      </c>
      <c r="C983" s="2" t="s">
        <v>1581</v>
      </c>
      <c r="D983" s="7" t="s">
        <v>1174</v>
      </c>
      <c r="E983" s="4" t="s">
        <v>778</v>
      </c>
      <c r="F983" s="2">
        <v>399</v>
      </c>
      <c r="G983" s="2" t="s">
        <v>1399</v>
      </c>
      <c r="H983" s="2" t="s">
        <v>1400</v>
      </c>
      <c r="I983" s="4" t="s">
        <v>60</v>
      </c>
      <c r="J983" s="112">
        <f>IF($H983&lt;&gt;"Y",0,ROUND(MIN(Dashboard!$R$24,IF(IFERROR(VLOOKUP($B983,Dashboard!$Q$28:$S$60,2,FALSE),0)&gt;0,IFERROR(VLOOKUP($B983,Dashboard!$Q$28:$S$60,2,FALSE),0),$Z983*IF($U983&lt;&gt;"",ROUND((Dashboard!$R$4/$U983)*VLOOKUP($I983,Dashboard!$Q$9:$R$13,2,FALSE)*IF(ISNUMBER(SEARCH("Duals",$B983)),2,IF(ISNUMBER(SEARCH("Triples",$B983)),3,IF(ISNUMBER(SEARCH("Quads",$B983)),4,1))),2),ROUND(VLOOKUP($I983,Dashboard!$Q$15:$R$20,2,FALSE)*IF($E983="Red",Dashboard!$R$6,IF($E983="Gold",Dashboard!$R$7,Dashboard!$R$5))*IF(ISNUMBER(SEARCH("Duals",$B983)),2,IF(ISNUMBER(SEARCH("Triples",$B983)),3,IF(ISNUMBER(SEARCH("Quads",$B983)),4,1))),2))*IF(IFERROR(VLOOKUP($B983,Dashboard!$Q$28:$S$60,3,FALSE),0)&gt;0,VLOOKUP($B983,Dashboard!$Q$28:$S$60,3,FALSE),1))),0))</f>
        <v>3</v>
      </c>
      <c r="K983" s="2" t="str">
        <f>IF('Base S2'!F83="","",'Base S2'!F83)</f>
        <v>C</v>
      </c>
      <c r="L983" s="2">
        <f t="shared" si="195"/>
        <v>1</v>
      </c>
      <c r="M983" s="2">
        <f t="shared" si="196"/>
        <v>0</v>
      </c>
      <c r="N983" s="2">
        <f t="shared" si="197"/>
        <v>1</v>
      </c>
      <c r="O983" s="2">
        <f t="shared" si="198"/>
        <v>0</v>
      </c>
      <c r="P983" s="112">
        <f t="shared" si="199"/>
        <v>3</v>
      </c>
      <c r="Q983" s="112">
        <f t="shared" si="200"/>
        <v>0</v>
      </c>
      <c r="R983" s="53"/>
      <c r="S983" s="53" t="str">
        <f t="shared" si="201"/>
        <v>Base S2|Compound V Parallel - Season 2|182|Compound V</v>
      </c>
      <c r="T983" s="57" t="str">
        <f>IF($S983="","",IFERROR(VLOOKUP($S983,'Pop Estimates (Non-#d)'!$N$2:$O$500,2,FALSE),""))</f>
        <v/>
      </c>
      <c r="U983" s="57">
        <f t="shared" si="202"/>
        <v>399</v>
      </c>
      <c r="V983" s="53" t="str">
        <f t="shared" si="203"/>
        <v/>
      </c>
      <c r="W983" s="53" t="str">
        <f t="shared" si="204"/>
        <v/>
      </c>
      <c r="X983" s="53" t="str">
        <f t="shared" si="205"/>
        <v/>
      </c>
      <c r="Y983" s="57" t="str">
        <f>IF($X983="","",IFERROR(VLOOKUP($X983,'Char Popularity'!$A$2:$C$500,2,FALSE),""))</f>
        <v/>
      </c>
      <c r="Z983" s="56">
        <f>IF($X983="",1,IFERROR(VLOOKUP($X983,'Char Popularity'!$A$2:$C$500,3,FALSE),1))</f>
        <v>1</v>
      </c>
      <c r="AA983" s="62">
        <f>IF($H983&lt;&gt;"Y",0,(IF($F983&lt;&gt;"",ROUND(Dashboard!$R$4/$F983,1),IF(AND($I983="Base",$E983="Base"),Dashboard!$R$5,IF(AND($I983="Base",$E983="Red"),Dashboard!$R$6,IF(AND($I983="Base",$E983="Gold"),Dashboard!$R$7,VLOOKUP($I983,Dashboard!$Q$16:$R$21,2,FALSE)))))*VLOOKUP($I983,Dashboard!$Q$9:$R$13,2,FALSE)*IF(AND($I983="Auto",$F983="",OR($B983="Autographs Duals",$B983="Autographs Triples",$B983="Autographs Quads",$B983="Autographs Quads (Inscribed)")),IF($B983="Autographs Duals",2,IF($B983="Autographs Triples",3,4)),1)))</f>
        <v>2.5</v>
      </c>
      <c r="AB983" s="62">
        <f t="shared" si="206"/>
        <v>2.5</v>
      </c>
      <c r="AC983" s="62">
        <f t="shared" si="207"/>
        <v>0</v>
      </c>
    </row>
    <row r="984" spans="1:29" ht="42.95" customHeight="1" x14ac:dyDescent="0.25">
      <c r="A984" s="4" t="s">
        <v>19</v>
      </c>
      <c r="B984" s="7" t="s">
        <v>76</v>
      </c>
      <c r="C984" s="2" t="s">
        <v>1582</v>
      </c>
      <c r="D984" s="7" t="s">
        <v>1177</v>
      </c>
      <c r="E984" s="4" t="s">
        <v>778</v>
      </c>
      <c r="F984" s="2">
        <v>399</v>
      </c>
      <c r="G984" s="2" t="s">
        <v>1399</v>
      </c>
      <c r="H984" s="2" t="s">
        <v>1400</v>
      </c>
      <c r="I984" s="4" t="s">
        <v>60</v>
      </c>
      <c r="J984" s="112">
        <f>IF($H984&lt;&gt;"Y",0,ROUND(MIN(Dashboard!$R$24,IF(IFERROR(VLOOKUP($B984,Dashboard!$Q$28:$S$60,2,FALSE),0)&gt;0,IFERROR(VLOOKUP($B984,Dashboard!$Q$28:$S$60,2,FALSE),0),$Z984*IF($U984&lt;&gt;"",ROUND((Dashboard!$R$4/$U984)*VLOOKUP($I984,Dashboard!$Q$9:$R$13,2,FALSE)*IF(ISNUMBER(SEARCH("Duals",$B984)),2,IF(ISNUMBER(SEARCH("Triples",$B984)),3,IF(ISNUMBER(SEARCH("Quads",$B984)),4,1))),2),ROUND(VLOOKUP($I984,Dashboard!$Q$15:$R$20,2,FALSE)*IF($E984="Red",Dashboard!$R$6,IF($E984="Gold",Dashboard!$R$7,Dashboard!$R$5))*IF(ISNUMBER(SEARCH("Duals",$B984)),2,IF(ISNUMBER(SEARCH("Triples",$B984)),3,IF(ISNUMBER(SEARCH("Quads",$B984)),4,1))),2))*IF(IFERROR(VLOOKUP($B984,Dashboard!$Q$28:$S$60,3,FALSE),0)&gt;0,VLOOKUP($B984,Dashboard!$Q$28:$S$60,3,FALSE),1))),0))</f>
        <v>3</v>
      </c>
      <c r="K984" s="2" t="str">
        <f>IF('Base S2'!F84="","",'Base S2'!F84)</f>
        <v>V</v>
      </c>
      <c r="L984" s="2">
        <f t="shared" si="195"/>
        <v>1</v>
      </c>
      <c r="M984" s="2">
        <f t="shared" si="196"/>
        <v>0</v>
      </c>
      <c r="N984" s="2">
        <f t="shared" si="197"/>
        <v>1</v>
      </c>
      <c r="O984" s="2">
        <f t="shared" si="198"/>
        <v>0</v>
      </c>
      <c r="P984" s="112">
        <f t="shared" si="199"/>
        <v>3</v>
      </c>
      <c r="Q984" s="112">
        <f t="shared" si="200"/>
        <v>0</v>
      </c>
      <c r="R984" s="53"/>
      <c r="S984" s="53" t="str">
        <f t="shared" si="201"/>
        <v>Base S2|Compound V Parallel - Season 2|183|Compound V</v>
      </c>
      <c r="T984" s="57" t="str">
        <f>IF($S984="","",IFERROR(VLOOKUP($S984,'Pop Estimates (Non-#d)'!$N$2:$O$500,2,FALSE),""))</f>
        <v/>
      </c>
      <c r="U984" s="57">
        <f t="shared" si="202"/>
        <v>399</v>
      </c>
      <c r="V984" s="53" t="str">
        <f t="shared" si="203"/>
        <v/>
      </c>
      <c r="W984" s="53" t="str">
        <f t="shared" si="204"/>
        <v/>
      </c>
      <c r="X984" s="53" t="str">
        <f t="shared" si="205"/>
        <v/>
      </c>
      <c r="Y984" s="57" t="str">
        <f>IF($X984="","",IFERROR(VLOOKUP($X984,'Char Popularity'!$A$2:$C$500,2,FALSE),""))</f>
        <v/>
      </c>
      <c r="Z984" s="56">
        <f>IF($X984="",1,IFERROR(VLOOKUP($X984,'Char Popularity'!$A$2:$C$500,3,FALSE),1))</f>
        <v>1</v>
      </c>
      <c r="AA984" s="62">
        <f>IF($H984&lt;&gt;"Y",0,(IF($F984&lt;&gt;"",ROUND(Dashboard!$R$4/$F984,1),IF(AND($I984="Base",$E984="Base"),Dashboard!$R$5,IF(AND($I984="Base",$E984="Red"),Dashboard!$R$6,IF(AND($I984="Base",$E984="Gold"),Dashboard!$R$7,VLOOKUP($I984,Dashboard!$Q$16:$R$21,2,FALSE)))))*VLOOKUP($I984,Dashboard!$Q$9:$R$13,2,FALSE)*IF(AND($I984="Auto",$F984="",OR($B984="Autographs Duals",$B984="Autographs Triples",$B984="Autographs Quads",$B984="Autographs Quads (Inscribed)")),IF($B984="Autographs Duals",2,IF($B984="Autographs Triples",3,4)),1)))</f>
        <v>2.5</v>
      </c>
      <c r="AB984" s="62">
        <f t="shared" si="206"/>
        <v>2.5</v>
      </c>
      <c r="AC984" s="62">
        <f t="shared" si="207"/>
        <v>0</v>
      </c>
    </row>
    <row r="985" spans="1:29" ht="42.95" customHeight="1" x14ac:dyDescent="0.25">
      <c r="A985" s="4" t="s">
        <v>19</v>
      </c>
      <c r="B985" s="7" t="s">
        <v>76</v>
      </c>
      <c r="C985" s="2" t="s">
        <v>1583</v>
      </c>
      <c r="D985" s="7" t="s">
        <v>1179</v>
      </c>
      <c r="E985" s="4" t="s">
        <v>778</v>
      </c>
      <c r="F985" s="2">
        <v>399</v>
      </c>
      <c r="G985" s="2" t="s">
        <v>1399</v>
      </c>
      <c r="H985" s="2" t="s">
        <v>1400</v>
      </c>
      <c r="I985" s="4" t="s">
        <v>60</v>
      </c>
      <c r="J985" s="112">
        <f>IF($H985&lt;&gt;"Y",0,ROUND(MIN(Dashboard!$R$24,IF(IFERROR(VLOOKUP($B985,Dashboard!$Q$28:$S$60,2,FALSE),0)&gt;0,IFERROR(VLOOKUP($B985,Dashboard!$Q$28:$S$60,2,FALSE),0),$Z985*IF($U985&lt;&gt;"",ROUND((Dashboard!$R$4/$U985)*VLOOKUP($I985,Dashboard!$Q$9:$R$13,2,FALSE)*IF(ISNUMBER(SEARCH("Duals",$B985)),2,IF(ISNUMBER(SEARCH("Triples",$B985)),3,IF(ISNUMBER(SEARCH("Quads",$B985)),4,1))),2),ROUND(VLOOKUP($I985,Dashboard!$Q$15:$R$20,2,FALSE)*IF($E985="Red",Dashboard!$R$6,IF($E985="Gold",Dashboard!$R$7,Dashboard!$R$5))*IF(ISNUMBER(SEARCH("Duals",$B985)),2,IF(ISNUMBER(SEARCH("Triples",$B985)),3,IF(ISNUMBER(SEARCH("Quads",$B985)),4,1))),2))*IF(IFERROR(VLOOKUP($B985,Dashboard!$Q$28:$S$60,3,FALSE),0)&gt;0,VLOOKUP($B985,Dashboard!$Q$28:$S$60,3,FALSE),1))),0))</f>
        <v>3</v>
      </c>
      <c r="K985" s="2" t="str">
        <f>IF('Base S2'!F85="","",'Base S2'!F85)</f>
        <v>C</v>
      </c>
      <c r="L985" s="2">
        <f t="shared" si="195"/>
        <v>1</v>
      </c>
      <c r="M985" s="2">
        <f t="shared" si="196"/>
        <v>0</v>
      </c>
      <c r="N985" s="2">
        <f t="shared" si="197"/>
        <v>1</v>
      </c>
      <c r="O985" s="2">
        <f t="shared" si="198"/>
        <v>0</v>
      </c>
      <c r="P985" s="112">
        <f t="shared" si="199"/>
        <v>3</v>
      </c>
      <c r="Q985" s="112">
        <f t="shared" si="200"/>
        <v>0</v>
      </c>
      <c r="R985" s="53"/>
      <c r="S985" s="53" t="str">
        <f t="shared" si="201"/>
        <v>Base S2|Compound V Parallel - Season 2|184|Compound V</v>
      </c>
      <c r="T985" s="57" t="str">
        <f>IF($S985="","",IFERROR(VLOOKUP($S985,'Pop Estimates (Non-#d)'!$N$2:$O$500,2,FALSE),""))</f>
        <v/>
      </c>
      <c r="U985" s="57">
        <f t="shared" si="202"/>
        <v>399</v>
      </c>
      <c r="V985" s="53" t="str">
        <f t="shared" si="203"/>
        <v/>
      </c>
      <c r="W985" s="53" t="str">
        <f t="shared" si="204"/>
        <v/>
      </c>
      <c r="X985" s="53" t="str">
        <f t="shared" si="205"/>
        <v/>
      </c>
      <c r="Y985" s="57" t="str">
        <f>IF($X985="","",IFERROR(VLOOKUP($X985,'Char Popularity'!$A$2:$C$500,2,FALSE),""))</f>
        <v/>
      </c>
      <c r="Z985" s="56">
        <f>IF($X985="",1,IFERROR(VLOOKUP($X985,'Char Popularity'!$A$2:$C$500,3,FALSE),1))</f>
        <v>1</v>
      </c>
      <c r="AA985" s="62">
        <f>IF($H985&lt;&gt;"Y",0,(IF($F985&lt;&gt;"",ROUND(Dashboard!$R$4/$F985,1),IF(AND($I985="Base",$E985="Base"),Dashboard!$R$5,IF(AND($I985="Base",$E985="Red"),Dashboard!$R$6,IF(AND($I985="Base",$E985="Gold"),Dashboard!$R$7,VLOOKUP($I985,Dashboard!$Q$16:$R$21,2,FALSE)))))*VLOOKUP($I985,Dashboard!$Q$9:$R$13,2,FALSE)*IF(AND($I985="Auto",$F985="",OR($B985="Autographs Duals",$B985="Autographs Triples",$B985="Autographs Quads",$B985="Autographs Quads (Inscribed)")),IF($B985="Autographs Duals",2,IF($B985="Autographs Triples",3,4)),1)))</f>
        <v>2.5</v>
      </c>
      <c r="AB985" s="62">
        <f t="shared" si="206"/>
        <v>2.5</v>
      </c>
      <c r="AC985" s="62">
        <f t="shared" si="207"/>
        <v>0</v>
      </c>
    </row>
    <row r="986" spans="1:29" ht="42.95" customHeight="1" x14ac:dyDescent="0.25">
      <c r="A986" s="4" t="s">
        <v>19</v>
      </c>
      <c r="B986" s="7" t="s">
        <v>76</v>
      </c>
      <c r="C986" s="2" t="s">
        <v>1584</v>
      </c>
      <c r="D986" s="7" t="s">
        <v>1180</v>
      </c>
      <c r="E986" s="4" t="s">
        <v>778</v>
      </c>
      <c r="F986" s="2">
        <v>399</v>
      </c>
      <c r="G986" s="2" t="s">
        <v>1399</v>
      </c>
      <c r="H986" s="2" t="s">
        <v>1400</v>
      </c>
      <c r="I986" s="4" t="s">
        <v>60</v>
      </c>
      <c r="J986" s="112">
        <f>IF($H986&lt;&gt;"Y",0,ROUND(MIN(Dashboard!$R$24,IF(IFERROR(VLOOKUP($B986,Dashboard!$Q$28:$S$60,2,FALSE),0)&gt;0,IFERROR(VLOOKUP($B986,Dashboard!$Q$28:$S$60,2,FALSE),0),$Z986*IF($U986&lt;&gt;"",ROUND((Dashboard!$R$4/$U986)*VLOOKUP($I986,Dashboard!$Q$9:$R$13,2,FALSE)*IF(ISNUMBER(SEARCH("Duals",$B986)),2,IF(ISNUMBER(SEARCH("Triples",$B986)),3,IF(ISNUMBER(SEARCH("Quads",$B986)),4,1))),2),ROUND(VLOOKUP($I986,Dashboard!$Q$15:$R$20,2,FALSE)*IF($E986="Red",Dashboard!$R$6,IF($E986="Gold",Dashboard!$R$7,Dashboard!$R$5))*IF(ISNUMBER(SEARCH("Duals",$B986)),2,IF(ISNUMBER(SEARCH("Triples",$B986)),3,IF(ISNUMBER(SEARCH("Quads",$B986)),4,1))),2))*IF(IFERROR(VLOOKUP($B986,Dashboard!$Q$28:$S$60,3,FALSE),0)&gt;0,VLOOKUP($B986,Dashboard!$Q$28:$S$60,3,FALSE),1))),0))</f>
        <v>3</v>
      </c>
      <c r="K986" s="2" t="str">
        <f>IF('Base S2'!F86="","",'Base S2'!F86)</f>
        <v>C</v>
      </c>
      <c r="L986" s="2">
        <f t="shared" si="195"/>
        <v>1</v>
      </c>
      <c r="M986" s="2">
        <f t="shared" si="196"/>
        <v>0</v>
      </c>
      <c r="N986" s="2">
        <f t="shared" si="197"/>
        <v>1</v>
      </c>
      <c r="O986" s="2">
        <f t="shared" si="198"/>
        <v>0</v>
      </c>
      <c r="P986" s="112">
        <f t="shared" si="199"/>
        <v>3</v>
      </c>
      <c r="Q986" s="112">
        <f t="shared" si="200"/>
        <v>0</v>
      </c>
      <c r="R986" s="53"/>
      <c r="S986" s="53" t="str">
        <f t="shared" si="201"/>
        <v>Base S2|Compound V Parallel - Season 2|185|Compound V</v>
      </c>
      <c r="T986" s="57" t="str">
        <f>IF($S986="","",IFERROR(VLOOKUP($S986,'Pop Estimates (Non-#d)'!$N$2:$O$500,2,FALSE),""))</f>
        <v/>
      </c>
      <c r="U986" s="57">
        <f t="shared" si="202"/>
        <v>399</v>
      </c>
      <c r="V986" s="53" t="str">
        <f t="shared" si="203"/>
        <v/>
      </c>
      <c r="W986" s="53" t="str">
        <f t="shared" si="204"/>
        <v/>
      </c>
      <c r="X986" s="53" t="str">
        <f t="shared" si="205"/>
        <v/>
      </c>
      <c r="Y986" s="57" t="str">
        <f>IF($X986="","",IFERROR(VLOOKUP($X986,'Char Popularity'!$A$2:$C$500,2,FALSE),""))</f>
        <v/>
      </c>
      <c r="Z986" s="56">
        <f>IF($X986="",1,IFERROR(VLOOKUP($X986,'Char Popularity'!$A$2:$C$500,3,FALSE),1))</f>
        <v>1</v>
      </c>
      <c r="AA986" s="62">
        <f>IF($H986&lt;&gt;"Y",0,(IF($F986&lt;&gt;"",ROUND(Dashboard!$R$4/$F986,1),IF(AND($I986="Base",$E986="Base"),Dashboard!$R$5,IF(AND($I986="Base",$E986="Red"),Dashboard!$R$6,IF(AND($I986="Base",$E986="Gold"),Dashboard!$R$7,VLOOKUP($I986,Dashboard!$Q$16:$R$21,2,FALSE)))))*VLOOKUP($I986,Dashboard!$Q$9:$R$13,2,FALSE)*IF(AND($I986="Auto",$F986="",OR($B986="Autographs Duals",$B986="Autographs Triples",$B986="Autographs Quads",$B986="Autographs Quads (Inscribed)")),IF($B986="Autographs Duals",2,IF($B986="Autographs Triples",3,4)),1)))</f>
        <v>2.5</v>
      </c>
      <c r="AB986" s="62">
        <f t="shared" si="206"/>
        <v>2.5</v>
      </c>
      <c r="AC986" s="62">
        <f t="shared" si="207"/>
        <v>0</v>
      </c>
    </row>
    <row r="987" spans="1:29" ht="42.95" customHeight="1" x14ac:dyDescent="0.25">
      <c r="A987" s="4" t="s">
        <v>19</v>
      </c>
      <c r="B987" s="7" t="s">
        <v>76</v>
      </c>
      <c r="C987" s="2" t="s">
        <v>1585</v>
      </c>
      <c r="D987" s="7" t="s">
        <v>1181</v>
      </c>
      <c r="E987" s="4" t="s">
        <v>778</v>
      </c>
      <c r="F987" s="2">
        <v>399</v>
      </c>
      <c r="G987" s="2" t="s">
        <v>1399</v>
      </c>
      <c r="H987" s="2" t="s">
        <v>1400</v>
      </c>
      <c r="I987" s="4" t="s">
        <v>60</v>
      </c>
      <c r="J987" s="112">
        <f>IF($H987&lt;&gt;"Y",0,ROUND(MIN(Dashboard!$R$24,IF(IFERROR(VLOOKUP($B987,Dashboard!$Q$28:$S$60,2,FALSE),0)&gt;0,IFERROR(VLOOKUP($B987,Dashboard!$Q$28:$S$60,2,FALSE),0),$Z987*IF($U987&lt;&gt;"",ROUND((Dashboard!$R$4/$U987)*VLOOKUP($I987,Dashboard!$Q$9:$R$13,2,FALSE)*IF(ISNUMBER(SEARCH("Duals",$B987)),2,IF(ISNUMBER(SEARCH("Triples",$B987)),3,IF(ISNUMBER(SEARCH("Quads",$B987)),4,1))),2),ROUND(VLOOKUP($I987,Dashboard!$Q$15:$R$20,2,FALSE)*IF($E987="Red",Dashboard!$R$6,IF($E987="Gold",Dashboard!$R$7,Dashboard!$R$5))*IF(ISNUMBER(SEARCH("Duals",$B987)),2,IF(ISNUMBER(SEARCH("Triples",$B987)),3,IF(ISNUMBER(SEARCH("Quads",$B987)),4,1))),2))*IF(IFERROR(VLOOKUP($B987,Dashboard!$Q$28:$S$60,3,FALSE),0)&gt;0,VLOOKUP($B987,Dashboard!$Q$28:$S$60,3,FALSE),1))),0))</f>
        <v>3</v>
      </c>
      <c r="K987" s="2" t="str">
        <f>IF('Base S2'!F87="","",'Base S2'!F87)</f>
        <v>V</v>
      </c>
      <c r="L987" s="2">
        <f t="shared" si="195"/>
        <v>1</v>
      </c>
      <c r="M987" s="2">
        <f t="shared" si="196"/>
        <v>0</v>
      </c>
      <c r="N987" s="2">
        <f t="shared" si="197"/>
        <v>1</v>
      </c>
      <c r="O987" s="2">
        <f t="shared" si="198"/>
        <v>0</v>
      </c>
      <c r="P987" s="112">
        <f t="shared" si="199"/>
        <v>3</v>
      </c>
      <c r="Q987" s="112">
        <f t="shared" si="200"/>
        <v>0</v>
      </c>
      <c r="R987" s="53"/>
      <c r="S987" s="53" t="str">
        <f t="shared" si="201"/>
        <v>Base S2|Compound V Parallel - Season 2|186|Compound V</v>
      </c>
      <c r="T987" s="57" t="str">
        <f>IF($S987="","",IFERROR(VLOOKUP($S987,'Pop Estimates (Non-#d)'!$N$2:$O$500,2,FALSE),""))</f>
        <v/>
      </c>
      <c r="U987" s="57">
        <f t="shared" si="202"/>
        <v>399</v>
      </c>
      <c r="V987" s="53" t="str">
        <f t="shared" si="203"/>
        <v/>
      </c>
      <c r="W987" s="53" t="str">
        <f t="shared" si="204"/>
        <v/>
      </c>
      <c r="X987" s="53" t="str">
        <f t="shared" si="205"/>
        <v/>
      </c>
      <c r="Y987" s="57" t="str">
        <f>IF($X987="","",IFERROR(VLOOKUP($X987,'Char Popularity'!$A$2:$C$500,2,FALSE),""))</f>
        <v/>
      </c>
      <c r="Z987" s="56">
        <f>IF($X987="",1,IFERROR(VLOOKUP($X987,'Char Popularity'!$A$2:$C$500,3,FALSE),1))</f>
        <v>1</v>
      </c>
      <c r="AA987" s="62">
        <f>IF($H987&lt;&gt;"Y",0,(IF($F987&lt;&gt;"",ROUND(Dashboard!$R$4/$F987,1),IF(AND($I987="Base",$E987="Base"),Dashboard!$R$5,IF(AND($I987="Base",$E987="Red"),Dashboard!$R$6,IF(AND($I987="Base",$E987="Gold"),Dashboard!$R$7,VLOOKUP($I987,Dashboard!$Q$16:$R$21,2,FALSE)))))*VLOOKUP($I987,Dashboard!$Q$9:$R$13,2,FALSE)*IF(AND($I987="Auto",$F987="",OR($B987="Autographs Duals",$B987="Autographs Triples",$B987="Autographs Quads",$B987="Autographs Quads (Inscribed)")),IF($B987="Autographs Duals",2,IF($B987="Autographs Triples",3,4)),1)))</f>
        <v>2.5</v>
      </c>
      <c r="AB987" s="62">
        <f t="shared" si="206"/>
        <v>2.5</v>
      </c>
      <c r="AC987" s="62">
        <f t="shared" si="207"/>
        <v>0</v>
      </c>
    </row>
    <row r="988" spans="1:29" ht="42.95" customHeight="1" x14ac:dyDescent="0.25">
      <c r="A988" s="4" t="s">
        <v>19</v>
      </c>
      <c r="B988" s="7" t="s">
        <v>76</v>
      </c>
      <c r="C988" s="2" t="s">
        <v>1586</v>
      </c>
      <c r="D988" s="7" t="s">
        <v>1182</v>
      </c>
      <c r="E988" s="4" t="s">
        <v>778</v>
      </c>
      <c r="F988" s="2">
        <v>399</v>
      </c>
      <c r="G988" s="2" t="s">
        <v>1399</v>
      </c>
      <c r="H988" s="2" t="s">
        <v>1400</v>
      </c>
      <c r="I988" s="4" t="s">
        <v>60</v>
      </c>
      <c r="J988" s="112">
        <f>IF($H988&lt;&gt;"Y",0,ROUND(MIN(Dashboard!$R$24,IF(IFERROR(VLOOKUP($B988,Dashboard!$Q$28:$S$60,2,FALSE),0)&gt;0,IFERROR(VLOOKUP($B988,Dashboard!$Q$28:$S$60,2,FALSE),0),$Z988*IF($U988&lt;&gt;"",ROUND((Dashboard!$R$4/$U988)*VLOOKUP($I988,Dashboard!$Q$9:$R$13,2,FALSE)*IF(ISNUMBER(SEARCH("Duals",$B988)),2,IF(ISNUMBER(SEARCH("Triples",$B988)),3,IF(ISNUMBER(SEARCH("Quads",$B988)),4,1))),2),ROUND(VLOOKUP($I988,Dashboard!$Q$15:$R$20,2,FALSE)*IF($E988="Red",Dashboard!$R$6,IF($E988="Gold",Dashboard!$R$7,Dashboard!$R$5))*IF(ISNUMBER(SEARCH("Duals",$B988)),2,IF(ISNUMBER(SEARCH("Triples",$B988)),3,IF(ISNUMBER(SEARCH("Quads",$B988)),4,1))),2))*IF(IFERROR(VLOOKUP($B988,Dashboard!$Q$28:$S$60,3,FALSE),0)&gt;0,VLOOKUP($B988,Dashboard!$Q$28:$S$60,3,FALSE),1))),0))</f>
        <v>3</v>
      </c>
      <c r="K988" s="2" t="str">
        <f>IF('Base S2'!F88="","",'Base S2'!F88)</f>
        <v>C</v>
      </c>
      <c r="L988" s="2">
        <f t="shared" si="195"/>
        <v>1</v>
      </c>
      <c r="M988" s="2">
        <f t="shared" si="196"/>
        <v>0</v>
      </c>
      <c r="N988" s="2">
        <f t="shared" si="197"/>
        <v>1</v>
      </c>
      <c r="O988" s="2">
        <f t="shared" si="198"/>
        <v>0</v>
      </c>
      <c r="P988" s="112">
        <f t="shared" si="199"/>
        <v>3</v>
      </c>
      <c r="Q988" s="112">
        <f t="shared" si="200"/>
        <v>0</v>
      </c>
      <c r="R988" s="53"/>
      <c r="S988" s="53" t="str">
        <f t="shared" si="201"/>
        <v>Base S2|Compound V Parallel - Season 2|187|Compound V</v>
      </c>
      <c r="T988" s="57" t="str">
        <f>IF($S988="","",IFERROR(VLOOKUP($S988,'Pop Estimates (Non-#d)'!$N$2:$O$500,2,FALSE),""))</f>
        <v/>
      </c>
      <c r="U988" s="57">
        <f t="shared" si="202"/>
        <v>399</v>
      </c>
      <c r="V988" s="53" t="str">
        <f t="shared" si="203"/>
        <v/>
      </c>
      <c r="W988" s="53" t="str">
        <f t="shared" si="204"/>
        <v/>
      </c>
      <c r="X988" s="53" t="str">
        <f t="shared" si="205"/>
        <v/>
      </c>
      <c r="Y988" s="57" t="str">
        <f>IF($X988="","",IFERROR(VLOOKUP($X988,'Char Popularity'!$A$2:$C$500,2,FALSE),""))</f>
        <v/>
      </c>
      <c r="Z988" s="56">
        <f>IF($X988="",1,IFERROR(VLOOKUP($X988,'Char Popularity'!$A$2:$C$500,3,FALSE),1))</f>
        <v>1</v>
      </c>
      <c r="AA988" s="62">
        <f>IF($H988&lt;&gt;"Y",0,(IF($F988&lt;&gt;"",ROUND(Dashboard!$R$4/$F988,1),IF(AND($I988="Base",$E988="Base"),Dashboard!$R$5,IF(AND($I988="Base",$E988="Red"),Dashboard!$R$6,IF(AND($I988="Base",$E988="Gold"),Dashboard!$R$7,VLOOKUP($I988,Dashboard!$Q$16:$R$21,2,FALSE)))))*VLOOKUP($I988,Dashboard!$Q$9:$R$13,2,FALSE)*IF(AND($I988="Auto",$F988="",OR($B988="Autographs Duals",$B988="Autographs Triples",$B988="Autographs Quads",$B988="Autographs Quads (Inscribed)")),IF($B988="Autographs Duals",2,IF($B988="Autographs Triples",3,4)),1)))</f>
        <v>2.5</v>
      </c>
      <c r="AB988" s="62">
        <f t="shared" si="206"/>
        <v>2.5</v>
      </c>
      <c r="AC988" s="62">
        <f t="shared" si="207"/>
        <v>0</v>
      </c>
    </row>
    <row r="989" spans="1:29" ht="42.95" customHeight="1" x14ac:dyDescent="0.25">
      <c r="A989" s="4" t="s">
        <v>19</v>
      </c>
      <c r="B989" s="7" t="s">
        <v>76</v>
      </c>
      <c r="C989" s="2" t="s">
        <v>1587</v>
      </c>
      <c r="D989" s="7" t="s">
        <v>1183</v>
      </c>
      <c r="E989" s="4" t="s">
        <v>778</v>
      </c>
      <c r="F989" s="2">
        <v>399</v>
      </c>
      <c r="G989" s="2" t="s">
        <v>1399</v>
      </c>
      <c r="H989" s="2" t="s">
        <v>1400</v>
      </c>
      <c r="I989" s="4" t="s">
        <v>60</v>
      </c>
      <c r="J989" s="112">
        <f>IF($H989&lt;&gt;"Y",0,ROUND(MIN(Dashboard!$R$24,IF(IFERROR(VLOOKUP($B989,Dashboard!$Q$28:$S$60,2,FALSE),0)&gt;0,IFERROR(VLOOKUP($B989,Dashboard!$Q$28:$S$60,2,FALSE),0),$Z989*IF($U989&lt;&gt;"",ROUND((Dashboard!$R$4/$U989)*VLOOKUP($I989,Dashboard!$Q$9:$R$13,2,FALSE)*IF(ISNUMBER(SEARCH("Duals",$B989)),2,IF(ISNUMBER(SEARCH("Triples",$B989)),3,IF(ISNUMBER(SEARCH("Quads",$B989)),4,1))),2),ROUND(VLOOKUP($I989,Dashboard!$Q$15:$R$20,2,FALSE)*IF($E989="Red",Dashboard!$R$6,IF($E989="Gold",Dashboard!$R$7,Dashboard!$R$5))*IF(ISNUMBER(SEARCH("Duals",$B989)),2,IF(ISNUMBER(SEARCH("Triples",$B989)),3,IF(ISNUMBER(SEARCH("Quads",$B989)),4,1))),2))*IF(IFERROR(VLOOKUP($B989,Dashboard!$Q$28:$S$60,3,FALSE),0)&gt;0,VLOOKUP($B989,Dashboard!$Q$28:$S$60,3,FALSE),1))),0))</f>
        <v>3</v>
      </c>
      <c r="K989" s="2" t="str">
        <f>IF('Base S2'!F89="","",'Base S2'!F89)</f>
        <v>C</v>
      </c>
      <c r="L989" s="2">
        <f t="shared" si="195"/>
        <v>1</v>
      </c>
      <c r="M989" s="2">
        <f t="shared" si="196"/>
        <v>0</v>
      </c>
      <c r="N989" s="2">
        <f t="shared" si="197"/>
        <v>1</v>
      </c>
      <c r="O989" s="2">
        <f t="shared" si="198"/>
        <v>0</v>
      </c>
      <c r="P989" s="112">
        <f t="shared" si="199"/>
        <v>3</v>
      </c>
      <c r="Q989" s="112">
        <f t="shared" si="200"/>
        <v>0</v>
      </c>
      <c r="R989" s="53"/>
      <c r="S989" s="53" t="str">
        <f t="shared" si="201"/>
        <v>Base S2|Compound V Parallel - Season 2|188|Compound V</v>
      </c>
      <c r="T989" s="57" t="str">
        <f>IF($S989="","",IFERROR(VLOOKUP($S989,'Pop Estimates (Non-#d)'!$N$2:$O$500,2,FALSE),""))</f>
        <v/>
      </c>
      <c r="U989" s="57">
        <f t="shared" si="202"/>
        <v>399</v>
      </c>
      <c r="V989" s="53" t="str">
        <f t="shared" si="203"/>
        <v/>
      </c>
      <c r="W989" s="53" t="str">
        <f t="shared" si="204"/>
        <v/>
      </c>
      <c r="X989" s="53" t="str">
        <f t="shared" si="205"/>
        <v/>
      </c>
      <c r="Y989" s="57" t="str">
        <f>IF($X989="","",IFERROR(VLOOKUP($X989,'Char Popularity'!$A$2:$C$500,2,FALSE),""))</f>
        <v/>
      </c>
      <c r="Z989" s="56">
        <f>IF($X989="",1,IFERROR(VLOOKUP($X989,'Char Popularity'!$A$2:$C$500,3,FALSE),1))</f>
        <v>1</v>
      </c>
      <c r="AA989" s="62">
        <f>IF($H989&lt;&gt;"Y",0,(IF($F989&lt;&gt;"",ROUND(Dashboard!$R$4/$F989,1),IF(AND($I989="Base",$E989="Base"),Dashboard!$R$5,IF(AND($I989="Base",$E989="Red"),Dashboard!$R$6,IF(AND($I989="Base",$E989="Gold"),Dashboard!$R$7,VLOOKUP($I989,Dashboard!$Q$16:$R$21,2,FALSE)))))*VLOOKUP($I989,Dashboard!$Q$9:$R$13,2,FALSE)*IF(AND($I989="Auto",$F989="",OR($B989="Autographs Duals",$B989="Autographs Triples",$B989="Autographs Quads",$B989="Autographs Quads (Inscribed)")),IF($B989="Autographs Duals",2,IF($B989="Autographs Triples",3,4)),1)))</f>
        <v>2.5</v>
      </c>
      <c r="AB989" s="62">
        <f t="shared" si="206"/>
        <v>2.5</v>
      </c>
      <c r="AC989" s="62">
        <f t="shared" si="207"/>
        <v>0</v>
      </c>
    </row>
    <row r="990" spans="1:29" ht="42.95" customHeight="1" x14ac:dyDescent="0.25">
      <c r="A990" s="4" t="s">
        <v>19</v>
      </c>
      <c r="B990" s="7" t="s">
        <v>76</v>
      </c>
      <c r="C990" s="2" t="s">
        <v>1588</v>
      </c>
      <c r="D990" s="7" t="s">
        <v>1185</v>
      </c>
      <c r="E990" s="4" t="s">
        <v>778</v>
      </c>
      <c r="F990" s="2">
        <v>399</v>
      </c>
      <c r="G990" s="2" t="s">
        <v>1399</v>
      </c>
      <c r="H990" s="2" t="s">
        <v>1400</v>
      </c>
      <c r="I990" s="4" t="s">
        <v>60</v>
      </c>
      <c r="J990" s="112">
        <f>IF($H990&lt;&gt;"Y",0,ROUND(MIN(Dashboard!$R$24,IF(IFERROR(VLOOKUP($B990,Dashboard!$Q$28:$S$60,2,FALSE),0)&gt;0,IFERROR(VLOOKUP($B990,Dashboard!$Q$28:$S$60,2,FALSE),0),$Z990*IF($U990&lt;&gt;"",ROUND((Dashboard!$R$4/$U990)*VLOOKUP($I990,Dashboard!$Q$9:$R$13,2,FALSE)*IF(ISNUMBER(SEARCH("Duals",$B990)),2,IF(ISNUMBER(SEARCH("Triples",$B990)),3,IF(ISNUMBER(SEARCH("Quads",$B990)),4,1))),2),ROUND(VLOOKUP($I990,Dashboard!$Q$15:$R$20,2,FALSE)*IF($E990="Red",Dashboard!$R$6,IF($E990="Gold",Dashboard!$R$7,Dashboard!$R$5))*IF(ISNUMBER(SEARCH("Duals",$B990)),2,IF(ISNUMBER(SEARCH("Triples",$B990)),3,IF(ISNUMBER(SEARCH("Quads",$B990)),4,1))),2))*IF(IFERROR(VLOOKUP($B990,Dashboard!$Q$28:$S$60,3,FALSE),0)&gt;0,VLOOKUP($B990,Dashboard!$Q$28:$S$60,3,FALSE),1))),0))</f>
        <v>3</v>
      </c>
      <c r="K990" s="2" t="str">
        <f>IF('Base S2'!F90="","",'Base S2'!F90)</f>
        <v>C</v>
      </c>
      <c r="L990" s="2">
        <f t="shared" si="195"/>
        <v>1</v>
      </c>
      <c r="M990" s="2">
        <f t="shared" si="196"/>
        <v>0</v>
      </c>
      <c r="N990" s="2">
        <f t="shared" si="197"/>
        <v>1</v>
      </c>
      <c r="O990" s="2">
        <f t="shared" si="198"/>
        <v>0</v>
      </c>
      <c r="P990" s="112">
        <f t="shared" si="199"/>
        <v>3</v>
      </c>
      <c r="Q990" s="112">
        <f t="shared" si="200"/>
        <v>0</v>
      </c>
      <c r="R990" s="53"/>
      <c r="S990" s="53" t="str">
        <f t="shared" si="201"/>
        <v>Base S2|Compound V Parallel - Season 2|189|Compound V</v>
      </c>
      <c r="T990" s="57" t="str">
        <f>IF($S990="","",IFERROR(VLOOKUP($S990,'Pop Estimates (Non-#d)'!$N$2:$O$500,2,FALSE),""))</f>
        <v/>
      </c>
      <c r="U990" s="57">
        <f t="shared" si="202"/>
        <v>399</v>
      </c>
      <c r="V990" s="53" t="str">
        <f t="shared" si="203"/>
        <v/>
      </c>
      <c r="W990" s="53" t="str">
        <f t="shared" si="204"/>
        <v/>
      </c>
      <c r="X990" s="53" t="str">
        <f t="shared" si="205"/>
        <v/>
      </c>
      <c r="Y990" s="57" t="str">
        <f>IF($X990="","",IFERROR(VLOOKUP($X990,'Char Popularity'!$A$2:$C$500,2,FALSE),""))</f>
        <v/>
      </c>
      <c r="Z990" s="56">
        <f>IF($X990="",1,IFERROR(VLOOKUP($X990,'Char Popularity'!$A$2:$C$500,3,FALSE),1))</f>
        <v>1</v>
      </c>
      <c r="AA990" s="62">
        <f>IF($H990&lt;&gt;"Y",0,(IF($F990&lt;&gt;"",ROUND(Dashboard!$R$4/$F990,1),IF(AND($I990="Base",$E990="Base"),Dashboard!$R$5,IF(AND($I990="Base",$E990="Red"),Dashboard!$R$6,IF(AND($I990="Base",$E990="Gold"),Dashboard!$R$7,VLOOKUP($I990,Dashboard!$Q$16:$R$21,2,FALSE)))))*VLOOKUP($I990,Dashboard!$Q$9:$R$13,2,FALSE)*IF(AND($I990="Auto",$F990="",OR($B990="Autographs Duals",$B990="Autographs Triples",$B990="Autographs Quads",$B990="Autographs Quads (Inscribed)")),IF($B990="Autographs Duals",2,IF($B990="Autographs Triples",3,4)),1)))</f>
        <v>2.5</v>
      </c>
      <c r="AB990" s="62">
        <f t="shared" si="206"/>
        <v>2.5</v>
      </c>
      <c r="AC990" s="62">
        <f t="shared" si="207"/>
        <v>0</v>
      </c>
    </row>
    <row r="991" spans="1:29" ht="42.95" customHeight="1" x14ac:dyDescent="0.25">
      <c r="A991" s="4" t="s">
        <v>19</v>
      </c>
      <c r="B991" s="7" t="s">
        <v>76</v>
      </c>
      <c r="C991" s="2" t="s">
        <v>1589</v>
      </c>
      <c r="D991" s="7" t="s">
        <v>1186</v>
      </c>
      <c r="E991" s="4" t="s">
        <v>778</v>
      </c>
      <c r="F991" s="2">
        <v>399</v>
      </c>
      <c r="G991" s="2" t="s">
        <v>1399</v>
      </c>
      <c r="H991" s="2" t="s">
        <v>1400</v>
      </c>
      <c r="I991" s="4" t="s">
        <v>60</v>
      </c>
      <c r="J991" s="112">
        <f>IF($H991&lt;&gt;"Y",0,ROUND(MIN(Dashboard!$R$24,IF(IFERROR(VLOOKUP($B991,Dashboard!$Q$28:$S$60,2,FALSE),0)&gt;0,IFERROR(VLOOKUP($B991,Dashboard!$Q$28:$S$60,2,FALSE),0),$Z991*IF($U991&lt;&gt;"",ROUND((Dashboard!$R$4/$U991)*VLOOKUP($I991,Dashboard!$Q$9:$R$13,2,FALSE)*IF(ISNUMBER(SEARCH("Duals",$B991)),2,IF(ISNUMBER(SEARCH("Triples",$B991)),3,IF(ISNUMBER(SEARCH("Quads",$B991)),4,1))),2),ROUND(VLOOKUP($I991,Dashboard!$Q$15:$R$20,2,FALSE)*IF($E991="Red",Dashboard!$R$6,IF($E991="Gold",Dashboard!$R$7,Dashboard!$R$5))*IF(ISNUMBER(SEARCH("Duals",$B991)),2,IF(ISNUMBER(SEARCH("Triples",$B991)),3,IF(ISNUMBER(SEARCH("Quads",$B991)),4,1))),2))*IF(IFERROR(VLOOKUP($B991,Dashboard!$Q$28:$S$60,3,FALSE),0)&gt;0,VLOOKUP($B991,Dashboard!$Q$28:$S$60,3,FALSE),1))),0))</f>
        <v>3</v>
      </c>
      <c r="K991" s="2" t="str">
        <f>IF('Base S2'!F91="","",'Base S2'!F91)</f>
        <v>C</v>
      </c>
      <c r="L991" s="2">
        <f t="shared" si="195"/>
        <v>1</v>
      </c>
      <c r="M991" s="2">
        <f t="shared" si="196"/>
        <v>0</v>
      </c>
      <c r="N991" s="2">
        <f t="shared" si="197"/>
        <v>1</v>
      </c>
      <c r="O991" s="2">
        <f t="shared" si="198"/>
        <v>0</v>
      </c>
      <c r="P991" s="112">
        <f t="shared" si="199"/>
        <v>3</v>
      </c>
      <c r="Q991" s="112">
        <f t="shared" si="200"/>
        <v>0</v>
      </c>
      <c r="R991" s="53"/>
      <c r="S991" s="53" t="str">
        <f t="shared" si="201"/>
        <v>Base S2|Compound V Parallel - Season 2|190|Compound V</v>
      </c>
      <c r="T991" s="57" t="str">
        <f>IF($S991="","",IFERROR(VLOOKUP($S991,'Pop Estimates (Non-#d)'!$N$2:$O$500,2,FALSE),""))</f>
        <v/>
      </c>
      <c r="U991" s="57">
        <f t="shared" si="202"/>
        <v>399</v>
      </c>
      <c r="V991" s="53" t="str">
        <f t="shared" si="203"/>
        <v/>
      </c>
      <c r="W991" s="53" t="str">
        <f t="shared" si="204"/>
        <v/>
      </c>
      <c r="X991" s="53" t="str">
        <f t="shared" si="205"/>
        <v/>
      </c>
      <c r="Y991" s="57" t="str">
        <f>IF($X991="","",IFERROR(VLOOKUP($X991,'Char Popularity'!$A$2:$C$500,2,FALSE),""))</f>
        <v/>
      </c>
      <c r="Z991" s="56">
        <f>IF($X991="",1,IFERROR(VLOOKUP($X991,'Char Popularity'!$A$2:$C$500,3,FALSE),1))</f>
        <v>1</v>
      </c>
      <c r="AA991" s="62">
        <f>IF($H991&lt;&gt;"Y",0,(IF($F991&lt;&gt;"",ROUND(Dashboard!$R$4/$F991,1),IF(AND($I991="Base",$E991="Base"),Dashboard!$R$5,IF(AND($I991="Base",$E991="Red"),Dashboard!$R$6,IF(AND($I991="Base",$E991="Gold"),Dashboard!$R$7,VLOOKUP($I991,Dashboard!$Q$16:$R$21,2,FALSE)))))*VLOOKUP($I991,Dashboard!$Q$9:$R$13,2,FALSE)*IF(AND($I991="Auto",$F991="",OR($B991="Autographs Duals",$B991="Autographs Triples",$B991="Autographs Quads",$B991="Autographs Quads (Inscribed)")),IF($B991="Autographs Duals",2,IF($B991="Autographs Triples",3,4)),1)))</f>
        <v>2.5</v>
      </c>
      <c r="AB991" s="62">
        <f t="shared" si="206"/>
        <v>2.5</v>
      </c>
      <c r="AC991" s="62">
        <f t="shared" si="207"/>
        <v>0</v>
      </c>
    </row>
    <row r="992" spans="1:29" ht="42.95" customHeight="1" x14ac:dyDescent="0.25">
      <c r="A992" s="4" t="s">
        <v>19</v>
      </c>
      <c r="B992" s="7" t="s">
        <v>76</v>
      </c>
      <c r="C992" s="2" t="s">
        <v>1590</v>
      </c>
      <c r="D992" s="7" t="s">
        <v>1187</v>
      </c>
      <c r="E992" s="4" t="s">
        <v>778</v>
      </c>
      <c r="F992" s="2">
        <v>399</v>
      </c>
      <c r="G992" s="2" t="s">
        <v>1399</v>
      </c>
      <c r="H992" s="2" t="s">
        <v>1400</v>
      </c>
      <c r="I992" s="4" t="s">
        <v>60</v>
      </c>
      <c r="J992" s="112">
        <f>IF($H992&lt;&gt;"Y",0,ROUND(MIN(Dashboard!$R$24,IF(IFERROR(VLOOKUP($B992,Dashboard!$Q$28:$S$60,2,FALSE),0)&gt;0,IFERROR(VLOOKUP($B992,Dashboard!$Q$28:$S$60,2,FALSE),0),$Z992*IF($U992&lt;&gt;"",ROUND((Dashboard!$R$4/$U992)*VLOOKUP($I992,Dashboard!$Q$9:$R$13,2,FALSE)*IF(ISNUMBER(SEARCH("Duals",$B992)),2,IF(ISNUMBER(SEARCH("Triples",$B992)),3,IF(ISNUMBER(SEARCH("Quads",$B992)),4,1))),2),ROUND(VLOOKUP($I992,Dashboard!$Q$15:$R$20,2,FALSE)*IF($E992="Red",Dashboard!$R$6,IF($E992="Gold",Dashboard!$R$7,Dashboard!$R$5))*IF(ISNUMBER(SEARCH("Duals",$B992)),2,IF(ISNUMBER(SEARCH("Triples",$B992)),3,IF(ISNUMBER(SEARCH("Quads",$B992)),4,1))),2))*IF(IFERROR(VLOOKUP($B992,Dashboard!$Q$28:$S$60,3,FALSE),0)&gt;0,VLOOKUP($B992,Dashboard!$Q$28:$S$60,3,FALSE),1))),0))</f>
        <v>3</v>
      </c>
      <c r="K992" s="2" t="str">
        <f>IF('Base S2'!F92="","",'Base S2'!F92)</f>
        <v>V</v>
      </c>
      <c r="L992" s="2">
        <f t="shared" si="195"/>
        <v>1</v>
      </c>
      <c r="M992" s="2">
        <f t="shared" si="196"/>
        <v>0</v>
      </c>
      <c r="N992" s="2">
        <f t="shared" si="197"/>
        <v>1</v>
      </c>
      <c r="O992" s="2">
        <f t="shared" si="198"/>
        <v>0</v>
      </c>
      <c r="P992" s="112">
        <f t="shared" si="199"/>
        <v>3</v>
      </c>
      <c r="Q992" s="112">
        <f t="shared" si="200"/>
        <v>0</v>
      </c>
      <c r="R992" s="53"/>
      <c r="S992" s="53" t="str">
        <f t="shared" si="201"/>
        <v>Base S2|Compound V Parallel - Season 2|191|Compound V</v>
      </c>
      <c r="T992" s="57" t="str">
        <f>IF($S992="","",IFERROR(VLOOKUP($S992,'Pop Estimates (Non-#d)'!$N$2:$O$500,2,FALSE),""))</f>
        <v/>
      </c>
      <c r="U992" s="57">
        <f t="shared" si="202"/>
        <v>399</v>
      </c>
      <c r="V992" s="53" t="str">
        <f t="shared" si="203"/>
        <v/>
      </c>
      <c r="W992" s="53" t="str">
        <f t="shared" si="204"/>
        <v/>
      </c>
      <c r="X992" s="53" t="str">
        <f t="shared" si="205"/>
        <v/>
      </c>
      <c r="Y992" s="57" t="str">
        <f>IF($X992="","",IFERROR(VLOOKUP($X992,'Char Popularity'!$A$2:$C$500,2,FALSE),""))</f>
        <v/>
      </c>
      <c r="Z992" s="56">
        <f>IF($X992="",1,IFERROR(VLOOKUP($X992,'Char Popularity'!$A$2:$C$500,3,FALSE),1))</f>
        <v>1</v>
      </c>
      <c r="AA992" s="62">
        <f>IF($H992&lt;&gt;"Y",0,(IF($F992&lt;&gt;"",ROUND(Dashboard!$R$4/$F992,1),IF(AND($I992="Base",$E992="Base"),Dashboard!$R$5,IF(AND($I992="Base",$E992="Red"),Dashboard!$R$6,IF(AND($I992="Base",$E992="Gold"),Dashboard!$R$7,VLOOKUP($I992,Dashboard!$Q$16:$R$21,2,FALSE)))))*VLOOKUP($I992,Dashboard!$Q$9:$R$13,2,FALSE)*IF(AND($I992="Auto",$F992="",OR($B992="Autographs Duals",$B992="Autographs Triples",$B992="Autographs Quads",$B992="Autographs Quads (Inscribed)")),IF($B992="Autographs Duals",2,IF($B992="Autographs Triples",3,4)),1)))</f>
        <v>2.5</v>
      </c>
      <c r="AB992" s="62">
        <f t="shared" si="206"/>
        <v>2.5</v>
      </c>
      <c r="AC992" s="62">
        <f t="shared" si="207"/>
        <v>0</v>
      </c>
    </row>
    <row r="993" spans="1:29" ht="42.95" customHeight="1" x14ac:dyDescent="0.25">
      <c r="A993" s="4" t="s">
        <v>19</v>
      </c>
      <c r="B993" s="7" t="s">
        <v>76</v>
      </c>
      <c r="C993" s="2" t="s">
        <v>1591</v>
      </c>
      <c r="D993" s="7" t="s">
        <v>1188</v>
      </c>
      <c r="E993" s="4" t="s">
        <v>778</v>
      </c>
      <c r="F993" s="2">
        <v>399</v>
      </c>
      <c r="G993" s="2" t="s">
        <v>1399</v>
      </c>
      <c r="H993" s="2" t="s">
        <v>1400</v>
      </c>
      <c r="I993" s="4" t="s">
        <v>60</v>
      </c>
      <c r="J993" s="112">
        <f>IF($H993&lt;&gt;"Y",0,ROUND(MIN(Dashboard!$R$24,IF(IFERROR(VLOOKUP($B993,Dashboard!$Q$28:$S$60,2,FALSE),0)&gt;0,IFERROR(VLOOKUP($B993,Dashboard!$Q$28:$S$60,2,FALSE),0),$Z993*IF($U993&lt;&gt;"",ROUND((Dashboard!$R$4/$U993)*VLOOKUP($I993,Dashboard!$Q$9:$R$13,2,FALSE)*IF(ISNUMBER(SEARCH("Duals",$B993)),2,IF(ISNUMBER(SEARCH("Triples",$B993)),3,IF(ISNUMBER(SEARCH("Quads",$B993)),4,1))),2),ROUND(VLOOKUP($I993,Dashboard!$Q$15:$R$20,2,FALSE)*IF($E993="Red",Dashboard!$R$6,IF($E993="Gold",Dashboard!$R$7,Dashboard!$R$5))*IF(ISNUMBER(SEARCH("Duals",$B993)),2,IF(ISNUMBER(SEARCH("Triples",$B993)),3,IF(ISNUMBER(SEARCH("Quads",$B993)),4,1))),2))*IF(IFERROR(VLOOKUP($B993,Dashboard!$Q$28:$S$60,3,FALSE),0)&gt;0,VLOOKUP($B993,Dashboard!$Q$28:$S$60,3,FALSE),1))),0))</f>
        <v>3</v>
      </c>
      <c r="K993" s="2" t="str">
        <f>IF('Base S2'!F93="","",'Base S2'!F93)</f>
        <v>V</v>
      </c>
      <c r="L993" s="2">
        <f t="shared" si="195"/>
        <v>1</v>
      </c>
      <c r="M993" s="2">
        <f t="shared" si="196"/>
        <v>0</v>
      </c>
      <c r="N993" s="2">
        <f t="shared" si="197"/>
        <v>1</v>
      </c>
      <c r="O993" s="2">
        <f t="shared" si="198"/>
        <v>0</v>
      </c>
      <c r="P993" s="112">
        <f t="shared" si="199"/>
        <v>3</v>
      </c>
      <c r="Q993" s="112">
        <f t="shared" si="200"/>
        <v>0</v>
      </c>
      <c r="R993" s="53"/>
      <c r="S993" s="53" t="str">
        <f t="shared" si="201"/>
        <v>Base S2|Compound V Parallel - Season 2|192|Compound V</v>
      </c>
      <c r="T993" s="57" t="str">
        <f>IF($S993="","",IFERROR(VLOOKUP($S993,'Pop Estimates (Non-#d)'!$N$2:$O$500,2,FALSE),""))</f>
        <v/>
      </c>
      <c r="U993" s="57">
        <f t="shared" si="202"/>
        <v>399</v>
      </c>
      <c r="V993" s="53" t="str">
        <f t="shared" si="203"/>
        <v/>
      </c>
      <c r="W993" s="53" t="str">
        <f t="shared" si="204"/>
        <v/>
      </c>
      <c r="X993" s="53" t="str">
        <f t="shared" si="205"/>
        <v/>
      </c>
      <c r="Y993" s="57" t="str">
        <f>IF($X993="","",IFERROR(VLOOKUP($X993,'Char Popularity'!$A$2:$C$500,2,FALSE),""))</f>
        <v/>
      </c>
      <c r="Z993" s="56">
        <f>IF($X993="",1,IFERROR(VLOOKUP($X993,'Char Popularity'!$A$2:$C$500,3,FALSE),1))</f>
        <v>1</v>
      </c>
      <c r="AA993" s="62">
        <f>IF($H993&lt;&gt;"Y",0,(IF($F993&lt;&gt;"",ROUND(Dashboard!$R$4/$F993,1),IF(AND($I993="Base",$E993="Base"),Dashboard!$R$5,IF(AND($I993="Base",$E993="Red"),Dashboard!$R$6,IF(AND($I993="Base",$E993="Gold"),Dashboard!$R$7,VLOOKUP($I993,Dashboard!$Q$16:$R$21,2,FALSE)))))*VLOOKUP($I993,Dashboard!$Q$9:$R$13,2,FALSE)*IF(AND($I993="Auto",$F993="",OR($B993="Autographs Duals",$B993="Autographs Triples",$B993="Autographs Quads",$B993="Autographs Quads (Inscribed)")),IF($B993="Autographs Duals",2,IF($B993="Autographs Triples",3,4)),1)))</f>
        <v>2.5</v>
      </c>
      <c r="AB993" s="62">
        <f t="shared" si="206"/>
        <v>2.5</v>
      </c>
      <c r="AC993" s="62">
        <f t="shared" si="207"/>
        <v>0</v>
      </c>
    </row>
    <row r="994" spans="1:29" ht="42.95" customHeight="1" x14ac:dyDescent="0.25">
      <c r="A994" s="4" t="s">
        <v>19</v>
      </c>
      <c r="B994" s="7" t="s">
        <v>76</v>
      </c>
      <c r="C994" s="2" t="s">
        <v>1592</v>
      </c>
      <c r="D994" s="7" t="s">
        <v>1190</v>
      </c>
      <c r="E994" s="4" t="s">
        <v>778</v>
      </c>
      <c r="F994" s="2">
        <v>399</v>
      </c>
      <c r="G994" s="2" t="s">
        <v>1399</v>
      </c>
      <c r="H994" s="2" t="s">
        <v>1400</v>
      </c>
      <c r="I994" s="4" t="s">
        <v>60</v>
      </c>
      <c r="J994" s="112">
        <f>IF($H994&lt;&gt;"Y",0,ROUND(MIN(Dashboard!$R$24,IF(IFERROR(VLOOKUP($B994,Dashboard!$Q$28:$S$60,2,FALSE),0)&gt;0,IFERROR(VLOOKUP($B994,Dashboard!$Q$28:$S$60,2,FALSE),0),$Z994*IF($U994&lt;&gt;"",ROUND((Dashboard!$R$4/$U994)*VLOOKUP($I994,Dashboard!$Q$9:$R$13,2,FALSE)*IF(ISNUMBER(SEARCH("Duals",$B994)),2,IF(ISNUMBER(SEARCH("Triples",$B994)),3,IF(ISNUMBER(SEARCH("Quads",$B994)),4,1))),2),ROUND(VLOOKUP($I994,Dashboard!$Q$15:$R$20,2,FALSE)*IF($E994="Red",Dashboard!$R$6,IF($E994="Gold",Dashboard!$R$7,Dashboard!$R$5))*IF(ISNUMBER(SEARCH("Duals",$B994)),2,IF(ISNUMBER(SEARCH("Triples",$B994)),3,IF(ISNUMBER(SEARCH("Quads",$B994)),4,1))),2))*IF(IFERROR(VLOOKUP($B994,Dashboard!$Q$28:$S$60,3,FALSE),0)&gt;0,VLOOKUP($B994,Dashboard!$Q$28:$S$60,3,FALSE),1))),0))</f>
        <v>3</v>
      </c>
      <c r="K994" s="2" t="str">
        <f>IF('Base S2'!F94="","",'Base S2'!F94)</f>
        <v>C</v>
      </c>
      <c r="L994" s="2">
        <f t="shared" si="195"/>
        <v>1</v>
      </c>
      <c r="M994" s="2">
        <f t="shared" si="196"/>
        <v>0</v>
      </c>
      <c r="N994" s="2">
        <f t="shared" si="197"/>
        <v>1</v>
      </c>
      <c r="O994" s="2">
        <f t="shared" si="198"/>
        <v>0</v>
      </c>
      <c r="P994" s="112">
        <f t="shared" si="199"/>
        <v>3</v>
      </c>
      <c r="Q994" s="112">
        <f t="shared" si="200"/>
        <v>0</v>
      </c>
      <c r="R994" s="53"/>
      <c r="S994" s="53" t="str">
        <f t="shared" si="201"/>
        <v>Base S2|Compound V Parallel - Season 2|193|Compound V</v>
      </c>
      <c r="T994" s="57" t="str">
        <f>IF($S994="","",IFERROR(VLOOKUP($S994,'Pop Estimates (Non-#d)'!$N$2:$O$500,2,FALSE),""))</f>
        <v/>
      </c>
      <c r="U994" s="57">
        <f t="shared" si="202"/>
        <v>399</v>
      </c>
      <c r="V994" s="53" t="str">
        <f t="shared" si="203"/>
        <v/>
      </c>
      <c r="W994" s="53" t="str">
        <f t="shared" si="204"/>
        <v/>
      </c>
      <c r="X994" s="53" t="str">
        <f t="shared" si="205"/>
        <v/>
      </c>
      <c r="Y994" s="57" t="str">
        <f>IF($X994="","",IFERROR(VLOOKUP($X994,'Char Popularity'!$A$2:$C$500,2,FALSE),""))</f>
        <v/>
      </c>
      <c r="Z994" s="56">
        <f>IF($X994="",1,IFERROR(VLOOKUP($X994,'Char Popularity'!$A$2:$C$500,3,FALSE),1))</f>
        <v>1</v>
      </c>
      <c r="AA994" s="62">
        <f>IF($H994&lt;&gt;"Y",0,(IF($F994&lt;&gt;"",ROUND(Dashboard!$R$4/$F994,1),IF(AND($I994="Base",$E994="Base"),Dashboard!$R$5,IF(AND($I994="Base",$E994="Red"),Dashboard!$R$6,IF(AND($I994="Base",$E994="Gold"),Dashboard!$R$7,VLOOKUP($I994,Dashboard!$Q$16:$R$21,2,FALSE)))))*VLOOKUP($I994,Dashboard!$Q$9:$R$13,2,FALSE)*IF(AND($I994="Auto",$F994="",OR($B994="Autographs Duals",$B994="Autographs Triples",$B994="Autographs Quads",$B994="Autographs Quads (Inscribed)")),IF($B994="Autographs Duals",2,IF($B994="Autographs Triples",3,4)),1)))</f>
        <v>2.5</v>
      </c>
      <c r="AB994" s="62">
        <f t="shared" si="206"/>
        <v>2.5</v>
      </c>
      <c r="AC994" s="62">
        <f t="shared" si="207"/>
        <v>0</v>
      </c>
    </row>
    <row r="995" spans="1:29" ht="42.95" customHeight="1" x14ac:dyDescent="0.25">
      <c r="A995" s="4" t="s">
        <v>19</v>
      </c>
      <c r="B995" s="7" t="s">
        <v>76</v>
      </c>
      <c r="C995" s="2" t="s">
        <v>1593</v>
      </c>
      <c r="D995" s="7" t="s">
        <v>1191</v>
      </c>
      <c r="E995" s="4" t="s">
        <v>778</v>
      </c>
      <c r="F995" s="2">
        <v>399</v>
      </c>
      <c r="G995" s="2" t="s">
        <v>1399</v>
      </c>
      <c r="H995" s="2" t="s">
        <v>1400</v>
      </c>
      <c r="I995" s="4" t="s">
        <v>60</v>
      </c>
      <c r="J995" s="112">
        <f>IF($H995&lt;&gt;"Y",0,ROUND(MIN(Dashboard!$R$24,IF(IFERROR(VLOOKUP($B995,Dashboard!$Q$28:$S$60,2,FALSE),0)&gt;0,IFERROR(VLOOKUP($B995,Dashboard!$Q$28:$S$60,2,FALSE),0),$Z995*IF($U995&lt;&gt;"",ROUND((Dashboard!$R$4/$U995)*VLOOKUP($I995,Dashboard!$Q$9:$R$13,2,FALSE)*IF(ISNUMBER(SEARCH("Duals",$B995)),2,IF(ISNUMBER(SEARCH("Triples",$B995)),3,IF(ISNUMBER(SEARCH("Quads",$B995)),4,1))),2),ROUND(VLOOKUP($I995,Dashboard!$Q$15:$R$20,2,FALSE)*IF($E995="Red",Dashboard!$R$6,IF($E995="Gold",Dashboard!$R$7,Dashboard!$R$5))*IF(ISNUMBER(SEARCH("Duals",$B995)),2,IF(ISNUMBER(SEARCH("Triples",$B995)),3,IF(ISNUMBER(SEARCH("Quads",$B995)),4,1))),2))*IF(IFERROR(VLOOKUP($B995,Dashboard!$Q$28:$S$60,3,FALSE),0)&gt;0,VLOOKUP($B995,Dashboard!$Q$28:$S$60,3,FALSE),1))),0))</f>
        <v>3</v>
      </c>
      <c r="K995" s="2" t="str">
        <f>IF('Base S2'!F95="","",'Base S2'!F95)</f>
        <v>C</v>
      </c>
      <c r="L995" s="2">
        <f t="shared" si="195"/>
        <v>1</v>
      </c>
      <c r="M995" s="2">
        <f t="shared" si="196"/>
        <v>0</v>
      </c>
      <c r="N995" s="2">
        <f t="shared" si="197"/>
        <v>1</v>
      </c>
      <c r="O995" s="2">
        <f t="shared" si="198"/>
        <v>0</v>
      </c>
      <c r="P995" s="112">
        <f t="shared" si="199"/>
        <v>3</v>
      </c>
      <c r="Q995" s="112">
        <f t="shared" si="200"/>
        <v>0</v>
      </c>
      <c r="R995" s="53"/>
      <c r="S995" s="53" t="str">
        <f t="shared" si="201"/>
        <v>Base S2|Compound V Parallel - Season 2|194|Compound V</v>
      </c>
      <c r="T995" s="57" t="str">
        <f>IF($S995="","",IFERROR(VLOOKUP($S995,'Pop Estimates (Non-#d)'!$N$2:$O$500,2,FALSE),""))</f>
        <v/>
      </c>
      <c r="U995" s="57">
        <f t="shared" si="202"/>
        <v>399</v>
      </c>
      <c r="V995" s="53" t="str">
        <f t="shared" si="203"/>
        <v/>
      </c>
      <c r="W995" s="53" t="str">
        <f t="shared" si="204"/>
        <v/>
      </c>
      <c r="X995" s="53" t="str">
        <f t="shared" si="205"/>
        <v/>
      </c>
      <c r="Y995" s="57" t="str">
        <f>IF($X995="","",IFERROR(VLOOKUP($X995,'Char Popularity'!$A$2:$C$500,2,FALSE),""))</f>
        <v/>
      </c>
      <c r="Z995" s="56">
        <f>IF($X995="",1,IFERROR(VLOOKUP($X995,'Char Popularity'!$A$2:$C$500,3,FALSE),1))</f>
        <v>1</v>
      </c>
      <c r="AA995" s="62">
        <f>IF($H995&lt;&gt;"Y",0,(IF($F995&lt;&gt;"",ROUND(Dashboard!$R$4/$F995,1),IF(AND($I995="Base",$E995="Base"),Dashboard!$R$5,IF(AND($I995="Base",$E995="Red"),Dashboard!$R$6,IF(AND($I995="Base",$E995="Gold"),Dashboard!$R$7,VLOOKUP($I995,Dashboard!$Q$16:$R$21,2,FALSE)))))*VLOOKUP($I995,Dashboard!$Q$9:$R$13,2,FALSE)*IF(AND($I995="Auto",$F995="",OR($B995="Autographs Duals",$B995="Autographs Triples",$B995="Autographs Quads",$B995="Autographs Quads (Inscribed)")),IF($B995="Autographs Duals",2,IF($B995="Autographs Triples",3,4)),1)))</f>
        <v>2.5</v>
      </c>
      <c r="AB995" s="62">
        <f t="shared" si="206"/>
        <v>2.5</v>
      </c>
      <c r="AC995" s="62">
        <f t="shared" si="207"/>
        <v>0</v>
      </c>
    </row>
    <row r="996" spans="1:29" ht="42.95" customHeight="1" x14ac:dyDescent="0.25">
      <c r="A996" s="4" t="s">
        <v>19</v>
      </c>
      <c r="B996" s="7" t="s">
        <v>76</v>
      </c>
      <c r="C996" s="2" t="s">
        <v>1594</v>
      </c>
      <c r="D996" s="7" t="s">
        <v>1192</v>
      </c>
      <c r="E996" s="4" t="s">
        <v>778</v>
      </c>
      <c r="F996" s="2">
        <v>399</v>
      </c>
      <c r="G996" s="2" t="s">
        <v>1399</v>
      </c>
      <c r="H996" s="2" t="s">
        <v>1400</v>
      </c>
      <c r="I996" s="4" t="s">
        <v>60</v>
      </c>
      <c r="J996" s="112">
        <f>IF($H996&lt;&gt;"Y",0,ROUND(MIN(Dashboard!$R$24,IF(IFERROR(VLOOKUP($B996,Dashboard!$Q$28:$S$60,2,FALSE),0)&gt;0,IFERROR(VLOOKUP($B996,Dashboard!$Q$28:$S$60,2,FALSE),0),$Z996*IF($U996&lt;&gt;"",ROUND((Dashboard!$R$4/$U996)*VLOOKUP($I996,Dashboard!$Q$9:$R$13,2,FALSE)*IF(ISNUMBER(SEARCH("Duals",$B996)),2,IF(ISNUMBER(SEARCH("Triples",$B996)),3,IF(ISNUMBER(SEARCH("Quads",$B996)),4,1))),2),ROUND(VLOOKUP($I996,Dashboard!$Q$15:$R$20,2,FALSE)*IF($E996="Red",Dashboard!$R$6,IF($E996="Gold",Dashboard!$R$7,Dashboard!$R$5))*IF(ISNUMBER(SEARCH("Duals",$B996)),2,IF(ISNUMBER(SEARCH("Triples",$B996)),3,IF(ISNUMBER(SEARCH("Quads",$B996)),4,1))),2))*IF(IFERROR(VLOOKUP($B996,Dashboard!$Q$28:$S$60,3,FALSE),0)&gt;0,VLOOKUP($B996,Dashboard!$Q$28:$S$60,3,FALSE),1))),0))</f>
        <v>3</v>
      </c>
      <c r="K996" s="2" t="str">
        <f>IF('Base S2'!F96="","",'Base S2'!F96)</f>
        <v>C</v>
      </c>
      <c r="L996" s="2">
        <f t="shared" si="195"/>
        <v>1</v>
      </c>
      <c r="M996" s="2">
        <f t="shared" si="196"/>
        <v>0</v>
      </c>
      <c r="N996" s="2">
        <f t="shared" si="197"/>
        <v>1</v>
      </c>
      <c r="O996" s="2">
        <f t="shared" si="198"/>
        <v>0</v>
      </c>
      <c r="P996" s="112">
        <f t="shared" si="199"/>
        <v>3</v>
      </c>
      <c r="Q996" s="112">
        <f t="shared" si="200"/>
        <v>0</v>
      </c>
      <c r="R996" s="53"/>
      <c r="S996" s="53" t="str">
        <f t="shared" si="201"/>
        <v>Base S2|Compound V Parallel - Season 2|195|Compound V</v>
      </c>
      <c r="T996" s="57" t="str">
        <f>IF($S996="","",IFERROR(VLOOKUP($S996,'Pop Estimates (Non-#d)'!$N$2:$O$500,2,FALSE),""))</f>
        <v/>
      </c>
      <c r="U996" s="57">
        <f t="shared" si="202"/>
        <v>399</v>
      </c>
      <c r="V996" s="53" t="str">
        <f t="shared" si="203"/>
        <v/>
      </c>
      <c r="W996" s="53" t="str">
        <f t="shared" si="204"/>
        <v/>
      </c>
      <c r="X996" s="53" t="str">
        <f t="shared" si="205"/>
        <v/>
      </c>
      <c r="Y996" s="57" t="str">
        <f>IF($X996="","",IFERROR(VLOOKUP($X996,'Char Popularity'!$A$2:$C$500,2,FALSE),""))</f>
        <v/>
      </c>
      <c r="Z996" s="56">
        <f>IF($X996="",1,IFERROR(VLOOKUP($X996,'Char Popularity'!$A$2:$C$500,3,FALSE),1))</f>
        <v>1</v>
      </c>
      <c r="AA996" s="62">
        <f>IF($H996&lt;&gt;"Y",0,(IF($F996&lt;&gt;"",ROUND(Dashboard!$R$4/$F996,1),IF(AND($I996="Base",$E996="Base"),Dashboard!$R$5,IF(AND($I996="Base",$E996="Red"),Dashboard!$R$6,IF(AND($I996="Base",$E996="Gold"),Dashboard!$R$7,VLOOKUP($I996,Dashboard!$Q$16:$R$21,2,FALSE)))))*VLOOKUP($I996,Dashboard!$Q$9:$R$13,2,FALSE)*IF(AND($I996="Auto",$F996="",OR($B996="Autographs Duals",$B996="Autographs Triples",$B996="Autographs Quads",$B996="Autographs Quads (Inscribed)")),IF($B996="Autographs Duals",2,IF($B996="Autographs Triples",3,4)),1)))</f>
        <v>2.5</v>
      </c>
      <c r="AB996" s="62">
        <f t="shared" si="206"/>
        <v>2.5</v>
      </c>
      <c r="AC996" s="62">
        <f t="shared" si="207"/>
        <v>0</v>
      </c>
    </row>
    <row r="997" spans="1:29" ht="42.95" customHeight="1" x14ac:dyDescent="0.25">
      <c r="A997" s="4" t="s">
        <v>19</v>
      </c>
      <c r="B997" s="7" t="s">
        <v>76</v>
      </c>
      <c r="C997" s="2" t="s">
        <v>1595</v>
      </c>
      <c r="D997" s="7" t="s">
        <v>1193</v>
      </c>
      <c r="E997" s="4" t="s">
        <v>778</v>
      </c>
      <c r="F997" s="2">
        <v>399</v>
      </c>
      <c r="G997" s="2" t="s">
        <v>1399</v>
      </c>
      <c r="H997" s="2" t="s">
        <v>1400</v>
      </c>
      <c r="I997" s="4" t="s">
        <v>60</v>
      </c>
      <c r="J997" s="112">
        <f>IF($H997&lt;&gt;"Y",0,ROUND(MIN(Dashboard!$R$24,IF(IFERROR(VLOOKUP($B997,Dashboard!$Q$28:$S$60,2,FALSE),0)&gt;0,IFERROR(VLOOKUP($B997,Dashboard!$Q$28:$S$60,2,FALSE),0),$Z997*IF($U997&lt;&gt;"",ROUND((Dashboard!$R$4/$U997)*VLOOKUP($I997,Dashboard!$Q$9:$R$13,2,FALSE)*IF(ISNUMBER(SEARCH("Duals",$B997)),2,IF(ISNUMBER(SEARCH("Triples",$B997)),3,IF(ISNUMBER(SEARCH("Quads",$B997)),4,1))),2),ROUND(VLOOKUP($I997,Dashboard!$Q$15:$R$20,2,FALSE)*IF($E997="Red",Dashboard!$R$6,IF($E997="Gold",Dashboard!$R$7,Dashboard!$R$5))*IF(ISNUMBER(SEARCH("Duals",$B997)),2,IF(ISNUMBER(SEARCH("Triples",$B997)),3,IF(ISNUMBER(SEARCH("Quads",$B997)),4,1))),2))*IF(IFERROR(VLOOKUP($B997,Dashboard!$Q$28:$S$60,3,FALSE),0)&gt;0,VLOOKUP($B997,Dashboard!$Q$28:$S$60,3,FALSE),1))),0))</f>
        <v>3</v>
      </c>
      <c r="K997" s="2" t="str">
        <f>IF('Base S2'!F97="","",'Base S2'!F97)</f>
        <v>V</v>
      </c>
      <c r="L997" s="2">
        <f t="shared" si="195"/>
        <v>1</v>
      </c>
      <c r="M997" s="2">
        <f t="shared" si="196"/>
        <v>0</v>
      </c>
      <c r="N997" s="2">
        <f t="shared" si="197"/>
        <v>1</v>
      </c>
      <c r="O997" s="2">
        <f t="shared" si="198"/>
        <v>0</v>
      </c>
      <c r="P997" s="112">
        <f t="shared" si="199"/>
        <v>3</v>
      </c>
      <c r="Q997" s="112">
        <f t="shared" si="200"/>
        <v>0</v>
      </c>
      <c r="R997" s="53"/>
      <c r="S997" s="53" t="str">
        <f t="shared" si="201"/>
        <v>Base S2|Compound V Parallel - Season 2|196|Compound V</v>
      </c>
      <c r="T997" s="57" t="str">
        <f>IF($S997="","",IFERROR(VLOOKUP($S997,'Pop Estimates (Non-#d)'!$N$2:$O$500,2,FALSE),""))</f>
        <v/>
      </c>
      <c r="U997" s="57">
        <f t="shared" si="202"/>
        <v>399</v>
      </c>
      <c r="V997" s="53" t="str">
        <f t="shared" si="203"/>
        <v/>
      </c>
      <c r="W997" s="53" t="str">
        <f t="shared" si="204"/>
        <v/>
      </c>
      <c r="X997" s="53" t="str">
        <f t="shared" si="205"/>
        <v/>
      </c>
      <c r="Y997" s="57" t="str">
        <f>IF($X997="","",IFERROR(VLOOKUP($X997,'Char Popularity'!$A$2:$C$500,2,FALSE),""))</f>
        <v/>
      </c>
      <c r="Z997" s="56">
        <f>IF($X997="",1,IFERROR(VLOOKUP($X997,'Char Popularity'!$A$2:$C$500,3,FALSE),1))</f>
        <v>1</v>
      </c>
      <c r="AA997" s="62">
        <f>IF($H997&lt;&gt;"Y",0,(IF($F997&lt;&gt;"",ROUND(Dashboard!$R$4/$F997,1),IF(AND($I997="Base",$E997="Base"),Dashboard!$R$5,IF(AND($I997="Base",$E997="Red"),Dashboard!$R$6,IF(AND($I997="Base",$E997="Gold"),Dashboard!$R$7,VLOOKUP($I997,Dashboard!$Q$16:$R$21,2,FALSE)))))*VLOOKUP($I997,Dashboard!$Q$9:$R$13,2,FALSE)*IF(AND($I997="Auto",$F997="",OR($B997="Autographs Duals",$B997="Autographs Triples",$B997="Autographs Quads",$B997="Autographs Quads (Inscribed)")),IF($B997="Autographs Duals",2,IF($B997="Autographs Triples",3,4)),1)))</f>
        <v>2.5</v>
      </c>
      <c r="AB997" s="62">
        <f t="shared" si="206"/>
        <v>2.5</v>
      </c>
      <c r="AC997" s="62">
        <f t="shared" si="207"/>
        <v>0</v>
      </c>
    </row>
    <row r="998" spans="1:29" ht="42.95" customHeight="1" x14ac:dyDescent="0.25">
      <c r="A998" s="4" t="s">
        <v>19</v>
      </c>
      <c r="B998" s="7" t="s">
        <v>76</v>
      </c>
      <c r="C998" s="2" t="s">
        <v>1596</v>
      </c>
      <c r="D998" s="7" t="s">
        <v>1195</v>
      </c>
      <c r="E998" s="4" t="s">
        <v>778</v>
      </c>
      <c r="F998" s="2">
        <v>399</v>
      </c>
      <c r="G998" s="2" t="s">
        <v>1399</v>
      </c>
      <c r="H998" s="2" t="s">
        <v>1400</v>
      </c>
      <c r="I998" s="4" t="s">
        <v>60</v>
      </c>
      <c r="J998" s="112">
        <f>IF($H998&lt;&gt;"Y",0,ROUND(MIN(Dashboard!$R$24,IF(IFERROR(VLOOKUP($B998,Dashboard!$Q$28:$S$60,2,FALSE),0)&gt;0,IFERROR(VLOOKUP($B998,Dashboard!$Q$28:$S$60,2,FALSE),0),$Z998*IF($U998&lt;&gt;"",ROUND((Dashboard!$R$4/$U998)*VLOOKUP($I998,Dashboard!$Q$9:$R$13,2,FALSE)*IF(ISNUMBER(SEARCH("Duals",$B998)),2,IF(ISNUMBER(SEARCH("Triples",$B998)),3,IF(ISNUMBER(SEARCH("Quads",$B998)),4,1))),2),ROUND(VLOOKUP($I998,Dashboard!$Q$15:$R$20,2,FALSE)*IF($E998="Red",Dashboard!$R$6,IF($E998="Gold",Dashboard!$R$7,Dashboard!$R$5))*IF(ISNUMBER(SEARCH("Duals",$B998)),2,IF(ISNUMBER(SEARCH("Triples",$B998)),3,IF(ISNUMBER(SEARCH("Quads",$B998)),4,1))),2))*IF(IFERROR(VLOOKUP($B998,Dashboard!$Q$28:$S$60,3,FALSE),0)&gt;0,VLOOKUP($B998,Dashboard!$Q$28:$S$60,3,FALSE),1))),0))</f>
        <v>3</v>
      </c>
      <c r="K998" s="2" t="str">
        <f>IF('Base S2'!F98="","",'Base S2'!F98)</f>
        <v>V</v>
      </c>
      <c r="L998" s="2">
        <f t="shared" si="195"/>
        <v>1</v>
      </c>
      <c r="M998" s="2">
        <f t="shared" si="196"/>
        <v>0</v>
      </c>
      <c r="N998" s="2">
        <f t="shared" si="197"/>
        <v>1</v>
      </c>
      <c r="O998" s="2">
        <f t="shared" si="198"/>
        <v>0</v>
      </c>
      <c r="P998" s="112">
        <f t="shared" si="199"/>
        <v>3</v>
      </c>
      <c r="Q998" s="112">
        <f t="shared" si="200"/>
        <v>0</v>
      </c>
      <c r="R998" s="53"/>
      <c r="S998" s="53" t="str">
        <f t="shared" si="201"/>
        <v>Base S2|Compound V Parallel - Season 2|197|Compound V</v>
      </c>
      <c r="T998" s="57" t="str">
        <f>IF($S998="","",IFERROR(VLOOKUP($S998,'Pop Estimates (Non-#d)'!$N$2:$O$500,2,FALSE),""))</f>
        <v/>
      </c>
      <c r="U998" s="57">
        <f t="shared" si="202"/>
        <v>399</v>
      </c>
      <c r="V998" s="53" t="str">
        <f t="shared" si="203"/>
        <v/>
      </c>
      <c r="W998" s="53" t="str">
        <f t="shared" si="204"/>
        <v/>
      </c>
      <c r="X998" s="53" t="str">
        <f t="shared" si="205"/>
        <v/>
      </c>
      <c r="Y998" s="57" t="str">
        <f>IF($X998="","",IFERROR(VLOOKUP($X998,'Char Popularity'!$A$2:$C$500,2,FALSE),""))</f>
        <v/>
      </c>
      <c r="Z998" s="56">
        <f>IF($X998="",1,IFERROR(VLOOKUP($X998,'Char Popularity'!$A$2:$C$500,3,FALSE),1))</f>
        <v>1</v>
      </c>
      <c r="AA998" s="62">
        <f>IF($H998&lt;&gt;"Y",0,(IF($F998&lt;&gt;"",ROUND(Dashboard!$R$4/$F998,1),IF(AND($I998="Base",$E998="Base"),Dashboard!$R$5,IF(AND($I998="Base",$E998="Red"),Dashboard!$R$6,IF(AND($I998="Base",$E998="Gold"),Dashboard!$R$7,VLOOKUP($I998,Dashboard!$Q$16:$R$21,2,FALSE)))))*VLOOKUP($I998,Dashboard!$Q$9:$R$13,2,FALSE)*IF(AND($I998="Auto",$F998="",OR($B998="Autographs Duals",$B998="Autographs Triples",$B998="Autographs Quads",$B998="Autographs Quads (Inscribed)")),IF($B998="Autographs Duals",2,IF($B998="Autographs Triples",3,4)),1)))</f>
        <v>2.5</v>
      </c>
      <c r="AB998" s="62">
        <f t="shared" si="206"/>
        <v>2.5</v>
      </c>
      <c r="AC998" s="62">
        <f t="shared" si="207"/>
        <v>0</v>
      </c>
    </row>
    <row r="999" spans="1:29" ht="42.95" customHeight="1" x14ac:dyDescent="0.25">
      <c r="A999" s="4" t="s">
        <v>19</v>
      </c>
      <c r="B999" s="7" t="s">
        <v>76</v>
      </c>
      <c r="C999" s="2" t="s">
        <v>1597</v>
      </c>
      <c r="D999" s="7" t="s">
        <v>1197</v>
      </c>
      <c r="E999" s="4" t="s">
        <v>778</v>
      </c>
      <c r="F999" s="2">
        <v>399</v>
      </c>
      <c r="G999" s="2" t="s">
        <v>1399</v>
      </c>
      <c r="H999" s="2" t="s">
        <v>1400</v>
      </c>
      <c r="I999" s="4" t="s">
        <v>60</v>
      </c>
      <c r="J999" s="112">
        <f>IF($H999&lt;&gt;"Y",0,ROUND(MIN(Dashboard!$R$24,IF(IFERROR(VLOOKUP($B999,Dashboard!$Q$28:$S$60,2,FALSE),0)&gt;0,IFERROR(VLOOKUP($B999,Dashboard!$Q$28:$S$60,2,FALSE),0),$Z999*IF($U999&lt;&gt;"",ROUND((Dashboard!$R$4/$U999)*VLOOKUP($I999,Dashboard!$Q$9:$R$13,2,FALSE)*IF(ISNUMBER(SEARCH("Duals",$B999)),2,IF(ISNUMBER(SEARCH("Triples",$B999)),3,IF(ISNUMBER(SEARCH("Quads",$B999)),4,1))),2),ROUND(VLOOKUP($I999,Dashboard!$Q$15:$R$20,2,FALSE)*IF($E999="Red",Dashboard!$R$6,IF($E999="Gold",Dashboard!$R$7,Dashboard!$R$5))*IF(ISNUMBER(SEARCH("Duals",$B999)),2,IF(ISNUMBER(SEARCH("Triples",$B999)),3,IF(ISNUMBER(SEARCH("Quads",$B999)),4,1))),2))*IF(IFERROR(VLOOKUP($B999,Dashboard!$Q$28:$S$60,3,FALSE),0)&gt;0,VLOOKUP($B999,Dashboard!$Q$28:$S$60,3,FALSE),1))),0))</f>
        <v>3</v>
      </c>
      <c r="K999" s="2" t="str">
        <f>IF('Base S2'!F99="","",'Base S2'!F99)</f>
        <v>C</v>
      </c>
      <c r="L999" s="2">
        <f t="shared" si="195"/>
        <v>1</v>
      </c>
      <c r="M999" s="2">
        <f t="shared" si="196"/>
        <v>0</v>
      </c>
      <c r="N999" s="2">
        <f t="shared" si="197"/>
        <v>1</v>
      </c>
      <c r="O999" s="2">
        <f t="shared" si="198"/>
        <v>0</v>
      </c>
      <c r="P999" s="112">
        <f t="shared" si="199"/>
        <v>3</v>
      </c>
      <c r="Q999" s="112">
        <f t="shared" si="200"/>
        <v>0</v>
      </c>
      <c r="R999" s="53"/>
      <c r="S999" s="53" t="str">
        <f t="shared" si="201"/>
        <v>Base S2|Compound V Parallel - Season 2|198|Compound V</v>
      </c>
      <c r="T999" s="57" t="str">
        <f>IF($S999="","",IFERROR(VLOOKUP($S999,'Pop Estimates (Non-#d)'!$N$2:$O$500,2,FALSE),""))</f>
        <v/>
      </c>
      <c r="U999" s="57">
        <f t="shared" si="202"/>
        <v>399</v>
      </c>
      <c r="V999" s="53" t="str">
        <f t="shared" si="203"/>
        <v/>
      </c>
      <c r="W999" s="53" t="str">
        <f t="shared" si="204"/>
        <v/>
      </c>
      <c r="X999" s="53" t="str">
        <f t="shared" si="205"/>
        <v/>
      </c>
      <c r="Y999" s="57" t="str">
        <f>IF($X999="","",IFERROR(VLOOKUP($X999,'Char Popularity'!$A$2:$C$500,2,FALSE),""))</f>
        <v/>
      </c>
      <c r="Z999" s="56">
        <f>IF($X999="",1,IFERROR(VLOOKUP($X999,'Char Popularity'!$A$2:$C$500,3,FALSE),1))</f>
        <v>1</v>
      </c>
      <c r="AA999" s="62">
        <f>IF($H999&lt;&gt;"Y",0,(IF($F999&lt;&gt;"",ROUND(Dashboard!$R$4/$F999,1),IF(AND($I999="Base",$E999="Base"),Dashboard!$R$5,IF(AND($I999="Base",$E999="Red"),Dashboard!$R$6,IF(AND($I999="Base",$E999="Gold"),Dashboard!$R$7,VLOOKUP($I999,Dashboard!$Q$16:$R$21,2,FALSE)))))*VLOOKUP($I999,Dashboard!$Q$9:$R$13,2,FALSE)*IF(AND($I999="Auto",$F999="",OR($B999="Autographs Duals",$B999="Autographs Triples",$B999="Autographs Quads",$B999="Autographs Quads (Inscribed)")),IF($B999="Autographs Duals",2,IF($B999="Autographs Triples",3,4)),1)))</f>
        <v>2.5</v>
      </c>
      <c r="AB999" s="62">
        <f t="shared" si="206"/>
        <v>2.5</v>
      </c>
      <c r="AC999" s="62">
        <f t="shared" si="207"/>
        <v>0</v>
      </c>
    </row>
    <row r="1000" spans="1:29" ht="42.95" customHeight="1" x14ac:dyDescent="0.25">
      <c r="A1000" s="4" t="s">
        <v>19</v>
      </c>
      <c r="B1000" s="7" t="s">
        <v>76</v>
      </c>
      <c r="C1000" s="2" t="s">
        <v>1598</v>
      </c>
      <c r="D1000" s="7" t="s">
        <v>1199</v>
      </c>
      <c r="E1000" s="4" t="s">
        <v>778</v>
      </c>
      <c r="F1000" s="2">
        <v>399</v>
      </c>
      <c r="G1000" s="2" t="s">
        <v>1399</v>
      </c>
      <c r="H1000" s="2" t="s">
        <v>1400</v>
      </c>
      <c r="I1000" s="4" t="s">
        <v>60</v>
      </c>
      <c r="J1000" s="112">
        <f>IF($H1000&lt;&gt;"Y",0,ROUND(MIN(Dashboard!$R$24,IF(IFERROR(VLOOKUP($B1000,Dashboard!$Q$28:$S$60,2,FALSE),0)&gt;0,IFERROR(VLOOKUP($B1000,Dashboard!$Q$28:$S$60,2,FALSE),0),$Z1000*IF($U1000&lt;&gt;"",ROUND((Dashboard!$R$4/$U1000)*VLOOKUP($I1000,Dashboard!$Q$9:$R$13,2,FALSE)*IF(ISNUMBER(SEARCH("Duals",$B1000)),2,IF(ISNUMBER(SEARCH("Triples",$B1000)),3,IF(ISNUMBER(SEARCH("Quads",$B1000)),4,1))),2),ROUND(VLOOKUP($I1000,Dashboard!$Q$15:$R$20,2,FALSE)*IF($E1000="Red",Dashboard!$R$6,IF($E1000="Gold",Dashboard!$R$7,Dashboard!$R$5))*IF(ISNUMBER(SEARCH("Duals",$B1000)),2,IF(ISNUMBER(SEARCH("Triples",$B1000)),3,IF(ISNUMBER(SEARCH("Quads",$B1000)),4,1))),2))*IF(IFERROR(VLOOKUP($B1000,Dashboard!$Q$28:$S$60,3,FALSE),0)&gt;0,VLOOKUP($B1000,Dashboard!$Q$28:$S$60,3,FALSE),1))),0))</f>
        <v>3</v>
      </c>
      <c r="K1000" s="2" t="str">
        <f>IF('Base S2'!F100="","",'Base S2'!F100)</f>
        <v>V</v>
      </c>
      <c r="L1000" s="2">
        <f t="shared" si="195"/>
        <v>1</v>
      </c>
      <c r="M1000" s="2">
        <f t="shared" si="196"/>
        <v>0</v>
      </c>
      <c r="N1000" s="2">
        <f t="shared" si="197"/>
        <v>1</v>
      </c>
      <c r="O1000" s="2">
        <f t="shared" si="198"/>
        <v>0</v>
      </c>
      <c r="P1000" s="112">
        <f t="shared" si="199"/>
        <v>3</v>
      </c>
      <c r="Q1000" s="112">
        <f t="shared" si="200"/>
        <v>0</v>
      </c>
      <c r="R1000" s="53"/>
      <c r="S1000" s="53" t="str">
        <f t="shared" si="201"/>
        <v>Base S2|Compound V Parallel - Season 2|199|Compound V</v>
      </c>
      <c r="T1000" s="57" t="str">
        <f>IF($S1000="","",IFERROR(VLOOKUP($S1000,'Pop Estimates (Non-#d)'!$N$2:$O$500,2,FALSE),""))</f>
        <v/>
      </c>
      <c r="U1000" s="57">
        <f t="shared" si="202"/>
        <v>399</v>
      </c>
      <c r="V1000" s="53" t="str">
        <f t="shared" si="203"/>
        <v/>
      </c>
      <c r="W1000" s="53" t="str">
        <f t="shared" si="204"/>
        <v/>
      </c>
      <c r="X1000" s="53" t="str">
        <f t="shared" si="205"/>
        <v/>
      </c>
      <c r="Y1000" s="57" t="str">
        <f>IF($X1000="","",IFERROR(VLOOKUP($X1000,'Char Popularity'!$A$2:$C$500,2,FALSE),""))</f>
        <v/>
      </c>
      <c r="Z1000" s="56">
        <f>IF($X1000="",1,IFERROR(VLOOKUP($X1000,'Char Popularity'!$A$2:$C$500,3,FALSE),1))</f>
        <v>1</v>
      </c>
      <c r="AA1000" s="62">
        <f>IF($H1000&lt;&gt;"Y",0,(IF($F1000&lt;&gt;"",ROUND(Dashboard!$R$4/$F1000,1),IF(AND($I1000="Base",$E1000="Base"),Dashboard!$R$5,IF(AND($I1000="Base",$E1000="Red"),Dashboard!$R$6,IF(AND($I1000="Base",$E1000="Gold"),Dashboard!$R$7,VLOOKUP($I1000,Dashboard!$Q$16:$R$21,2,FALSE)))))*VLOOKUP($I1000,Dashboard!$Q$9:$R$13,2,FALSE)*IF(AND($I1000="Auto",$F1000="",OR($B1000="Autographs Duals",$B1000="Autographs Triples",$B1000="Autographs Quads",$B1000="Autographs Quads (Inscribed)")),IF($B1000="Autographs Duals",2,IF($B1000="Autographs Triples",3,4)),1)))</f>
        <v>2.5</v>
      </c>
      <c r="AB1000" s="62">
        <f t="shared" si="206"/>
        <v>2.5</v>
      </c>
      <c r="AC1000" s="62">
        <f t="shared" si="207"/>
        <v>0</v>
      </c>
    </row>
    <row r="1001" spans="1:29" ht="42.95" customHeight="1" x14ac:dyDescent="0.25">
      <c r="A1001" s="4" t="s">
        <v>19</v>
      </c>
      <c r="B1001" s="7" t="s">
        <v>76</v>
      </c>
      <c r="C1001" s="2" t="s">
        <v>1599</v>
      </c>
      <c r="D1001" s="7" t="s">
        <v>1201</v>
      </c>
      <c r="E1001" s="4" t="s">
        <v>778</v>
      </c>
      <c r="F1001" s="2">
        <v>399</v>
      </c>
      <c r="G1001" s="2" t="s">
        <v>1399</v>
      </c>
      <c r="H1001" s="2" t="s">
        <v>1400</v>
      </c>
      <c r="I1001" s="4" t="s">
        <v>60</v>
      </c>
      <c r="J1001" s="112">
        <f>IF($H1001&lt;&gt;"Y",0,ROUND(MIN(Dashboard!$R$24,IF(IFERROR(VLOOKUP($B1001,Dashboard!$Q$28:$S$60,2,FALSE),0)&gt;0,IFERROR(VLOOKUP($B1001,Dashboard!$Q$28:$S$60,2,FALSE),0),$Z1001*IF($U1001&lt;&gt;"",ROUND((Dashboard!$R$4/$U1001)*VLOOKUP($I1001,Dashboard!$Q$9:$R$13,2,FALSE)*IF(ISNUMBER(SEARCH("Duals",$B1001)),2,IF(ISNUMBER(SEARCH("Triples",$B1001)),3,IF(ISNUMBER(SEARCH("Quads",$B1001)),4,1))),2),ROUND(VLOOKUP($I1001,Dashboard!$Q$15:$R$20,2,FALSE)*IF($E1001="Red",Dashboard!$R$6,IF($E1001="Gold",Dashboard!$R$7,Dashboard!$R$5))*IF(ISNUMBER(SEARCH("Duals",$B1001)),2,IF(ISNUMBER(SEARCH("Triples",$B1001)),3,IF(ISNUMBER(SEARCH("Quads",$B1001)),4,1))),2))*IF(IFERROR(VLOOKUP($B1001,Dashboard!$Q$28:$S$60,3,FALSE),0)&gt;0,VLOOKUP($B1001,Dashboard!$Q$28:$S$60,3,FALSE),1))),0))</f>
        <v>3</v>
      </c>
      <c r="K1001" s="2" t="str">
        <f>IF('Base S2'!F101="","",'Base S2'!F101)</f>
        <v>C</v>
      </c>
      <c r="L1001" s="2">
        <f t="shared" si="195"/>
        <v>1</v>
      </c>
      <c r="M1001" s="2">
        <f t="shared" si="196"/>
        <v>0</v>
      </c>
      <c r="N1001" s="2">
        <f t="shared" si="197"/>
        <v>1</v>
      </c>
      <c r="O1001" s="2">
        <f t="shared" si="198"/>
        <v>0</v>
      </c>
      <c r="P1001" s="112">
        <f t="shared" si="199"/>
        <v>3</v>
      </c>
      <c r="Q1001" s="112">
        <f t="shared" si="200"/>
        <v>0</v>
      </c>
      <c r="R1001" s="53"/>
      <c r="S1001" s="53" t="str">
        <f t="shared" si="201"/>
        <v>Base S2|Compound V Parallel - Season 2|200|Compound V</v>
      </c>
      <c r="T1001" s="57" t="str">
        <f>IF($S1001="","",IFERROR(VLOOKUP($S1001,'Pop Estimates (Non-#d)'!$N$2:$O$500,2,FALSE),""))</f>
        <v/>
      </c>
      <c r="U1001" s="57">
        <f t="shared" si="202"/>
        <v>399</v>
      </c>
      <c r="V1001" s="53" t="str">
        <f t="shared" si="203"/>
        <v/>
      </c>
      <c r="W1001" s="53" t="str">
        <f t="shared" si="204"/>
        <v/>
      </c>
      <c r="X1001" s="53" t="str">
        <f t="shared" si="205"/>
        <v/>
      </c>
      <c r="Y1001" s="57" t="str">
        <f>IF($X1001="","",IFERROR(VLOOKUP($X1001,'Char Popularity'!$A$2:$C$500,2,FALSE),""))</f>
        <v/>
      </c>
      <c r="Z1001" s="56">
        <f>IF($X1001="",1,IFERROR(VLOOKUP($X1001,'Char Popularity'!$A$2:$C$500,3,FALSE),1))</f>
        <v>1</v>
      </c>
      <c r="AA1001" s="62">
        <f>IF($H1001&lt;&gt;"Y",0,(IF($F1001&lt;&gt;"",ROUND(Dashboard!$R$4/$F1001,1),IF(AND($I1001="Base",$E1001="Base"),Dashboard!$R$5,IF(AND($I1001="Base",$E1001="Red"),Dashboard!$R$6,IF(AND($I1001="Base",$E1001="Gold"),Dashboard!$R$7,VLOOKUP($I1001,Dashboard!$Q$16:$R$21,2,FALSE)))))*VLOOKUP($I1001,Dashboard!$Q$9:$R$13,2,FALSE)*IF(AND($I1001="Auto",$F1001="",OR($B1001="Autographs Duals",$B1001="Autographs Triples",$B1001="Autographs Quads",$B1001="Autographs Quads (Inscribed)")),IF($B1001="Autographs Duals",2,IF($B1001="Autographs Triples",3,4)),1)))</f>
        <v>2.5</v>
      </c>
      <c r="AB1001" s="62">
        <f t="shared" si="206"/>
        <v>2.5</v>
      </c>
      <c r="AC1001" s="62">
        <f t="shared" si="207"/>
        <v>0</v>
      </c>
    </row>
    <row r="1002" spans="1:29" ht="28.7" customHeight="1" x14ac:dyDescent="0.25">
      <c r="A1002" s="4" t="s">
        <v>19</v>
      </c>
      <c r="B1002" s="7" t="s">
        <v>79</v>
      </c>
      <c r="C1002" s="2" t="s">
        <v>1500</v>
      </c>
      <c r="D1002" s="7" t="s">
        <v>1043</v>
      </c>
      <c r="E1002" s="4" t="s">
        <v>779</v>
      </c>
      <c r="F1002" s="2">
        <v>82</v>
      </c>
      <c r="G1002" s="2" t="s">
        <v>1399</v>
      </c>
      <c r="H1002" s="2" t="s">
        <v>1400</v>
      </c>
      <c r="I1002" s="4" t="s">
        <v>60</v>
      </c>
      <c r="J1002" s="112">
        <f>IF($H1002&lt;&gt;"Y",0,ROUND(MIN(Dashboard!$R$24,IF(IFERROR(VLOOKUP($B1002,Dashboard!$Q$28:$S$60,2,FALSE),0)&gt;0,IFERROR(VLOOKUP($B1002,Dashboard!$Q$28:$S$60,2,FALSE),0),$Z1002*IF($U1002&lt;&gt;"",ROUND((Dashboard!$R$4/$U1002)*VLOOKUP($I1002,Dashboard!$Q$9:$R$13,2,FALSE)*IF(ISNUMBER(SEARCH("Duals",$B1002)),2,IF(ISNUMBER(SEARCH("Triples",$B1002)),3,IF(ISNUMBER(SEARCH("Quads",$B1002)),4,1))),2),ROUND(VLOOKUP($I1002,Dashboard!$Q$15:$R$20,2,FALSE)*IF($E1002="Red",Dashboard!$R$6,IF($E1002="Gold",Dashboard!$R$7,Dashboard!$R$5))*IF(ISNUMBER(SEARCH("Duals",$B1002)),2,IF(ISNUMBER(SEARCH("Triples",$B1002)),3,IF(ISNUMBER(SEARCH("Quads",$B1002)),4,1))),2))*IF(IFERROR(VLOOKUP($B1002,Dashboard!$Q$28:$S$60,3,FALSE),0)&gt;0,VLOOKUP($B1002,Dashboard!$Q$28:$S$60,3,FALSE),1))),0))</f>
        <v>12</v>
      </c>
      <c r="K1002" s="2" t="str">
        <f>IF('Base S2'!G2="","",'Base S2'!G2)</f>
        <v>V 46/82</v>
      </c>
      <c r="L1002" s="2">
        <f t="shared" si="195"/>
        <v>1</v>
      </c>
      <c r="M1002" s="2">
        <f t="shared" si="196"/>
        <v>0</v>
      </c>
      <c r="N1002" s="2">
        <f t="shared" si="197"/>
        <v>1</v>
      </c>
      <c r="O1002" s="2">
        <f t="shared" si="198"/>
        <v>0</v>
      </c>
      <c r="P1002" s="112">
        <f t="shared" si="199"/>
        <v>12</v>
      </c>
      <c r="Q1002" s="112">
        <f t="shared" si="200"/>
        <v>0</v>
      </c>
      <c r="R1002" s="53"/>
      <c r="S1002" s="53" t="str">
        <f t="shared" si="201"/>
        <v>Base S2|Floor 82 Parallel - Season 2|101|Floor 82</v>
      </c>
      <c r="T1002" s="57" t="str">
        <f>IF($S1002="","",IFERROR(VLOOKUP($S1002,'Pop Estimates (Non-#d)'!$N$2:$O$500,2,FALSE),""))</f>
        <v/>
      </c>
      <c r="U1002" s="57">
        <f t="shared" si="202"/>
        <v>82</v>
      </c>
      <c r="V1002" s="53" t="str">
        <f t="shared" si="203"/>
        <v/>
      </c>
      <c r="W1002" s="53" t="str">
        <f t="shared" si="204"/>
        <v/>
      </c>
      <c r="X1002" s="53" t="str">
        <f t="shared" si="205"/>
        <v/>
      </c>
      <c r="Y1002" s="57" t="str">
        <f>IF($X1002="","",IFERROR(VLOOKUP($X1002,'Char Popularity'!$A$2:$C$500,2,FALSE),""))</f>
        <v/>
      </c>
      <c r="Z1002" s="56">
        <f>IF($X1002="",1,IFERROR(VLOOKUP($X1002,'Char Popularity'!$A$2:$C$500,3,FALSE),1))</f>
        <v>1</v>
      </c>
      <c r="AA1002" s="62">
        <f>IF($H1002&lt;&gt;"Y",0,(IF($F1002&lt;&gt;"",ROUND(Dashboard!$R$4/$F1002,1),IF(AND($I1002="Base",$E1002="Base"),Dashboard!$R$5,IF(AND($I1002="Base",$E1002="Red"),Dashboard!$R$6,IF(AND($I1002="Base",$E1002="Gold"),Dashboard!$R$7,VLOOKUP($I1002,Dashboard!$Q$16:$R$21,2,FALSE)))))*VLOOKUP($I1002,Dashboard!$Q$9:$R$13,2,FALSE)*IF(AND($I1002="Auto",$F1002="",OR($B1002="Autographs Duals",$B1002="Autographs Triples",$B1002="Autographs Quads",$B1002="Autographs Quads (Inscribed)")),IF($B1002="Autographs Duals",2,IF($B1002="Autographs Triples",3,4)),1)))</f>
        <v>12.2</v>
      </c>
      <c r="AB1002" s="62">
        <f t="shared" si="206"/>
        <v>12.2</v>
      </c>
      <c r="AC1002" s="62">
        <f t="shared" si="207"/>
        <v>0</v>
      </c>
    </row>
    <row r="1003" spans="1:29" ht="28.7" customHeight="1" x14ac:dyDescent="0.25">
      <c r="A1003" s="4" t="s">
        <v>19</v>
      </c>
      <c r="B1003" s="7" t="s">
        <v>79</v>
      </c>
      <c r="C1003" s="2" t="s">
        <v>1501</v>
      </c>
      <c r="D1003" s="7" t="s">
        <v>1045</v>
      </c>
      <c r="E1003" s="4" t="s">
        <v>779</v>
      </c>
      <c r="F1003" s="2">
        <v>82</v>
      </c>
      <c r="G1003" s="2" t="s">
        <v>1399</v>
      </c>
      <c r="H1003" s="2" t="s">
        <v>1400</v>
      </c>
      <c r="I1003" s="4" t="s">
        <v>60</v>
      </c>
      <c r="J1003" s="112">
        <f>IF($H1003&lt;&gt;"Y",0,ROUND(MIN(Dashboard!$R$24,IF(IFERROR(VLOOKUP($B1003,Dashboard!$Q$28:$S$60,2,FALSE),0)&gt;0,IFERROR(VLOOKUP($B1003,Dashboard!$Q$28:$S$60,2,FALSE),0),$Z1003*IF($U1003&lt;&gt;"",ROUND((Dashboard!$R$4/$U1003)*VLOOKUP($I1003,Dashboard!$Q$9:$R$13,2,FALSE)*IF(ISNUMBER(SEARCH("Duals",$B1003)),2,IF(ISNUMBER(SEARCH("Triples",$B1003)),3,IF(ISNUMBER(SEARCH("Quads",$B1003)),4,1))),2),ROUND(VLOOKUP($I1003,Dashboard!$Q$15:$R$20,2,FALSE)*IF($E1003="Red",Dashboard!$R$6,IF($E1003="Gold",Dashboard!$R$7,Dashboard!$R$5))*IF(ISNUMBER(SEARCH("Duals",$B1003)),2,IF(ISNUMBER(SEARCH("Triples",$B1003)),3,IF(ISNUMBER(SEARCH("Quads",$B1003)),4,1))),2))*IF(IFERROR(VLOOKUP($B1003,Dashboard!$Q$28:$S$60,3,FALSE),0)&gt;0,VLOOKUP($B1003,Dashboard!$Q$28:$S$60,3,FALSE),1))),0))</f>
        <v>12</v>
      </c>
      <c r="K1003" s="2" t="str">
        <f>IF('Base S2'!G3="","",'Base S2'!G3)</f>
        <v>C 29/82</v>
      </c>
      <c r="L1003" s="2">
        <f t="shared" si="195"/>
        <v>1</v>
      </c>
      <c r="M1003" s="2">
        <f t="shared" si="196"/>
        <v>0</v>
      </c>
      <c r="N1003" s="2">
        <f t="shared" si="197"/>
        <v>1</v>
      </c>
      <c r="O1003" s="2">
        <f t="shared" si="198"/>
        <v>0</v>
      </c>
      <c r="P1003" s="112">
        <f t="shared" si="199"/>
        <v>12</v>
      </c>
      <c r="Q1003" s="112">
        <f t="shared" si="200"/>
        <v>0</v>
      </c>
      <c r="R1003" s="53"/>
      <c r="S1003" s="53" t="str">
        <f t="shared" si="201"/>
        <v>Base S2|Floor 82 Parallel - Season 2|102|Floor 82</v>
      </c>
      <c r="T1003" s="57" t="str">
        <f>IF($S1003="","",IFERROR(VLOOKUP($S1003,'Pop Estimates (Non-#d)'!$N$2:$O$500,2,FALSE),""))</f>
        <v/>
      </c>
      <c r="U1003" s="57">
        <f t="shared" si="202"/>
        <v>82</v>
      </c>
      <c r="V1003" s="53" t="str">
        <f t="shared" si="203"/>
        <v/>
      </c>
      <c r="W1003" s="53" t="str">
        <f t="shared" si="204"/>
        <v/>
      </c>
      <c r="X1003" s="53" t="str">
        <f t="shared" si="205"/>
        <v/>
      </c>
      <c r="Y1003" s="57" t="str">
        <f>IF($X1003="","",IFERROR(VLOOKUP($X1003,'Char Popularity'!$A$2:$C$500,2,FALSE),""))</f>
        <v/>
      </c>
      <c r="Z1003" s="56">
        <f>IF($X1003="",1,IFERROR(VLOOKUP($X1003,'Char Popularity'!$A$2:$C$500,3,FALSE),1))</f>
        <v>1</v>
      </c>
      <c r="AA1003" s="62">
        <f>IF($H1003&lt;&gt;"Y",0,(IF($F1003&lt;&gt;"",ROUND(Dashboard!$R$4/$F1003,1),IF(AND($I1003="Base",$E1003="Base"),Dashboard!$R$5,IF(AND($I1003="Base",$E1003="Red"),Dashboard!$R$6,IF(AND($I1003="Base",$E1003="Gold"),Dashboard!$R$7,VLOOKUP($I1003,Dashboard!$Q$16:$R$21,2,FALSE)))))*VLOOKUP($I1003,Dashboard!$Q$9:$R$13,2,FALSE)*IF(AND($I1003="Auto",$F1003="",OR($B1003="Autographs Duals",$B1003="Autographs Triples",$B1003="Autographs Quads",$B1003="Autographs Quads (Inscribed)")),IF($B1003="Autographs Duals",2,IF($B1003="Autographs Triples",3,4)),1)))</f>
        <v>12.2</v>
      </c>
      <c r="AB1003" s="62">
        <f t="shared" si="206"/>
        <v>12.2</v>
      </c>
      <c r="AC1003" s="62">
        <f t="shared" si="207"/>
        <v>0</v>
      </c>
    </row>
    <row r="1004" spans="1:29" ht="28.7" customHeight="1" x14ac:dyDescent="0.25">
      <c r="A1004" s="4" t="s">
        <v>19</v>
      </c>
      <c r="B1004" s="7" t="s">
        <v>79</v>
      </c>
      <c r="C1004" s="2" t="s">
        <v>1502</v>
      </c>
      <c r="D1004" s="7" t="s">
        <v>1047</v>
      </c>
      <c r="E1004" s="4" t="s">
        <v>779</v>
      </c>
      <c r="F1004" s="2">
        <v>82</v>
      </c>
      <c r="G1004" s="2" t="s">
        <v>1399</v>
      </c>
      <c r="H1004" s="2" t="s">
        <v>1400</v>
      </c>
      <c r="I1004" s="4" t="s">
        <v>60</v>
      </c>
      <c r="J1004" s="112">
        <f>IF($H1004&lt;&gt;"Y",0,ROUND(MIN(Dashboard!$R$24,IF(IFERROR(VLOOKUP($B1004,Dashboard!$Q$28:$S$60,2,FALSE),0)&gt;0,IFERROR(VLOOKUP($B1004,Dashboard!$Q$28:$S$60,2,FALSE),0),$Z1004*IF($U1004&lt;&gt;"",ROUND((Dashboard!$R$4/$U1004)*VLOOKUP($I1004,Dashboard!$Q$9:$R$13,2,FALSE)*IF(ISNUMBER(SEARCH("Duals",$B1004)),2,IF(ISNUMBER(SEARCH("Triples",$B1004)),3,IF(ISNUMBER(SEARCH("Quads",$B1004)),4,1))),2),ROUND(VLOOKUP($I1004,Dashboard!$Q$15:$R$20,2,FALSE)*IF($E1004="Red",Dashboard!$R$6,IF($E1004="Gold",Dashboard!$R$7,Dashboard!$R$5))*IF(ISNUMBER(SEARCH("Duals",$B1004)),2,IF(ISNUMBER(SEARCH("Triples",$B1004)),3,IF(ISNUMBER(SEARCH("Quads",$B1004)),4,1))),2))*IF(IFERROR(VLOOKUP($B1004,Dashboard!$Q$28:$S$60,3,FALSE),0)&gt;0,VLOOKUP($B1004,Dashboard!$Q$28:$S$60,3,FALSE),1))),0))</f>
        <v>12</v>
      </c>
      <c r="K1004" s="2" t="str">
        <f>IF('Base S2'!G4="","",'Base S2'!G4)</f>
        <v>C</v>
      </c>
      <c r="L1004" s="2">
        <f t="shared" si="195"/>
        <v>1</v>
      </c>
      <c r="M1004" s="2">
        <f t="shared" si="196"/>
        <v>0</v>
      </c>
      <c r="N1004" s="2">
        <f t="shared" si="197"/>
        <v>1</v>
      </c>
      <c r="O1004" s="2">
        <f t="shared" si="198"/>
        <v>0</v>
      </c>
      <c r="P1004" s="112">
        <f t="shared" si="199"/>
        <v>12</v>
      </c>
      <c r="Q1004" s="112">
        <f t="shared" si="200"/>
        <v>0</v>
      </c>
      <c r="R1004" s="53"/>
      <c r="S1004" s="53" t="str">
        <f t="shared" si="201"/>
        <v>Base S2|Floor 82 Parallel - Season 2|103|Floor 82</v>
      </c>
      <c r="T1004" s="57" t="str">
        <f>IF($S1004="","",IFERROR(VLOOKUP($S1004,'Pop Estimates (Non-#d)'!$N$2:$O$500,2,FALSE),""))</f>
        <v/>
      </c>
      <c r="U1004" s="57">
        <f t="shared" si="202"/>
        <v>82</v>
      </c>
      <c r="V1004" s="53" t="str">
        <f t="shared" si="203"/>
        <v/>
      </c>
      <c r="W1004" s="53" t="str">
        <f t="shared" si="204"/>
        <v/>
      </c>
      <c r="X1004" s="53" t="str">
        <f t="shared" si="205"/>
        <v/>
      </c>
      <c r="Y1004" s="57" t="str">
        <f>IF($X1004="","",IFERROR(VLOOKUP($X1004,'Char Popularity'!$A$2:$C$500,2,FALSE),""))</f>
        <v/>
      </c>
      <c r="Z1004" s="56">
        <f>IF($X1004="",1,IFERROR(VLOOKUP($X1004,'Char Popularity'!$A$2:$C$500,3,FALSE),1))</f>
        <v>1</v>
      </c>
      <c r="AA1004" s="62">
        <f>IF($H1004&lt;&gt;"Y",0,(IF($F1004&lt;&gt;"",ROUND(Dashboard!$R$4/$F1004,1),IF(AND($I1004="Base",$E1004="Base"),Dashboard!$R$5,IF(AND($I1004="Base",$E1004="Red"),Dashboard!$R$6,IF(AND($I1004="Base",$E1004="Gold"),Dashboard!$R$7,VLOOKUP($I1004,Dashboard!$Q$16:$R$21,2,FALSE)))))*VLOOKUP($I1004,Dashboard!$Q$9:$R$13,2,FALSE)*IF(AND($I1004="Auto",$F1004="",OR($B1004="Autographs Duals",$B1004="Autographs Triples",$B1004="Autographs Quads",$B1004="Autographs Quads (Inscribed)")),IF($B1004="Autographs Duals",2,IF($B1004="Autographs Triples",3,4)),1)))</f>
        <v>12.2</v>
      </c>
      <c r="AB1004" s="62">
        <f t="shared" si="206"/>
        <v>12.2</v>
      </c>
      <c r="AC1004" s="62">
        <f t="shared" si="207"/>
        <v>0</v>
      </c>
    </row>
    <row r="1005" spans="1:29" ht="28.7" customHeight="1" x14ac:dyDescent="0.25">
      <c r="A1005" s="4" t="s">
        <v>19</v>
      </c>
      <c r="B1005" s="7" t="s">
        <v>79</v>
      </c>
      <c r="C1005" s="2" t="s">
        <v>1503</v>
      </c>
      <c r="D1005" s="7" t="s">
        <v>1048</v>
      </c>
      <c r="E1005" s="4" t="s">
        <v>779</v>
      </c>
      <c r="F1005" s="2">
        <v>82</v>
      </c>
      <c r="G1005" s="2" t="s">
        <v>1399</v>
      </c>
      <c r="H1005" s="2" t="s">
        <v>1400</v>
      </c>
      <c r="I1005" s="4" t="s">
        <v>60</v>
      </c>
      <c r="J1005" s="112">
        <f>IF($H1005&lt;&gt;"Y",0,ROUND(MIN(Dashboard!$R$24,IF(IFERROR(VLOOKUP($B1005,Dashboard!$Q$28:$S$60,2,FALSE),0)&gt;0,IFERROR(VLOOKUP($B1005,Dashboard!$Q$28:$S$60,2,FALSE),0),$Z1005*IF($U1005&lt;&gt;"",ROUND((Dashboard!$R$4/$U1005)*VLOOKUP($I1005,Dashboard!$Q$9:$R$13,2,FALSE)*IF(ISNUMBER(SEARCH("Duals",$B1005)),2,IF(ISNUMBER(SEARCH("Triples",$B1005)),3,IF(ISNUMBER(SEARCH("Quads",$B1005)),4,1))),2),ROUND(VLOOKUP($I1005,Dashboard!$Q$15:$R$20,2,FALSE)*IF($E1005="Red",Dashboard!$R$6,IF($E1005="Gold",Dashboard!$R$7,Dashboard!$R$5))*IF(ISNUMBER(SEARCH("Duals",$B1005)),2,IF(ISNUMBER(SEARCH("Triples",$B1005)),3,IF(ISNUMBER(SEARCH("Quads",$B1005)),4,1))),2))*IF(IFERROR(VLOOKUP($B1005,Dashboard!$Q$28:$S$60,3,FALSE),0)&gt;0,VLOOKUP($B1005,Dashboard!$Q$28:$S$60,3,FALSE),1))),0))</f>
        <v>12</v>
      </c>
      <c r="K1005" s="2" t="str">
        <f>IF('Base S2'!G5="","",'Base S2'!G5)</f>
        <v>V 04/82</v>
      </c>
      <c r="L1005" s="2">
        <f t="shared" si="195"/>
        <v>1</v>
      </c>
      <c r="M1005" s="2">
        <f t="shared" si="196"/>
        <v>0</v>
      </c>
      <c r="N1005" s="2">
        <f t="shared" si="197"/>
        <v>1</v>
      </c>
      <c r="O1005" s="2">
        <f t="shared" si="198"/>
        <v>0</v>
      </c>
      <c r="P1005" s="112">
        <f t="shared" si="199"/>
        <v>12</v>
      </c>
      <c r="Q1005" s="112">
        <f t="shared" si="200"/>
        <v>0</v>
      </c>
      <c r="R1005" s="53"/>
      <c r="S1005" s="53" t="str">
        <f t="shared" si="201"/>
        <v>Base S2|Floor 82 Parallel - Season 2|104|Floor 82</v>
      </c>
      <c r="T1005" s="57" t="str">
        <f>IF($S1005="","",IFERROR(VLOOKUP($S1005,'Pop Estimates (Non-#d)'!$N$2:$O$500,2,FALSE),""))</f>
        <v/>
      </c>
      <c r="U1005" s="57">
        <f t="shared" si="202"/>
        <v>82</v>
      </c>
      <c r="V1005" s="53" t="str">
        <f t="shared" si="203"/>
        <v/>
      </c>
      <c r="W1005" s="53" t="str">
        <f t="shared" si="204"/>
        <v/>
      </c>
      <c r="X1005" s="53" t="str">
        <f t="shared" si="205"/>
        <v/>
      </c>
      <c r="Y1005" s="57" t="str">
        <f>IF($X1005="","",IFERROR(VLOOKUP($X1005,'Char Popularity'!$A$2:$C$500,2,FALSE),""))</f>
        <v/>
      </c>
      <c r="Z1005" s="56">
        <f>IF($X1005="",1,IFERROR(VLOOKUP($X1005,'Char Popularity'!$A$2:$C$500,3,FALSE),1))</f>
        <v>1</v>
      </c>
      <c r="AA1005" s="62">
        <f>IF($H1005&lt;&gt;"Y",0,(IF($F1005&lt;&gt;"",ROUND(Dashboard!$R$4/$F1005,1),IF(AND($I1005="Base",$E1005="Base"),Dashboard!$R$5,IF(AND($I1005="Base",$E1005="Red"),Dashboard!$R$6,IF(AND($I1005="Base",$E1005="Gold"),Dashboard!$R$7,VLOOKUP($I1005,Dashboard!$Q$16:$R$21,2,FALSE)))))*VLOOKUP($I1005,Dashboard!$Q$9:$R$13,2,FALSE)*IF(AND($I1005="Auto",$F1005="",OR($B1005="Autographs Duals",$B1005="Autographs Triples",$B1005="Autographs Quads",$B1005="Autographs Quads (Inscribed)")),IF($B1005="Autographs Duals",2,IF($B1005="Autographs Triples",3,4)),1)))</f>
        <v>12.2</v>
      </c>
      <c r="AB1005" s="62">
        <f t="shared" si="206"/>
        <v>12.2</v>
      </c>
      <c r="AC1005" s="62">
        <f t="shared" si="207"/>
        <v>0</v>
      </c>
    </row>
    <row r="1006" spans="1:29" ht="28.7" customHeight="1" x14ac:dyDescent="0.25">
      <c r="A1006" s="4" t="s">
        <v>19</v>
      </c>
      <c r="B1006" s="7" t="s">
        <v>79</v>
      </c>
      <c r="C1006" s="2" t="s">
        <v>1504</v>
      </c>
      <c r="D1006" s="7" t="s">
        <v>1049</v>
      </c>
      <c r="E1006" s="4" t="s">
        <v>779</v>
      </c>
      <c r="F1006" s="2">
        <v>82</v>
      </c>
      <c r="G1006" s="2" t="s">
        <v>1399</v>
      </c>
      <c r="H1006" s="2" t="s">
        <v>1400</v>
      </c>
      <c r="I1006" s="4" t="s">
        <v>60</v>
      </c>
      <c r="J1006" s="112">
        <f>IF($H1006&lt;&gt;"Y",0,ROUND(MIN(Dashboard!$R$24,IF(IFERROR(VLOOKUP($B1006,Dashboard!$Q$28:$S$60,2,FALSE),0)&gt;0,IFERROR(VLOOKUP($B1006,Dashboard!$Q$28:$S$60,2,FALSE),0),$Z1006*IF($U1006&lt;&gt;"",ROUND((Dashboard!$R$4/$U1006)*VLOOKUP($I1006,Dashboard!$Q$9:$R$13,2,FALSE)*IF(ISNUMBER(SEARCH("Duals",$B1006)),2,IF(ISNUMBER(SEARCH("Triples",$B1006)),3,IF(ISNUMBER(SEARCH("Quads",$B1006)),4,1))),2),ROUND(VLOOKUP($I1006,Dashboard!$Q$15:$R$20,2,FALSE)*IF($E1006="Red",Dashboard!$R$6,IF($E1006="Gold",Dashboard!$R$7,Dashboard!$R$5))*IF(ISNUMBER(SEARCH("Duals",$B1006)),2,IF(ISNUMBER(SEARCH("Triples",$B1006)),3,IF(ISNUMBER(SEARCH("Quads",$B1006)),4,1))),2))*IF(IFERROR(VLOOKUP($B1006,Dashboard!$Q$28:$S$60,3,FALSE),0)&gt;0,VLOOKUP($B1006,Dashboard!$Q$28:$S$60,3,FALSE),1))),0))</f>
        <v>12</v>
      </c>
      <c r="K1006" s="2" t="str">
        <f>IF('Base S2'!G6="","",'Base S2'!G6)</f>
        <v>C '02/82</v>
      </c>
      <c r="L1006" s="2">
        <f t="shared" si="195"/>
        <v>1</v>
      </c>
      <c r="M1006" s="2">
        <f t="shared" si="196"/>
        <v>0</v>
      </c>
      <c r="N1006" s="2">
        <f t="shared" si="197"/>
        <v>1</v>
      </c>
      <c r="O1006" s="2">
        <f t="shared" si="198"/>
        <v>0</v>
      </c>
      <c r="P1006" s="112">
        <f t="shared" si="199"/>
        <v>12</v>
      </c>
      <c r="Q1006" s="112">
        <f t="shared" si="200"/>
        <v>0</v>
      </c>
      <c r="R1006" s="53"/>
      <c r="S1006" s="53" t="str">
        <f t="shared" si="201"/>
        <v>Base S2|Floor 82 Parallel - Season 2|105|Floor 82</v>
      </c>
      <c r="T1006" s="57" t="str">
        <f>IF($S1006="","",IFERROR(VLOOKUP($S1006,'Pop Estimates (Non-#d)'!$N$2:$O$500,2,FALSE),""))</f>
        <v/>
      </c>
      <c r="U1006" s="57">
        <f t="shared" si="202"/>
        <v>82</v>
      </c>
      <c r="V1006" s="53" t="str">
        <f t="shared" si="203"/>
        <v/>
      </c>
      <c r="W1006" s="53" t="str">
        <f t="shared" si="204"/>
        <v/>
      </c>
      <c r="X1006" s="53" t="str">
        <f t="shared" si="205"/>
        <v/>
      </c>
      <c r="Y1006" s="57" t="str">
        <f>IF($X1006="","",IFERROR(VLOOKUP($X1006,'Char Popularity'!$A$2:$C$500,2,FALSE),""))</f>
        <v/>
      </c>
      <c r="Z1006" s="56">
        <f>IF($X1006="",1,IFERROR(VLOOKUP($X1006,'Char Popularity'!$A$2:$C$500,3,FALSE),1))</f>
        <v>1</v>
      </c>
      <c r="AA1006" s="62">
        <f>IF($H1006&lt;&gt;"Y",0,(IF($F1006&lt;&gt;"",ROUND(Dashboard!$R$4/$F1006,1),IF(AND($I1006="Base",$E1006="Base"),Dashboard!$R$5,IF(AND($I1006="Base",$E1006="Red"),Dashboard!$R$6,IF(AND($I1006="Base",$E1006="Gold"),Dashboard!$R$7,VLOOKUP($I1006,Dashboard!$Q$16:$R$21,2,FALSE)))))*VLOOKUP($I1006,Dashboard!$Q$9:$R$13,2,FALSE)*IF(AND($I1006="Auto",$F1006="",OR($B1006="Autographs Duals",$B1006="Autographs Triples",$B1006="Autographs Quads",$B1006="Autographs Quads (Inscribed)")),IF($B1006="Autographs Duals",2,IF($B1006="Autographs Triples",3,4)),1)))</f>
        <v>12.2</v>
      </c>
      <c r="AB1006" s="62">
        <f t="shared" si="206"/>
        <v>12.2</v>
      </c>
      <c r="AC1006" s="62">
        <f t="shared" si="207"/>
        <v>0</v>
      </c>
    </row>
    <row r="1007" spans="1:29" ht="28.7" customHeight="1" x14ac:dyDescent="0.25">
      <c r="A1007" s="4" t="s">
        <v>19</v>
      </c>
      <c r="B1007" s="7" t="s">
        <v>79</v>
      </c>
      <c r="C1007" s="2" t="s">
        <v>1505</v>
      </c>
      <c r="D1007" s="7" t="s">
        <v>1050</v>
      </c>
      <c r="E1007" s="4" t="s">
        <v>779</v>
      </c>
      <c r="F1007" s="2">
        <v>82</v>
      </c>
      <c r="G1007" s="2" t="s">
        <v>1399</v>
      </c>
      <c r="H1007" s="2" t="s">
        <v>1400</v>
      </c>
      <c r="I1007" s="4" t="s">
        <v>60</v>
      </c>
      <c r="J1007" s="112">
        <f>IF($H1007&lt;&gt;"Y",0,ROUND(MIN(Dashboard!$R$24,IF(IFERROR(VLOOKUP($B1007,Dashboard!$Q$28:$S$60,2,FALSE),0)&gt;0,IFERROR(VLOOKUP($B1007,Dashboard!$Q$28:$S$60,2,FALSE),0),$Z1007*IF($U1007&lt;&gt;"",ROUND((Dashboard!$R$4/$U1007)*VLOOKUP($I1007,Dashboard!$Q$9:$R$13,2,FALSE)*IF(ISNUMBER(SEARCH("Duals",$B1007)),2,IF(ISNUMBER(SEARCH("Triples",$B1007)),3,IF(ISNUMBER(SEARCH("Quads",$B1007)),4,1))),2),ROUND(VLOOKUP($I1007,Dashboard!$Q$15:$R$20,2,FALSE)*IF($E1007="Red",Dashboard!$R$6,IF($E1007="Gold",Dashboard!$R$7,Dashboard!$R$5))*IF(ISNUMBER(SEARCH("Duals",$B1007)),2,IF(ISNUMBER(SEARCH("Triples",$B1007)),3,IF(ISNUMBER(SEARCH("Quads",$B1007)),4,1))),2))*IF(IFERROR(VLOOKUP($B1007,Dashboard!$Q$28:$S$60,3,FALSE),0)&gt;0,VLOOKUP($B1007,Dashboard!$Q$28:$S$60,3,FALSE),1))),0))</f>
        <v>12</v>
      </c>
      <c r="K1007" s="2" t="str">
        <f>IF('Base S2'!G7="","",'Base S2'!G7)</f>
        <v>C 69/82</v>
      </c>
      <c r="L1007" s="2">
        <f t="shared" si="195"/>
        <v>1</v>
      </c>
      <c r="M1007" s="2">
        <f t="shared" si="196"/>
        <v>0</v>
      </c>
      <c r="N1007" s="2">
        <f t="shared" si="197"/>
        <v>1</v>
      </c>
      <c r="O1007" s="2">
        <f t="shared" si="198"/>
        <v>0</v>
      </c>
      <c r="P1007" s="112">
        <f t="shared" si="199"/>
        <v>12</v>
      </c>
      <c r="Q1007" s="112">
        <f t="shared" si="200"/>
        <v>0</v>
      </c>
      <c r="R1007" s="53"/>
      <c r="S1007" s="53" t="str">
        <f t="shared" si="201"/>
        <v>Base S2|Floor 82 Parallel - Season 2|106|Floor 82</v>
      </c>
      <c r="T1007" s="57" t="str">
        <f>IF($S1007="","",IFERROR(VLOOKUP($S1007,'Pop Estimates (Non-#d)'!$N$2:$O$500,2,FALSE),""))</f>
        <v/>
      </c>
      <c r="U1007" s="57">
        <f t="shared" si="202"/>
        <v>82</v>
      </c>
      <c r="V1007" s="53" t="str">
        <f t="shared" si="203"/>
        <v/>
      </c>
      <c r="W1007" s="53" t="str">
        <f t="shared" si="204"/>
        <v/>
      </c>
      <c r="X1007" s="53" t="str">
        <f t="shared" si="205"/>
        <v/>
      </c>
      <c r="Y1007" s="57" t="str">
        <f>IF($X1007="","",IFERROR(VLOOKUP($X1007,'Char Popularity'!$A$2:$C$500,2,FALSE),""))</f>
        <v/>
      </c>
      <c r="Z1007" s="56">
        <f>IF($X1007="",1,IFERROR(VLOOKUP($X1007,'Char Popularity'!$A$2:$C$500,3,FALSE),1))</f>
        <v>1</v>
      </c>
      <c r="AA1007" s="62">
        <f>IF($H1007&lt;&gt;"Y",0,(IF($F1007&lt;&gt;"",ROUND(Dashboard!$R$4/$F1007,1),IF(AND($I1007="Base",$E1007="Base"),Dashboard!$R$5,IF(AND($I1007="Base",$E1007="Red"),Dashboard!$R$6,IF(AND($I1007="Base",$E1007="Gold"),Dashboard!$R$7,VLOOKUP($I1007,Dashboard!$Q$16:$R$21,2,FALSE)))))*VLOOKUP($I1007,Dashboard!$Q$9:$R$13,2,FALSE)*IF(AND($I1007="Auto",$F1007="",OR($B1007="Autographs Duals",$B1007="Autographs Triples",$B1007="Autographs Quads",$B1007="Autographs Quads (Inscribed)")),IF($B1007="Autographs Duals",2,IF($B1007="Autographs Triples",3,4)),1)))</f>
        <v>12.2</v>
      </c>
      <c r="AB1007" s="62">
        <f t="shared" si="206"/>
        <v>12.2</v>
      </c>
      <c r="AC1007" s="62">
        <f t="shared" si="207"/>
        <v>0</v>
      </c>
    </row>
    <row r="1008" spans="1:29" ht="28.7" customHeight="1" x14ac:dyDescent="0.25">
      <c r="A1008" s="4" t="s">
        <v>19</v>
      </c>
      <c r="B1008" s="7" t="s">
        <v>79</v>
      </c>
      <c r="C1008" s="2" t="s">
        <v>1506</v>
      </c>
      <c r="D1008" s="7" t="s">
        <v>1051</v>
      </c>
      <c r="E1008" s="4" t="s">
        <v>779</v>
      </c>
      <c r="F1008" s="2">
        <v>82</v>
      </c>
      <c r="G1008" s="2" t="s">
        <v>1399</v>
      </c>
      <c r="H1008" s="2" t="s">
        <v>1400</v>
      </c>
      <c r="I1008" s="4" t="s">
        <v>60</v>
      </c>
      <c r="J1008" s="112">
        <f>IF($H1008&lt;&gt;"Y",0,ROUND(MIN(Dashboard!$R$24,IF(IFERROR(VLOOKUP($B1008,Dashboard!$Q$28:$S$60,2,FALSE),0)&gt;0,IFERROR(VLOOKUP($B1008,Dashboard!$Q$28:$S$60,2,FALSE),0),$Z1008*IF($U1008&lt;&gt;"",ROUND((Dashboard!$R$4/$U1008)*VLOOKUP($I1008,Dashboard!$Q$9:$R$13,2,FALSE)*IF(ISNUMBER(SEARCH("Duals",$B1008)),2,IF(ISNUMBER(SEARCH("Triples",$B1008)),3,IF(ISNUMBER(SEARCH("Quads",$B1008)),4,1))),2),ROUND(VLOOKUP($I1008,Dashboard!$Q$15:$R$20,2,FALSE)*IF($E1008="Red",Dashboard!$R$6,IF($E1008="Gold",Dashboard!$R$7,Dashboard!$R$5))*IF(ISNUMBER(SEARCH("Duals",$B1008)),2,IF(ISNUMBER(SEARCH("Triples",$B1008)),3,IF(ISNUMBER(SEARCH("Quads",$B1008)),4,1))),2))*IF(IFERROR(VLOOKUP($B1008,Dashboard!$Q$28:$S$60,3,FALSE),0)&gt;0,VLOOKUP($B1008,Dashboard!$Q$28:$S$60,3,FALSE),1))),0))</f>
        <v>12</v>
      </c>
      <c r="K1008" s="2" t="str">
        <f>IF('Base S2'!G8="","",'Base S2'!G8)</f>
        <v>C 15/82</v>
      </c>
      <c r="L1008" s="2">
        <f t="shared" si="195"/>
        <v>1</v>
      </c>
      <c r="M1008" s="2">
        <f t="shared" si="196"/>
        <v>0</v>
      </c>
      <c r="N1008" s="2">
        <f t="shared" si="197"/>
        <v>1</v>
      </c>
      <c r="O1008" s="2">
        <f t="shared" si="198"/>
        <v>0</v>
      </c>
      <c r="P1008" s="112">
        <f t="shared" si="199"/>
        <v>12</v>
      </c>
      <c r="Q1008" s="112">
        <f t="shared" si="200"/>
        <v>0</v>
      </c>
      <c r="R1008" s="53"/>
      <c r="S1008" s="53" t="str">
        <f t="shared" si="201"/>
        <v>Base S2|Floor 82 Parallel - Season 2|107|Floor 82</v>
      </c>
      <c r="T1008" s="57" t="str">
        <f>IF($S1008="","",IFERROR(VLOOKUP($S1008,'Pop Estimates (Non-#d)'!$N$2:$O$500,2,FALSE),""))</f>
        <v/>
      </c>
      <c r="U1008" s="57">
        <f t="shared" si="202"/>
        <v>82</v>
      </c>
      <c r="V1008" s="53" t="str">
        <f t="shared" si="203"/>
        <v/>
      </c>
      <c r="W1008" s="53" t="str">
        <f t="shared" si="204"/>
        <v/>
      </c>
      <c r="X1008" s="53" t="str">
        <f t="shared" si="205"/>
        <v/>
      </c>
      <c r="Y1008" s="57" t="str">
        <f>IF($X1008="","",IFERROR(VLOOKUP($X1008,'Char Popularity'!$A$2:$C$500,2,FALSE),""))</f>
        <v/>
      </c>
      <c r="Z1008" s="56">
        <f>IF($X1008="",1,IFERROR(VLOOKUP($X1008,'Char Popularity'!$A$2:$C$500,3,FALSE),1))</f>
        <v>1</v>
      </c>
      <c r="AA1008" s="62">
        <f>IF($H1008&lt;&gt;"Y",0,(IF($F1008&lt;&gt;"",ROUND(Dashboard!$R$4/$F1008,1),IF(AND($I1008="Base",$E1008="Base"),Dashboard!$R$5,IF(AND($I1008="Base",$E1008="Red"),Dashboard!$R$6,IF(AND($I1008="Base",$E1008="Gold"),Dashboard!$R$7,VLOOKUP($I1008,Dashboard!$Q$16:$R$21,2,FALSE)))))*VLOOKUP($I1008,Dashboard!$Q$9:$R$13,2,FALSE)*IF(AND($I1008="Auto",$F1008="",OR($B1008="Autographs Duals",$B1008="Autographs Triples",$B1008="Autographs Quads",$B1008="Autographs Quads (Inscribed)")),IF($B1008="Autographs Duals",2,IF($B1008="Autographs Triples",3,4)),1)))</f>
        <v>12.2</v>
      </c>
      <c r="AB1008" s="62">
        <f t="shared" si="206"/>
        <v>12.2</v>
      </c>
      <c r="AC1008" s="62">
        <f t="shared" si="207"/>
        <v>0</v>
      </c>
    </row>
    <row r="1009" spans="1:29" ht="28.7" customHeight="1" x14ac:dyDescent="0.25">
      <c r="A1009" s="4" t="s">
        <v>19</v>
      </c>
      <c r="B1009" s="7" t="s">
        <v>79</v>
      </c>
      <c r="C1009" s="2" t="s">
        <v>1507</v>
      </c>
      <c r="D1009" s="7" t="s">
        <v>1053</v>
      </c>
      <c r="E1009" s="4" t="s">
        <v>779</v>
      </c>
      <c r="F1009" s="2">
        <v>82</v>
      </c>
      <c r="G1009" s="2" t="s">
        <v>1399</v>
      </c>
      <c r="H1009" s="2" t="s">
        <v>1400</v>
      </c>
      <c r="I1009" s="4" t="s">
        <v>60</v>
      </c>
      <c r="J1009" s="112">
        <f>IF($H1009&lt;&gt;"Y",0,ROUND(MIN(Dashboard!$R$24,IF(IFERROR(VLOOKUP($B1009,Dashboard!$Q$28:$S$60,2,FALSE),0)&gt;0,IFERROR(VLOOKUP($B1009,Dashboard!$Q$28:$S$60,2,FALSE),0),$Z1009*IF($U1009&lt;&gt;"",ROUND((Dashboard!$R$4/$U1009)*VLOOKUP($I1009,Dashboard!$Q$9:$R$13,2,FALSE)*IF(ISNUMBER(SEARCH("Duals",$B1009)),2,IF(ISNUMBER(SEARCH("Triples",$B1009)),3,IF(ISNUMBER(SEARCH("Quads",$B1009)),4,1))),2),ROUND(VLOOKUP($I1009,Dashboard!$Q$15:$R$20,2,FALSE)*IF($E1009="Red",Dashboard!$R$6,IF($E1009="Gold",Dashboard!$R$7,Dashboard!$R$5))*IF(ISNUMBER(SEARCH("Duals",$B1009)),2,IF(ISNUMBER(SEARCH("Triples",$B1009)),3,IF(ISNUMBER(SEARCH("Quads",$B1009)),4,1))),2))*IF(IFERROR(VLOOKUP($B1009,Dashboard!$Q$28:$S$60,3,FALSE),0)&gt;0,VLOOKUP($B1009,Dashboard!$Q$28:$S$60,3,FALSE),1))),0))</f>
        <v>12</v>
      </c>
      <c r="K1009" s="2" t="str">
        <f>IF('Base S2'!G9="","",'Base S2'!G9)</f>
        <v>V 25/82</v>
      </c>
      <c r="L1009" s="2">
        <f t="shared" si="195"/>
        <v>1</v>
      </c>
      <c r="M1009" s="2">
        <f t="shared" si="196"/>
        <v>0</v>
      </c>
      <c r="N1009" s="2">
        <f t="shared" si="197"/>
        <v>1</v>
      </c>
      <c r="O1009" s="2">
        <f t="shared" si="198"/>
        <v>0</v>
      </c>
      <c r="P1009" s="112">
        <f t="shared" si="199"/>
        <v>12</v>
      </c>
      <c r="Q1009" s="112">
        <f t="shared" si="200"/>
        <v>0</v>
      </c>
      <c r="R1009" s="53"/>
      <c r="S1009" s="53" t="str">
        <f t="shared" si="201"/>
        <v>Base S2|Floor 82 Parallel - Season 2|108|Floor 82</v>
      </c>
      <c r="T1009" s="57" t="str">
        <f>IF($S1009="","",IFERROR(VLOOKUP($S1009,'Pop Estimates (Non-#d)'!$N$2:$O$500,2,FALSE),""))</f>
        <v/>
      </c>
      <c r="U1009" s="57">
        <f t="shared" si="202"/>
        <v>82</v>
      </c>
      <c r="V1009" s="53" t="str">
        <f t="shared" si="203"/>
        <v/>
      </c>
      <c r="W1009" s="53" t="str">
        <f t="shared" si="204"/>
        <v/>
      </c>
      <c r="X1009" s="53" t="str">
        <f t="shared" si="205"/>
        <v/>
      </c>
      <c r="Y1009" s="57" t="str">
        <f>IF($X1009="","",IFERROR(VLOOKUP($X1009,'Char Popularity'!$A$2:$C$500,2,FALSE),""))</f>
        <v/>
      </c>
      <c r="Z1009" s="56">
        <f>IF($X1009="",1,IFERROR(VLOOKUP($X1009,'Char Popularity'!$A$2:$C$500,3,FALSE),1))</f>
        <v>1</v>
      </c>
      <c r="AA1009" s="62">
        <f>IF($H1009&lt;&gt;"Y",0,(IF($F1009&lt;&gt;"",ROUND(Dashboard!$R$4/$F1009,1),IF(AND($I1009="Base",$E1009="Base"),Dashboard!$R$5,IF(AND($I1009="Base",$E1009="Red"),Dashboard!$R$6,IF(AND($I1009="Base",$E1009="Gold"),Dashboard!$R$7,VLOOKUP($I1009,Dashboard!$Q$16:$R$21,2,FALSE)))))*VLOOKUP($I1009,Dashboard!$Q$9:$R$13,2,FALSE)*IF(AND($I1009="Auto",$F1009="",OR($B1009="Autographs Duals",$B1009="Autographs Triples",$B1009="Autographs Quads",$B1009="Autographs Quads (Inscribed)")),IF($B1009="Autographs Duals",2,IF($B1009="Autographs Triples",3,4)),1)))</f>
        <v>12.2</v>
      </c>
      <c r="AB1009" s="62">
        <f t="shared" si="206"/>
        <v>12.2</v>
      </c>
      <c r="AC1009" s="62">
        <f t="shared" si="207"/>
        <v>0</v>
      </c>
    </row>
    <row r="1010" spans="1:29" ht="28.7" customHeight="1" x14ac:dyDescent="0.25">
      <c r="A1010" s="4" t="s">
        <v>19</v>
      </c>
      <c r="B1010" s="7" t="s">
        <v>79</v>
      </c>
      <c r="C1010" s="2" t="s">
        <v>1508</v>
      </c>
      <c r="D1010" s="7" t="s">
        <v>1056</v>
      </c>
      <c r="E1010" s="4" t="s">
        <v>779</v>
      </c>
      <c r="F1010" s="2">
        <v>82</v>
      </c>
      <c r="G1010" s="2" t="s">
        <v>1399</v>
      </c>
      <c r="H1010" s="2" t="s">
        <v>1400</v>
      </c>
      <c r="I1010" s="4" t="s">
        <v>60</v>
      </c>
      <c r="J1010" s="112">
        <f>IF($H1010&lt;&gt;"Y",0,ROUND(MIN(Dashboard!$R$24,IF(IFERROR(VLOOKUP($B1010,Dashboard!$Q$28:$S$60,2,FALSE),0)&gt;0,IFERROR(VLOOKUP($B1010,Dashboard!$Q$28:$S$60,2,FALSE),0),$Z1010*IF($U1010&lt;&gt;"",ROUND((Dashboard!$R$4/$U1010)*VLOOKUP($I1010,Dashboard!$Q$9:$R$13,2,FALSE)*IF(ISNUMBER(SEARCH("Duals",$B1010)),2,IF(ISNUMBER(SEARCH("Triples",$B1010)),3,IF(ISNUMBER(SEARCH("Quads",$B1010)),4,1))),2),ROUND(VLOOKUP($I1010,Dashboard!$Q$15:$R$20,2,FALSE)*IF($E1010="Red",Dashboard!$R$6,IF($E1010="Gold",Dashboard!$R$7,Dashboard!$R$5))*IF(ISNUMBER(SEARCH("Duals",$B1010)),2,IF(ISNUMBER(SEARCH("Triples",$B1010)),3,IF(ISNUMBER(SEARCH("Quads",$B1010)),4,1))),2))*IF(IFERROR(VLOOKUP($B1010,Dashboard!$Q$28:$S$60,3,FALSE),0)&gt;0,VLOOKUP($B1010,Dashboard!$Q$28:$S$60,3,FALSE),1))),0))</f>
        <v>12</v>
      </c>
      <c r="K1010" s="2" t="str">
        <f>IF('Base S2'!G10="","",'Base S2'!G10)</f>
        <v>V 55/82</v>
      </c>
      <c r="L1010" s="2">
        <f t="shared" si="195"/>
        <v>1</v>
      </c>
      <c r="M1010" s="2">
        <f t="shared" si="196"/>
        <v>0</v>
      </c>
      <c r="N1010" s="2">
        <f t="shared" si="197"/>
        <v>1</v>
      </c>
      <c r="O1010" s="2">
        <f t="shared" si="198"/>
        <v>0</v>
      </c>
      <c r="P1010" s="112">
        <f t="shared" si="199"/>
        <v>12</v>
      </c>
      <c r="Q1010" s="112">
        <f t="shared" si="200"/>
        <v>0</v>
      </c>
      <c r="R1010" s="53"/>
      <c r="S1010" s="53" t="str">
        <f t="shared" si="201"/>
        <v>Base S2|Floor 82 Parallel - Season 2|109|Floor 82</v>
      </c>
      <c r="T1010" s="57" t="str">
        <f>IF($S1010="","",IFERROR(VLOOKUP($S1010,'Pop Estimates (Non-#d)'!$N$2:$O$500,2,FALSE),""))</f>
        <v/>
      </c>
      <c r="U1010" s="57">
        <f t="shared" si="202"/>
        <v>82</v>
      </c>
      <c r="V1010" s="53" t="str">
        <f t="shared" si="203"/>
        <v/>
      </c>
      <c r="W1010" s="53" t="str">
        <f t="shared" si="204"/>
        <v/>
      </c>
      <c r="X1010" s="53" t="str">
        <f t="shared" si="205"/>
        <v/>
      </c>
      <c r="Y1010" s="57" t="str">
        <f>IF($X1010="","",IFERROR(VLOOKUP($X1010,'Char Popularity'!$A$2:$C$500,2,FALSE),""))</f>
        <v/>
      </c>
      <c r="Z1010" s="56">
        <f>IF($X1010="",1,IFERROR(VLOOKUP($X1010,'Char Popularity'!$A$2:$C$500,3,FALSE),1))</f>
        <v>1</v>
      </c>
      <c r="AA1010" s="62">
        <f>IF($H1010&lt;&gt;"Y",0,(IF($F1010&lt;&gt;"",ROUND(Dashboard!$R$4/$F1010,1),IF(AND($I1010="Base",$E1010="Base"),Dashboard!$R$5,IF(AND($I1010="Base",$E1010="Red"),Dashboard!$R$6,IF(AND($I1010="Base",$E1010="Gold"),Dashboard!$R$7,VLOOKUP($I1010,Dashboard!$Q$16:$R$21,2,FALSE)))))*VLOOKUP($I1010,Dashboard!$Q$9:$R$13,2,FALSE)*IF(AND($I1010="Auto",$F1010="",OR($B1010="Autographs Duals",$B1010="Autographs Triples",$B1010="Autographs Quads",$B1010="Autographs Quads (Inscribed)")),IF($B1010="Autographs Duals",2,IF($B1010="Autographs Triples",3,4)),1)))</f>
        <v>12.2</v>
      </c>
      <c r="AB1010" s="62">
        <f t="shared" si="206"/>
        <v>12.2</v>
      </c>
      <c r="AC1010" s="62">
        <f t="shared" si="207"/>
        <v>0</v>
      </c>
    </row>
    <row r="1011" spans="1:29" ht="28.7" customHeight="1" x14ac:dyDescent="0.25">
      <c r="A1011" s="4" t="s">
        <v>19</v>
      </c>
      <c r="B1011" s="7" t="s">
        <v>79</v>
      </c>
      <c r="C1011" s="2" t="s">
        <v>1509</v>
      </c>
      <c r="D1011" s="7" t="s">
        <v>1059</v>
      </c>
      <c r="E1011" s="4" t="s">
        <v>779</v>
      </c>
      <c r="F1011" s="2">
        <v>82</v>
      </c>
      <c r="G1011" s="2" t="s">
        <v>1399</v>
      </c>
      <c r="H1011" s="2" t="s">
        <v>1400</v>
      </c>
      <c r="I1011" s="4" t="s">
        <v>60</v>
      </c>
      <c r="J1011" s="112">
        <f>IF($H1011&lt;&gt;"Y",0,ROUND(MIN(Dashboard!$R$24,IF(IFERROR(VLOOKUP($B1011,Dashboard!$Q$28:$S$60,2,FALSE),0)&gt;0,IFERROR(VLOOKUP($B1011,Dashboard!$Q$28:$S$60,2,FALSE),0),$Z1011*IF($U1011&lt;&gt;"",ROUND((Dashboard!$R$4/$U1011)*VLOOKUP($I1011,Dashboard!$Q$9:$R$13,2,FALSE)*IF(ISNUMBER(SEARCH("Duals",$B1011)),2,IF(ISNUMBER(SEARCH("Triples",$B1011)),3,IF(ISNUMBER(SEARCH("Quads",$B1011)),4,1))),2),ROUND(VLOOKUP($I1011,Dashboard!$Q$15:$R$20,2,FALSE)*IF($E1011="Red",Dashboard!$R$6,IF($E1011="Gold",Dashboard!$R$7,Dashboard!$R$5))*IF(ISNUMBER(SEARCH("Duals",$B1011)),2,IF(ISNUMBER(SEARCH("Triples",$B1011)),3,IF(ISNUMBER(SEARCH("Quads",$B1011)),4,1))),2))*IF(IFERROR(VLOOKUP($B1011,Dashboard!$Q$28:$S$60,3,FALSE),0)&gt;0,VLOOKUP($B1011,Dashboard!$Q$28:$S$60,3,FALSE),1))),0))</f>
        <v>12</v>
      </c>
      <c r="K1011" s="2" t="str">
        <f>IF('Base S2'!G11="","",'Base S2'!G11)</f>
        <v>V 78/82</v>
      </c>
      <c r="L1011" s="2">
        <f t="shared" si="195"/>
        <v>1</v>
      </c>
      <c r="M1011" s="2">
        <f t="shared" si="196"/>
        <v>0</v>
      </c>
      <c r="N1011" s="2">
        <f t="shared" si="197"/>
        <v>1</v>
      </c>
      <c r="O1011" s="2">
        <f t="shared" si="198"/>
        <v>0</v>
      </c>
      <c r="P1011" s="112">
        <f t="shared" si="199"/>
        <v>12</v>
      </c>
      <c r="Q1011" s="112">
        <f t="shared" si="200"/>
        <v>0</v>
      </c>
      <c r="R1011" s="53"/>
      <c r="S1011" s="53" t="str">
        <f t="shared" si="201"/>
        <v>Base S2|Floor 82 Parallel - Season 2|110|Floor 82</v>
      </c>
      <c r="T1011" s="57" t="str">
        <f>IF($S1011="","",IFERROR(VLOOKUP($S1011,'Pop Estimates (Non-#d)'!$N$2:$O$500,2,FALSE),""))</f>
        <v/>
      </c>
      <c r="U1011" s="57">
        <f t="shared" si="202"/>
        <v>82</v>
      </c>
      <c r="V1011" s="53" t="str">
        <f t="shared" si="203"/>
        <v/>
      </c>
      <c r="W1011" s="53" t="str">
        <f t="shared" si="204"/>
        <v/>
      </c>
      <c r="X1011" s="53" t="str">
        <f t="shared" si="205"/>
        <v/>
      </c>
      <c r="Y1011" s="57" t="str">
        <f>IF($X1011="","",IFERROR(VLOOKUP($X1011,'Char Popularity'!$A$2:$C$500,2,FALSE),""))</f>
        <v/>
      </c>
      <c r="Z1011" s="56">
        <f>IF($X1011="",1,IFERROR(VLOOKUP($X1011,'Char Popularity'!$A$2:$C$500,3,FALSE),1))</f>
        <v>1</v>
      </c>
      <c r="AA1011" s="62">
        <f>IF($H1011&lt;&gt;"Y",0,(IF($F1011&lt;&gt;"",ROUND(Dashboard!$R$4/$F1011,1),IF(AND($I1011="Base",$E1011="Base"),Dashboard!$R$5,IF(AND($I1011="Base",$E1011="Red"),Dashboard!$R$6,IF(AND($I1011="Base",$E1011="Gold"),Dashboard!$R$7,VLOOKUP($I1011,Dashboard!$Q$16:$R$21,2,FALSE)))))*VLOOKUP($I1011,Dashboard!$Q$9:$R$13,2,FALSE)*IF(AND($I1011="Auto",$F1011="",OR($B1011="Autographs Duals",$B1011="Autographs Triples",$B1011="Autographs Quads",$B1011="Autographs Quads (Inscribed)")),IF($B1011="Autographs Duals",2,IF($B1011="Autographs Triples",3,4)),1)))</f>
        <v>12.2</v>
      </c>
      <c r="AB1011" s="62">
        <f t="shared" si="206"/>
        <v>12.2</v>
      </c>
      <c r="AC1011" s="62">
        <f t="shared" si="207"/>
        <v>0</v>
      </c>
    </row>
    <row r="1012" spans="1:29" ht="28.7" customHeight="1" x14ac:dyDescent="0.25">
      <c r="A1012" s="4" t="s">
        <v>19</v>
      </c>
      <c r="B1012" s="7" t="s">
        <v>79</v>
      </c>
      <c r="C1012" s="2" t="s">
        <v>1510</v>
      </c>
      <c r="D1012" s="7" t="s">
        <v>1061</v>
      </c>
      <c r="E1012" s="4" t="s">
        <v>779</v>
      </c>
      <c r="F1012" s="2">
        <v>82</v>
      </c>
      <c r="G1012" s="2" t="s">
        <v>1399</v>
      </c>
      <c r="H1012" s="2" t="s">
        <v>1400</v>
      </c>
      <c r="I1012" s="4" t="s">
        <v>60</v>
      </c>
      <c r="J1012" s="112">
        <f>IF($H1012&lt;&gt;"Y",0,ROUND(MIN(Dashboard!$R$24,IF(IFERROR(VLOOKUP($B1012,Dashboard!$Q$28:$S$60,2,FALSE),0)&gt;0,IFERROR(VLOOKUP($B1012,Dashboard!$Q$28:$S$60,2,FALSE),0),$Z1012*IF($U1012&lt;&gt;"",ROUND((Dashboard!$R$4/$U1012)*VLOOKUP($I1012,Dashboard!$Q$9:$R$13,2,FALSE)*IF(ISNUMBER(SEARCH("Duals",$B1012)),2,IF(ISNUMBER(SEARCH("Triples",$B1012)),3,IF(ISNUMBER(SEARCH("Quads",$B1012)),4,1))),2),ROUND(VLOOKUP($I1012,Dashboard!$Q$15:$R$20,2,FALSE)*IF($E1012="Red",Dashboard!$R$6,IF($E1012="Gold",Dashboard!$R$7,Dashboard!$R$5))*IF(ISNUMBER(SEARCH("Duals",$B1012)),2,IF(ISNUMBER(SEARCH("Triples",$B1012)),3,IF(ISNUMBER(SEARCH("Quads",$B1012)),4,1))),2))*IF(IFERROR(VLOOKUP($B1012,Dashboard!$Q$28:$S$60,3,FALSE),0)&gt;0,VLOOKUP($B1012,Dashboard!$Q$28:$S$60,3,FALSE),1))),0))</f>
        <v>12</v>
      </c>
      <c r="K1012" s="2" t="str">
        <f>IF('Base S2'!G12="","",'Base S2'!G12)</f>
        <v>C 13/82</v>
      </c>
      <c r="L1012" s="2">
        <f t="shared" si="195"/>
        <v>1</v>
      </c>
      <c r="M1012" s="2">
        <f t="shared" si="196"/>
        <v>0</v>
      </c>
      <c r="N1012" s="2">
        <f t="shared" si="197"/>
        <v>1</v>
      </c>
      <c r="O1012" s="2">
        <f t="shared" si="198"/>
        <v>0</v>
      </c>
      <c r="P1012" s="112">
        <f t="shared" si="199"/>
        <v>12</v>
      </c>
      <c r="Q1012" s="112">
        <f t="shared" si="200"/>
        <v>0</v>
      </c>
      <c r="R1012" s="53"/>
      <c r="S1012" s="53" t="str">
        <f t="shared" si="201"/>
        <v>Base S2|Floor 82 Parallel - Season 2|111|Floor 82</v>
      </c>
      <c r="T1012" s="57" t="str">
        <f>IF($S1012="","",IFERROR(VLOOKUP($S1012,'Pop Estimates (Non-#d)'!$N$2:$O$500,2,FALSE),""))</f>
        <v/>
      </c>
      <c r="U1012" s="57">
        <f t="shared" si="202"/>
        <v>82</v>
      </c>
      <c r="V1012" s="53" t="str">
        <f t="shared" si="203"/>
        <v/>
      </c>
      <c r="W1012" s="53" t="str">
        <f t="shared" si="204"/>
        <v/>
      </c>
      <c r="X1012" s="53" t="str">
        <f t="shared" si="205"/>
        <v/>
      </c>
      <c r="Y1012" s="57" t="str">
        <f>IF($X1012="","",IFERROR(VLOOKUP($X1012,'Char Popularity'!$A$2:$C$500,2,FALSE),""))</f>
        <v/>
      </c>
      <c r="Z1012" s="56">
        <f>IF($X1012="",1,IFERROR(VLOOKUP($X1012,'Char Popularity'!$A$2:$C$500,3,FALSE),1))</f>
        <v>1</v>
      </c>
      <c r="AA1012" s="62">
        <f>IF($H1012&lt;&gt;"Y",0,(IF($F1012&lt;&gt;"",ROUND(Dashboard!$R$4/$F1012,1),IF(AND($I1012="Base",$E1012="Base"),Dashboard!$R$5,IF(AND($I1012="Base",$E1012="Red"),Dashboard!$R$6,IF(AND($I1012="Base",$E1012="Gold"),Dashboard!$R$7,VLOOKUP($I1012,Dashboard!$Q$16:$R$21,2,FALSE)))))*VLOOKUP($I1012,Dashboard!$Q$9:$R$13,2,FALSE)*IF(AND($I1012="Auto",$F1012="",OR($B1012="Autographs Duals",$B1012="Autographs Triples",$B1012="Autographs Quads",$B1012="Autographs Quads (Inscribed)")),IF($B1012="Autographs Duals",2,IF($B1012="Autographs Triples",3,4)),1)))</f>
        <v>12.2</v>
      </c>
      <c r="AB1012" s="62">
        <f t="shared" si="206"/>
        <v>12.2</v>
      </c>
      <c r="AC1012" s="62">
        <f t="shared" si="207"/>
        <v>0</v>
      </c>
    </row>
    <row r="1013" spans="1:29" ht="28.7" customHeight="1" x14ac:dyDescent="0.25">
      <c r="A1013" s="4" t="s">
        <v>19</v>
      </c>
      <c r="B1013" s="7" t="s">
        <v>79</v>
      </c>
      <c r="C1013" s="2" t="s">
        <v>1511</v>
      </c>
      <c r="D1013" s="7" t="s">
        <v>1063</v>
      </c>
      <c r="E1013" s="4" t="s">
        <v>779</v>
      </c>
      <c r="F1013" s="2">
        <v>82</v>
      </c>
      <c r="G1013" s="2" t="s">
        <v>1399</v>
      </c>
      <c r="H1013" s="2" t="s">
        <v>1400</v>
      </c>
      <c r="I1013" s="4" t="s">
        <v>60</v>
      </c>
      <c r="J1013" s="112">
        <f>IF($H1013&lt;&gt;"Y",0,ROUND(MIN(Dashboard!$R$24,IF(IFERROR(VLOOKUP($B1013,Dashboard!$Q$28:$S$60,2,FALSE),0)&gt;0,IFERROR(VLOOKUP($B1013,Dashboard!$Q$28:$S$60,2,FALSE),0),$Z1013*IF($U1013&lt;&gt;"",ROUND((Dashboard!$R$4/$U1013)*VLOOKUP($I1013,Dashboard!$Q$9:$R$13,2,FALSE)*IF(ISNUMBER(SEARCH("Duals",$B1013)),2,IF(ISNUMBER(SEARCH("Triples",$B1013)),3,IF(ISNUMBER(SEARCH("Quads",$B1013)),4,1))),2),ROUND(VLOOKUP($I1013,Dashboard!$Q$15:$R$20,2,FALSE)*IF($E1013="Red",Dashboard!$R$6,IF($E1013="Gold",Dashboard!$R$7,Dashboard!$R$5))*IF(ISNUMBER(SEARCH("Duals",$B1013)),2,IF(ISNUMBER(SEARCH("Triples",$B1013)),3,IF(ISNUMBER(SEARCH("Quads",$B1013)),4,1))),2))*IF(IFERROR(VLOOKUP($B1013,Dashboard!$Q$28:$S$60,3,FALSE),0)&gt;0,VLOOKUP($B1013,Dashboard!$Q$28:$S$60,3,FALSE),1))),0))</f>
        <v>12</v>
      </c>
      <c r="K1013" s="2" t="str">
        <f>IF('Base S2'!G13="","",'Base S2'!G13)</f>
        <v>V '12/82</v>
      </c>
      <c r="L1013" s="2">
        <f t="shared" si="195"/>
        <v>1</v>
      </c>
      <c r="M1013" s="2">
        <f t="shared" si="196"/>
        <v>0</v>
      </c>
      <c r="N1013" s="2">
        <f t="shared" si="197"/>
        <v>1</v>
      </c>
      <c r="O1013" s="2">
        <f t="shared" si="198"/>
        <v>0</v>
      </c>
      <c r="P1013" s="112">
        <f t="shared" si="199"/>
        <v>12</v>
      </c>
      <c r="Q1013" s="112">
        <f t="shared" si="200"/>
        <v>0</v>
      </c>
      <c r="R1013" s="53"/>
      <c r="S1013" s="53" t="str">
        <f t="shared" si="201"/>
        <v>Base S2|Floor 82 Parallel - Season 2|112|Floor 82</v>
      </c>
      <c r="T1013" s="57" t="str">
        <f>IF($S1013="","",IFERROR(VLOOKUP($S1013,'Pop Estimates (Non-#d)'!$N$2:$O$500,2,FALSE),""))</f>
        <v/>
      </c>
      <c r="U1013" s="57">
        <f t="shared" si="202"/>
        <v>82</v>
      </c>
      <c r="V1013" s="53" t="str">
        <f t="shared" si="203"/>
        <v/>
      </c>
      <c r="W1013" s="53" t="str">
        <f t="shared" si="204"/>
        <v/>
      </c>
      <c r="X1013" s="53" t="str">
        <f t="shared" si="205"/>
        <v/>
      </c>
      <c r="Y1013" s="57" t="str">
        <f>IF($X1013="","",IFERROR(VLOOKUP($X1013,'Char Popularity'!$A$2:$C$500,2,FALSE),""))</f>
        <v/>
      </c>
      <c r="Z1013" s="56">
        <f>IF($X1013="",1,IFERROR(VLOOKUP($X1013,'Char Popularity'!$A$2:$C$500,3,FALSE),1))</f>
        <v>1</v>
      </c>
      <c r="AA1013" s="62">
        <f>IF($H1013&lt;&gt;"Y",0,(IF($F1013&lt;&gt;"",ROUND(Dashboard!$R$4/$F1013,1),IF(AND($I1013="Base",$E1013="Base"),Dashboard!$R$5,IF(AND($I1013="Base",$E1013="Red"),Dashboard!$R$6,IF(AND($I1013="Base",$E1013="Gold"),Dashboard!$R$7,VLOOKUP($I1013,Dashboard!$Q$16:$R$21,2,FALSE)))))*VLOOKUP($I1013,Dashboard!$Q$9:$R$13,2,FALSE)*IF(AND($I1013="Auto",$F1013="",OR($B1013="Autographs Duals",$B1013="Autographs Triples",$B1013="Autographs Quads",$B1013="Autographs Quads (Inscribed)")),IF($B1013="Autographs Duals",2,IF($B1013="Autographs Triples",3,4)),1)))</f>
        <v>12.2</v>
      </c>
      <c r="AB1013" s="62">
        <f t="shared" si="206"/>
        <v>12.2</v>
      </c>
      <c r="AC1013" s="62">
        <f t="shared" si="207"/>
        <v>0</v>
      </c>
    </row>
    <row r="1014" spans="1:29" ht="28.7" customHeight="1" x14ac:dyDescent="0.25">
      <c r="A1014" s="4" t="s">
        <v>19</v>
      </c>
      <c r="B1014" s="7" t="s">
        <v>79</v>
      </c>
      <c r="C1014" s="2" t="s">
        <v>1512</v>
      </c>
      <c r="D1014" s="7" t="s">
        <v>1065</v>
      </c>
      <c r="E1014" s="4" t="s">
        <v>779</v>
      </c>
      <c r="F1014" s="2">
        <v>82</v>
      </c>
      <c r="G1014" s="2" t="s">
        <v>1399</v>
      </c>
      <c r="H1014" s="2" t="s">
        <v>1400</v>
      </c>
      <c r="I1014" s="4" t="s">
        <v>60</v>
      </c>
      <c r="J1014" s="112">
        <f>IF($H1014&lt;&gt;"Y",0,ROUND(MIN(Dashboard!$R$24,IF(IFERROR(VLOOKUP($B1014,Dashboard!$Q$28:$S$60,2,FALSE),0)&gt;0,IFERROR(VLOOKUP($B1014,Dashboard!$Q$28:$S$60,2,FALSE),0),$Z1014*IF($U1014&lt;&gt;"",ROUND((Dashboard!$R$4/$U1014)*VLOOKUP($I1014,Dashboard!$Q$9:$R$13,2,FALSE)*IF(ISNUMBER(SEARCH("Duals",$B1014)),2,IF(ISNUMBER(SEARCH("Triples",$B1014)),3,IF(ISNUMBER(SEARCH("Quads",$B1014)),4,1))),2),ROUND(VLOOKUP($I1014,Dashboard!$Q$15:$R$20,2,FALSE)*IF($E1014="Red",Dashboard!$R$6,IF($E1014="Gold",Dashboard!$R$7,Dashboard!$R$5))*IF(ISNUMBER(SEARCH("Duals",$B1014)),2,IF(ISNUMBER(SEARCH("Triples",$B1014)),3,IF(ISNUMBER(SEARCH("Quads",$B1014)),4,1))),2))*IF(IFERROR(VLOOKUP($B1014,Dashboard!$Q$28:$S$60,3,FALSE),0)&gt;0,VLOOKUP($B1014,Dashboard!$Q$28:$S$60,3,FALSE),1))),0))</f>
        <v>12</v>
      </c>
      <c r="K1014" s="2" t="str">
        <f>IF('Base S2'!G14="","",'Base S2'!G14)</f>
        <v>C 48/82</v>
      </c>
      <c r="L1014" s="2">
        <f t="shared" si="195"/>
        <v>1</v>
      </c>
      <c r="M1014" s="2">
        <f t="shared" si="196"/>
        <v>0</v>
      </c>
      <c r="N1014" s="2">
        <f t="shared" si="197"/>
        <v>1</v>
      </c>
      <c r="O1014" s="2">
        <f t="shared" si="198"/>
        <v>0</v>
      </c>
      <c r="P1014" s="112">
        <f t="shared" si="199"/>
        <v>12</v>
      </c>
      <c r="Q1014" s="112">
        <f t="shared" si="200"/>
        <v>0</v>
      </c>
      <c r="R1014" s="53"/>
      <c r="S1014" s="53" t="str">
        <f t="shared" si="201"/>
        <v>Base S2|Floor 82 Parallel - Season 2|113|Floor 82</v>
      </c>
      <c r="T1014" s="57" t="str">
        <f>IF($S1014="","",IFERROR(VLOOKUP($S1014,'Pop Estimates (Non-#d)'!$N$2:$O$500,2,FALSE),""))</f>
        <v/>
      </c>
      <c r="U1014" s="57">
        <f t="shared" si="202"/>
        <v>82</v>
      </c>
      <c r="V1014" s="53" t="str">
        <f t="shared" si="203"/>
        <v/>
      </c>
      <c r="W1014" s="53" t="str">
        <f t="shared" si="204"/>
        <v/>
      </c>
      <c r="X1014" s="53" t="str">
        <f t="shared" si="205"/>
        <v/>
      </c>
      <c r="Y1014" s="57" t="str">
        <f>IF($X1014="","",IFERROR(VLOOKUP($X1014,'Char Popularity'!$A$2:$C$500,2,FALSE),""))</f>
        <v/>
      </c>
      <c r="Z1014" s="56">
        <f>IF($X1014="",1,IFERROR(VLOOKUP($X1014,'Char Popularity'!$A$2:$C$500,3,FALSE),1))</f>
        <v>1</v>
      </c>
      <c r="AA1014" s="62">
        <f>IF($H1014&lt;&gt;"Y",0,(IF($F1014&lt;&gt;"",ROUND(Dashboard!$R$4/$F1014,1),IF(AND($I1014="Base",$E1014="Base"),Dashboard!$R$5,IF(AND($I1014="Base",$E1014="Red"),Dashboard!$R$6,IF(AND($I1014="Base",$E1014="Gold"),Dashboard!$R$7,VLOOKUP($I1014,Dashboard!$Q$16:$R$21,2,FALSE)))))*VLOOKUP($I1014,Dashboard!$Q$9:$R$13,2,FALSE)*IF(AND($I1014="Auto",$F1014="",OR($B1014="Autographs Duals",$B1014="Autographs Triples",$B1014="Autographs Quads",$B1014="Autographs Quads (Inscribed)")),IF($B1014="Autographs Duals",2,IF($B1014="Autographs Triples",3,4)),1)))</f>
        <v>12.2</v>
      </c>
      <c r="AB1014" s="62">
        <f t="shared" si="206"/>
        <v>12.2</v>
      </c>
      <c r="AC1014" s="62">
        <f t="shared" si="207"/>
        <v>0</v>
      </c>
    </row>
    <row r="1015" spans="1:29" ht="28.7" customHeight="1" x14ac:dyDescent="0.25">
      <c r="A1015" s="4" t="s">
        <v>19</v>
      </c>
      <c r="B1015" s="7" t="s">
        <v>79</v>
      </c>
      <c r="C1015" s="2" t="s">
        <v>1513</v>
      </c>
      <c r="D1015" s="7" t="s">
        <v>1067</v>
      </c>
      <c r="E1015" s="4" t="s">
        <v>779</v>
      </c>
      <c r="F1015" s="2">
        <v>82</v>
      </c>
      <c r="G1015" s="2" t="s">
        <v>1399</v>
      </c>
      <c r="H1015" s="2" t="s">
        <v>1400</v>
      </c>
      <c r="I1015" s="4" t="s">
        <v>60</v>
      </c>
      <c r="J1015" s="112">
        <f>IF($H1015&lt;&gt;"Y",0,ROUND(MIN(Dashboard!$R$24,IF(IFERROR(VLOOKUP($B1015,Dashboard!$Q$28:$S$60,2,FALSE),0)&gt;0,IFERROR(VLOOKUP($B1015,Dashboard!$Q$28:$S$60,2,FALSE),0),$Z1015*IF($U1015&lt;&gt;"",ROUND((Dashboard!$R$4/$U1015)*VLOOKUP($I1015,Dashboard!$Q$9:$R$13,2,FALSE)*IF(ISNUMBER(SEARCH("Duals",$B1015)),2,IF(ISNUMBER(SEARCH("Triples",$B1015)),3,IF(ISNUMBER(SEARCH("Quads",$B1015)),4,1))),2),ROUND(VLOOKUP($I1015,Dashboard!$Q$15:$R$20,2,FALSE)*IF($E1015="Red",Dashboard!$R$6,IF($E1015="Gold",Dashboard!$R$7,Dashboard!$R$5))*IF(ISNUMBER(SEARCH("Duals",$B1015)),2,IF(ISNUMBER(SEARCH("Triples",$B1015)),3,IF(ISNUMBER(SEARCH("Quads",$B1015)),4,1))),2))*IF(IFERROR(VLOOKUP($B1015,Dashboard!$Q$28:$S$60,3,FALSE),0)&gt;0,VLOOKUP($B1015,Dashboard!$Q$28:$S$60,3,FALSE),1))),0))</f>
        <v>12</v>
      </c>
      <c r="K1015" s="2" t="str">
        <f>IF('Base S2'!G15="","",'Base S2'!G15)</f>
        <v>C 76/82</v>
      </c>
      <c r="L1015" s="2">
        <f t="shared" si="195"/>
        <v>1</v>
      </c>
      <c r="M1015" s="2">
        <f t="shared" si="196"/>
        <v>0</v>
      </c>
      <c r="N1015" s="2">
        <f t="shared" si="197"/>
        <v>1</v>
      </c>
      <c r="O1015" s="2">
        <f t="shared" si="198"/>
        <v>0</v>
      </c>
      <c r="P1015" s="112">
        <f t="shared" si="199"/>
        <v>12</v>
      </c>
      <c r="Q1015" s="112">
        <f t="shared" si="200"/>
        <v>0</v>
      </c>
      <c r="R1015" s="53"/>
      <c r="S1015" s="53" t="str">
        <f t="shared" si="201"/>
        <v>Base S2|Floor 82 Parallel - Season 2|114|Floor 82</v>
      </c>
      <c r="T1015" s="57" t="str">
        <f>IF($S1015="","",IFERROR(VLOOKUP($S1015,'Pop Estimates (Non-#d)'!$N$2:$O$500,2,FALSE),""))</f>
        <v/>
      </c>
      <c r="U1015" s="57">
        <f t="shared" si="202"/>
        <v>82</v>
      </c>
      <c r="V1015" s="53" t="str">
        <f t="shared" si="203"/>
        <v/>
      </c>
      <c r="W1015" s="53" t="str">
        <f t="shared" si="204"/>
        <v/>
      </c>
      <c r="X1015" s="53" t="str">
        <f t="shared" si="205"/>
        <v/>
      </c>
      <c r="Y1015" s="57" t="str">
        <f>IF($X1015="","",IFERROR(VLOOKUP($X1015,'Char Popularity'!$A$2:$C$500,2,FALSE),""))</f>
        <v/>
      </c>
      <c r="Z1015" s="56">
        <f>IF($X1015="",1,IFERROR(VLOOKUP($X1015,'Char Popularity'!$A$2:$C$500,3,FALSE),1))</f>
        <v>1</v>
      </c>
      <c r="AA1015" s="62">
        <f>IF($H1015&lt;&gt;"Y",0,(IF($F1015&lt;&gt;"",ROUND(Dashboard!$R$4/$F1015,1),IF(AND($I1015="Base",$E1015="Base"),Dashboard!$R$5,IF(AND($I1015="Base",$E1015="Red"),Dashboard!$R$6,IF(AND($I1015="Base",$E1015="Gold"),Dashboard!$R$7,VLOOKUP($I1015,Dashboard!$Q$16:$R$21,2,FALSE)))))*VLOOKUP($I1015,Dashboard!$Q$9:$R$13,2,FALSE)*IF(AND($I1015="Auto",$F1015="",OR($B1015="Autographs Duals",$B1015="Autographs Triples",$B1015="Autographs Quads",$B1015="Autographs Quads (Inscribed)")),IF($B1015="Autographs Duals",2,IF($B1015="Autographs Triples",3,4)),1)))</f>
        <v>12.2</v>
      </c>
      <c r="AB1015" s="62">
        <f t="shared" si="206"/>
        <v>12.2</v>
      </c>
      <c r="AC1015" s="62">
        <f t="shared" si="207"/>
        <v>0</v>
      </c>
    </row>
    <row r="1016" spans="1:29" ht="28.7" customHeight="1" x14ac:dyDescent="0.25">
      <c r="A1016" s="4" t="s">
        <v>19</v>
      </c>
      <c r="B1016" s="7" t="s">
        <v>79</v>
      </c>
      <c r="C1016" s="2" t="s">
        <v>1514</v>
      </c>
      <c r="D1016" s="7" t="s">
        <v>1069</v>
      </c>
      <c r="E1016" s="4" t="s">
        <v>779</v>
      </c>
      <c r="F1016" s="2">
        <v>82</v>
      </c>
      <c r="G1016" s="2" t="s">
        <v>1399</v>
      </c>
      <c r="H1016" s="2" t="s">
        <v>1400</v>
      </c>
      <c r="I1016" s="4" t="s">
        <v>60</v>
      </c>
      <c r="J1016" s="112">
        <f>IF($H1016&lt;&gt;"Y",0,ROUND(MIN(Dashboard!$R$24,IF(IFERROR(VLOOKUP($B1016,Dashboard!$Q$28:$S$60,2,FALSE),0)&gt;0,IFERROR(VLOOKUP($B1016,Dashboard!$Q$28:$S$60,2,FALSE),0),$Z1016*IF($U1016&lt;&gt;"",ROUND((Dashboard!$R$4/$U1016)*VLOOKUP($I1016,Dashboard!$Q$9:$R$13,2,FALSE)*IF(ISNUMBER(SEARCH("Duals",$B1016)),2,IF(ISNUMBER(SEARCH("Triples",$B1016)),3,IF(ISNUMBER(SEARCH("Quads",$B1016)),4,1))),2),ROUND(VLOOKUP($I1016,Dashboard!$Q$15:$R$20,2,FALSE)*IF($E1016="Red",Dashboard!$R$6,IF($E1016="Gold",Dashboard!$R$7,Dashboard!$R$5))*IF(ISNUMBER(SEARCH("Duals",$B1016)),2,IF(ISNUMBER(SEARCH("Triples",$B1016)),3,IF(ISNUMBER(SEARCH("Quads",$B1016)),4,1))),2))*IF(IFERROR(VLOOKUP($B1016,Dashboard!$Q$28:$S$60,3,FALSE),0)&gt;0,VLOOKUP($B1016,Dashboard!$Q$28:$S$60,3,FALSE),1))),0))</f>
        <v>12</v>
      </c>
      <c r="K1016" s="2" t="str">
        <f>IF('Base S2'!G16="","",'Base S2'!G16)</f>
        <v>C 16/82</v>
      </c>
      <c r="L1016" s="2">
        <f t="shared" si="195"/>
        <v>1</v>
      </c>
      <c r="M1016" s="2">
        <f t="shared" si="196"/>
        <v>0</v>
      </c>
      <c r="N1016" s="2">
        <f t="shared" si="197"/>
        <v>1</v>
      </c>
      <c r="O1016" s="2">
        <f t="shared" si="198"/>
        <v>0</v>
      </c>
      <c r="P1016" s="112">
        <f t="shared" si="199"/>
        <v>12</v>
      </c>
      <c r="Q1016" s="112">
        <f t="shared" si="200"/>
        <v>0</v>
      </c>
      <c r="R1016" s="53"/>
      <c r="S1016" s="53" t="str">
        <f t="shared" si="201"/>
        <v>Base S2|Floor 82 Parallel - Season 2|115|Floor 82</v>
      </c>
      <c r="T1016" s="57" t="str">
        <f>IF($S1016="","",IFERROR(VLOOKUP($S1016,'Pop Estimates (Non-#d)'!$N$2:$O$500,2,FALSE),""))</f>
        <v/>
      </c>
      <c r="U1016" s="57">
        <f t="shared" si="202"/>
        <v>82</v>
      </c>
      <c r="V1016" s="53" t="str">
        <f t="shared" si="203"/>
        <v/>
      </c>
      <c r="W1016" s="53" t="str">
        <f t="shared" si="204"/>
        <v/>
      </c>
      <c r="X1016" s="53" t="str">
        <f t="shared" si="205"/>
        <v/>
      </c>
      <c r="Y1016" s="57" t="str">
        <f>IF($X1016="","",IFERROR(VLOOKUP($X1016,'Char Popularity'!$A$2:$C$500,2,FALSE),""))</f>
        <v/>
      </c>
      <c r="Z1016" s="56">
        <f>IF($X1016="",1,IFERROR(VLOOKUP($X1016,'Char Popularity'!$A$2:$C$500,3,FALSE),1))</f>
        <v>1</v>
      </c>
      <c r="AA1016" s="62">
        <f>IF($H1016&lt;&gt;"Y",0,(IF($F1016&lt;&gt;"",ROUND(Dashboard!$R$4/$F1016,1),IF(AND($I1016="Base",$E1016="Base"),Dashboard!$R$5,IF(AND($I1016="Base",$E1016="Red"),Dashboard!$R$6,IF(AND($I1016="Base",$E1016="Gold"),Dashboard!$R$7,VLOOKUP($I1016,Dashboard!$Q$16:$R$21,2,FALSE)))))*VLOOKUP($I1016,Dashboard!$Q$9:$R$13,2,FALSE)*IF(AND($I1016="Auto",$F1016="",OR($B1016="Autographs Duals",$B1016="Autographs Triples",$B1016="Autographs Quads",$B1016="Autographs Quads (Inscribed)")),IF($B1016="Autographs Duals",2,IF($B1016="Autographs Triples",3,4)),1)))</f>
        <v>12.2</v>
      </c>
      <c r="AB1016" s="62">
        <f t="shared" si="206"/>
        <v>12.2</v>
      </c>
      <c r="AC1016" s="62">
        <f t="shared" si="207"/>
        <v>0</v>
      </c>
    </row>
    <row r="1017" spans="1:29" ht="28.7" customHeight="1" x14ac:dyDescent="0.25">
      <c r="A1017" s="4" t="s">
        <v>19</v>
      </c>
      <c r="B1017" s="7" t="s">
        <v>79</v>
      </c>
      <c r="C1017" s="2" t="s">
        <v>1515</v>
      </c>
      <c r="D1017" s="7" t="s">
        <v>1070</v>
      </c>
      <c r="E1017" s="4" t="s">
        <v>779</v>
      </c>
      <c r="F1017" s="2">
        <v>82</v>
      </c>
      <c r="G1017" s="2" t="s">
        <v>1399</v>
      </c>
      <c r="H1017" s="2" t="s">
        <v>1400</v>
      </c>
      <c r="I1017" s="4" t="s">
        <v>60</v>
      </c>
      <c r="J1017" s="112">
        <f>IF($H1017&lt;&gt;"Y",0,ROUND(MIN(Dashboard!$R$24,IF(IFERROR(VLOOKUP($B1017,Dashboard!$Q$28:$S$60,2,FALSE),0)&gt;0,IFERROR(VLOOKUP($B1017,Dashboard!$Q$28:$S$60,2,FALSE),0),$Z1017*IF($U1017&lt;&gt;"",ROUND((Dashboard!$R$4/$U1017)*VLOOKUP($I1017,Dashboard!$Q$9:$R$13,2,FALSE)*IF(ISNUMBER(SEARCH("Duals",$B1017)),2,IF(ISNUMBER(SEARCH("Triples",$B1017)),3,IF(ISNUMBER(SEARCH("Quads",$B1017)),4,1))),2),ROUND(VLOOKUP($I1017,Dashboard!$Q$15:$R$20,2,FALSE)*IF($E1017="Red",Dashboard!$R$6,IF($E1017="Gold",Dashboard!$R$7,Dashboard!$R$5))*IF(ISNUMBER(SEARCH("Duals",$B1017)),2,IF(ISNUMBER(SEARCH("Triples",$B1017)),3,IF(ISNUMBER(SEARCH("Quads",$B1017)),4,1))),2))*IF(IFERROR(VLOOKUP($B1017,Dashboard!$Q$28:$S$60,3,FALSE),0)&gt;0,VLOOKUP($B1017,Dashboard!$Q$28:$S$60,3,FALSE),1))),0))</f>
        <v>12</v>
      </c>
      <c r="K1017" s="2" t="str">
        <f>IF('Base S2'!G17="","",'Base S2'!G17)</f>
        <v>V 35/82</v>
      </c>
      <c r="L1017" s="2">
        <f t="shared" si="195"/>
        <v>1</v>
      </c>
      <c r="M1017" s="2">
        <f t="shared" si="196"/>
        <v>0</v>
      </c>
      <c r="N1017" s="2">
        <f t="shared" si="197"/>
        <v>1</v>
      </c>
      <c r="O1017" s="2">
        <f t="shared" si="198"/>
        <v>0</v>
      </c>
      <c r="P1017" s="112">
        <f t="shared" si="199"/>
        <v>12</v>
      </c>
      <c r="Q1017" s="112">
        <f t="shared" si="200"/>
        <v>0</v>
      </c>
      <c r="R1017" s="53"/>
      <c r="S1017" s="53" t="str">
        <f t="shared" si="201"/>
        <v>Base S2|Floor 82 Parallel - Season 2|116|Floor 82</v>
      </c>
      <c r="T1017" s="57" t="str">
        <f>IF($S1017="","",IFERROR(VLOOKUP($S1017,'Pop Estimates (Non-#d)'!$N$2:$O$500,2,FALSE),""))</f>
        <v/>
      </c>
      <c r="U1017" s="57">
        <f t="shared" si="202"/>
        <v>82</v>
      </c>
      <c r="V1017" s="53" t="str">
        <f t="shared" si="203"/>
        <v/>
      </c>
      <c r="W1017" s="53" t="str">
        <f t="shared" si="204"/>
        <v/>
      </c>
      <c r="X1017" s="53" t="str">
        <f t="shared" si="205"/>
        <v/>
      </c>
      <c r="Y1017" s="57" t="str">
        <f>IF($X1017="","",IFERROR(VLOOKUP($X1017,'Char Popularity'!$A$2:$C$500,2,FALSE),""))</f>
        <v/>
      </c>
      <c r="Z1017" s="56">
        <f>IF($X1017="",1,IFERROR(VLOOKUP($X1017,'Char Popularity'!$A$2:$C$500,3,FALSE),1))</f>
        <v>1</v>
      </c>
      <c r="AA1017" s="62">
        <f>IF($H1017&lt;&gt;"Y",0,(IF($F1017&lt;&gt;"",ROUND(Dashboard!$R$4/$F1017,1),IF(AND($I1017="Base",$E1017="Base"),Dashboard!$R$5,IF(AND($I1017="Base",$E1017="Red"),Dashboard!$R$6,IF(AND($I1017="Base",$E1017="Gold"),Dashboard!$R$7,VLOOKUP($I1017,Dashboard!$Q$16:$R$21,2,FALSE)))))*VLOOKUP($I1017,Dashboard!$Q$9:$R$13,2,FALSE)*IF(AND($I1017="Auto",$F1017="",OR($B1017="Autographs Duals",$B1017="Autographs Triples",$B1017="Autographs Quads",$B1017="Autographs Quads (Inscribed)")),IF($B1017="Autographs Duals",2,IF($B1017="Autographs Triples",3,4)),1)))</f>
        <v>12.2</v>
      </c>
      <c r="AB1017" s="62">
        <f t="shared" si="206"/>
        <v>12.2</v>
      </c>
      <c r="AC1017" s="62">
        <f t="shared" si="207"/>
        <v>0</v>
      </c>
    </row>
    <row r="1018" spans="1:29" ht="28.7" customHeight="1" x14ac:dyDescent="0.25">
      <c r="A1018" s="4" t="s">
        <v>19</v>
      </c>
      <c r="B1018" s="7" t="s">
        <v>79</v>
      </c>
      <c r="C1018" s="2" t="s">
        <v>1516</v>
      </c>
      <c r="D1018" s="7" t="s">
        <v>695</v>
      </c>
      <c r="E1018" s="4" t="s">
        <v>779</v>
      </c>
      <c r="F1018" s="2">
        <v>82</v>
      </c>
      <c r="G1018" s="2" t="s">
        <v>1399</v>
      </c>
      <c r="H1018" s="2" t="s">
        <v>1400</v>
      </c>
      <c r="I1018" s="4" t="s">
        <v>60</v>
      </c>
      <c r="J1018" s="112">
        <f>IF($H1018&lt;&gt;"Y",0,ROUND(MIN(Dashboard!$R$24,IF(IFERROR(VLOOKUP($B1018,Dashboard!$Q$28:$S$60,2,FALSE),0)&gt;0,IFERROR(VLOOKUP($B1018,Dashboard!$Q$28:$S$60,2,FALSE),0),$Z1018*IF($U1018&lt;&gt;"",ROUND((Dashboard!$R$4/$U1018)*VLOOKUP($I1018,Dashboard!$Q$9:$R$13,2,FALSE)*IF(ISNUMBER(SEARCH("Duals",$B1018)),2,IF(ISNUMBER(SEARCH("Triples",$B1018)),3,IF(ISNUMBER(SEARCH("Quads",$B1018)),4,1))),2),ROUND(VLOOKUP($I1018,Dashboard!$Q$15:$R$20,2,FALSE)*IF($E1018="Red",Dashboard!$R$6,IF($E1018="Gold",Dashboard!$R$7,Dashboard!$R$5))*IF(ISNUMBER(SEARCH("Duals",$B1018)),2,IF(ISNUMBER(SEARCH("Triples",$B1018)),3,IF(ISNUMBER(SEARCH("Quads",$B1018)),4,1))),2))*IF(IFERROR(VLOOKUP($B1018,Dashboard!$Q$28:$S$60,3,FALSE),0)&gt;0,VLOOKUP($B1018,Dashboard!$Q$28:$S$60,3,FALSE),1))),0))</f>
        <v>12</v>
      </c>
      <c r="K1018" s="2" t="str">
        <f>IF('Base S2'!G18="","",'Base S2'!G18)</f>
        <v>V 43/82</v>
      </c>
      <c r="L1018" s="2">
        <f t="shared" si="195"/>
        <v>1</v>
      </c>
      <c r="M1018" s="2">
        <f t="shared" si="196"/>
        <v>0</v>
      </c>
      <c r="N1018" s="2">
        <f t="shared" si="197"/>
        <v>1</v>
      </c>
      <c r="O1018" s="2">
        <f t="shared" si="198"/>
        <v>0</v>
      </c>
      <c r="P1018" s="112">
        <f t="shared" si="199"/>
        <v>12</v>
      </c>
      <c r="Q1018" s="112">
        <f t="shared" si="200"/>
        <v>0</v>
      </c>
      <c r="R1018" s="53"/>
      <c r="S1018" s="53" t="str">
        <f t="shared" si="201"/>
        <v>Base S2|Floor 82 Parallel - Season 2|117|Floor 82</v>
      </c>
      <c r="T1018" s="57" t="str">
        <f>IF($S1018="","",IFERROR(VLOOKUP($S1018,'Pop Estimates (Non-#d)'!$N$2:$O$500,2,FALSE),""))</f>
        <v/>
      </c>
      <c r="U1018" s="57">
        <f t="shared" si="202"/>
        <v>82</v>
      </c>
      <c r="V1018" s="53" t="str">
        <f t="shared" si="203"/>
        <v/>
      </c>
      <c r="W1018" s="53" t="str">
        <f t="shared" si="204"/>
        <v/>
      </c>
      <c r="X1018" s="53" t="str">
        <f t="shared" si="205"/>
        <v/>
      </c>
      <c r="Y1018" s="57" t="str">
        <f>IF($X1018="","",IFERROR(VLOOKUP($X1018,'Char Popularity'!$A$2:$C$500,2,FALSE),""))</f>
        <v/>
      </c>
      <c r="Z1018" s="56">
        <f>IF($X1018="",1,IFERROR(VLOOKUP($X1018,'Char Popularity'!$A$2:$C$500,3,FALSE),1))</f>
        <v>1</v>
      </c>
      <c r="AA1018" s="62">
        <f>IF($H1018&lt;&gt;"Y",0,(IF($F1018&lt;&gt;"",ROUND(Dashboard!$R$4/$F1018,1),IF(AND($I1018="Base",$E1018="Base"),Dashboard!$R$5,IF(AND($I1018="Base",$E1018="Red"),Dashboard!$R$6,IF(AND($I1018="Base",$E1018="Gold"),Dashboard!$R$7,VLOOKUP($I1018,Dashboard!$Q$16:$R$21,2,FALSE)))))*VLOOKUP($I1018,Dashboard!$Q$9:$R$13,2,FALSE)*IF(AND($I1018="Auto",$F1018="",OR($B1018="Autographs Duals",$B1018="Autographs Triples",$B1018="Autographs Quads",$B1018="Autographs Quads (Inscribed)")),IF($B1018="Autographs Duals",2,IF($B1018="Autographs Triples",3,4)),1)))</f>
        <v>12.2</v>
      </c>
      <c r="AB1018" s="62">
        <f t="shared" si="206"/>
        <v>12.2</v>
      </c>
      <c r="AC1018" s="62">
        <f t="shared" si="207"/>
        <v>0</v>
      </c>
    </row>
    <row r="1019" spans="1:29" ht="28.7" customHeight="1" x14ac:dyDescent="0.25">
      <c r="A1019" s="4" t="s">
        <v>19</v>
      </c>
      <c r="B1019" s="7" t="s">
        <v>79</v>
      </c>
      <c r="C1019" s="2" t="s">
        <v>1517</v>
      </c>
      <c r="D1019" s="7" t="s">
        <v>1072</v>
      </c>
      <c r="E1019" s="4" t="s">
        <v>779</v>
      </c>
      <c r="F1019" s="2">
        <v>82</v>
      </c>
      <c r="G1019" s="2" t="s">
        <v>1399</v>
      </c>
      <c r="H1019" s="2" t="s">
        <v>1400</v>
      </c>
      <c r="I1019" s="4" t="s">
        <v>60</v>
      </c>
      <c r="J1019" s="112">
        <f>IF($H1019&lt;&gt;"Y",0,ROUND(MIN(Dashboard!$R$24,IF(IFERROR(VLOOKUP($B1019,Dashboard!$Q$28:$S$60,2,FALSE),0)&gt;0,IFERROR(VLOOKUP($B1019,Dashboard!$Q$28:$S$60,2,FALSE),0),$Z1019*IF($U1019&lt;&gt;"",ROUND((Dashboard!$R$4/$U1019)*VLOOKUP($I1019,Dashboard!$Q$9:$R$13,2,FALSE)*IF(ISNUMBER(SEARCH("Duals",$B1019)),2,IF(ISNUMBER(SEARCH("Triples",$B1019)),3,IF(ISNUMBER(SEARCH("Quads",$B1019)),4,1))),2),ROUND(VLOOKUP($I1019,Dashboard!$Q$15:$R$20,2,FALSE)*IF($E1019="Red",Dashboard!$R$6,IF($E1019="Gold",Dashboard!$R$7,Dashboard!$R$5))*IF(ISNUMBER(SEARCH("Duals",$B1019)),2,IF(ISNUMBER(SEARCH("Triples",$B1019)),3,IF(ISNUMBER(SEARCH("Quads",$B1019)),4,1))),2))*IF(IFERROR(VLOOKUP($B1019,Dashboard!$Q$28:$S$60,3,FALSE),0)&gt;0,VLOOKUP($B1019,Dashboard!$Q$28:$S$60,3,FALSE),1))),0))</f>
        <v>12</v>
      </c>
      <c r="K1019" s="2" t="str">
        <f>IF('Base S2'!G19="","",'Base S2'!G19)</f>
        <v>V 29/82</v>
      </c>
      <c r="L1019" s="2">
        <f t="shared" si="195"/>
        <v>1</v>
      </c>
      <c r="M1019" s="2">
        <f t="shared" si="196"/>
        <v>0</v>
      </c>
      <c r="N1019" s="2">
        <f t="shared" si="197"/>
        <v>1</v>
      </c>
      <c r="O1019" s="2">
        <f t="shared" si="198"/>
        <v>0</v>
      </c>
      <c r="P1019" s="112">
        <f t="shared" si="199"/>
        <v>12</v>
      </c>
      <c r="Q1019" s="112">
        <f t="shared" si="200"/>
        <v>0</v>
      </c>
      <c r="R1019" s="53"/>
      <c r="S1019" s="53" t="str">
        <f t="shared" si="201"/>
        <v>Base S2|Floor 82 Parallel - Season 2|118|Floor 82</v>
      </c>
      <c r="T1019" s="57" t="str">
        <f>IF($S1019="","",IFERROR(VLOOKUP($S1019,'Pop Estimates (Non-#d)'!$N$2:$O$500,2,FALSE),""))</f>
        <v/>
      </c>
      <c r="U1019" s="57">
        <f t="shared" si="202"/>
        <v>82</v>
      </c>
      <c r="V1019" s="53" t="str">
        <f t="shared" si="203"/>
        <v/>
      </c>
      <c r="W1019" s="53" t="str">
        <f t="shared" si="204"/>
        <v/>
      </c>
      <c r="X1019" s="53" t="str">
        <f t="shared" si="205"/>
        <v/>
      </c>
      <c r="Y1019" s="57" t="str">
        <f>IF($X1019="","",IFERROR(VLOOKUP($X1019,'Char Popularity'!$A$2:$C$500,2,FALSE),""))</f>
        <v/>
      </c>
      <c r="Z1019" s="56">
        <f>IF($X1019="",1,IFERROR(VLOOKUP($X1019,'Char Popularity'!$A$2:$C$500,3,FALSE),1))</f>
        <v>1</v>
      </c>
      <c r="AA1019" s="62">
        <f>IF($H1019&lt;&gt;"Y",0,(IF($F1019&lt;&gt;"",ROUND(Dashboard!$R$4/$F1019,1),IF(AND($I1019="Base",$E1019="Base"),Dashboard!$R$5,IF(AND($I1019="Base",$E1019="Red"),Dashboard!$R$6,IF(AND($I1019="Base",$E1019="Gold"),Dashboard!$R$7,VLOOKUP($I1019,Dashboard!$Q$16:$R$21,2,FALSE)))))*VLOOKUP($I1019,Dashboard!$Q$9:$R$13,2,FALSE)*IF(AND($I1019="Auto",$F1019="",OR($B1019="Autographs Duals",$B1019="Autographs Triples",$B1019="Autographs Quads",$B1019="Autographs Quads (Inscribed)")),IF($B1019="Autographs Duals",2,IF($B1019="Autographs Triples",3,4)),1)))</f>
        <v>12.2</v>
      </c>
      <c r="AB1019" s="62">
        <f t="shared" si="206"/>
        <v>12.2</v>
      </c>
      <c r="AC1019" s="62">
        <f t="shared" si="207"/>
        <v>0</v>
      </c>
    </row>
    <row r="1020" spans="1:29" ht="28.7" customHeight="1" x14ac:dyDescent="0.25">
      <c r="A1020" s="4" t="s">
        <v>19</v>
      </c>
      <c r="B1020" s="7" t="s">
        <v>79</v>
      </c>
      <c r="C1020" s="2" t="s">
        <v>1518</v>
      </c>
      <c r="D1020" s="7" t="s">
        <v>1073</v>
      </c>
      <c r="E1020" s="4" t="s">
        <v>779</v>
      </c>
      <c r="F1020" s="2">
        <v>82</v>
      </c>
      <c r="G1020" s="2" t="s">
        <v>1399</v>
      </c>
      <c r="H1020" s="2" t="s">
        <v>1400</v>
      </c>
      <c r="I1020" s="4" t="s">
        <v>60</v>
      </c>
      <c r="J1020" s="112">
        <f>IF($H1020&lt;&gt;"Y",0,ROUND(MIN(Dashboard!$R$24,IF(IFERROR(VLOOKUP($B1020,Dashboard!$Q$28:$S$60,2,FALSE),0)&gt;0,IFERROR(VLOOKUP($B1020,Dashboard!$Q$28:$S$60,2,FALSE),0),$Z1020*IF($U1020&lt;&gt;"",ROUND((Dashboard!$R$4/$U1020)*VLOOKUP($I1020,Dashboard!$Q$9:$R$13,2,FALSE)*IF(ISNUMBER(SEARCH("Duals",$B1020)),2,IF(ISNUMBER(SEARCH("Triples",$B1020)),3,IF(ISNUMBER(SEARCH("Quads",$B1020)),4,1))),2),ROUND(VLOOKUP($I1020,Dashboard!$Q$15:$R$20,2,FALSE)*IF($E1020="Red",Dashboard!$R$6,IF($E1020="Gold",Dashboard!$R$7,Dashboard!$R$5))*IF(ISNUMBER(SEARCH("Duals",$B1020)),2,IF(ISNUMBER(SEARCH("Triples",$B1020)),3,IF(ISNUMBER(SEARCH("Quads",$B1020)),4,1))),2))*IF(IFERROR(VLOOKUP($B1020,Dashboard!$Q$28:$S$60,3,FALSE),0)&gt;0,VLOOKUP($B1020,Dashboard!$Q$28:$S$60,3,FALSE),1))),0))</f>
        <v>12</v>
      </c>
      <c r="K1020" s="2" t="str">
        <f>IF('Base S2'!G20="","",'Base S2'!G20)</f>
        <v>C 67/82</v>
      </c>
      <c r="L1020" s="2">
        <f t="shared" si="195"/>
        <v>1</v>
      </c>
      <c r="M1020" s="2">
        <f t="shared" si="196"/>
        <v>0</v>
      </c>
      <c r="N1020" s="2">
        <f t="shared" si="197"/>
        <v>1</v>
      </c>
      <c r="O1020" s="2">
        <f t="shared" si="198"/>
        <v>0</v>
      </c>
      <c r="P1020" s="112">
        <f t="shared" si="199"/>
        <v>12</v>
      </c>
      <c r="Q1020" s="112">
        <f t="shared" si="200"/>
        <v>0</v>
      </c>
      <c r="R1020" s="53"/>
      <c r="S1020" s="53" t="str">
        <f t="shared" si="201"/>
        <v>Base S2|Floor 82 Parallel - Season 2|119|Floor 82</v>
      </c>
      <c r="T1020" s="57" t="str">
        <f>IF($S1020="","",IFERROR(VLOOKUP($S1020,'Pop Estimates (Non-#d)'!$N$2:$O$500,2,FALSE),""))</f>
        <v/>
      </c>
      <c r="U1020" s="57">
        <f t="shared" si="202"/>
        <v>82</v>
      </c>
      <c r="V1020" s="53" t="str">
        <f t="shared" si="203"/>
        <v/>
      </c>
      <c r="W1020" s="53" t="str">
        <f t="shared" si="204"/>
        <v/>
      </c>
      <c r="X1020" s="53" t="str">
        <f t="shared" si="205"/>
        <v/>
      </c>
      <c r="Y1020" s="57" t="str">
        <f>IF($X1020="","",IFERROR(VLOOKUP($X1020,'Char Popularity'!$A$2:$C$500,2,FALSE),""))</f>
        <v/>
      </c>
      <c r="Z1020" s="56">
        <f>IF($X1020="",1,IFERROR(VLOOKUP($X1020,'Char Popularity'!$A$2:$C$500,3,FALSE),1))</f>
        <v>1</v>
      </c>
      <c r="AA1020" s="62">
        <f>IF($H1020&lt;&gt;"Y",0,(IF($F1020&lt;&gt;"",ROUND(Dashboard!$R$4/$F1020,1),IF(AND($I1020="Base",$E1020="Base"),Dashboard!$R$5,IF(AND($I1020="Base",$E1020="Red"),Dashboard!$R$6,IF(AND($I1020="Base",$E1020="Gold"),Dashboard!$R$7,VLOOKUP($I1020,Dashboard!$Q$16:$R$21,2,FALSE)))))*VLOOKUP($I1020,Dashboard!$Q$9:$R$13,2,FALSE)*IF(AND($I1020="Auto",$F1020="",OR($B1020="Autographs Duals",$B1020="Autographs Triples",$B1020="Autographs Quads",$B1020="Autographs Quads (Inscribed)")),IF($B1020="Autographs Duals",2,IF($B1020="Autographs Triples",3,4)),1)))</f>
        <v>12.2</v>
      </c>
      <c r="AB1020" s="62">
        <f t="shared" si="206"/>
        <v>12.2</v>
      </c>
      <c r="AC1020" s="62">
        <f t="shared" si="207"/>
        <v>0</v>
      </c>
    </row>
    <row r="1021" spans="1:29" ht="28.7" customHeight="1" x14ac:dyDescent="0.25">
      <c r="A1021" s="4" t="s">
        <v>19</v>
      </c>
      <c r="B1021" s="7" t="s">
        <v>79</v>
      </c>
      <c r="C1021" s="2" t="s">
        <v>1519</v>
      </c>
      <c r="D1021" s="7" t="s">
        <v>1075</v>
      </c>
      <c r="E1021" s="4" t="s">
        <v>779</v>
      </c>
      <c r="F1021" s="2">
        <v>82</v>
      </c>
      <c r="G1021" s="2" t="s">
        <v>1399</v>
      </c>
      <c r="H1021" s="2" t="s">
        <v>1400</v>
      </c>
      <c r="I1021" s="4" t="s">
        <v>60</v>
      </c>
      <c r="J1021" s="112">
        <f>IF($H1021&lt;&gt;"Y",0,ROUND(MIN(Dashboard!$R$24,IF(IFERROR(VLOOKUP($B1021,Dashboard!$Q$28:$S$60,2,FALSE),0)&gt;0,IFERROR(VLOOKUP($B1021,Dashboard!$Q$28:$S$60,2,FALSE),0),$Z1021*IF($U1021&lt;&gt;"",ROUND((Dashboard!$R$4/$U1021)*VLOOKUP($I1021,Dashboard!$Q$9:$R$13,2,FALSE)*IF(ISNUMBER(SEARCH("Duals",$B1021)),2,IF(ISNUMBER(SEARCH("Triples",$B1021)),3,IF(ISNUMBER(SEARCH("Quads",$B1021)),4,1))),2),ROUND(VLOOKUP($I1021,Dashboard!$Q$15:$R$20,2,FALSE)*IF($E1021="Red",Dashboard!$R$6,IF($E1021="Gold",Dashboard!$R$7,Dashboard!$R$5))*IF(ISNUMBER(SEARCH("Duals",$B1021)),2,IF(ISNUMBER(SEARCH("Triples",$B1021)),3,IF(ISNUMBER(SEARCH("Quads",$B1021)),4,1))),2))*IF(IFERROR(VLOOKUP($B1021,Dashboard!$Q$28:$S$60,3,FALSE),0)&gt;0,VLOOKUP($B1021,Dashboard!$Q$28:$S$60,3,FALSE),1))),0))</f>
        <v>12</v>
      </c>
      <c r="K1021" s="2" t="str">
        <f>IF('Base S2'!G21="","",'Base S2'!G21)</f>
        <v>C 46/82</v>
      </c>
      <c r="L1021" s="2">
        <f t="shared" si="195"/>
        <v>1</v>
      </c>
      <c r="M1021" s="2">
        <f t="shared" si="196"/>
        <v>0</v>
      </c>
      <c r="N1021" s="2">
        <f t="shared" si="197"/>
        <v>1</v>
      </c>
      <c r="O1021" s="2">
        <f t="shared" si="198"/>
        <v>0</v>
      </c>
      <c r="P1021" s="112">
        <f t="shared" si="199"/>
        <v>12</v>
      </c>
      <c r="Q1021" s="112">
        <f t="shared" si="200"/>
        <v>0</v>
      </c>
      <c r="R1021" s="53"/>
      <c r="S1021" s="53" t="str">
        <f t="shared" si="201"/>
        <v>Base S2|Floor 82 Parallel - Season 2|120|Floor 82</v>
      </c>
      <c r="T1021" s="57" t="str">
        <f>IF($S1021="","",IFERROR(VLOOKUP($S1021,'Pop Estimates (Non-#d)'!$N$2:$O$500,2,FALSE),""))</f>
        <v/>
      </c>
      <c r="U1021" s="57">
        <f t="shared" si="202"/>
        <v>82</v>
      </c>
      <c r="V1021" s="53" t="str">
        <f t="shared" si="203"/>
        <v/>
      </c>
      <c r="W1021" s="53" t="str">
        <f t="shared" si="204"/>
        <v/>
      </c>
      <c r="X1021" s="53" t="str">
        <f t="shared" si="205"/>
        <v/>
      </c>
      <c r="Y1021" s="57" t="str">
        <f>IF($X1021="","",IFERROR(VLOOKUP($X1021,'Char Popularity'!$A$2:$C$500,2,FALSE),""))</f>
        <v/>
      </c>
      <c r="Z1021" s="56">
        <f>IF($X1021="",1,IFERROR(VLOOKUP($X1021,'Char Popularity'!$A$2:$C$500,3,FALSE),1))</f>
        <v>1</v>
      </c>
      <c r="AA1021" s="62">
        <f>IF($H1021&lt;&gt;"Y",0,(IF($F1021&lt;&gt;"",ROUND(Dashboard!$R$4/$F1021,1),IF(AND($I1021="Base",$E1021="Base"),Dashboard!$R$5,IF(AND($I1021="Base",$E1021="Red"),Dashboard!$R$6,IF(AND($I1021="Base",$E1021="Gold"),Dashboard!$R$7,VLOOKUP($I1021,Dashboard!$Q$16:$R$21,2,FALSE)))))*VLOOKUP($I1021,Dashboard!$Q$9:$R$13,2,FALSE)*IF(AND($I1021="Auto",$F1021="",OR($B1021="Autographs Duals",$B1021="Autographs Triples",$B1021="Autographs Quads",$B1021="Autographs Quads (Inscribed)")),IF($B1021="Autographs Duals",2,IF($B1021="Autographs Triples",3,4)),1)))</f>
        <v>12.2</v>
      </c>
      <c r="AB1021" s="62">
        <f t="shared" si="206"/>
        <v>12.2</v>
      </c>
      <c r="AC1021" s="62">
        <f t="shared" si="207"/>
        <v>0</v>
      </c>
    </row>
    <row r="1022" spans="1:29" ht="28.7" customHeight="1" x14ac:dyDescent="0.25">
      <c r="A1022" s="4" t="s">
        <v>19</v>
      </c>
      <c r="B1022" s="7" t="s">
        <v>79</v>
      </c>
      <c r="C1022" s="2" t="s">
        <v>1520</v>
      </c>
      <c r="D1022" s="7" t="s">
        <v>1077</v>
      </c>
      <c r="E1022" s="4" t="s">
        <v>779</v>
      </c>
      <c r="F1022" s="2">
        <v>82</v>
      </c>
      <c r="G1022" s="2" t="s">
        <v>1399</v>
      </c>
      <c r="H1022" s="2" t="s">
        <v>1400</v>
      </c>
      <c r="I1022" s="4" t="s">
        <v>60</v>
      </c>
      <c r="J1022" s="112">
        <f>IF($H1022&lt;&gt;"Y",0,ROUND(MIN(Dashboard!$R$24,IF(IFERROR(VLOOKUP($B1022,Dashboard!$Q$28:$S$60,2,FALSE),0)&gt;0,IFERROR(VLOOKUP($B1022,Dashboard!$Q$28:$S$60,2,FALSE),0),$Z1022*IF($U1022&lt;&gt;"",ROUND((Dashboard!$R$4/$U1022)*VLOOKUP($I1022,Dashboard!$Q$9:$R$13,2,FALSE)*IF(ISNUMBER(SEARCH("Duals",$B1022)),2,IF(ISNUMBER(SEARCH("Triples",$B1022)),3,IF(ISNUMBER(SEARCH("Quads",$B1022)),4,1))),2),ROUND(VLOOKUP($I1022,Dashboard!$Q$15:$R$20,2,FALSE)*IF($E1022="Red",Dashboard!$R$6,IF($E1022="Gold",Dashboard!$R$7,Dashboard!$R$5))*IF(ISNUMBER(SEARCH("Duals",$B1022)),2,IF(ISNUMBER(SEARCH("Triples",$B1022)),3,IF(ISNUMBER(SEARCH("Quads",$B1022)),4,1))),2))*IF(IFERROR(VLOOKUP($B1022,Dashboard!$Q$28:$S$60,3,FALSE),0)&gt;0,VLOOKUP($B1022,Dashboard!$Q$28:$S$60,3,FALSE),1))),0))</f>
        <v>12</v>
      </c>
      <c r="K1022" s="2" t="str">
        <f>IF('Base S2'!G22="","",'Base S2'!G22)</f>
        <v>V 70/82</v>
      </c>
      <c r="L1022" s="2">
        <f t="shared" si="195"/>
        <v>1</v>
      </c>
      <c r="M1022" s="2">
        <f t="shared" si="196"/>
        <v>0</v>
      </c>
      <c r="N1022" s="2">
        <f t="shared" si="197"/>
        <v>1</v>
      </c>
      <c r="O1022" s="2">
        <f t="shared" si="198"/>
        <v>0</v>
      </c>
      <c r="P1022" s="112">
        <f t="shared" si="199"/>
        <v>12</v>
      </c>
      <c r="Q1022" s="112">
        <f t="shared" si="200"/>
        <v>0</v>
      </c>
      <c r="R1022" s="53"/>
      <c r="S1022" s="53" t="str">
        <f t="shared" si="201"/>
        <v>Base S2|Floor 82 Parallel - Season 2|121|Floor 82</v>
      </c>
      <c r="T1022" s="57" t="str">
        <f>IF($S1022="","",IFERROR(VLOOKUP($S1022,'Pop Estimates (Non-#d)'!$N$2:$O$500,2,FALSE),""))</f>
        <v/>
      </c>
      <c r="U1022" s="57">
        <f t="shared" si="202"/>
        <v>82</v>
      </c>
      <c r="V1022" s="53" t="str">
        <f t="shared" si="203"/>
        <v/>
      </c>
      <c r="W1022" s="53" t="str">
        <f t="shared" si="204"/>
        <v/>
      </c>
      <c r="X1022" s="53" t="str">
        <f t="shared" si="205"/>
        <v/>
      </c>
      <c r="Y1022" s="57" t="str">
        <f>IF($X1022="","",IFERROR(VLOOKUP($X1022,'Char Popularity'!$A$2:$C$500,2,FALSE),""))</f>
        <v/>
      </c>
      <c r="Z1022" s="56">
        <f>IF($X1022="",1,IFERROR(VLOOKUP($X1022,'Char Popularity'!$A$2:$C$500,3,FALSE),1))</f>
        <v>1</v>
      </c>
      <c r="AA1022" s="62">
        <f>IF($H1022&lt;&gt;"Y",0,(IF($F1022&lt;&gt;"",ROUND(Dashboard!$R$4/$F1022,1),IF(AND($I1022="Base",$E1022="Base"),Dashboard!$R$5,IF(AND($I1022="Base",$E1022="Red"),Dashboard!$R$6,IF(AND($I1022="Base",$E1022="Gold"),Dashboard!$R$7,VLOOKUP($I1022,Dashboard!$Q$16:$R$21,2,FALSE)))))*VLOOKUP($I1022,Dashboard!$Q$9:$R$13,2,FALSE)*IF(AND($I1022="Auto",$F1022="",OR($B1022="Autographs Duals",$B1022="Autographs Triples",$B1022="Autographs Quads",$B1022="Autographs Quads (Inscribed)")),IF($B1022="Autographs Duals",2,IF($B1022="Autographs Triples",3,4)),1)))</f>
        <v>12.2</v>
      </c>
      <c r="AB1022" s="62">
        <f t="shared" si="206"/>
        <v>12.2</v>
      </c>
      <c r="AC1022" s="62">
        <f t="shared" si="207"/>
        <v>0</v>
      </c>
    </row>
    <row r="1023" spans="1:29" ht="28.7" customHeight="1" x14ac:dyDescent="0.25">
      <c r="A1023" s="4" t="s">
        <v>19</v>
      </c>
      <c r="B1023" s="7" t="s">
        <v>79</v>
      </c>
      <c r="C1023" s="2" t="s">
        <v>1521</v>
      </c>
      <c r="D1023" s="7" t="s">
        <v>1079</v>
      </c>
      <c r="E1023" s="4" t="s">
        <v>779</v>
      </c>
      <c r="F1023" s="2">
        <v>82</v>
      </c>
      <c r="G1023" s="2" t="s">
        <v>1399</v>
      </c>
      <c r="H1023" s="2" t="s">
        <v>1400</v>
      </c>
      <c r="I1023" s="4" t="s">
        <v>60</v>
      </c>
      <c r="J1023" s="112">
        <f>IF($H1023&lt;&gt;"Y",0,ROUND(MIN(Dashboard!$R$24,IF(IFERROR(VLOOKUP($B1023,Dashboard!$Q$28:$S$60,2,FALSE),0)&gt;0,IFERROR(VLOOKUP($B1023,Dashboard!$Q$28:$S$60,2,FALSE),0),$Z1023*IF($U1023&lt;&gt;"",ROUND((Dashboard!$R$4/$U1023)*VLOOKUP($I1023,Dashboard!$Q$9:$R$13,2,FALSE)*IF(ISNUMBER(SEARCH("Duals",$B1023)),2,IF(ISNUMBER(SEARCH("Triples",$B1023)),3,IF(ISNUMBER(SEARCH("Quads",$B1023)),4,1))),2),ROUND(VLOOKUP($I1023,Dashboard!$Q$15:$R$20,2,FALSE)*IF($E1023="Red",Dashboard!$R$6,IF($E1023="Gold",Dashboard!$R$7,Dashboard!$R$5))*IF(ISNUMBER(SEARCH("Duals",$B1023)),2,IF(ISNUMBER(SEARCH("Triples",$B1023)),3,IF(ISNUMBER(SEARCH("Quads",$B1023)),4,1))),2))*IF(IFERROR(VLOOKUP($B1023,Dashboard!$Q$28:$S$60,3,FALSE),0)&gt;0,VLOOKUP($B1023,Dashboard!$Q$28:$S$60,3,FALSE),1))),0))</f>
        <v>12</v>
      </c>
      <c r="K1023" s="2" t="str">
        <f>IF('Base S2'!G23="","",'Base S2'!G23)</f>
        <v>C '07/82</v>
      </c>
      <c r="L1023" s="2">
        <f t="shared" si="195"/>
        <v>1</v>
      </c>
      <c r="M1023" s="2">
        <f t="shared" si="196"/>
        <v>0</v>
      </c>
      <c r="N1023" s="2">
        <f t="shared" si="197"/>
        <v>1</v>
      </c>
      <c r="O1023" s="2">
        <f t="shared" si="198"/>
        <v>0</v>
      </c>
      <c r="P1023" s="112">
        <f t="shared" si="199"/>
        <v>12</v>
      </c>
      <c r="Q1023" s="112">
        <f t="shared" si="200"/>
        <v>0</v>
      </c>
      <c r="R1023" s="53"/>
      <c r="S1023" s="53" t="str">
        <f t="shared" si="201"/>
        <v>Base S2|Floor 82 Parallel - Season 2|122|Floor 82</v>
      </c>
      <c r="T1023" s="57" t="str">
        <f>IF($S1023="","",IFERROR(VLOOKUP($S1023,'Pop Estimates (Non-#d)'!$N$2:$O$500,2,FALSE),""))</f>
        <v/>
      </c>
      <c r="U1023" s="57">
        <f t="shared" si="202"/>
        <v>82</v>
      </c>
      <c r="V1023" s="53" t="str">
        <f t="shared" si="203"/>
        <v/>
      </c>
      <c r="W1023" s="53" t="str">
        <f t="shared" si="204"/>
        <v/>
      </c>
      <c r="X1023" s="53" t="str">
        <f t="shared" si="205"/>
        <v/>
      </c>
      <c r="Y1023" s="57" t="str">
        <f>IF($X1023="","",IFERROR(VLOOKUP($X1023,'Char Popularity'!$A$2:$C$500,2,FALSE),""))</f>
        <v/>
      </c>
      <c r="Z1023" s="56">
        <f>IF($X1023="",1,IFERROR(VLOOKUP($X1023,'Char Popularity'!$A$2:$C$500,3,FALSE),1))</f>
        <v>1</v>
      </c>
      <c r="AA1023" s="62">
        <f>IF($H1023&lt;&gt;"Y",0,(IF($F1023&lt;&gt;"",ROUND(Dashboard!$R$4/$F1023,1),IF(AND($I1023="Base",$E1023="Base"),Dashboard!$R$5,IF(AND($I1023="Base",$E1023="Red"),Dashboard!$R$6,IF(AND($I1023="Base",$E1023="Gold"),Dashboard!$R$7,VLOOKUP($I1023,Dashboard!$Q$16:$R$21,2,FALSE)))))*VLOOKUP($I1023,Dashboard!$Q$9:$R$13,2,FALSE)*IF(AND($I1023="Auto",$F1023="",OR($B1023="Autographs Duals",$B1023="Autographs Triples",$B1023="Autographs Quads",$B1023="Autographs Quads (Inscribed)")),IF($B1023="Autographs Duals",2,IF($B1023="Autographs Triples",3,4)),1)))</f>
        <v>12.2</v>
      </c>
      <c r="AB1023" s="62">
        <f t="shared" si="206"/>
        <v>12.2</v>
      </c>
      <c r="AC1023" s="62">
        <f t="shared" si="207"/>
        <v>0</v>
      </c>
    </row>
    <row r="1024" spans="1:29" ht="28.7" customHeight="1" x14ac:dyDescent="0.25">
      <c r="A1024" s="4" t="s">
        <v>19</v>
      </c>
      <c r="B1024" s="7" t="s">
        <v>79</v>
      </c>
      <c r="C1024" s="2" t="s">
        <v>1522</v>
      </c>
      <c r="D1024" s="7" t="s">
        <v>1080</v>
      </c>
      <c r="E1024" s="4" t="s">
        <v>779</v>
      </c>
      <c r="F1024" s="2">
        <v>82</v>
      </c>
      <c r="G1024" s="2" t="s">
        <v>1399</v>
      </c>
      <c r="H1024" s="2" t="s">
        <v>1400</v>
      </c>
      <c r="I1024" s="4" t="s">
        <v>60</v>
      </c>
      <c r="J1024" s="112">
        <f>IF($H1024&lt;&gt;"Y",0,ROUND(MIN(Dashboard!$R$24,IF(IFERROR(VLOOKUP($B1024,Dashboard!$Q$28:$S$60,2,FALSE),0)&gt;0,IFERROR(VLOOKUP($B1024,Dashboard!$Q$28:$S$60,2,FALSE),0),$Z1024*IF($U1024&lt;&gt;"",ROUND((Dashboard!$R$4/$U1024)*VLOOKUP($I1024,Dashboard!$Q$9:$R$13,2,FALSE)*IF(ISNUMBER(SEARCH("Duals",$B1024)),2,IF(ISNUMBER(SEARCH("Triples",$B1024)),3,IF(ISNUMBER(SEARCH("Quads",$B1024)),4,1))),2),ROUND(VLOOKUP($I1024,Dashboard!$Q$15:$R$20,2,FALSE)*IF($E1024="Red",Dashboard!$R$6,IF($E1024="Gold",Dashboard!$R$7,Dashboard!$R$5))*IF(ISNUMBER(SEARCH("Duals",$B1024)),2,IF(ISNUMBER(SEARCH("Triples",$B1024)),3,IF(ISNUMBER(SEARCH("Quads",$B1024)),4,1))),2))*IF(IFERROR(VLOOKUP($B1024,Dashboard!$Q$28:$S$60,3,FALSE),0)&gt;0,VLOOKUP($B1024,Dashboard!$Q$28:$S$60,3,FALSE),1))),0))</f>
        <v>12</v>
      </c>
      <c r="K1024" s="2" t="str">
        <f>IF('Base S2'!G24="","",'Base S2'!G24)</f>
        <v>C 61/82</v>
      </c>
      <c r="L1024" s="2">
        <f t="shared" si="195"/>
        <v>1</v>
      </c>
      <c r="M1024" s="2">
        <f t="shared" si="196"/>
        <v>0</v>
      </c>
      <c r="N1024" s="2">
        <f t="shared" si="197"/>
        <v>1</v>
      </c>
      <c r="O1024" s="2">
        <f t="shared" si="198"/>
        <v>0</v>
      </c>
      <c r="P1024" s="112">
        <f t="shared" si="199"/>
        <v>12</v>
      </c>
      <c r="Q1024" s="112">
        <f t="shared" si="200"/>
        <v>0</v>
      </c>
      <c r="R1024" s="53"/>
      <c r="S1024" s="53" t="str">
        <f t="shared" si="201"/>
        <v>Base S2|Floor 82 Parallel - Season 2|123|Floor 82</v>
      </c>
      <c r="T1024" s="57" t="str">
        <f>IF($S1024="","",IFERROR(VLOOKUP($S1024,'Pop Estimates (Non-#d)'!$N$2:$O$500,2,FALSE),""))</f>
        <v/>
      </c>
      <c r="U1024" s="57">
        <f t="shared" si="202"/>
        <v>82</v>
      </c>
      <c r="V1024" s="53" t="str">
        <f t="shared" si="203"/>
        <v/>
      </c>
      <c r="W1024" s="53" t="str">
        <f t="shared" si="204"/>
        <v/>
      </c>
      <c r="X1024" s="53" t="str">
        <f t="shared" si="205"/>
        <v/>
      </c>
      <c r="Y1024" s="57" t="str">
        <f>IF($X1024="","",IFERROR(VLOOKUP($X1024,'Char Popularity'!$A$2:$C$500,2,FALSE),""))</f>
        <v/>
      </c>
      <c r="Z1024" s="56">
        <f>IF($X1024="",1,IFERROR(VLOOKUP($X1024,'Char Popularity'!$A$2:$C$500,3,FALSE),1))</f>
        <v>1</v>
      </c>
      <c r="AA1024" s="62">
        <f>IF($H1024&lt;&gt;"Y",0,(IF($F1024&lt;&gt;"",ROUND(Dashboard!$R$4/$F1024,1),IF(AND($I1024="Base",$E1024="Base"),Dashboard!$R$5,IF(AND($I1024="Base",$E1024="Red"),Dashboard!$R$6,IF(AND($I1024="Base",$E1024="Gold"),Dashboard!$R$7,VLOOKUP($I1024,Dashboard!$Q$16:$R$21,2,FALSE)))))*VLOOKUP($I1024,Dashboard!$Q$9:$R$13,2,FALSE)*IF(AND($I1024="Auto",$F1024="",OR($B1024="Autographs Duals",$B1024="Autographs Triples",$B1024="Autographs Quads",$B1024="Autographs Quads (Inscribed)")),IF($B1024="Autographs Duals",2,IF($B1024="Autographs Triples",3,4)),1)))</f>
        <v>12.2</v>
      </c>
      <c r="AB1024" s="62">
        <f t="shared" si="206"/>
        <v>12.2</v>
      </c>
      <c r="AC1024" s="62">
        <f t="shared" si="207"/>
        <v>0</v>
      </c>
    </row>
    <row r="1025" spans="1:29" ht="28.7" customHeight="1" x14ac:dyDescent="0.25">
      <c r="A1025" s="4" t="s">
        <v>19</v>
      </c>
      <c r="B1025" s="7" t="s">
        <v>79</v>
      </c>
      <c r="C1025" s="2" t="s">
        <v>1523</v>
      </c>
      <c r="D1025" s="7" t="s">
        <v>1081</v>
      </c>
      <c r="E1025" s="4" t="s">
        <v>779</v>
      </c>
      <c r="F1025" s="2">
        <v>82</v>
      </c>
      <c r="G1025" s="2" t="s">
        <v>1399</v>
      </c>
      <c r="H1025" s="2" t="s">
        <v>1400</v>
      </c>
      <c r="I1025" s="4" t="s">
        <v>60</v>
      </c>
      <c r="J1025" s="112">
        <f>IF($H1025&lt;&gt;"Y",0,ROUND(MIN(Dashboard!$R$24,IF(IFERROR(VLOOKUP($B1025,Dashboard!$Q$28:$S$60,2,FALSE),0)&gt;0,IFERROR(VLOOKUP($B1025,Dashboard!$Q$28:$S$60,2,FALSE),0),$Z1025*IF($U1025&lt;&gt;"",ROUND((Dashboard!$R$4/$U1025)*VLOOKUP($I1025,Dashboard!$Q$9:$R$13,2,FALSE)*IF(ISNUMBER(SEARCH("Duals",$B1025)),2,IF(ISNUMBER(SEARCH("Triples",$B1025)),3,IF(ISNUMBER(SEARCH("Quads",$B1025)),4,1))),2),ROUND(VLOOKUP($I1025,Dashboard!$Q$15:$R$20,2,FALSE)*IF($E1025="Red",Dashboard!$R$6,IF($E1025="Gold",Dashboard!$R$7,Dashboard!$R$5))*IF(ISNUMBER(SEARCH("Duals",$B1025)),2,IF(ISNUMBER(SEARCH("Triples",$B1025)),3,IF(ISNUMBER(SEARCH("Quads",$B1025)),4,1))),2))*IF(IFERROR(VLOOKUP($B1025,Dashboard!$Q$28:$S$60,3,FALSE),0)&gt;0,VLOOKUP($B1025,Dashboard!$Q$28:$S$60,3,FALSE),1))),0))</f>
        <v>12</v>
      </c>
      <c r="K1025" s="2" t="str">
        <f>IF('Base S2'!G25="","",'Base S2'!G25)</f>
        <v>V 66/82</v>
      </c>
      <c r="L1025" s="2">
        <f t="shared" si="195"/>
        <v>1</v>
      </c>
      <c r="M1025" s="2">
        <f t="shared" si="196"/>
        <v>0</v>
      </c>
      <c r="N1025" s="2">
        <f t="shared" si="197"/>
        <v>1</v>
      </c>
      <c r="O1025" s="2">
        <f t="shared" si="198"/>
        <v>0</v>
      </c>
      <c r="P1025" s="112">
        <f t="shared" si="199"/>
        <v>12</v>
      </c>
      <c r="Q1025" s="112">
        <f t="shared" si="200"/>
        <v>0</v>
      </c>
      <c r="R1025" s="53"/>
      <c r="S1025" s="53" t="str">
        <f t="shared" si="201"/>
        <v>Base S2|Floor 82 Parallel - Season 2|124|Floor 82</v>
      </c>
      <c r="T1025" s="57" t="str">
        <f>IF($S1025="","",IFERROR(VLOOKUP($S1025,'Pop Estimates (Non-#d)'!$N$2:$O$500,2,FALSE),""))</f>
        <v/>
      </c>
      <c r="U1025" s="57">
        <f t="shared" si="202"/>
        <v>82</v>
      </c>
      <c r="V1025" s="53" t="str">
        <f t="shared" si="203"/>
        <v/>
      </c>
      <c r="W1025" s="53" t="str">
        <f t="shared" si="204"/>
        <v/>
      </c>
      <c r="X1025" s="53" t="str">
        <f t="shared" si="205"/>
        <v/>
      </c>
      <c r="Y1025" s="57" t="str">
        <f>IF($X1025="","",IFERROR(VLOOKUP($X1025,'Char Popularity'!$A$2:$C$500,2,FALSE),""))</f>
        <v/>
      </c>
      <c r="Z1025" s="56">
        <f>IF($X1025="",1,IFERROR(VLOOKUP($X1025,'Char Popularity'!$A$2:$C$500,3,FALSE),1))</f>
        <v>1</v>
      </c>
      <c r="AA1025" s="62">
        <f>IF($H1025&lt;&gt;"Y",0,(IF($F1025&lt;&gt;"",ROUND(Dashboard!$R$4/$F1025,1),IF(AND($I1025="Base",$E1025="Base"),Dashboard!$R$5,IF(AND($I1025="Base",$E1025="Red"),Dashboard!$R$6,IF(AND($I1025="Base",$E1025="Gold"),Dashboard!$R$7,VLOOKUP($I1025,Dashboard!$Q$16:$R$21,2,FALSE)))))*VLOOKUP($I1025,Dashboard!$Q$9:$R$13,2,FALSE)*IF(AND($I1025="Auto",$F1025="",OR($B1025="Autographs Duals",$B1025="Autographs Triples",$B1025="Autographs Quads",$B1025="Autographs Quads (Inscribed)")),IF($B1025="Autographs Duals",2,IF($B1025="Autographs Triples",3,4)),1)))</f>
        <v>12.2</v>
      </c>
      <c r="AB1025" s="62">
        <f t="shared" si="206"/>
        <v>12.2</v>
      </c>
      <c r="AC1025" s="62">
        <f t="shared" si="207"/>
        <v>0</v>
      </c>
    </row>
    <row r="1026" spans="1:29" ht="28.7" customHeight="1" x14ac:dyDescent="0.25">
      <c r="A1026" s="4" t="s">
        <v>19</v>
      </c>
      <c r="B1026" s="7" t="s">
        <v>79</v>
      </c>
      <c r="C1026" s="2" t="s">
        <v>1524</v>
      </c>
      <c r="D1026" s="7" t="s">
        <v>1082</v>
      </c>
      <c r="E1026" s="4" t="s">
        <v>779</v>
      </c>
      <c r="F1026" s="2">
        <v>82</v>
      </c>
      <c r="G1026" s="2" t="s">
        <v>1399</v>
      </c>
      <c r="H1026" s="2" t="s">
        <v>1400</v>
      </c>
      <c r="I1026" s="4" t="s">
        <v>60</v>
      </c>
      <c r="J1026" s="112">
        <f>IF($H1026&lt;&gt;"Y",0,ROUND(MIN(Dashboard!$R$24,IF(IFERROR(VLOOKUP($B1026,Dashboard!$Q$28:$S$60,2,FALSE),0)&gt;0,IFERROR(VLOOKUP($B1026,Dashboard!$Q$28:$S$60,2,FALSE),0),$Z1026*IF($U1026&lt;&gt;"",ROUND((Dashboard!$R$4/$U1026)*VLOOKUP($I1026,Dashboard!$Q$9:$R$13,2,FALSE)*IF(ISNUMBER(SEARCH("Duals",$B1026)),2,IF(ISNUMBER(SEARCH("Triples",$B1026)),3,IF(ISNUMBER(SEARCH("Quads",$B1026)),4,1))),2),ROUND(VLOOKUP($I1026,Dashboard!$Q$15:$R$20,2,FALSE)*IF($E1026="Red",Dashboard!$R$6,IF($E1026="Gold",Dashboard!$R$7,Dashboard!$R$5))*IF(ISNUMBER(SEARCH("Duals",$B1026)),2,IF(ISNUMBER(SEARCH("Triples",$B1026)),3,IF(ISNUMBER(SEARCH("Quads",$B1026)),4,1))),2))*IF(IFERROR(VLOOKUP($B1026,Dashboard!$Q$28:$S$60,3,FALSE),0)&gt;0,VLOOKUP($B1026,Dashboard!$Q$28:$S$60,3,FALSE),1))),0))</f>
        <v>12</v>
      </c>
      <c r="K1026" s="2" t="str">
        <f>IF('Base S2'!G26="","",'Base S2'!G26)</f>
        <v>C 46/82</v>
      </c>
      <c r="L1026" s="2">
        <f t="shared" ref="L1026:L1089" si="208">IF(AND($K1026&lt;&gt;"",LEFT($K1026,1)&lt;&gt;"Y"),1,0)</f>
        <v>1</v>
      </c>
      <c r="M1026" s="2">
        <f t="shared" ref="M1026:M1089" si="209">IF(LEFT($K1026,1)="Y",1,0)</f>
        <v>0</v>
      </c>
      <c r="N1026" s="2">
        <f t="shared" ref="N1026:N1089" si="210">$L1026+$M1026</f>
        <v>1</v>
      </c>
      <c r="O1026" s="2">
        <f t="shared" ref="O1026:O1089" si="211">IF($H1026="Y",1-$N1026,0)</f>
        <v>0</v>
      </c>
      <c r="P1026" s="112">
        <f t="shared" ref="P1026:P1089" si="212">IF($L1026=1,$J1026,0)</f>
        <v>12</v>
      </c>
      <c r="Q1026" s="112">
        <f t="shared" ref="Q1026:Q1089" si="213">IF($M1026=1,$J1026,0)</f>
        <v>0</v>
      </c>
      <c r="R1026" s="53"/>
      <c r="S1026" s="53" t="str">
        <f t="shared" ref="S1026:S1089" si="214">IF($A1026="","",$A1026&amp;"|"&amp;$B1026&amp;"|"&amp;$C1026&amp;"|"&amp;$E1026)</f>
        <v>Base S2|Floor 82 Parallel - Season 2|125|Floor 82</v>
      </c>
      <c r="T1026" s="57" t="str">
        <f>IF($S1026="","",IFERROR(VLOOKUP($S1026,'Pop Estimates (Non-#d)'!$N$2:$O$500,2,FALSE),""))</f>
        <v/>
      </c>
      <c r="U1026" s="57">
        <f t="shared" ref="U1026:U1089" si="215">IF($A1026="","",IF($F1026&lt;&gt;"",$F1026,$T1026))</f>
        <v>82</v>
      </c>
      <c r="V1026" s="53" t="str">
        <f t="shared" ref="V1026:V1089" si="216">IF($A1026="","",IF(ISNUMBER(SEARCH(" as ",$D1026)),MID($D1026,SEARCH(" as ",$D1026)+4,255),IF(ISNUMBER(SEARCH("/",$D1026)),LEFT($D1026,FIND("/",$D1026&amp;"/")-1),"")))</f>
        <v/>
      </c>
      <c r="W1026" s="53" t="str">
        <f t="shared" ref="W1026:W1089" si="217">IF($V1026="","",TRIM(IFERROR(MID($V1026,SEARCH("(", $V1026)+1,SEARCH(")",$V1026)-SEARCH("(", $V1026)-1),$V1026)))</f>
        <v/>
      </c>
      <c r="X1026" s="53" t="str">
        <f t="shared" ref="X1026:X1089" si="218">IF($W1026="","",TRIM(LEFT($W1026&amp;"""",FIND("""",$W1026&amp;"""")-1)))</f>
        <v/>
      </c>
      <c r="Y1026" s="57" t="str">
        <f>IF($X1026="","",IFERROR(VLOOKUP($X1026,'Char Popularity'!$A$2:$C$500,2,FALSE),""))</f>
        <v/>
      </c>
      <c r="Z1026" s="56">
        <f>IF($X1026="",1,IFERROR(VLOOKUP($X1026,'Char Popularity'!$A$2:$C$500,3,FALSE),1))</f>
        <v>1</v>
      </c>
      <c r="AA1026" s="62">
        <f>IF($H1026&lt;&gt;"Y",0,(IF($F1026&lt;&gt;"",ROUND(Dashboard!$R$4/$F1026,1),IF(AND($I1026="Base",$E1026="Base"),Dashboard!$R$5,IF(AND($I1026="Base",$E1026="Red"),Dashboard!$R$6,IF(AND($I1026="Base",$E1026="Gold"),Dashboard!$R$7,VLOOKUP($I1026,Dashboard!$Q$16:$R$21,2,FALSE)))))*VLOOKUP($I1026,Dashboard!$Q$9:$R$13,2,FALSE)*IF(AND($I1026="Auto",$F1026="",OR($B1026="Autographs Duals",$B1026="Autographs Triples",$B1026="Autographs Quads",$B1026="Autographs Quads (Inscribed)")),IF($B1026="Autographs Duals",2,IF($B1026="Autographs Triples",3,4)),1)))</f>
        <v>12.2</v>
      </c>
      <c r="AB1026" s="62">
        <f t="shared" ref="AB1026:AB1089" si="219">IF($L1026=1,$AA1026,0)</f>
        <v>12.2</v>
      </c>
      <c r="AC1026" s="62">
        <f t="shared" ref="AC1026:AC1089" si="220">IF($M1026=1,$AA1026,0)</f>
        <v>0</v>
      </c>
    </row>
    <row r="1027" spans="1:29" ht="28.7" customHeight="1" x14ac:dyDescent="0.25">
      <c r="A1027" s="4" t="s">
        <v>19</v>
      </c>
      <c r="B1027" s="7" t="s">
        <v>79</v>
      </c>
      <c r="C1027" s="2" t="s">
        <v>1525</v>
      </c>
      <c r="D1027" s="7" t="s">
        <v>1083</v>
      </c>
      <c r="E1027" s="4" t="s">
        <v>779</v>
      </c>
      <c r="F1027" s="2">
        <v>82</v>
      </c>
      <c r="G1027" s="2" t="s">
        <v>1399</v>
      </c>
      <c r="H1027" s="2" t="s">
        <v>1400</v>
      </c>
      <c r="I1027" s="4" t="s">
        <v>60</v>
      </c>
      <c r="J1027" s="112">
        <f>IF($H1027&lt;&gt;"Y",0,ROUND(MIN(Dashboard!$R$24,IF(IFERROR(VLOOKUP($B1027,Dashboard!$Q$28:$S$60,2,FALSE),0)&gt;0,IFERROR(VLOOKUP($B1027,Dashboard!$Q$28:$S$60,2,FALSE),0),$Z1027*IF($U1027&lt;&gt;"",ROUND((Dashboard!$R$4/$U1027)*VLOOKUP($I1027,Dashboard!$Q$9:$R$13,2,FALSE)*IF(ISNUMBER(SEARCH("Duals",$B1027)),2,IF(ISNUMBER(SEARCH("Triples",$B1027)),3,IF(ISNUMBER(SEARCH("Quads",$B1027)),4,1))),2),ROUND(VLOOKUP($I1027,Dashboard!$Q$15:$R$20,2,FALSE)*IF($E1027="Red",Dashboard!$R$6,IF($E1027="Gold",Dashboard!$R$7,Dashboard!$R$5))*IF(ISNUMBER(SEARCH("Duals",$B1027)),2,IF(ISNUMBER(SEARCH("Triples",$B1027)),3,IF(ISNUMBER(SEARCH("Quads",$B1027)),4,1))),2))*IF(IFERROR(VLOOKUP($B1027,Dashboard!$Q$28:$S$60,3,FALSE),0)&gt;0,VLOOKUP($B1027,Dashboard!$Q$28:$S$60,3,FALSE),1))),0))</f>
        <v>12</v>
      </c>
      <c r="K1027" s="2" t="str">
        <f>IF('Base S2'!G27="","",'Base S2'!G27)</f>
        <v>C 74/82</v>
      </c>
      <c r="L1027" s="2">
        <f t="shared" si="208"/>
        <v>1</v>
      </c>
      <c r="M1027" s="2">
        <f t="shared" si="209"/>
        <v>0</v>
      </c>
      <c r="N1027" s="2">
        <f t="shared" si="210"/>
        <v>1</v>
      </c>
      <c r="O1027" s="2">
        <f t="shared" si="211"/>
        <v>0</v>
      </c>
      <c r="P1027" s="112">
        <f t="shared" si="212"/>
        <v>12</v>
      </c>
      <c r="Q1027" s="112">
        <f t="shared" si="213"/>
        <v>0</v>
      </c>
      <c r="R1027" s="53"/>
      <c r="S1027" s="53" t="str">
        <f t="shared" si="214"/>
        <v>Base S2|Floor 82 Parallel - Season 2|126|Floor 82</v>
      </c>
      <c r="T1027" s="57" t="str">
        <f>IF($S1027="","",IFERROR(VLOOKUP($S1027,'Pop Estimates (Non-#d)'!$N$2:$O$500,2,FALSE),""))</f>
        <v/>
      </c>
      <c r="U1027" s="57">
        <f t="shared" si="215"/>
        <v>82</v>
      </c>
      <c r="V1027" s="53" t="str">
        <f t="shared" si="216"/>
        <v/>
      </c>
      <c r="W1027" s="53" t="str">
        <f t="shared" si="217"/>
        <v/>
      </c>
      <c r="X1027" s="53" t="str">
        <f t="shared" si="218"/>
        <v/>
      </c>
      <c r="Y1027" s="57" t="str">
        <f>IF($X1027="","",IFERROR(VLOOKUP($X1027,'Char Popularity'!$A$2:$C$500,2,FALSE),""))</f>
        <v/>
      </c>
      <c r="Z1027" s="56">
        <f>IF($X1027="",1,IFERROR(VLOOKUP($X1027,'Char Popularity'!$A$2:$C$500,3,FALSE),1))</f>
        <v>1</v>
      </c>
      <c r="AA1027" s="62">
        <f>IF($H1027&lt;&gt;"Y",0,(IF($F1027&lt;&gt;"",ROUND(Dashboard!$R$4/$F1027,1),IF(AND($I1027="Base",$E1027="Base"),Dashboard!$R$5,IF(AND($I1027="Base",$E1027="Red"),Dashboard!$R$6,IF(AND($I1027="Base",$E1027="Gold"),Dashboard!$R$7,VLOOKUP($I1027,Dashboard!$Q$16:$R$21,2,FALSE)))))*VLOOKUP($I1027,Dashboard!$Q$9:$R$13,2,FALSE)*IF(AND($I1027="Auto",$F1027="",OR($B1027="Autographs Duals",$B1027="Autographs Triples",$B1027="Autographs Quads",$B1027="Autographs Quads (Inscribed)")),IF($B1027="Autographs Duals",2,IF($B1027="Autographs Triples",3,4)),1)))</f>
        <v>12.2</v>
      </c>
      <c r="AB1027" s="62">
        <f t="shared" si="219"/>
        <v>12.2</v>
      </c>
      <c r="AC1027" s="62">
        <f t="shared" si="220"/>
        <v>0</v>
      </c>
    </row>
    <row r="1028" spans="1:29" ht="28.7" customHeight="1" x14ac:dyDescent="0.25">
      <c r="A1028" s="4" t="s">
        <v>19</v>
      </c>
      <c r="B1028" s="7" t="s">
        <v>79</v>
      </c>
      <c r="C1028" s="2" t="s">
        <v>1526</v>
      </c>
      <c r="D1028" s="7" t="s">
        <v>1085</v>
      </c>
      <c r="E1028" s="4" t="s">
        <v>779</v>
      </c>
      <c r="F1028" s="2">
        <v>82</v>
      </c>
      <c r="G1028" s="2" t="s">
        <v>1399</v>
      </c>
      <c r="H1028" s="2" t="s">
        <v>1400</v>
      </c>
      <c r="I1028" s="4" t="s">
        <v>60</v>
      </c>
      <c r="J1028" s="112">
        <f>IF($H1028&lt;&gt;"Y",0,ROUND(MIN(Dashboard!$R$24,IF(IFERROR(VLOOKUP($B1028,Dashboard!$Q$28:$S$60,2,FALSE),0)&gt;0,IFERROR(VLOOKUP($B1028,Dashboard!$Q$28:$S$60,2,FALSE),0),$Z1028*IF($U1028&lt;&gt;"",ROUND((Dashboard!$R$4/$U1028)*VLOOKUP($I1028,Dashboard!$Q$9:$R$13,2,FALSE)*IF(ISNUMBER(SEARCH("Duals",$B1028)),2,IF(ISNUMBER(SEARCH("Triples",$B1028)),3,IF(ISNUMBER(SEARCH("Quads",$B1028)),4,1))),2),ROUND(VLOOKUP($I1028,Dashboard!$Q$15:$R$20,2,FALSE)*IF($E1028="Red",Dashboard!$R$6,IF($E1028="Gold",Dashboard!$R$7,Dashboard!$R$5))*IF(ISNUMBER(SEARCH("Duals",$B1028)),2,IF(ISNUMBER(SEARCH("Triples",$B1028)),3,IF(ISNUMBER(SEARCH("Quads",$B1028)),4,1))),2))*IF(IFERROR(VLOOKUP($B1028,Dashboard!$Q$28:$S$60,3,FALSE),0)&gt;0,VLOOKUP($B1028,Dashboard!$Q$28:$S$60,3,FALSE),1))),0))</f>
        <v>12</v>
      </c>
      <c r="K1028" s="2" t="str">
        <f>IF('Base S2'!G28="","",'Base S2'!G28)</f>
        <v>C 50/82</v>
      </c>
      <c r="L1028" s="2">
        <f t="shared" si="208"/>
        <v>1</v>
      </c>
      <c r="M1028" s="2">
        <f t="shared" si="209"/>
        <v>0</v>
      </c>
      <c r="N1028" s="2">
        <f t="shared" si="210"/>
        <v>1</v>
      </c>
      <c r="O1028" s="2">
        <f t="shared" si="211"/>
        <v>0</v>
      </c>
      <c r="P1028" s="112">
        <f t="shared" si="212"/>
        <v>12</v>
      </c>
      <c r="Q1028" s="112">
        <f t="shared" si="213"/>
        <v>0</v>
      </c>
      <c r="R1028" s="53"/>
      <c r="S1028" s="53" t="str">
        <f t="shared" si="214"/>
        <v>Base S2|Floor 82 Parallel - Season 2|127|Floor 82</v>
      </c>
      <c r="T1028" s="57" t="str">
        <f>IF($S1028="","",IFERROR(VLOOKUP($S1028,'Pop Estimates (Non-#d)'!$N$2:$O$500,2,FALSE),""))</f>
        <v/>
      </c>
      <c r="U1028" s="57">
        <f t="shared" si="215"/>
        <v>82</v>
      </c>
      <c r="V1028" s="53" t="str">
        <f t="shared" si="216"/>
        <v/>
      </c>
      <c r="W1028" s="53" t="str">
        <f t="shared" si="217"/>
        <v/>
      </c>
      <c r="X1028" s="53" t="str">
        <f t="shared" si="218"/>
        <v/>
      </c>
      <c r="Y1028" s="57" t="str">
        <f>IF($X1028="","",IFERROR(VLOOKUP($X1028,'Char Popularity'!$A$2:$C$500,2,FALSE),""))</f>
        <v/>
      </c>
      <c r="Z1028" s="56">
        <f>IF($X1028="",1,IFERROR(VLOOKUP($X1028,'Char Popularity'!$A$2:$C$500,3,FALSE),1))</f>
        <v>1</v>
      </c>
      <c r="AA1028" s="62">
        <f>IF($H1028&lt;&gt;"Y",0,(IF($F1028&lt;&gt;"",ROUND(Dashboard!$R$4/$F1028,1),IF(AND($I1028="Base",$E1028="Base"),Dashboard!$R$5,IF(AND($I1028="Base",$E1028="Red"),Dashboard!$R$6,IF(AND($I1028="Base",$E1028="Gold"),Dashboard!$R$7,VLOOKUP($I1028,Dashboard!$Q$16:$R$21,2,FALSE)))))*VLOOKUP($I1028,Dashboard!$Q$9:$R$13,2,FALSE)*IF(AND($I1028="Auto",$F1028="",OR($B1028="Autographs Duals",$B1028="Autographs Triples",$B1028="Autographs Quads",$B1028="Autographs Quads (Inscribed)")),IF($B1028="Autographs Duals",2,IF($B1028="Autographs Triples",3,4)),1)))</f>
        <v>12.2</v>
      </c>
      <c r="AB1028" s="62">
        <f t="shared" si="219"/>
        <v>12.2</v>
      </c>
      <c r="AC1028" s="62">
        <f t="shared" si="220"/>
        <v>0</v>
      </c>
    </row>
    <row r="1029" spans="1:29" ht="28.7" customHeight="1" x14ac:dyDescent="0.25">
      <c r="A1029" s="4" t="s">
        <v>19</v>
      </c>
      <c r="B1029" s="7" t="s">
        <v>79</v>
      </c>
      <c r="C1029" s="2" t="s">
        <v>1527</v>
      </c>
      <c r="D1029" s="7" t="s">
        <v>1086</v>
      </c>
      <c r="E1029" s="4" t="s">
        <v>779</v>
      </c>
      <c r="F1029" s="2">
        <v>82</v>
      </c>
      <c r="G1029" s="2" t="s">
        <v>1399</v>
      </c>
      <c r="H1029" s="2" t="s">
        <v>1400</v>
      </c>
      <c r="I1029" s="4" t="s">
        <v>60</v>
      </c>
      <c r="J1029" s="112">
        <f>IF($H1029&lt;&gt;"Y",0,ROUND(MIN(Dashboard!$R$24,IF(IFERROR(VLOOKUP($B1029,Dashboard!$Q$28:$S$60,2,FALSE),0)&gt;0,IFERROR(VLOOKUP($B1029,Dashboard!$Q$28:$S$60,2,FALSE),0),$Z1029*IF($U1029&lt;&gt;"",ROUND((Dashboard!$R$4/$U1029)*VLOOKUP($I1029,Dashboard!$Q$9:$R$13,2,FALSE)*IF(ISNUMBER(SEARCH("Duals",$B1029)),2,IF(ISNUMBER(SEARCH("Triples",$B1029)),3,IF(ISNUMBER(SEARCH("Quads",$B1029)),4,1))),2),ROUND(VLOOKUP($I1029,Dashboard!$Q$15:$R$20,2,FALSE)*IF($E1029="Red",Dashboard!$R$6,IF($E1029="Gold",Dashboard!$R$7,Dashboard!$R$5))*IF(ISNUMBER(SEARCH("Duals",$B1029)),2,IF(ISNUMBER(SEARCH("Triples",$B1029)),3,IF(ISNUMBER(SEARCH("Quads",$B1029)),4,1))),2))*IF(IFERROR(VLOOKUP($B1029,Dashboard!$Q$28:$S$60,3,FALSE),0)&gt;0,VLOOKUP($B1029,Dashboard!$Q$28:$S$60,3,FALSE),1))),0))</f>
        <v>12</v>
      </c>
      <c r="K1029" s="2" t="str">
        <f>IF('Base S2'!G29="","",'Base S2'!G29)</f>
        <v>C 37/82</v>
      </c>
      <c r="L1029" s="2">
        <f t="shared" si="208"/>
        <v>1</v>
      </c>
      <c r="M1029" s="2">
        <f t="shared" si="209"/>
        <v>0</v>
      </c>
      <c r="N1029" s="2">
        <f t="shared" si="210"/>
        <v>1</v>
      </c>
      <c r="O1029" s="2">
        <f t="shared" si="211"/>
        <v>0</v>
      </c>
      <c r="P1029" s="112">
        <f t="shared" si="212"/>
        <v>12</v>
      </c>
      <c r="Q1029" s="112">
        <f t="shared" si="213"/>
        <v>0</v>
      </c>
      <c r="R1029" s="53"/>
      <c r="S1029" s="53" t="str">
        <f t="shared" si="214"/>
        <v>Base S2|Floor 82 Parallel - Season 2|128|Floor 82</v>
      </c>
      <c r="T1029" s="57" t="str">
        <f>IF($S1029="","",IFERROR(VLOOKUP($S1029,'Pop Estimates (Non-#d)'!$N$2:$O$500,2,FALSE),""))</f>
        <v/>
      </c>
      <c r="U1029" s="57">
        <f t="shared" si="215"/>
        <v>82</v>
      </c>
      <c r="V1029" s="53" t="str">
        <f t="shared" si="216"/>
        <v/>
      </c>
      <c r="W1029" s="53" t="str">
        <f t="shared" si="217"/>
        <v/>
      </c>
      <c r="X1029" s="53" t="str">
        <f t="shared" si="218"/>
        <v/>
      </c>
      <c r="Y1029" s="57" t="str">
        <f>IF($X1029="","",IFERROR(VLOOKUP($X1029,'Char Popularity'!$A$2:$C$500,2,FALSE),""))</f>
        <v/>
      </c>
      <c r="Z1029" s="56">
        <f>IF($X1029="",1,IFERROR(VLOOKUP($X1029,'Char Popularity'!$A$2:$C$500,3,FALSE),1))</f>
        <v>1</v>
      </c>
      <c r="AA1029" s="62">
        <f>IF($H1029&lt;&gt;"Y",0,(IF($F1029&lt;&gt;"",ROUND(Dashboard!$R$4/$F1029,1),IF(AND($I1029="Base",$E1029="Base"),Dashboard!$R$5,IF(AND($I1029="Base",$E1029="Red"),Dashboard!$R$6,IF(AND($I1029="Base",$E1029="Gold"),Dashboard!$R$7,VLOOKUP($I1029,Dashboard!$Q$16:$R$21,2,FALSE)))))*VLOOKUP($I1029,Dashboard!$Q$9:$R$13,2,FALSE)*IF(AND($I1029="Auto",$F1029="",OR($B1029="Autographs Duals",$B1029="Autographs Triples",$B1029="Autographs Quads",$B1029="Autographs Quads (Inscribed)")),IF($B1029="Autographs Duals",2,IF($B1029="Autographs Triples",3,4)),1)))</f>
        <v>12.2</v>
      </c>
      <c r="AB1029" s="62">
        <f t="shared" si="219"/>
        <v>12.2</v>
      </c>
      <c r="AC1029" s="62">
        <f t="shared" si="220"/>
        <v>0</v>
      </c>
    </row>
    <row r="1030" spans="1:29" ht="28.7" customHeight="1" x14ac:dyDescent="0.25">
      <c r="A1030" s="4" t="s">
        <v>19</v>
      </c>
      <c r="B1030" s="7" t="s">
        <v>79</v>
      </c>
      <c r="C1030" s="2" t="s">
        <v>1528</v>
      </c>
      <c r="D1030" s="7" t="s">
        <v>1088</v>
      </c>
      <c r="E1030" s="4" t="s">
        <v>779</v>
      </c>
      <c r="F1030" s="2">
        <v>82</v>
      </c>
      <c r="G1030" s="2" t="s">
        <v>1399</v>
      </c>
      <c r="H1030" s="2" t="s">
        <v>1400</v>
      </c>
      <c r="I1030" s="4" t="s">
        <v>60</v>
      </c>
      <c r="J1030" s="112">
        <f>IF($H1030&lt;&gt;"Y",0,ROUND(MIN(Dashboard!$R$24,IF(IFERROR(VLOOKUP($B1030,Dashboard!$Q$28:$S$60,2,FALSE),0)&gt;0,IFERROR(VLOOKUP($B1030,Dashboard!$Q$28:$S$60,2,FALSE),0),$Z1030*IF($U1030&lt;&gt;"",ROUND((Dashboard!$R$4/$U1030)*VLOOKUP($I1030,Dashboard!$Q$9:$R$13,2,FALSE)*IF(ISNUMBER(SEARCH("Duals",$B1030)),2,IF(ISNUMBER(SEARCH("Triples",$B1030)),3,IF(ISNUMBER(SEARCH("Quads",$B1030)),4,1))),2),ROUND(VLOOKUP($I1030,Dashboard!$Q$15:$R$20,2,FALSE)*IF($E1030="Red",Dashboard!$R$6,IF($E1030="Gold",Dashboard!$R$7,Dashboard!$R$5))*IF(ISNUMBER(SEARCH("Duals",$B1030)),2,IF(ISNUMBER(SEARCH("Triples",$B1030)),3,IF(ISNUMBER(SEARCH("Quads",$B1030)),4,1))),2))*IF(IFERROR(VLOOKUP($B1030,Dashboard!$Q$28:$S$60,3,FALSE),0)&gt;0,VLOOKUP($B1030,Dashboard!$Q$28:$S$60,3,FALSE),1))),0))</f>
        <v>12</v>
      </c>
      <c r="K1030" s="2" t="str">
        <f>IF('Base S2'!G30="","",'Base S2'!G30)</f>
        <v>V 16/82</v>
      </c>
      <c r="L1030" s="2">
        <f t="shared" si="208"/>
        <v>1</v>
      </c>
      <c r="M1030" s="2">
        <f t="shared" si="209"/>
        <v>0</v>
      </c>
      <c r="N1030" s="2">
        <f t="shared" si="210"/>
        <v>1</v>
      </c>
      <c r="O1030" s="2">
        <f t="shared" si="211"/>
        <v>0</v>
      </c>
      <c r="P1030" s="112">
        <f t="shared" si="212"/>
        <v>12</v>
      </c>
      <c r="Q1030" s="112">
        <f t="shared" si="213"/>
        <v>0</v>
      </c>
      <c r="R1030" s="53"/>
      <c r="S1030" s="53" t="str">
        <f t="shared" si="214"/>
        <v>Base S2|Floor 82 Parallel - Season 2|129|Floor 82</v>
      </c>
      <c r="T1030" s="57" t="str">
        <f>IF($S1030="","",IFERROR(VLOOKUP($S1030,'Pop Estimates (Non-#d)'!$N$2:$O$500,2,FALSE),""))</f>
        <v/>
      </c>
      <c r="U1030" s="57">
        <f t="shared" si="215"/>
        <v>82</v>
      </c>
      <c r="V1030" s="53" t="str">
        <f t="shared" si="216"/>
        <v/>
      </c>
      <c r="W1030" s="53" t="str">
        <f t="shared" si="217"/>
        <v/>
      </c>
      <c r="X1030" s="53" t="str">
        <f t="shared" si="218"/>
        <v/>
      </c>
      <c r="Y1030" s="57" t="str">
        <f>IF($X1030="","",IFERROR(VLOOKUP($X1030,'Char Popularity'!$A$2:$C$500,2,FALSE),""))</f>
        <v/>
      </c>
      <c r="Z1030" s="56">
        <f>IF($X1030="",1,IFERROR(VLOOKUP($X1030,'Char Popularity'!$A$2:$C$500,3,FALSE),1))</f>
        <v>1</v>
      </c>
      <c r="AA1030" s="62">
        <f>IF($H1030&lt;&gt;"Y",0,(IF($F1030&lt;&gt;"",ROUND(Dashboard!$R$4/$F1030,1),IF(AND($I1030="Base",$E1030="Base"),Dashboard!$R$5,IF(AND($I1030="Base",$E1030="Red"),Dashboard!$R$6,IF(AND($I1030="Base",$E1030="Gold"),Dashboard!$R$7,VLOOKUP($I1030,Dashboard!$Q$16:$R$21,2,FALSE)))))*VLOOKUP($I1030,Dashboard!$Q$9:$R$13,2,FALSE)*IF(AND($I1030="Auto",$F1030="",OR($B1030="Autographs Duals",$B1030="Autographs Triples",$B1030="Autographs Quads",$B1030="Autographs Quads (Inscribed)")),IF($B1030="Autographs Duals",2,IF($B1030="Autographs Triples",3,4)),1)))</f>
        <v>12.2</v>
      </c>
      <c r="AB1030" s="62">
        <f t="shared" si="219"/>
        <v>12.2</v>
      </c>
      <c r="AC1030" s="62">
        <f t="shared" si="220"/>
        <v>0</v>
      </c>
    </row>
    <row r="1031" spans="1:29" ht="28.7" customHeight="1" x14ac:dyDescent="0.25">
      <c r="A1031" s="4" t="s">
        <v>19</v>
      </c>
      <c r="B1031" s="7" t="s">
        <v>79</v>
      </c>
      <c r="C1031" s="2" t="s">
        <v>1529</v>
      </c>
      <c r="D1031" s="7" t="s">
        <v>1091</v>
      </c>
      <c r="E1031" s="4" t="s">
        <v>779</v>
      </c>
      <c r="F1031" s="2">
        <v>82</v>
      </c>
      <c r="G1031" s="2" t="s">
        <v>1399</v>
      </c>
      <c r="H1031" s="2" t="s">
        <v>1400</v>
      </c>
      <c r="I1031" s="4" t="s">
        <v>60</v>
      </c>
      <c r="J1031" s="112">
        <f>IF($H1031&lt;&gt;"Y",0,ROUND(MIN(Dashboard!$R$24,IF(IFERROR(VLOOKUP($B1031,Dashboard!$Q$28:$S$60,2,FALSE),0)&gt;0,IFERROR(VLOOKUP($B1031,Dashboard!$Q$28:$S$60,2,FALSE),0),$Z1031*IF($U1031&lt;&gt;"",ROUND((Dashboard!$R$4/$U1031)*VLOOKUP($I1031,Dashboard!$Q$9:$R$13,2,FALSE)*IF(ISNUMBER(SEARCH("Duals",$B1031)),2,IF(ISNUMBER(SEARCH("Triples",$B1031)),3,IF(ISNUMBER(SEARCH("Quads",$B1031)),4,1))),2),ROUND(VLOOKUP($I1031,Dashboard!$Q$15:$R$20,2,FALSE)*IF($E1031="Red",Dashboard!$R$6,IF($E1031="Gold",Dashboard!$R$7,Dashboard!$R$5))*IF(ISNUMBER(SEARCH("Duals",$B1031)),2,IF(ISNUMBER(SEARCH("Triples",$B1031)),3,IF(ISNUMBER(SEARCH("Quads",$B1031)),4,1))),2))*IF(IFERROR(VLOOKUP($B1031,Dashboard!$Q$28:$S$60,3,FALSE),0)&gt;0,VLOOKUP($B1031,Dashboard!$Q$28:$S$60,3,FALSE),1))),0))</f>
        <v>12</v>
      </c>
      <c r="K1031" s="2" t="str">
        <f>IF('Base S2'!G31="","",'Base S2'!G31)</f>
        <v>V 33/82</v>
      </c>
      <c r="L1031" s="2">
        <f t="shared" si="208"/>
        <v>1</v>
      </c>
      <c r="M1031" s="2">
        <f t="shared" si="209"/>
        <v>0</v>
      </c>
      <c r="N1031" s="2">
        <f t="shared" si="210"/>
        <v>1</v>
      </c>
      <c r="O1031" s="2">
        <f t="shared" si="211"/>
        <v>0</v>
      </c>
      <c r="P1031" s="112">
        <f t="shared" si="212"/>
        <v>12</v>
      </c>
      <c r="Q1031" s="112">
        <f t="shared" si="213"/>
        <v>0</v>
      </c>
      <c r="R1031" s="53"/>
      <c r="S1031" s="53" t="str">
        <f t="shared" si="214"/>
        <v>Base S2|Floor 82 Parallel - Season 2|130|Floor 82</v>
      </c>
      <c r="T1031" s="57" t="str">
        <f>IF($S1031="","",IFERROR(VLOOKUP($S1031,'Pop Estimates (Non-#d)'!$N$2:$O$500,2,FALSE),""))</f>
        <v/>
      </c>
      <c r="U1031" s="57">
        <f t="shared" si="215"/>
        <v>82</v>
      </c>
      <c r="V1031" s="53" t="str">
        <f t="shared" si="216"/>
        <v/>
      </c>
      <c r="W1031" s="53" t="str">
        <f t="shared" si="217"/>
        <v/>
      </c>
      <c r="X1031" s="53" t="str">
        <f t="shared" si="218"/>
        <v/>
      </c>
      <c r="Y1031" s="57" t="str">
        <f>IF($X1031="","",IFERROR(VLOOKUP($X1031,'Char Popularity'!$A$2:$C$500,2,FALSE),""))</f>
        <v/>
      </c>
      <c r="Z1031" s="56">
        <f>IF($X1031="",1,IFERROR(VLOOKUP($X1031,'Char Popularity'!$A$2:$C$500,3,FALSE),1))</f>
        <v>1</v>
      </c>
      <c r="AA1031" s="62">
        <f>IF($H1031&lt;&gt;"Y",0,(IF($F1031&lt;&gt;"",ROUND(Dashboard!$R$4/$F1031,1),IF(AND($I1031="Base",$E1031="Base"),Dashboard!$R$5,IF(AND($I1031="Base",$E1031="Red"),Dashboard!$R$6,IF(AND($I1031="Base",$E1031="Gold"),Dashboard!$R$7,VLOOKUP($I1031,Dashboard!$Q$16:$R$21,2,FALSE)))))*VLOOKUP($I1031,Dashboard!$Q$9:$R$13,2,FALSE)*IF(AND($I1031="Auto",$F1031="",OR($B1031="Autographs Duals",$B1031="Autographs Triples",$B1031="Autographs Quads",$B1031="Autographs Quads (Inscribed)")),IF($B1031="Autographs Duals",2,IF($B1031="Autographs Triples",3,4)),1)))</f>
        <v>12.2</v>
      </c>
      <c r="AB1031" s="62">
        <f t="shared" si="219"/>
        <v>12.2</v>
      </c>
      <c r="AC1031" s="62">
        <f t="shared" si="220"/>
        <v>0</v>
      </c>
    </row>
    <row r="1032" spans="1:29" ht="28.7" customHeight="1" x14ac:dyDescent="0.25">
      <c r="A1032" s="4" t="s">
        <v>19</v>
      </c>
      <c r="B1032" s="7" t="s">
        <v>79</v>
      </c>
      <c r="C1032" s="2" t="s">
        <v>1530</v>
      </c>
      <c r="D1032" s="7" t="s">
        <v>1093</v>
      </c>
      <c r="E1032" s="4" t="s">
        <v>779</v>
      </c>
      <c r="F1032" s="2">
        <v>82</v>
      </c>
      <c r="G1032" s="2" t="s">
        <v>1399</v>
      </c>
      <c r="H1032" s="2" t="s">
        <v>1400</v>
      </c>
      <c r="I1032" s="4" t="s">
        <v>60</v>
      </c>
      <c r="J1032" s="112">
        <f>IF($H1032&lt;&gt;"Y",0,ROUND(MIN(Dashboard!$R$24,IF(IFERROR(VLOOKUP($B1032,Dashboard!$Q$28:$S$60,2,FALSE),0)&gt;0,IFERROR(VLOOKUP($B1032,Dashboard!$Q$28:$S$60,2,FALSE),0),$Z1032*IF($U1032&lt;&gt;"",ROUND((Dashboard!$R$4/$U1032)*VLOOKUP($I1032,Dashboard!$Q$9:$R$13,2,FALSE)*IF(ISNUMBER(SEARCH("Duals",$B1032)),2,IF(ISNUMBER(SEARCH("Triples",$B1032)),3,IF(ISNUMBER(SEARCH("Quads",$B1032)),4,1))),2),ROUND(VLOOKUP($I1032,Dashboard!$Q$15:$R$20,2,FALSE)*IF($E1032="Red",Dashboard!$R$6,IF($E1032="Gold",Dashboard!$R$7,Dashboard!$R$5))*IF(ISNUMBER(SEARCH("Duals",$B1032)),2,IF(ISNUMBER(SEARCH("Triples",$B1032)),3,IF(ISNUMBER(SEARCH("Quads",$B1032)),4,1))),2))*IF(IFERROR(VLOOKUP($B1032,Dashboard!$Q$28:$S$60,3,FALSE),0)&gt;0,VLOOKUP($B1032,Dashboard!$Q$28:$S$60,3,FALSE),1))),0))</f>
        <v>12</v>
      </c>
      <c r="K1032" s="2" t="str">
        <f>IF('Base S2'!G32="","",'Base S2'!G32)</f>
        <v>C 19/82</v>
      </c>
      <c r="L1032" s="2">
        <f t="shared" si="208"/>
        <v>1</v>
      </c>
      <c r="M1032" s="2">
        <f t="shared" si="209"/>
        <v>0</v>
      </c>
      <c r="N1032" s="2">
        <f t="shared" si="210"/>
        <v>1</v>
      </c>
      <c r="O1032" s="2">
        <f t="shared" si="211"/>
        <v>0</v>
      </c>
      <c r="P1032" s="112">
        <f t="shared" si="212"/>
        <v>12</v>
      </c>
      <c r="Q1032" s="112">
        <f t="shared" si="213"/>
        <v>0</v>
      </c>
      <c r="R1032" s="53"/>
      <c r="S1032" s="53" t="str">
        <f t="shared" si="214"/>
        <v>Base S2|Floor 82 Parallel - Season 2|131|Floor 82</v>
      </c>
      <c r="T1032" s="57" t="str">
        <f>IF($S1032="","",IFERROR(VLOOKUP($S1032,'Pop Estimates (Non-#d)'!$N$2:$O$500,2,FALSE),""))</f>
        <v/>
      </c>
      <c r="U1032" s="57">
        <f t="shared" si="215"/>
        <v>82</v>
      </c>
      <c r="V1032" s="53" t="str">
        <f t="shared" si="216"/>
        <v/>
      </c>
      <c r="W1032" s="53" t="str">
        <f t="shared" si="217"/>
        <v/>
      </c>
      <c r="X1032" s="53" t="str">
        <f t="shared" si="218"/>
        <v/>
      </c>
      <c r="Y1032" s="57" t="str">
        <f>IF($X1032="","",IFERROR(VLOOKUP($X1032,'Char Popularity'!$A$2:$C$500,2,FALSE),""))</f>
        <v/>
      </c>
      <c r="Z1032" s="56">
        <f>IF($X1032="",1,IFERROR(VLOOKUP($X1032,'Char Popularity'!$A$2:$C$500,3,FALSE),1))</f>
        <v>1</v>
      </c>
      <c r="AA1032" s="62">
        <f>IF($H1032&lt;&gt;"Y",0,(IF($F1032&lt;&gt;"",ROUND(Dashboard!$R$4/$F1032,1),IF(AND($I1032="Base",$E1032="Base"),Dashboard!$R$5,IF(AND($I1032="Base",$E1032="Red"),Dashboard!$R$6,IF(AND($I1032="Base",$E1032="Gold"),Dashboard!$R$7,VLOOKUP($I1032,Dashboard!$Q$16:$R$21,2,FALSE)))))*VLOOKUP($I1032,Dashboard!$Q$9:$R$13,2,FALSE)*IF(AND($I1032="Auto",$F1032="",OR($B1032="Autographs Duals",$B1032="Autographs Triples",$B1032="Autographs Quads",$B1032="Autographs Quads (Inscribed)")),IF($B1032="Autographs Duals",2,IF($B1032="Autographs Triples",3,4)),1)))</f>
        <v>12.2</v>
      </c>
      <c r="AB1032" s="62">
        <f t="shared" si="219"/>
        <v>12.2</v>
      </c>
      <c r="AC1032" s="62">
        <f t="shared" si="220"/>
        <v>0</v>
      </c>
    </row>
    <row r="1033" spans="1:29" ht="28.7" customHeight="1" x14ac:dyDescent="0.25">
      <c r="A1033" s="4" t="s">
        <v>19</v>
      </c>
      <c r="B1033" s="7" t="s">
        <v>79</v>
      </c>
      <c r="C1033" s="2" t="s">
        <v>1531</v>
      </c>
      <c r="D1033" s="7" t="s">
        <v>1096</v>
      </c>
      <c r="E1033" s="4" t="s">
        <v>779</v>
      </c>
      <c r="F1033" s="2">
        <v>82</v>
      </c>
      <c r="G1033" s="2" t="s">
        <v>1399</v>
      </c>
      <c r="H1033" s="2" t="s">
        <v>1400</v>
      </c>
      <c r="I1033" s="4" t="s">
        <v>60</v>
      </c>
      <c r="J1033" s="112">
        <f>IF($H1033&lt;&gt;"Y",0,ROUND(MIN(Dashboard!$R$24,IF(IFERROR(VLOOKUP($B1033,Dashboard!$Q$28:$S$60,2,FALSE),0)&gt;0,IFERROR(VLOOKUP($B1033,Dashboard!$Q$28:$S$60,2,FALSE),0),$Z1033*IF($U1033&lt;&gt;"",ROUND((Dashboard!$R$4/$U1033)*VLOOKUP($I1033,Dashboard!$Q$9:$R$13,2,FALSE)*IF(ISNUMBER(SEARCH("Duals",$B1033)),2,IF(ISNUMBER(SEARCH("Triples",$B1033)),3,IF(ISNUMBER(SEARCH("Quads",$B1033)),4,1))),2),ROUND(VLOOKUP($I1033,Dashboard!$Q$15:$R$20,2,FALSE)*IF($E1033="Red",Dashboard!$R$6,IF($E1033="Gold",Dashboard!$R$7,Dashboard!$R$5))*IF(ISNUMBER(SEARCH("Duals",$B1033)),2,IF(ISNUMBER(SEARCH("Triples",$B1033)),3,IF(ISNUMBER(SEARCH("Quads",$B1033)),4,1))),2))*IF(IFERROR(VLOOKUP($B1033,Dashboard!$Q$28:$S$60,3,FALSE),0)&gt;0,VLOOKUP($B1033,Dashboard!$Q$28:$S$60,3,FALSE),1))),0))</f>
        <v>12</v>
      </c>
      <c r="K1033" s="2" t="str">
        <f>IF('Base S2'!G33="","",'Base S2'!G33)</f>
        <v>V 20/82</v>
      </c>
      <c r="L1033" s="2">
        <f t="shared" si="208"/>
        <v>1</v>
      </c>
      <c r="M1033" s="2">
        <f t="shared" si="209"/>
        <v>0</v>
      </c>
      <c r="N1033" s="2">
        <f t="shared" si="210"/>
        <v>1</v>
      </c>
      <c r="O1033" s="2">
        <f t="shared" si="211"/>
        <v>0</v>
      </c>
      <c r="P1033" s="112">
        <f t="shared" si="212"/>
        <v>12</v>
      </c>
      <c r="Q1033" s="112">
        <f t="shared" si="213"/>
        <v>0</v>
      </c>
      <c r="R1033" s="53"/>
      <c r="S1033" s="53" t="str">
        <f t="shared" si="214"/>
        <v>Base S2|Floor 82 Parallel - Season 2|132|Floor 82</v>
      </c>
      <c r="T1033" s="57" t="str">
        <f>IF($S1033="","",IFERROR(VLOOKUP($S1033,'Pop Estimates (Non-#d)'!$N$2:$O$500,2,FALSE),""))</f>
        <v/>
      </c>
      <c r="U1033" s="57">
        <f t="shared" si="215"/>
        <v>82</v>
      </c>
      <c r="V1033" s="53" t="str">
        <f t="shared" si="216"/>
        <v/>
      </c>
      <c r="W1033" s="53" t="str">
        <f t="shared" si="217"/>
        <v/>
      </c>
      <c r="X1033" s="53" t="str">
        <f t="shared" si="218"/>
        <v/>
      </c>
      <c r="Y1033" s="57" t="str">
        <f>IF($X1033="","",IFERROR(VLOOKUP($X1033,'Char Popularity'!$A$2:$C$500,2,FALSE),""))</f>
        <v/>
      </c>
      <c r="Z1033" s="56">
        <f>IF($X1033="",1,IFERROR(VLOOKUP($X1033,'Char Popularity'!$A$2:$C$500,3,FALSE),1))</f>
        <v>1</v>
      </c>
      <c r="AA1033" s="62">
        <f>IF($H1033&lt;&gt;"Y",0,(IF($F1033&lt;&gt;"",ROUND(Dashboard!$R$4/$F1033,1),IF(AND($I1033="Base",$E1033="Base"),Dashboard!$R$5,IF(AND($I1033="Base",$E1033="Red"),Dashboard!$R$6,IF(AND($I1033="Base",$E1033="Gold"),Dashboard!$R$7,VLOOKUP($I1033,Dashboard!$Q$16:$R$21,2,FALSE)))))*VLOOKUP($I1033,Dashboard!$Q$9:$R$13,2,FALSE)*IF(AND($I1033="Auto",$F1033="",OR($B1033="Autographs Duals",$B1033="Autographs Triples",$B1033="Autographs Quads",$B1033="Autographs Quads (Inscribed)")),IF($B1033="Autographs Duals",2,IF($B1033="Autographs Triples",3,4)),1)))</f>
        <v>12.2</v>
      </c>
      <c r="AB1033" s="62">
        <f t="shared" si="219"/>
        <v>12.2</v>
      </c>
      <c r="AC1033" s="62">
        <f t="shared" si="220"/>
        <v>0</v>
      </c>
    </row>
    <row r="1034" spans="1:29" ht="28.7" customHeight="1" x14ac:dyDescent="0.25">
      <c r="A1034" s="4" t="s">
        <v>19</v>
      </c>
      <c r="B1034" s="7" t="s">
        <v>79</v>
      </c>
      <c r="C1034" s="2" t="s">
        <v>1532</v>
      </c>
      <c r="D1034" s="7" t="s">
        <v>1097</v>
      </c>
      <c r="E1034" s="4" t="s">
        <v>779</v>
      </c>
      <c r="F1034" s="2">
        <v>82</v>
      </c>
      <c r="G1034" s="2" t="s">
        <v>1399</v>
      </c>
      <c r="H1034" s="2" t="s">
        <v>1400</v>
      </c>
      <c r="I1034" s="4" t="s">
        <v>60</v>
      </c>
      <c r="J1034" s="112">
        <f>IF($H1034&lt;&gt;"Y",0,ROUND(MIN(Dashboard!$R$24,IF(IFERROR(VLOOKUP($B1034,Dashboard!$Q$28:$S$60,2,FALSE),0)&gt;0,IFERROR(VLOOKUP($B1034,Dashboard!$Q$28:$S$60,2,FALSE),0),$Z1034*IF($U1034&lt;&gt;"",ROUND((Dashboard!$R$4/$U1034)*VLOOKUP($I1034,Dashboard!$Q$9:$R$13,2,FALSE)*IF(ISNUMBER(SEARCH("Duals",$B1034)),2,IF(ISNUMBER(SEARCH("Triples",$B1034)),3,IF(ISNUMBER(SEARCH("Quads",$B1034)),4,1))),2),ROUND(VLOOKUP($I1034,Dashboard!$Q$15:$R$20,2,FALSE)*IF($E1034="Red",Dashboard!$R$6,IF($E1034="Gold",Dashboard!$R$7,Dashboard!$R$5))*IF(ISNUMBER(SEARCH("Duals",$B1034)),2,IF(ISNUMBER(SEARCH("Triples",$B1034)),3,IF(ISNUMBER(SEARCH("Quads",$B1034)),4,1))),2))*IF(IFERROR(VLOOKUP($B1034,Dashboard!$Q$28:$S$60,3,FALSE),0)&gt;0,VLOOKUP($B1034,Dashboard!$Q$28:$S$60,3,FALSE),1))),0))</f>
        <v>12</v>
      </c>
      <c r="K1034" s="2" t="str">
        <f>IF('Base S2'!G34="","",'Base S2'!G34)</f>
        <v>V 68/82</v>
      </c>
      <c r="L1034" s="2">
        <f t="shared" si="208"/>
        <v>1</v>
      </c>
      <c r="M1034" s="2">
        <f t="shared" si="209"/>
        <v>0</v>
      </c>
      <c r="N1034" s="2">
        <f t="shared" si="210"/>
        <v>1</v>
      </c>
      <c r="O1034" s="2">
        <f t="shared" si="211"/>
        <v>0</v>
      </c>
      <c r="P1034" s="112">
        <f t="shared" si="212"/>
        <v>12</v>
      </c>
      <c r="Q1034" s="112">
        <f t="shared" si="213"/>
        <v>0</v>
      </c>
      <c r="R1034" s="53"/>
      <c r="S1034" s="53" t="str">
        <f t="shared" si="214"/>
        <v>Base S2|Floor 82 Parallel - Season 2|133|Floor 82</v>
      </c>
      <c r="T1034" s="57" t="str">
        <f>IF($S1034="","",IFERROR(VLOOKUP($S1034,'Pop Estimates (Non-#d)'!$N$2:$O$500,2,FALSE),""))</f>
        <v/>
      </c>
      <c r="U1034" s="57">
        <f t="shared" si="215"/>
        <v>82</v>
      </c>
      <c r="V1034" s="53" t="str">
        <f t="shared" si="216"/>
        <v/>
      </c>
      <c r="W1034" s="53" t="str">
        <f t="shared" si="217"/>
        <v/>
      </c>
      <c r="X1034" s="53" t="str">
        <f t="shared" si="218"/>
        <v/>
      </c>
      <c r="Y1034" s="57" t="str">
        <f>IF($X1034="","",IFERROR(VLOOKUP($X1034,'Char Popularity'!$A$2:$C$500,2,FALSE),""))</f>
        <v/>
      </c>
      <c r="Z1034" s="56">
        <f>IF($X1034="",1,IFERROR(VLOOKUP($X1034,'Char Popularity'!$A$2:$C$500,3,FALSE),1))</f>
        <v>1</v>
      </c>
      <c r="AA1034" s="62">
        <f>IF($H1034&lt;&gt;"Y",0,(IF($F1034&lt;&gt;"",ROUND(Dashboard!$R$4/$F1034,1),IF(AND($I1034="Base",$E1034="Base"),Dashboard!$R$5,IF(AND($I1034="Base",$E1034="Red"),Dashboard!$R$6,IF(AND($I1034="Base",$E1034="Gold"),Dashboard!$R$7,VLOOKUP($I1034,Dashboard!$Q$16:$R$21,2,FALSE)))))*VLOOKUP($I1034,Dashboard!$Q$9:$R$13,2,FALSE)*IF(AND($I1034="Auto",$F1034="",OR($B1034="Autographs Duals",$B1034="Autographs Triples",$B1034="Autographs Quads",$B1034="Autographs Quads (Inscribed)")),IF($B1034="Autographs Duals",2,IF($B1034="Autographs Triples",3,4)),1)))</f>
        <v>12.2</v>
      </c>
      <c r="AB1034" s="62">
        <f t="shared" si="219"/>
        <v>12.2</v>
      </c>
      <c r="AC1034" s="62">
        <f t="shared" si="220"/>
        <v>0</v>
      </c>
    </row>
    <row r="1035" spans="1:29" ht="28.7" customHeight="1" x14ac:dyDescent="0.25">
      <c r="A1035" s="4" t="s">
        <v>19</v>
      </c>
      <c r="B1035" s="7" t="s">
        <v>79</v>
      </c>
      <c r="C1035" s="2" t="s">
        <v>1533</v>
      </c>
      <c r="D1035" s="7" t="s">
        <v>1099</v>
      </c>
      <c r="E1035" s="4" t="s">
        <v>779</v>
      </c>
      <c r="F1035" s="2">
        <v>82</v>
      </c>
      <c r="G1035" s="2" t="s">
        <v>1399</v>
      </c>
      <c r="H1035" s="2" t="s">
        <v>1400</v>
      </c>
      <c r="I1035" s="4" t="s">
        <v>60</v>
      </c>
      <c r="J1035" s="112">
        <f>IF($H1035&lt;&gt;"Y",0,ROUND(MIN(Dashboard!$R$24,IF(IFERROR(VLOOKUP($B1035,Dashboard!$Q$28:$S$60,2,FALSE),0)&gt;0,IFERROR(VLOOKUP($B1035,Dashboard!$Q$28:$S$60,2,FALSE),0),$Z1035*IF($U1035&lt;&gt;"",ROUND((Dashboard!$R$4/$U1035)*VLOOKUP($I1035,Dashboard!$Q$9:$R$13,2,FALSE)*IF(ISNUMBER(SEARCH("Duals",$B1035)),2,IF(ISNUMBER(SEARCH("Triples",$B1035)),3,IF(ISNUMBER(SEARCH("Quads",$B1035)),4,1))),2),ROUND(VLOOKUP($I1035,Dashboard!$Q$15:$R$20,2,FALSE)*IF($E1035="Red",Dashboard!$R$6,IF($E1035="Gold",Dashboard!$R$7,Dashboard!$R$5))*IF(ISNUMBER(SEARCH("Duals",$B1035)),2,IF(ISNUMBER(SEARCH("Triples",$B1035)),3,IF(ISNUMBER(SEARCH("Quads",$B1035)),4,1))),2))*IF(IFERROR(VLOOKUP($B1035,Dashboard!$Q$28:$S$60,3,FALSE),0)&gt;0,VLOOKUP($B1035,Dashboard!$Q$28:$S$60,3,FALSE),1))),0))</f>
        <v>12</v>
      </c>
      <c r="K1035" s="2" t="str">
        <f>IF('Base S2'!G35="","",'Base S2'!G35)</f>
        <v>C 82/82</v>
      </c>
      <c r="L1035" s="2">
        <f t="shared" si="208"/>
        <v>1</v>
      </c>
      <c r="M1035" s="2">
        <f t="shared" si="209"/>
        <v>0</v>
      </c>
      <c r="N1035" s="2">
        <f t="shared" si="210"/>
        <v>1</v>
      </c>
      <c r="O1035" s="2">
        <f t="shared" si="211"/>
        <v>0</v>
      </c>
      <c r="P1035" s="112">
        <f t="shared" si="212"/>
        <v>12</v>
      </c>
      <c r="Q1035" s="112">
        <f t="shared" si="213"/>
        <v>0</v>
      </c>
      <c r="R1035" s="53"/>
      <c r="S1035" s="53" t="str">
        <f t="shared" si="214"/>
        <v>Base S2|Floor 82 Parallel - Season 2|134|Floor 82</v>
      </c>
      <c r="T1035" s="57" t="str">
        <f>IF($S1035="","",IFERROR(VLOOKUP($S1035,'Pop Estimates (Non-#d)'!$N$2:$O$500,2,FALSE),""))</f>
        <v/>
      </c>
      <c r="U1035" s="57">
        <f t="shared" si="215"/>
        <v>82</v>
      </c>
      <c r="V1035" s="53" t="str">
        <f t="shared" si="216"/>
        <v/>
      </c>
      <c r="W1035" s="53" t="str">
        <f t="shared" si="217"/>
        <v/>
      </c>
      <c r="X1035" s="53" t="str">
        <f t="shared" si="218"/>
        <v/>
      </c>
      <c r="Y1035" s="57" t="str">
        <f>IF($X1035="","",IFERROR(VLOOKUP($X1035,'Char Popularity'!$A$2:$C$500,2,FALSE),""))</f>
        <v/>
      </c>
      <c r="Z1035" s="56">
        <f>IF($X1035="",1,IFERROR(VLOOKUP($X1035,'Char Popularity'!$A$2:$C$500,3,FALSE),1))</f>
        <v>1</v>
      </c>
      <c r="AA1035" s="62">
        <f>IF($H1035&lt;&gt;"Y",0,(IF($F1035&lt;&gt;"",ROUND(Dashboard!$R$4/$F1035,1),IF(AND($I1035="Base",$E1035="Base"),Dashboard!$R$5,IF(AND($I1035="Base",$E1035="Red"),Dashboard!$R$6,IF(AND($I1035="Base",$E1035="Gold"),Dashboard!$R$7,VLOOKUP($I1035,Dashboard!$Q$16:$R$21,2,FALSE)))))*VLOOKUP($I1035,Dashboard!$Q$9:$R$13,2,FALSE)*IF(AND($I1035="Auto",$F1035="",OR($B1035="Autographs Duals",$B1035="Autographs Triples",$B1035="Autographs Quads",$B1035="Autographs Quads (Inscribed)")),IF($B1035="Autographs Duals",2,IF($B1035="Autographs Triples",3,4)),1)))</f>
        <v>12.2</v>
      </c>
      <c r="AB1035" s="62">
        <f t="shared" si="219"/>
        <v>12.2</v>
      </c>
      <c r="AC1035" s="62">
        <f t="shared" si="220"/>
        <v>0</v>
      </c>
    </row>
    <row r="1036" spans="1:29" ht="28.7" customHeight="1" x14ac:dyDescent="0.25">
      <c r="A1036" s="4" t="s">
        <v>19</v>
      </c>
      <c r="B1036" s="7" t="s">
        <v>79</v>
      </c>
      <c r="C1036" s="2" t="s">
        <v>1534</v>
      </c>
      <c r="D1036" s="7" t="s">
        <v>1100</v>
      </c>
      <c r="E1036" s="4" t="s">
        <v>779</v>
      </c>
      <c r="F1036" s="2">
        <v>82</v>
      </c>
      <c r="G1036" s="2" t="s">
        <v>1399</v>
      </c>
      <c r="H1036" s="2" t="s">
        <v>1400</v>
      </c>
      <c r="I1036" s="4" t="s">
        <v>60</v>
      </c>
      <c r="J1036" s="112">
        <f>IF($H1036&lt;&gt;"Y",0,ROUND(MIN(Dashboard!$R$24,IF(IFERROR(VLOOKUP($B1036,Dashboard!$Q$28:$S$60,2,FALSE),0)&gt;0,IFERROR(VLOOKUP($B1036,Dashboard!$Q$28:$S$60,2,FALSE),0),$Z1036*IF($U1036&lt;&gt;"",ROUND((Dashboard!$R$4/$U1036)*VLOOKUP($I1036,Dashboard!$Q$9:$R$13,2,FALSE)*IF(ISNUMBER(SEARCH("Duals",$B1036)),2,IF(ISNUMBER(SEARCH("Triples",$B1036)),3,IF(ISNUMBER(SEARCH("Quads",$B1036)),4,1))),2),ROUND(VLOOKUP($I1036,Dashboard!$Q$15:$R$20,2,FALSE)*IF($E1036="Red",Dashboard!$R$6,IF($E1036="Gold",Dashboard!$R$7,Dashboard!$R$5))*IF(ISNUMBER(SEARCH("Duals",$B1036)),2,IF(ISNUMBER(SEARCH("Triples",$B1036)),3,IF(ISNUMBER(SEARCH("Quads",$B1036)),4,1))),2))*IF(IFERROR(VLOOKUP($B1036,Dashboard!$Q$28:$S$60,3,FALSE),0)&gt;0,VLOOKUP($B1036,Dashboard!$Q$28:$S$60,3,FALSE),1))),0))</f>
        <v>12</v>
      </c>
      <c r="K1036" s="2" t="str">
        <f>IF('Base S2'!G36="","",'Base S2'!G36)</f>
        <v>C 22/82</v>
      </c>
      <c r="L1036" s="2">
        <f t="shared" si="208"/>
        <v>1</v>
      </c>
      <c r="M1036" s="2">
        <f t="shared" si="209"/>
        <v>0</v>
      </c>
      <c r="N1036" s="2">
        <f t="shared" si="210"/>
        <v>1</v>
      </c>
      <c r="O1036" s="2">
        <f t="shared" si="211"/>
        <v>0</v>
      </c>
      <c r="P1036" s="112">
        <f t="shared" si="212"/>
        <v>12</v>
      </c>
      <c r="Q1036" s="112">
        <f t="shared" si="213"/>
        <v>0</v>
      </c>
      <c r="R1036" s="53"/>
      <c r="S1036" s="53" t="str">
        <f t="shared" si="214"/>
        <v>Base S2|Floor 82 Parallel - Season 2|135|Floor 82</v>
      </c>
      <c r="T1036" s="57" t="str">
        <f>IF($S1036="","",IFERROR(VLOOKUP($S1036,'Pop Estimates (Non-#d)'!$N$2:$O$500,2,FALSE),""))</f>
        <v/>
      </c>
      <c r="U1036" s="57">
        <f t="shared" si="215"/>
        <v>82</v>
      </c>
      <c r="V1036" s="53" t="str">
        <f t="shared" si="216"/>
        <v/>
      </c>
      <c r="W1036" s="53" t="str">
        <f t="shared" si="217"/>
        <v/>
      </c>
      <c r="X1036" s="53" t="str">
        <f t="shared" si="218"/>
        <v/>
      </c>
      <c r="Y1036" s="57" t="str">
        <f>IF($X1036="","",IFERROR(VLOOKUP($X1036,'Char Popularity'!$A$2:$C$500,2,FALSE),""))</f>
        <v/>
      </c>
      <c r="Z1036" s="56">
        <f>IF($X1036="",1,IFERROR(VLOOKUP($X1036,'Char Popularity'!$A$2:$C$500,3,FALSE),1))</f>
        <v>1</v>
      </c>
      <c r="AA1036" s="62">
        <f>IF($H1036&lt;&gt;"Y",0,(IF($F1036&lt;&gt;"",ROUND(Dashboard!$R$4/$F1036,1),IF(AND($I1036="Base",$E1036="Base"),Dashboard!$R$5,IF(AND($I1036="Base",$E1036="Red"),Dashboard!$R$6,IF(AND($I1036="Base",$E1036="Gold"),Dashboard!$R$7,VLOOKUP($I1036,Dashboard!$Q$16:$R$21,2,FALSE)))))*VLOOKUP($I1036,Dashboard!$Q$9:$R$13,2,FALSE)*IF(AND($I1036="Auto",$F1036="",OR($B1036="Autographs Duals",$B1036="Autographs Triples",$B1036="Autographs Quads",$B1036="Autographs Quads (Inscribed)")),IF($B1036="Autographs Duals",2,IF($B1036="Autographs Triples",3,4)),1)))</f>
        <v>12.2</v>
      </c>
      <c r="AB1036" s="62">
        <f t="shared" si="219"/>
        <v>12.2</v>
      </c>
      <c r="AC1036" s="62">
        <f t="shared" si="220"/>
        <v>0</v>
      </c>
    </row>
    <row r="1037" spans="1:29" ht="28.7" customHeight="1" x14ac:dyDescent="0.25">
      <c r="A1037" s="4" t="s">
        <v>19</v>
      </c>
      <c r="B1037" s="7" t="s">
        <v>79</v>
      </c>
      <c r="C1037" s="2" t="s">
        <v>1535</v>
      </c>
      <c r="D1037" s="7" t="s">
        <v>1101</v>
      </c>
      <c r="E1037" s="4" t="s">
        <v>779</v>
      </c>
      <c r="F1037" s="2">
        <v>82</v>
      </c>
      <c r="G1037" s="2" t="s">
        <v>1399</v>
      </c>
      <c r="H1037" s="2" t="s">
        <v>1400</v>
      </c>
      <c r="I1037" s="4" t="s">
        <v>60</v>
      </c>
      <c r="J1037" s="112">
        <f>IF($H1037&lt;&gt;"Y",0,ROUND(MIN(Dashboard!$R$24,IF(IFERROR(VLOOKUP($B1037,Dashboard!$Q$28:$S$60,2,FALSE),0)&gt;0,IFERROR(VLOOKUP($B1037,Dashboard!$Q$28:$S$60,2,FALSE),0),$Z1037*IF($U1037&lt;&gt;"",ROUND((Dashboard!$R$4/$U1037)*VLOOKUP($I1037,Dashboard!$Q$9:$R$13,2,FALSE)*IF(ISNUMBER(SEARCH("Duals",$B1037)),2,IF(ISNUMBER(SEARCH("Triples",$B1037)),3,IF(ISNUMBER(SEARCH("Quads",$B1037)),4,1))),2),ROUND(VLOOKUP($I1037,Dashboard!$Q$15:$R$20,2,FALSE)*IF($E1037="Red",Dashboard!$R$6,IF($E1037="Gold",Dashboard!$R$7,Dashboard!$R$5))*IF(ISNUMBER(SEARCH("Duals",$B1037)),2,IF(ISNUMBER(SEARCH("Triples",$B1037)),3,IF(ISNUMBER(SEARCH("Quads",$B1037)),4,1))),2))*IF(IFERROR(VLOOKUP($B1037,Dashboard!$Q$28:$S$60,3,FALSE),0)&gt;0,VLOOKUP($B1037,Dashboard!$Q$28:$S$60,3,FALSE),1))),0))</f>
        <v>12</v>
      </c>
      <c r="K1037" s="2" t="str">
        <f>IF('Base S2'!G37="","",'Base S2'!G37)</f>
        <v>C 17/82</v>
      </c>
      <c r="L1037" s="2">
        <f t="shared" si="208"/>
        <v>1</v>
      </c>
      <c r="M1037" s="2">
        <f t="shared" si="209"/>
        <v>0</v>
      </c>
      <c r="N1037" s="2">
        <f t="shared" si="210"/>
        <v>1</v>
      </c>
      <c r="O1037" s="2">
        <f t="shared" si="211"/>
        <v>0</v>
      </c>
      <c r="P1037" s="112">
        <f t="shared" si="212"/>
        <v>12</v>
      </c>
      <c r="Q1037" s="112">
        <f t="shared" si="213"/>
        <v>0</v>
      </c>
      <c r="R1037" s="53"/>
      <c r="S1037" s="53" t="str">
        <f t="shared" si="214"/>
        <v>Base S2|Floor 82 Parallel - Season 2|136|Floor 82</v>
      </c>
      <c r="T1037" s="57" t="str">
        <f>IF($S1037="","",IFERROR(VLOOKUP($S1037,'Pop Estimates (Non-#d)'!$N$2:$O$500,2,FALSE),""))</f>
        <v/>
      </c>
      <c r="U1037" s="57">
        <f t="shared" si="215"/>
        <v>82</v>
      </c>
      <c r="V1037" s="53" t="str">
        <f t="shared" si="216"/>
        <v/>
      </c>
      <c r="W1037" s="53" t="str">
        <f t="shared" si="217"/>
        <v/>
      </c>
      <c r="X1037" s="53" t="str">
        <f t="shared" si="218"/>
        <v/>
      </c>
      <c r="Y1037" s="57" t="str">
        <f>IF($X1037="","",IFERROR(VLOOKUP($X1037,'Char Popularity'!$A$2:$C$500,2,FALSE),""))</f>
        <v/>
      </c>
      <c r="Z1037" s="56">
        <f>IF($X1037="",1,IFERROR(VLOOKUP($X1037,'Char Popularity'!$A$2:$C$500,3,FALSE),1))</f>
        <v>1</v>
      </c>
      <c r="AA1037" s="62">
        <f>IF($H1037&lt;&gt;"Y",0,(IF($F1037&lt;&gt;"",ROUND(Dashboard!$R$4/$F1037,1),IF(AND($I1037="Base",$E1037="Base"),Dashboard!$R$5,IF(AND($I1037="Base",$E1037="Red"),Dashboard!$R$6,IF(AND($I1037="Base",$E1037="Gold"),Dashboard!$R$7,VLOOKUP($I1037,Dashboard!$Q$16:$R$21,2,FALSE)))))*VLOOKUP($I1037,Dashboard!$Q$9:$R$13,2,FALSE)*IF(AND($I1037="Auto",$F1037="",OR($B1037="Autographs Duals",$B1037="Autographs Triples",$B1037="Autographs Quads",$B1037="Autographs Quads (Inscribed)")),IF($B1037="Autographs Duals",2,IF($B1037="Autographs Triples",3,4)),1)))</f>
        <v>12.2</v>
      </c>
      <c r="AB1037" s="62">
        <f t="shared" si="219"/>
        <v>12.2</v>
      </c>
      <c r="AC1037" s="62">
        <f t="shared" si="220"/>
        <v>0</v>
      </c>
    </row>
    <row r="1038" spans="1:29" ht="28.7" customHeight="1" x14ac:dyDescent="0.25">
      <c r="A1038" s="4" t="s">
        <v>19</v>
      </c>
      <c r="B1038" s="7" t="s">
        <v>79</v>
      </c>
      <c r="C1038" s="2" t="s">
        <v>1536</v>
      </c>
      <c r="D1038" s="7" t="s">
        <v>1103</v>
      </c>
      <c r="E1038" s="4" t="s">
        <v>779</v>
      </c>
      <c r="F1038" s="2">
        <v>82</v>
      </c>
      <c r="G1038" s="2" t="s">
        <v>1399</v>
      </c>
      <c r="H1038" s="2" t="s">
        <v>1400</v>
      </c>
      <c r="I1038" s="4" t="s">
        <v>60</v>
      </c>
      <c r="J1038" s="112">
        <f>IF($H1038&lt;&gt;"Y",0,ROUND(MIN(Dashboard!$R$24,IF(IFERROR(VLOOKUP($B1038,Dashboard!$Q$28:$S$60,2,FALSE),0)&gt;0,IFERROR(VLOOKUP($B1038,Dashboard!$Q$28:$S$60,2,FALSE),0),$Z1038*IF($U1038&lt;&gt;"",ROUND((Dashboard!$R$4/$U1038)*VLOOKUP($I1038,Dashboard!$Q$9:$R$13,2,FALSE)*IF(ISNUMBER(SEARCH("Duals",$B1038)),2,IF(ISNUMBER(SEARCH("Triples",$B1038)),3,IF(ISNUMBER(SEARCH("Quads",$B1038)),4,1))),2),ROUND(VLOOKUP($I1038,Dashboard!$Q$15:$R$20,2,FALSE)*IF($E1038="Red",Dashboard!$R$6,IF($E1038="Gold",Dashboard!$R$7,Dashboard!$R$5))*IF(ISNUMBER(SEARCH("Duals",$B1038)),2,IF(ISNUMBER(SEARCH("Triples",$B1038)),3,IF(ISNUMBER(SEARCH("Quads",$B1038)),4,1))),2))*IF(IFERROR(VLOOKUP($B1038,Dashboard!$Q$28:$S$60,3,FALSE),0)&gt;0,VLOOKUP($B1038,Dashboard!$Q$28:$S$60,3,FALSE),1))),0))</f>
        <v>12</v>
      </c>
      <c r="K1038" s="2" t="str">
        <f>IF('Base S2'!G38="","",'Base S2'!G38)</f>
        <v>C 28/82</v>
      </c>
      <c r="L1038" s="2">
        <f t="shared" si="208"/>
        <v>1</v>
      </c>
      <c r="M1038" s="2">
        <f t="shared" si="209"/>
        <v>0</v>
      </c>
      <c r="N1038" s="2">
        <f t="shared" si="210"/>
        <v>1</v>
      </c>
      <c r="O1038" s="2">
        <f t="shared" si="211"/>
        <v>0</v>
      </c>
      <c r="P1038" s="112">
        <f t="shared" si="212"/>
        <v>12</v>
      </c>
      <c r="Q1038" s="112">
        <f t="shared" si="213"/>
        <v>0</v>
      </c>
      <c r="R1038" s="53"/>
      <c r="S1038" s="53" t="str">
        <f t="shared" si="214"/>
        <v>Base S2|Floor 82 Parallel - Season 2|137|Floor 82</v>
      </c>
      <c r="T1038" s="57" t="str">
        <f>IF($S1038="","",IFERROR(VLOOKUP($S1038,'Pop Estimates (Non-#d)'!$N$2:$O$500,2,FALSE),""))</f>
        <v/>
      </c>
      <c r="U1038" s="57">
        <f t="shared" si="215"/>
        <v>82</v>
      </c>
      <c r="V1038" s="53" t="str">
        <f t="shared" si="216"/>
        <v/>
      </c>
      <c r="W1038" s="53" t="str">
        <f t="shared" si="217"/>
        <v/>
      </c>
      <c r="X1038" s="53" t="str">
        <f t="shared" si="218"/>
        <v/>
      </c>
      <c r="Y1038" s="57" t="str">
        <f>IF($X1038="","",IFERROR(VLOOKUP($X1038,'Char Popularity'!$A$2:$C$500,2,FALSE),""))</f>
        <v/>
      </c>
      <c r="Z1038" s="56">
        <f>IF($X1038="",1,IFERROR(VLOOKUP($X1038,'Char Popularity'!$A$2:$C$500,3,FALSE),1))</f>
        <v>1</v>
      </c>
      <c r="AA1038" s="62">
        <f>IF($H1038&lt;&gt;"Y",0,(IF($F1038&lt;&gt;"",ROUND(Dashboard!$R$4/$F1038,1),IF(AND($I1038="Base",$E1038="Base"),Dashboard!$R$5,IF(AND($I1038="Base",$E1038="Red"),Dashboard!$R$6,IF(AND($I1038="Base",$E1038="Gold"),Dashboard!$R$7,VLOOKUP($I1038,Dashboard!$Q$16:$R$21,2,FALSE)))))*VLOOKUP($I1038,Dashboard!$Q$9:$R$13,2,FALSE)*IF(AND($I1038="Auto",$F1038="",OR($B1038="Autographs Duals",$B1038="Autographs Triples",$B1038="Autographs Quads",$B1038="Autographs Quads (Inscribed)")),IF($B1038="Autographs Duals",2,IF($B1038="Autographs Triples",3,4)),1)))</f>
        <v>12.2</v>
      </c>
      <c r="AB1038" s="62">
        <f t="shared" si="219"/>
        <v>12.2</v>
      </c>
      <c r="AC1038" s="62">
        <f t="shared" si="220"/>
        <v>0</v>
      </c>
    </row>
    <row r="1039" spans="1:29" ht="28.7" customHeight="1" x14ac:dyDescent="0.25">
      <c r="A1039" s="4" t="s">
        <v>19</v>
      </c>
      <c r="B1039" s="7" t="s">
        <v>79</v>
      </c>
      <c r="C1039" s="2" t="s">
        <v>1537</v>
      </c>
      <c r="D1039" s="7" t="s">
        <v>1104</v>
      </c>
      <c r="E1039" s="4" t="s">
        <v>779</v>
      </c>
      <c r="F1039" s="2">
        <v>82</v>
      </c>
      <c r="G1039" s="2" t="s">
        <v>1399</v>
      </c>
      <c r="H1039" s="2" t="s">
        <v>1400</v>
      </c>
      <c r="I1039" s="4" t="s">
        <v>60</v>
      </c>
      <c r="J1039" s="112">
        <f>IF($H1039&lt;&gt;"Y",0,ROUND(MIN(Dashboard!$R$24,IF(IFERROR(VLOOKUP($B1039,Dashboard!$Q$28:$S$60,2,FALSE),0)&gt;0,IFERROR(VLOOKUP($B1039,Dashboard!$Q$28:$S$60,2,FALSE),0),$Z1039*IF($U1039&lt;&gt;"",ROUND((Dashboard!$R$4/$U1039)*VLOOKUP($I1039,Dashboard!$Q$9:$R$13,2,FALSE)*IF(ISNUMBER(SEARCH("Duals",$B1039)),2,IF(ISNUMBER(SEARCH("Triples",$B1039)),3,IF(ISNUMBER(SEARCH("Quads",$B1039)),4,1))),2),ROUND(VLOOKUP($I1039,Dashboard!$Q$15:$R$20,2,FALSE)*IF($E1039="Red",Dashboard!$R$6,IF($E1039="Gold",Dashboard!$R$7,Dashboard!$R$5))*IF(ISNUMBER(SEARCH("Duals",$B1039)),2,IF(ISNUMBER(SEARCH("Triples",$B1039)),3,IF(ISNUMBER(SEARCH("Quads",$B1039)),4,1))),2))*IF(IFERROR(VLOOKUP($B1039,Dashboard!$Q$28:$S$60,3,FALSE),0)&gt;0,VLOOKUP($B1039,Dashboard!$Q$28:$S$60,3,FALSE),1))),0))</f>
        <v>12</v>
      </c>
      <c r="K1039" s="2" t="str">
        <f>IF('Base S2'!G39="","",'Base S2'!G39)</f>
        <v>C 23/82</v>
      </c>
      <c r="L1039" s="2">
        <f t="shared" si="208"/>
        <v>1</v>
      </c>
      <c r="M1039" s="2">
        <f t="shared" si="209"/>
        <v>0</v>
      </c>
      <c r="N1039" s="2">
        <f t="shared" si="210"/>
        <v>1</v>
      </c>
      <c r="O1039" s="2">
        <f t="shared" si="211"/>
        <v>0</v>
      </c>
      <c r="P1039" s="112">
        <f t="shared" si="212"/>
        <v>12</v>
      </c>
      <c r="Q1039" s="112">
        <f t="shared" si="213"/>
        <v>0</v>
      </c>
      <c r="R1039" s="53"/>
      <c r="S1039" s="53" t="str">
        <f t="shared" si="214"/>
        <v>Base S2|Floor 82 Parallel - Season 2|138|Floor 82</v>
      </c>
      <c r="T1039" s="57" t="str">
        <f>IF($S1039="","",IFERROR(VLOOKUP($S1039,'Pop Estimates (Non-#d)'!$N$2:$O$500,2,FALSE),""))</f>
        <v/>
      </c>
      <c r="U1039" s="57">
        <f t="shared" si="215"/>
        <v>82</v>
      </c>
      <c r="V1039" s="53" t="str">
        <f t="shared" si="216"/>
        <v/>
      </c>
      <c r="W1039" s="53" t="str">
        <f t="shared" si="217"/>
        <v/>
      </c>
      <c r="X1039" s="53" t="str">
        <f t="shared" si="218"/>
        <v/>
      </c>
      <c r="Y1039" s="57" t="str">
        <f>IF($X1039="","",IFERROR(VLOOKUP($X1039,'Char Popularity'!$A$2:$C$500,2,FALSE),""))</f>
        <v/>
      </c>
      <c r="Z1039" s="56">
        <f>IF($X1039="",1,IFERROR(VLOOKUP($X1039,'Char Popularity'!$A$2:$C$500,3,FALSE),1))</f>
        <v>1</v>
      </c>
      <c r="AA1039" s="62">
        <f>IF($H1039&lt;&gt;"Y",0,(IF($F1039&lt;&gt;"",ROUND(Dashboard!$R$4/$F1039,1),IF(AND($I1039="Base",$E1039="Base"),Dashboard!$R$5,IF(AND($I1039="Base",$E1039="Red"),Dashboard!$R$6,IF(AND($I1039="Base",$E1039="Gold"),Dashboard!$R$7,VLOOKUP($I1039,Dashboard!$Q$16:$R$21,2,FALSE)))))*VLOOKUP($I1039,Dashboard!$Q$9:$R$13,2,FALSE)*IF(AND($I1039="Auto",$F1039="",OR($B1039="Autographs Duals",$B1039="Autographs Triples",$B1039="Autographs Quads",$B1039="Autographs Quads (Inscribed)")),IF($B1039="Autographs Duals",2,IF($B1039="Autographs Triples",3,4)),1)))</f>
        <v>12.2</v>
      </c>
      <c r="AB1039" s="62">
        <f t="shared" si="219"/>
        <v>12.2</v>
      </c>
      <c r="AC1039" s="62">
        <f t="shared" si="220"/>
        <v>0</v>
      </c>
    </row>
    <row r="1040" spans="1:29" ht="28.7" customHeight="1" x14ac:dyDescent="0.25">
      <c r="A1040" s="4" t="s">
        <v>19</v>
      </c>
      <c r="B1040" s="7" t="s">
        <v>79</v>
      </c>
      <c r="C1040" s="2" t="s">
        <v>1538</v>
      </c>
      <c r="D1040" s="7" t="s">
        <v>1106</v>
      </c>
      <c r="E1040" s="4" t="s">
        <v>779</v>
      </c>
      <c r="F1040" s="2">
        <v>82</v>
      </c>
      <c r="G1040" s="2" t="s">
        <v>1399</v>
      </c>
      <c r="H1040" s="2" t="s">
        <v>1400</v>
      </c>
      <c r="I1040" s="4" t="s">
        <v>60</v>
      </c>
      <c r="J1040" s="112">
        <f>IF($H1040&lt;&gt;"Y",0,ROUND(MIN(Dashboard!$R$24,IF(IFERROR(VLOOKUP($B1040,Dashboard!$Q$28:$S$60,2,FALSE),0)&gt;0,IFERROR(VLOOKUP($B1040,Dashboard!$Q$28:$S$60,2,FALSE),0),$Z1040*IF($U1040&lt;&gt;"",ROUND((Dashboard!$R$4/$U1040)*VLOOKUP($I1040,Dashboard!$Q$9:$R$13,2,FALSE)*IF(ISNUMBER(SEARCH("Duals",$B1040)),2,IF(ISNUMBER(SEARCH("Triples",$B1040)),3,IF(ISNUMBER(SEARCH("Quads",$B1040)),4,1))),2),ROUND(VLOOKUP($I1040,Dashboard!$Q$15:$R$20,2,FALSE)*IF($E1040="Red",Dashboard!$R$6,IF($E1040="Gold",Dashboard!$R$7,Dashboard!$R$5))*IF(ISNUMBER(SEARCH("Duals",$B1040)),2,IF(ISNUMBER(SEARCH("Triples",$B1040)),3,IF(ISNUMBER(SEARCH("Quads",$B1040)),4,1))),2))*IF(IFERROR(VLOOKUP($B1040,Dashboard!$Q$28:$S$60,3,FALSE),0)&gt;0,VLOOKUP($B1040,Dashboard!$Q$28:$S$60,3,FALSE),1))),0))</f>
        <v>12</v>
      </c>
      <c r="K1040" s="2" t="str">
        <f>IF('Base S2'!G40="","",'Base S2'!G40)</f>
        <v>C</v>
      </c>
      <c r="L1040" s="2">
        <f t="shared" si="208"/>
        <v>1</v>
      </c>
      <c r="M1040" s="2">
        <f t="shared" si="209"/>
        <v>0</v>
      </c>
      <c r="N1040" s="2">
        <f t="shared" si="210"/>
        <v>1</v>
      </c>
      <c r="O1040" s="2">
        <f t="shared" si="211"/>
        <v>0</v>
      </c>
      <c r="P1040" s="112">
        <f t="shared" si="212"/>
        <v>12</v>
      </c>
      <c r="Q1040" s="112">
        <f t="shared" si="213"/>
        <v>0</v>
      </c>
      <c r="R1040" s="53"/>
      <c r="S1040" s="53" t="str">
        <f t="shared" si="214"/>
        <v>Base S2|Floor 82 Parallel - Season 2|139|Floor 82</v>
      </c>
      <c r="T1040" s="57" t="str">
        <f>IF($S1040="","",IFERROR(VLOOKUP($S1040,'Pop Estimates (Non-#d)'!$N$2:$O$500,2,FALSE),""))</f>
        <v/>
      </c>
      <c r="U1040" s="57">
        <f t="shared" si="215"/>
        <v>82</v>
      </c>
      <c r="V1040" s="53" t="str">
        <f t="shared" si="216"/>
        <v/>
      </c>
      <c r="W1040" s="53" t="str">
        <f t="shared" si="217"/>
        <v/>
      </c>
      <c r="X1040" s="53" t="str">
        <f t="shared" si="218"/>
        <v/>
      </c>
      <c r="Y1040" s="57" t="str">
        <f>IF($X1040="","",IFERROR(VLOOKUP($X1040,'Char Popularity'!$A$2:$C$500,2,FALSE),""))</f>
        <v/>
      </c>
      <c r="Z1040" s="56">
        <f>IF($X1040="",1,IFERROR(VLOOKUP($X1040,'Char Popularity'!$A$2:$C$500,3,FALSE),1))</f>
        <v>1</v>
      </c>
      <c r="AA1040" s="62">
        <f>IF($H1040&lt;&gt;"Y",0,(IF($F1040&lt;&gt;"",ROUND(Dashboard!$R$4/$F1040,1),IF(AND($I1040="Base",$E1040="Base"),Dashboard!$R$5,IF(AND($I1040="Base",$E1040="Red"),Dashboard!$R$6,IF(AND($I1040="Base",$E1040="Gold"),Dashboard!$R$7,VLOOKUP($I1040,Dashboard!$Q$16:$R$21,2,FALSE)))))*VLOOKUP($I1040,Dashboard!$Q$9:$R$13,2,FALSE)*IF(AND($I1040="Auto",$F1040="",OR($B1040="Autographs Duals",$B1040="Autographs Triples",$B1040="Autographs Quads",$B1040="Autographs Quads (Inscribed)")),IF($B1040="Autographs Duals",2,IF($B1040="Autographs Triples",3,4)),1)))</f>
        <v>12.2</v>
      </c>
      <c r="AB1040" s="62">
        <f t="shared" si="219"/>
        <v>12.2</v>
      </c>
      <c r="AC1040" s="62">
        <f t="shared" si="220"/>
        <v>0</v>
      </c>
    </row>
    <row r="1041" spans="1:29" ht="28.7" customHeight="1" x14ac:dyDescent="0.25">
      <c r="A1041" s="4" t="s">
        <v>19</v>
      </c>
      <c r="B1041" s="7" t="s">
        <v>79</v>
      </c>
      <c r="C1041" s="2" t="s">
        <v>1539</v>
      </c>
      <c r="D1041" s="7" t="s">
        <v>1108</v>
      </c>
      <c r="E1041" s="4" t="s">
        <v>779</v>
      </c>
      <c r="F1041" s="2">
        <v>82</v>
      </c>
      <c r="G1041" s="2" t="s">
        <v>1399</v>
      </c>
      <c r="H1041" s="2" t="s">
        <v>1400</v>
      </c>
      <c r="I1041" s="4" t="s">
        <v>60</v>
      </c>
      <c r="J1041" s="112">
        <f>IF($H1041&lt;&gt;"Y",0,ROUND(MIN(Dashboard!$R$24,IF(IFERROR(VLOOKUP($B1041,Dashboard!$Q$28:$S$60,2,FALSE),0)&gt;0,IFERROR(VLOOKUP($B1041,Dashboard!$Q$28:$S$60,2,FALSE),0),$Z1041*IF($U1041&lt;&gt;"",ROUND((Dashboard!$R$4/$U1041)*VLOOKUP($I1041,Dashboard!$Q$9:$R$13,2,FALSE)*IF(ISNUMBER(SEARCH("Duals",$B1041)),2,IF(ISNUMBER(SEARCH("Triples",$B1041)),3,IF(ISNUMBER(SEARCH("Quads",$B1041)),4,1))),2),ROUND(VLOOKUP($I1041,Dashboard!$Q$15:$R$20,2,FALSE)*IF($E1041="Red",Dashboard!$R$6,IF($E1041="Gold",Dashboard!$R$7,Dashboard!$R$5))*IF(ISNUMBER(SEARCH("Duals",$B1041)),2,IF(ISNUMBER(SEARCH("Triples",$B1041)),3,IF(ISNUMBER(SEARCH("Quads",$B1041)),4,1))),2))*IF(IFERROR(VLOOKUP($B1041,Dashboard!$Q$28:$S$60,3,FALSE),0)&gt;0,VLOOKUP($B1041,Dashboard!$Q$28:$S$60,3,FALSE),1))),0))</f>
        <v>12</v>
      </c>
      <c r="K1041" s="2" t="str">
        <f>IF('Base S2'!G41="","",'Base S2'!G41)</f>
        <v>V 78/82</v>
      </c>
      <c r="L1041" s="2">
        <f t="shared" si="208"/>
        <v>1</v>
      </c>
      <c r="M1041" s="2">
        <f t="shared" si="209"/>
        <v>0</v>
      </c>
      <c r="N1041" s="2">
        <f t="shared" si="210"/>
        <v>1</v>
      </c>
      <c r="O1041" s="2">
        <f t="shared" si="211"/>
        <v>0</v>
      </c>
      <c r="P1041" s="112">
        <f t="shared" si="212"/>
        <v>12</v>
      </c>
      <c r="Q1041" s="112">
        <f t="shared" si="213"/>
        <v>0</v>
      </c>
      <c r="R1041" s="53"/>
      <c r="S1041" s="53" t="str">
        <f t="shared" si="214"/>
        <v>Base S2|Floor 82 Parallel - Season 2|140|Floor 82</v>
      </c>
      <c r="T1041" s="57" t="str">
        <f>IF($S1041="","",IFERROR(VLOOKUP($S1041,'Pop Estimates (Non-#d)'!$N$2:$O$500,2,FALSE),""))</f>
        <v/>
      </c>
      <c r="U1041" s="57">
        <f t="shared" si="215"/>
        <v>82</v>
      </c>
      <c r="V1041" s="53" t="str">
        <f t="shared" si="216"/>
        <v/>
      </c>
      <c r="W1041" s="53" t="str">
        <f t="shared" si="217"/>
        <v/>
      </c>
      <c r="X1041" s="53" t="str">
        <f t="shared" si="218"/>
        <v/>
      </c>
      <c r="Y1041" s="57" t="str">
        <f>IF($X1041="","",IFERROR(VLOOKUP($X1041,'Char Popularity'!$A$2:$C$500,2,FALSE),""))</f>
        <v/>
      </c>
      <c r="Z1041" s="56">
        <f>IF($X1041="",1,IFERROR(VLOOKUP($X1041,'Char Popularity'!$A$2:$C$500,3,FALSE),1))</f>
        <v>1</v>
      </c>
      <c r="AA1041" s="62">
        <f>IF($H1041&lt;&gt;"Y",0,(IF($F1041&lt;&gt;"",ROUND(Dashboard!$R$4/$F1041,1),IF(AND($I1041="Base",$E1041="Base"),Dashboard!$R$5,IF(AND($I1041="Base",$E1041="Red"),Dashboard!$R$6,IF(AND($I1041="Base",$E1041="Gold"),Dashboard!$R$7,VLOOKUP($I1041,Dashboard!$Q$16:$R$21,2,FALSE)))))*VLOOKUP($I1041,Dashboard!$Q$9:$R$13,2,FALSE)*IF(AND($I1041="Auto",$F1041="",OR($B1041="Autographs Duals",$B1041="Autographs Triples",$B1041="Autographs Quads",$B1041="Autographs Quads (Inscribed)")),IF($B1041="Autographs Duals",2,IF($B1041="Autographs Triples",3,4)),1)))</f>
        <v>12.2</v>
      </c>
      <c r="AB1041" s="62">
        <f t="shared" si="219"/>
        <v>12.2</v>
      </c>
      <c r="AC1041" s="62">
        <f t="shared" si="220"/>
        <v>0</v>
      </c>
    </row>
    <row r="1042" spans="1:29" ht="28.7" customHeight="1" x14ac:dyDescent="0.25">
      <c r="A1042" s="4" t="s">
        <v>19</v>
      </c>
      <c r="B1042" s="7" t="s">
        <v>79</v>
      </c>
      <c r="C1042" s="2" t="s">
        <v>1540</v>
      </c>
      <c r="D1042" s="7" t="s">
        <v>1109</v>
      </c>
      <c r="E1042" s="4" t="s">
        <v>779</v>
      </c>
      <c r="F1042" s="2">
        <v>82</v>
      </c>
      <c r="G1042" s="2" t="s">
        <v>1399</v>
      </c>
      <c r="H1042" s="2" t="s">
        <v>1400</v>
      </c>
      <c r="I1042" s="4" t="s">
        <v>60</v>
      </c>
      <c r="J1042" s="112">
        <f>IF($H1042&lt;&gt;"Y",0,ROUND(MIN(Dashboard!$R$24,IF(IFERROR(VLOOKUP($B1042,Dashboard!$Q$28:$S$60,2,FALSE),0)&gt;0,IFERROR(VLOOKUP($B1042,Dashboard!$Q$28:$S$60,2,FALSE),0),$Z1042*IF($U1042&lt;&gt;"",ROUND((Dashboard!$R$4/$U1042)*VLOOKUP($I1042,Dashboard!$Q$9:$R$13,2,FALSE)*IF(ISNUMBER(SEARCH("Duals",$B1042)),2,IF(ISNUMBER(SEARCH("Triples",$B1042)),3,IF(ISNUMBER(SEARCH("Quads",$B1042)),4,1))),2),ROUND(VLOOKUP($I1042,Dashboard!$Q$15:$R$20,2,FALSE)*IF($E1042="Red",Dashboard!$R$6,IF($E1042="Gold",Dashboard!$R$7,Dashboard!$R$5))*IF(ISNUMBER(SEARCH("Duals",$B1042)),2,IF(ISNUMBER(SEARCH("Triples",$B1042)),3,IF(ISNUMBER(SEARCH("Quads",$B1042)),4,1))),2))*IF(IFERROR(VLOOKUP($B1042,Dashboard!$Q$28:$S$60,3,FALSE),0)&gt;0,VLOOKUP($B1042,Dashboard!$Q$28:$S$60,3,FALSE),1))),0))</f>
        <v>12</v>
      </c>
      <c r="K1042" s="2" t="str">
        <f>IF('Base S2'!G42="","",'Base S2'!G42)</f>
        <v>V 55/82</v>
      </c>
      <c r="L1042" s="2">
        <f t="shared" si="208"/>
        <v>1</v>
      </c>
      <c r="M1042" s="2">
        <f t="shared" si="209"/>
        <v>0</v>
      </c>
      <c r="N1042" s="2">
        <f t="shared" si="210"/>
        <v>1</v>
      </c>
      <c r="O1042" s="2">
        <f t="shared" si="211"/>
        <v>0</v>
      </c>
      <c r="P1042" s="112">
        <f t="shared" si="212"/>
        <v>12</v>
      </c>
      <c r="Q1042" s="112">
        <f t="shared" si="213"/>
        <v>0</v>
      </c>
      <c r="R1042" s="53"/>
      <c r="S1042" s="53" t="str">
        <f t="shared" si="214"/>
        <v>Base S2|Floor 82 Parallel - Season 2|141|Floor 82</v>
      </c>
      <c r="T1042" s="57" t="str">
        <f>IF($S1042="","",IFERROR(VLOOKUP($S1042,'Pop Estimates (Non-#d)'!$N$2:$O$500,2,FALSE),""))</f>
        <v/>
      </c>
      <c r="U1042" s="57">
        <f t="shared" si="215"/>
        <v>82</v>
      </c>
      <c r="V1042" s="53" t="str">
        <f t="shared" si="216"/>
        <v/>
      </c>
      <c r="W1042" s="53" t="str">
        <f t="shared" si="217"/>
        <v/>
      </c>
      <c r="X1042" s="53" t="str">
        <f t="shared" si="218"/>
        <v/>
      </c>
      <c r="Y1042" s="57" t="str">
        <f>IF($X1042="","",IFERROR(VLOOKUP($X1042,'Char Popularity'!$A$2:$C$500,2,FALSE),""))</f>
        <v/>
      </c>
      <c r="Z1042" s="56">
        <f>IF($X1042="",1,IFERROR(VLOOKUP($X1042,'Char Popularity'!$A$2:$C$500,3,FALSE),1))</f>
        <v>1</v>
      </c>
      <c r="AA1042" s="62">
        <f>IF($H1042&lt;&gt;"Y",0,(IF($F1042&lt;&gt;"",ROUND(Dashboard!$R$4/$F1042,1),IF(AND($I1042="Base",$E1042="Base"),Dashboard!$R$5,IF(AND($I1042="Base",$E1042="Red"),Dashboard!$R$6,IF(AND($I1042="Base",$E1042="Gold"),Dashboard!$R$7,VLOOKUP($I1042,Dashboard!$Q$16:$R$21,2,FALSE)))))*VLOOKUP($I1042,Dashboard!$Q$9:$R$13,2,FALSE)*IF(AND($I1042="Auto",$F1042="",OR($B1042="Autographs Duals",$B1042="Autographs Triples",$B1042="Autographs Quads",$B1042="Autographs Quads (Inscribed)")),IF($B1042="Autographs Duals",2,IF($B1042="Autographs Triples",3,4)),1)))</f>
        <v>12.2</v>
      </c>
      <c r="AB1042" s="62">
        <f t="shared" si="219"/>
        <v>12.2</v>
      </c>
      <c r="AC1042" s="62">
        <f t="shared" si="220"/>
        <v>0</v>
      </c>
    </row>
    <row r="1043" spans="1:29" ht="28.7" customHeight="1" x14ac:dyDescent="0.25">
      <c r="A1043" s="4" t="s">
        <v>19</v>
      </c>
      <c r="B1043" s="7" t="s">
        <v>79</v>
      </c>
      <c r="C1043" s="2" t="s">
        <v>1541</v>
      </c>
      <c r="D1043" s="7" t="s">
        <v>1110</v>
      </c>
      <c r="E1043" s="4" t="s">
        <v>779</v>
      </c>
      <c r="F1043" s="2">
        <v>82</v>
      </c>
      <c r="G1043" s="2" t="s">
        <v>1399</v>
      </c>
      <c r="H1043" s="2" t="s">
        <v>1400</v>
      </c>
      <c r="I1043" s="4" t="s">
        <v>60</v>
      </c>
      <c r="J1043" s="112">
        <f>IF($H1043&lt;&gt;"Y",0,ROUND(MIN(Dashboard!$R$24,IF(IFERROR(VLOOKUP($B1043,Dashboard!$Q$28:$S$60,2,FALSE),0)&gt;0,IFERROR(VLOOKUP($B1043,Dashboard!$Q$28:$S$60,2,FALSE),0),$Z1043*IF($U1043&lt;&gt;"",ROUND((Dashboard!$R$4/$U1043)*VLOOKUP($I1043,Dashboard!$Q$9:$R$13,2,FALSE)*IF(ISNUMBER(SEARCH("Duals",$B1043)),2,IF(ISNUMBER(SEARCH("Triples",$B1043)),3,IF(ISNUMBER(SEARCH("Quads",$B1043)),4,1))),2),ROUND(VLOOKUP($I1043,Dashboard!$Q$15:$R$20,2,FALSE)*IF($E1043="Red",Dashboard!$R$6,IF($E1043="Gold",Dashboard!$R$7,Dashboard!$R$5))*IF(ISNUMBER(SEARCH("Duals",$B1043)),2,IF(ISNUMBER(SEARCH("Triples",$B1043)),3,IF(ISNUMBER(SEARCH("Quads",$B1043)),4,1))),2))*IF(IFERROR(VLOOKUP($B1043,Dashboard!$Q$28:$S$60,3,FALSE),0)&gt;0,VLOOKUP($B1043,Dashboard!$Q$28:$S$60,3,FALSE),1))),0))</f>
        <v>12</v>
      </c>
      <c r="K1043" s="2" t="str">
        <f>IF('Base S2'!G43="","",'Base S2'!G43)</f>
        <v>V 41/82</v>
      </c>
      <c r="L1043" s="2">
        <f t="shared" si="208"/>
        <v>1</v>
      </c>
      <c r="M1043" s="2">
        <f t="shared" si="209"/>
        <v>0</v>
      </c>
      <c r="N1043" s="2">
        <f t="shared" si="210"/>
        <v>1</v>
      </c>
      <c r="O1043" s="2">
        <f t="shared" si="211"/>
        <v>0</v>
      </c>
      <c r="P1043" s="112">
        <f t="shared" si="212"/>
        <v>12</v>
      </c>
      <c r="Q1043" s="112">
        <f t="shared" si="213"/>
        <v>0</v>
      </c>
      <c r="R1043" s="53"/>
      <c r="S1043" s="53" t="str">
        <f t="shared" si="214"/>
        <v>Base S2|Floor 82 Parallel - Season 2|142|Floor 82</v>
      </c>
      <c r="T1043" s="57" t="str">
        <f>IF($S1043="","",IFERROR(VLOOKUP($S1043,'Pop Estimates (Non-#d)'!$N$2:$O$500,2,FALSE),""))</f>
        <v/>
      </c>
      <c r="U1043" s="57">
        <f t="shared" si="215"/>
        <v>82</v>
      </c>
      <c r="V1043" s="53" t="str">
        <f t="shared" si="216"/>
        <v/>
      </c>
      <c r="W1043" s="53" t="str">
        <f t="shared" si="217"/>
        <v/>
      </c>
      <c r="X1043" s="53" t="str">
        <f t="shared" si="218"/>
        <v/>
      </c>
      <c r="Y1043" s="57" t="str">
        <f>IF($X1043="","",IFERROR(VLOOKUP($X1043,'Char Popularity'!$A$2:$C$500,2,FALSE),""))</f>
        <v/>
      </c>
      <c r="Z1043" s="56">
        <f>IF($X1043="",1,IFERROR(VLOOKUP($X1043,'Char Popularity'!$A$2:$C$500,3,FALSE),1))</f>
        <v>1</v>
      </c>
      <c r="AA1043" s="62">
        <f>IF($H1043&lt;&gt;"Y",0,(IF($F1043&lt;&gt;"",ROUND(Dashboard!$R$4/$F1043,1),IF(AND($I1043="Base",$E1043="Base"),Dashboard!$R$5,IF(AND($I1043="Base",$E1043="Red"),Dashboard!$R$6,IF(AND($I1043="Base",$E1043="Gold"),Dashboard!$R$7,VLOOKUP($I1043,Dashboard!$Q$16:$R$21,2,FALSE)))))*VLOOKUP($I1043,Dashboard!$Q$9:$R$13,2,FALSE)*IF(AND($I1043="Auto",$F1043="",OR($B1043="Autographs Duals",$B1043="Autographs Triples",$B1043="Autographs Quads",$B1043="Autographs Quads (Inscribed)")),IF($B1043="Autographs Duals",2,IF($B1043="Autographs Triples",3,4)),1)))</f>
        <v>12.2</v>
      </c>
      <c r="AB1043" s="62">
        <f t="shared" si="219"/>
        <v>12.2</v>
      </c>
      <c r="AC1043" s="62">
        <f t="shared" si="220"/>
        <v>0</v>
      </c>
    </row>
    <row r="1044" spans="1:29" ht="28.7" customHeight="1" x14ac:dyDescent="0.25">
      <c r="A1044" s="4" t="s">
        <v>19</v>
      </c>
      <c r="B1044" s="7" t="s">
        <v>79</v>
      </c>
      <c r="C1044" s="2" t="s">
        <v>1542</v>
      </c>
      <c r="D1044" s="7" t="s">
        <v>1111</v>
      </c>
      <c r="E1044" s="4" t="s">
        <v>779</v>
      </c>
      <c r="F1044" s="2">
        <v>82</v>
      </c>
      <c r="G1044" s="2" t="s">
        <v>1399</v>
      </c>
      <c r="H1044" s="2" t="s">
        <v>1400</v>
      </c>
      <c r="I1044" s="4" t="s">
        <v>60</v>
      </c>
      <c r="J1044" s="112">
        <f>IF($H1044&lt;&gt;"Y",0,ROUND(MIN(Dashboard!$R$24,IF(IFERROR(VLOOKUP($B1044,Dashboard!$Q$28:$S$60,2,FALSE),0)&gt;0,IFERROR(VLOOKUP($B1044,Dashboard!$Q$28:$S$60,2,FALSE),0),$Z1044*IF($U1044&lt;&gt;"",ROUND((Dashboard!$R$4/$U1044)*VLOOKUP($I1044,Dashboard!$Q$9:$R$13,2,FALSE)*IF(ISNUMBER(SEARCH("Duals",$B1044)),2,IF(ISNUMBER(SEARCH("Triples",$B1044)),3,IF(ISNUMBER(SEARCH("Quads",$B1044)),4,1))),2),ROUND(VLOOKUP($I1044,Dashboard!$Q$15:$R$20,2,FALSE)*IF($E1044="Red",Dashboard!$R$6,IF($E1044="Gold",Dashboard!$R$7,Dashboard!$R$5))*IF(ISNUMBER(SEARCH("Duals",$B1044)),2,IF(ISNUMBER(SEARCH("Triples",$B1044)),3,IF(ISNUMBER(SEARCH("Quads",$B1044)),4,1))),2))*IF(IFERROR(VLOOKUP($B1044,Dashboard!$Q$28:$S$60,3,FALSE),0)&gt;0,VLOOKUP($B1044,Dashboard!$Q$28:$S$60,3,FALSE),1))),0))</f>
        <v>12</v>
      </c>
      <c r="K1044" s="2" t="str">
        <f>IF('Base S2'!G44="","",'Base S2'!G44)</f>
        <v>C 70/82</v>
      </c>
      <c r="L1044" s="2">
        <f t="shared" si="208"/>
        <v>1</v>
      </c>
      <c r="M1044" s="2">
        <f t="shared" si="209"/>
        <v>0</v>
      </c>
      <c r="N1044" s="2">
        <f t="shared" si="210"/>
        <v>1</v>
      </c>
      <c r="O1044" s="2">
        <f t="shared" si="211"/>
        <v>0</v>
      </c>
      <c r="P1044" s="112">
        <f t="shared" si="212"/>
        <v>12</v>
      </c>
      <c r="Q1044" s="112">
        <f t="shared" si="213"/>
        <v>0</v>
      </c>
      <c r="R1044" s="53"/>
      <c r="S1044" s="53" t="str">
        <f t="shared" si="214"/>
        <v>Base S2|Floor 82 Parallel - Season 2|143|Floor 82</v>
      </c>
      <c r="T1044" s="57" t="str">
        <f>IF($S1044="","",IFERROR(VLOOKUP($S1044,'Pop Estimates (Non-#d)'!$N$2:$O$500,2,FALSE),""))</f>
        <v/>
      </c>
      <c r="U1044" s="57">
        <f t="shared" si="215"/>
        <v>82</v>
      </c>
      <c r="V1044" s="53" t="str">
        <f t="shared" si="216"/>
        <v/>
      </c>
      <c r="W1044" s="53" t="str">
        <f t="shared" si="217"/>
        <v/>
      </c>
      <c r="X1044" s="53" t="str">
        <f t="shared" si="218"/>
        <v/>
      </c>
      <c r="Y1044" s="57" t="str">
        <f>IF($X1044="","",IFERROR(VLOOKUP($X1044,'Char Popularity'!$A$2:$C$500,2,FALSE),""))</f>
        <v/>
      </c>
      <c r="Z1044" s="56">
        <f>IF($X1044="",1,IFERROR(VLOOKUP($X1044,'Char Popularity'!$A$2:$C$500,3,FALSE),1))</f>
        <v>1</v>
      </c>
      <c r="AA1044" s="62">
        <f>IF($H1044&lt;&gt;"Y",0,(IF($F1044&lt;&gt;"",ROUND(Dashboard!$R$4/$F1044,1),IF(AND($I1044="Base",$E1044="Base"),Dashboard!$R$5,IF(AND($I1044="Base",$E1044="Red"),Dashboard!$R$6,IF(AND($I1044="Base",$E1044="Gold"),Dashboard!$R$7,VLOOKUP($I1044,Dashboard!$Q$16:$R$21,2,FALSE)))))*VLOOKUP($I1044,Dashboard!$Q$9:$R$13,2,FALSE)*IF(AND($I1044="Auto",$F1044="",OR($B1044="Autographs Duals",$B1044="Autographs Triples",$B1044="Autographs Quads",$B1044="Autographs Quads (Inscribed)")),IF($B1044="Autographs Duals",2,IF($B1044="Autographs Triples",3,4)),1)))</f>
        <v>12.2</v>
      </c>
      <c r="AB1044" s="62">
        <f t="shared" si="219"/>
        <v>12.2</v>
      </c>
      <c r="AC1044" s="62">
        <f t="shared" si="220"/>
        <v>0</v>
      </c>
    </row>
    <row r="1045" spans="1:29" ht="28.7" customHeight="1" x14ac:dyDescent="0.25">
      <c r="A1045" s="4" t="s">
        <v>19</v>
      </c>
      <c r="B1045" s="7" t="s">
        <v>79</v>
      </c>
      <c r="C1045" s="2" t="s">
        <v>1543</v>
      </c>
      <c r="D1045" s="7" t="s">
        <v>1113</v>
      </c>
      <c r="E1045" s="4" t="s">
        <v>779</v>
      </c>
      <c r="F1045" s="2">
        <v>82</v>
      </c>
      <c r="G1045" s="2" t="s">
        <v>1399</v>
      </c>
      <c r="H1045" s="2" t="s">
        <v>1400</v>
      </c>
      <c r="I1045" s="4" t="s">
        <v>60</v>
      </c>
      <c r="J1045" s="112">
        <f>IF($H1045&lt;&gt;"Y",0,ROUND(MIN(Dashboard!$R$24,IF(IFERROR(VLOOKUP($B1045,Dashboard!$Q$28:$S$60,2,FALSE),0)&gt;0,IFERROR(VLOOKUP($B1045,Dashboard!$Q$28:$S$60,2,FALSE),0),$Z1045*IF($U1045&lt;&gt;"",ROUND((Dashboard!$R$4/$U1045)*VLOOKUP($I1045,Dashboard!$Q$9:$R$13,2,FALSE)*IF(ISNUMBER(SEARCH("Duals",$B1045)),2,IF(ISNUMBER(SEARCH("Triples",$B1045)),3,IF(ISNUMBER(SEARCH("Quads",$B1045)),4,1))),2),ROUND(VLOOKUP($I1045,Dashboard!$Q$15:$R$20,2,FALSE)*IF($E1045="Red",Dashboard!$R$6,IF($E1045="Gold",Dashboard!$R$7,Dashboard!$R$5))*IF(ISNUMBER(SEARCH("Duals",$B1045)),2,IF(ISNUMBER(SEARCH("Triples",$B1045)),3,IF(ISNUMBER(SEARCH("Quads",$B1045)),4,1))),2))*IF(IFERROR(VLOOKUP($B1045,Dashboard!$Q$28:$S$60,3,FALSE),0)&gt;0,VLOOKUP($B1045,Dashboard!$Q$28:$S$60,3,FALSE),1))),0))</f>
        <v>12</v>
      </c>
      <c r="K1045" s="2" t="str">
        <f>IF('Base S2'!G45="","",'Base S2'!G45)</f>
        <v>V 22/82</v>
      </c>
      <c r="L1045" s="2">
        <f t="shared" si="208"/>
        <v>1</v>
      </c>
      <c r="M1045" s="2">
        <f t="shared" si="209"/>
        <v>0</v>
      </c>
      <c r="N1045" s="2">
        <f t="shared" si="210"/>
        <v>1</v>
      </c>
      <c r="O1045" s="2">
        <f t="shared" si="211"/>
        <v>0</v>
      </c>
      <c r="P1045" s="112">
        <f t="shared" si="212"/>
        <v>12</v>
      </c>
      <c r="Q1045" s="112">
        <f t="shared" si="213"/>
        <v>0</v>
      </c>
      <c r="R1045" s="53"/>
      <c r="S1045" s="53" t="str">
        <f t="shared" si="214"/>
        <v>Base S2|Floor 82 Parallel - Season 2|144|Floor 82</v>
      </c>
      <c r="T1045" s="57" t="str">
        <f>IF($S1045="","",IFERROR(VLOOKUP($S1045,'Pop Estimates (Non-#d)'!$N$2:$O$500,2,FALSE),""))</f>
        <v/>
      </c>
      <c r="U1045" s="57">
        <f t="shared" si="215"/>
        <v>82</v>
      </c>
      <c r="V1045" s="53" t="str">
        <f t="shared" si="216"/>
        <v/>
      </c>
      <c r="W1045" s="53" t="str">
        <f t="shared" si="217"/>
        <v/>
      </c>
      <c r="X1045" s="53" t="str">
        <f t="shared" si="218"/>
        <v/>
      </c>
      <c r="Y1045" s="57" t="str">
        <f>IF($X1045="","",IFERROR(VLOOKUP($X1045,'Char Popularity'!$A$2:$C$500,2,FALSE),""))</f>
        <v/>
      </c>
      <c r="Z1045" s="56">
        <f>IF($X1045="",1,IFERROR(VLOOKUP($X1045,'Char Popularity'!$A$2:$C$500,3,FALSE),1))</f>
        <v>1</v>
      </c>
      <c r="AA1045" s="62">
        <f>IF($H1045&lt;&gt;"Y",0,(IF($F1045&lt;&gt;"",ROUND(Dashboard!$R$4/$F1045,1),IF(AND($I1045="Base",$E1045="Base"),Dashboard!$R$5,IF(AND($I1045="Base",$E1045="Red"),Dashboard!$R$6,IF(AND($I1045="Base",$E1045="Gold"),Dashboard!$R$7,VLOOKUP($I1045,Dashboard!$Q$16:$R$21,2,FALSE)))))*VLOOKUP($I1045,Dashboard!$Q$9:$R$13,2,FALSE)*IF(AND($I1045="Auto",$F1045="",OR($B1045="Autographs Duals",$B1045="Autographs Triples",$B1045="Autographs Quads",$B1045="Autographs Quads (Inscribed)")),IF($B1045="Autographs Duals",2,IF($B1045="Autographs Triples",3,4)),1)))</f>
        <v>12.2</v>
      </c>
      <c r="AB1045" s="62">
        <f t="shared" si="219"/>
        <v>12.2</v>
      </c>
      <c r="AC1045" s="62">
        <f t="shared" si="220"/>
        <v>0</v>
      </c>
    </row>
    <row r="1046" spans="1:29" ht="28.7" customHeight="1" x14ac:dyDescent="0.25">
      <c r="A1046" s="4" t="s">
        <v>19</v>
      </c>
      <c r="B1046" s="7" t="s">
        <v>79</v>
      </c>
      <c r="C1046" s="2" t="s">
        <v>1544</v>
      </c>
      <c r="D1046" s="7" t="s">
        <v>1114</v>
      </c>
      <c r="E1046" s="4" t="s">
        <v>779</v>
      </c>
      <c r="F1046" s="2">
        <v>82</v>
      </c>
      <c r="G1046" s="2" t="s">
        <v>1399</v>
      </c>
      <c r="H1046" s="2" t="s">
        <v>1400</v>
      </c>
      <c r="I1046" s="4" t="s">
        <v>60</v>
      </c>
      <c r="J1046" s="112">
        <f>IF($H1046&lt;&gt;"Y",0,ROUND(MIN(Dashboard!$R$24,IF(IFERROR(VLOOKUP($B1046,Dashboard!$Q$28:$S$60,2,FALSE),0)&gt;0,IFERROR(VLOOKUP($B1046,Dashboard!$Q$28:$S$60,2,FALSE),0),$Z1046*IF($U1046&lt;&gt;"",ROUND((Dashboard!$R$4/$U1046)*VLOOKUP($I1046,Dashboard!$Q$9:$R$13,2,FALSE)*IF(ISNUMBER(SEARCH("Duals",$B1046)),2,IF(ISNUMBER(SEARCH("Triples",$B1046)),3,IF(ISNUMBER(SEARCH("Quads",$B1046)),4,1))),2),ROUND(VLOOKUP($I1046,Dashboard!$Q$15:$R$20,2,FALSE)*IF($E1046="Red",Dashboard!$R$6,IF($E1046="Gold",Dashboard!$R$7,Dashboard!$R$5))*IF(ISNUMBER(SEARCH("Duals",$B1046)),2,IF(ISNUMBER(SEARCH("Triples",$B1046)),3,IF(ISNUMBER(SEARCH("Quads",$B1046)),4,1))),2))*IF(IFERROR(VLOOKUP($B1046,Dashboard!$Q$28:$S$60,3,FALSE),0)&gt;0,VLOOKUP($B1046,Dashboard!$Q$28:$S$60,3,FALSE),1))),0))</f>
        <v>12</v>
      </c>
      <c r="K1046" s="2" t="str">
        <f>IF('Base S2'!G46="","",'Base S2'!G46)</f>
        <v>C 49/82</v>
      </c>
      <c r="L1046" s="2">
        <f t="shared" si="208"/>
        <v>1</v>
      </c>
      <c r="M1046" s="2">
        <f t="shared" si="209"/>
        <v>0</v>
      </c>
      <c r="N1046" s="2">
        <f t="shared" si="210"/>
        <v>1</v>
      </c>
      <c r="O1046" s="2">
        <f t="shared" si="211"/>
        <v>0</v>
      </c>
      <c r="P1046" s="112">
        <f t="shared" si="212"/>
        <v>12</v>
      </c>
      <c r="Q1046" s="112">
        <f t="shared" si="213"/>
        <v>0</v>
      </c>
      <c r="R1046" s="53"/>
      <c r="S1046" s="53" t="str">
        <f t="shared" si="214"/>
        <v>Base S2|Floor 82 Parallel - Season 2|145|Floor 82</v>
      </c>
      <c r="T1046" s="57" t="str">
        <f>IF($S1046="","",IFERROR(VLOOKUP($S1046,'Pop Estimates (Non-#d)'!$N$2:$O$500,2,FALSE),""))</f>
        <v/>
      </c>
      <c r="U1046" s="57">
        <f t="shared" si="215"/>
        <v>82</v>
      </c>
      <c r="V1046" s="53" t="str">
        <f t="shared" si="216"/>
        <v/>
      </c>
      <c r="W1046" s="53" t="str">
        <f t="shared" si="217"/>
        <v/>
      </c>
      <c r="X1046" s="53" t="str">
        <f t="shared" si="218"/>
        <v/>
      </c>
      <c r="Y1046" s="57" t="str">
        <f>IF($X1046="","",IFERROR(VLOOKUP($X1046,'Char Popularity'!$A$2:$C$500,2,FALSE),""))</f>
        <v/>
      </c>
      <c r="Z1046" s="56">
        <f>IF($X1046="",1,IFERROR(VLOOKUP($X1046,'Char Popularity'!$A$2:$C$500,3,FALSE),1))</f>
        <v>1</v>
      </c>
      <c r="AA1046" s="62">
        <f>IF($H1046&lt;&gt;"Y",0,(IF($F1046&lt;&gt;"",ROUND(Dashboard!$R$4/$F1046,1),IF(AND($I1046="Base",$E1046="Base"),Dashboard!$R$5,IF(AND($I1046="Base",$E1046="Red"),Dashboard!$R$6,IF(AND($I1046="Base",$E1046="Gold"),Dashboard!$R$7,VLOOKUP($I1046,Dashboard!$Q$16:$R$21,2,FALSE)))))*VLOOKUP($I1046,Dashboard!$Q$9:$R$13,2,FALSE)*IF(AND($I1046="Auto",$F1046="",OR($B1046="Autographs Duals",$B1046="Autographs Triples",$B1046="Autographs Quads",$B1046="Autographs Quads (Inscribed)")),IF($B1046="Autographs Duals",2,IF($B1046="Autographs Triples",3,4)),1)))</f>
        <v>12.2</v>
      </c>
      <c r="AB1046" s="62">
        <f t="shared" si="219"/>
        <v>12.2</v>
      </c>
      <c r="AC1046" s="62">
        <f t="shared" si="220"/>
        <v>0</v>
      </c>
    </row>
    <row r="1047" spans="1:29" ht="28.7" customHeight="1" x14ac:dyDescent="0.25">
      <c r="A1047" s="4" t="s">
        <v>19</v>
      </c>
      <c r="B1047" s="7" t="s">
        <v>79</v>
      </c>
      <c r="C1047" s="2" t="s">
        <v>1545</v>
      </c>
      <c r="D1047" s="7" t="s">
        <v>1116</v>
      </c>
      <c r="E1047" s="4" t="s">
        <v>779</v>
      </c>
      <c r="F1047" s="2">
        <v>82</v>
      </c>
      <c r="G1047" s="2" t="s">
        <v>1399</v>
      </c>
      <c r="H1047" s="2" t="s">
        <v>1400</v>
      </c>
      <c r="I1047" s="4" t="s">
        <v>60</v>
      </c>
      <c r="J1047" s="112">
        <f>IF($H1047&lt;&gt;"Y",0,ROUND(MIN(Dashboard!$R$24,IF(IFERROR(VLOOKUP($B1047,Dashboard!$Q$28:$S$60,2,FALSE),0)&gt;0,IFERROR(VLOOKUP($B1047,Dashboard!$Q$28:$S$60,2,FALSE),0),$Z1047*IF($U1047&lt;&gt;"",ROUND((Dashboard!$R$4/$U1047)*VLOOKUP($I1047,Dashboard!$Q$9:$R$13,2,FALSE)*IF(ISNUMBER(SEARCH("Duals",$B1047)),2,IF(ISNUMBER(SEARCH("Triples",$B1047)),3,IF(ISNUMBER(SEARCH("Quads",$B1047)),4,1))),2),ROUND(VLOOKUP($I1047,Dashboard!$Q$15:$R$20,2,FALSE)*IF($E1047="Red",Dashboard!$R$6,IF($E1047="Gold",Dashboard!$R$7,Dashboard!$R$5))*IF(ISNUMBER(SEARCH("Duals",$B1047)),2,IF(ISNUMBER(SEARCH("Triples",$B1047)),3,IF(ISNUMBER(SEARCH("Quads",$B1047)),4,1))),2))*IF(IFERROR(VLOOKUP($B1047,Dashboard!$Q$28:$S$60,3,FALSE),0)&gt;0,VLOOKUP($B1047,Dashboard!$Q$28:$S$60,3,FALSE),1))),0))</f>
        <v>12</v>
      </c>
      <c r="K1047" s="2" t="str">
        <f>IF('Base S2'!G47="","",'Base S2'!G47)</f>
        <v>C 32/82</v>
      </c>
      <c r="L1047" s="2">
        <f t="shared" si="208"/>
        <v>1</v>
      </c>
      <c r="M1047" s="2">
        <f t="shared" si="209"/>
        <v>0</v>
      </c>
      <c r="N1047" s="2">
        <f t="shared" si="210"/>
        <v>1</v>
      </c>
      <c r="O1047" s="2">
        <f t="shared" si="211"/>
        <v>0</v>
      </c>
      <c r="P1047" s="112">
        <f t="shared" si="212"/>
        <v>12</v>
      </c>
      <c r="Q1047" s="112">
        <f t="shared" si="213"/>
        <v>0</v>
      </c>
      <c r="R1047" s="53"/>
      <c r="S1047" s="53" t="str">
        <f t="shared" si="214"/>
        <v>Base S2|Floor 82 Parallel - Season 2|146|Floor 82</v>
      </c>
      <c r="T1047" s="57" t="str">
        <f>IF($S1047="","",IFERROR(VLOOKUP($S1047,'Pop Estimates (Non-#d)'!$N$2:$O$500,2,FALSE),""))</f>
        <v/>
      </c>
      <c r="U1047" s="57">
        <f t="shared" si="215"/>
        <v>82</v>
      </c>
      <c r="V1047" s="53" t="str">
        <f t="shared" si="216"/>
        <v/>
      </c>
      <c r="W1047" s="53" t="str">
        <f t="shared" si="217"/>
        <v/>
      </c>
      <c r="X1047" s="53" t="str">
        <f t="shared" si="218"/>
        <v/>
      </c>
      <c r="Y1047" s="57" t="str">
        <f>IF($X1047="","",IFERROR(VLOOKUP($X1047,'Char Popularity'!$A$2:$C$500,2,FALSE),""))</f>
        <v/>
      </c>
      <c r="Z1047" s="56">
        <f>IF($X1047="",1,IFERROR(VLOOKUP($X1047,'Char Popularity'!$A$2:$C$500,3,FALSE),1))</f>
        <v>1</v>
      </c>
      <c r="AA1047" s="62">
        <f>IF($H1047&lt;&gt;"Y",0,(IF($F1047&lt;&gt;"",ROUND(Dashboard!$R$4/$F1047,1),IF(AND($I1047="Base",$E1047="Base"),Dashboard!$R$5,IF(AND($I1047="Base",$E1047="Red"),Dashboard!$R$6,IF(AND($I1047="Base",$E1047="Gold"),Dashboard!$R$7,VLOOKUP($I1047,Dashboard!$Q$16:$R$21,2,FALSE)))))*VLOOKUP($I1047,Dashboard!$Q$9:$R$13,2,FALSE)*IF(AND($I1047="Auto",$F1047="",OR($B1047="Autographs Duals",$B1047="Autographs Triples",$B1047="Autographs Quads",$B1047="Autographs Quads (Inscribed)")),IF($B1047="Autographs Duals",2,IF($B1047="Autographs Triples",3,4)),1)))</f>
        <v>12.2</v>
      </c>
      <c r="AB1047" s="62">
        <f t="shared" si="219"/>
        <v>12.2</v>
      </c>
      <c r="AC1047" s="62">
        <f t="shared" si="220"/>
        <v>0</v>
      </c>
    </row>
    <row r="1048" spans="1:29" ht="28.7" customHeight="1" x14ac:dyDescent="0.25">
      <c r="A1048" s="4" t="s">
        <v>19</v>
      </c>
      <c r="B1048" s="7" t="s">
        <v>79</v>
      </c>
      <c r="C1048" s="2" t="s">
        <v>1546</v>
      </c>
      <c r="D1048" s="7" t="s">
        <v>1118</v>
      </c>
      <c r="E1048" s="4" t="s">
        <v>779</v>
      </c>
      <c r="F1048" s="2">
        <v>82</v>
      </c>
      <c r="G1048" s="2" t="s">
        <v>1399</v>
      </c>
      <c r="H1048" s="2" t="s">
        <v>1400</v>
      </c>
      <c r="I1048" s="4" t="s">
        <v>60</v>
      </c>
      <c r="J1048" s="112">
        <f>IF($H1048&lt;&gt;"Y",0,ROUND(MIN(Dashboard!$R$24,IF(IFERROR(VLOOKUP($B1048,Dashboard!$Q$28:$S$60,2,FALSE),0)&gt;0,IFERROR(VLOOKUP($B1048,Dashboard!$Q$28:$S$60,2,FALSE),0),$Z1048*IF($U1048&lt;&gt;"",ROUND((Dashboard!$R$4/$U1048)*VLOOKUP($I1048,Dashboard!$Q$9:$R$13,2,FALSE)*IF(ISNUMBER(SEARCH("Duals",$B1048)),2,IF(ISNUMBER(SEARCH("Triples",$B1048)),3,IF(ISNUMBER(SEARCH("Quads",$B1048)),4,1))),2),ROUND(VLOOKUP($I1048,Dashboard!$Q$15:$R$20,2,FALSE)*IF($E1048="Red",Dashboard!$R$6,IF($E1048="Gold",Dashboard!$R$7,Dashboard!$R$5))*IF(ISNUMBER(SEARCH("Duals",$B1048)),2,IF(ISNUMBER(SEARCH("Triples",$B1048)),3,IF(ISNUMBER(SEARCH("Quads",$B1048)),4,1))),2))*IF(IFERROR(VLOOKUP($B1048,Dashboard!$Q$28:$S$60,3,FALSE),0)&gt;0,VLOOKUP($B1048,Dashboard!$Q$28:$S$60,3,FALSE),1))),0))</f>
        <v>12</v>
      </c>
      <c r="K1048" s="2" t="str">
        <f>IF('Base S2'!G48="","",'Base S2'!G48)</f>
        <v>C '3/82</v>
      </c>
      <c r="L1048" s="2">
        <f t="shared" si="208"/>
        <v>1</v>
      </c>
      <c r="M1048" s="2">
        <f t="shared" si="209"/>
        <v>0</v>
      </c>
      <c r="N1048" s="2">
        <f t="shared" si="210"/>
        <v>1</v>
      </c>
      <c r="O1048" s="2">
        <f t="shared" si="211"/>
        <v>0</v>
      </c>
      <c r="P1048" s="112">
        <f t="shared" si="212"/>
        <v>12</v>
      </c>
      <c r="Q1048" s="112">
        <f t="shared" si="213"/>
        <v>0</v>
      </c>
      <c r="R1048" s="53"/>
      <c r="S1048" s="53" t="str">
        <f t="shared" si="214"/>
        <v>Base S2|Floor 82 Parallel - Season 2|147|Floor 82</v>
      </c>
      <c r="T1048" s="57" t="str">
        <f>IF($S1048="","",IFERROR(VLOOKUP($S1048,'Pop Estimates (Non-#d)'!$N$2:$O$500,2,FALSE),""))</f>
        <v/>
      </c>
      <c r="U1048" s="57">
        <f t="shared" si="215"/>
        <v>82</v>
      </c>
      <c r="V1048" s="53" t="str">
        <f t="shared" si="216"/>
        <v/>
      </c>
      <c r="W1048" s="53" t="str">
        <f t="shared" si="217"/>
        <v/>
      </c>
      <c r="X1048" s="53" t="str">
        <f t="shared" si="218"/>
        <v/>
      </c>
      <c r="Y1048" s="57" t="str">
        <f>IF($X1048="","",IFERROR(VLOOKUP($X1048,'Char Popularity'!$A$2:$C$500,2,FALSE),""))</f>
        <v/>
      </c>
      <c r="Z1048" s="56">
        <f>IF($X1048="",1,IFERROR(VLOOKUP($X1048,'Char Popularity'!$A$2:$C$500,3,FALSE),1))</f>
        <v>1</v>
      </c>
      <c r="AA1048" s="62">
        <f>IF($H1048&lt;&gt;"Y",0,(IF($F1048&lt;&gt;"",ROUND(Dashboard!$R$4/$F1048,1),IF(AND($I1048="Base",$E1048="Base"),Dashboard!$R$5,IF(AND($I1048="Base",$E1048="Red"),Dashboard!$R$6,IF(AND($I1048="Base",$E1048="Gold"),Dashboard!$R$7,VLOOKUP($I1048,Dashboard!$Q$16:$R$21,2,FALSE)))))*VLOOKUP($I1048,Dashboard!$Q$9:$R$13,2,FALSE)*IF(AND($I1048="Auto",$F1048="",OR($B1048="Autographs Duals",$B1048="Autographs Triples",$B1048="Autographs Quads",$B1048="Autographs Quads (Inscribed)")),IF($B1048="Autographs Duals",2,IF($B1048="Autographs Triples",3,4)),1)))</f>
        <v>12.2</v>
      </c>
      <c r="AB1048" s="62">
        <f t="shared" si="219"/>
        <v>12.2</v>
      </c>
      <c r="AC1048" s="62">
        <f t="shared" si="220"/>
        <v>0</v>
      </c>
    </row>
    <row r="1049" spans="1:29" ht="28.7" customHeight="1" x14ac:dyDescent="0.25">
      <c r="A1049" s="4" t="s">
        <v>19</v>
      </c>
      <c r="B1049" s="7" t="s">
        <v>79</v>
      </c>
      <c r="C1049" s="2" t="s">
        <v>1547</v>
      </c>
      <c r="D1049" s="7" t="s">
        <v>1120</v>
      </c>
      <c r="E1049" s="4" t="s">
        <v>779</v>
      </c>
      <c r="F1049" s="2">
        <v>82</v>
      </c>
      <c r="G1049" s="2" t="s">
        <v>1399</v>
      </c>
      <c r="H1049" s="2" t="s">
        <v>1400</v>
      </c>
      <c r="I1049" s="4" t="s">
        <v>60</v>
      </c>
      <c r="J1049" s="112">
        <f>IF($H1049&lt;&gt;"Y",0,ROUND(MIN(Dashboard!$R$24,IF(IFERROR(VLOOKUP($B1049,Dashboard!$Q$28:$S$60,2,FALSE),0)&gt;0,IFERROR(VLOOKUP($B1049,Dashboard!$Q$28:$S$60,2,FALSE),0),$Z1049*IF($U1049&lt;&gt;"",ROUND((Dashboard!$R$4/$U1049)*VLOOKUP($I1049,Dashboard!$Q$9:$R$13,2,FALSE)*IF(ISNUMBER(SEARCH("Duals",$B1049)),2,IF(ISNUMBER(SEARCH("Triples",$B1049)),3,IF(ISNUMBER(SEARCH("Quads",$B1049)),4,1))),2),ROUND(VLOOKUP($I1049,Dashboard!$Q$15:$R$20,2,FALSE)*IF($E1049="Red",Dashboard!$R$6,IF($E1049="Gold",Dashboard!$R$7,Dashboard!$R$5))*IF(ISNUMBER(SEARCH("Duals",$B1049)),2,IF(ISNUMBER(SEARCH("Triples",$B1049)),3,IF(ISNUMBER(SEARCH("Quads",$B1049)),4,1))),2))*IF(IFERROR(VLOOKUP($B1049,Dashboard!$Q$28:$S$60,3,FALSE),0)&gt;0,VLOOKUP($B1049,Dashboard!$Q$28:$S$60,3,FALSE),1))),0))</f>
        <v>12</v>
      </c>
      <c r="K1049" s="2" t="str">
        <f>IF('Base S2'!G49="","",'Base S2'!G49)</f>
        <v>V 28/82</v>
      </c>
      <c r="L1049" s="2">
        <f t="shared" si="208"/>
        <v>1</v>
      </c>
      <c r="M1049" s="2">
        <f t="shared" si="209"/>
        <v>0</v>
      </c>
      <c r="N1049" s="2">
        <f t="shared" si="210"/>
        <v>1</v>
      </c>
      <c r="O1049" s="2">
        <f t="shared" si="211"/>
        <v>0</v>
      </c>
      <c r="P1049" s="112">
        <f t="shared" si="212"/>
        <v>12</v>
      </c>
      <c r="Q1049" s="112">
        <f t="shared" si="213"/>
        <v>0</v>
      </c>
      <c r="R1049" s="53"/>
      <c r="S1049" s="53" t="str">
        <f t="shared" si="214"/>
        <v>Base S2|Floor 82 Parallel - Season 2|148|Floor 82</v>
      </c>
      <c r="T1049" s="57" t="str">
        <f>IF($S1049="","",IFERROR(VLOOKUP($S1049,'Pop Estimates (Non-#d)'!$N$2:$O$500,2,FALSE),""))</f>
        <v/>
      </c>
      <c r="U1049" s="57">
        <f t="shared" si="215"/>
        <v>82</v>
      </c>
      <c r="V1049" s="53" t="str">
        <f t="shared" si="216"/>
        <v/>
      </c>
      <c r="W1049" s="53" t="str">
        <f t="shared" si="217"/>
        <v/>
      </c>
      <c r="X1049" s="53" t="str">
        <f t="shared" si="218"/>
        <v/>
      </c>
      <c r="Y1049" s="57" t="str">
        <f>IF($X1049="","",IFERROR(VLOOKUP($X1049,'Char Popularity'!$A$2:$C$500,2,FALSE),""))</f>
        <v/>
      </c>
      <c r="Z1049" s="56">
        <f>IF($X1049="",1,IFERROR(VLOOKUP($X1049,'Char Popularity'!$A$2:$C$500,3,FALSE),1))</f>
        <v>1</v>
      </c>
      <c r="AA1049" s="62">
        <f>IF($H1049&lt;&gt;"Y",0,(IF($F1049&lt;&gt;"",ROUND(Dashboard!$R$4/$F1049,1),IF(AND($I1049="Base",$E1049="Base"),Dashboard!$R$5,IF(AND($I1049="Base",$E1049="Red"),Dashboard!$R$6,IF(AND($I1049="Base",$E1049="Gold"),Dashboard!$R$7,VLOOKUP($I1049,Dashboard!$Q$16:$R$21,2,FALSE)))))*VLOOKUP($I1049,Dashboard!$Q$9:$R$13,2,FALSE)*IF(AND($I1049="Auto",$F1049="",OR($B1049="Autographs Duals",$B1049="Autographs Triples",$B1049="Autographs Quads",$B1049="Autographs Quads (Inscribed)")),IF($B1049="Autographs Duals",2,IF($B1049="Autographs Triples",3,4)),1)))</f>
        <v>12.2</v>
      </c>
      <c r="AB1049" s="62">
        <f t="shared" si="219"/>
        <v>12.2</v>
      </c>
      <c r="AC1049" s="62">
        <f t="shared" si="220"/>
        <v>0</v>
      </c>
    </row>
    <row r="1050" spans="1:29" ht="28.7" customHeight="1" x14ac:dyDescent="0.25">
      <c r="A1050" s="4" t="s">
        <v>19</v>
      </c>
      <c r="B1050" s="7" t="s">
        <v>79</v>
      </c>
      <c r="C1050" s="2" t="s">
        <v>1548</v>
      </c>
      <c r="D1050" s="7" t="s">
        <v>1122</v>
      </c>
      <c r="E1050" s="4" t="s">
        <v>779</v>
      </c>
      <c r="F1050" s="2">
        <v>82</v>
      </c>
      <c r="G1050" s="2" t="s">
        <v>1399</v>
      </c>
      <c r="H1050" s="2" t="s">
        <v>1400</v>
      </c>
      <c r="I1050" s="4" t="s">
        <v>60</v>
      </c>
      <c r="J1050" s="112">
        <f>IF($H1050&lt;&gt;"Y",0,ROUND(MIN(Dashboard!$R$24,IF(IFERROR(VLOOKUP($B1050,Dashboard!$Q$28:$S$60,2,FALSE),0)&gt;0,IFERROR(VLOOKUP($B1050,Dashboard!$Q$28:$S$60,2,FALSE),0),$Z1050*IF($U1050&lt;&gt;"",ROUND((Dashboard!$R$4/$U1050)*VLOOKUP($I1050,Dashboard!$Q$9:$R$13,2,FALSE)*IF(ISNUMBER(SEARCH("Duals",$B1050)),2,IF(ISNUMBER(SEARCH("Triples",$B1050)),3,IF(ISNUMBER(SEARCH("Quads",$B1050)),4,1))),2),ROUND(VLOOKUP($I1050,Dashboard!$Q$15:$R$20,2,FALSE)*IF($E1050="Red",Dashboard!$R$6,IF($E1050="Gold",Dashboard!$R$7,Dashboard!$R$5))*IF(ISNUMBER(SEARCH("Duals",$B1050)),2,IF(ISNUMBER(SEARCH("Triples",$B1050)),3,IF(ISNUMBER(SEARCH("Quads",$B1050)),4,1))),2))*IF(IFERROR(VLOOKUP($B1050,Dashboard!$Q$28:$S$60,3,FALSE),0)&gt;0,VLOOKUP($B1050,Dashboard!$Q$28:$S$60,3,FALSE),1))),0))</f>
        <v>12</v>
      </c>
      <c r="K1050" s="2" t="str">
        <f>IF('Base S2'!G50="","",'Base S2'!G50)</f>
        <v>C</v>
      </c>
      <c r="L1050" s="2">
        <f t="shared" si="208"/>
        <v>1</v>
      </c>
      <c r="M1050" s="2">
        <f t="shared" si="209"/>
        <v>0</v>
      </c>
      <c r="N1050" s="2">
        <f t="shared" si="210"/>
        <v>1</v>
      </c>
      <c r="O1050" s="2">
        <f t="shared" si="211"/>
        <v>0</v>
      </c>
      <c r="P1050" s="112">
        <f t="shared" si="212"/>
        <v>12</v>
      </c>
      <c r="Q1050" s="112">
        <f t="shared" si="213"/>
        <v>0</v>
      </c>
      <c r="R1050" s="53"/>
      <c r="S1050" s="53" t="str">
        <f t="shared" si="214"/>
        <v>Base S2|Floor 82 Parallel - Season 2|149|Floor 82</v>
      </c>
      <c r="T1050" s="57" t="str">
        <f>IF($S1050="","",IFERROR(VLOOKUP($S1050,'Pop Estimates (Non-#d)'!$N$2:$O$500,2,FALSE),""))</f>
        <v/>
      </c>
      <c r="U1050" s="57">
        <f t="shared" si="215"/>
        <v>82</v>
      </c>
      <c r="V1050" s="53" t="str">
        <f t="shared" si="216"/>
        <v/>
      </c>
      <c r="W1050" s="53" t="str">
        <f t="shared" si="217"/>
        <v/>
      </c>
      <c r="X1050" s="53" t="str">
        <f t="shared" si="218"/>
        <v/>
      </c>
      <c r="Y1050" s="57" t="str">
        <f>IF($X1050="","",IFERROR(VLOOKUP($X1050,'Char Popularity'!$A$2:$C$500,2,FALSE),""))</f>
        <v/>
      </c>
      <c r="Z1050" s="56">
        <f>IF($X1050="",1,IFERROR(VLOOKUP($X1050,'Char Popularity'!$A$2:$C$500,3,FALSE),1))</f>
        <v>1</v>
      </c>
      <c r="AA1050" s="62">
        <f>IF($H1050&lt;&gt;"Y",0,(IF($F1050&lt;&gt;"",ROUND(Dashboard!$R$4/$F1050,1),IF(AND($I1050="Base",$E1050="Base"),Dashboard!$R$5,IF(AND($I1050="Base",$E1050="Red"),Dashboard!$R$6,IF(AND($I1050="Base",$E1050="Gold"),Dashboard!$R$7,VLOOKUP($I1050,Dashboard!$Q$16:$R$21,2,FALSE)))))*VLOOKUP($I1050,Dashboard!$Q$9:$R$13,2,FALSE)*IF(AND($I1050="Auto",$F1050="",OR($B1050="Autographs Duals",$B1050="Autographs Triples",$B1050="Autographs Quads",$B1050="Autographs Quads (Inscribed)")),IF($B1050="Autographs Duals",2,IF($B1050="Autographs Triples",3,4)),1)))</f>
        <v>12.2</v>
      </c>
      <c r="AB1050" s="62">
        <f t="shared" si="219"/>
        <v>12.2</v>
      </c>
      <c r="AC1050" s="62">
        <f t="shared" si="220"/>
        <v>0</v>
      </c>
    </row>
    <row r="1051" spans="1:29" ht="28.7" customHeight="1" x14ac:dyDescent="0.25">
      <c r="A1051" s="4" t="s">
        <v>19</v>
      </c>
      <c r="B1051" s="7" t="s">
        <v>79</v>
      </c>
      <c r="C1051" s="2" t="s">
        <v>1549</v>
      </c>
      <c r="D1051" s="7" t="s">
        <v>1123</v>
      </c>
      <c r="E1051" s="4" t="s">
        <v>779</v>
      </c>
      <c r="F1051" s="2">
        <v>82</v>
      </c>
      <c r="G1051" s="2" t="s">
        <v>1399</v>
      </c>
      <c r="H1051" s="2" t="s">
        <v>1400</v>
      </c>
      <c r="I1051" s="4" t="s">
        <v>60</v>
      </c>
      <c r="J1051" s="112">
        <f>IF($H1051&lt;&gt;"Y",0,ROUND(MIN(Dashboard!$R$24,IF(IFERROR(VLOOKUP($B1051,Dashboard!$Q$28:$S$60,2,FALSE),0)&gt;0,IFERROR(VLOOKUP($B1051,Dashboard!$Q$28:$S$60,2,FALSE),0),$Z1051*IF($U1051&lt;&gt;"",ROUND((Dashboard!$R$4/$U1051)*VLOOKUP($I1051,Dashboard!$Q$9:$R$13,2,FALSE)*IF(ISNUMBER(SEARCH("Duals",$B1051)),2,IF(ISNUMBER(SEARCH("Triples",$B1051)),3,IF(ISNUMBER(SEARCH("Quads",$B1051)),4,1))),2),ROUND(VLOOKUP($I1051,Dashboard!$Q$15:$R$20,2,FALSE)*IF($E1051="Red",Dashboard!$R$6,IF($E1051="Gold",Dashboard!$R$7,Dashboard!$R$5))*IF(ISNUMBER(SEARCH("Duals",$B1051)),2,IF(ISNUMBER(SEARCH("Triples",$B1051)),3,IF(ISNUMBER(SEARCH("Quads",$B1051)),4,1))),2))*IF(IFERROR(VLOOKUP($B1051,Dashboard!$Q$28:$S$60,3,FALSE),0)&gt;0,VLOOKUP($B1051,Dashboard!$Q$28:$S$60,3,FALSE),1))),0))</f>
        <v>12</v>
      </c>
      <c r="K1051" s="2" t="str">
        <f>IF('Base S2'!G51="","",'Base S2'!G51)</f>
        <v>C 56/82</v>
      </c>
      <c r="L1051" s="2">
        <f t="shared" si="208"/>
        <v>1</v>
      </c>
      <c r="M1051" s="2">
        <f t="shared" si="209"/>
        <v>0</v>
      </c>
      <c r="N1051" s="2">
        <f t="shared" si="210"/>
        <v>1</v>
      </c>
      <c r="O1051" s="2">
        <f t="shared" si="211"/>
        <v>0</v>
      </c>
      <c r="P1051" s="112">
        <f t="shared" si="212"/>
        <v>12</v>
      </c>
      <c r="Q1051" s="112">
        <f t="shared" si="213"/>
        <v>0</v>
      </c>
      <c r="R1051" s="53"/>
      <c r="S1051" s="53" t="str">
        <f t="shared" si="214"/>
        <v>Base S2|Floor 82 Parallel - Season 2|150|Floor 82</v>
      </c>
      <c r="T1051" s="57" t="str">
        <f>IF($S1051="","",IFERROR(VLOOKUP($S1051,'Pop Estimates (Non-#d)'!$N$2:$O$500,2,FALSE),""))</f>
        <v/>
      </c>
      <c r="U1051" s="57">
        <f t="shared" si="215"/>
        <v>82</v>
      </c>
      <c r="V1051" s="53" t="str">
        <f t="shared" si="216"/>
        <v/>
      </c>
      <c r="W1051" s="53" t="str">
        <f t="shared" si="217"/>
        <v/>
      </c>
      <c r="X1051" s="53" t="str">
        <f t="shared" si="218"/>
        <v/>
      </c>
      <c r="Y1051" s="57" t="str">
        <f>IF($X1051="","",IFERROR(VLOOKUP($X1051,'Char Popularity'!$A$2:$C$500,2,FALSE),""))</f>
        <v/>
      </c>
      <c r="Z1051" s="56">
        <f>IF($X1051="",1,IFERROR(VLOOKUP($X1051,'Char Popularity'!$A$2:$C$500,3,FALSE),1))</f>
        <v>1</v>
      </c>
      <c r="AA1051" s="62">
        <f>IF($H1051&lt;&gt;"Y",0,(IF($F1051&lt;&gt;"",ROUND(Dashboard!$R$4/$F1051,1),IF(AND($I1051="Base",$E1051="Base"),Dashboard!$R$5,IF(AND($I1051="Base",$E1051="Red"),Dashboard!$R$6,IF(AND($I1051="Base",$E1051="Gold"),Dashboard!$R$7,VLOOKUP($I1051,Dashboard!$Q$16:$R$21,2,FALSE)))))*VLOOKUP($I1051,Dashboard!$Q$9:$R$13,2,FALSE)*IF(AND($I1051="Auto",$F1051="",OR($B1051="Autographs Duals",$B1051="Autographs Triples",$B1051="Autographs Quads",$B1051="Autographs Quads (Inscribed)")),IF($B1051="Autographs Duals",2,IF($B1051="Autographs Triples",3,4)),1)))</f>
        <v>12.2</v>
      </c>
      <c r="AB1051" s="62">
        <f t="shared" si="219"/>
        <v>12.2</v>
      </c>
      <c r="AC1051" s="62">
        <f t="shared" si="220"/>
        <v>0</v>
      </c>
    </row>
    <row r="1052" spans="1:29" ht="28.7" customHeight="1" x14ac:dyDescent="0.25">
      <c r="A1052" s="4" t="s">
        <v>19</v>
      </c>
      <c r="B1052" s="7" t="s">
        <v>79</v>
      </c>
      <c r="C1052" s="2" t="s">
        <v>1550</v>
      </c>
      <c r="D1052" s="7" t="s">
        <v>1125</v>
      </c>
      <c r="E1052" s="4" t="s">
        <v>779</v>
      </c>
      <c r="F1052" s="2">
        <v>82</v>
      </c>
      <c r="G1052" s="2" t="s">
        <v>1399</v>
      </c>
      <c r="H1052" s="2" t="s">
        <v>1400</v>
      </c>
      <c r="I1052" s="4" t="s">
        <v>60</v>
      </c>
      <c r="J1052" s="112">
        <f>IF($H1052&lt;&gt;"Y",0,ROUND(MIN(Dashboard!$R$24,IF(IFERROR(VLOOKUP($B1052,Dashboard!$Q$28:$S$60,2,FALSE),0)&gt;0,IFERROR(VLOOKUP($B1052,Dashboard!$Q$28:$S$60,2,FALSE),0),$Z1052*IF($U1052&lt;&gt;"",ROUND((Dashboard!$R$4/$U1052)*VLOOKUP($I1052,Dashboard!$Q$9:$R$13,2,FALSE)*IF(ISNUMBER(SEARCH("Duals",$B1052)),2,IF(ISNUMBER(SEARCH("Triples",$B1052)),3,IF(ISNUMBER(SEARCH("Quads",$B1052)),4,1))),2),ROUND(VLOOKUP($I1052,Dashboard!$Q$15:$R$20,2,FALSE)*IF($E1052="Red",Dashboard!$R$6,IF($E1052="Gold",Dashboard!$R$7,Dashboard!$R$5))*IF(ISNUMBER(SEARCH("Duals",$B1052)),2,IF(ISNUMBER(SEARCH("Triples",$B1052)),3,IF(ISNUMBER(SEARCH("Quads",$B1052)),4,1))),2))*IF(IFERROR(VLOOKUP($B1052,Dashboard!$Q$28:$S$60,3,FALSE),0)&gt;0,VLOOKUP($B1052,Dashboard!$Q$28:$S$60,3,FALSE),1))),0))</f>
        <v>12</v>
      </c>
      <c r="K1052" s="2" t="str">
        <f>IF('Base S2'!G52="","",'Base S2'!G52)</f>
        <v>C</v>
      </c>
      <c r="L1052" s="2">
        <f t="shared" si="208"/>
        <v>1</v>
      </c>
      <c r="M1052" s="2">
        <f t="shared" si="209"/>
        <v>0</v>
      </c>
      <c r="N1052" s="2">
        <f t="shared" si="210"/>
        <v>1</v>
      </c>
      <c r="O1052" s="2">
        <f t="shared" si="211"/>
        <v>0</v>
      </c>
      <c r="P1052" s="112">
        <f t="shared" si="212"/>
        <v>12</v>
      </c>
      <c r="Q1052" s="112">
        <f t="shared" si="213"/>
        <v>0</v>
      </c>
      <c r="R1052" s="53"/>
      <c r="S1052" s="53" t="str">
        <f t="shared" si="214"/>
        <v>Base S2|Floor 82 Parallel - Season 2|151|Floor 82</v>
      </c>
      <c r="T1052" s="57" t="str">
        <f>IF($S1052="","",IFERROR(VLOOKUP($S1052,'Pop Estimates (Non-#d)'!$N$2:$O$500,2,FALSE),""))</f>
        <v/>
      </c>
      <c r="U1052" s="57">
        <f t="shared" si="215"/>
        <v>82</v>
      </c>
      <c r="V1052" s="53" t="str">
        <f t="shared" si="216"/>
        <v/>
      </c>
      <c r="W1052" s="53" t="str">
        <f t="shared" si="217"/>
        <v/>
      </c>
      <c r="X1052" s="53" t="str">
        <f t="shared" si="218"/>
        <v/>
      </c>
      <c r="Y1052" s="57" t="str">
        <f>IF($X1052="","",IFERROR(VLOOKUP($X1052,'Char Popularity'!$A$2:$C$500,2,FALSE),""))</f>
        <v/>
      </c>
      <c r="Z1052" s="56">
        <f>IF($X1052="",1,IFERROR(VLOOKUP($X1052,'Char Popularity'!$A$2:$C$500,3,FALSE),1))</f>
        <v>1</v>
      </c>
      <c r="AA1052" s="62">
        <f>IF($H1052&lt;&gt;"Y",0,(IF($F1052&lt;&gt;"",ROUND(Dashboard!$R$4/$F1052,1),IF(AND($I1052="Base",$E1052="Base"),Dashboard!$R$5,IF(AND($I1052="Base",$E1052="Red"),Dashboard!$R$6,IF(AND($I1052="Base",$E1052="Gold"),Dashboard!$R$7,VLOOKUP($I1052,Dashboard!$Q$16:$R$21,2,FALSE)))))*VLOOKUP($I1052,Dashboard!$Q$9:$R$13,2,FALSE)*IF(AND($I1052="Auto",$F1052="",OR($B1052="Autographs Duals",$B1052="Autographs Triples",$B1052="Autographs Quads",$B1052="Autographs Quads (Inscribed)")),IF($B1052="Autographs Duals",2,IF($B1052="Autographs Triples",3,4)),1)))</f>
        <v>12.2</v>
      </c>
      <c r="AB1052" s="62">
        <f t="shared" si="219"/>
        <v>12.2</v>
      </c>
      <c r="AC1052" s="62">
        <f t="shared" si="220"/>
        <v>0</v>
      </c>
    </row>
    <row r="1053" spans="1:29" ht="28.7" customHeight="1" x14ac:dyDescent="0.25">
      <c r="A1053" s="4" t="s">
        <v>19</v>
      </c>
      <c r="B1053" s="7" t="s">
        <v>79</v>
      </c>
      <c r="C1053" s="2" t="s">
        <v>1551</v>
      </c>
      <c r="D1053" s="7" t="s">
        <v>1126</v>
      </c>
      <c r="E1053" s="4" t="s">
        <v>779</v>
      </c>
      <c r="F1053" s="2">
        <v>82</v>
      </c>
      <c r="G1053" s="2" t="s">
        <v>1399</v>
      </c>
      <c r="H1053" s="2" t="s">
        <v>1400</v>
      </c>
      <c r="I1053" s="4" t="s">
        <v>60</v>
      </c>
      <c r="J1053" s="112">
        <f>IF($H1053&lt;&gt;"Y",0,ROUND(MIN(Dashboard!$R$24,IF(IFERROR(VLOOKUP($B1053,Dashboard!$Q$28:$S$60,2,FALSE),0)&gt;0,IFERROR(VLOOKUP($B1053,Dashboard!$Q$28:$S$60,2,FALSE),0),$Z1053*IF($U1053&lt;&gt;"",ROUND((Dashboard!$R$4/$U1053)*VLOOKUP($I1053,Dashboard!$Q$9:$R$13,2,FALSE)*IF(ISNUMBER(SEARCH("Duals",$B1053)),2,IF(ISNUMBER(SEARCH("Triples",$B1053)),3,IF(ISNUMBER(SEARCH("Quads",$B1053)),4,1))),2),ROUND(VLOOKUP($I1053,Dashboard!$Q$15:$R$20,2,FALSE)*IF($E1053="Red",Dashboard!$R$6,IF($E1053="Gold",Dashboard!$R$7,Dashboard!$R$5))*IF(ISNUMBER(SEARCH("Duals",$B1053)),2,IF(ISNUMBER(SEARCH("Triples",$B1053)),3,IF(ISNUMBER(SEARCH("Quads",$B1053)),4,1))),2))*IF(IFERROR(VLOOKUP($B1053,Dashboard!$Q$28:$S$60,3,FALSE),0)&gt;0,VLOOKUP($B1053,Dashboard!$Q$28:$S$60,3,FALSE),1))),0))</f>
        <v>12</v>
      </c>
      <c r="K1053" s="2" t="str">
        <f>IF('Base S2'!G53="","",'Base S2'!G53)</f>
        <v>C 60/82</v>
      </c>
      <c r="L1053" s="2">
        <f t="shared" si="208"/>
        <v>1</v>
      </c>
      <c r="M1053" s="2">
        <f t="shared" si="209"/>
        <v>0</v>
      </c>
      <c r="N1053" s="2">
        <f t="shared" si="210"/>
        <v>1</v>
      </c>
      <c r="O1053" s="2">
        <f t="shared" si="211"/>
        <v>0</v>
      </c>
      <c r="P1053" s="112">
        <f t="shared" si="212"/>
        <v>12</v>
      </c>
      <c r="Q1053" s="112">
        <f t="shared" si="213"/>
        <v>0</v>
      </c>
      <c r="R1053" s="53"/>
      <c r="S1053" s="53" t="str">
        <f t="shared" si="214"/>
        <v>Base S2|Floor 82 Parallel - Season 2|152|Floor 82</v>
      </c>
      <c r="T1053" s="57" t="str">
        <f>IF($S1053="","",IFERROR(VLOOKUP($S1053,'Pop Estimates (Non-#d)'!$N$2:$O$500,2,FALSE),""))</f>
        <v/>
      </c>
      <c r="U1053" s="57">
        <f t="shared" si="215"/>
        <v>82</v>
      </c>
      <c r="V1053" s="53" t="str">
        <f t="shared" si="216"/>
        <v/>
      </c>
      <c r="W1053" s="53" t="str">
        <f t="shared" si="217"/>
        <v/>
      </c>
      <c r="X1053" s="53" t="str">
        <f t="shared" si="218"/>
        <v/>
      </c>
      <c r="Y1053" s="57" t="str">
        <f>IF($X1053="","",IFERROR(VLOOKUP($X1053,'Char Popularity'!$A$2:$C$500,2,FALSE),""))</f>
        <v/>
      </c>
      <c r="Z1053" s="56">
        <f>IF($X1053="",1,IFERROR(VLOOKUP($X1053,'Char Popularity'!$A$2:$C$500,3,FALSE),1))</f>
        <v>1</v>
      </c>
      <c r="AA1053" s="62">
        <f>IF($H1053&lt;&gt;"Y",0,(IF($F1053&lt;&gt;"",ROUND(Dashboard!$R$4/$F1053,1),IF(AND($I1053="Base",$E1053="Base"),Dashboard!$R$5,IF(AND($I1053="Base",$E1053="Red"),Dashboard!$R$6,IF(AND($I1053="Base",$E1053="Gold"),Dashboard!$R$7,VLOOKUP($I1053,Dashboard!$Q$16:$R$21,2,FALSE)))))*VLOOKUP($I1053,Dashboard!$Q$9:$R$13,2,FALSE)*IF(AND($I1053="Auto",$F1053="",OR($B1053="Autographs Duals",$B1053="Autographs Triples",$B1053="Autographs Quads",$B1053="Autographs Quads (Inscribed)")),IF($B1053="Autographs Duals",2,IF($B1053="Autographs Triples",3,4)),1)))</f>
        <v>12.2</v>
      </c>
      <c r="AB1053" s="62">
        <f t="shared" si="219"/>
        <v>12.2</v>
      </c>
      <c r="AC1053" s="62">
        <f t="shared" si="220"/>
        <v>0</v>
      </c>
    </row>
    <row r="1054" spans="1:29" ht="28.7" customHeight="1" x14ac:dyDescent="0.25">
      <c r="A1054" s="4" t="s">
        <v>19</v>
      </c>
      <c r="B1054" s="7" t="s">
        <v>79</v>
      </c>
      <c r="C1054" s="2" t="s">
        <v>1552</v>
      </c>
      <c r="D1054" s="7" t="s">
        <v>335</v>
      </c>
      <c r="E1054" s="4" t="s">
        <v>779</v>
      </c>
      <c r="F1054" s="2">
        <v>82</v>
      </c>
      <c r="G1054" s="2" t="s">
        <v>1399</v>
      </c>
      <c r="H1054" s="2" t="s">
        <v>1400</v>
      </c>
      <c r="I1054" s="4" t="s">
        <v>60</v>
      </c>
      <c r="J1054" s="112">
        <f>IF($H1054&lt;&gt;"Y",0,ROUND(MIN(Dashboard!$R$24,IF(IFERROR(VLOOKUP($B1054,Dashboard!$Q$28:$S$60,2,FALSE),0)&gt;0,IFERROR(VLOOKUP($B1054,Dashboard!$Q$28:$S$60,2,FALSE),0),$Z1054*IF($U1054&lt;&gt;"",ROUND((Dashboard!$R$4/$U1054)*VLOOKUP($I1054,Dashboard!$Q$9:$R$13,2,FALSE)*IF(ISNUMBER(SEARCH("Duals",$B1054)),2,IF(ISNUMBER(SEARCH("Triples",$B1054)),3,IF(ISNUMBER(SEARCH("Quads",$B1054)),4,1))),2),ROUND(VLOOKUP($I1054,Dashboard!$Q$15:$R$20,2,FALSE)*IF($E1054="Red",Dashboard!$R$6,IF($E1054="Gold",Dashboard!$R$7,Dashboard!$R$5))*IF(ISNUMBER(SEARCH("Duals",$B1054)),2,IF(ISNUMBER(SEARCH("Triples",$B1054)),3,IF(ISNUMBER(SEARCH("Quads",$B1054)),4,1))),2))*IF(IFERROR(VLOOKUP($B1054,Dashboard!$Q$28:$S$60,3,FALSE),0)&gt;0,VLOOKUP($B1054,Dashboard!$Q$28:$S$60,3,FALSE),1))),0))</f>
        <v>12</v>
      </c>
      <c r="K1054" s="2" t="str">
        <f>IF('Base S2'!G54="","",'Base S2'!G54)</f>
        <v>C 30/82</v>
      </c>
      <c r="L1054" s="2">
        <f t="shared" si="208"/>
        <v>1</v>
      </c>
      <c r="M1054" s="2">
        <f t="shared" si="209"/>
        <v>0</v>
      </c>
      <c r="N1054" s="2">
        <f t="shared" si="210"/>
        <v>1</v>
      </c>
      <c r="O1054" s="2">
        <f t="shared" si="211"/>
        <v>0</v>
      </c>
      <c r="P1054" s="112">
        <f t="shared" si="212"/>
        <v>12</v>
      </c>
      <c r="Q1054" s="112">
        <f t="shared" si="213"/>
        <v>0</v>
      </c>
      <c r="R1054" s="53"/>
      <c r="S1054" s="53" t="str">
        <f t="shared" si="214"/>
        <v>Base S2|Floor 82 Parallel - Season 2|153|Floor 82</v>
      </c>
      <c r="T1054" s="57" t="str">
        <f>IF($S1054="","",IFERROR(VLOOKUP($S1054,'Pop Estimates (Non-#d)'!$N$2:$O$500,2,FALSE),""))</f>
        <v/>
      </c>
      <c r="U1054" s="57">
        <f t="shared" si="215"/>
        <v>82</v>
      </c>
      <c r="V1054" s="53" t="str">
        <f t="shared" si="216"/>
        <v/>
      </c>
      <c r="W1054" s="53" t="str">
        <f t="shared" si="217"/>
        <v/>
      </c>
      <c r="X1054" s="53" t="str">
        <f t="shared" si="218"/>
        <v/>
      </c>
      <c r="Y1054" s="57" t="str">
        <f>IF($X1054="","",IFERROR(VLOOKUP($X1054,'Char Popularity'!$A$2:$C$500,2,FALSE),""))</f>
        <v/>
      </c>
      <c r="Z1054" s="56">
        <f>IF($X1054="",1,IFERROR(VLOOKUP($X1054,'Char Popularity'!$A$2:$C$500,3,FALSE),1))</f>
        <v>1</v>
      </c>
      <c r="AA1054" s="62">
        <f>IF($H1054&lt;&gt;"Y",0,(IF($F1054&lt;&gt;"",ROUND(Dashboard!$R$4/$F1054,1),IF(AND($I1054="Base",$E1054="Base"),Dashboard!$R$5,IF(AND($I1054="Base",$E1054="Red"),Dashboard!$R$6,IF(AND($I1054="Base",$E1054="Gold"),Dashboard!$R$7,VLOOKUP($I1054,Dashboard!$Q$16:$R$21,2,FALSE)))))*VLOOKUP($I1054,Dashboard!$Q$9:$R$13,2,FALSE)*IF(AND($I1054="Auto",$F1054="",OR($B1054="Autographs Duals",$B1054="Autographs Triples",$B1054="Autographs Quads",$B1054="Autographs Quads (Inscribed)")),IF($B1054="Autographs Duals",2,IF($B1054="Autographs Triples",3,4)),1)))</f>
        <v>12.2</v>
      </c>
      <c r="AB1054" s="62">
        <f t="shared" si="219"/>
        <v>12.2</v>
      </c>
      <c r="AC1054" s="62">
        <f t="shared" si="220"/>
        <v>0</v>
      </c>
    </row>
    <row r="1055" spans="1:29" ht="28.7" customHeight="1" x14ac:dyDescent="0.25">
      <c r="A1055" s="4" t="s">
        <v>19</v>
      </c>
      <c r="B1055" s="7" t="s">
        <v>79</v>
      </c>
      <c r="C1055" s="2" t="s">
        <v>1553</v>
      </c>
      <c r="D1055" s="7" t="s">
        <v>1128</v>
      </c>
      <c r="E1055" s="4" t="s">
        <v>779</v>
      </c>
      <c r="F1055" s="2">
        <v>82</v>
      </c>
      <c r="G1055" s="2" t="s">
        <v>1399</v>
      </c>
      <c r="H1055" s="2" t="s">
        <v>1400</v>
      </c>
      <c r="I1055" s="4" t="s">
        <v>60</v>
      </c>
      <c r="J1055" s="112">
        <f>IF($H1055&lt;&gt;"Y",0,ROUND(MIN(Dashboard!$R$24,IF(IFERROR(VLOOKUP($B1055,Dashboard!$Q$28:$S$60,2,FALSE),0)&gt;0,IFERROR(VLOOKUP($B1055,Dashboard!$Q$28:$S$60,2,FALSE),0),$Z1055*IF($U1055&lt;&gt;"",ROUND((Dashboard!$R$4/$U1055)*VLOOKUP($I1055,Dashboard!$Q$9:$R$13,2,FALSE)*IF(ISNUMBER(SEARCH("Duals",$B1055)),2,IF(ISNUMBER(SEARCH("Triples",$B1055)),3,IF(ISNUMBER(SEARCH("Quads",$B1055)),4,1))),2),ROUND(VLOOKUP($I1055,Dashboard!$Q$15:$R$20,2,FALSE)*IF($E1055="Red",Dashboard!$R$6,IF($E1055="Gold",Dashboard!$R$7,Dashboard!$R$5))*IF(ISNUMBER(SEARCH("Duals",$B1055)),2,IF(ISNUMBER(SEARCH("Triples",$B1055)),3,IF(ISNUMBER(SEARCH("Quads",$B1055)),4,1))),2))*IF(IFERROR(VLOOKUP($B1055,Dashboard!$Q$28:$S$60,3,FALSE),0)&gt;0,VLOOKUP($B1055,Dashboard!$Q$28:$S$60,3,FALSE),1))),0))</f>
        <v>12</v>
      </c>
      <c r="K1055" s="2" t="str">
        <f>IF('Base S2'!G55="","",'Base S2'!G55)</f>
        <v>V 47/82</v>
      </c>
      <c r="L1055" s="2">
        <f t="shared" si="208"/>
        <v>1</v>
      </c>
      <c r="M1055" s="2">
        <f t="shared" si="209"/>
        <v>0</v>
      </c>
      <c r="N1055" s="2">
        <f t="shared" si="210"/>
        <v>1</v>
      </c>
      <c r="O1055" s="2">
        <f t="shared" si="211"/>
        <v>0</v>
      </c>
      <c r="P1055" s="112">
        <f t="shared" si="212"/>
        <v>12</v>
      </c>
      <c r="Q1055" s="112">
        <f t="shared" si="213"/>
        <v>0</v>
      </c>
      <c r="R1055" s="53"/>
      <c r="S1055" s="53" t="str">
        <f t="shared" si="214"/>
        <v>Base S2|Floor 82 Parallel - Season 2|154|Floor 82</v>
      </c>
      <c r="T1055" s="57" t="str">
        <f>IF($S1055="","",IFERROR(VLOOKUP($S1055,'Pop Estimates (Non-#d)'!$N$2:$O$500,2,FALSE),""))</f>
        <v/>
      </c>
      <c r="U1055" s="57">
        <f t="shared" si="215"/>
        <v>82</v>
      </c>
      <c r="V1055" s="53" t="str">
        <f t="shared" si="216"/>
        <v/>
      </c>
      <c r="W1055" s="53" t="str">
        <f t="shared" si="217"/>
        <v/>
      </c>
      <c r="X1055" s="53" t="str">
        <f t="shared" si="218"/>
        <v/>
      </c>
      <c r="Y1055" s="57" t="str">
        <f>IF($X1055="","",IFERROR(VLOOKUP($X1055,'Char Popularity'!$A$2:$C$500,2,FALSE),""))</f>
        <v/>
      </c>
      <c r="Z1055" s="56">
        <f>IF($X1055="",1,IFERROR(VLOOKUP($X1055,'Char Popularity'!$A$2:$C$500,3,FALSE),1))</f>
        <v>1</v>
      </c>
      <c r="AA1055" s="62">
        <f>IF($H1055&lt;&gt;"Y",0,(IF($F1055&lt;&gt;"",ROUND(Dashboard!$R$4/$F1055,1),IF(AND($I1055="Base",$E1055="Base"),Dashboard!$R$5,IF(AND($I1055="Base",$E1055="Red"),Dashboard!$R$6,IF(AND($I1055="Base",$E1055="Gold"),Dashboard!$R$7,VLOOKUP($I1055,Dashboard!$Q$16:$R$21,2,FALSE)))))*VLOOKUP($I1055,Dashboard!$Q$9:$R$13,2,FALSE)*IF(AND($I1055="Auto",$F1055="",OR($B1055="Autographs Duals",$B1055="Autographs Triples",$B1055="Autographs Quads",$B1055="Autographs Quads (Inscribed)")),IF($B1055="Autographs Duals",2,IF($B1055="Autographs Triples",3,4)),1)))</f>
        <v>12.2</v>
      </c>
      <c r="AB1055" s="62">
        <f t="shared" si="219"/>
        <v>12.2</v>
      </c>
      <c r="AC1055" s="62">
        <f t="shared" si="220"/>
        <v>0</v>
      </c>
    </row>
    <row r="1056" spans="1:29" ht="28.7" customHeight="1" x14ac:dyDescent="0.25">
      <c r="A1056" s="4" t="s">
        <v>19</v>
      </c>
      <c r="B1056" s="7" t="s">
        <v>79</v>
      </c>
      <c r="C1056" s="2" t="s">
        <v>1554</v>
      </c>
      <c r="D1056" s="7" t="s">
        <v>1130</v>
      </c>
      <c r="E1056" s="4" t="s">
        <v>779</v>
      </c>
      <c r="F1056" s="2">
        <v>82</v>
      </c>
      <c r="G1056" s="2" t="s">
        <v>1399</v>
      </c>
      <c r="H1056" s="2" t="s">
        <v>1400</v>
      </c>
      <c r="I1056" s="4" t="s">
        <v>60</v>
      </c>
      <c r="J1056" s="112">
        <f>IF($H1056&lt;&gt;"Y",0,ROUND(MIN(Dashboard!$R$24,IF(IFERROR(VLOOKUP($B1056,Dashboard!$Q$28:$S$60,2,FALSE),0)&gt;0,IFERROR(VLOOKUP($B1056,Dashboard!$Q$28:$S$60,2,FALSE),0),$Z1056*IF($U1056&lt;&gt;"",ROUND((Dashboard!$R$4/$U1056)*VLOOKUP($I1056,Dashboard!$Q$9:$R$13,2,FALSE)*IF(ISNUMBER(SEARCH("Duals",$B1056)),2,IF(ISNUMBER(SEARCH("Triples",$B1056)),3,IF(ISNUMBER(SEARCH("Quads",$B1056)),4,1))),2),ROUND(VLOOKUP($I1056,Dashboard!$Q$15:$R$20,2,FALSE)*IF($E1056="Red",Dashboard!$R$6,IF($E1056="Gold",Dashboard!$R$7,Dashboard!$R$5))*IF(ISNUMBER(SEARCH("Duals",$B1056)),2,IF(ISNUMBER(SEARCH("Triples",$B1056)),3,IF(ISNUMBER(SEARCH("Quads",$B1056)),4,1))),2))*IF(IFERROR(VLOOKUP($B1056,Dashboard!$Q$28:$S$60,3,FALSE),0)&gt;0,VLOOKUP($B1056,Dashboard!$Q$28:$S$60,3,FALSE),1))),0))</f>
        <v>12</v>
      </c>
      <c r="K1056" s="2" t="str">
        <f>IF('Base S2'!G56="","",'Base S2'!G56)</f>
        <v>C 55/82</v>
      </c>
      <c r="L1056" s="2">
        <f t="shared" si="208"/>
        <v>1</v>
      </c>
      <c r="M1056" s="2">
        <f t="shared" si="209"/>
        <v>0</v>
      </c>
      <c r="N1056" s="2">
        <f t="shared" si="210"/>
        <v>1</v>
      </c>
      <c r="O1056" s="2">
        <f t="shared" si="211"/>
        <v>0</v>
      </c>
      <c r="P1056" s="112">
        <f t="shared" si="212"/>
        <v>12</v>
      </c>
      <c r="Q1056" s="112">
        <f t="shared" si="213"/>
        <v>0</v>
      </c>
      <c r="R1056" s="53"/>
      <c r="S1056" s="53" t="str">
        <f t="shared" si="214"/>
        <v>Base S2|Floor 82 Parallel - Season 2|155|Floor 82</v>
      </c>
      <c r="T1056" s="57" t="str">
        <f>IF($S1056="","",IFERROR(VLOOKUP($S1056,'Pop Estimates (Non-#d)'!$N$2:$O$500,2,FALSE),""))</f>
        <v/>
      </c>
      <c r="U1056" s="57">
        <f t="shared" si="215"/>
        <v>82</v>
      </c>
      <c r="V1056" s="53" t="str">
        <f t="shared" si="216"/>
        <v/>
      </c>
      <c r="W1056" s="53" t="str">
        <f t="shared" si="217"/>
        <v/>
      </c>
      <c r="X1056" s="53" t="str">
        <f t="shared" si="218"/>
        <v/>
      </c>
      <c r="Y1056" s="57" t="str">
        <f>IF($X1056="","",IFERROR(VLOOKUP($X1056,'Char Popularity'!$A$2:$C$500,2,FALSE),""))</f>
        <v/>
      </c>
      <c r="Z1056" s="56">
        <f>IF($X1056="",1,IFERROR(VLOOKUP($X1056,'Char Popularity'!$A$2:$C$500,3,FALSE),1))</f>
        <v>1</v>
      </c>
      <c r="AA1056" s="62">
        <f>IF($H1056&lt;&gt;"Y",0,(IF($F1056&lt;&gt;"",ROUND(Dashboard!$R$4/$F1056,1),IF(AND($I1056="Base",$E1056="Base"),Dashboard!$R$5,IF(AND($I1056="Base",$E1056="Red"),Dashboard!$R$6,IF(AND($I1056="Base",$E1056="Gold"),Dashboard!$R$7,VLOOKUP($I1056,Dashboard!$Q$16:$R$21,2,FALSE)))))*VLOOKUP($I1056,Dashboard!$Q$9:$R$13,2,FALSE)*IF(AND($I1056="Auto",$F1056="",OR($B1056="Autographs Duals",$B1056="Autographs Triples",$B1056="Autographs Quads",$B1056="Autographs Quads (Inscribed)")),IF($B1056="Autographs Duals",2,IF($B1056="Autographs Triples",3,4)),1)))</f>
        <v>12.2</v>
      </c>
      <c r="AB1056" s="62">
        <f t="shared" si="219"/>
        <v>12.2</v>
      </c>
      <c r="AC1056" s="62">
        <f t="shared" si="220"/>
        <v>0</v>
      </c>
    </row>
    <row r="1057" spans="1:29" ht="28.7" customHeight="1" x14ac:dyDescent="0.25">
      <c r="A1057" s="4" t="s">
        <v>19</v>
      </c>
      <c r="B1057" s="7" t="s">
        <v>79</v>
      </c>
      <c r="C1057" s="2" t="s">
        <v>1555</v>
      </c>
      <c r="D1057" s="7" t="s">
        <v>1132</v>
      </c>
      <c r="E1057" s="4" t="s">
        <v>779</v>
      </c>
      <c r="F1057" s="2">
        <v>82</v>
      </c>
      <c r="G1057" s="2" t="s">
        <v>1399</v>
      </c>
      <c r="H1057" s="2" t="s">
        <v>1400</v>
      </c>
      <c r="I1057" s="4" t="s">
        <v>60</v>
      </c>
      <c r="J1057" s="112">
        <f>IF($H1057&lt;&gt;"Y",0,ROUND(MIN(Dashboard!$R$24,IF(IFERROR(VLOOKUP($B1057,Dashboard!$Q$28:$S$60,2,FALSE),0)&gt;0,IFERROR(VLOOKUP($B1057,Dashboard!$Q$28:$S$60,2,FALSE),0),$Z1057*IF($U1057&lt;&gt;"",ROUND((Dashboard!$R$4/$U1057)*VLOOKUP($I1057,Dashboard!$Q$9:$R$13,2,FALSE)*IF(ISNUMBER(SEARCH("Duals",$B1057)),2,IF(ISNUMBER(SEARCH("Triples",$B1057)),3,IF(ISNUMBER(SEARCH("Quads",$B1057)),4,1))),2),ROUND(VLOOKUP($I1057,Dashboard!$Q$15:$R$20,2,FALSE)*IF($E1057="Red",Dashboard!$R$6,IF($E1057="Gold",Dashboard!$R$7,Dashboard!$R$5))*IF(ISNUMBER(SEARCH("Duals",$B1057)),2,IF(ISNUMBER(SEARCH("Triples",$B1057)),3,IF(ISNUMBER(SEARCH("Quads",$B1057)),4,1))),2))*IF(IFERROR(VLOOKUP($B1057,Dashboard!$Q$28:$S$60,3,FALSE),0)&gt;0,VLOOKUP($B1057,Dashboard!$Q$28:$S$60,3,FALSE),1))),0))</f>
        <v>12</v>
      </c>
      <c r="K1057" s="2" t="str">
        <f>IF('Base S2'!G57="","",'Base S2'!G57)</f>
        <v>C 79/82</v>
      </c>
      <c r="L1057" s="2">
        <f t="shared" si="208"/>
        <v>1</v>
      </c>
      <c r="M1057" s="2">
        <f t="shared" si="209"/>
        <v>0</v>
      </c>
      <c r="N1057" s="2">
        <f t="shared" si="210"/>
        <v>1</v>
      </c>
      <c r="O1057" s="2">
        <f t="shared" si="211"/>
        <v>0</v>
      </c>
      <c r="P1057" s="112">
        <f t="shared" si="212"/>
        <v>12</v>
      </c>
      <c r="Q1057" s="112">
        <f t="shared" si="213"/>
        <v>0</v>
      </c>
      <c r="R1057" s="53"/>
      <c r="S1057" s="53" t="str">
        <f t="shared" si="214"/>
        <v>Base S2|Floor 82 Parallel - Season 2|156|Floor 82</v>
      </c>
      <c r="T1057" s="57" t="str">
        <f>IF($S1057="","",IFERROR(VLOOKUP($S1057,'Pop Estimates (Non-#d)'!$N$2:$O$500,2,FALSE),""))</f>
        <v/>
      </c>
      <c r="U1057" s="57">
        <f t="shared" si="215"/>
        <v>82</v>
      </c>
      <c r="V1057" s="53" t="str">
        <f t="shared" si="216"/>
        <v/>
      </c>
      <c r="W1057" s="53" t="str">
        <f t="shared" si="217"/>
        <v/>
      </c>
      <c r="X1057" s="53" t="str">
        <f t="shared" si="218"/>
        <v/>
      </c>
      <c r="Y1057" s="57" t="str">
        <f>IF($X1057="","",IFERROR(VLOOKUP($X1057,'Char Popularity'!$A$2:$C$500,2,FALSE),""))</f>
        <v/>
      </c>
      <c r="Z1057" s="56">
        <f>IF($X1057="",1,IFERROR(VLOOKUP($X1057,'Char Popularity'!$A$2:$C$500,3,FALSE),1))</f>
        <v>1</v>
      </c>
      <c r="AA1057" s="62">
        <f>IF($H1057&lt;&gt;"Y",0,(IF($F1057&lt;&gt;"",ROUND(Dashboard!$R$4/$F1057,1),IF(AND($I1057="Base",$E1057="Base"),Dashboard!$R$5,IF(AND($I1057="Base",$E1057="Red"),Dashboard!$R$6,IF(AND($I1057="Base",$E1057="Gold"),Dashboard!$R$7,VLOOKUP($I1057,Dashboard!$Q$16:$R$21,2,FALSE)))))*VLOOKUP($I1057,Dashboard!$Q$9:$R$13,2,FALSE)*IF(AND($I1057="Auto",$F1057="",OR($B1057="Autographs Duals",$B1057="Autographs Triples",$B1057="Autographs Quads",$B1057="Autographs Quads (Inscribed)")),IF($B1057="Autographs Duals",2,IF($B1057="Autographs Triples",3,4)),1)))</f>
        <v>12.2</v>
      </c>
      <c r="AB1057" s="62">
        <f t="shared" si="219"/>
        <v>12.2</v>
      </c>
      <c r="AC1057" s="62">
        <f t="shared" si="220"/>
        <v>0</v>
      </c>
    </row>
    <row r="1058" spans="1:29" ht="28.7" customHeight="1" x14ac:dyDescent="0.25">
      <c r="A1058" s="4" t="s">
        <v>19</v>
      </c>
      <c r="B1058" s="7" t="s">
        <v>79</v>
      </c>
      <c r="C1058" s="2" t="s">
        <v>1556</v>
      </c>
      <c r="D1058" s="7" t="s">
        <v>1134</v>
      </c>
      <c r="E1058" s="4" t="s">
        <v>779</v>
      </c>
      <c r="F1058" s="2">
        <v>82</v>
      </c>
      <c r="G1058" s="2" t="s">
        <v>1399</v>
      </c>
      <c r="H1058" s="2" t="s">
        <v>1400</v>
      </c>
      <c r="I1058" s="4" t="s">
        <v>60</v>
      </c>
      <c r="J1058" s="112">
        <f>IF($H1058&lt;&gt;"Y",0,ROUND(MIN(Dashboard!$R$24,IF(IFERROR(VLOOKUP($B1058,Dashboard!$Q$28:$S$60,2,FALSE),0)&gt;0,IFERROR(VLOOKUP($B1058,Dashboard!$Q$28:$S$60,2,FALSE),0),$Z1058*IF($U1058&lt;&gt;"",ROUND((Dashboard!$R$4/$U1058)*VLOOKUP($I1058,Dashboard!$Q$9:$R$13,2,FALSE)*IF(ISNUMBER(SEARCH("Duals",$B1058)),2,IF(ISNUMBER(SEARCH("Triples",$B1058)),3,IF(ISNUMBER(SEARCH("Quads",$B1058)),4,1))),2),ROUND(VLOOKUP($I1058,Dashboard!$Q$15:$R$20,2,FALSE)*IF($E1058="Red",Dashboard!$R$6,IF($E1058="Gold",Dashboard!$R$7,Dashboard!$R$5))*IF(ISNUMBER(SEARCH("Duals",$B1058)),2,IF(ISNUMBER(SEARCH("Triples",$B1058)),3,IF(ISNUMBER(SEARCH("Quads",$B1058)),4,1))),2))*IF(IFERROR(VLOOKUP($B1058,Dashboard!$Q$28:$S$60,3,FALSE),0)&gt;0,VLOOKUP($B1058,Dashboard!$Q$28:$S$60,3,FALSE),1))),0))</f>
        <v>12</v>
      </c>
      <c r="K1058" s="2" t="str">
        <f>IF('Base S2'!G58="","",'Base S2'!G58)</f>
        <v>V 49/82</v>
      </c>
      <c r="L1058" s="2">
        <f t="shared" si="208"/>
        <v>1</v>
      </c>
      <c r="M1058" s="2">
        <f t="shared" si="209"/>
        <v>0</v>
      </c>
      <c r="N1058" s="2">
        <f t="shared" si="210"/>
        <v>1</v>
      </c>
      <c r="O1058" s="2">
        <f t="shared" si="211"/>
        <v>0</v>
      </c>
      <c r="P1058" s="112">
        <f t="shared" si="212"/>
        <v>12</v>
      </c>
      <c r="Q1058" s="112">
        <f t="shared" si="213"/>
        <v>0</v>
      </c>
      <c r="R1058" s="53"/>
      <c r="S1058" s="53" t="str">
        <f t="shared" si="214"/>
        <v>Base S2|Floor 82 Parallel - Season 2|157|Floor 82</v>
      </c>
      <c r="T1058" s="57" t="str">
        <f>IF($S1058="","",IFERROR(VLOOKUP($S1058,'Pop Estimates (Non-#d)'!$N$2:$O$500,2,FALSE),""))</f>
        <v/>
      </c>
      <c r="U1058" s="57">
        <f t="shared" si="215"/>
        <v>82</v>
      </c>
      <c r="V1058" s="53" t="str">
        <f t="shared" si="216"/>
        <v/>
      </c>
      <c r="W1058" s="53" t="str">
        <f t="shared" si="217"/>
        <v/>
      </c>
      <c r="X1058" s="53" t="str">
        <f t="shared" si="218"/>
        <v/>
      </c>
      <c r="Y1058" s="57" t="str">
        <f>IF($X1058="","",IFERROR(VLOOKUP($X1058,'Char Popularity'!$A$2:$C$500,2,FALSE),""))</f>
        <v/>
      </c>
      <c r="Z1058" s="56">
        <f>IF($X1058="",1,IFERROR(VLOOKUP($X1058,'Char Popularity'!$A$2:$C$500,3,FALSE),1))</f>
        <v>1</v>
      </c>
      <c r="AA1058" s="62">
        <f>IF($H1058&lt;&gt;"Y",0,(IF($F1058&lt;&gt;"",ROUND(Dashboard!$R$4/$F1058,1),IF(AND($I1058="Base",$E1058="Base"),Dashboard!$R$5,IF(AND($I1058="Base",$E1058="Red"),Dashboard!$R$6,IF(AND($I1058="Base",$E1058="Gold"),Dashboard!$R$7,VLOOKUP($I1058,Dashboard!$Q$16:$R$21,2,FALSE)))))*VLOOKUP($I1058,Dashboard!$Q$9:$R$13,2,FALSE)*IF(AND($I1058="Auto",$F1058="",OR($B1058="Autographs Duals",$B1058="Autographs Triples",$B1058="Autographs Quads",$B1058="Autographs Quads (Inscribed)")),IF($B1058="Autographs Duals",2,IF($B1058="Autographs Triples",3,4)),1)))</f>
        <v>12.2</v>
      </c>
      <c r="AB1058" s="62">
        <f t="shared" si="219"/>
        <v>12.2</v>
      </c>
      <c r="AC1058" s="62">
        <f t="shared" si="220"/>
        <v>0</v>
      </c>
    </row>
    <row r="1059" spans="1:29" ht="28.7" customHeight="1" x14ac:dyDescent="0.25">
      <c r="A1059" s="4" t="s">
        <v>19</v>
      </c>
      <c r="B1059" s="7" t="s">
        <v>79</v>
      </c>
      <c r="C1059" s="2" t="s">
        <v>1557</v>
      </c>
      <c r="D1059" s="7" t="s">
        <v>1136</v>
      </c>
      <c r="E1059" s="4" t="s">
        <v>779</v>
      </c>
      <c r="F1059" s="2">
        <v>82</v>
      </c>
      <c r="G1059" s="2" t="s">
        <v>1399</v>
      </c>
      <c r="H1059" s="2" t="s">
        <v>1400</v>
      </c>
      <c r="I1059" s="4" t="s">
        <v>60</v>
      </c>
      <c r="J1059" s="112">
        <f>IF($H1059&lt;&gt;"Y",0,ROUND(MIN(Dashboard!$R$24,IF(IFERROR(VLOOKUP($B1059,Dashboard!$Q$28:$S$60,2,FALSE),0)&gt;0,IFERROR(VLOOKUP($B1059,Dashboard!$Q$28:$S$60,2,FALSE),0),$Z1059*IF($U1059&lt;&gt;"",ROUND((Dashboard!$R$4/$U1059)*VLOOKUP($I1059,Dashboard!$Q$9:$R$13,2,FALSE)*IF(ISNUMBER(SEARCH("Duals",$B1059)),2,IF(ISNUMBER(SEARCH("Triples",$B1059)),3,IF(ISNUMBER(SEARCH("Quads",$B1059)),4,1))),2),ROUND(VLOOKUP($I1059,Dashboard!$Q$15:$R$20,2,FALSE)*IF($E1059="Red",Dashboard!$R$6,IF($E1059="Gold",Dashboard!$R$7,Dashboard!$R$5))*IF(ISNUMBER(SEARCH("Duals",$B1059)),2,IF(ISNUMBER(SEARCH("Triples",$B1059)),3,IF(ISNUMBER(SEARCH("Quads",$B1059)),4,1))),2))*IF(IFERROR(VLOOKUP($B1059,Dashboard!$Q$28:$S$60,3,FALSE),0)&gt;0,VLOOKUP($B1059,Dashboard!$Q$28:$S$60,3,FALSE),1))),0))</f>
        <v>12</v>
      </c>
      <c r="K1059" s="2" t="str">
        <f>IF('Base S2'!G59="","",'Base S2'!G59)</f>
        <v>V 46/82</v>
      </c>
      <c r="L1059" s="2">
        <f t="shared" si="208"/>
        <v>1</v>
      </c>
      <c r="M1059" s="2">
        <f t="shared" si="209"/>
        <v>0</v>
      </c>
      <c r="N1059" s="2">
        <f t="shared" si="210"/>
        <v>1</v>
      </c>
      <c r="O1059" s="2">
        <f t="shared" si="211"/>
        <v>0</v>
      </c>
      <c r="P1059" s="112">
        <f t="shared" si="212"/>
        <v>12</v>
      </c>
      <c r="Q1059" s="112">
        <f t="shared" si="213"/>
        <v>0</v>
      </c>
      <c r="R1059" s="53"/>
      <c r="S1059" s="53" t="str">
        <f t="shared" si="214"/>
        <v>Base S2|Floor 82 Parallel - Season 2|158|Floor 82</v>
      </c>
      <c r="T1059" s="57" t="str">
        <f>IF($S1059="","",IFERROR(VLOOKUP($S1059,'Pop Estimates (Non-#d)'!$N$2:$O$500,2,FALSE),""))</f>
        <v/>
      </c>
      <c r="U1059" s="57">
        <f t="shared" si="215"/>
        <v>82</v>
      </c>
      <c r="V1059" s="53" t="str">
        <f t="shared" si="216"/>
        <v/>
      </c>
      <c r="W1059" s="53" t="str">
        <f t="shared" si="217"/>
        <v/>
      </c>
      <c r="X1059" s="53" t="str">
        <f t="shared" si="218"/>
        <v/>
      </c>
      <c r="Y1059" s="57" t="str">
        <f>IF($X1059="","",IFERROR(VLOOKUP($X1059,'Char Popularity'!$A$2:$C$500,2,FALSE),""))</f>
        <v/>
      </c>
      <c r="Z1059" s="56">
        <f>IF($X1059="",1,IFERROR(VLOOKUP($X1059,'Char Popularity'!$A$2:$C$500,3,FALSE),1))</f>
        <v>1</v>
      </c>
      <c r="AA1059" s="62">
        <f>IF($H1059&lt;&gt;"Y",0,(IF($F1059&lt;&gt;"",ROUND(Dashboard!$R$4/$F1059,1),IF(AND($I1059="Base",$E1059="Base"),Dashboard!$R$5,IF(AND($I1059="Base",$E1059="Red"),Dashboard!$R$6,IF(AND($I1059="Base",$E1059="Gold"),Dashboard!$R$7,VLOOKUP($I1059,Dashboard!$Q$16:$R$21,2,FALSE)))))*VLOOKUP($I1059,Dashboard!$Q$9:$R$13,2,FALSE)*IF(AND($I1059="Auto",$F1059="",OR($B1059="Autographs Duals",$B1059="Autographs Triples",$B1059="Autographs Quads",$B1059="Autographs Quads (Inscribed)")),IF($B1059="Autographs Duals",2,IF($B1059="Autographs Triples",3,4)),1)))</f>
        <v>12.2</v>
      </c>
      <c r="AB1059" s="62">
        <f t="shared" si="219"/>
        <v>12.2</v>
      </c>
      <c r="AC1059" s="62">
        <f t="shared" si="220"/>
        <v>0</v>
      </c>
    </row>
    <row r="1060" spans="1:29" ht="28.7" customHeight="1" x14ac:dyDescent="0.25">
      <c r="A1060" s="4" t="s">
        <v>19</v>
      </c>
      <c r="B1060" s="7" t="s">
        <v>79</v>
      </c>
      <c r="C1060" s="2" t="s">
        <v>1558</v>
      </c>
      <c r="D1060" s="7" t="s">
        <v>1137</v>
      </c>
      <c r="E1060" s="4" t="s">
        <v>779</v>
      </c>
      <c r="F1060" s="2">
        <v>82</v>
      </c>
      <c r="G1060" s="2" t="s">
        <v>1399</v>
      </c>
      <c r="H1060" s="2" t="s">
        <v>1400</v>
      </c>
      <c r="I1060" s="4" t="s">
        <v>60</v>
      </c>
      <c r="J1060" s="112">
        <f>IF($H1060&lt;&gt;"Y",0,ROUND(MIN(Dashboard!$R$24,IF(IFERROR(VLOOKUP($B1060,Dashboard!$Q$28:$S$60,2,FALSE),0)&gt;0,IFERROR(VLOOKUP($B1060,Dashboard!$Q$28:$S$60,2,FALSE),0),$Z1060*IF($U1060&lt;&gt;"",ROUND((Dashboard!$R$4/$U1060)*VLOOKUP($I1060,Dashboard!$Q$9:$R$13,2,FALSE)*IF(ISNUMBER(SEARCH("Duals",$B1060)),2,IF(ISNUMBER(SEARCH("Triples",$B1060)),3,IF(ISNUMBER(SEARCH("Quads",$B1060)),4,1))),2),ROUND(VLOOKUP($I1060,Dashboard!$Q$15:$R$20,2,FALSE)*IF($E1060="Red",Dashboard!$R$6,IF($E1060="Gold",Dashboard!$R$7,Dashboard!$R$5))*IF(ISNUMBER(SEARCH("Duals",$B1060)),2,IF(ISNUMBER(SEARCH("Triples",$B1060)),3,IF(ISNUMBER(SEARCH("Quads",$B1060)),4,1))),2))*IF(IFERROR(VLOOKUP($B1060,Dashboard!$Q$28:$S$60,3,FALSE),0)&gt;0,VLOOKUP($B1060,Dashboard!$Q$28:$S$60,3,FALSE),1))),0))</f>
        <v>12</v>
      </c>
      <c r="K1060" s="2" t="str">
        <f>IF('Base S2'!G60="","",'Base S2'!G60)</f>
        <v>C 37/82</v>
      </c>
      <c r="L1060" s="2">
        <f t="shared" si="208"/>
        <v>1</v>
      </c>
      <c r="M1060" s="2">
        <f t="shared" si="209"/>
        <v>0</v>
      </c>
      <c r="N1060" s="2">
        <f t="shared" si="210"/>
        <v>1</v>
      </c>
      <c r="O1060" s="2">
        <f t="shared" si="211"/>
        <v>0</v>
      </c>
      <c r="P1060" s="112">
        <f t="shared" si="212"/>
        <v>12</v>
      </c>
      <c r="Q1060" s="112">
        <f t="shared" si="213"/>
        <v>0</v>
      </c>
      <c r="R1060" s="53"/>
      <c r="S1060" s="53" t="str">
        <f t="shared" si="214"/>
        <v>Base S2|Floor 82 Parallel - Season 2|159|Floor 82</v>
      </c>
      <c r="T1060" s="57" t="str">
        <f>IF($S1060="","",IFERROR(VLOOKUP($S1060,'Pop Estimates (Non-#d)'!$N$2:$O$500,2,FALSE),""))</f>
        <v/>
      </c>
      <c r="U1060" s="57">
        <f t="shared" si="215"/>
        <v>82</v>
      </c>
      <c r="V1060" s="53" t="str">
        <f t="shared" si="216"/>
        <v/>
      </c>
      <c r="W1060" s="53" t="str">
        <f t="shared" si="217"/>
        <v/>
      </c>
      <c r="X1060" s="53" t="str">
        <f t="shared" si="218"/>
        <v/>
      </c>
      <c r="Y1060" s="57" t="str">
        <f>IF($X1060="","",IFERROR(VLOOKUP($X1060,'Char Popularity'!$A$2:$C$500,2,FALSE),""))</f>
        <v/>
      </c>
      <c r="Z1060" s="56">
        <f>IF($X1060="",1,IFERROR(VLOOKUP($X1060,'Char Popularity'!$A$2:$C$500,3,FALSE),1))</f>
        <v>1</v>
      </c>
      <c r="AA1060" s="62">
        <f>IF($H1060&lt;&gt;"Y",0,(IF($F1060&lt;&gt;"",ROUND(Dashboard!$R$4/$F1060,1),IF(AND($I1060="Base",$E1060="Base"),Dashboard!$R$5,IF(AND($I1060="Base",$E1060="Red"),Dashboard!$R$6,IF(AND($I1060="Base",$E1060="Gold"),Dashboard!$R$7,VLOOKUP($I1060,Dashboard!$Q$16:$R$21,2,FALSE)))))*VLOOKUP($I1060,Dashboard!$Q$9:$R$13,2,FALSE)*IF(AND($I1060="Auto",$F1060="",OR($B1060="Autographs Duals",$B1060="Autographs Triples",$B1060="Autographs Quads",$B1060="Autographs Quads (Inscribed)")),IF($B1060="Autographs Duals",2,IF($B1060="Autographs Triples",3,4)),1)))</f>
        <v>12.2</v>
      </c>
      <c r="AB1060" s="62">
        <f t="shared" si="219"/>
        <v>12.2</v>
      </c>
      <c r="AC1060" s="62">
        <f t="shared" si="220"/>
        <v>0</v>
      </c>
    </row>
    <row r="1061" spans="1:29" ht="28.7" customHeight="1" x14ac:dyDescent="0.25">
      <c r="A1061" s="4" t="s">
        <v>19</v>
      </c>
      <c r="B1061" s="7" t="s">
        <v>79</v>
      </c>
      <c r="C1061" s="2" t="s">
        <v>1559</v>
      </c>
      <c r="D1061" s="7" t="s">
        <v>1139</v>
      </c>
      <c r="E1061" s="4" t="s">
        <v>779</v>
      </c>
      <c r="F1061" s="2">
        <v>82</v>
      </c>
      <c r="G1061" s="2" t="s">
        <v>1399</v>
      </c>
      <c r="H1061" s="2" t="s">
        <v>1400</v>
      </c>
      <c r="I1061" s="4" t="s">
        <v>60</v>
      </c>
      <c r="J1061" s="112">
        <f>IF($H1061&lt;&gt;"Y",0,ROUND(MIN(Dashboard!$R$24,IF(IFERROR(VLOOKUP($B1061,Dashboard!$Q$28:$S$60,2,FALSE),0)&gt;0,IFERROR(VLOOKUP($B1061,Dashboard!$Q$28:$S$60,2,FALSE),0),$Z1061*IF($U1061&lt;&gt;"",ROUND((Dashboard!$R$4/$U1061)*VLOOKUP($I1061,Dashboard!$Q$9:$R$13,2,FALSE)*IF(ISNUMBER(SEARCH("Duals",$B1061)),2,IF(ISNUMBER(SEARCH("Triples",$B1061)),3,IF(ISNUMBER(SEARCH("Quads",$B1061)),4,1))),2),ROUND(VLOOKUP($I1061,Dashboard!$Q$15:$R$20,2,FALSE)*IF($E1061="Red",Dashboard!$R$6,IF($E1061="Gold",Dashboard!$R$7,Dashboard!$R$5))*IF(ISNUMBER(SEARCH("Duals",$B1061)),2,IF(ISNUMBER(SEARCH("Triples",$B1061)),3,IF(ISNUMBER(SEARCH("Quads",$B1061)),4,1))),2))*IF(IFERROR(VLOOKUP($B1061,Dashboard!$Q$28:$S$60,3,FALSE),0)&gt;0,VLOOKUP($B1061,Dashboard!$Q$28:$S$60,3,FALSE),1))),0))</f>
        <v>12</v>
      </c>
      <c r="K1061" s="2" t="str">
        <f>IF('Base S2'!G61="","",'Base S2'!G61)</f>
        <v>C 60/82</v>
      </c>
      <c r="L1061" s="2">
        <f t="shared" si="208"/>
        <v>1</v>
      </c>
      <c r="M1061" s="2">
        <f t="shared" si="209"/>
        <v>0</v>
      </c>
      <c r="N1061" s="2">
        <f t="shared" si="210"/>
        <v>1</v>
      </c>
      <c r="O1061" s="2">
        <f t="shared" si="211"/>
        <v>0</v>
      </c>
      <c r="P1061" s="112">
        <f t="shared" si="212"/>
        <v>12</v>
      </c>
      <c r="Q1061" s="112">
        <f t="shared" si="213"/>
        <v>0</v>
      </c>
      <c r="R1061" s="53"/>
      <c r="S1061" s="53" t="str">
        <f t="shared" si="214"/>
        <v>Base S2|Floor 82 Parallel - Season 2|160|Floor 82</v>
      </c>
      <c r="T1061" s="57" t="str">
        <f>IF($S1061="","",IFERROR(VLOOKUP($S1061,'Pop Estimates (Non-#d)'!$N$2:$O$500,2,FALSE),""))</f>
        <v/>
      </c>
      <c r="U1061" s="57">
        <f t="shared" si="215"/>
        <v>82</v>
      </c>
      <c r="V1061" s="53" t="str">
        <f t="shared" si="216"/>
        <v/>
      </c>
      <c r="W1061" s="53" t="str">
        <f t="shared" si="217"/>
        <v/>
      </c>
      <c r="X1061" s="53" t="str">
        <f t="shared" si="218"/>
        <v/>
      </c>
      <c r="Y1061" s="57" t="str">
        <f>IF($X1061="","",IFERROR(VLOOKUP($X1061,'Char Popularity'!$A$2:$C$500,2,FALSE),""))</f>
        <v/>
      </c>
      <c r="Z1061" s="56">
        <f>IF($X1061="",1,IFERROR(VLOOKUP($X1061,'Char Popularity'!$A$2:$C$500,3,FALSE),1))</f>
        <v>1</v>
      </c>
      <c r="AA1061" s="62">
        <f>IF($H1061&lt;&gt;"Y",0,(IF($F1061&lt;&gt;"",ROUND(Dashboard!$R$4/$F1061,1),IF(AND($I1061="Base",$E1061="Base"),Dashboard!$R$5,IF(AND($I1061="Base",$E1061="Red"),Dashboard!$R$6,IF(AND($I1061="Base",$E1061="Gold"),Dashboard!$R$7,VLOOKUP($I1061,Dashboard!$Q$16:$R$21,2,FALSE)))))*VLOOKUP($I1061,Dashboard!$Q$9:$R$13,2,FALSE)*IF(AND($I1061="Auto",$F1061="",OR($B1061="Autographs Duals",$B1061="Autographs Triples",$B1061="Autographs Quads",$B1061="Autographs Quads (Inscribed)")),IF($B1061="Autographs Duals",2,IF($B1061="Autographs Triples",3,4)),1)))</f>
        <v>12.2</v>
      </c>
      <c r="AB1061" s="62">
        <f t="shared" si="219"/>
        <v>12.2</v>
      </c>
      <c r="AC1061" s="62">
        <f t="shared" si="220"/>
        <v>0</v>
      </c>
    </row>
    <row r="1062" spans="1:29" ht="28.7" customHeight="1" x14ac:dyDescent="0.25">
      <c r="A1062" s="4" t="s">
        <v>19</v>
      </c>
      <c r="B1062" s="7" t="s">
        <v>79</v>
      </c>
      <c r="C1062" s="2" t="s">
        <v>1560</v>
      </c>
      <c r="D1062" s="7" t="s">
        <v>1140</v>
      </c>
      <c r="E1062" s="4" t="s">
        <v>779</v>
      </c>
      <c r="F1062" s="2">
        <v>82</v>
      </c>
      <c r="G1062" s="2" t="s">
        <v>1399</v>
      </c>
      <c r="H1062" s="2" t="s">
        <v>1400</v>
      </c>
      <c r="I1062" s="4" t="s">
        <v>60</v>
      </c>
      <c r="J1062" s="112">
        <f>IF($H1062&lt;&gt;"Y",0,ROUND(MIN(Dashboard!$R$24,IF(IFERROR(VLOOKUP($B1062,Dashboard!$Q$28:$S$60,2,FALSE),0)&gt;0,IFERROR(VLOOKUP($B1062,Dashboard!$Q$28:$S$60,2,FALSE),0),$Z1062*IF($U1062&lt;&gt;"",ROUND((Dashboard!$R$4/$U1062)*VLOOKUP($I1062,Dashboard!$Q$9:$R$13,2,FALSE)*IF(ISNUMBER(SEARCH("Duals",$B1062)),2,IF(ISNUMBER(SEARCH("Triples",$B1062)),3,IF(ISNUMBER(SEARCH("Quads",$B1062)),4,1))),2),ROUND(VLOOKUP($I1062,Dashboard!$Q$15:$R$20,2,FALSE)*IF($E1062="Red",Dashboard!$R$6,IF($E1062="Gold",Dashboard!$R$7,Dashboard!$R$5))*IF(ISNUMBER(SEARCH("Duals",$B1062)),2,IF(ISNUMBER(SEARCH("Triples",$B1062)),3,IF(ISNUMBER(SEARCH("Quads",$B1062)),4,1))),2))*IF(IFERROR(VLOOKUP($B1062,Dashboard!$Q$28:$S$60,3,FALSE),0)&gt;0,VLOOKUP($B1062,Dashboard!$Q$28:$S$60,3,FALSE),1))),0))</f>
        <v>12</v>
      </c>
      <c r="K1062" s="2" t="str">
        <f>IF('Base S2'!G62="","",'Base S2'!G62)</f>
        <v>V 48/82</v>
      </c>
      <c r="L1062" s="2">
        <f t="shared" si="208"/>
        <v>1</v>
      </c>
      <c r="M1062" s="2">
        <f t="shared" si="209"/>
        <v>0</v>
      </c>
      <c r="N1062" s="2">
        <f t="shared" si="210"/>
        <v>1</v>
      </c>
      <c r="O1062" s="2">
        <f t="shared" si="211"/>
        <v>0</v>
      </c>
      <c r="P1062" s="112">
        <f t="shared" si="212"/>
        <v>12</v>
      </c>
      <c r="Q1062" s="112">
        <f t="shared" si="213"/>
        <v>0</v>
      </c>
      <c r="R1062" s="53"/>
      <c r="S1062" s="53" t="str">
        <f t="shared" si="214"/>
        <v>Base S2|Floor 82 Parallel - Season 2|161|Floor 82</v>
      </c>
      <c r="T1062" s="57" t="str">
        <f>IF($S1062="","",IFERROR(VLOOKUP($S1062,'Pop Estimates (Non-#d)'!$N$2:$O$500,2,FALSE),""))</f>
        <v/>
      </c>
      <c r="U1062" s="57">
        <f t="shared" si="215"/>
        <v>82</v>
      </c>
      <c r="V1062" s="53" t="str">
        <f t="shared" si="216"/>
        <v/>
      </c>
      <c r="W1062" s="53" t="str">
        <f t="shared" si="217"/>
        <v/>
      </c>
      <c r="X1062" s="53" t="str">
        <f t="shared" si="218"/>
        <v/>
      </c>
      <c r="Y1062" s="57" t="str">
        <f>IF($X1062="","",IFERROR(VLOOKUP($X1062,'Char Popularity'!$A$2:$C$500,2,FALSE),""))</f>
        <v/>
      </c>
      <c r="Z1062" s="56">
        <f>IF($X1062="",1,IFERROR(VLOOKUP($X1062,'Char Popularity'!$A$2:$C$500,3,FALSE),1))</f>
        <v>1</v>
      </c>
      <c r="AA1062" s="62">
        <f>IF($H1062&lt;&gt;"Y",0,(IF($F1062&lt;&gt;"",ROUND(Dashboard!$R$4/$F1062,1),IF(AND($I1062="Base",$E1062="Base"),Dashboard!$R$5,IF(AND($I1062="Base",$E1062="Red"),Dashboard!$R$6,IF(AND($I1062="Base",$E1062="Gold"),Dashboard!$R$7,VLOOKUP($I1062,Dashboard!$Q$16:$R$21,2,FALSE)))))*VLOOKUP($I1062,Dashboard!$Q$9:$R$13,2,FALSE)*IF(AND($I1062="Auto",$F1062="",OR($B1062="Autographs Duals",$B1062="Autographs Triples",$B1062="Autographs Quads",$B1062="Autographs Quads (Inscribed)")),IF($B1062="Autographs Duals",2,IF($B1062="Autographs Triples",3,4)),1)))</f>
        <v>12.2</v>
      </c>
      <c r="AB1062" s="62">
        <f t="shared" si="219"/>
        <v>12.2</v>
      </c>
      <c r="AC1062" s="62">
        <f t="shared" si="220"/>
        <v>0</v>
      </c>
    </row>
    <row r="1063" spans="1:29" ht="28.7" customHeight="1" x14ac:dyDescent="0.25">
      <c r="A1063" s="4" t="s">
        <v>19</v>
      </c>
      <c r="B1063" s="7" t="s">
        <v>79</v>
      </c>
      <c r="C1063" s="2" t="s">
        <v>1561</v>
      </c>
      <c r="D1063" s="7" t="s">
        <v>1142</v>
      </c>
      <c r="E1063" s="4" t="s">
        <v>779</v>
      </c>
      <c r="F1063" s="2">
        <v>82</v>
      </c>
      <c r="G1063" s="2" t="s">
        <v>1399</v>
      </c>
      <c r="H1063" s="2" t="s">
        <v>1400</v>
      </c>
      <c r="I1063" s="4" t="s">
        <v>60</v>
      </c>
      <c r="J1063" s="112">
        <f>IF($H1063&lt;&gt;"Y",0,ROUND(MIN(Dashboard!$R$24,IF(IFERROR(VLOOKUP($B1063,Dashboard!$Q$28:$S$60,2,FALSE),0)&gt;0,IFERROR(VLOOKUP($B1063,Dashboard!$Q$28:$S$60,2,FALSE),0),$Z1063*IF($U1063&lt;&gt;"",ROUND((Dashboard!$R$4/$U1063)*VLOOKUP($I1063,Dashboard!$Q$9:$R$13,2,FALSE)*IF(ISNUMBER(SEARCH("Duals",$B1063)),2,IF(ISNUMBER(SEARCH("Triples",$B1063)),3,IF(ISNUMBER(SEARCH("Quads",$B1063)),4,1))),2),ROUND(VLOOKUP($I1063,Dashboard!$Q$15:$R$20,2,FALSE)*IF($E1063="Red",Dashboard!$R$6,IF($E1063="Gold",Dashboard!$R$7,Dashboard!$R$5))*IF(ISNUMBER(SEARCH("Duals",$B1063)),2,IF(ISNUMBER(SEARCH("Triples",$B1063)),3,IF(ISNUMBER(SEARCH("Quads",$B1063)),4,1))),2))*IF(IFERROR(VLOOKUP($B1063,Dashboard!$Q$28:$S$60,3,FALSE),0)&gt;0,VLOOKUP($B1063,Dashboard!$Q$28:$S$60,3,FALSE),1))),0))</f>
        <v>12</v>
      </c>
      <c r="K1063" s="2" t="str">
        <f>IF('Base S2'!G63="","",'Base S2'!G63)</f>
        <v>V 69/82</v>
      </c>
      <c r="L1063" s="2">
        <f t="shared" si="208"/>
        <v>1</v>
      </c>
      <c r="M1063" s="2">
        <f t="shared" si="209"/>
        <v>0</v>
      </c>
      <c r="N1063" s="2">
        <f t="shared" si="210"/>
        <v>1</v>
      </c>
      <c r="O1063" s="2">
        <f t="shared" si="211"/>
        <v>0</v>
      </c>
      <c r="P1063" s="112">
        <f t="shared" si="212"/>
        <v>12</v>
      </c>
      <c r="Q1063" s="112">
        <f t="shared" si="213"/>
        <v>0</v>
      </c>
      <c r="R1063" s="53"/>
      <c r="S1063" s="53" t="str">
        <f t="shared" si="214"/>
        <v>Base S2|Floor 82 Parallel - Season 2|162|Floor 82</v>
      </c>
      <c r="T1063" s="57" t="str">
        <f>IF($S1063="","",IFERROR(VLOOKUP($S1063,'Pop Estimates (Non-#d)'!$N$2:$O$500,2,FALSE),""))</f>
        <v/>
      </c>
      <c r="U1063" s="57">
        <f t="shared" si="215"/>
        <v>82</v>
      </c>
      <c r="V1063" s="53" t="str">
        <f t="shared" si="216"/>
        <v/>
      </c>
      <c r="W1063" s="53" t="str">
        <f t="shared" si="217"/>
        <v/>
      </c>
      <c r="X1063" s="53" t="str">
        <f t="shared" si="218"/>
        <v/>
      </c>
      <c r="Y1063" s="57" t="str">
        <f>IF($X1063="","",IFERROR(VLOOKUP($X1063,'Char Popularity'!$A$2:$C$500,2,FALSE),""))</f>
        <v/>
      </c>
      <c r="Z1063" s="56">
        <f>IF($X1063="",1,IFERROR(VLOOKUP($X1063,'Char Popularity'!$A$2:$C$500,3,FALSE),1))</f>
        <v>1</v>
      </c>
      <c r="AA1063" s="62">
        <f>IF($H1063&lt;&gt;"Y",0,(IF($F1063&lt;&gt;"",ROUND(Dashboard!$R$4/$F1063,1),IF(AND($I1063="Base",$E1063="Base"),Dashboard!$R$5,IF(AND($I1063="Base",$E1063="Red"),Dashboard!$R$6,IF(AND($I1063="Base",$E1063="Gold"),Dashboard!$R$7,VLOOKUP($I1063,Dashboard!$Q$16:$R$21,2,FALSE)))))*VLOOKUP($I1063,Dashboard!$Q$9:$R$13,2,FALSE)*IF(AND($I1063="Auto",$F1063="",OR($B1063="Autographs Duals",$B1063="Autographs Triples",$B1063="Autographs Quads",$B1063="Autographs Quads (Inscribed)")),IF($B1063="Autographs Duals",2,IF($B1063="Autographs Triples",3,4)),1)))</f>
        <v>12.2</v>
      </c>
      <c r="AB1063" s="62">
        <f t="shared" si="219"/>
        <v>12.2</v>
      </c>
      <c r="AC1063" s="62">
        <f t="shared" si="220"/>
        <v>0</v>
      </c>
    </row>
    <row r="1064" spans="1:29" ht="28.7" customHeight="1" x14ac:dyDescent="0.25">
      <c r="A1064" s="4" t="s">
        <v>19</v>
      </c>
      <c r="B1064" s="7" t="s">
        <v>79</v>
      </c>
      <c r="C1064" s="2" t="s">
        <v>1562</v>
      </c>
      <c r="D1064" s="7" t="s">
        <v>1143</v>
      </c>
      <c r="E1064" s="4" t="s">
        <v>779</v>
      </c>
      <c r="F1064" s="2">
        <v>82</v>
      </c>
      <c r="G1064" s="2" t="s">
        <v>1399</v>
      </c>
      <c r="H1064" s="2" t="s">
        <v>1400</v>
      </c>
      <c r="I1064" s="4" t="s">
        <v>60</v>
      </c>
      <c r="J1064" s="112">
        <f>IF($H1064&lt;&gt;"Y",0,ROUND(MIN(Dashboard!$R$24,IF(IFERROR(VLOOKUP($B1064,Dashboard!$Q$28:$S$60,2,FALSE),0)&gt;0,IFERROR(VLOOKUP($B1064,Dashboard!$Q$28:$S$60,2,FALSE),0),$Z1064*IF($U1064&lt;&gt;"",ROUND((Dashboard!$R$4/$U1064)*VLOOKUP($I1064,Dashboard!$Q$9:$R$13,2,FALSE)*IF(ISNUMBER(SEARCH("Duals",$B1064)),2,IF(ISNUMBER(SEARCH("Triples",$B1064)),3,IF(ISNUMBER(SEARCH("Quads",$B1064)),4,1))),2),ROUND(VLOOKUP($I1064,Dashboard!$Q$15:$R$20,2,FALSE)*IF($E1064="Red",Dashboard!$R$6,IF($E1064="Gold",Dashboard!$R$7,Dashboard!$R$5))*IF(ISNUMBER(SEARCH("Duals",$B1064)),2,IF(ISNUMBER(SEARCH("Triples",$B1064)),3,IF(ISNUMBER(SEARCH("Quads",$B1064)),4,1))),2))*IF(IFERROR(VLOOKUP($B1064,Dashboard!$Q$28:$S$60,3,FALSE),0)&gt;0,VLOOKUP($B1064,Dashboard!$Q$28:$S$60,3,FALSE),1))),0))</f>
        <v>12</v>
      </c>
      <c r="K1064" s="2" t="str">
        <f>IF('Base S2'!G64="","",'Base S2'!G64)</f>
        <v>C 53/82</v>
      </c>
      <c r="L1064" s="2">
        <f t="shared" si="208"/>
        <v>1</v>
      </c>
      <c r="M1064" s="2">
        <f t="shared" si="209"/>
        <v>0</v>
      </c>
      <c r="N1064" s="2">
        <f t="shared" si="210"/>
        <v>1</v>
      </c>
      <c r="O1064" s="2">
        <f t="shared" si="211"/>
        <v>0</v>
      </c>
      <c r="P1064" s="112">
        <f t="shared" si="212"/>
        <v>12</v>
      </c>
      <c r="Q1064" s="112">
        <f t="shared" si="213"/>
        <v>0</v>
      </c>
      <c r="R1064" s="53"/>
      <c r="S1064" s="53" t="str">
        <f t="shared" si="214"/>
        <v>Base S2|Floor 82 Parallel - Season 2|163|Floor 82</v>
      </c>
      <c r="T1064" s="57" t="str">
        <f>IF($S1064="","",IFERROR(VLOOKUP($S1064,'Pop Estimates (Non-#d)'!$N$2:$O$500,2,FALSE),""))</f>
        <v/>
      </c>
      <c r="U1064" s="57">
        <f t="shared" si="215"/>
        <v>82</v>
      </c>
      <c r="V1064" s="53" t="str">
        <f t="shared" si="216"/>
        <v/>
      </c>
      <c r="W1064" s="53" t="str">
        <f t="shared" si="217"/>
        <v/>
      </c>
      <c r="X1064" s="53" t="str">
        <f t="shared" si="218"/>
        <v/>
      </c>
      <c r="Y1064" s="57" t="str">
        <f>IF($X1064="","",IFERROR(VLOOKUP($X1064,'Char Popularity'!$A$2:$C$500,2,FALSE),""))</f>
        <v/>
      </c>
      <c r="Z1064" s="56">
        <f>IF($X1064="",1,IFERROR(VLOOKUP($X1064,'Char Popularity'!$A$2:$C$500,3,FALSE),1))</f>
        <v>1</v>
      </c>
      <c r="AA1064" s="62">
        <f>IF($H1064&lt;&gt;"Y",0,(IF($F1064&lt;&gt;"",ROUND(Dashboard!$R$4/$F1064,1),IF(AND($I1064="Base",$E1064="Base"),Dashboard!$R$5,IF(AND($I1064="Base",$E1064="Red"),Dashboard!$R$6,IF(AND($I1064="Base",$E1064="Gold"),Dashboard!$R$7,VLOOKUP($I1064,Dashboard!$Q$16:$R$21,2,FALSE)))))*VLOOKUP($I1064,Dashboard!$Q$9:$R$13,2,FALSE)*IF(AND($I1064="Auto",$F1064="",OR($B1064="Autographs Duals",$B1064="Autographs Triples",$B1064="Autographs Quads",$B1064="Autographs Quads (Inscribed)")),IF($B1064="Autographs Duals",2,IF($B1064="Autographs Triples",3,4)),1)))</f>
        <v>12.2</v>
      </c>
      <c r="AB1064" s="62">
        <f t="shared" si="219"/>
        <v>12.2</v>
      </c>
      <c r="AC1064" s="62">
        <f t="shared" si="220"/>
        <v>0</v>
      </c>
    </row>
    <row r="1065" spans="1:29" ht="28.7" customHeight="1" x14ac:dyDescent="0.25">
      <c r="A1065" s="4" t="s">
        <v>19</v>
      </c>
      <c r="B1065" s="7" t="s">
        <v>79</v>
      </c>
      <c r="C1065" s="2" t="s">
        <v>1563</v>
      </c>
      <c r="D1065" s="7" t="s">
        <v>1145</v>
      </c>
      <c r="E1065" s="4" t="s">
        <v>779</v>
      </c>
      <c r="F1065" s="2">
        <v>82</v>
      </c>
      <c r="G1065" s="2" t="s">
        <v>1399</v>
      </c>
      <c r="H1065" s="2" t="s">
        <v>1400</v>
      </c>
      <c r="I1065" s="4" t="s">
        <v>60</v>
      </c>
      <c r="J1065" s="112">
        <f>IF($H1065&lt;&gt;"Y",0,ROUND(MIN(Dashboard!$R$24,IF(IFERROR(VLOOKUP($B1065,Dashboard!$Q$28:$S$60,2,FALSE),0)&gt;0,IFERROR(VLOOKUP($B1065,Dashboard!$Q$28:$S$60,2,FALSE),0),$Z1065*IF($U1065&lt;&gt;"",ROUND((Dashboard!$R$4/$U1065)*VLOOKUP($I1065,Dashboard!$Q$9:$R$13,2,FALSE)*IF(ISNUMBER(SEARCH("Duals",$B1065)),2,IF(ISNUMBER(SEARCH("Triples",$B1065)),3,IF(ISNUMBER(SEARCH("Quads",$B1065)),4,1))),2),ROUND(VLOOKUP($I1065,Dashboard!$Q$15:$R$20,2,FALSE)*IF($E1065="Red",Dashboard!$R$6,IF($E1065="Gold",Dashboard!$R$7,Dashboard!$R$5))*IF(ISNUMBER(SEARCH("Duals",$B1065)),2,IF(ISNUMBER(SEARCH("Triples",$B1065)),3,IF(ISNUMBER(SEARCH("Quads",$B1065)),4,1))),2))*IF(IFERROR(VLOOKUP($B1065,Dashboard!$Q$28:$S$60,3,FALSE),0)&gt;0,VLOOKUP($B1065,Dashboard!$Q$28:$S$60,3,FALSE),1))),0))</f>
        <v>12</v>
      </c>
      <c r="K1065" s="2" t="str">
        <f>IF('Base S2'!G65="","",'Base S2'!G65)</f>
        <v>V 56/82</v>
      </c>
      <c r="L1065" s="2">
        <f t="shared" si="208"/>
        <v>1</v>
      </c>
      <c r="M1065" s="2">
        <f t="shared" si="209"/>
        <v>0</v>
      </c>
      <c r="N1065" s="2">
        <f t="shared" si="210"/>
        <v>1</v>
      </c>
      <c r="O1065" s="2">
        <f t="shared" si="211"/>
        <v>0</v>
      </c>
      <c r="P1065" s="112">
        <f t="shared" si="212"/>
        <v>12</v>
      </c>
      <c r="Q1065" s="112">
        <f t="shared" si="213"/>
        <v>0</v>
      </c>
      <c r="R1065" s="53"/>
      <c r="S1065" s="53" t="str">
        <f t="shared" si="214"/>
        <v>Base S2|Floor 82 Parallel - Season 2|164|Floor 82</v>
      </c>
      <c r="T1065" s="57" t="str">
        <f>IF($S1065="","",IFERROR(VLOOKUP($S1065,'Pop Estimates (Non-#d)'!$N$2:$O$500,2,FALSE),""))</f>
        <v/>
      </c>
      <c r="U1065" s="57">
        <f t="shared" si="215"/>
        <v>82</v>
      </c>
      <c r="V1065" s="53" t="str">
        <f t="shared" si="216"/>
        <v/>
      </c>
      <c r="W1065" s="53" t="str">
        <f t="shared" si="217"/>
        <v/>
      </c>
      <c r="X1065" s="53" t="str">
        <f t="shared" si="218"/>
        <v/>
      </c>
      <c r="Y1065" s="57" t="str">
        <f>IF($X1065="","",IFERROR(VLOOKUP($X1065,'Char Popularity'!$A$2:$C$500,2,FALSE),""))</f>
        <v/>
      </c>
      <c r="Z1065" s="56">
        <f>IF($X1065="",1,IFERROR(VLOOKUP($X1065,'Char Popularity'!$A$2:$C$500,3,FALSE),1))</f>
        <v>1</v>
      </c>
      <c r="AA1065" s="62">
        <f>IF($H1065&lt;&gt;"Y",0,(IF($F1065&lt;&gt;"",ROUND(Dashboard!$R$4/$F1065,1),IF(AND($I1065="Base",$E1065="Base"),Dashboard!$R$5,IF(AND($I1065="Base",$E1065="Red"),Dashboard!$R$6,IF(AND($I1065="Base",$E1065="Gold"),Dashboard!$R$7,VLOOKUP($I1065,Dashboard!$Q$16:$R$21,2,FALSE)))))*VLOOKUP($I1065,Dashboard!$Q$9:$R$13,2,FALSE)*IF(AND($I1065="Auto",$F1065="",OR($B1065="Autographs Duals",$B1065="Autographs Triples",$B1065="Autographs Quads",$B1065="Autographs Quads (Inscribed)")),IF($B1065="Autographs Duals",2,IF($B1065="Autographs Triples",3,4)),1)))</f>
        <v>12.2</v>
      </c>
      <c r="AB1065" s="62">
        <f t="shared" si="219"/>
        <v>12.2</v>
      </c>
      <c r="AC1065" s="62">
        <f t="shared" si="220"/>
        <v>0</v>
      </c>
    </row>
    <row r="1066" spans="1:29" ht="28.7" customHeight="1" x14ac:dyDescent="0.25">
      <c r="A1066" s="4" t="s">
        <v>19</v>
      </c>
      <c r="B1066" s="7" t="s">
        <v>79</v>
      </c>
      <c r="C1066" s="2" t="s">
        <v>1564</v>
      </c>
      <c r="D1066" s="7" t="s">
        <v>1147</v>
      </c>
      <c r="E1066" s="4" t="s">
        <v>779</v>
      </c>
      <c r="F1066" s="2">
        <v>82</v>
      </c>
      <c r="G1066" s="2" t="s">
        <v>1399</v>
      </c>
      <c r="H1066" s="2" t="s">
        <v>1400</v>
      </c>
      <c r="I1066" s="4" t="s">
        <v>60</v>
      </c>
      <c r="J1066" s="112">
        <f>IF($H1066&lt;&gt;"Y",0,ROUND(MIN(Dashboard!$R$24,IF(IFERROR(VLOOKUP($B1066,Dashboard!$Q$28:$S$60,2,FALSE),0)&gt;0,IFERROR(VLOOKUP($B1066,Dashboard!$Q$28:$S$60,2,FALSE),0),$Z1066*IF($U1066&lt;&gt;"",ROUND((Dashboard!$R$4/$U1066)*VLOOKUP($I1066,Dashboard!$Q$9:$R$13,2,FALSE)*IF(ISNUMBER(SEARCH("Duals",$B1066)),2,IF(ISNUMBER(SEARCH("Triples",$B1066)),3,IF(ISNUMBER(SEARCH("Quads",$B1066)),4,1))),2),ROUND(VLOOKUP($I1066,Dashboard!$Q$15:$R$20,2,FALSE)*IF($E1066="Red",Dashboard!$R$6,IF($E1066="Gold",Dashboard!$R$7,Dashboard!$R$5))*IF(ISNUMBER(SEARCH("Duals",$B1066)),2,IF(ISNUMBER(SEARCH("Triples",$B1066)),3,IF(ISNUMBER(SEARCH("Quads",$B1066)),4,1))),2))*IF(IFERROR(VLOOKUP($B1066,Dashboard!$Q$28:$S$60,3,FALSE),0)&gt;0,VLOOKUP($B1066,Dashboard!$Q$28:$S$60,3,FALSE),1))),0))</f>
        <v>12</v>
      </c>
      <c r="K1066" s="2" t="str">
        <f>IF('Base S2'!G66="","",'Base S2'!G66)</f>
        <v>C 46/82</v>
      </c>
      <c r="L1066" s="2">
        <f t="shared" si="208"/>
        <v>1</v>
      </c>
      <c r="M1066" s="2">
        <f t="shared" si="209"/>
        <v>0</v>
      </c>
      <c r="N1066" s="2">
        <f t="shared" si="210"/>
        <v>1</v>
      </c>
      <c r="O1066" s="2">
        <f t="shared" si="211"/>
        <v>0</v>
      </c>
      <c r="P1066" s="112">
        <f t="shared" si="212"/>
        <v>12</v>
      </c>
      <c r="Q1066" s="112">
        <f t="shared" si="213"/>
        <v>0</v>
      </c>
      <c r="R1066" s="53"/>
      <c r="S1066" s="53" t="str">
        <f t="shared" si="214"/>
        <v>Base S2|Floor 82 Parallel - Season 2|165|Floor 82</v>
      </c>
      <c r="T1066" s="57" t="str">
        <f>IF($S1066="","",IFERROR(VLOOKUP($S1066,'Pop Estimates (Non-#d)'!$N$2:$O$500,2,FALSE),""))</f>
        <v/>
      </c>
      <c r="U1066" s="57">
        <f t="shared" si="215"/>
        <v>82</v>
      </c>
      <c r="V1066" s="53" t="str">
        <f t="shared" si="216"/>
        <v/>
      </c>
      <c r="W1066" s="53" t="str">
        <f t="shared" si="217"/>
        <v/>
      </c>
      <c r="X1066" s="53" t="str">
        <f t="shared" si="218"/>
        <v/>
      </c>
      <c r="Y1066" s="57" t="str">
        <f>IF($X1066="","",IFERROR(VLOOKUP($X1066,'Char Popularity'!$A$2:$C$500,2,FALSE),""))</f>
        <v/>
      </c>
      <c r="Z1066" s="56">
        <f>IF($X1066="",1,IFERROR(VLOOKUP($X1066,'Char Popularity'!$A$2:$C$500,3,FALSE),1))</f>
        <v>1</v>
      </c>
      <c r="AA1066" s="62">
        <f>IF($H1066&lt;&gt;"Y",0,(IF($F1066&lt;&gt;"",ROUND(Dashboard!$R$4/$F1066,1),IF(AND($I1066="Base",$E1066="Base"),Dashboard!$R$5,IF(AND($I1066="Base",$E1066="Red"),Dashboard!$R$6,IF(AND($I1066="Base",$E1066="Gold"),Dashboard!$R$7,VLOOKUP($I1066,Dashboard!$Q$16:$R$21,2,FALSE)))))*VLOOKUP($I1066,Dashboard!$Q$9:$R$13,2,FALSE)*IF(AND($I1066="Auto",$F1066="",OR($B1066="Autographs Duals",$B1066="Autographs Triples",$B1066="Autographs Quads",$B1066="Autographs Quads (Inscribed)")),IF($B1066="Autographs Duals",2,IF($B1066="Autographs Triples",3,4)),1)))</f>
        <v>12.2</v>
      </c>
      <c r="AB1066" s="62">
        <f t="shared" si="219"/>
        <v>12.2</v>
      </c>
      <c r="AC1066" s="62">
        <f t="shared" si="220"/>
        <v>0</v>
      </c>
    </row>
    <row r="1067" spans="1:29" ht="28.7" customHeight="1" x14ac:dyDescent="0.25">
      <c r="A1067" s="4" t="s">
        <v>19</v>
      </c>
      <c r="B1067" s="7" t="s">
        <v>79</v>
      </c>
      <c r="C1067" s="2" t="s">
        <v>1565</v>
      </c>
      <c r="D1067" s="7" t="s">
        <v>1148</v>
      </c>
      <c r="E1067" s="4" t="s">
        <v>779</v>
      </c>
      <c r="F1067" s="2">
        <v>82</v>
      </c>
      <c r="G1067" s="2" t="s">
        <v>1399</v>
      </c>
      <c r="H1067" s="2" t="s">
        <v>1400</v>
      </c>
      <c r="I1067" s="4" t="s">
        <v>60</v>
      </c>
      <c r="J1067" s="112">
        <f>IF($H1067&lt;&gt;"Y",0,ROUND(MIN(Dashboard!$R$24,IF(IFERROR(VLOOKUP($B1067,Dashboard!$Q$28:$S$60,2,FALSE),0)&gt;0,IFERROR(VLOOKUP($B1067,Dashboard!$Q$28:$S$60,2,FALSE),0),$Z1067*IF($U1067&lt;&gt;"",ROUND((Dashboard!$R$4/$U1067)*VLOOKUP($I1067,Dashboard!$Q$9:$R$13,2,FALSE)*IF(ISNUMBER(SEARCH("Duals",$B1067)),2,IF(ISNUMBER(SEARCH("Triples",$B1067)),3,IF(ISNUMBER(SEARCH("Quads",$B1067)),4,1))),2),ROUND(VLOOKUP($I1067,Dashboard!$Q$15:$R$20,2,FALSE)*IF($E1067="Red",Dashboard!$R$6,IF($E1067="Gold",Dashboard!$R$7,Dashboard!$R$5))*IF(ISNUMBER(SEARCH("Duals",$B1067)),2,IF(ISNUMBER(SEARCH("Triples",$B1067)),3,IF(ISNUMBER(SEARCH("Quads",$B1067)),4,1))),2))*IF(IFERROR(VLOOKUP($B1067,Dashboard!$Q$28:$S$60,3,FALSE),0)&gt;0,VLOOKUP($B1067,Dashboard!$Q$28:$S$60,3,FALSE),1))),0))</f>
        <v>12</v>
      </c>
      <c r="K1067" s="2" t="str">
        <f>IF('Base S2'!G67="","",'Base S2'!G67)</f>
        <v>C 64/82</v>
      </c>
      <c r="L1067" s="2">
        <f t="shared" si="208"/>
        <v>1</v>
      </c>
      <c r="M1067" s="2">
        <f t="shared" si="209"/>
        <v>0</v>
      </c>
      <c r="N1067" s="2">
        <f t="shared" si="210"/>
        <v>1</v>
      </c>
      <c r="O1067" s="2">
        <f t="shared" si="211"/>
        <v>0</v>
      </c>
      <c r="P1067" s="112">
        <f t="shared" si="212"/>
        <v>12</v>
      </c>
      <c r="Q1067" s="112">
        <f t="shared" si="213"/>
        <v>0</v>
      </c>
      <c r="R1067" s="53"/>
      <c r="S1067" s="53" t="str">
        <f t="shared" si="214"/>
        <v>Base S2|Floor 82 Parallel - Season 2|166|Floor 82</v>
      </c>
      <c r="T1067" s="57" t="str">
        <f>IF($S1067="","",IFERROR(VLOOKUP($S1067,'Pop Estimates (Non-#d)'!$N$2:$O$500,2,FALSE),""))</f>
        <v/>
      </c>
      <c r="U1067" s="57">
        <f t="shared" si="215"/>
        <v>82</v>
      </c>
      <c r="V1067" s="53" t="str">
        <f t="shared" si="216"/>
        <v/>
      </c>
      <c r="W1067" s="53" t="str">
        <f t="shared" si="217"/>
        <v/>
      </c>
      <c r="X1067" s="53" t="str">
        <f t="shared" si="218"/>
        <v/>
      </c>
      <c r="Y1067" s="57" t="str">
        <f>IF($X1067="","",IFERROR(VLOOKUP($X1067,'Char Popularity'!$A$2:$C$500,2,FALSE),""))</f>
        <v/>
      </c>
      <c r="Z1067" s="56">
        <f>IF($X1067="",1,IFERROR(VLOOKUP($X1067,'Char Popularity'!$A$2:$C$500,3,FALSE),1))</f>
        <v>1</v>
      </c>
      <c r="AA1067" s="62">
        <f>IF($H1067&lt;&gt;"Y",0,(IF($F1067&lt;&gt;"",ROUND(Dashboard!$R$4/$F1067,1),IF(AND($I1067="Base",$E1067="Base"),Dashboard!$R$5,IF(AND($I1067="Base",$E1067="Red"),Dashboard!$R$6,IF(AND($I1067="Base",$E1067="Gold"),Dashboard!$R$7,VLOOKUP($I1067,Dashboard!$Q$16:$R$21,2,FALSE)))))*VLOOKUP($I1067,Dashboard!$Q$9:$R$13,2,FALSE)*IF(AND($I1067="Auto",$F1067="",OR($B1067="Autographs Duals",$B1067="Autographs Triples",$B1067="Autographs Quads",$B1067="Autographs Quads (Inscribed)")),IF($B1067="Autographs Duals",2,IF($B1067="Autographs Triples",3,4)),1)))</f>
        <v>12.2</v>
      </c>
      <c r="AB1067" s="62">
        <f t="shared" si="219"/>
        <v>12.2</v>
      </c>
      <c r="AC1067" s="62">
        <f t="shared" si="220"/>
        <v>0</v>
      </c>
    </row>
    <row r="1068" spans="1:29" ht="28.7" customHeight="1" x14ac:dyDescent="0.25">
      <c r="A1068" s="4" t="s">
        <v>19</v>
      </c>
      <c r="B1068" s="7" t="s">
        <v>79</v>
      </c>
      <c r="C1068" s="2" t="s">
        <v>1566</v>
      </c>
      <c r="D1068" s="7" t="s">
        <v>1150</v>
      </c>
      <c r="E1068" s="4" t="s">
        <v>779</v>
      </c>
      <c r="F1068" s="2">
        <v>82</v>
      </c>
      <c r="G1068" s="2" t="s">
        <v>1399</v>
      </c>
      <c r="H1068" s="2" t="s">
        <v>1400</v>
      </c>
      <c r="I1068" s="4" t="s">
        <v>60</v>
      </c>
      <c r="J1068" s="112">
        <f>IF($H1068&lt;&gt;"Y",0,ROUND(MIN(Dashboard!$R$24,IF(IFERROR(VLOOKUP($B1068,Dashboard!$Q$28:$S$60,2,FALSE),0)&gt;0,IFERROR(VLOOKUP($B1068,Dashboard!$Q$28:$S$60,2,FALSE),0),$Z1068*IF($U1068&lt;&gt;"",ROUND((Dashboard!$R$4/$U1068)*VLOOKUP($I1068,Dashboard!$Q$9:$R$13,2,FALSE)*IF(ISNUMBER(SEARCH("Duals",$B1068)),2,IF(ISNUMBER(SEARCH("Triples",$B1068)),3,IF(ISNUMBER(SEARCH("Quads",$B1068)),4,1))),2),ROUND(VLOOKUP($I1068,Dashboard!$Q$15:$R$20,2,FALSE)*IF($E1068="Red",Dashboard!$R$6,IF($E1068="Gold",Dashboard!$R$7,Dashboard!$R$5))*IF(ISNUMBER(SEARCH("Duals",$B1068)),2,IF(ISNUMBER(SEARCH("Triples",$B1068)),3,IF(ISNUMBER(SEARCH("Quads",$B1068)),4,1))),2))*IF(IFERROR(VLOOKUP($B1068,Dashboard!$Q$28:$S$60,3,FALSE),0)&gt;0,VLOOKUP($B1068,Dashboard!$Q$28:$S$60,3,FALSE),1))),0))</f>
        <v>12</v>
      </c>
      <c r="K1068" s="2" t="str">
        <f>IF('Base S2'!G68="","",'Base S2'!G68)</f>
        <v>C 39/82</v>
      </c>
      <c r="L1068" s="2">
        <f t="shared" si="208"/>
        <v>1</v>
      </c>
      <c r="M1068" s="2">
        <f t="shared" si="209"/>
        <v>0</v>
      </c>
      <c r="N1068" s="2">
        <f t="shared" si="210"/>
        <v>1</v>
      </c>
      <c r="O1068" s="2">
        <f t="shared" si="211"/>
        <v>0</v>
      </c>
      <c r="P1068" s="112">
        <f t="shared" si="212"/>
        <v>12</v>
      </c>
      <c r="Q1068" s="112">
        <f t="shared" si="213"/>
        <v>0</v>
      </c>
      <c r="R1068" s="53"/>
      <c r="S1068" s="53" t="str">
        <f t="shared" si="214"/>
        <v>Base S2|Floor 82 Parallel - Season 2|167|Floor 82</v>
      </c>
      <c r="T1068" s="57" t="str">
        <f>IF($S1068="","",IFERROR(VLOOKUP($S1068,'Pop Estimates (Non-#d)'!$N$2:$O$500,2,FALSE),""))</f>
        <v/>
      </c>
      <c r="U1068" s="57">
        <f t="shared" si="215"/>
        <v>82</v>
      </c>
      <c r="V1068" s="53" t="str">
        <f t="shared" si="216"/>
        <v/>
      </c>
      <c r="W1068" s="53" t="str">
        <f t="shared" si="217"/>
        <v/>
      </c>
      <c r="X1068" s="53" t="str">
        <f t="shared" si="218"/>
        <v/>
      </c>
      <c r="Y1068" s="57" t="str">
        <f>IF($X1068="","",IFERROR(VLOOKUP($X1068,'Char Popularity'!$A$2:$C$500,2,FALSE),""))</f>
        <v/>
      </c>
      <c r="Z1068" s="56">
        <f>IF($X1068="",1,IFERROR(VLOOKUP($X1068,'Char Popularity'!$A$2:$C$500,3,FALSE),1))</f>
        <v>1</v>
      </c>
      <c r="AA1068" s="62">
        <f>IF($H1068&lt;&gt;"Y",0,(IF($F1068&lt;&gt;"",ROUND(Dashboard!$R$4/$F1068,1),IF(AND($I1068="Base",$E1068="Base"),Dashboard!$R$5,IF(AND($I1068="Base",$E1068="Red"),Dashboard!$R$6,IF(AND($I1068="Base",$E1068="Gold"),Dashboard!$R$7,VLOOKUP($I1068,Dashboard!$Q$16:$R$21,2,FALSE)))))*VLOOKUP($I1068,Dashboard!$Q$9:$R$13,2,FALSE)*IF(AND($I1068="Auto",$F1068="",OR($B1068="Autographs Duals",$B1068="Autographs Triples",$B1068="Autographs Quads",$B1068="Autographs Quads (Inscribed)")),IF($B1068="Autographs Duals",2,IF($B1068="Autographs Triples",3,4)),1)))</f>
        <v>12.2</v>
      </c>
      <c r="AB1068" s="62">
        <f t="shared" si="219"/>
        <v>12.2</v>
      </c>
      <c r="AC1068" s="62">
        <f t="shared" si="220"/>
        <v>0</v>
      </c>
    </row>
    <row r="1069" spans="1:29" ht="28.7" customHeight="1" x14ac:dyDescent="0.25">
      <c r="A1069" s="4" t="s">
        <v>19</v>
      </c>
      <c r="B1069" s="7" t="s">
        <v>79</v>
      </c>
      <c r="C1069" s="2" t="s">
        <v>1567</v>
      </c>
      <c r="D1069" s="7" t="s">
        <v>1151</v>
      </c>
      <c r="E1069" s="4" t="s">
        <v>779</v>
      </c>
      <c r="F1069" s="2">
        <v>82</v>
      </c>
      <c r="G1069" s="2" t="s">
        <v>1399</v>
      </c>
      <c r="H1069" s="2" t="s">
        <v>1400</v>
      </c>
      <c r="I1069" s="4" t="s">
        <v>60</v>
      </c>
      <c r="J1069" s="112">
        <f>IF($H1069&lt;&gt;"Y",0,ROUND(MIN(Dashboard!$R$24,IF(IFERROR(VLOOKUP($B1069,Dashboard!$Q$28:$S$60,2,FALSE),0)&gt;0,IFERROR(VLOOKUP($B1069,Dashboard!$Q$28:$S$60,2,FALSE),0),$Z1069*IF($U1069&lt;&gt;"",ROUND((Dashboard!$R$4/$U1069)*VLOOKUP($I1069,Dashboard!$Q$9:$R$13,2,FALSE)*IF(ISNUMBER(SEARCH("Duals",$B1069)),2,IF(ISNUMBER(SEARCH("Triples",$B1069)),3,IF(ISNUMBER(SEARCH("Quads",$B1069)),4,1))),2),ROUND(VLOOKUP($I1069,Dashboard!$Q$15:$R$20,2,FALSE)*IF($E1069="Red",Dashboard!$R$6,IF($E1069="Gold",Dashboard!$R$7,Dashboard!$R$5))*IF(ISNUMBER(SEARCH("Duals",$B1069)),2,IF(ISNUMBER(SEARCH("Triples",$B1069)),3,IF(ISNUMBER(SEARCH("Quads",$B1069)),4,1))),2))*IF(IFERROR(VLOOKUP($B1069,Dashboard!$Q$28:$S$60,3,FALSE),0)&gt;0,VLOOKUP($B1069,Dashboard!$Q$28:$S$60,3,FALSE),1))),0))</f>
        <v>12</v>
      </c>
      <c r="K1069" s="2" t="str">
        <f>IF('Base S2'!G69="","",'Base S2'!G69)</f>
        <v>V 18/82</v>
      </c>
      <c r="L1069" s="2">
        <f t="shared" si="208"/>
        <v>1</v>
      </c>
      <c r="M1069" s="2">
        <f t="shared" si="209"/>
        <v>0</v>
      </c>
      <c r="N1069" s="2">
        <f t="shared" si="210"/>
        <v>1</v>
      </c>
      <c r="O1069" s="2">
        <f t="shared" si="211"/>
        <v>0</v>
      </c>
      <c r="P1069" s="112">
        <f t="shared" si="212"/>
        <v>12</v>
      </c>
      <c r="Q1069" s="112">
        <f t="shared" si="213"/>
        <v>0</v>
      </c>
      <c r="R1069" s="53"/>
      <c r="S1069" s="53" t="str">
        <f t="shared" si="214"/>
        <v>Base S2|Floor 82 Parallel - Season 2|168|Floor 82</v>
      </c>
      <c r="T1069" s="57" t="str">
        <f>IF($S1069="","",IFERROR(VLOOKUP($S1069,'Pop Estimates (Non-#d)'!$N$2:$O$500,2,FALSE),""))</f>
        <v/>
      </c>
      <c r="U1069" s="57">
        <f t="shared" si="215"/>
        <v>82</v>
      </c>
      <c r="V1069" s="53" t="str">
        <f t="shared" si="216"/>
        <v/>
      </c>
      <c r="W1069" s="53" t="str">
        <f t="shared" si="217"/>
        <v/>
      </c>
      <c r="X1069" s="53" t="str">
        <f t="shared" si="218"/>
        <v/>
      </c>
      <c r="Y1069" s="57" t="str">
        <f>IF($X1069="","",IFERROR(VLOOKUP($X1069,'Char Popularity'!$A$2:$C$500,2,FALSE),""))</f>
        <v/>
      </c>
      <c r="Z1069" s="56">
        <f>IF($X1069="",1,IFERROR(VLOOKUP($X1069,'Char Popularity'!$A$2:$C$500,3,FALSE),1))</f>
        <v>1</v>
      </c>
      <c r="AA1069" s="62">
        <f>IF($H1069&lt;&gt;"Y",0,(IF($F1069&lt;&gt;"",ROUND(Dashboard!$R$4/$F1069,1),IF(AND($I1069="Base",$E1069="Base"),Dashboard!$R$5,IF(AND($I1069="Base",$E1069="Red"),Dashboard!$R$6,IF(AND($I1069="Base",$E1069="Gold"),Dashboard!$R$7,VLOOKUP($I1069,Dashboard!$Q$16:$R$21,2,FALSE)))))*VLOOKUP($I1069,Dashboard!$Q$9:$R$13,2,FALSE)*IF(AND($I1069="Auto",$F1069="",OR($B1069="Autographs Duals",$B1069="Autographs Triples",$B1069="Autographs Quads",$B1069="Autographs Quads (Inscribed)")),IF($B1069="Autographs Duals",2,IF($B1069="Autographs Triples",3,4)),1)))</f>
        <v>12.2</v>
      </c>
      <c r="AB1069" s="62">
        <f t="shared" si="219"/>
        <v>12.2</v>
      </c>
      <c r="AC1069" s="62">
        <f t="shared" si="220"/>
        <v>0</v>
      </c>
    </row>
    <row r="1070" spans="1:29" ht="28.7" customHeight="1" x14ac:dyDescent="0.25">
      <c r="A1070" s="4" t="s">
        <v>19</v>
      </c>
      <c r="B1070" s="7" t="s">
        <v>79</v>
      </c>
      <c r="C1070" s="2" t="s">
        <v>1568</v>
      </c>
      <c r="D1070" s="7" t="s">
        <v>1153</v>
      </c>
      <c r="E1070" s="4" t="s">
        <v>779</v>
      </c>
      <c r="F1070" s="2">
        <v>82</v>
      </c>
      <c r="G1070" s="2" t="s">
        <v>1399</v>
      </c>
      <c r="H1070" s="2" t="s">
        <v>1400</v>
      </c>
      <c r="I1070" s="4" t="s">
        <v>60</v>
      </c>
      <c r="J1070" s="112">
        <f>IF($H1070&lt;&gt;"Y",0,ROUND(MIN(Dashboard!$R$24,IF(IFERROR(VLOOKUP($B1070,Dashboard!$Q$28:$S$60,2,FALSE),0)&gt;0,IFERROR(VLOOKUP($B1070,Dashboard!$Q$28:$S$60,2,FALSE),0),$Z1070*IF($U1070&lt;&gt;"",ROUND((Dashboard!$R$4/$U1070)*VLOOKUP($I1070,Dashboard!$Q$9:$R$13,2,FALSE)*IF(ISNUMBER(SEARCH("Duals",$B1070)),2,IF(ISNUMBER(SEARCH("Triples",$B1070)),3,IF(ISNUMBER(SEARCH("Quads",$B1070)),4,1))),2),ROUND(VLOOKUP($I1070,Dashboard!$Q$15:$R$20,2,FALSE)*IF($E1070="Red",Dashboard!$R$6,IF($E1070="Gold",Dashboard!$R$7,Dashboard!$R$5))*IF(ISNUMBER(SEARCH("Duals",$B1070)),2,IF(ISNUMBER(SEARCH("Triples",$B1070)),3,IF(ISNUMBER(SEARCH("Quads",$B1070)),4,1))),2))*IF(IFERROR(VLOOKUP($B1070,Dashboard!$Q$28:$S$60,3,FALSE),0)&gt;0,VLOOKUP($B1070,Dashboard!$Q$28:$S$60,3,FALSE),1))),0))</f>
        <v>12</v>
      </c>
      <c r="K1070" s="2" t="str">
        <f>IF('Base S2'!G70="","",'Base S2'!G70)</f>
        <v>C 50/82</v>
      </c>
      <c r="L1070" s="2">
        <f t="shared" si="208"/>
        <v>1</v>
      </c>
      <c r="M1070" s="2">
        <f t="shared" si="209"/>
        <v>0</v>
      </c>
      <c r="N1070" s="2">
        <f t="shared" si="210"/>
        <v>1</v>
      </c>
      <c r="O1070" s="2">
        <f t="shared" si="211"/>
        <v>0</v>
      </c>
      <c r="P1070" s="112">
        <f t="shared" si="212"/>
        <v>12</v>
      </c>
      <c r="Q1070" s="112">
        <f t="shared" si="213"/>
        <v>0</v>
      </c>
      <c r="R1070" s="53"/>
      <c r="S1070" s="53" t="str">
        <f t="shared" si="214"/>
        <v>Base S2|Floor 82 Parallel - Season 2|169|Floor 82</v>
      </c>
      <c r="T1070" s="57" t="str">
        <f>IF($S1070="","",IFERROR(VLOOKUP($S1070,'Pop Estimates (Non-#d)'!$N$2:$O$500,2,FALSE),""))</f>
        <v/>
      </c>
      <c r="U1070" s="57">
        <f t="shared" si="215"/>
        <v>82</v>
      </c>
      <c r="V1070" s="53" t="str">
        <f t="shared" si="216"/>
        <v/>
      </c>
      <c r="W1070" s="53" t="str">
        <f t="shared" si="217"/>
        <v/>
      </c>
      <c r="X1070" s="53" t="str">
        <f t="shared" si="218"/>
        <v/>
      </c>
      <c r="Y1070" s="57" t="str">
        <f>IF($X1070="","",IFERROR(VLOOKUP($X1070,'Char Popularity'!$A$2:$C$500,2,FALSE),""))</f>
        <v/>
      </c>
      <c r="Z1070" s="56">
        <f>IF($X1070="",1,IFERROR(VLOOKUP($X1070,'Char Popularity'!$A$2:$C$500,3,FALSE),1))</f>
        <v>1</v>
      </c>
      <c r="AA1070" s="62">
        <f>IF($H1070&lt;&gt;"Y",0,(IF($F1070&lt;&gt;"",ROUND(Dashboard!$R$4/$F1070,1),IF(AND($I1070="Base",$E1070="Base"),Dashboard!$R$5,IF(AND($I1070="Base",$E1070="Red"),Dashboard!$R$6,IF(AND($I1070="Base",$E1070="Gold"),Dashboard!$R$7,VLOOKUP($I1070,Dashboard!$Q$16:$R$21,2,FALSE)))))*VLOOKUP($I1070,Dashboard!$Q$9:$R$13,2,FALSE)*IF(AND($I1070="Auto",$F1070="",OR($B1070="Autographs Duals",$B1070="Autographs Triples",$B1070="Autographs Quads",$B1070="Autographs Quads (Inscribed)")),IF($B1070="Autographs Duals",2,IF($B1070="Autographs Triples",3,4)),1)))</f>
        <v>12.2</v>
      </c>
      <c r="AB1070" s="62">
        <f t="shared" si="219"/>
        <v>12.2</v>
      </c>
      <c r="AC1070" s="62">
        <f t="shared" si="220"/>
        <v>0</v>
      </c>
    </row>
    <row r="1071" spans="1:29" ht="28.7" customHeight="1" x14ac:dyDescent="0.25">
      <c r="A1071" s="4" t="s">
        <v>19</v>
      </c>
      <c r="B1071" s="7" t="s">
        <v>79</v>
      </c>
      <c r="C1071" s="2" t="s">
        <v>1569</v>
      </c>
      <c r="D1071" s="7" t="s">
        <v>1154</v>
      </c>
      <c r="E1071" s="4" t="s">
        <v>779</v>
      </c>
      <c r="F1071" s="2">
        <v>82</v>
      </c>
      <c r="G1071" s="2" t="s">
        <v>1399</v>
      </c>
      <c r="H1071" s="2" t="s">
        <v>1400</v>
      </c>
      <c r="I1071" s="4" t="s">
        <v>60</v>
      </c>
      <c r="J1071" s="112">
        <f>IF($H1071&lt;&gt;"Y",0,ROUND(MIN(Dashboard!$R$24,IF(IFERROR(VLOOKUP($B1071,Dashboard!$Q$28:$S$60,2,FALSE),0)&gt;0,IFERROR(VLOOKUP($B1071,Dashboard!$Q$28:$S$60,2,FALSE),0),$Z1071*IF($U1071&lt;&gt;"",ROUND((Dashboard!$R$4/$U1071)*VLOOKUP($I1071,Dashboard!$Q$9:$R$13,2,FALSE)*IF(ISNUMBER(SEARCH("Duals",$B1071)),2,IF(ISNUMBER(SEARCH("Triples",$B1071)),3,IF(ISNUMBER(SEARCH("Quads",$B1071)),4,1))),2),ROUND(VLOOKUP($I1071,Dashboard!$Q$15:$R$20,2,FALSE)*IF($E1071="Red",Dashboard!$R$6,IF($E1071="Gold",Dashboard!$R$7,Dashboard!$R$5))*IF(ISNUMBER(SEARCH("Duals",$B1071)),2,IF(ISNUMBER(SEARCH("Triples",$B1071)),3,IF(ISNUMBER(SEARCH("Quads",$B1071)),4,1))),2))*IF(IFERROR(VLOOKUP($B1071,Dashboard!$Q$28:$S$60,3,FALSE),0)&gt;0,VLOOKUP($B1071,Dashboard!$Q$28:$S$60,3,FALSE),1))),0))</f>
        <v>12</v>
      </c>
      <c r="K1071" s="2" t="str">
        <f>IF('Base S2'!G71="","",'Base S2'!G71)</f>
        <v>C 35/82</v>
      </c>
      <c r="L1071" s="2">
        <f t="shared" si="208"/>
        <v>1</v>
      </c>
      <c r="M1071" s="2">
        <f t="shared" si="209"/>
        <v>0</v>
      </c>
      <c r="N1071" s="2">
        <f t="shared" si="210"/>
        <v>1</v>
      </c>
      <c r="O1071" s="2">
        <f t="shared" si="211"/>
        <v>0</v>
      </c>
      <c r="P1071" s="112">
        <f t="shared" si="212"/>
        <v>12</v>
      </c>
      <c r="Q1071" s="112">
        <f t="shared" si="213"/>
        <v>0</v>
      </c>
      <c r="R1071" s="53"/>
      <c r="S1071" s="53" t="str">
        <f t="shared" si="214"/>
        <v>Base S2|Floor 82 Parallel - Season 2|170|Floor 82</v>
      </c>
      <c r="T1071" s="57" t="str">
        <f>IF($S1071="","",IFERROR(VLOOKUP($S1071,'Pop Estimates (Non-#d)'!$N$2:$O$500,2,FALSE),""))</f>
        <v/>
      </c>
      <c r="U1071" s="57">
        <f t="shared" si="215"/>
        <v>82</v>
      </c>
      <c r="V1071" s="53" t="str">
        <f t="shared" si="216"/>
        <v/>
      </c>
      <c r="W1071" s="53" t="str">
        <f t="shared" si="217"/>
        <v/>
      </c>
      <c r="X1071" s="53" t="str">
        <f t="shared" si="218"/>
        <v/>
      </c>
      <c r="Y1071" s="57" t="str">
        <f>IF($X1071="","",IFERROR(VLOOKUP($X1071,'Char Popularity'!$A$2:$C$500,2,FALSE),""))</f>
        <v/>
      </c>
      <c r="Z1071" s="56">
        <f>IF($X1071="",1,IFERROR(VLOOKUP($X1071,'Char Popularity'!$A$2:$C$500,3,FALSE),1))</f>
        <v>1</v>
      </c>
      <c r="AA1071" s="62">
        <f>IF($H1071&lt;&gt;"Y",0,(IF($F1071&lt;&gt;"",ROUND(Dashboard!$R$4/$F1071,1),IF(AND($I1071="Base",$E1071="Base"),Dashboard!$R$5,IF(AND($I1071="Base",$E1071="Red"),Dashboard!$R$6,IF(AND($I1071="Base",$E1071="Gold"),Dashboard!$R$7,VLOOKUP($I1071,Dashboard!$Q$16:$R$21,2,FALSE)))))*VLOOKUP($I1071,Dashboard!$Q$9:$R$13,2,FALSE)*IF(AND($I1071="Auto",$F1071="",OR($B1071="Autographs Duals",$B1071="Autographs Triples",$B1071="Autographs Quads",$B1071="Autographs Quads (Inscribed)")),IF($B1071="Autographs Duals",2,IF($B1071="Autographs Triples",3,4)),1)))</f>
        <v>12.2</v>
      </c>
      <c r="AB1071" s="62">
        <f t="shared" si="219"/>
        <v>12.2</v>
      </c>
      <c r="AC1071" s="62">
        <f t="shared" si="220"/>
        <v>0</v>
      </c>
    </row>
    <row r="1072" spans="1:29" ht="28.7" customHeight="1" x14ac:dyDescent="0.25">
      <c r="A1072" s="4" t="s">
        <v>19</v>
      </c>
      <c r="B1072" s="7" t="s">
        <v>79</v>
      </c>
      <c r="C1072" s="2" t="s">
        <v>1570</v>
      </c>
      <c r="D1072" s="7" t="s">
        <v>1158</v>
      </c>
      <c r="E1072" s="4" t="s">
        <v>779</v>
      </c>
      <c r="F1072" s="2">
        <v>82</v>
      </c>
      <c r="G1072" s="2" t="s">
        <v>1399</v>
      </c>
      <c r="H1072" s="2" t="s">
        <v>1400</v>
      </c>
      <c r="I1072" s="4" t="s">
        <v>60</v>
      </c>
      <c r="J1072" s="112">
        <f>IF($H1072&lt;&gt;"Y",0,ROUND(MIN(Dashboard!$R$24,IF(IFERROR(VLOOKUP($B1072,Dashboard!$Q$28:$S$60,2,FALSE),0)&gt;0,IFERROR(VLOOKUP($B1072,Dashboard!$Q$28:$S$60,2,FALSE),0),$Z1072*IF($U1072&lt;&gt;"",ROUND((Dashboard!$R$4/$U1072)*VLOOKUP($I1072,Dashboard!$Q$9:$R$13,2,FALSE)*IF(ISNUMBER(SEARCH("Duals",$B1072)),2,IF(ISNUMBER(SEARCH("Triples",$B1072)),3,IF(ISNUMBER(SEARCH("Quads",$B1072)),4,1))),2),ROUND(VLOOKUP($I1072,Dashboard!$Q$15:$R$20,2,FALSE)*IF($E1072="Red",Dashboard!$R$6,IF($E1072="Gold",Dashboard!$R$7,Dashboard!$R$5))*IF(ISNUMBER(SEARCH("Duals",$B1072)),2,IF(ISNUMBER(SEARCH("Triples",$B1072)),3,IF(ISNUMBER(SEARCH("Quads",$B1072)),4,1))),2))*IF(IFERROR(VLOOKUP($B1072,Dashboard!$Q$28:$S$60,3,FALSE),0)&gt;0,VLOOKUP($B1072,Dashboard!$Q$28:$S$60,3,FALSE),1))),0))</f>
        <v>12</v>
      </c>
      <c r="K1072" s="2" t="str">
        <f>IF('Base S2'!G72="","",'Base S2'!G72)</f>
        <v>C 14/82</v>
      </c>
      <c r="L1072" s="2">
        <f t="shared" si="208"/>
        <v>1</v>
      </c>
      <c r="M1072" s="2">
        <f t="shared" si="209"/>
        <v>0</v>
      </c>
      <c r="N1072" s="2">
        <f t="shared" si="210"/>
        <v>1</v>
      </c>
      <c r="O1072" s="2">
        <f t="shared" si="211"/>
        <v>0</v>
      </c>
      <c r="P1072" s="112">
        <f t="shared" si="212"/>
        <v>12</v>
      </c>
      <c r="Q1072" s="112">
        <f t="shared" si="213"/>
        <v>0</v>
      </c>
      <c r="R1072" s="53"/>
      <c r="S1072" s="53" t="str">
        <f t="shared" si="214"/>
        <v>Base S2|Floor 82 Parallel - Season 2|171|Floor 82</v>
      </c>
      <c r="T1072" s="57" t="str">
        <f>IF($S1072="","",IFERROR(VLOOKUP($S1072,'Pop Estimates (Non-#d)'!$N$2:$O$500,2,FALSE),""))</f>
        <v/>
      </c>
      <c r="U1072" s="57">
        <f t="shared" si="215"/>
        <v>82</v>
      </c>
      <c r="V1072" s="53" t="str">
        <f t="shared" si="216"/>
        <v/>
      </c>
      <c r="W1072" s="53" t="str">
        <f t="shared" si="217"/>
        <v/>
      </c>
      <c r="X1072" s="53" t="str">
        <f t="shared" si="218"/>
        <v/>
      </c>
      <c r="Y1072" s="57" t="str">
        <f>IF($X1072="","",IFERROR(VLOOKUP($X1072,'Char Popularity'!$A$2:$C$500,2,FALSE),""))</f>
        <v/>
      </c>
      <c r="Z1072" s="56">
        <f>IF($X1072="",1,IFERROR(VLOOKUP($X1072,'Char Popularity'!$A$2:$C$500,3,FALSE),1))</f>
        <v>1</v>
      </c>
      <c r="AA1072" s="62">
        <f>IF($H1072&lt;&gt;"Y",0,(IF($F1072&lt;&gt;"",ROUND(Dashboard!$R$4/$F1072,1),IF(AND($I1072="Base",$E1072="Base"),Dashboard!$R$5,IF(AND($I1072="Base",$E1072="Red"),Dashboard!$R$6,IF(AND($I1072="Base",$E1072="Gold"),Dashboard!$R$7,VLOOKUP($I1072,Dashboard!$Q$16:$R$21,2,FALSE)))))*VLOOKUP($I1072,Dashboard!$Q$9:$R$13,2,FALSE)*IF(AND($I1072="Auto",$F1072="",OR($B1072="Autographs Duals",$B1072="Autographs Triples",$B1072="Autographs Quads",$B1072="Autographs Quads (Inscribed)")),IF($B1072="Autographs Duals",2,IF($B1072="Autographs Triples",3,4)),1)))</f>
        <v>12.2</v>
      </c>
      <c r="AB1072" s="62">
        <f t="shared" si="219"/>
        <v>12.2</v>
      </c>
      <c r="AC1072" s="62">
        <f t="shared" si="220"/>
        <v>0</v>
      </c>
    </row>
    <row r="1073" spans="1:29" ht="28.7" customHeight="1" x14ac:dyDescent="0.25">
      <c r="A1073" s="4" t="s">
        <v>19</v>
      </c>
      <c r="B1073" s="7" t="s">
        <v>79</v>
      </c>
      <c r="C1073" s="2" t="s">
        <v>1571</v>
      </c>
      <c r="D1073" s="7" t="s">
        <v>1160</v>
      </c>
      <c r="E1073" s="4" t="s">
        <v>779</v>
      </c>
      <c r="F1073" s="2">
        <v>82</v>
      </c>
      <c r="G1073" s="2" t="s">
        <v>1399</v>
      </c>
      <c r="H1073" s="2" t="s">
        <v>1400</v>
      </c>
      <c r="I1073" s="4" t="s">
        <v>60</v>
      </c>
      <c r="J1073" s="112">
        <f>IF($H1073&lt;&gt;"Y",0,ROUND(MIN(Dashboard!$R$24,IF(IFERROR(VLOOKUP($B1073,Dashboard!$Q$28:$S$60,2,FALSE),0)&gt;0,IFERROR(VLOOKUP($B1073,Dashboard!$Q$28:$S$60,2,FALSE),0),$Z1073*IF($U1073&lt;&gt;"",ROUND((Dashboard!$R$4/$U1073)*VLOOKUP($I1073,Dashboard!$Q$9:$R$13,2,FALSE)*IF(ISNUMBER(SEARCH("Duals",$B1073)),2,IF(ISNUMBER(SEARCH("Triples",$B1073)),3,IF(ISNUMBER(SEARCH("Quads",$B1073)),4,1))),2),ROUND(VLOOKUP($I1073,Dashboard!$Q$15:$R$20,2,FALSE)*IF($E1073="Red",Dashboard!$R$6,IF($E1073="Gold",Dashboard!$R$7,Dashboard!$R$5))*IF(ISNUMBER(SEARCH("Duals",$B1073)),2,IF(ISNUMBER(SEARCH("Triples",$B1073)),3,IF(ISNUMBER(SEARCH("Quads",$B1073)),4,1))),2))*IF(IFERROR(VLOOKUP($B1073,Dashboard!$Q$28:$S$60,3,FALSE),0)&gt;0,VLOOKUP($B1073,Dashboard!$Q$28:$S$60,3,FALSE),1))),0))</f>
        <v>12</v>
      </c>
      <c r="K1073" s="2" t="str">
        <f>IF('Base S2'!G73="","",'Base S2'!G73)</f>
        <v>C 66/82</v>
      </c>
      <c r="L1073" s="2">
        <f t="shared" si="208"/>
        <v>1</v>
      </c>
      <c r="M1073" s="2">
        <f t="shared" si="209"/>
        <v>0</v>
      </c>
      <c r="N1073" s="2">
        <f t="shared" si="210"/>
        <v>1</v>
      </c>
      <c r="O1073" s="2">
        <f t="shared" si="211"/>
        <v>0</v>
      </c>
      <c r="P1073" s="112">
        <f t="shared" si="212"/>
        <v>12</v>
      </c>
      <c r="Q1073" s="112">
        <f t="shared" si="213"/>
        <v>0</v>
      </c>
      <c r="R1073" s="53"/>
      <c r="S1073" s="53" t="str">
        <f t="shared" si="214"/>
        <v>Base S2|Floor 82 Parallel - Season 2|172|Floor 82</v>
      </c>
      <c r="T1073" s="57" t="str">
        <f>IF($S1073="","",IFERROR(VLOOKUP($S1073,'Pop Estimates (Non-#d)'!$N$2:$O$500,2,FALSE),""))</f>
        <v/>
      </c>
      <c r="U1073" s="57">
        <f t="shared" si="215"/>
        <v>82</v>
      </c>
      <c r="V1073" s="53" t="str">
        <f t="shared" si="216"/>
        <v/>
      </c>
      <c r="W1073" s="53" t="str">
        <f t="shared" si="217"/>
        <v/>
      </c>
      <c r="X1073" s="53" t="str">
        <f t="shared" si="218"/>
        <v/>
      </c>
      <c r="Y1073" s="57" t="str">
        <f>IF($X1073="","",IFERROR(VLOOKUP($X1073,'Char Popularity'!$A$2:$C$500,2,FALSE),""))</f>
        <v/>
      </c>
      <c r="Z1073" s="56">
        <f>IF($X1073="",1,IFERROR(VLOOKUP($X1073,'Char Popularity'!$A$2:$C$500,3,FALSE),1))</f>
        <v>1</v>
      </c>
      <c r="AA1073" s="62">
        <f>IF($H1073&lt;&gt;"Y",0,(IF($F1073&lt;&gt;"",ROUND(Dashboard!$R$4/$F1073,1),IF(AND($I1073="Base",$E1073="Base"),Dashboard!$R$5,IF(AND($I1073="Base",$E1073="Red"),Dashboard!$R$6,IF(AND($I1073="Base",$E1073="Gold"),Dashboard!$R$7,VLOOKUP($I1073,Dashboard!$Q$16:$R$21,2,FALSE)))))*VLOOKUP($I1073,Dashboard!$Q$9:$R$13,2,FALSE)*IF(AND($I1073="Auto",$F1073="",OR($B1073="Autographs Duals",$B1073="Autographs Triples",$B1073="Autographs Quads",$B1073="Autographs Quads (Inscribed)")),IF($B1073="Autographs Duals",2,IF($B1073="Autographs Triples",3,4)),1)))</f>
        <v>12.2</v>
      </c>
      <c r="AB1073" s="62">
        <f t="shared" si="219"/>
        <v>12.2</v>
      </c>
      <c r="AC1073" s="62">
        <f t="shared" si="220"/>
        <v>0</v>
      </c>
    </row>
    <row r="1074" spans="1:29" ht="28.7" customHeight="1" x14ac:dyDescent="0.25">
      <c r="A1074" s="4" t="s">
        <v>19</v>
      </c>
      <c r="B1074" s="7" t="s">
        <v>79</v>
      </c>
      <c r="C1074" s="2" t="s">
        <v>1572</v>
      </c>
      <c r="D1074" s="7" t="s">
        <v>1161</v>
      </c>
      <c r="E1074" s="4" t="s">
        <v>779</v>
      </c>
      <c r="F1074" s="2">
        <v>82</v>
      </c>
      <c r="G1074" s="2" t="s">
        <v>1399</v>
      </c>
      <c r="H1074" s="2" t="s">
        <v>1400</v>
      </c>
      <c r="I1074" s="4" t="s">
        <v>60</v>
      </c>
      <c r="J1074" s="112">
        <f>IF($H1074&lt;&gt;"Y",0,ROUND(MIN(Dashboard!$R$24,IF(IFERROR(VLOOKUP($B1074,Dashboard!$Q$28:$S$60,2,FALSE),0)&gt;0,IFERROR(VLOOKUP($B1074,Dashboard!$Q$28:$S$60,2,FALSE),0),$Z1074*IF($U1074&lt;&gt;"",ROUND((Dashboard!$R$4/$U1074)*VLOOKUP($I1074,Dashboard!$Q$9:$R$13,2,FALSE)*IF(ISNUMBER(SEARCH("Duals",$B1074)),2,IF(ISNUMBER(SEARCH("Triples",$B1074)),3,IF(ISNUMBER(SEARCH("Quads",$B1074)),4,1))),2),ROUND(VLOOKUP($I1074,Dashboard!$Q$15:$R$20,2,FALSE)*IF($E1074="Red",Dashboard!$R$6,IF($E1074="Gold",Dashboard!$R$7,Dashboard!$R$5))*IF(ISNUMBER(SEARCH("Duals",$B1074)),2,IF(ISNUMBER(SEARCH("Triples",$B1074)),3,IF(ISNUMBER(SEARCH("Quads",$B1074)),4,1))),2))*IF(IFERROR(VLOOKUP($B1074,Dashboard!$Q$28:$S$60,3,FALSE),0)&gt;0,VLOOKUP($B1074,Dashboard!$Q$28:$S$60,3,FALSE),1))),0))</f>
        <v>12</v>
      </c>
      <c r="K1074" s="2" t="str">
        <f>IF('Base S2'!G74="","",'Base S2'!G74)</f>
        <v>C 68/82</v>
      </c>
      <c r="L1074" s="2">
        <f t="shared" si="208"/>
        <v>1</v>
      </c>
      <c r="M1074" s="2">
        <f t="shared" si="209"/>
        <v>0</v>
      </c>
      <c r="N1074" s="2">
        <f t="shared" si="210"/>
        <v>1</v>
      </c>
      <c r="O1074" s="2">
        <f t="shared" si="211"/>
        <v>0</v>
      </c>
      <c r="P1074" s="112">
        <f t="shared" si="212"/>
        <v>12</v>
      </c>
      <c r="Q1074" s="112">
        <f t="shared" si="213"/>
        <v>0</v>
      </c>
      <c r="R1074" s="53"/>
      <c r="S1074" s="53" t="str">
        <f t="shared" si="214"/>
        <v>Base S2|Floor 82 Parallel - Season 2|173|Floor 82</v>
      </c>
      <c r="T1074" s="57" t="str">
        <f>IF($S1074="","",IFERROR(VLOOKUP($S1074,'Pop Estimates (Non-#d)'!$N$2:$O$500,2,FALSE),""))</f>
        <v/>
      </c>
      <c r="U1074" s="57">
        <f t="shared" si="215"/>
        <v>82</v>
      </c>
      <c r="V1074" s="53" t="str">
        <f t="shared" si="216"/>
        <v/>
      </c>
      <c r="W1074" s="53" t="str">
        <f t="shared" si="217"/>
        <v/>
      </c>
      <c r="X1074" s="53" t="str">
        <f t="shared" si="218"/>
        <v/>
      </c>
      <c r="Y1074" s="57" t="str">
        <f>IF($X1074="","",IFERROR(VLOOKUP($X1074,'Char Popularity'!$A$2:$C$500,2,FALSE),""))</f>
        <v/>
      </c>
      <c r="Z1074" s="56">
        <f>IF($X1074="",1,IFERROR(VLOOKUP($X1074,'Char Popularity'!$A$2:$C$500,3,FALSE),1))</f>
        <v>1</v>
      </c>
      <c r="AA1074" s="62">
        <f>IF($H1074&lt;&gt;"Y",0,(IF($F1074&lt;&gt;"",ROUND(Dashboard!$R$4/$F1074,1),IF(AND($I1074="Base",$E1074="Base"),Dashboard!$R$5,IF(AND($I1074="Base",$E1074="Red"),Dashboard!$R$6,IF(AND($I1074="Base",$E1074="Gold"),Dashboard!$R$7,VLOOKUP($I1074,Dashboard!$Q$16:$R$21,2,FALSE)))))*VLOOKUP($I1074,Dashboard!$Q$9:$R$13,2,FALSE)*IF(AND($I1074="Auto",$F1074="",OR($B1074="Autographs Duals",$B1074="Autographs Triples",$B1074="Autographs Quads",$B1074="Autographs Quads (Inscribed)")),IF($B1074="Autographs Duals",2,IF($B1074="Autographs Triples",3,4)),1)))</f>
        <v>12.2</v>
      </c>
      <c r="AB1074" s="62">
        <f t="shared" si="219"/>
        <v>12.2</v>
      </c>
      <c r="AC1074" s="62">
        <f t="shared" si="220"/>
        <v>0</v>
      </c>
    </row>
    <row r="1075" spans="1:29" ht="28.7" customHeight="1" x14ac:dyDescent="0.25">
      <c r="A1075" s="4" t="s">
        <v>19</v>
      </c>
      <c r="B1075" s="7" t="s">
        <v>79</v>
      </c>
      <c r="C1075" s="2" t="s">
        <v>1573</v>
      </c>
      <c r="D1075" s="7" t="s">
        <v>1164</v>
      </c>
      <c r="E1075" s="4" t="s">
        <v>779</v>
      </c>
      <c r="F1075" s="2">
        <v>82</v>
      </c>
      <c r="G1075" s="2" t="s">
        <v>1399</v>
      </c>
      <c r="H1075" s="2" t="s">
        <v>1400</v>
      </c>
      <c r="I1075" s="4" t="s">
        <v>60</v>
      </c>
      <c r="J1075" s="112">
        <f>IF($H1075&lt;&gt;"Y",0,ROUND(MIN(Dashboard!$R$24,IF(IFERROR(VLOOKUP($B1075,Dashboard!$Q$28:$S$60,2,FALSE),0)&gt;0,IFERROR(VLOOKUP($B1075,Dashboard!$Q$28:$S$60,2,FALSE),0),$Z1075*IF($U1075&lt;&gt;"",ROUND((Dashboard!$R$4/$U1075)*VLOOKUP($I1075,Dashboard!$Q$9:$R$13,2,FALSE)*IF(ISNUMBER(SEARCH("Duals",$B1075)),2,IF(ISNUMBER(SEARCH("Triples",$B1075)),3,IF(ISNUMBER(SEARCH("Quads",$B1075)),4,1))),2),ROUND(VLOOKUP($I1075,Dashboard!$Q$15:$R$20,2,FALSE)*IF($E1075="Red",Dashboard!$R$6,IF($E1075="Gold",Dashboard!$R$7,Dashboard!$R$5))*IF(ISNUMBER(SEARCH("Duals",$B1075)),2,IF(ISNUMBER(SEARCH("Triples",$B1075)),3,IF(ISNUMBER(SEARCH("Quads",$B1075)),4,1))),2))*IF(IFERROR(VLOOKUP($B1075,Dashboard!$Q$28:$S$60,3,FALSE),0)&gt;0,VLOOKUP($B1075,Dashboard!$Q$28:$S$60,3,FALSE),1))),0))</f>
        <v>12</v>
      </c>
      <c r="K1075" s="2" t="str">
        <f>IF('Base S2'!G75="","",'Base S2'!G75)</f>
        <v>C 74/82</v>
      </c>
      <c r="L1075" s="2">
        <f t="shared" si="208"/>
        <v>1</v>
      </c>
      <c r="M1075" s="2">
        <f t="shared" si="209"/>
        <v>0</v>
      </c>
      <c r="N1075" s="2">
        <f t="shared" si="210"/>
        <v>1</v>
      </c>
      <c r="O1075" s="2">
        <f t="shared" si="211"/>
        <v>0</v>
      </c>
      <c r="P1075" s="112">
        <f t="shared" si="212"/>
        <v>12</v>
      </c>
      <c r="Q1075" s="112">
        <f t="shared" si="213"/>
        <v>0</v>
      </c>
      <c r="R1075" s="53"/>
      <c r="S1075" s="53" t="str">
        <f t="shared" si="214"/>
        <v>Base S2|Floor 82 Parallel - Season 2|174|Floor 82</v>
      </c>
      <c r="T1075" s="57" t="str">
        <f>IF($S1075="","",IFERROR(VLOOKUP($S1075,'Pop Estimates (Non-#d)'!$N$2:$O$500,2,FALSE),""))</f>
        <v/>
      </c>
      <c r="U1075" s="57">
        <f t="shared" si="215"/>
        <v>82</v>
      </c>
      <c r="V1075" s="53" t="str">
        <f t="shared" si="216"/>
        <v/>
      </c>
      <c r="W1075" s="53" t="str">
        <f t="shared" si="217"/>
        <v/>
      </c>
      <c r="X1075" s="53" t="str">
        <f t="shared" si="218"/>
        <v/>
      </c>
      <c r="Y1075" s="57" t="str">
        <f>IF($X1075="","",IFERROR(VLOOKUP($X1075,'Char Popularity'!$A$2:$C$500,2,FALSE),""))</f>
        <v/>
      </c>
      <c r="Z1075" s="56">
        <f>IF($X1075="",1,IFERROR(VLOOKUP($X1075,'Char Popularity'!$A$2:$C$500,3,FALSE),1))</f>
        <v>1</v>
      </c>
      <c r="AA1075" s="62">
        <f>IF($H1075&lt;&gt;"Y",0,(IF($F1075&lt;&gt;"",ROUND(Dashboard!$R$4/$F1075,1),IF(AND($I1075="Base",$E1075="Base"),Dashboard!$R$5,IF(AND($I1075="Base",$E1075="Red"),Dashboard!$R$6,IF(AND($I1075="Base",$E1075="Gold"),Dashboard!$R$7,VLOOKUP($I1075,Dashboard!$Q$16:$R$21,2,FALSE)))))*VLOOKUP($I1075,Dashboard!$Q$9:$R$13,2,FALSE)*IF(AND($I1075="Auto",$F1075="",OR($B1075="Autographs Duals",$B1075="Autographs Triples",$B1075="Autographs Quads",$B1075="Autographs Quads (Inscribed)")),IF($B1075="Autographs Duals",2,IF($B1075="Autographs Triples",3,4)),1)))</f>
        <v>12.2</v>
      </c>
      <c r="AB1075" s="62">
        <f t="shared" si="219"/>
        <v>12.2</v>
      </c>
      <c r="AC1075" s="62">
        <f t="shared" si="220"/>
        <v>0</v>
      </c>
    </row>
    <row r="1076" spans="1:29" ht="28.7" customHeight="1" x14ac:dyDescent="0.25">
      <c r="A1076" s="4" t="s">
        <v>19</v>
      </c>
      <c r="B1076" s="7" t="s">
        <v>79</v>
      </c>
      <c r="C1076" s="2" t="s">
        <v>1574</v>
      </c>
      <c r="D1076" s="7" t="s">
        <v>1165</v>
      </c>
      <c r="E1076" s="4" t="s">
        <v>779</v>
      </c>
      <c r="F1076" s="2">
        <v>82</v>
      </c>
      <c r="G1076" s="2" t="s">
        <v>1399</v>
      </c>
      <c r="H1076" s="2" t="s">
        <v>1400</v>
      </c>
      <c r="I1076" s="4" t="s">
        <v>60</v>
      </c>
      <c r="J1076" s="112">
        <f>IF($H1076&lt;&gt;"Y",0,ROUND(MIN(Dashboard!$R$24,IF(IFERROR(VLOOKUP($B1076,Dashboard!$Q$28:$S$60,2,FALSE),0)&gt;0,IFERROR(VLOOKUP($B1076,Dashboard!$Q$28:$S$60,2,FALSE),0),$Z1076*IF($U1076&lt;&gt;"",ROUND((Dashboard!$R$4/$U1076)*VLOOKUP($I1076,Dashboard!$Q$9:$R$13,2,FALSE)*IF(ISNUMBER(SEARCH("Duals",$B1076)),2,IF(ISNUMBER(SEARCH("Triples",$B1076)),3,IF(ISNUMBER(SEARCH("Quads",$B1076)),4,1))),2),ROUND(VLOOKUP($I1076,Dashboard!$Q$15:$R$20,2,FALSE)*IF($E1076="Red",Dashboard!$R$6,IF($E1076="Gold",Dashboard!$R$7,Dashboard!$R$5))*IF(ISNUMBER(SEARCH("Duals",$B1076)),2,IF(ISNUMBER(SEARCH("Triples",$B1076)),3,IF(ISNUMBER(SEARCH("Quads",$B1076)),4,1))),2))*IF(IFERROR(VLOOKUP($B1076,Dashboard!$Q$28:$S$60,3,FALSE),0)&gt;0,VLOOKUP($B1076,Dashboard!$Q$28:$S$60,3,FALSE),1))),0))</f>
        <v>12</v>
      </c>
      <c r="K1076" s="2" t="str">
        <f>IF('Base S2'!G76="","",'Base S2'!G76)</f>
        <v>C 70/82</v>
      </c>
      <c r="L1076" s="2">
        <f t="shared" si="208"/>
        <v>1</v>
      </c>
      <c r="M1076" s="2">
        <f t="shared" si="209"/>
        <v>0</v>
      </c>
      <c r="N1076" s="2">
        <f t="shared" si="210"/>
        <v>1</v>
      </c>
      <c r="O1076" s="2">
        <f t="shared" si="211"/>
        <v>0</v>
      </c>
      <c r="P1076" s="112">
        <f t="shared" si="212"/>
        <v>12</v>
      </c>
      <c r="Q1076" s="112">
        <f t="shared" si="213"/>
        <v>0</v>
      </c>
      <c r="R1076" s="53"/>
      <c r="S1076" s="53" t="str">
        <f t="shared" si="214"/>
        <v>Base S2|Floor 82 Parallel - Season 2|175|Floor 82</v>
      </c>
      <c r="T1076" s="57" t="str">
        <f>IF($S1076="","",IFERROR(VLOOKUP($S1076,'Pop Estimates (Non-#d)'!$N$2:$O$500,2,FALSE),""))</f>
        <v/>
      </c>
      <c r="U1076" s="57">
        <f t="shared" si="215"/>
        <v>82</v>
      </c>
      <c r="V1076" s="53" t="str">
        <f t="shared" si="216"/>
        <v/>
      </c>
      <c r="W1076" s="53" t="str">
        <f t="shared" si="217"/>
        <v/>
      </c>
      <c r="X1076" s="53" t="str">
        <f t="shared" si="218"/>
        <v/>
      </c>
      <c r="Y1076" s="57" t="str">
        <f>IF($X1076="","",IFERROR(VLOOKUP($X1076,'Char Popularity'!$A$2:$C$500,2,FALSE),""))</f>
        <v/>
      </c>
      <c r="Z1076" s="56">
        <f>IF($X1076="",1,IFERROR(VLOOKUP($X1076,'Char Popularity'!$A$2:$C$500,3,FALSE),1))</f>
        <v>1</v>
      </c>
      <c r="AA1076" s="62">
        <f>IF($H1076&lt;&gt;"Y",0,(IF($F1076&lt;&gt;"",ROUND(Dashboard!$R$4/$F1076,1),IF(AND($I1076="Base",$E1076="Base"),Dashboard!$R$5,IF(AND($I1076="Base",$E1076="Red"),Dashboard!$R$6,IF(AND($I1076="Base",$E1076="Gold"),Dashboard!$R$7,VLOOKUP($I1076,Dashboard!$Q$16:$R$21,2,FALSE)))))*VLOOKUP($I1076,Dashboard!$Q$9:$R$13,2,FALSE)*IF(AND($I1076="Auto",$F1076="",OR($B1076="Autographs Duals",$B1076="Autographs Triples",$B1076="Autographs Quads",$B1076="Autographs Quads (Inscribed)")),IF($B1076="Autographs Duals",2,IF($B1076="Autographs Triples",3,4)),1)))</f>
        <v>12.2</v>
      </c>
      <c r="AB1076" s="62">
        <f t="shared" si="219"/>
        <v>12.2</v>
      </c>
      <c r="AC1076" s="62">
        <f t="shared" si="220"/>
        <v>0</v>
      </c>
    </row>
    <row r="1077" spans="1:29" ht="28.7" customHeight="1" x14ac:dyDescent="0.25">
      <c r="A1077" s="4" t="s">
        <v>19</v>
      </c>
      <c r="B1077" s="7" t="s">
        <v>79</v>
      </c>
      <c r="C1077" s="2" t="s">
        <v>1575</v>
      </c>
      <c r="D1077" s="7" t="s">
        <v>1167</v>
      </c>
      <c r="E1077" s="4" t="s">
        <v>779</v>
      </c>
      <c r="F1077" s="2">
        <v>82</v>
      </c>
      <c r="G1077" s="2" t="s">
        <v>1399</v>
      </c>
      <c r="H1077" s="2" t="s">
        <v>1400</v>
      </c>
      <c r="I1077" s="4" t="s">
        <v>60</v>
      </c>
      <c r="J1077" s="112">
        <f>IF($H1077&lt;&gt;"Y",0,ROUND(MIN(Dashboard!$R$24,IF(IFERROR(VLOOKUP($B1077,Dashboard!$Q$28:$S$60,2,FALSE),0)&gt;0,IFERROR(VLOOKUP($B1077,Dashboard!$Q$28:$S$60,2,FALSE),0),$Z1077*IF($U1077&lt;&gt;"",ROUND((Dashboard!$R$4/$U1077)*VLOOKUP($I1077,Dashboard!$Q$9:$R$13,2,FALSE)*IF(ISNUMBER(SEARCH("Duals",$B1077)),2,IF(ISNUMBER(SEARCH("Triples",$B1077)),3,IF(ISNUMBER(SEARCH("Quads",$B1077)),4,1))),2),ROUND(VLOOKUP($I1077,Dashboard!$Q$15:$R$20,2,FALSE)*IF($E1077="Red",Dashboard!$R$6,IF($E1077="Gold",Dashboard!$R$7,Dashboard!$R$5))*IF(ISNUMBER(SEARCH("Duals",$B1077)),2,IF(ISNUMBER(SEARCH("Triples",$B1077)),3,IF(ISNUMBER(SEARCH("Quads",$B1077)),4,1))),2))*IF(IFERROR(VLOOKUP($B1077,Dashboard!$Q$28:$S$60,3,FALSE),0)&gt;0,VLOOKUP($B1077,Dashboard!$Q$28:$S$60,3,FALSE),1))),0))</f>
        <v>12</v>
      </c>
      <c r="K1077" s="2" t="str">
        <f>IF('Base S2'!G77="","",'Base S2'!G77)</f>
        <v>C 74/82</v>
      </c>
      <c r="L1077" s="2">
        <f t="shared" si="208"/>
        <v>1</v>
      </c>
      <c r="M1077" s="2">
        <f t="shared" si="209"/>
        <v>0</v>
      </c>
      <c r="N1077" s="2">
        <f t="shared" si="210"/>
        <v>1</v>
      </c>
      <c r="O1077" s="2">
        <f t="shared" si="211"/>
        <v>0</v>
      </c>
      <c r="P1077" s="112">
        <f t="shared" si="212"/>
        <v>12</v>
      </c>
      <c r="Q1077" s="112">
        <f t="shared" si="213"/>
        <v>0</v>
      </c>
      <c r="R1077" s="53"/>
      <c r="S1077" s="53" t="str">
        <f t="shared" si="214"/>
        <v>Base S2|Floor 82 Parallel - Season 2|176|Floor 82</v>
      </c>
      <c r="T1077" s="57" t="str">
        <f>IF($S1077="","",IFERROR(VLOOKUP($S1077,'Pop Estimates (Non-#d)'!$N$2:$O$500,2,FALSE),""))</f>
        <v/>
      </c>
      <c r="U1077" s="57">
        <f t="shared" si="215"/>
        <v>82</v>
      </c>
      <c r="V1077" s="53" t="str">
        <f t="shared" si="216"/>
        <v/>
      </c>
      <c r="W1077" s="53" t="str">
        <f t="shared" si="217"/>
        <v/>
      </c>
      <c r="X1077" s="53" t="str">
        <f t="shared" si="218"/>
        <v/>
      </c>
      <c r="Y1077" s="57" t="str">
        <f>IF($X1077="","",IFERROR(VLOOKUP($X1077,'Char Popularity'!$A$2:$C$500,2,FALSE),""))</f>
        <v/>
      </c>
      <c r="Z1077" s="56">
        <f>IF($X1077="",1,IFERROR(VLOOKUP($X1077,'Char Popularity'!$A$2:$C$500,3,FALSE),1))</f>
        <v>1</v>
      </c>
      <c r="AA1077" s="62">
        <f>IF($H1077&lt;&gt;"Y",0,(IF($F1077&lt;&gt;"",ROUND(Dashboard!$R$4/$F1077,1),IF(AND($I1077="Base",$E1077="Base"),Dashboard!$R$5,IF(AND($I1077="Base",$E1077="Red"),Dashboard!$R$6,IF(AND($I1077="Base",$E1077="Gold"),Dashboard!$R$7,VLOOKUP($I1077,Dashboard!$Q$16:$R$21,2,FALSE)))))*VLOOKUP($I1077,Dashboard!$Q$9:$R$13,2,FALSE)*IF(AND($I1077="Auto",$F1077="",OR($B1077="Autographs Duals",$B1077="Autographs Triples",$B1077="Autographs Quads",$B1077="Autographs Quads (Inscribed)")),IF($B1077="Autographs Duals",2,IF($B1077="Autographs Triples",3,4)),1)))</f>
        <v>12.2</v>
      </c>
      <c r="AB1077" s="62">
        <f t="shared" si="219"/>
        <v>12.2</v>
      </c>
      <c r="AC1077" s="62">
        <f t="shared" si="220"/>
        <v>0</v>
      </c>
    </row>
    <row r="1078" spans="1:29" ht="28.7" customHeight="1" x14ac:dyDescent="0.25">
      <c r="A1078" s="4" t="s">
        <v>19</v>
      </c>
      <c r="B1078" s="7" t="s">
        <v>79</v>
      </c>
      <c r="C1078" s="2" t="s">
        <v>1576</v>
      </c>
      <c r="D1078" s="7" t="s">
        <v>1168</v>
      </c>
      <c r="E1078" s="4" t="s">
        <v>779</v>
      </c>
      <c r="F1078" s="2">
        <v>82</v>
      </c>
      <c r="G1078" s="2" t="s">
        <v>1399</v>
      </c>
      <c r="H1078" s="2" t="s">
        <v>1400</v>
      </c>
      <c r="I1078" s="4" t="s">
        <v>60</v>
      </c>
      <c r="J1078" s="112">
        <f>IF($H1078&lt;&gt;"Y",0,ROUND(MIN(Dashboard!$R$24,IF(IFERROR(VLOOKUP($B1078,Dashboard!$Q$28:$S$60,2,FALSE),0)&gt;0,IFERROR(VLOOKUP($B1078,Dashboard!$Q$28:$S$60,2,FALSE),0),$Z1078*IF($U1078&lt;&gt;"",ROUND((Dashboard!$R$4/$U1078)*VLOOKUP($I1078,Dashboard!$Q$9:$R$13,2,FALSE)*IF(ISNUMBER(SEARCH("Duals",$B1078)),2,IF(ISNUMBER(SEARCH("Triples",$B1078)),3,IF(ISNUMBER(SEARCH("Quads",$B1078)),4,1))),2),ROUND(VLOOKUP($I1078,Dashboard!$Q$15:$R$20,2,FALSE)*IF($E1078="Red",Dashboard!$R$6,IF($E1078="Gold",Dashboard!$R$7,Dashboard!$R$5))*IF(ISNUMBER(SEARCH("Duals",$B1078)),2,IF(ISNUMBER(SEARCH("Triples",$B1078)),3,IF(ISNUMBER(SEARCH("Quads",$B1078)),4,1))),2))*IF(IFERROR(VLOOKUP($B1078,Dashboard!$Q$28:$S$60,3,FALSE),0)&gt;0,VLOOKUP($B1078,Dashboard!$Q$28:$S$60,3,FALSE),1))),0))</f>
        <v>12</v>
      </c>
      <c r="K1078" s="2" t="str">
        <f>IF('Base S2'!G78="","",'Base S2'!G78)</f>
        <v>C 25/82</v>
      </c>
      <c r="L1078" s="2">
        <f t="shared" si="208"/>
        <v>1</v>
      </c>
      <c r="M1078" s="2">
        <f t="shared" si="209"/>
        <v>0</v>
      </c>
      <c r="N1078" s="2">
        <f t="shared" si="210"/>
        <v>1</v>
      </c>
      <c r="O1078" s="2">
        <f t="shared" si="211"/>
        <v>0</v>
      </c>
      <c r="P1078" s="112">
        <f t="shared" si="212"/>
        <v>12</v>
      </c>
      <c r="Q1078" s="112">
        <f t="shared" si="213"/>
        <v>0</v>
      </c>
      <c r="R1078" s="53"/>
      <c r="S1078" s="53" t="str">
        <f t="shared" si="214"/>
        <v>Base S2|Floor 82 Parallel - Season 2|177|Floor 82</v>
      </c>
      <c r="T1078" s="57" t="str">
        <f>IF($S1078="","",IFERROR(VLOOKUP($S1078,'Pop Estimates (Non-#d)'!$N$2:$O$500,2,FALSE),""))</f>
        <v/>
      </c>
      <c r="U1078" s="57">
        <f t="shared" si="215"/>
        <v>82</v>
      </c>
      <c r="V1078" s="53" t="str">
        <f t="shared" si="216"/>
        <v/>
      </c>
      <c r="W1078" s="53" t="str">
        <f t="shared" si="217"/>
        <v/>
      </c>
      <c r="X1078" s="53" t="str">
        <f t="shared" si="218"/>
        <v/>
      </c>
      <c r="Y1078" s="57" t="str">
        <f>IF($X1078="","",IFERROR(VLOOKUP($X1078,'Char Popularity'!$A$2:$C$500,2,FALSE),""))</f>
        <v/>
      </c>
      <c r="Z1078" s="56">
        <f>IF($X1078="",1,IFERROR(VLOOKUP($X1078,'Char Popularity'!$A$2:$C$500,3,FALSE),1))</f>
        <v>1</v>
      </c>
      <c r="AA1078" s="62">
        <f>IF($H1078&lt;&gt;"Y",0,(IF($F1078&lt;&gt;"",ROUND(Dashboard!$R$4/$F1078,1),IF(AND($I1078="Base",$E1078="Base"),Dashboard!$R$5,IF(AND($I1078="Base",$E1078="Red"),Dashboard!$R$6,IF(AND($I1078="Base",$E1078="Gold"),Dashboard!$R$7,VLOOKUP($I1078,Dashboard!$Q$16:$R$21,2,FALSE)))))*VLOOKUP($I1078,Dashboard!$Q$9:$R$13,2,FALSE)*IF(AND($I1078="Auto",$F1078="",OR($B1078="Autographs Duals",$B1078="Autographs Triples",$B1078="Autographs Quads",$B1078="Autographs Quads (Inscribed)")),IF($B1078="Autographs Duals",2,IF($B1078="Autographs Triples",3,4)),1)))</f>
        <v>12.2</v>
      </c>
      <c r="AB1078" s="62">
        <f t="shared" si="219"/>
        <v>12.2</v>
      </c>
      <c r="AC1078" s="62">
        <f t="shared" si="220"/>
        <v>0</v>
      </c>
    </row>
    <row r="1079" spans="1:29" ht="28.7" customHeight="1" x14ac:dyDescent="0.25">
      <c r="A1079" s="4" t="s">
        <v>19</v>
      </c>
      <c r="B1079" s="7" t="s">
        <v>79</v>
      </c>
      <c r="C1079" s="2" t="s">
        <v>1577</v>
      </c>
      <c r="D1079" s="7" t="s">
        <v>1169</v>
      </c>
      <c r="E1079" s="4" t="s">
        <v>779</v>
      </c>
      <c r="F1079" s="2">
        <v>82</v>
      </c>
      <c r="G1079" s="2" t="s">
        <v>1399</v>
      </c>
      <c r="H1079" s="2" t="s">
        <v>1400</v>
      </c>
      <c r="I1079" s="4" t="s">
        <v>60</v>
      </c>
      <c r="J1079" s="112">
        <f>IF($H1079&lt;&gt;"Y",0,ROUND(MIN(Dashboard!$R$24,IF(IFERROR(VLOOKUP($B1079,Dashboard!$Q$28:$S$60,2,FALSE),0)&gt;0,IFERROR(VLOOKUP($B1079,Dashboard!$Q$28:$S$60,2,FALSE),0),$Z1079*IF($U1079&lt;&gt;"",ROUND((Dashboard!$R$4/$U1079)*VLOOKUP($I1079,Dashboard!$Q$9:$R$13,2,FALSE)*IF(ISNUMBER(SEARCH("Duals",$B1079)),2,IF(ISNUMBER(SEARCH("Triples",$B1079)),3,IF(ISNUMBER(SEARCH("Quads",$B1079)),4,1))),2),ROUND(VLOOKUP($I1079,Dashboard!$Q$15:$R$20,2,FALSE)*IF($E1079="Red",Dashboard!$R$6,IF($E1079="Gold",Dashboard!$R$7,Dashboard!$R$5))*IF(ISNUMBER(SEARCH("Duals",$B1079)),2,IF(ISNUMBER(SEARCH("Triples",$B1079)),3,IF(ISNUMBER(SEARCH("Quads",$B1079)),4,1))),2))*IF(IFERROR(VLOOKUP($B1079,Dashboard!$Q$28:$S$60,3,FALSE),0)&gt;0,VLOOKUP($B1079,Dashboard!$Q$28:$S$60,3,FALSE),1))),0))</f>
        <v>12</v>
      </c>
      <c r="K1079" s="2" t="str">
        <f>IF('Base S2'!G79="","",'Base S2'!G79)</f>
        <v>V 75/82</v>
      </c>
      <c r="L1079" s="2">
        <f t="shared" si="208"/>
        <v>1</v>
      </c>
      <c r="M1079" s="2">
        <f t="shared" si="209"/>
        <v>0</v>
      </c>
      <c r="N1079" s="2">
        <f t="shared" si="210"/>
        <v>1</v>
      </c>
      <c r="O1079" s="2">
        <f t="shared" si="211"/>
        <v>0</v>
      </c>
      <c r="P1079" s="112">
        <f t="shared" si="212"/>
        <v>12</v>
      </c>
      <c r="Q1079" s="112">
        <f t="shared" si="213"/>
        <v>0</v>
      </c>
      <c r="R1079" s="53"/>
      <c r="S1079" s="53" t="str">
        <f t="shared" si="214"/>
        <v>Base S2|Floor 82 Parallel - Season 2|178|Floor 82</v>
      </c>
      <c r="T1079" s="57" t="str">
        <f>IF($S1079="","",IFERROR(VLOOKUP($S1079,'Pop Estimates (Non-#d)'!$N$2:$O$500,2,FALSE),""))</f>
        <v/>
      </c>
      <c r="U1079" s="57">
        <f t="shared" si="215"/>
        <v>82</v>
      </c>
      <c r="V1079" s="53" t="str">
        <f t="shared" si="216"/>
        <v/>
      </c>
      <c r="W1079" s="53" t="str">
        <f t="shared" si="217"/>
        <v/>
      </c>
      <c r="X1079" s="53" t="str">
        <f t="shared" si="218"/>
        <v/>
      </c>
      <c r="Y1079" s="57" t="str">
        <f>IF($X1079="","",IFERROR(VLOOKUP($X1079,'Char Popularity'!$A$2:$C$500,2,FALSE),""))</f>
        <v/>
      </c>
      <c r="Z1079" s="56">
        <f>IF($X1079="",1,IFERROR(VLOOKUP($X1079,'Char Popularity'!$A$2:$C$500,3,FALSE),1))</f>
        <v>1</v>
      </c>
      <c r="AA1079" s="62">
        <f>IF($H1079&lt;&gt;"Y",0,(IF($F1079&lt;&gt;"",ROUND(Dashboard!$R$4/$F1079,1),IF(AND($I1079="Base",$E1079="Base"),Dashboard!$R$5,IF(AND($I1079="Base",$E1079="Red"),Dashboard!$R$6,IF(AND($I1079="Base",$E1079="Gold"),Dashboard!$R$7,VLOOKUP($I1079,Dashboard!$Q$16:$R$21,2,FALSE)))))*VLOOKUP($I1079,Dashboard!$Q$9:$R$13,2,FALSE)*IF(AND($I1079="Auto",$F1079="",OR($B1079="Autographs Duals",$B1079="Autographs Triples",$B1079="Autographs Quads",$B1079="Autographs Quads (Inscribed)")),IF($B1079="Autographs Duals",2,IF($B1079="Autographs Triples",3,4)),1)))</f>
        <v>12.2</v>
      </c>
      <c r="AB1079" s="62">
        <f t="shared" si="219"/>
        <v>12.2</v>
      </c>
      <c r="AC1079" s="62">
        <f t="shared" si="220"/>
        <v>0</v>
      </c>
    </row>
    <row r="1080" spans="1:29" ht="28.7" customHeight="1" x14ac:dyDescent="0.25">
      <c r="A1080" s="4" t="s">
        <v>19</v>
      </c>
      <c r="B1080" s="7" t="s">
        <v>79</v>
      </c>
      <c r="C1080" s="2" t="s">
        <v>1578</v>
      </c>
      <c r="D1080" s="7" t="s">
        <v>1170</v>
      </c>
      <c r="E1080" s="4" t="s">
        <v>779</v>
      </c>
      <c r="F1080" s="2">
        <v>82</v>
      </c>
      <c r="G1080" s="2" t="s">
        <v>1399</v>
      </c>
      <c r="H1080" s="2" t="s">
        <v>1400</v>
      </c>
      <c r="I1080" s="4" t="s">
        <v>60</v>
      </c>
      <c r="J1080" s="112">
        <f>IF($H1080&lt;&gt;"Y",0,ROUND(MIN(Dashboard!$R$24,IF(IFERROR(VLOOKUP($B1080,Dashboard!$Q$28:$S$60,2,FALSE),0)&gt;0,IFERROR(VLOOKUP($B1080,Dashboard!$Q$28:$S$60,2,FALSE),0),$Z1080*IF($U1080&lt;&gt;"",ROUND((Dashboard!$R$4/$U1080)*VLOOKUP($I1080,Dashboard!$Q$9:$R$13,2,FALSE)*IF(ISNUMBER(SEARCH("Duals",$B1080)),2,IF(ISNUMBER(SEARCH("Triples",$B1080)),3,IF(ISNUMBER(SEARCH("Quads",$B1080)),4,1))),2),ROUND(VLOOKUP($I1080,Dashboard!$Q$15:$R$20,2,FALSE)*IF($E1080="Red",Dashboard!$R$6,IF($E1080="Gold",Dashboard!$R$7,Dashboard!$R$5))*IF(ISNUMBER(SEARCH("Duals",$B1080)),2,IF(ISNUMBER(SEARCH("Triples",$B1080)),3,IF(ISNUMBER(SEARCH("Quads",$B1080)),4,1))),2))*IF(IFERROR(VLOOKUP($B1080,Dashboard!$Q$28:$S$60,3,FALSE),0)&gt;0,VLOOKUP($B1080,Dashboard!$Q$28:$S$60,3,FALSE),1))),0))</f>
        <v>12</v>
      </c>
      <c r="K1080" s="2" t="str">
        <f>IF('Base S2'!G80="","",'Base S2'!G80)</f>
        <v>C 63/82</v>
      </c>
      <c r="L1080" s="2">
        <f t="shared" si="208"/>
        <v>1</v>
      </c>
      <c r="M1080" s="2">
        <f t="shared" si="209"/>
        <v>0</v>
      </c>
      <c r="N1080" s="2">
        <f t="shared" si="210"/>
        <v>1</v>
      </c>
      <c r="O1080" s="2">
        <f t="shared" si="211"/>
        <v>0</v>
      </c>
      <c r="P1080" s="112">
        <f t="shared" si="212"/>
        <v>12</v>
      </c>
      <c r="Q1080" s="112">
        <f t="shared" si="213"/>
        <v>0</v>
      </c>
      <c r="R1080" s="53"/>
      <c r="S1080" s="53" t="str">
        <f t="shared" si="214"/>
        <v>Base S2|Floor 82 Parallel - Season 2|179|Floor 82</v>
      </c>
      <c r="T1080" s="57" t="str">
        <f>IF($S1080="","",IFERROR(VLOOKUP($S1080,'Pop Estimates (Non-#d)'!$N$2:$O$500,2,FALSE),""))</f>
        <v/>
      </c>
      <c r="U1080" s="57">
        <f t="shared" si="215"/>
        <v>82</v>
      </c>
      <c r="V1080" s="53" t="str">
        <f t="shared" si="216"/>
        <v/>
      </c>
      <c r="W1080" s="53" t="str">
        <f t="shared" si="217"/>
        <v/>
      </c>
      <c r="X1080" s="53" t="str">
        <f t="shared" si="218"/>
        <v/>
      </c>
      <c r="Y1080" s="57" t="str">
        <f>IF($X1080="","",IFERROR(VLOOKUP($X1080,'Char Popularity'!$A$2:$C$500,2,FALSE),""))</f>
        <v/>
      </c>
      <c r="Z1080" s="56">
        <f>IF($X1080="",1,IFERROR(VLOOKUP($X1080,'Char Popularity'!$A$2:$C$500,3,FALSE),1))</f>
        <v>1</v>
      </c>
      <c r="AA1080" s="62">
        <f>IF($H1080&lt;&gt;"Y",0,(IF($F1080&lt;&gt;"",ROUND(Dashboard!$R$4/$F1080,1),IF(AND($I1080="Base",$E1080="Base"),Dashboard!$R$5,IF(AND($I1080="Base",$E1080="Red"),Dashboard!$R$6,IF(AND($I1080="Base",$E1080="Gold"),Dashboard!$R$7,VLOOKUP($I1080,Dashboard!$Q$16:$R$21,2,FALSE)))))*VLOOKUP($I1080,Dashboard!$Q$9:$R$13,2,FALSE)*IF(AND($I1080="Auto",$F1080="",OR($B1080="Autographs Duals",$B1080="Autographs Triples",$B1080="Autographs Quads",$B1080="Autographs Quads (Inscribed)")),IF($B1080="Autographs Duals",2,IF($B1080="Autographs Triples",3,4)),1)))</f>
        <v>12.2</v>
      </c>
      <c r="AB1080" s="62">
        <f t="shared" si="219"/>
        <v>12.2</v>
      </c>
      <c r="AC1080" s="62">
        <f t="shared" si="220"/>
        <v>0</v>
      </c>
    </row>
    <row r="1081" spans="1:29" ht="28.7" customHeight="1" x14ac:dyDescent="0.25">
      <c r="A1081" s="4" t="s">
        <v>19</v>
      </c>
      <c r="B1081" s="7" t="s">
        <v>79</v>
      </c>
      <c r="C1081" s="2" t="s">
        <v>1579</v>
      </c>
      <c r="D1081" s="7" t="s">
        <v>1172</v>
      </c>
      <c r="E1081" s="4" t="s">
        <v>779</v>
      </c>
      <c r="F1081" s="2">
        <v>82</v>
      </c>
      <c r="G1081" s="2" t="s">
        <v>1399</v>
      </c>
      <c r="H1081" s="2" t="s">
        <v>1400</v>
      </c>
      <c r="I1081" s="4" t="s">
        <v>60</v>
      </c>
      <c r="J1081" s="112">
        <f>IF($H1081&lt;&gt;"Y",0,ROUND(MIN(Dashboard!$R$24,IF(IFERROR(VLOOKUP($B1081,Dashboard!$Q$28:$S$60,2,FALSE),0)&gt;0,IFERROR(VLOOKUP($B1081,Dashboard!$Q$28:$S$60,2,FALSE),0),$Z1081*IF($U1081&lt;&gt;"",ROUND((Dashboard!$R$4/$U1081)*VLOOKUP($I1081,Dashboard!$Q$9:$R$13,2,FALSE)*IF(ISNUMBER(SEARCH("Duals",$B1081)),2,IF(ISNUMBER(SEARCH("Triples",$B1081)),3,IF(ISNUMBER(SEARCH("Quads",$B1081)),4,1))),2),ROUND(VLOOKUP($I1081,Dashboard!$Q$15:$R$20,2,FALSE)*IF($E1081="Red",Dashboard!$R$6,IF($E1081="Gold",Dashboard!$R$7,Dashboard!$R$5))*IF(ISNUMBER(SEARCH("Duals",$B1081)),2,IF(ISNUMBER(SEARCH("Triples",$B1081)),3,IF(ISNUMBER(SEARCH("Quads",$B1081)),4,1))),2))*IF(IFERROR(VLOOKUP($B1081,Dashboard!$Q$28:$S$60,3,FALSE),0)&gt;0,VLOOKUP($B1081,Dashboard!$Q$28:$S$60,3,FALSE),1))),0))</f>
        <v>12</v>
      </c>
      <c r="K1081" s="2" t="str">
        <f>IF('Base S2'!G81="","",'Base S2'!G81)</f>
        <v>C 12/82</v>
      </c>
      <c r="L1081" s="2">
        <f t="shared" si="208"/>
        <v>1</v>
      </c>
      <c r="M1081" s="2">
        <f t="shared" si="209"/>
        <v>0</v>
      </c>
      <c r="N1081" s="2">
        <f t="shared" si="210"/>
        <v>1</v>
      </c>
      <c r="O1081" s="2">
        <f t="shared" si="211"/>
        <v>0</v>
      </c>
      <c r="P1081" s="112">
        <f t="shared" si="212"/>
        <v>12</v>
      </c>
      <c r="Q1081" s="112">
        <f t="shared" si="213"/>
        <v>0</v>
      </c>
      <c r="R1081" s="53"/>
      <c r="S1081" s="53" t="str">
        <f t="shared" si="214"/>
        <v>Base S2|Floor 82 Parallel - Season 2|180|Floor 82</v>
      </c>
      <c r="T1081" s="57" t="str">
        <f>IF($S1081="","",IFERROR(VLOOKUP($S1081,'Pop Estimates (Non-#d)'!$N$2:$O$500,2,FALSE),""))</f>
        <v/>
      </c>
      <c r="U1081" s="57">
        <f t="shared" si="215"/>
        <v>82</v>
      </c>
      <c r="V1081" s="53" t="str">
        <f t="shared" si="216"/>
        <v/>
      </c>
      <c r="W1081" s="53" t="str">
        <f t="shared" si="217"/>
        <v/>
      </c>
      <c r="X1081" s="53" t="str">
        <f t="shared" si="218"/>
        <v/>
      </c>
      <c r="Y1081" s="57" t="str">
        <f>IF($X1081="","",IFERROR(VLOOKUP($X1081,'Char Popularity'!$A$2:$C$500,2,FALSE),""))</f>
        <v/>
      </c>
      <c r="Z1081" s="56">
        <f>IF($X1081="",1,IFERROR(VLOOKUP($X1081,'Char Popularity'!$A$2:$C$500,3,FALSE),1))</f>
        <v>1</v>
      </c>
      <c r="AA1081" s="62">
        <f>IF($H1081&lt;&gt;"Y",0,(IF($F1081&lt;&gt;"",ROUND(Dashboard!$R$4/$F1081,1),IF(AND($I1081="Base",$E1081="Base"),Dashboard!$R$5,IF(AND($I1081="Base",$E1081="Red"),Dashboard!$R$6,IF(AND($I1081="Base",$E1081="Gold"),Dashboard!$R$7,VLOOKUP($I1081,Dashboard!$Q$16:$R$21,2,FALSE)))))*VLOOKUP($I1081,Dashboard!$Q$9:$R$13,2,FALSE)*IF(AND($I1081="Auto",$F1081="",OR($B1081="Autographs Duals",$B1081="Autographs Triples",$B1081="Autographs Quads",$B1081="Autographs Quads (Inscribed)")),IF($B1081="Autographs Duals",2,IF($B1081="Autographs Triples",3,4)),1)))</f>
        <v>12.2</v>
      </c>
      <c r="AB1081" s="62">
        <f t="shared" si="219"/>
        <v>12.2</v>
      </c>
      <c r="AC1081" s="62">
        <f t="shared" si="220"/>
        <v>0</v>
      </c>
    </row>
    <row r="1082" spans="1:29" ht="28.7" customHeight="1" x14ac:dyDescent="0.25">
      <c r="A1082" s="4" t="s">
        <v>19</v>
      </c>
      <c r="B1082" s="7" t="s">
        <v>79</v>
      </c>
      <c r="C1082" s="2" t="s">
        <v>1580</v>
      </c>
      <c r="D1082" s="7" t="s">
        <v>1173</v>
      </c>
      <c r="E1082" s="4" t="s">
        <v>779</v>
      </c>
      <c r="F1082" s="2">
        <v>82</v>
      </c>
      <c r="G1082" s="2" t="s">
        <v>1399</v>
      </c>
      <c r="H1082" s="2" t="s">
        <v>1400</v>
      </c>
      <c r="I1082" s="4" t="s">
        <v>60</v>
      </c>
      <c r="J1082" s="112">
        <f>IF($H1082&lt;&gt;"Y",0,ROUND(MIN(Dashboard!$R$24,IF(IFERROR(VLOOKUP($B1082,Dashboard!$Q$28:$S$60,2,FALSE),0)&gt;0,IFERROR(VLOOKUP($B1082,Dashboard!$Q$28:$S$60,2,FALSE),0),$Z1082*IF($U1082&lt;&gt;"",ROUND((Dashboard!$R$4/$U1082)*VLOOKUP($I1082,Dashboard!$Q$9:$R$13,2,FALSE)*IF(ISNUMBER(SEARCH("Duals",$B1082)),2,IF(ISNUMBER(SEARCH("Triples",$B1082)),3,IF(ISNUMBER(SEARCH("Quads",$B1082)),4,1))),2),ROUND(VLOOKUP($I1082,Dashboard!$Q$15:$R$20,2,FALSE)*IF($E1082="Red",Dashboard!$R$6,IF($E1082="Gold",Dashboard!$R$7,Dashboard!$R$5))*IF(ISNUMBER(SEARCH("Duals",$B1082)),2,IF(ISNUMBER(SEARCH("Triples",$B1082)),3,IF(ISNUMBER(SEARCH("Quads",$B1082)),4,1))),2))*IF(IFERROR(VLOOKUP($B1082,Dashboard!$Q$28:$S$60,3,FALSE),0)&gt;0,VLOOKUP($B1082,Dashboard!$Q$28:$S$60,3,FALSE),1))),0))</f>
        <v>12</v>
      </c>
      <c r="K1082" s="2" t="str">
        <f>IF('Base S2'!G82="","",'Base S2'!G82)</f>
        <v>C 73/82</v>
      </c>
      <c r="L1082" s="2">
        <f t="shared" si="208"/>
        <v>1</v>
      </c>
      <c r="M1082" s="2">
        <f t="shared" si="209"/>
        <v>0</v>
      </c>
      <c r="N1082" s="2">
        <f t="shared" si="210"/>
        <v>1</v>
      </c>
      <c r="O1082" s="2">
        <f t="shared" si="211"/>
        <v>0</v>
      </c>
      <c r="P1082" s="112">
        <f t="shared" si="212"/>
        <v>12</v>
      </c>
      <c r="Q1082" s="112">
        <f t="shared" si="213"/>
        <v>0</v>
      </c>
      <c r="R1082" s="53"/>
      <c r="S1082" s="53" t="str">
        <f t="shared" si="214"/>
        <v>Base S2|Floor 82 Parallel - Season 2|181|Floor 82</v>
      </c>
      <c r="T1082" s="57" t="str">
        <f>IF($S1082="","",IFERROR(VLOOKUP($S1082,'Pop Estimates (Non-#d)'!$N$2:$O$500,2,FALSE),""))</f>
        <v/>
      </c>
      <c r="U1082" s="57">
        <f t="shared" si="215"/>
        <v>82</v>
      </c>
      <c r="V1082" s="53" t="str">
        <f t="shared" si="216"/>
        <v/>
      </c>
      <c r="W1082" s="53" t="str">
        <f t="shared" si="217"/>
        <v/>
      </c>
      <c r="X1082" s="53" t="str">
        <f t="shared" si="218"/>
        <v/>
      </c>
      <c r="Y1082" s="57" t="str">
        <f>IF($X1082="","",IFERROR(VLOOKUP($X1082,'Char Popularity'!$A$2:$C$500,2,FALSE),""))</f>
        <v/>
      </c>
      <c r="Z1082" s="56">
        <f>IF($X1082="",1,IFERROR(VLOOKUP($X1082,'Char Popularity'!$A$2:$C$500,3,FALSE),1))</f>
        <v>1</v>
      </c>
      <c r="AA1082" s="62">
        <f>IF($H1082&lt;&gt;"Y",0,(IF($F1082&lt;&gt;"",ROUND(Dashboard!$R$4/$F1082,1),IF(AND($I1082="Base",$E1082="Base"),Dashboard!$R$5,IF(AND($I1082="Base",$E1082="Red"),Dashboard!$R$6,IF(AND($I1082="Base",$E1082="Gold"),Dashboard!$R$7,VLOOKUP($I1082,Dashboard!$Q$16:$R$21,2,FALSE)))))*VLOOKUP($I1082,Dashboard!$Q$9:$R$13,2,FALSE)*IF(AND($I1082="Auto",$F1082="",OR($B1082="Autographs Duals",$B1082="Autographs Triples",$B1082="Autographs Quads",$B1082="Autographs Quads (Inscribed)")),IF($B1082="Autographs Duals",2,IF($B1082="Autographs Triples",3,4)),1)))</f>
        <v>12.2</v>
      </c>
      <c r="AB1082" s="62">
        <f t="shared" si="219"/>
        <v>12.2</v>
      </c>
      <c r="AC1082" s="62">
        <f t="shared" si="220"/>
        <v>0</v>
      </c>
    </row>
    <row r="1083" spans="1:29" ht="28.7" customHeight="1" x14ac:dyDescent="0.25">
      <c r="A1083" s="4" t="s">
        <v>19</v>
      </c>
      <c r="B1083" s="7" t="s">
        <v>79</v>
      </c>
      <c r="C1083" s="2" t="s">
        <v>1581</v>
      </c>
      <c r="D1083" s="7" t="s">
        <v>1174</v>
      </c>
      <c r="E1083" s="4" t="s">
        <v>779</v>
      </c>
      <c r="F1083" s="2">
        <v>82</v>
      </c>
      <c r="G1083" s="2" t="s">
        <v>1399</v>
      </c>
      <c r="H1083" s="2" t="s">
        <v>1400</v>
      </c>
      <c r="I1083" s="4" t="s">
        <v>60</v>
      </c>
      <c r="J1083" s="112">
        <f>IF($H1083&lt;&gt;"Y",0,ROUND(MIN(Dashboard!$R$24,IF(IFERROR(VLOOKUP($B1083,Dashboard!$Q$28:$S$60,2,FALSE),0)&gt;0,IFERROR(VLOOKUP($B1083,Dashboard!$Q$28:$S$60,2,FALSE),0),$Z1083*IF($U1083&lt;&gt;"",ROUND((Dashboard!$R$4/$U1083)*VLOOKUP($I1083,Dashboard!$Q$9:$R$13,2,FALSE)*IF(ISNUMBER(SEARCH("Duals",$B1083)),2,IF(ISNUMBER(SEARCH("Triples",$B1083)),3,IF(ISNUMBER(SEARCH("Quads",$B1083)),4,1))),2),ROUND(VLOOKUP($I1083,Dashboard!$Q$15:$R$20,2,FALSE)*IF($E1083="Red",Dashboard!$R$6,IF($E1083="Gold",Dashboard!$R$7,Dashboard!$R$5))*IF(ISNUMBER(SEARCH("Duals",$B1083)),2,IF(ISNUMBER(SEARCH("Triples",$B1083)),3,IF(ISNUMBER(SEARCH("Quads",$B1083)),4,1))),2))*IF(IFERROR(VLOOKUP($B1083,Dashboard!$Q$28:$S$60,3,FALSE),0)&gt;0,VLOOKUP($B1083,Dashboard!$Q$28:$S$60,3,FALSE),1))),0))</f>
        <v>12</v>
      </c>
      <c r="K1083" s="2" t="str">
        <f>IF('Base S2'!G83="","",'Base S2'!G83)</f>
        <v>C 51/82</v>
      </c>
      <c r="L1083" s="2">
        <f t="shared" si="208"/>
        <v>1</v>
      </c>
      <c r="M1083" s="2">
        <f t="shared" si="209"/>
        <v>0</v>
      </c>
      <c r="N1083" s="2">
        <f t="shared" si="210"/>
        <v>1</v>
      </c>
      <c r="O1083" s="2">
        <f t="shared" si="211"/>
        <v>0</v>
      </c>
      <c r="P1083" s="112">
        <f t="shared" si="212"/>
        <v>12</v>
      </c>
      <c r="Q1083" s="112">
        <f t="shared" si="213"/>
        <v>0</v>
      </c>
      <c r="R1083" s="53"/>
      <c r="S1083" s="53" t="str">
        <f t="shared" si="214"/>
        <v>Base S2|Floor 82 Parallel - Season 2|182|Floor 82</v>
      </c>
      <c r="T1083" s="57" t="str">
        <f>IF($S1083="","",IFERROR(VLOOKUP($S1083,'Pop Estimates (Non-#d)'!$N$2:$O$500,2,FALSE),""))</f>
        <v/>
      </c>
      <c r="U1083" s="57">
        <f t="shared" si="215"/>
        <v>82</v>
      </c>
      <c r="V1083" s="53" t="str">
        <f t="shared" si="216"/>
        <v/>
      </c>
      <c r="W1083" s="53" t="str">
        <f t="shared" si="217"/>
        <v/>
      </c>
      <c r="X1083" s="53" t="str">
        <f t="shared" si="218"/>
        <v/>
      </c>
      <c r="Y1083" s="57" t="str">
        <f>IF($X1083="","",IFERROR(VLOOKUP($X1083,'Char Popularity'!$A$2:$C$500,2,FALSE),""))</f>
        <v/>
      </c>
      <c r="Z1083" s="56">
        <f>IF($X1083="",1,IFERROR(VLOOKUP($X1083,'Char Popularity'!$A$2:$C$500,3,FALSE),1))</f>
        <v>1</v>
      </c>
      <c r="AA1083" s="62">
        <f>IF($H1083&lt;&gt;"Y",0,(IF($F1083&lt;&gt;"",ROUND(Dashboard!$R$4/$F1083,1),IF(AND($I1083="Base",$E1083="Base"),Dashboard!$R$5,IF(AND($I1083="Base",$E1083="Red"),Dashboard!$R$6,IF(AND($I1083="Base",$E1083="Gold"),Dashboard!$R$7,VLOOKUP($I1083,Dashboard!$Q$16:$R$21,2,FALSE)))))*VLOOKUP($I1083,Dashboard!$Q$9:$R$13,2,FALSE)*IF(AND($I1083="Auto",$F1083="",OR($B1083="Autographs Duals",$B1083="Autographs Triples",$B1083="Autographs Quads",$B1083="Autographs Quads (Inscribed)")),IF($B1083="Autographs Duals",2,IF($B1083="Autographs Triples",3,4)),1)))</f>
        <v>12.2</v>
      </c>
      <c r="AB1083" s="62">
        <f t="shared" si="219"/>
        <v>12.2</v>
      </c>
      <c r="AC1083" s="62">
        <f t="shared" si="220"/>
        <v>0</v>
      </c>
    </row>
    <row r="1084" spans="1:29" ht="28.7" customHeight="1" x14ac:dyDescent="0.25">
      <c r="A1084" s="4" t="s">
        <v>19</v>
      </c>
      <c r="B1084" s="7" t="s">
        <v>79</v>
      </c>
      <c r="C1084" s="2" t="s">
        <v>1582</v>
      </c>
      <c r="D1084" s="7" t="s">
        <v>1177</v>
      </c>
      <c r="E1084" s="4" t="s">
        <v>779</v>
      </c>
      <c r="F1084" s="2">
        <v>82</v>
      </c>
      <c r="G1084" s="2" t="s">
        <v>1399</v>
      </c>
      <c r="H1084" s="2" t="s">
        <v>1400</v>
      </c>
      <c r="I1084" s="4" t="s">
        <v>60</v>
      </c>
      <c r="J1084" s="112">
        <f>IF($H1084&lt;&gt;"Y",0,ROUND(MIN(Dashboard!$R$24,IF(IFERROR(VLOOKUP($B1084,Dashboard!$Q$28:$S$60,2,FALSE),0)&gt;0,IFERROR(VLOOKUP($B1084,Dashboard!$Q$28:$S$60,2,FALSE),0),$Z1084*IF($U1084&lt;&gt;"",ROUND((Dashboard!$R$4/$U1084)*VLOOKUP($I1084,Dashboard!$Q$9:$R$13,2,FALSE)*IF(ISNUMBER(SEARCH("Duals",$B1084)),2,IF(ISNUMBER(SEARCH("Triples",$B1084)),3,IF(ISNUMBER(SEARCH("Quads",$B1084)),4,1))),2),ROUND(VLOOKUP($I1084,Dashboard!$Q$15:$R$20,2,FALSE)*IF($E1084="Red",Dashboard!$R$6,IF($E1084="Gold",Dashboard!$R$7,Dashboard!$R$5))*IF(ISNUMBER(SEARCH("Duals",$B1084)),2,IF(ISNUMBER(SEARCH("Triples",$B1084)),3,IF(ISNUMBER(SEARCH("Quads",$B1084)),4,1))),2))*IF(IFERROR(VLOOKUP($B1084,Dashboard!$Q$28:$S$60,3,FALSE),0)&gt;0,VLOOKUP($B1084,Dashboard!$Q$28:$S$60,3,FALSE),1))),0))</f>
        <v>12</v>
      </c>
      <c r="K1084" s="2" t="str">
        <f>IF('Base S2'!G84="","",'Base S2'!G84)</f>
        <v>V 72/82</v>
      </c>
      <c r="L1084" s="2">
        <f t="shared" si="208"/>
        <v>1</v>
      </c>
      <c r="M1084" s="2">
        <f t="shared" si="209"/>
        <v>0</v>
      </c>
      <c r="N1084" s="2">
        <f t="shared" si="210"/>
        <v>1</v>
      </c>
      <c r="O1084" s="2">
        <f t="shared" si="211"/>
        <v>0</v>
      </c>
      <c r="P1084" s="112">
        <f t="shared" si="212"/>
        <v>12</v>
      </c>
      <c r="Q1084" s="112">
        <f t="shared" si="213"/>
        <v>0</v>
      </c>
      <c r="R1084" s="53"/>
      <c r="S1084" s="53" t="str">
        <f t="shared" si="214"/>
        <v>Base S2|Floor 82 Parallel - Season 2|183|Floor 82</v>
      </c>
      <c r="T1084" s="57" t="str">
        <f>IF($S1084="","",IFERROR(VLOOKUP($S1084,'Pop Estimates (Non-#d)'!$N$2:$O$500,2,FALSE),""))</f>
        <v/>
      </c>
      <c r="U1084" s="57">
        <f t="shared" si="215"/>
        <v>82</v>
      </c>
      <c r="V1084" s="53" t="str">
        <f t="shared" si="216"/>
        <v/>
      </c>
      <c r="W1084" s="53" t="str">
        <f t="shared" si="217"/>
        <v/>
      </c>
      <c r="X1084" s="53" t="str">
        <f t="shared" si="218"/>
        <v/>
      </c>
      <c r="Y1084" s="57" t="str">
        <f>IF($X1084="","",IFERROR(VLOOKUP($X1084,'Char Popularity'!$A$2:$C$500,2,FALSE),""))</f>
        <v/>
      </c>
      <c r="Z1084" s="56">
        <f>IF($X1084="",1,IFERROR(VLOOKUP($X1084,'Char Popularity'!$A$2:$C$500,3,FALSE),1))</f>
        <v>1</v>
      </c>
      <c r="AA1084" s="62">
        <f>IF($H1084&lt;&gt;"Y",0,(IF($F1084&lt;&gt;"",ROUND(Dashboard!$R$4/$F1084,1),IF(AND($I1084="Base",$E1084="Base"),Dashboard!$R$5,IF(AND($I1084="Base",$E1084="Red"),Dashboard!$R$6,IF(AND($I1084="Base",$E1084="Gold"),Dashboard!$R$7,VLOOKUP($I1084,Dashboard!$Q$16:$R$21,2,FALSE)))))*VLOOKUP($I1084,Dashboard!$Q$9:$R$13,2,FALSE)*IF(AND($I1084="Auto",$F1084="",OR($B1084="Autographs Duals",$B1084="Autographs Triples",$B1084="Autographs Quads",$B1084="Autographs Quads (Inscribed)")),IF($B1084="Autographs Duals",2,IF($B1084="Autographs Triples",3,4)),1)))</f>
        <v>12.2</v>
      </c>
      <c r="AB1084" s="62">
        <f t="shared" si="219"/>
        <v>12.2</v>
      </c>
      <c r="AC1084" s="62">
        <f t="shared" si="220"/>
        <v>0</v>
      </c>
    </row>
    <row r="1085" spans="1:29" ht="28.7" customHeight="1" x14ac:dyDescent="0.25">
      <c r="A1085" s="4" t="s">
        <v>19</v>
      </c>
      <c r="B1085" s="7" t="s">
        <v>79</v>
      </c>
      <c r="C1085" s="2" t="s">
        <v>1583</v>
      </c>
      <c r="D1085" s="7" t="s">
        <v>1179</v>
      </c>
      <c r="E1085" s="4" t="s">
        <v>779</v>
      </c>
      <c r="F1085" s="2">
        <v>82</v>
      </c>
      <c r="G1085" s="2" t="s">
        <v>1399</v>
      </c>
      <c r="H1085" s="2" t="s">
        <v>1400</v>
      </c>
      <c r="I1085" s="4" t="s">
        <v>60</v>
      </c>
      <c r="J1085" s="112">
        <f>IF($H1085&lt;&gt;"Y",0,ROUND(MIN(Dashboard!$R$24,IF(IFERROR(VLOOKUP($B1085,Dashboard!$Q$28:$S$60,2,FALSE),0)&gt;0,IFERROR(VLOOKUP($B1085,Dashboard!$Q$28:$S$60,2,FALSE),0),$Z1085*IF($U1085&lt;&gt;"",ROUND((Dashboard!$R$4/$U1085)*VLOOKUP($I1085,Dashboard!$Q$9:$R$13,2,FALSE)*IF(ISNUMBER(SEARCH("Duals",$B1085)),2,IF(ISNUMBER(SEARCH("Triples",$B1085)),3,IF(ISNUMBER(SEARCH("Quads",$B1085)),4,1))),2),ROUND(VLOOKUP($I1085,Dashboard!$Q$15:$R$20,2,FALSE)*IF($E1085="Red",Dashboard!$R$6,IF($E1085="Gold",Dashboard!$R$7,Dashboard!$R$5))*IF(ISNUMBER(SEARCH("Duals",$B1085)),2,IF(ISNUMBER(SEARCH("Triples",$B1085)),3,IF(ISNUMBER(SEARCH("Quads",$B1085)),4,1))),2))*IF(IFERROR(VLOOKUP($B1085,Dashboard!$Q$28:$S$60,3,FALSE),0)&gt;0,VLOOKUP($B1085,Dashboard!$Q$28:$S$60,3,FALSE),1))),0))</f>
        <v>12</v>
      </c>
      <c r="K1085" s="2" t="str">
        <f>IF('Base S2'!G85="","",'Base S2'!G85)</f>
        <v>C 66/82</v>
      </c>
      <c r="L1085" s="2">
        <f t="shared" si="208"/>
        <v>1</v>
      </c>
      <c r="M1085" s="2">
        <f t="shared" si="209"/>
        <v>0</v>
      </c>
      <c r="N1085" s="2">
        <f t="shared" si="210"/>
        <v>1</v>
      </c>
      <c r="O1085" s="2">
        <f t="shared" si="211"/>
        <v>0</v>
      </c>
      <c r="P1085" s="112">
        <f t="shared" si="212"/>
        <v>12</v>
      </c>
      <c r="Q1085" s="112">
        <f t="shared" si="213"/>
        <v>0</v>
      </c>
      <c r="R1085" s="53"/>
      <c r="S1085" s="53" t="str">
        <f t="shared" si="214"/>
        <v>Base S2|Floor 82 Parallel - Season 2|184|Floor 82</v>
      </c>
      <c r="T1085" s="57" t="str">
        <f>IF($S1085="","",IFERROR(VLOOKUP($S1085,'Pop Estimates (Non-#d)'!$N$2:$O$500,2,FALSE),""))</f>
        <v/>
      </c>
      <c r="U1085" s="57">
        <f t="shared" si="215"/>
        <v>82</v>
      </c>
      <c r="V1085" s="53" t="str">
        <f t="shared" si="216"/>
        <v/>
      </c>
      <c r="W1085" s="53" t="str">
        <f t="shared" si="217"/>
        <v/>
      </c>
      <c r="X1085" s="53" t="str">
        <f t="shared" si="218"/>
        <v/>
      </c>
      <c r="Y1085" s="57" t="str">
        <f>IF($X1085="","",IFERROR(VLOOKUP($X1085,'Char Popularity'!$A$2:$C$500,2,FALSE),""))</f>
        <v/>
      </c>
      <c r="Z1085" s="56">
        <f>IF($X1085="",1,IFERROR(VLOOKUP($X1085,'Char Popularity'!$A$2:$C$500,3,FALSE),1))</f>
        <v>1</v>
      </c>
      <c r="AA1085" s="62">
        <f>IF($H1085&lt;&gt;"Y",0,(IF($F1085&lt;&gt;"",ROUND(Dashboard!$R$4/$F1085,1),IF(AND($I1085="Base",$E1085="Base"),Dashboard!$R$5,IF(AND($I1085="Base",$E1085="Red"),Dashboard!$R$6,IF(AND($I1085="Base",$E1085="Gold"),Dashboard!$R$7,VLOOKUP($I1085,Dashboard!$Q$16:$R$21,2,FALSE)))))*VLOOKUP($I1085,Dashboard!$Q$9:$R$13,2,FALSE)*IF(AND($I1085="Auto",$F1085="",OR($B1085="Autographs Duals",$B1085="Autographs Triples",$B1085="Autographs Quads",$B1085="Autographs Quads (Inscribed)")),IF($B1085="Autographs Duals",2,IF($B1085="Autographs Triples",3,4)),1)))</f>
        <v>12.2</v>
      </c>
      <c r="AB1085" s="62">
        <f t="shared" si="219"/>
        <v>12.2</v>
      </c>
      <c r="AC1085" s="62">
        <f t="shared" si="220"/>
        <v>0</v>
      </c>
    </row>
    <row r="1086" spans="1:29" ht="28.7" customHeight="1" x14ac:dyDescent="0.25">
      <c r="A1086" s="4" t="s">
        <v>19</v>
      </c>
      <c r="B1086" s="7" t="s">
        <v>79</v>
      </c>
      <c r="C1086" s="2" t="s">
        <v>1584</v>
      </c>
      <c r="D1086" s="7" t="s">
        <v>1180</v>
      </c>
      <c r="E1086" s="4" t="s">
        <v>779</v>
      </c>
      <c r="F1086" s="2">
        <v>82</v>
      </c>
      <c r="G1086" s="2" t="s">
        <v>1399</v>
      </c>
      <c r="H1086" s="2" t="s">
        <v>1400</v>
      </c>
      <c r="I1086" s="4" t="s">
        <v>60</v>
      </c>
      <c r="J1086" s="112">
        <f>IF($H1086&lt;&gt;"Y",0,ROUND(MIN(Dashboard!$R$24,IF(IFERROR(VLOOKUP($B1086,Dashboard!$Q$28:$S$60,2,FALSE),0)&gt;0,IFERROR(VLOOKUP($B1086,Dashboard!$Q$28:$S$60,2,FALSE),0),$Z1086*IF($U1086&lt;&gt;"",ROUND((Dashboard!$R$4/$U1086)*VLOOKUP($I1086,Dashboard!$Q$9:$R$13,2,FALSE)*IF(ISNUMBER(SEARCH("Duals",$B1086)),2,IF(ISNUMBER(SEARCH("Triples",$B1086)),3,IF(ISNUMBER(SEARCH("Quads",$B1086)),4,1))),2),ROUND(VLOOKUP($I1086,Dashboard!$Q$15:$R$20,2,FALSE)*IF($E1086="Red",Dashboard!$R$6,IF($E1086="Gold",Dashboard!$R$7,Dashboard!$R$5))*IF(ISNUMBER(SEARCH("Duals",$B1086)),2,IF(ISNUMBER(SEARCH("Triples",$B1086)),3,IF(ISNUMBER(SEARCH("Quads",$B1086)),4,1))),2))*IF(IFERROR(VLOOKUP($B1086,Dashboard!$Q$28:$S$60,3,FALSE),0)&gt;0,VLOOKUP($B1086,Dashboard!$Q$28:$S$60,3,FALSE),1))),0))</f>
        <v>12</v>
      </c>
      <c r="K1086" s="2" t="str">
        <f>IF('Base S2'!G86="","",'Base S2'!G86)</f>
        <v>V 77/82</v>
      </c>
      <c r="L1086" s="2">
        <f t="shared" si="208"/>
        <v>1</v>
      </c>
      <c r="M1086" s="2">
        <f t="shared" si="209"/>
        <v>0</v>
      </c>
      <c r="N1086" s="2">
        <f t="shared" si="210"/>
        <v>1</v>
      </c>
      <c r="O1086" s="2">
        <f t="shared" si="211"/>
        <v>0</v>
      </c>
      <c r="P1086" s="112">
        <f t="shared" si="212"/>
        <v>12</v>
      </c>
      <c r="Q1086" s="112">
        <f t="shared" si="213"/>
        <v>0</v>
      </c>
      <c r="R1086" s="53"/>
      <c r="S1086" s="53" t="str">
        <f t="shared" si="214"/>
        <v>Base S2|Floor 82 Parallel - Season 2|185|Floor 82</v>
      </c>
      <c r="T1086" s="57" t="str">
        <f>IF($S1086="","",IFERROR(VLOOKUP($S1086,'Pop Estimates (Non-#d)'!$N$2:$O$500,2,FALSE),""))</f>
        <v/>
      </c>
      <c r="U1086" s="57">
        <f t="shared" si="215"/>
        <v>82</v>
      </c>
      <c r="V1086" s="53" t="str">
        <f t="shared" si="216"/>
        <v/>
      </c>
      <c r="W1086" s="53" t="str">
        <f t="shared" si="217"/>
        <v/>
      </c>
      <c r="X1086" s="53" t="str">
        <f t="shared" si="218"/>
        <v/>
      </c>
      <c r="Y1086" s="57" t="str">
        <f>IF($X1086="","",IFERROR(VLOOKUP($X1086,'Char Popularity'!$A$2:$C$500,2,FALSE),""))</f>
        <v/>
      </c>
      <c r="Z1086" s="56">
        <f>IF($X1086="",1,IFERROR(VLOOKUP($X1086,'Char Popularity'!$A$2:$C$500,3,FALSE),1))</f>
        <v>1</v>
      </c>
      <c r="AA1086" s="62">
        <f>IF($H1086&lt;&gt;"Y",0,(IF($F1086&lt;&gt;"",ROUND(Dashboard!$R$4/$F1086,1),IF(AND($I1086="Base",$E1086="Base"),Dashboard!$R$5,IF(AND($I1086="Base",$E1086="Red"),Dashboard!$R$6,IF(AND($I1086="Base",$E1086="Gold"),Dashboard!$R$7,VLOOKUP($I1086,Dashboard!$Q$16:$R$21,2,FALSE)))))*VLOOKUP($I1086,Dashboard!$Q$9:$R$13,2,FALSE)*IF(AND($I1086="Auto",$F1086="",OR($B1086="Autographs Duals",$B1086="Autographs Triples",$B1086="Autographs Quads",$B1086="Autographs Quads (Inscribed)")),IF($B1086="Autographs Duals",2,IF($B1086="Autographs Triples",3,4)),1)))</f>
        <v>12.2</v>
      </c>
      <c r="AB1086" s="62">
        <f t="shared" si="219"/>
        <v>12.2</v>
      </c>
      <c r="AC1086" s="62">
        <f t="shared" si="220"/>
        <v>0</v>
      </c>
    </row>
    <row r="1087" spans="1:29" ht="28.7" customHeight="1" x14ac:dyDescent="0.25">
      <c r="A1087" s="4" t="s">
        <v>19</v>
      </c>
      <c r="B1087" s="7" t="s">
        <v>79</v>
      </c>
      <c r="C1087" s="2" t="s">
        <v>1585</v>
      </c>
      <c r="D1087" s="7" t="s">
        <v>1181</v>
      </c>
      <c r="E1087" s="4" t="s">
        <v>779</v>
      </c>
      <c r="F1087" s="2">
        <v>82</v>
      </c>
      <c r="G1087" s="2" t="s">
        <v>1399</v>
      </c>
      <c r="H1087" s="2" t="s">
        <v>1400</v>
      </c>
      <c r="I1087" s="4" t="s">
        <v>60</v>
      </c>
      <c r="J1087" s="112">
        <f>IF($H1087&lt;&gt;"Y",0,ROUND(MIN(Dashboard!$R$24,IF(IFERROR(VLOOKUP($B1087,Dashboard!$Q$28:$S$60,2,FALSE),0)&gt;0,IFERROR(VLOOKUP($B1087,Dashboard!$Q$28:$S$60,2,FALSE),0),$Z1087*IF($U1087&lt;&gt;"",ROUND((Dashboard!$R$4/$U1087)*VLOOKUP($I1087,Dashboard!$Q$9:$R$13,2,FALSE)*IF(ISNUMBER(SEARCH("Duals",$B1087)),2,IF(ISNUMBER(SEARCH("Triples",$B1087)),3,IF(ISNUMBER(SEARCH("Quads",$B1087)),4,1))),2),ROUND(VLOOKUP($I1087,Dashboard!$Q$15:$R$20,2,FALSE)*IF($E1087="Red",Dashboard!$R$6,IF($E1087="Gold",Dashboard!$R$7,Dashboard!$R$5))*IF(ISNUMBER(SEARCH("Duals",$B1087)),2,IF(ISNUMBER(SEARCH("Triples",$B1087)),3,IF(ISNUMBER(SEARCH("Quads",$B1087)),4,1))),2))*IF(IFERROR(VLOOKUP($B1087,Dashboard!$Q$28:$S$60,3,FALSE),0)&gt;0,VLOOKUP($B1087,Dashboard!$Q$28:$S$60,3,FALSE),1))),0))</f>
        <v>12</v>
      </c>
      <c r="K1087" s="2" t="str">
        <f>IF('Base S2'!G87="","",'Base S2'!G87)</f>
        <v>C 05/82</v>
      </c>
      <c r="L1087" s="2">
        <f t="shared" si="208"/>
        <v>1</v>
      </c>
      <c r="M1087" s="2">
        <f t="shared" si="209"/>
        <v>0</v>
      </c>
      <c r="N1087" s="2">
        <f t="shared" si="210"/>
        <v>1</v>
      </c>
      <c r="O1087" s="2">
        <f t="shared" si="211"/>
        <v>0</v>
      </c>
      <c r="P1087" s="112">
        <f t="shared" si="212"/>
        <v>12</v>
      </c>
      <c r="Q1087" s="112">
        <f t="shared" si="213"/>
        <v>0</v>
      </c>
      <c r="R1087" s="53"/>
      <c r="S1087" s="53" t="str">
        <f t="shared" si="214"/>
        <v>Base S2|Floor 82 Parallel - Season 2|186|Floor 82</v>
      </c>
      <c r="T1087" s="57" t="str">
        <f>IF($S1087="","",IFERROR(VLOOKUP($S1087,'Pop Estimates (Non-#d)'!$N$2:$O$500,2,FALSE),""))</f>
        <v/>
      </c>
      <c r="U1087" s="57">
        <f t="shared" si="215"/>
        <v>82</v>
      </c>
      <c r="V1087" s="53" t="str">
        <f t="shared" si="216"/>
        <v/>
      </c>
      <c r="W1087" s="53" t="str">
        <f t="shared" si="217"/>
        <v/>
      </c>
      <c r="X1087" s="53" t="str">
        <f t="shared" si="218"/>
        <v/>
      </c>
      <c r="Y1087" s="57" t="str">
        <f>IF($X1087="","",IFERROR(VLOOKUP($X1087,'Char Popularity'!$A$2:$C$500,2,FALSE),""))</f>
        <v/>
      </c>
      <c r="Z1087" s="56">
        <f>IF($X1087="",1,IFERROR(VLOOKUP($X1087,'Char Popularity'!$A$2:$C$500,3,FALSE),1))</f>
        <v>1</v>
      </c>
      <c r="AA1087" s="62">
        <f>IF($H1087&lt;&gt;"Y",0,(IF($F1087&lt;&gt;"",ROUND(Dashboard!$R$4/$F1087,1),IF(AND($I1087="Base",$E1087="Base"),Dashboard!$R$5,IF(AND($I1087="Base",$E1087="Red"),Dashboard!$R$6,IF(AND($I1087="Base",$E1087="Gold"),Dashboard!$R$7,VLOOKUP($I1087,Dashboard!$Q$16:$R$21,2,FALSE)))))*VLOOKUP($I1087,Dashboard!$Q$9:$R$13,2,FALSE)*IF(AND($I1087="Auto",$F1087="",OR($B1087="Autographs Duals",$B1087="Autographs Triples",$B1087="Autographs Quads",$B1087="Autographs Quads (Inscribed)")),IF($B1087="Autographs Duals",2,IF($B1087="Autographs Triples",3,4)),1)))</f>
        <v>12.2</v>
      </c>
      <c r="AB1087" s="62">
        <f t="shared" si="219"/>
        <v>12.2</v>
      </c>
      <c r="AC1087" s="62">
        <f t="shared" si="220"/>
        <v>0</v>
      </c>
    </row>
    <row r="1088" spans="1:29" ht="28.7" customHeight="1" x14ac:dyDescent="0.25">
      <c r="A1088" s="4" t="s">
        <v>19</v>
      </c>
      <c r="B1088" s="7" t="s">
        <v>79</v>
      </c>
      <c r="C1088" s="2" t="s">
        <v>1586</v>
      </c>
      <c r="D1088" s="7" t="s">
        <v>1182</v>
      </c>
      <c r="E1088" s="4" t="s">
        <v>779</v>
      </c>
      <c r="F1088" s="2">
        <v>82</v>
      </c>
      <c r="G1088" s="2" t="s">
        <v>1399</v>
      </c>
      <c r="H1088" s="2" t="s">
        <v>1400</v>
      </c>
      <c r="I1088" s="4" t="s">
        <v>60</v>
      </c>
      <c r="J1088" s="112">
        <f>IF($H1088&lt;&gt;"Y",0,ROUND(MIN(Dashboard!$R$24,IF(IFERROR(VLOOKUP($B1088,Dashboard!$Q$28:$S$60,2,FALSE),0)&gt;0,IFERROR(VLOOKUP($B1088,Dashboard!$Q$28:$S$60,2,FALSE),0),$Z1088*IF($U1088&lt;&gt;"",ROUND((Dashboard!$R$4/$U1088)*VLOOKUP($I1088,Dashboard!$Q$9:$R$13,2,FALSE)*IF(ISNUMBER(SEARCH("Duals",$B1088)),2,IF(ISNUMBER(SEARCH("Triples",$B1088)),3,IF(ISNUMBER(SEARCH("Quads",$B1088)),4,1))),2),ROUND(VLOOKUP($I1088,Dashboard!$Q$15:$R$20,2,FALSE)*IF($E1088="Red",Dashboard!$R$6,IF($E1088="Gold",Dashboard!$R$7,Dashboard!$R$5))*IF(ISNUMBER(SEARCH("Duals",$B1088)),2,IF(ISNUMBER(SEARCH("Triples",$B1088)),3,IF(ISNUMBER(SEARCH("Quads",$B1088)),4,1))),2))*IF(IFERROR(VLOOKUP($B1088,Dashboard!$Q$28:$S$60,3,FALSE),0)&gt;0,VLOOKUP($B1088,Dashboard!$Q$28:$S$60,3,FALSE),1))),0))</f>
        <v>12</v>
      </c>
      <c r="K1088" s="2" t="str">
        <f>IF('Base S2'!G88="","",'Base S2'!G88)</f>
        <v>C 29/82</v>
      </c>
      <c r="L1088" s="2">
        <f t="shared" si="208"/>
        <v>1</v>
      </c>
      <c r="M1088" s="2">
        <f t="shared" si="209"/>
        <v>0</v>
      </c>
      <c r="N1088" s="2">
        <f t="shared" si="210"/>
        <v>1</v>
      </c>
      <c r="O1088" s="2">
        <f t="shared" si="211"/>
        <v>0</v>
      </c>
      <c r="P1088" s="112">
        <f t="shared" si="212"/>
        <v>12</v>
      </c>
      <c r="Q1088" s="112">
        <f t="shared" si="213"/>
        <v>0</v>
      </c>
      <c r="R1088" s="53"/>
      <c r="S1088" s="53" t="str">
        <f t="shared" si="214"/>
        <v>Base S2|Floor 82 Parallel - Season 2|187|Floor 82</v>
      </c>
      <c r="T1088" s="57" t="str">
        <f>IF($S1088="","",IFERROR(VLOOKUP($S1088,'Pop Estimates (Non-#d)'!$N$2:$O$500,2,FALSE),""))</f>
        <v/>
      </c>
      <c r="U1088" s="57">
        <f t="shared" si="215"/>
        <v>82</v>
      </c>
      <c r="V1088" s="53" t="str">
        <f t="shared" si="216"/>
        <v/>
      </c>
      <c r="W1088" s="53" t="str">
        <f t="shared" si="217"/>
        <v/>
      </c>
      <c r="X1088" s="53" t="str">
        <f t="shared" si="218"/>
        <v/>
      </c>
      <c r="Y1088" s="57" t="str">
        <f>IF($X1088="","",IFERROR(VLOOKUP($X1088,'Char Popularity'!$A$2:$C$500,2,FALSE),""))</f>
        <v/>
      </c>
      <c r="Z1088" s="56">
        <f>IF($X1088="",1,IFERROR(VLOOKUP($X1088,'Char Popularity'!$A$2:$C$500,3,FALSE),1))</f>
        <v>1</v>
      </c>
      <c r="AA1088" s="62">
        <f>IF($H1088&lt;&gt;"Y",0,(IF($F1088&lt;&gt;"",ROUND(Dashboard!$R$4/$F1088,1),IF(AND($I1088="Base",$E1088="Base"),Dashboard!$R$5,IF(AND($I1088="Base",$E1088="Red"),Dashboard!$R$6,IF(AND($I1088="Base",$E1088="Gold"),Dashboard!$R$7,VLOOKUP($I1088,Dashboard!$Q$16:$R$21,2,FALSE)))))*VLOOKUP($I1088,Dashboard!$Q$9:$R$13,2,FALSE)*IF(AND($I1088="Auto",$F1088="",OR($B1088="Autographs Duals",$B1088="Autographs Triples",$B1088="Autographs Quads",$B1088="Autographs Quads (Inscribed)")),IF($B1088="Autographs Duals",2,IF($B1088="Autographs Triples",3,4)),1)))</f>
        <v>12.2</v>
      </c>
      <c r="AB1088" s="62">
        <f t="shared" si="219"/>
        <v>12.2</v>
      </c>
      <c r="AC1088" s="62">
        <f t="shared" si="220"/>
        <v>0</v>
      </c>
    </row>
    <row r="1089" spans="1:29" ht="28.7" customHeight="1" x14ac:dyDescent="0.25">
      <c r="A1089" s="4" t="s">
        <v>19</v>
      </c>
      <c r="B1089" s="7" t="s">
        <v>79</v>
      </c>
      <c r="C1089" s="2" t="s">
        <v>1587</v>
      </c>
      <c r="D1089" s="7" t="s">
        <v>1183</v>
      </c>
      <c r="E1089" s="4" t="s">
        <v>779</v>
      </c>
      <c r="F1089" s="2">
        <v>82</v>
      </c>
      <c r="G1089" s="2" t="s">
        <v>1399</v>
      </c>
      <c r="H1089" s="2" t="s">
        <v>1400</v>
      </c>
      <c r="I1089" s="4" t="s">
        <v>60</v>
      </c>
      <c r="J1089" s="112">
        <f>IF($H1089&lt;&gt;"Y",0,ROUND(MIN(Dashboard!$R$24,IF(IFERROR(VLOOKUP($B1089,Dashboard!$Q$28:$S$60,2,FALSE),0)&gt;0,IFERROR(VLOOKUP($B1089,Dashboard!$Q$28:$S$60,2,FALSE),0),$Z1089*IF($U1089&lt;&gt;"",ROUND((Dashboard!$R$4/$U1089)*VLOOKUP($I1089,Dashboard!$Q$9:$R$13,2,FALSE)*IF(ISNUMBER(SEARCH("Duals",$B1089)),2,IF(ISNUMBER(SEARCH("Triples",$B1089)),3,IF(ISNUMBER(SEARCH("Quads",$B1089)),4,1))),2),ROUND(VLOOKUP($I1089,Dashboard!$Q$15:$R$20,2,FALSE)*IF($E1089="Red",Dashboard!$R$6,IF($E1089="Gold",Dashboard!$R$7,Dashboard!$R$5))*IF(ISNUMBER(SEARCH("Duals",$B1089)),2,IF(ISNUMBER(SEARCH("Triples",$B1089)),3,IF(ISNUMBER(SEARCH("Quads",$B1089)),4,1))),2))*IF(IFERROR(VLOOKUP($B1089,Dashboard!$Q$28:$S$60,3,FALSE),0)&gt;0,VLOOKUP($B1089,Dashboard!$Q$28:$S$60,3,FALSE),1))),0))</f>
        <v>12</v>
      </c>
      <c r="K1089" s="2" t="str">
        <f>IF('Base S2'!G89="","",'Base S2'!G89)</f>
        <v>V 32/82</v>
      </c>
      <c r="L1089" s="2">
        <f t="shared" si="208"/>
        <v>1</v>
      </c>
      <c r="M1089" s="2">
        <f t="shared" si="209"/>
        <v>0</v>
      </c>
      <c r="N1089" s="2">
        <f t="shared" si="210"/>
        <v>1</v>
      </c>
      <c r="O1089" s="2">
        <f t="shared" si="211"/>
        <v>0</v>
      </c>
      <c r="P1089" s="112">
        <f t="shared" si="212"/>
        <v>12</v>
      </c>
      <c r="Q1089" s="112">
        <f t="shared" si="213"/>
        <v>0</v>
      </c>
      <c r="R1089" s="53"/>
      <c r="S1089" s="53" t="str">
        <f t="shared" si="214"/>
        <v>Base S2|Floor 82 Parallel - Season 2|188|Floor 82</v>
      </c>
      <c r="T1089" s="57" t="str">
        <f>IF($S1089="","",IFERROR(VLOOKUP($S1089,'Pop Estimates (Non-#d)'!$N$2:$O$500,2,FALSE),""))</f>
        <v/>
      </c>
      <c r="U1089" s="57">
        <f t="shared" si="215"/>
        <v>82</v>
      </c>
      <c r="V1089" s="53" t="str">
        <f t="shared" si="216"/>
        <v/>
      </c>
      <c r="W1089" s="53" t="str">
        <f t="shared" si="217"/>
        <v/>
      </c>
      <c r="X1089" s="53" t="str">
        <f t="shared" si="218"/>
        <v/>
      </c>
      <c r="Y1089" s="57" t="str">
        <f>IF($X1089="","",IFERROR(VLOOKUP($X1089,'Char Popularity'!$A$2:$C$500,2,FALSE),""))</f>
        <v/>
      </c>
      <c r="Z1089" s="56">
        <f>IF($X1089="",1,IFERROR(VLOOKUP($X1089,'Char Popularity'!$A$2:$C$500,3,FALSE),1))</f>
        <v>1</v>
      </c>
      <c r="AA1089" s="62">
        <f>IF($H1089&lt;&gt;"Y",0,(IF($F1089&lt;&gt;"",ROUND(Dashboard!$R$4/$F1089,1),IF(AND($I1089="Base",$E1089="Base"),Dashboard!$R$5,IF(AND($I1089="Base",$E1089="Red"),Dashboard!$R$6,IF(AND($I1089="Base",$E1089="Gold"),Dashboard!$R$7,VLOOKUP($I1089,Dashboard!$Q$16:$R$21,2,FALSE)))))*VLOOKUP($I1089,Dashboard!$Q$9:$R$13,2,FALSE)*IF(AND($I1089="Auto",$F1089="",OR($B1089="Autographs Duals",$B1089="Autographs Triples",$B1089="Autographs Quads",$B1089="Autographs Quads (Inscribed)")),IF($B1089="Autographs Duals",2,IF($B1089="Autographs Triples",3,4)),1)))</f>
        <v>12.2</v>
      </c>
      <c r="AB1089" s="62">
        <f t="shared" si="219"/>
        <v>12.2</v>
      </c>
      <c r="AC1089" s="62">
        <f t="shared" si="220"/>
        <v>0</v>
      </c>
    </row>
    <row r="1090" spans="1:29" ht="28.7" customHeight="1" x14ac:dyDescent="0.25">
      <c r="A1090" s="4" t="s">
        <v>19</v>
      </c>
      <c r="B1090" s="7" t="s">
        <v>79</v>
      </c>
      <c r="C1090" s="2" t="s">
        <v>1588</v>
      </c>
      <c r="D1090" s="7" t="s">
        <v>1185</v>
      </c>
      <c r="E1090" s="4" t="s">
        <v>779</v>
      </c>
      <c r="F1090" s="2">
        <v>82</v>
      </c>
      <c r="G1090" s="2" t="s">
        <v>1399</v>
      </c>
      <c r="H1090" s="2" t="s">
        <v>1400</v>
      </c>
      <c r="I1090" s="4" t="s">
        <v>60</v>
      </c>
      <c r="J1090" s="112">
        <f>IF($H1090&lt;&gt;"Y",0,ROUND(MIN(Dashboard!$R$24,IF(IFERROR(VLOOKUP($B1090,Dashboard!$Q$28:$S$60,2,FALSE),0)&gt;0,IFERROR(VLOOKUP($B1090,Dashboard!$Q$28:$S$60,2,FALSE),0),$Z1090*IF($U1090&lt;&gt;"",ROUND((Dashboard!$R$4/$U1090)*VLOOKUP($I1090,Dashboard!$Q$9:$R$13,2,FALSE)*IF(ISNUMBER(SEARCH("Duals",$B1090)),2,IF(ISNUMBER(SEARCH("Triples",$B1090)),3,IF(ISNUMBER(SEARCH("Quads",$B1090)),4,1))),2),ROUND(VLOOKUP($I1090,Dashboard!$Q$15:$R$20,2,FALSE)*IF($E1090="Red",Dashboard!$R$6,IF($E1090="Gold",Dashboard!$R$7,Dashboard!$R$5))*IF(ISNUMBER(SEARCH("Duals",$B1090)),2,IF(ISNUMBER(SEARCH("Triples",$B1090)),3,IF(ISNUMBER(SEARCH("Quads",$B1090)),4,1))),2))*IF(IFERROR(VLOOKUP($B1090,Dashboard!$Q$28:$S$60,3,FALSE),0)&gt;0,VLOOKUP($B1090,Dashboard!$Q$28:$S$60,3,FALSE),1))),0))</f>
        <v>12</v>
      </c>
      <c r="K1090" s="2" t="str">
        <f>IF('Base S2'!G90="","",'Base S2'!G90)</f>
        <v>C 76/82</v>
      </c>
      <c r="L1090" s="2">
        <f t="shared" ref="L1090:L1153" si="221">IF(AND($K1090&lt;&gt;"",LEFT($K1090,1)&lt;&gt;"Y"),1,0)</f>
        <v>1</v>
      </c>
      <c r="M1090" s="2">
        <f t="shared" ref="M1090:M1153" si="222">IF(LEFT($K1090,1)="Y",1,0)</f>
        <v>0</v>
      </c>
      <c r="N1090" s="2">
        <f t="shared" ref="N1090:N1153" si="223">$L1090+$M1090</f>
        <v>1</v>
      </c>
      <c r="O1090" s="2">
        <f t="shared" ref="O1090:O1153" si="224">IF($H1090="Y",1-$N1090,0)</f>
        <v>0</v>
      </c>
      <c r="P1090" s="112">
        <f t="shared" ref="P1090:P1153" si="225">IF($L1090=1,$J1090,0)</f>
        <v>12</v>
      </c>
      <c r="Q1090" s="112">
        <f t="shared" ref="Q1090:Q1153" si="226">IF($M1090=1,$J1090,0)</f>
        <v>0</v>
      </c>
      <c r="R1090" s="53"/>
      <c r="S1090" s="53" t="str">
        <f t="shared" ref="S1090:S1153" si="227">IF($A1090="","",$A1090&amp;"|"&amp;$B1090&amp;"|"&amp;$C1090&amp;"|"&amp;$E1090)</f>
        <v>Base S2|Floor 82 Parallel - Season 2|189|Floor 82</v>
      </c>
      <c r="T1090" s="57" t="str">
        <f>IF($S1090="","",IFERROR(VLOOKUP($S1090,'Pop Estimates (Non-#d)'!$N$2:$O$500,2,FALSE),""))</f>
        <v/>
      </c>
      <c r="U1090" s="57">
        <f t="shared" ref="U1090:U1153" si="228">IF($A1090="","",IF($F1090&lt;&gt;"",$F1090,$T1090))</f>
        <v>82</v>
      </c>
      <c r="V1090" s="53" t="str">
        <f t="shared" ref="V1090:V1153" si="229">IF($A1090="","",IF(ISNUMBER(SEARCH(" as ",$D1090)),MID($D1090,SEARCH(" as ",$D1090)+4,255),IF(ISNUMBER(SEARCH("/",$D1090)),LEFT($D1090,FIND("/",$D1090&amp;"/")-1),"")))</f>
        <v/>
      </c>
      <c r="W1090" s="53" t="str">
        <f t="shared" ref="W1090:W1153" si="230">IF($V1090="","",TRIM(IFERROR(MID($V1090,SEARCH("(", $V1090)+1,SEARCH(")",$V1090)-SEARCH("(", $V1090)-1),$V1090)))</f>
        <v/>
      </c>
      <c r="X1090" s="53" t="str">
        <f t="shared" ref="X1090:X1153" si="231">IF($W1090="","",TRIM(LEFT($W1090&amp;"""",FIND("""",$W1090&amp;"""")-1)))</f>
        <v/>
      </c>
      <c r="Y1090" s="57" t="str">
        <f>IF($X1090="","",IFERROR(VLOOKUP($X1090,'Char Popularity'!$A$2:$C$500,2,FALSE),""))</f>
        <v/>
      </c>
      <c r="Z1090" s="56">
        <f>IF($X1090="",1,IFERROR(VLOOKUP($X1090,'Char Popularity'!$A$2:$C$500,3,FALSE),1))</f>
        <v>1</v>
      </c>
      <c r="AA1090" s="62">
        <f>IF($H1090&lt;&gt;"Y",0,(IF($F1090&lt;&gt;"",ROUND(Dashboard!$R$4/$F1090,1),IF(AND($I1090="Base",$E1090="Base"),Dashboard!$R$5,IF(AND($I1090="Base",$E1090="Red"),Dashboard!$R$6,IF(AND($I1090="Base",$E1090="Gold"),Dashboard!$R$7,VLOOKUP($I1090,Dashboard!$Q$16:$R$21,2,FALSE)))))*VLOOKUP($I1090,Dashboard!$Q$9:$R$13,2,FALSE)*IF(AND($I1090="Auto",$F1090="",OR($B1090="Autographs Duals",$B1090="Autographs Triples",$B1090="Autographs Quads",$B1090="Autographs Quads (Inscribed)")),IF($B1090="Autographs Duals",2,IF($B1090="Autographs Triples",3,4)),1)))</f>
        <v>12.2</v>
      </c>
      <c r="AB1090" s="62">
        <f t="shared" ref="AB1090:AB1153" si="232">IF($L1090=1,$AA1090,0)</f>
        <v>12.2</v>
      </c>
      <c r="AC1090" s="62">
        <f t="shared" ref="AC1090:AC1153" si="233">IF($M1090=1,$AA1090,0)</f>
        <v>0</v>
      </c>
    </row>
    <row r="1091" spans="1:29" ht="28.7" customHeight="1" x14ac:dyDescent="0.25">
      <c r="A1091" s="4" t="s">
        <v>19</v>
      </c>
      <c r="B1091" s="7" t="s">
        <v>79</v>
      </c>
      <c r="C1091" s="2" t="s">
        <v>1589</v>
      </c>
      <c r="D1091" s="7" t="s">
        <v>1186</v>
      </c>
      <c r="E1091" s="4" t="s">
        <v>779</v>
      </c>
      <c r="F1091" s="2">
        <v>82</v>
      </c>
      <c r="G1091" s="2" t="s">
        <v>1399</v>
      </c>
      <c r="H1091" s="2" t="s">
        <v>1400</v>
      </c>
      <c r="I1091" s="4" t="s">
        <v>60</v>
      </c>
      <c r="J1091" s="112">
        <f>IF($H1091&lt;&gt;"Y",0,ROUND(MIN(Dashboard!$R$24,IF(IFERROR(VLOOKUP($B1091,Dashboard!$Q$28:$S$60,2,FALSE),0)&gt;0,IFERROR(VLOOKUP($B1091,Dashboard!$Q$28:$S$60,2,FALSE),0),$Z1091*IF($U1091&lt;&gt;"",ROUND((Dashboard!$R$4/$U1091)*VLOOKUP($I1091,Dashboard!$Q$9:$R$13,2,FALSE)*IF(ISNUMBER(SEARCH("Duals",$B1091)),2,IF(ISNUMBER(SEARCH("Triples",$B1091)),3,IF(ISNUMBER(SEARCH("Quads",$B1091)),4,1))),2),ROUND(VLOOKUP($I1091,Dashboard!$Q$15:$R$20,2,FALSE)*IF($E1091="Red",Dashboard!$R$6,IF($E1091="Gold",Dashboard!$R$7,Dashboard!$R$5))*IF(ISNUMBER(SEARCH("Duals",$B1091)),2,IF(ISNUMBER(SEARCH("Triples",$B1091)),3,IF(ISNUMBER(SEARCH("Quads",$B1091)),4,1))),2))*IF(IFERROR(VLOOKUP($B1091,Dashboard!$Q$28:$S$60,3,FALSE),0)&gt;0,VLOOKUP($B1091,Dashboard!$Q$28:$S$60,3,FALSE),1))),0))</f>
        <v>12</v>
      </c>
      <c r="K1091" s="2" t="str">
        <f>IF('Base S2'!G91="","",'Base S2'!G91)</f>
        <v>h</v>
      </c>
      <c r="L1091" s="2">
        <f t="shared" si="221"/>
        <v>1</v>
      </c>
      <c r="M1091" s="2">
        <f t="shared" si="222"/>
        <v>0</v>
      </c>
      <c r="N1091" s="2">
        <f t="shared" si="223"/>
        <v>1</v>
      </c>
      <c r="O1091" s="2">
        <f t="shared" si="224"/>
        <v>0</v>
      </c>
      <c r="P1091" s="112">
        <f t="shared" si="225"/>
        <v>12</v>
      </c>
      <c r="Q1091" s="112">
        <f t="shared" si="226"/>
        <v>0</v>
      </c>
      <c r="R1091" s="53"/>
      <c r="S1091" s="53" t="str">
        <f t="shared" si="227"/>
        <v>Base S2|Floor 82 Parallel - Season 2|190|Floor 82</v>
      </c>
      <c r="T1091" s="57" t="str">
        <f>IF($S1091="","",IFERROR(VLOOKUP($S1091,'Pop Estimates (Non-#d)'!$N$2:$O$500,2,FALSE),""))</f>
        <v/>
      </c>
      <c r="U1091" s="57">
        <f t="shared" si="228"/>
        <v>82</v>
      </c>
      <c r="V1091" s="53" t="str">
        <f t="shared" si="229"/>
        <v/>
      </c>
      <c r="W1091" s="53" t="str">
        <f t="shared" si="230"/>
        <v/>
      </c>
      <c r="X1091" s="53" t="str">
        <f t="shared" si="231"/>
        <v/>
      </c>
      <c r="Y1091" s="57" t="str">
        <f>IF($X1091="","",IFERROR(VLOOKUP($X1091,'Char Popularity'!$A$2:$C$500,2,FALSE),""))</f>
        <v/>
      </c>
      <c r="Z1091" s="56">
        <f>IF($X1091="",1,IFERROR(VLOOKUP($X1091,'Char Popularity'!$A$2:$C$500,3,FALSE),1))</f>
        <v>1</v>
      </c>
      <c r="AA1091" s="62">
        <f>IF($H1091&lt;&gt;"Y",0,(IF($F1091&lt;&gt;"",ROUND(Dashboard!$R$4/$F1091,1),IF(AND($I1091="Base",$E1091="Base"),Dashboard!$R$5,IF(AND($I1091="Base",$E1091="Red"),Dashboard!$R$6,IF(AND($I1091="Base",$E1091="Gold"),Dashboard!$R$7,VLOOKUP($I1091,Dashboard!$Q$16:$R$21,2,FALSE)))))*VLOOKUP($I1091,Dashboard!$Q$9:$R$13,2,FALSE)*IF(AND($I1091="Auto",$F1091="",OR($B1091="Autographs Duals",$B1091="Autographs Triples",$B1091="Autographs Quads",$B1091="Autographs Quads (Inscribed)")),IF($B1091="Autographs Duals",2,IF($B1091="Autographs Triples",3,4)),1)))</f>
        <v>12.2</v>
      </c>
      <c r="AB1091" s="62">
        <f t="shared" si="232"/>
        <v>12.2</v>
      </c>
      <c r="AC1091" s="62">
        <f t="shared" si="233"/>
        <v>0</v>
      </c>
    </row>
    <row r="1092" spans="1:29" ht="28.7" customHeight="1" x14ac:dyDescent="0.25">
      <c r="A1092" s="4" t="s">
        <v>19</v>
      </c>
      <c r="B1092" s="7" t="s">
        <v>79</v>
      </c>
      <c r="C1092" s="2" t="s">
        <v>1590</v>
      </c>
      <c r="D1092" s="7" t="s">
        <v>1187</v>
      </c>
      <c r="E1092" s="4" t="s">
        <v>779</v>
      </c>
      <c r="F1092" s="2">
        <v>82</v>
      </c>
      <c r="G1092" s="2" t="s">
        <v>1399</v>
      </c>
      <c r="H1092" s="2" t="s">
        <v>1400</v>
      </c>
      <c r="I1092" s="4" t="s">
        <v>60</v>
      </c>
      <c r="J1092" s="112">
        <f>IF($H1092&lt;&gt;"Y",0,ROUND(MIN(Dashboard!$R$24,IF(IFERROR(VLOOKUP($B1092,Dashboard!$Q$28:$S$60,2,FALSE),0)&gt;0,IFERROR(VLOOKUP($B1092,Dashboard!$Q$28:$S$60,2,FALSE),0),$Z1092*IF($U1092&lt;&gt;"",ROUND((Dashboard!$R$4/$U1092)*VLOOKUP($I1092,Dashboard!$Q$9:$R$13,2,FALSE)*IF(ISNUMBER(SEARCH("Duals",$B1092)),2,IF(ISNUMBER(SEARCH("Triples",$B1092)),3,IF(ISNUMBER(SEARCH("Quads",$B1092)),4,1))),2),ROUND(VLOOKUP($I1092,Dashboard!$Q$15:$R$20,2,FALSE)*IF($E1092="Red",Dashboard!$R$6,IF($E1092="Gold",Dashboard!$R$7,Dashboard!$R$5))*IF(ISNUMBER(SEARCH("Duals",$B1092)),2,IF(ISNUMBER(SEARCH("Triples",$B1092)),3,IF(ISNUMBER(SEARCH("Quads",$B1092)),4,1))),2))*IF(IFERROR(VLOOKUP($B1092,Dashboard!$Q$28:$S$60,3,FALSE),0)&gt;0,VLOOKUP($B1092,Dashboard!$Q$28:$S$60,3,FALSE),1))),0))</f>
        <v>12</v>
      </c>
      <c r="K1092" s="2" t="str">
        <f>IF('Base S2'!G92="","",'Base S2'!G92)</f>
        <v>C 70/82</v>
      </c>
      <c r="L1092" s="2">
        <f t="shared" si="221"/>
        <v>1</v>
      </c>
      <c r="M1092" s="2">
        <f t="shared" si="222"/>
        <v>0</v>
      </c>
      <c r="N1092" s="2">
        <f t="shared" si="223"/>
        <v>1</v>
      </c>
      <c r="O1092" s="2">
        <f t="shared" si="224"/>
        <v>0</v>
      </c>
      <c r="P1092" s="112">
        <f t="shared" si="225"/>
        <v>12</v>
      </c>
      <c r="Q1092" s="112">
        <f t="shared" si="226"/>
        <v>0</v>
      </c>
      <c r="R1092" s="53"/>
      <c r="S1092" s="53" t="str">
        <f t="shared" si="227"/>
        <v>Base S2|Floor 82 Parallel - Season 2|191|Floor 82</v>
      </c>
      <c r="T1092" s="57" t="str">
        <f>IF($S1092="","",IFERROR(VLOOKUP($S1092,'Pop Estimates (Non-#d)'!$N$2:$O$500,2,FALSE),""))</f>
        <v/>
      </c>
      <c r="U1092" s="57">
        <f t="shared" si="228"/>
        <v>82</v>
      </c>
      <c r="V1092" s="53" t="str">
        <f t="shared" si="229"/>
        <v/>
      </c>
      <c r="W1092" s="53" t="str">
        <f t="shared" si="230"/>
        <v/>
      </c>
      <c r="X1092" s="53" t="str">
        <f t="shared" si="231"/>
        <v/>
      </c>
      <c r="Y1092" s="57" t="str">
        <f>IF($X1092="","",IFERROR(VLOOKUP($X1092,'Char Popularity'!$A$2:$C$500,2,FALSE),""))</f>
        <v/>
      </c>
      <c r="Z1092" s="56">
        <f>IF($X1092="",1,IFERROR(VLOOKUP($X1092,'Char Popularity'!$A$2:$C$500,3,FALSE),1))</f>
        <v>1</v>
      </c>
      <c r="AA1092" s="62">
        <f>IF($H1092&lt;&gt;"Y",0,(IF($F1092&lt;&gt;"",ROUND(Dashboard!$R$4/$F1092,1),IF(AND($I1092="Base",$E1092="Base"),Dashboard!$R$5,IF(AND($I1092="Base",$E1092="Red"),Dashboard!$R$6,IF(AND($I1092="Base",$E1092="Gold"),Dashboard!$R$7,VLOOKUP($I1092,Dashboard!$Q$16:$R$21,2,FALSE)))))*VLOOKUP($I1092,Dashboard!$Q$9:$R$13,2,FALSE)*IF(AND($I1092="Auto",$F1092="",OR($B1092="Autographs Duals",$B1092="Autographs Triples",$B1092="Autographs Quads",$B1092="Autographs Quads (Inscribed)")),IF($B1092="Autographs Duals",2,IF($B1092="Autographs Triples",3,4)),1)))</f>
        <v>12.2</v>
      </c>
      <c r="AB1092" s="62">
        <f t="shared" si="232"/>
        <v>12.2</v>
      </c>
      <c r="AC1092" s="62">
        <f t="shared" si="233"/>
        <v>0</v>
      </c>
    </row>
    <row r="1093" spans="1:29" ht="28.7" customHeight="1" x14ac:dyDescent="0.25">
      <c r="A1093" s="4" t="s">
        <v>19</v>
      </c>
      <c r="B1093" s="7" t="s">
        <v>79</v>
      </c>
      <c r="C1093" s="2" t="s">
        <v>1591</v>
      </c>
      <c r="D1093" s="7" t="s">
        <v>1188</v>
      </c>
      <c r="E1093" s="4" t="s">
        <v>779</v>
      </c>
      <c r="F1093" s="2">
        <v>82</v>
      </c>
      <c r="G1093" s="2" t="s">
        <v>1399</v>
      </c>
      <c r="H1093" s="2" t="s">
        <v>1400</v>
      </c>
      <c r="I1093" s="4" t="s">
        <v>60</v>
      </c>
      <c r="J1093" s="112">
        <f>IF($H1093&lt;&gt;"Y",0,ROUND(MIN(Dashboard!$R$24,IF(IFERROR(VLOOKUP($B1093,Dashboard!$Q$28:$S$60,2,FALSE),0)&gt;0,IFERROR(VLOOKUP($B1093,Dashboard!$Q$28:$S$60,2,FALSE),0),$Z1093*IF($U1093&lt;&gt;"",ROUND((Dashboard!$R$4/$U1093)*VLOOKUP($I1093,Dashboard!$Q$9:$R$13,2,FALSE)*IF(ISNUMBER(SEARCH("Duals",$B1093)),2,IF(ISNUMBER(SEARCH("Triples",$B1093)),3,IF(ISNUMBER(SEARCH("Quads",$B1093)),4,1))),2),ROUND(VLOOKUP($I1093,Dashboard!$Q$15:$R$20,2,FALSE)*IF($E1093="Red",Dashboard!$R$6,IF($E1093="Gold",Dashboard!$R$7,Dashboard!$R$5))*IF(ISNUMBER(SEARCH("Duals",$B1093)),2,IF(ISNUMBER(SEARCH("Triples",$B1093)),3,IF(ISNUMBER(SEARCH("Quads",$B1093)),4,1))),2))*IF(IFERROR(VLOOKUP($B1093,Dashboard!$Q$28:$S$60,3,FALSE),0)&gt;0,VLOOKUP($B1093,Dashboard!$Q$28:$S$60,3,FALSE),1))),0))</f>
        <v>12</v>
      </c>
      <c r="K1093" s="2" t="str">
        <f>IF('Base S2'!G93="","",'Base S2'!G93)</f>
        <v>C 65/82</v>
      </c>
      <c r="L1093" s="2">
        <f t="shared" si="221"/>
        <v>1</v>
      </c>
      <c r="M1093" s="2">
        <f t="shared" si="222"/>
        <v>0</v>
      </c>
      <c r="N1093" s="2">
        <f t="shared" si="223"/>
        <v>1</v>
      </c>
      <c r="O1093" s="2">
        <f t="shared" si="224"/>
        <v>0</v>
      </c>
      <c r="P1093" s="112">
        <f t="shared" si="225"/>
        <v>12</v>
      </c>
      <c r="Q1093" s="112">
        <f t="shared" si="226"/>
        <v>0</v>
      </c>
      <c r="R1093" s="53"/>
      <c r="S1093" s="53" t="str">
        <f t="shared" si="227"/>
        <v>Base S2|Floor 82 Parallel - Season 2|192|Floor 82</v>
      </c>
      <c r="T1093" s="57" t="str">
        <f>IF($S1093="","",IFERROR(VLOOKUP($S1093,'Pop Estimates (Non-#d)'!$N$2:$O$500,2,FALSE),""))</f>
        <v/>
      </c>
      <c r="U1093" s="57">
        <f t="shared" si="228"/>
        <v>82</v>
      </c>
      <c r="V1093" s="53" t="str">
        <f t="shared" si="229"/>
        <v/>
      </c>
      <c r="W1093" s="53" t="str">
        <f t="shared" si="230"/>
        <v/>
      </c>
      <c r="X1093" s="53" t="str">
        <f t="shared" si="231"/>
        <v/>
      </c>
      <c r="Y1093" s="57" t="str">
        <f>IF($X1093="","",IFERROR(VLOOKUP($X1093,'Char Popularity'!$A$2:$C$500,2,FALSE),""))</f>
        <v/>
      </c>
      <c r="Z1093" s="56">
        <f>IF($X1093="",1,IFERROR(VLOOKUP($X1093,'Char Popularity'!$A$2:$C$500,3,FALSE),1))</f>
        <v>1</v>
      </c>
      <c r="AA1093" s="62">
        <f>IF($H1093&lt;&gt;"Y",0,(IF($F1093&lt;&gt;"",ROUND(Dashboard!$R$4/$F1093,1),IF(AND($I1093="Base",$E1093="Base"),Dashboard!$R$5,IF(AND($I1093="Base",$E1093="Red"),Dashboard!$R$6,IF(AND($I1093="Base",$E1093="Gold"),Dashboard!$R$7,VLOOKUP($I1093,Dashboard!$Q$16:$R$21,2,FALSE)))))*VLOOKUP($I1093,Dashboard!$Q$9:$R$13,2,FALSE)*IF(AND($I1093="Auto",$F1093="",OR($B1093="Autographs Duals",$B1093="Autographs Triples",$B1093="Autographs Quads",$B1093="Autographs Quads (Inscribed)")),IF($B1093="Autographs Duals",2,IF($B1093="Autographs Triples",3,4)),1)))</f>
        <v>12.2</v>
      </c>
      <c r="AB1093" s="62">
        <f t="shared" si="232"/>
        <v>12.2</v>
      </c>
      <c r="AC1093" s="62">
        <f t="shared" si="233"/>
        <v>0</v>
      </c>
    </row>
    <row r="1094" spans="1:29" ht="28.7" customHeight="1" x14ac:dyDescent="0.25">
      <c r="A1094" s="4" t="s">
        <v>19</v>
      </c>
      <c r="B1094" s="7" t="s">
        <v>79</v>
      </c>
      <c r="C1094" s="2" t="s">
        <v>1592</v>
      </c>
      <c r="D1094" s="7" t="s">
        <v>1190</v>
      </c>
      <c r="E1094" s="4" t="s">
        <v>779</v>
      </c>
      <c r="F1094" s="2">
        <v>82</v>
      </c>
      <c r="G1094" s="2" t="s">
        <v>1399</v>
      </c>
      <c r="H1094" s="2" t="s">
        <v>1400</v>
      </c>
      <c r="I1094" s="4" t="s">
        <v>60</v>
      </c>
      <c r="J1094" s="112">
        <f>IF($H1094&lt;&gt;"Y",0,ROUND(MIN(Dashboard!$R$24,IF(IFERROR(VLOOKUP($B1094,Dashboard!$Q$28:$S$60,2,FALSE),0)&gt;0,IFERROR(VLOOKUP($B1094,Dashboard!$Q$28:$S$60,2,FALSE),0),$Z1094*IF($U1094&lt;&gt;"",ROUND((Dashboard!$R$4/$U1094)*VLOOKUP($I1094,Dashboard!$Q$9:$R$13,2,FALSE)*IF(ISNUMBER(SEARCH("Duals",$B1094)),2,IF(ISNUMBER(SEARCH("Triples",$B1094)),3,IF(ISNUMBER(SEARCH("Quads",$B1094)),4,1))),2),ROUND(VLOOKUP($I1094,Dashboard!$Q$15:$R$20,2,FALSE)*IF($E1094="Red",Dashboard!$R$6,IF($E1094="Gold",Dashboard!$R$7,Dashboard!$R$5))*IF(ISNUMBER(SEARCH("Duals",$B1094)),2,IF(ISNUMBER(SEARCH("Triples",$B1094)),3,IF(ISNUMBER(SEARCH("Quads",$B1094)),4,1))),2))*IF(IFERROR(VLOOKUP($B1094,Dashboard!$Q$28:$S$60,3,FALSE),0)&gt;0,VLOOKUP($B1094,Dashboard!$Q$28:$S$60,3,FALSE),1))),0))</f>
        <v>12</v>
      </c>
      <c r="K1094" s="2" t="str">
        <f>IF('Base S2'!G94="","",'Base S2'!G94)</f>
        <v>C</v>
      </c>
      <c r="L1094" s="2">
        <f t="shared" si="221"/>
        <v>1</v>
      </c>
      <c r="M1094" s="2">
        <f t="shared" si="222"/>
        <v>0</v>
      </c>
      <c r="N1094" s="2">
        <f t="shared" si="223"/>
        <v>1</v>
      </c>
      <c r="O1094" s="2">
        <f t="shared" si="224"/>
        <v>0</v>
      </c>
      <c r="P1094" s="112">
        <f t="shared" si="225"/>
        <v>12</v>
      </c>
      <c r="Q1094" s="112">
        <f t="shared" si="226"/>
        <v>0</v>
      </c>
      <c r="R1094" s="53"/>
      <c r="S1094" s="53" t="str">
        <f t="shared" si="227"/>
        <v>Base S2|Floor 82 Parallel - Season 2|193|Floor 82</v>
      </c>
      <c r="T1094" s="57" t="str">
        <f>IF($S1094="","",IFERROR(VLOOKUP($S1094,'Pop Estimates (Non-#d)'!$N$2:$O$500,2,FALSE),""))</f>
        <v/>
      </c>
      <c r="U1094" s="57">
        <f t="shared" si="228"/>
        <v>82</v>
      </c>
      <c r="V1094" s="53" t="str">
        <f t="shared" si="229"/>
        <v/>
      </c>
      <c r="W1094" s="53" t="str">
        <f t="shared" si="230"/>
        <v/>
      </c>
      <c r="X1094" s="53" t="str">
        <f t="shared" si="231"/>
        <v/>
      </c>
      <c r="Y1094" s="57" t="str">
        <f>IF($X1094="","",IFERROR(VLOOKUP($X1094,'Char Popularity'!$A$2:$C$500,2,FALSE),""))</f>
        <v/>
      </c>
      <c r="Z1094" s="56">
        <f>IF($X1094="",1,IFERROR(VLOOKUP($X1094,'Char Popularity'!$A$2:$C$500,3,FALSE),1))</f>
        <v>1</v>
      </c>
      <c r="AA1094" s="62">
        <f>IF($H1094&lt;&gt;"Y",0,(IF($F1094&lt;&gt;"",ROUND(Dashboard!$R$4/$F1094,1),IF(AND($I1094="Base",$E1094="Base"),Dashboard!$R$5,IF(AND($I1094="Base",$E1094="Red"),Dashboard!$R$6,IF(AND($I1094="Base",$E1094="Gold"),Dashboard!$R$7,VLOOKUP($I1094,Dashboard!$Q$16:$R$21,2,FALSE)))))*VLOOKUP($I1094,Dashboard!$Q$9:$R$13,2,FALSE)*IF(AND($I1094="Auto",$F1094="",OR($B1094="Autographs Duals",$B1094="Autographs Triples",$B1094="Autographs Quads",$B1094="Autographs Quads (Inscribed)")),IF($B1094="Autographs Duals",2,IF($B1094="Autographs Triples",3,4)),1)))</f>
        <v>12.2</v>
      </c>
      <c r="AB1094" s="62">
        <f t="shared" si="232"/>
        <v>12.2</v>
      </c>
      <c r="AC1094" s="62">
        <f t="shared" si="233"/>
        <v>0</v>
      </c>
    </row>
    <row r="1095" spans="1:29" ht="28.7" customHeight="1" x14ac:dyDescent="0.25">
      <c r="A1095" s="4" t="s">
        <v>19</v>
      </c>
      <c r="B1095" s="7" t="s">
        <v>79</v>
      </c>
      <c r="C1095" s="2" t="s">
        <v>1593</v>
      </c>
      <c r="D1095" s="7" t="s">
        <v>1191</v>
      </c>
      <c r="E1095" s="4" t="s">
        <v>779</v>
      </c>
      <c r="F1095" s="2">
        <v>82</v>
      </c>
      <c r="G1095" s="2" t="s">
        <v>1399</v>
      </c>
      <c r="H1095" s="2" t="s">
        <v>1400</v>
      </c>
      <c r="I1095" s="4" t="s">
        <v>60</v>
      </c>
      <c r="J1095" s="112">
        <f>IF($H1095&lt;&gt;"Y",0,ROUND(MIN(Dashboard!$R$24,IF(IFERROR(VLOOKUP($B1095,Dashboard!$Q$28:$S$60,2,FALSE),0)&gt;0,IFERROR(VLOOKUP($B1095,Dashboard!$Q$28:$S$60,2,FALSE),0),$Z1095*IF($U1095&lt;&gt;"",ROUND((Dashboard!$R$4/$U1095)*VLOOKUP($I1095,Dashboard!$Q$9:$R$13,2,FALSE)*IF(ISNUMBER(SEARCH("Duals",$B1095)),2,IF(ISNUMBER(SEARCH("Triples",$B1095)),3,IF(ISNUMBER(SEARCH("Quads",$B1095)),4,1))),2),ROUND(VLOOKUP($I1095,Dashboard!$Q$15:$R$20,2,FALSE)*IF($E1095="Red",Dashboard!$R$6,IF($E1095="Gold",Dashboard!$R$7,Dashboard!$R$5))*IF(ISNUMBER(SEARCH("Duals",$B1095)),2,IF(ISNUMBER(SEARCH("Triples",$B1095)),3,IF(ISNUMBER(SEARCH("Quads",$B1095)),4,1))),2))*IF(IFERROR(VLOOKUP($B1095,Dashboard!$Q$28:$S$60,3,FALSE),0)&gt;0,VLOOKUP($B1095,Dashboard!$Q$28:$S$60,3,FALSE),1))),0))</f>
        <v>12</v>
      </c>
      <c r="K1095" s="2" t="str">
        <f>IF('Base S2'!G95="","",'Base S2'!G95)</f>
        <v>C 53/82</v>
      </c>
      <c r="L1095" s="2">
        <f t="shared" si="221"/>
        <v>1</v>
      </c>
      <c r="M1095" s="2">
        <f t="shared" si="222"/>
        <v>0</v>
      </c>
      <c r="N1095" s="2">
        <f t="shared" si="223"/>
        <v>1</v>
      </c>
      <c r="O1095" s="2">
        <f t="shared" si="224"/>
        <v>0</v>
      </c>
      <c r="P1095" s="112">
        <f t="shared" si="225"/>
        <v>12</v>
      </c>
      <c r="Q1095" s="112">
        <f t="shared" si="226"/>
        <v>0</v>
      </c>
      <c r="R1095" s="53"/>
      <c r="S1095" s="53" t="str">
        <f t="shared" si="227"/>
        <v>Base S2|Floor 82 Parallel - Season 2|194|Floor 82</v>
      </c>
      <c r="T1095" s="57" t="str">
        <f>IF($S1095="","",IFERROR(VLOOKUP($S1095,'Pop Estimates (Non-#d)'!$N$2:$O$500,2,FALSE),""))</f>
        <v/>
      </c>
      <c r="U1095" s="57">
        <f t="shared" si="228"/>
        <v>82</v>
      </c>
      <c r="V1095" s="53" t="str">
        <f t="shared" si="229"/>
        <v/>
      </c>
      <c r="W1095" s="53" t="str">
        <f t="shared" si="230"/>
        <v/>
      </c>
      <c r="X1095" s="53" t="str">
        <f t="shared" si="231"/>
        <v/>
      </c>
      <c r="Y1095" s="57" t="str">
        <f>IF($X1095="","",IFERROR(VLOOKUP($X1095,'Char Popularity'!$A$2:$C$500,2,FALSE),""))</f>
        <v/>
      </c>
      <c r="Z1095" s="56">
        <f>IF($X1095="",1,IFERROR(VLOOKUP($X1095,'Char Popularity'!$A$2:$C$500,3,FALSE),1))</f>
        <v>1</v>
      </c>
      <c r="AA1095" s="62">
        <f>IF($H1095&lt;&gt;"Y",0,(IF($F1095&lt;&gt;"",ROUND(Dashboard!$R$4/$F1095,1),IF(AND($I1095="Base",$E1095="Base"),Dashboard!$R$5,IF(AND($I1095="Base",$E1095="Red"),Dashboard!$R$6,IF(AND($I1095="Base",$E1095="Gold"),Dashboard!$R$7,VLOOKUP($I1095,Dashboard!$Q$16:$R$21,2,FALSE)))))*VLOOKUP($I1095,Dashboard!$Q$9:$R$13,2,FALSE)*IF(AND($I1095="Auto",$F1095="",OR($B1095="Autographs Duals",$B1095="Autographs Triples",$B1095="Autographs Quads",$B1095="Autographs Quads (Inscribed)")),IF($B1095="Autographs Duals",2,IF($B1095="Autographs Triples",3,4)),1)))</f>
        <v>12.2</v>
      </c>
      <c r="AB1095" s="62">
        <f t="shared" si="232"/>
        <v>12.2</v>
      </c>
      <c r="AC1095" s="62">
        <f t="shared" si="233"/>
        <v>0</v>
      </c>
    </row>
    <row r="1096" spans="1:29" ht="28.7" customHeight="1" x14ac:dyDescent="0.25">
      <c r="A1096" s="4" t="s">
        <v>19</v>
      </c>
      <c r="B1096" s="7" t="s">
        <v>79</v>
      </c>
      <c r="C1096" s="2" t="s">
        <v>1594</v>
      </c>
      <c r="D1096" s="7" t="s">
        <v>1192</v>
      </c>
      <c r="E1096" s="4" t="s">
        <v>779</v>
      </c>
      <c r="F1096" s="2">
        <v>82</v>
      </c>
      <c r="G1096" s="2" t="s">
        <v>1399</v>
      </c>
      <c r="H1096" s="2" t="s">
        <v>1400</v>
      </c>
      <c r="I1096" s="4" t="s">
        <v>60</v>
      </c>
      <c r="J1096" s="112">
        <f>IF($H1096&lt;&gt;"Y",0,ROUND(MIN(Dashboard!$R$24,IF(IFERROR(VLOOKUP($B1096,Dashboard!$Q$28:$S$60,2,FALSE),0)&gt;0,IFERROR(VLOOKUP($B1096,Dashboard!$Q$28:$S$60,2,FALSE),0),$Z1096*IF($U1096&lt;&gt;"",ROUND((Dashboard!$R$4/$U1096)*VLOOKUP($I1096,Dashboard!$Q$9:$R$13,2,FALSE)*IF(ISNUMBER(SEARCH("Duals",$B1096)),2,IF(ISNUMBER(SEARCH("Triples",$B1096)),3,IF(ISNUMBER(SEARCH("Quads",$B1096)),4,1))),2),ROUND(VLOOKUP($I1096,Dashboard!$Q$15:$R$20,2,FALSE)*IF($E1096="Red",Dashboard!$R$6,IF($E1096="Gold",Dashboard!$R$7,Dashboard!$R$5))*IF(ISNUMBER(SEARCH("Duals",$B1096)),2,IF(ISNUMBER(SEARCH("Triples",$B1096)),3,IF(ISNUMBER(SEARCH("Quads",$B1096)),4,1))),2))*IF(IFERROR(VLOOKUP($B1096,Dashboard!$Q$28:$S$60,3,FALSE),0)&gt;0,VLOOKUP($B1096,Dashboard!$Q$28:$S$60,3,FALSE),1))),0))</f>
        <v>12</v>
      </c>
      <c r="K1096" s="2" t="str">
        <f>IF('Base S2'!G96="","",'Base S2'!G96)</f>
        <v>C 60/82</v>
      </c>
      <c r="L1096" s="2">
        <f t="shared" si="221"/>
        <v>1</v>
      </c>
      <c r="M1096" s="2">
        <f t="shared" si="222"/>
        <v>0</v>
      </c>
      <c r="N1096" s="2">
        <f t="shared" si="223"/>
        <v>1</v>
      </c>
      <c r="O1096" s="2">
        <f t="shared" si="224"/>
        <v>0</v>
      </c>
      <c r="P1096" s="112">
        <f t="shared" si="225"/>
        <v>12</v>
      </c>
      <c r="Q1096" s="112">
        <f t="shared" si="226"/>
        <v>0</v>
      </c>
      <c r="R1096" s="53"/>
      <c r="S1096" s="53" t="str">
        <f t="shared" si="227"/>
        <v>Base S2|Floor 82 Parallel - Season 2|195|Floor 82</v>
      </c>
      <c r="T1096" s="57" t="str">
        <f>IF($S1096="","",IFERROR(VLOOKUP($S1096,'Pop Estimates (Non-#d)'!$N$2:$O$500,2,FALSE),""))</f>
        <v/>
      </c>
      <c r="U1096" s="57">
        <f t="shared" si="228"/>
        <v>82</v>
      </c>
      <c r="V1096" s="53" t="str">
        <f t="shared" si="229"/>
        <v/>
      </c>
      <c r="W1096" s="53" t="str">
        <f t="shared" si="230"/>
        <v/>
      </c>
      <c r="X1096" s="53" t="str">
        <f t="shared" si="231"/>
        <v/>
      </c>
      <c r="Y1096" s="57" t="str">
        <f>IF($X1096="","",IFERROR(VLOOKUP($X1096,'Char Popularity'!$A$2:$C$500,2,FALSE),""))</f>
        <v/>
      </c>
      <c r="Z1096" s="56">
        <f>IF($X1096="",1,IFERROR(VLOOKUP($X1096,'Char Popularity'!$A$2:$C$500,3,FALSE),1))</f>
        <v>1</v>
      </c>
      <c r="AA1096" s="62">
        <f>IF($H1096&lt;&gt;"Y",0,(IF($F1096&lt;&gt;"",ROUND(Dashboard!$R$4/$F1096,1),IF(AND($I1096="Base",$E1096="Base"),Dashboard!$R$5,IF(AND($I1096="Base",$E1096="Red"),Dashboard!$R$6,IF(AND($I1096="Base",$E1096="Gold"),Dashboard!$R$7,VLOOKUP($I1096,Dashboard!$Q$16:$R$21,2,FALSE)))))*VLOOKUP($I1096,Dashboard!$Q$9:$R$13,2,FALSE)*IF(AND($I1096="Auto",$F1096="",OR($B1096="Autographs Duals",$B1096="Autographs Triples",$B1096="Autographs Quads",$B1096="Autographs Quads (Inscribed)")),IF($B1096="Autographs Duals",2,IF($B1096="Autographs Triples",3,4)),1)))</f>
        <v>12.2</v>
      </c>
      <c r="AB1096" s="62">
        <f t="shared" si="232"/>
        <v>12.2</v>
      </c>
      <c r="AC1096" s="62">
        <f t="shared" si="233"/>
        <v>0</v>
      </c>
    </row>
    <row r="1097" spans="1:29" ht="28.7" customHeight="1" x14ac:dyDescent="0.25">
      <c r="A1097" s="4" t="s">
        <v>19</v>
      </c>
      <c r="B1097" s="7" t="s">
        <v>79</v>
      </c>
      <c r="C1097" s="2" t="s">
        <v>1595</v>
      </c>
      <c r="D1097" s="7" t="s">
        <v>1193</v>
      </c>
      <c r="E1097" s="4" t="s">
        <v>779</v>
      </c>
      <c r="F1097" s="2">
        <v>82</v>
      </c>
      <c r="G1097" s="2" t="s">
        <v>1399</v>
      </c>
      <c r="H1097" s="2" t="s">
        <v>1400</v>
      </c>
      <c r="I1097" s="4" t="s">
        <v>60</v>
      </c>
      <c r="J1097" s="112">
        <f>IF($H1097&lt;&gt;"Y",0,ROUND(MIN(Dashboard!$R$24,IF(IFERROR(VLOOKUP($B1097,Dashboard!$Q$28:$S$60,2,FALSE),0)&gt;0,IFERROR(VLOOKUP($B1097,Dashboard!$Q$28:$S$60,2,FALSE),0),$Z1097*IF($U1097&lt;&gt;"",ROUND((Dashboard!$R$4/$U1097)*VLOOKUP($I1097,Dashboard!$Q$9:$R$13,2,FALSE)*IF(ISNUMBER(SEARCH("Duals",$B1097)),2,IF(ISNUMBER(SEARCH("Triples",$B1097)),3,IF(ISNUMBER(SEARCH("Quads",$B1097)),4,1))),2),ROUND(VLOOKUP($I1097,Dashboard!$Q$15:$R$20,2,FALSE)*IF($E1097="Red",Dashboard!$R$6,IF($E1097="Gold",Dashboard!$R$7,Dashboard!$R$5))*IF(ISNUMBER(SEARCH("Duals",$B1097)),2,IF(ISNUMBER(SEARCH("Triples",$B1097)),3,IF(ISNUMBER(SEARCH("Quads",$B1097)),4,1))),2))*IF(IFERROR(VLOOKUP($B1097,Dashboard!$Q$28:$S$60,3,FALSE),0)&gt;0,VLOOKUP($B1097,Dashboard!$Q$28:$S$60,3,FALSE),1))),0))</f>
        <v>12</v>
      </c>
      <c r="K1097" s="2" t="str">
        <f>IF('Base S2'!G97="","",'Base S2'!G97)</f>
        <v>C '11/82</v>
      </c>
      <c r="L1097" s="2">
        <f t="shared" si="221"/>
        <v>1</v>
      </c>
      <c r="M1097" s="2">
        <f t="shared" si="222"/>
        <v>0</v>
      </c>
      <c r="N1097" s="2">
        <f t="shared" si="223"/>
        <v>1</v>
      </c>
      <c r="O1097" s="2">
        <f t="shared" si="224"/>
        <v>0</v>
      </c>
      <c r="P1097" s="112">
        <f t="shared" si="225"/>
        <v>12</v>
      </c>
      <c r="Q1097" s="112">
        <f t="shared" si="226"/>
        <v>0</v>
      </c>
      <c r="R1097" s="53"/>
      <c r="S1097" s="53" t="str">
        <f t="shared" si="227"/>
        <v>Base S2|Floor 82 Parallel - Season 2|196|Floor 82</v>
      </c>
      <c r="T1097" s="57" t="str">
        <f>IF($S1097="","",IFERROR(VLOOKUP($S1097,'Pop Estimates (Non-#d)'!$N$2:$O$500,2,FALSE),""))</f>
        <v/>
      </c>
      <c r="U1097" s="57">
        <f t="shared" si="228"/>
        <v>82</v>
      </c>
      <c r="V1097" s="53" t="str">
        <f t="shared" si="229"/>
        <v/>
      </c>
      <c r="W1097" s="53" t="str">
        <f t="shared" si="230"/>
        <v/>
      </c>
      <c r="X1097" s="53" t="str">
        <f t="shared" si="231"/>
        <v/>
      </c>
      <c r="Y1097" s="57" t="str">
        <f>IF($X1097="","",IFERROR(VLOOKUP($X1097,'Char Popularity'!$A$2:$C$500,2,FALSE),""))</f>
        <v/>
      </c>
      <c r="Z1097" s="56">
        <f>IF($X1097="",1,IFERROR(VLOOKUP($X1097,'Char Popularity'!$A$2:$C$500,3,FALSE),1))</f>
        <v>1</v>
      </c>
      <c r="AA1097" s="62">
        <f>IF($H1097&lt;&gt;"Y",0,(IF($F1097&lt;&gt;"",ROUND(Dashboard!$R$4/$F1097,1),IF(AND($I1097="Base",$E1097="Base"),Dashboard!$R$5,IF(AND($I1097="Base",$E1097="Red"),Dashboard!$R$6,IF(AND($I1097="Base",$E1097="Gold"),Dashboard!$R$7,VLOOKUP($I1097,Dashboard!$Q$16:$R$21,2,FALSE)))))*VLOOKUP($I1097,Dashboard!$Q$9:$R$13,2,FALSE)*IF(AND($I1097="Auto",$F1097="",OR($B1097="Autographs Duals",$B1097="Autographs Triples",$B1097="Autographs Quads",$B1097="Autographs Quads (Inscribed)")),IF($B1097="Autographs Duals",2,IF($B1097="Autographs Triples",3,4)),1)))</f>
        <v>12.2</v>
      </c>
      <c r="AB1097" s="62">
        <f t="shared" si="232"/>
        <v>12.2</v>
      </c>
      <c r="AC1097" s="62">
        <f t="shared" si="233"/>
        <v>0</v>
      </c>
    </row>
    <row r="1098" spans="1:29" ht="28.7" customHeight="1" x14ac:dyDescent="0.25">
      <c r="A1098" s="4" t="s">
        <v>19</v>
      </c>
      <c r="B1098" s="7" t="s">
        <v>79</v>
      </c>
      <c r="C1098" s="2" t="s">
        <v>1596</v>
      </c>
      <c r="D1098" s="7" t="s">
        <v>1195</v>
      </c>
      <c r="E1098" s="4" t="s">
        <v>779</v>
      </c>
      <c r="F1098" s="2">
        <v>82</v>
      </c>
      <c r="G1098" s="2" t="s">
        <v>1399</v>
      </c>
      <c r="H1098" s="2" t="s">
        <v>1400</v>
      </c>
      <c r="I1098" s="4" t="s">
        <v>60</v>
      </c>
      <c r="J1098" s="112">
        <f>IF($H1098&lt;&gt;"Y",0,ROUND(MIN(Dashboard!$R$24,IF(IFERROR(VLOOKUP($B1098,Dashboard!$Q$28:$S$60,2,FALSE),0)&gt;0,IFERROR(VLOOKUP($B1098,Dashboard!$Q$28:$S$60,2,FALSE),0),$Z1098*IF($U1098&lt;&gt;"",ROUND((Dashboard!$R$4/$U1098)*VLOOKUP($I1098,Dashboard!$Q$9:$R$13,2,FALSE)*IF(ISNUMBER(SEARCH("Duals",$B1098)),2,IF(ISNUMBER(SEARCH("Triples",$B1098)),3,IF(ISNUMBER(SEARCH("Quads",$B1098)),4,1))),2),ROUND(VLOOKUP($I1098,Dashboard!$Q$15:$R$20,2,FALSE)*IF($E1098="Red",Dashboard!$R$6,IF($E1098="Gold",Dashboard!$R$7,Dashboard!$R$5))*IF(ISNUMBER(SEARCH("Duals",$B1098)),2,IF(ISNUMBER(SEARCH("Triples",$B1098)),3,IF(ISNUMBER(SEARCH("Quads",$B1098)),4,1))),2))*IF(IFERROR(VLOOKUP($B1098,Dashboard!$Q$28:$S$60,3,FALSE),0)&gt;0,VLOOKUP($B1098,Dashboard!$Q$28:$S$60,3,FALSE),1))),0))</f>
        <v>12</v>
      </c>
      <c r="K1098" s="2" t="str">
        <f>IF('Base S2'!G98="","",'Base S2'!G98)</f>
        <v>V 44/82</v>
      </c>
      <c r="L1098" s="2">
        <f t="shared" si="221"/>
        <v>1</v>
      </c>
      <c r="M1098" s="2">
        <f t="shared" si="222"/>
        <v>0</v>
      </c>
      <c r="N1098" s="2">
        <f t="shared" si="223"/>
        <v>1</v>
      </c>
      <c r="O1098" s="2">
        <f t="shared" si="224"/>
        <v>0</v>
      </c>
      <c r="P1098" s="112">
        <f t="shared" si="225"/>
        <v>12</v>
      </c>
      <c r="Q1098" s="112">
        <f t="shared" si="226"/>
        <v>0</v>
      </c>
      <c r="R1098" s="53"/>
      <c r="S1098" s="53" t="str">
        <f t="shared" si="227"/>
        <v>Base S2|Floor 82 Parallel - Season 2|197|Floor 82</v>
      </c>
      <c r="T1098" s="57" t="str">
        <f>IF($S1098="","",IFERROR(VLOOKUP($S1098,'Pop Estimates (Non-#d)'!$N$2:$O$500,2,FALSE),""))</f>
        <v/>
      </c>
      <c r="U1098" s="57">
        <f t="shared" si="228"/>
        <v>82</v>
      </c>
      <c r="V1098" s="53" t="str">
        <f t="shared" si="229"/>
        <v/>
      </c>
      <c r="W1098" s="53" t="str">
        <f t="shared" si="230"/>
        <v/>
      </c>
      <c r="X1098" s="53" t="str">
        <f t="shared" si="231"/>
        <v/>
      </c>
      <c r="Y1098" s="57" t="str">
        <f>IF($X1098="","",IFERROR(VLOOKUP($X1098,'Char Popularity'!$A$2:$C$500,2,FALSE),""))</f>
        <v/>
      </c>
      <c r="Z1098" s="56">
        <f>IF($X1098="",1,IFERROR(VLOOKUP($X1098,'Char Popularity'!$A$2:$C$500,3,FALSE),1))</f>
        <v>1</v>
      </c>
      <c r="AA1098" s="62">
        <f>IF($H1098&lt;&gt;"Y",0,(IF($F1098&lt;&gt;"",ROUND(Dashboard!$R$4/$F1098,1),IF(AND($I1098="Base",$E1098="Base"),Dashboard!$R$5,IF(AND($I1098="Base",$E1098="Red"),Dashboard!$R$6,IF(AND($I1098="Base",$E1098="Gold"),Dashboard!$R$7,VLOOKUP($I1098,Dashboard!$Q$16:$R$21,2,FALSE)))))*VLOOKUP($I1098,Dashboard!$Q$9:$R$13,2,FALSE)*IF(AND($I1098="Auto",$F1098="",OR($B1098="Autographs Duals",$B1098="Autographs Triples",$B1098="Autographs Quads",$B1098="Autographs Quads (Inscribed)")),IF($B1098="Autographs Duals",2,IF($B1098="Autographs Triples",3,4)),1)))</f>
        <v>12.2</v>
      </c>
      <c r="AB1098" s="62">
        <f t="shared" si="232"/>
        <v>12.2</v>
      </c>
      <c r="AC1098" s="62">
        <f t="shared" si="233"/>
        <v>0</v>
      </c>
    </row>
    <row r="1099" spans="1:29" ht="28.7" customHeight="1" x14ac:dyDescent="0.25">
      <c r="A1099" s="4" t="s">
        <v>19</v>
      </c>
      <c r="B1099" s="7" t="s">
        <v>79</v>
      </c>
      <c r="C1099" s="2" t="s">
        <v>1597</v>
      </c>
      <c r="D1099" s="7" t="s">
        <v>1197</v>
      </c>
      <c r="E1099" s="4" t="s">
        <v>779</v>
      </c>
      <c r="F1099" s="2">
        <v>82</v>
      </c>
      <c r="G1099" s="2" t="s">
        <v>1399</v>
      </c>
      <c r="H1099" s="2" t="s">
        <v>1400</v>
      </c>
      <c r="I1099" s="4" t="s">
        <v>60</v>
      </c>
      <c r="J1099" s="112">
        <f>IF($H1099&lt;&gt;"Y",0,ROUND(MIN(Dashboard!$R$24,IF(IFERROR(VLOOKUP($B1099,Dashboard!$Q$28:$S$60,2,FALSE),0)&gt;0,IFERROR(VLOOKUP($B1099,Dashboard!$Q$28:$S$60,2,FALSE),0),$Z1099*IF($U1099&lt;&gt;"",ROUND((Dashboard!$R$4/$U1099)*VLOOKUP($I1099,Dashboard!$Q$9:$R$13,2,FALSE)*IF(ISNUMBER(SEARCH("Duals",$B1099)),2,IF(ISNUMBER(SEARCH("Triples",$B1099)),3,IF(ISNUMBER(SEARCH("Quads",$B1099)),4,1))),2),ROUND(VLOOKUP($I1099,Dashboard!$Q$15:$R$20,2,FALSE)*IF($E1099="Red",Dashboard!$R$6,IF($E1099="Gold",Dashboard!$R$7,Dashboard!$R$5))*IF(ISNUMBER(SEARCH("Duals",$B1099)),2,IF(ISNUMBER(SEARCH("Triples",$B1099)),3,IF(ISNUMBER(SEARCH("Quads",$B1099)),4,1))),2))*IF(IFERROR(VLOOKUP($B1099,Dashboard!$Q$28:$S$60,3,FALSE),0)&gt;0,VLOOKUP($B1099,Dashboard!$Q$28:$S$60,3,FALSE),1))),0))</f>
        <v>12</v>
      </c>
      <c r="K1099" s="2" t="str">
        <f>IF('Base S2'!G99="","",'Base S2'!G99)</f>
        <v>V 03/82</v>
      </c>
      <c r="L1099" s="2">
        <f t="shared" si="221"/>
        <v>1</v>
      </c>
      <c r="M1099" s="2">
        <f t="shared" si="222"/>
        <v>0</v>
      </c>
      <c r="N1099" s="2">
        <f t="shared" si="223"/>
        <v>1</v>
      </c>
      <c r="O1099" s="2">
        <f t="shared" si="224"/>
        <v>0</v>
      </c>
      <c r="P1099" s="112">
        <f t="shared" si="225"/>
        <v>12</v>
      </c>
      <c r="Q1099" s="112">
        <f t="shared" si="226"/>
        <v>0</v>
      </c>
      <c r="R1099" s="53"/>
      <c r="S1099" s="53" t="str">
        <f t="shared" si="227"/>
        <v>Base S2|Floor 82 Parallel - Season 2|198|Floor 82</v>
      </c>
      <c r="T1099" s="57" t="str">
        <f>IF($S1099="","",IFERROR(VLOOKUP($S1099,'Pop Estimates (Non-#d)'!$N$2:$O$500,2,FALSE),""))</f>
        <v/>
      </c>
      <c r="U1099" s="57">
        <f t="shared" si="228"/>
        <v>82</v>
      </c>
      <c r="V1099" s="53" t="str">
        <f t="shared" si="229"/>
        <v/>
      </c>
      <c r="W1099" s="53" t="str">
        <f t="shared" si="230"/>
        <v/>
      </c>
      <c r="X1099" s="53" t="str">
        <f t="shared" si="231"/>
        <v/>
      </c>
      <c r="Y1099" s="57" t="str">
        <f>IF($X1099="","",IFERROR(VLOOKUP($X1099,'Char Popularity'!$A$2:$C$500,2,FALSE),""))</f>
        <v/>
      </c>
      <c r="Z1099" s="56">
        <f>IF($X1099="",1,IFERROR(VLOOKUP($X1099,'Char Popularity'!$A$2:$C$500,3,FALSE),1))</f>
        <v>1</v>
      </c>
      <c r="AA1099" s="62">
        <f>IF($H1099&lt;&gt;"Y",0,(IF($F1099&lt;&gt;"",ROUND(Dashboard!$R$4/$F1099,1),IF(AND($I1099="Base",$E1099="Base"),Dashboard!$R$5,IF(AND($I1099="Base",$E1099="Red"),Dashboard!$R$6,IF(AND($I1099="Base",$E1099="Gold"),Dashboard!$R$7,VLOOKUP($I1099,Dashboard!$Q$16:$R$21,2,FALSE)))))*VLOOKUP($I1099,Dashboard!$Q$9:$R$13,2,FALSE)*IF(AND($I1099="Auto",$F1099="",OR($B1099="Autographs Duals",$B1099="Autographs Triples",$B1099="Autographs Quads",$B1099="Autographs Quads (Inscribed)")),IF($B1099="Autographs Duals",2,IF($B1099="Autographs Triples",3,4)),1)))</f>
        <v>12.2</v>
      </c>
      <c r="AB1099" s="62">
        <f t="shared" si="232"/>
        <v>12.2</v>
      </c>
      <c r="AC1099" s="62">
        <f t="shared" si="233"/>
        <v>0</v>
      </c>
    </row>
    <row r="1100" spans="1:29" ht="28.7" customHeight="1" x14ac:dyDescent="0.25">
      <c r="A1100" s="4" t="s">
        <v>19</v>
      </c>
      <c r="B1100" s="7" t="s">
        <v>79</v>
      </c>
      <c r="C1100" s="2" t="s">
        <v>1598</v>
      </c>
      <c r="D1100" s="7" t="s">
        <v>1199</v>
      </c>
      <c r="E1100" s="4" t="s">
        <v>779</v>
      </c>
      <c r="F1100" s="2">
        <v>82</v>
      </c>
      <c r="G1100" s="2" t="s">
        <v>1399</v>
      </c>
      <c r="H1100" s="2" t="s">
        <v>1400</v>
      </c>
      <c r="I1100" s="4" t="s">
        <v>60</v>
      </c>
      <c r="J1100" s="112">
        <f>IF($H1100&lt;&gt;"Y",0,ROUND(MIN(Dashboard!$R$24,IF(IFERROR(VLOOKUP($B1100,Dashboard!$Q$28:$S$60,2,FALSE),0)&gt;0,IFERROR(VLOOKUP($B1100,Dashboard!$Q$28:$S$60,2,FALSE),0),$Z1100*IF($U1100&lt;&gt;"",ROUND((Dashboard!$R$4/$U1100)*VLOOKUP($I1100,Dashboard!$Q$9:$R$13,2,FALSE)*IF(ISNUMBER(SEARCH("Duals",$B1100)),2,IF(ISNUMBER(SEARCH("Triples",$B1100)),3,IF(ISNUMBER(SEARCH("Quads",$B1100)),4,1))),2),ROUND(VLOOKUP($I1100,Dashboard!$Q$15:$R$20,2,FALSE)*IF($E1100="Red",Dashboard!$R$6,IF($E1100="Gold",Dashboard!$R$7,Dashboard!$R$5))*IF(ISNUMBER(SEARCH("Duals",$B1100)),2,IF(ISNUMBER(SEARCH("Triples",$B1100)),3,IF(ISNUMBER(SEARCH("Quads",$B1100)),4,1))),2))*IF(IFERROR(VLOOKUP($B1100,Dashboard!$Q$28:$S$60,3,FALSE),0)&gt;0,VLOOKUP($B1100,Dashboard!$Q$28:$S$60,3,FALSE),1))),0))</f>
        <v>12</v>
      </c>
      <c r="K1100" s="2" t="str">
        <f>IF('Base S2'!G100="","",'Base S2'!G100)</f>
        <v>C 17/82</v>
      </c>
      <c r="L1100" s="2">
        <f t="shared" si="221"/>
        <v>1</v>
      </c>
      <c r="M1100" s="2">
        <f t="shared" si="222"/>
        <v>0</v>
      </c>
      <c r="N1100" s="2">
        <f t="shared" si="223"/>
        <v>1</v>
      </c>
      <c r="O1100" s="2">
        <f t="shared" si="224"/>
        <v>0</v>
      </c>
      <c r="P1100" s="112">
        <f t="shared" si="225"/>
        <v>12</v>
      </c>
      <c r="Q1100" s="112">
        <f t="shared" si="226"/>
        <v>0</v>
      </c>
      <c r="R1100" s="53"/>
      <c r="S1100" s="53" t="str">
        <f t="shared" si="227"/>
        <v>Base S2|Floor 82 Parallel - Season 2|199|Floor 82</v>
      </c>
      <c r="T1100" s="57" t="str">
        <f>IF($S1100="","",IFERROR(VLOOKUP($S1100,'Pop Estimates (Non-#d)'!$N$2:$O$500,2,FALSE),""))</f>
        <v/>
      </c>
      <c r="U1100" s="57">
        <f t="shared" si="228"/>
        <v>82</v>
      </c>
      <c r="V1100" s="53" t="str">
        <f t="shared" si="229"/>
        <v/>
      </c>
      <c r="W1100" s="53" t="str">
        <f t="shared" si="230"/>
        <v/>
      </c>
      <c r="X1100" s="53" t="str">
        <f t="shared" si="231"/>
        <v/>
      </c>
      <c r="Y1100" s="57" t="str">
        <f>IF($X1100="","",IFERROR(VLOOKUP($X1100,'Char Popularity'!$A$2:$C$500,2,FALSE),""))</f>
        <v/>
      </c>
      <c r="Z1100" s="56">
        <f>IF($X1100="",1,IFERROR(VLOOKUP($X1100,'Char Popularity'!$A$2:$C$500,3,FALSE),1))</f>
        <v>1</v>
      </c>
      <c r="AA1100" s="62">
        <f>IF($H1100&lt;&gt;"Y",0,(IF($F1100&lt;&gt;"",ROUND(Dashboard!$R$4/$F1100,1),IF(AND($I1100="Base",$E1100="Base"),Dashboard!$R$5,IF(AND($I1100="Base",$E1100="Red"),Dashboard!$R$6,IF(AND($I1100="Base",$E1100="Gold"),Dashboard!$R$7,VLOOKUP($I1100,Dashboard!$Q$16:$R$21,2,FALSE)))))*VLOOKUP($I1100,Dashboard!$Q$9:$R$13,2,FALSE)*IF(AND($I1100="Auto",$F1100="",OR($B1100="Autographs Duals",$B1100="Autographs Triples",$B1100="Autographs Quads",$B1100="Autographs Quads (Inscribed)")),IF($B1100="Autographs Duals",2,IF($B1100="Autographs Triples",3,4)),1)))</f>
        <v>12.2</v>
      </c>
      <c r="AB1100" s="62">
        <f t="shared" si="232"/>
        <v>12.2</v>
      </c>
      <c r="AC1100" s="62">
        <f t="shared" si="233"/>
        <v>0</v>
      </c>
    </row>
    <row r="1101" spans="1:29" ht="28.7" customHeight="1" x14ac:dyDescent="0.25">
      <c r="A1101" s="4" t="s">
        <v>19</v>
      </c>
      <c r="B1101" s="7" t="s">
        <v>79</v>
      </c>
      <c r="C1101" s="2" t="s">
        <v>1599</v>
      </c>
      <c r="D1101" s="7" t="s">
        <v>1201</v>
      </c>
      <c r="E1101" s="4" t="s">
        <v>779</v>
      </c>
      <c r="F1101" s="2">
        <v>82</v>
      </c>
      <c r="G1101" s="2" t="s">
        <v>1399</v>
      </c>
      <c r="H1101" s="2" t="s">
        <v>1400</v>
      </c>
      <c r="I1101" s="4" t="s">
        <v>60</v>
      </c>
      <c r="J1101" s="112">
        <f>IF($H1101&lt;&gt;"Y",0,ROUND(MIN(Dashboard!$R$24,IF(IFERROR(VLOOKUP($B1101,Dashboard!$Q$28:$S$60,2,FALSE),0)&gt;0,IFERROR(VLOOKUP($B1101,Dashboard!$Q$28:$S$60,2,FALSE),0),$Z1101*IF($U1101&lt;&gt;"",ROUND((Dashboard!$R$4/$U1101)*VLOOKUP($I1101,Dashboard!$Q$9:$R$13,2,FALSE)*IF(ISNUMBER(SEARCH("Duals",$B1101)),2,IF(ISNUMBER(SEARCH("Triples",$B1101)),3,IF(ISNUMBER(SEARCH("Quads",$B1101)),4,1))),2),ROUND(VLOOKUP($I1101,Dashboard!$Q$15:$R$20,2,FALSE)*IF($E1101="Red",Dashboard!$R$6,IF($E1101="Gold",Dashboard!$R$7,Dashboard!$R$5))*IF(ISNUMBER(SEARCH("Duals",$B1101)),2,IF(ISNUMBER(SEARCH("Triples",$B1101)),3,IF(ISNUMBER(SEARCH("Quads",$B1101)),4,1))),2))*IF(IFERROR(VLOOKUP($B1101,Dashboard!$Q$28:$S$60,3,FALSE),0)&gt;0,VLOOKUP($B1101,Dashboard!$Q$28:$S$60,3,FALSE),1))),0))</f>
        <v>12</v>
      </c>
      <c r="K1101" s="2" t="str">
        <f>IF('Base S2'!G101="","",'Base S2'!G101)</f>
        <v>V 14/82</v>
      </c>
      <c r="L1101" s="2">
        <f t="shared" si="221"/>
        <v>1</v>
      </c>
      <c r="M1101" s="2">
        <f t="shared" si="222"/>
        <v>0</v>
      </c>
      <c r="N1101" s="2">
        <f t="shared" si="223"/>
        <v>1</v>
      </c>
      <c r="O1101" s="2">
        <f t="shared" si="224"/>
        <v>0</v>
      </c>
      <c r="P1101" s="112">
        <f t="shared" si="225"/>
        <v>12</v>
      </c>
      <c r="Q1101" s="112">
        <f t="shared" si="226"/>
        <v>0</v>
      </c>
      <c r="R1101" s="53"/>
      <c r="S1101" s="53" t="str">
        <f t="shared" si="227"/>
        <v>Base S2|Floor 82 Parallel - Season 2|200|Floor 82</v>
      </c>
      <c r="T1101" s="57" t="str">
        <f>IF($S1101="","",IFERROR(VLOOKUP($S1101,'Pop Estimates (Non-#d)'!$N$2:$O$500,2,FALSE),""))</f>
        <v/>
      </c>
      <c r="U1101" s="57">
        <f t="shared" si="228"/>
        <v>82</v>
      </c>
      <c r="V1101" s="53" t="str">
        <f t="shared" si="229"/>
        <v/>
      </c>
      <c r="W1101" s="53" t="str">
        <f t="shared" si="230"/>
        <v/>
      </c>
      <c r="X1101" s="53" t="str">
        <f t="shared" si="231"/>
        <v/>
      </c>
      <c r="Y1101" s="57" t="str">
        <f>IF($X1101="","",IFERROR(VLOOKUP($X1101,'Char Popularity'!$A$2:$C$500,2,FALSE),""))</f>
        <v/>
      </c>
      <c r="Z1101" s="56">
        <f>IF($X1101="",1,IFERROR(VLOOKUP($X1101,'Char Popularity'!$A$2:$C$500,3,FALSE),1))</f>
        <v>1</v>
      </c>
      <c r="AA1101" s="62">
        <f>IF($H1101&lt;&gt;"Y",0,(IF($F1101&lt;&gt;"",ROUND(Dashboard!$R$4/$F1101,1),IF(AND($I1101="Base",$E1101="Base"),Dashboard!$R$5,IF(AND($I1101="Base",$E1101="Red"),Dashboard!$R$6,IF(AND($I1101="Base",$E1101="Gold"),Dashboard!$R$7,VLOOKUP($I1101,Dashboard!$Q$16:$R$21,2,FALSE)))))*VLOOKUP($I1101,Dashboard!$Q$9:$R$13,2,FALSE)*IF(AND($I1101="Auto",$F1101="",OR($B1101="Autographs Duals",$B1101="Autographs Triples",$B1101="Autographs Quads",$B1101="Autographs Quads (Inscribed)")),IF($B1101="Autographs Duals",2,IF($B1101="Autographs Triples",3,4)),1)))</f>
        <v>12.2</v>
      </c>
      <c r="AB1101" s="62">
        <f t="shared" si="232"/>
        <v>12.2</v>
      </c>
      <c r="AC1101" s="62">
        <f t="shared" si="233"/>
        <v>0</v>
      </c>
    </row>
    <row r="1102" spans="1:29" ht="42.95" customHeight="1" x14ac:dyDescent="0.25">
      <c r="A1102" s="4" t="s">
        <v>19</v>
      </c>
      <c r="B1102" s="7" t="s">
        <v>793</v>
      </c>
      <c r="C1102" s="2" t="s">
        <v>1500</v>
      </c>
      <c r="D1102" s="7" t="s">
        <v>1043</v>
      </c>
      <c r="E1102" s="4" t="s">
        <v>829</v>
      </c>
      <c r="F1102" s="2">
        <v>4</v>
      </c>
      <c r="G1102" s="2" t="s">
        <v>1400</v>
      </c>
      <c r="H1102" s="2" t="s">
        <v>1399</v>
      </c>
      <c r="I1102" s="4" t="s">
        <v>60</v>
      </c>
      <c r="J1102" s="112">
        <f>IF($H1102&lt;&gt;"Y",0,ROUND(MIN(Dashboard!$R$24,IF(IFERROR(VLOOKUP($B1102,Dashboard!$Q$28:$S$60,2,FALSE),0)&gt;0,IFERROR(VLOOKUP($B1102,Dashboard!$Q$28:$S$60,2,FALSE),0),$Z1102*IF($U1102&lt;&gt;"",ROUND((Dashboard!$R$4/$U1102)*VLOOKUP($I1102,Dashboard!$Q$9:$R$13,2,FALSE)*IF(ISNUMBER(SEARCH("Duals",$B1102)),2,IF(ISNUMBER(SEARCH("Triples",$B1102)),3,IF(ISNUMBER(SEARCH("Quads",$B1102)),4,1))),2),ROUND(VLOOKUP($I1102,Dashboard!$Q$15:$R$20,2,FALSE)*IF($E1102="Red",Dashboard!$R$6,IF($E1102="Gold",Dashboard!$R$7,Dashboard!$R$5))*IF(ISNUMBER(SEARCH("Duals",$B1102)),2,IF(ISNUMBER(SEARCH("Triples",$B1102)),3,IF(ISNUMBER(SEARCH("Quads",$B1102)),4,1))),2))*IF(IFERROR(VLOOKUP($B1102,Dashboard!$Q$28:$S$60,3,FALSE),0)&gt;0,VLOOKUP($B1102,Dashboard!$Q$28:$S$60,3,FALSE),1))),0))</f>
        <v>0</v>
      </c>
      <c r="K1102" s="2" t="str">
        <f>IF('Base S2'!J2="","",'Base S2'!J2)</f>
        <v/>
      </c>
      <c r="L1102" s="2">
        <f t="shared" si="221"/>
        <v>0</v>
      </c>
      <c r="M1102" s="2">
        <f t="shared" si="222"/>
        <v>0</v>
      </c>
      <c r="N1102" s="2">
        <f t="shared" si="223"/>
        <v>0</v>
      </c>
      <c r="O1102" s="2">
        <f t="shared" si="224"/>
        <v>0</v>
      </c>
      <c r="P1102" s="112">
        <f t="shared" si="225"/>
        <v>0</v>
      </c>
      <c r="Q1102" s="112">
        <f t="shared" si="226"/>
        <v>0</v>
      </c>
      <c r="R1102" s="53"/>
      <c r="S1102" s="53" t="str">
        <f t="shared" si="227"/>
        <v>Base S2|Printing Plates Parallel - Season 2|101|Printing Plate</v>
      </c>
      <c r="T1102" s="57" t="str">
        <f>IF($S1102="","",IFERROR(VLOOKUP($S1102,'Pop Estimates (Non-#d)'!$N$2:$O$500,2,FALSE),""))</f>
        <v/>
      </c>
      <c r="U1102" s="57">
        <f t="shared" si="228"/>
        <v>4</v>
      </c>
      <c r="V1102" s="53" t="str">
        <f t="shared" si="229"/>
        <v/>
      </c>
      <c r="W1102" s="53" t="str">
        <f t="shared" si="230"/>
        <v/>
      </c>
      <c r="X1102" s="53" t="str">
        <f t="shared" si="231"/>
        <v/>
      </c>
      <c r="Y1102" s="57" t="str">
        <f>IF($X1102="","",IFERROR(VLOOKUP($X1102,'Char Popularity'!$A$2:$C$500,2,FALSE),""))</f>
        <v/>
      </c>
      <c r="Z1102" s="56">
        <f>IF($X1102="",1,IFERROR(VLOOKUP($X1102,'Char Popularity'!$A$2:$C$500,3,FALSE),1))</f>
        <v>1</v>
      </c>
      <c r="AA1102" s="62">
        <f>IF($H1102&lt;&gt;"Y",0,(IF($F1102&lt;&gt;"",ROUND(Dashboard!$R$4/$F1102,1),IF(AND($I1102="Base",$E1102="Base"),Dashboard!$R$5,IF(AND($I1102="Base",$E1102="Red"),Dashboard!$R$6,IF(AND($I1102="Base",$E1102="Gold"),Dashboard!$R$7,VLOOKUP($I1102,Dashboard!$Q$16:$R$21,2,FALSE)))))*VLOOKUP($I1102,Dashboard!$Q$9:$R$13,2,FALSE)*IF(AND($I1102="Auto",$F1102="",OR($B1102="Autographs Duals",$B1102="Autographs Triples",$B1102="Autographs Quads",$B1102="Autographs Quads (Inscribed)")),IF($B1102="Autographs Duals",2,IF($B1102="Autographs Triples",3,4)),1)))</f>
        <v>0</v>
      </c>
      <c r="AB1102" s="62">
        <f t="shared" si="232"/>
        <v>0</v>
      </c>
      <c r="AC1102" s="62">
        <f t="shared" si="233"/>
        <v>0</v>
      </c>
    </row>
    <row r="1103" spans="1:29" ht="42.95" customHeight="1" x14ac:dyDescent="0.25">
      <c r="A1103" s="4" t="s">
        <v>19</v>
      </c>
      <c r="B1103" s="7" t="s">
        <v>793</v>
      </c>
      <c r="C1103" s="2" t="s">
        <v>1501</v>
      </c>
      <c r="D1103" s="7" t="s">
        <v>1045</v>
      </c>
      <c r="E1103" s="4" t="s">
        <v>829</v>
      </c>
      <c r="F1103" s="2">
        <v>4</v>
      </c>
      <c r="G1103" s="2" t="s">
        <v>1400</v>
      </c>
      <c r="H1103" s="2" t="s">
        <v>1399</v>
      </c>
      <c r="I1103" s="4" t="s">
        <v>60</v>
      </c>
      <c r="J1103" s="112">
        <f>IF($H1103&lt;&gt;"Y",0,ROUND(MIN(Dashboard!$R$24,IF(IFERROR(VLOOKUP($B1103,Dashboard!$Q$28:$S$60,2,FALSE),0)&gt;0,IFERROR(VLOOKUP($B1103,Dashboard!$Q$28:$S$60,2,FALSE),0),$Z1103*IF($U1103&lt;&gt;"",ROUND((Dashboard!$R$4/$U1103)*VLOOKUP($I1103,Dashboard!$Q$9:$R$13,2,FALSE)*IF(ISNUMBER(SEARCH("Duals",$B1103)),2,IF(ISNUMBER(SEARCH("Triples",$B1103)),3,IF(ISNUMBER(SEARCH("Quads",$B1103)),4,1))),2),ROUND(VLOOKUP($I1103,Dashboard!$Q$15:$R$20,2,FALSE)*IF($E1103="Red",Dashboard!$R$6,IF($E1103="Gold",Dashboard!$R$7,Dashboard!$R$5))*IF(ISNUMBER(SEARCH("Duals",$B1103)),2,IF(ISNUMBER(SEARCH("Triples",$B1103)),3,IF(ISNUMBER(SEARCH("Quads",$B1103)),4,1))),2))*IF(IFERROR(VLOOKUP($B1103,Dashboard!$Q$28:$S$60,3,FALSE),0)&gt;0,VLOOKUP($B1103,Dashboard!$Q$28:$S$60,3,FALSE),1))),0))</f>
        <v>0</v>
      </c>
      <c r="K1103" s="2" t="str">
        <f>IF('Base S2'!J3="","",'Base S2'!J3)</f>
        <v/>
      </c>
      <c r="L1103" s="2">
        <f t="shared" si="221"/>
        <v>0</v>
      </c>
      <c r="M1103" s="2">
        <f t="shared" si="222"/>
        <v>0</v>
      </c>
      <c r="N1103" s="2">
        <f t="shared" si="223"/>
        <v>0</v>
      </c>
      <c r="O1103" s="2">
        <f t="shared" si="224"/>
        <v>0</v>
      </c>
      <c r="P1103" s="112">
        <f t="shared" si="225"/>
        <v>0</v>
      </c>
      <c r="Q1103" s="112">
        <f t="shared" si="226"/>
        <v>0</v>
      </c>
      <c r="R1103" s="53"/>
      <c r="S1103" s="53" t="str">
        <f t="shared" si="227"/>
        <v>Base S2|Printing Plates Parallel - Season 2|102|Printing Plate</v>
      </c>
      <c r="T1103" s="57" t="str">
        <f>IF($S1103="","",IFERROR(VLOOKUP($S1103,'Pop Estimates (Non-#d)'!$N$2:$O$500,2,FALSE),""))</f>
        <v/>
      </c>
      <c r="U1103" s="57">
        <f t="shared" si="228"/>
        <v>4</v>
      </c>
      <c r="V1103" s="53" t="str">
        <f t="shared" si="229"/>
        <v/>
      </c>
      <c r="W1103" s="53" t="str">
        <f t="shared" si="230"/>
        <v/>
      </c>
      <c r="X1103" s="53" t="str">
        <f t="shared" si="231"/>
        <v/>
      </c>
      <c r="Y1103" s="57" t="str">
        <f>IF($X1103="","",IFERROR(VLOOKUP($X1103,'Char Popularity'!$A$2:$C$500,2,FALSE),""))</f>
        <v/>
      </c>
      <c r="Z1103" s="56">
        <f>IF($X1103="",1,IFERROR(VLOOKUP($X1103,'Char Popularity'!$A$2:$C$500,3,FALSE),1))</f>
        <v>1</v>
      </c>
      <c r="AA1103" s="62">
        <f>IF($H1103&lt;&gt;"Y",0,(IF($F1103&lt;&gt;"",ROUND(Dashboard!$R$4/$F1103,1),IF(AND($I1103="Base",$E1103="Base"),Dashboard!$R$5,IF(AND($I1103="Base",$E1103="Red"),Dashboard!$R$6,IF(AND($I1103="Base",$E1103="Gold"),Dashboard!$R$7,VLOOKUP($I1103,Dashboard!$Q$16:$R$21,2,FALSE)))))*VLOOKUP($I1103,Dashboard!$Q$9:$R$13,2,FALSE)*IF(AND($I1103="Auto",$F1103="",OR($B1103="Autographs Duals",$B1103="Autographs Triples",$B1103="Autographs Quads",$B1103="Autographs Quads (Inscribed)")),IF($B1103="Autographs Duals",2,IF($B1103="Autographs Triples",3,4)),1)))</f>
        <v>0</v>
      </c>
      <c r="AB1103" s="62">
        <f t="shared" si="232"/>
        <v>0</v>
      </c>
      <c r="AC1103" s="62">
        <f t="shared" si="233"/>
        <v>0</v>
      </c>
    </row>
    <row r="1104" spans="1:29" ht="42.95" customHeight="1" x14ac:dyDescent="0.25">
      <c r="A1104" s="4" t="s">
        <v>19</v>
      </c>
      <c r="B1104" s="7" t="s">
        <v>793</v>
      </c>
      <c r="C1104" s="2" t="s">
        <v>1502</v>
      </c>
      <c r="D1104" s="7" t="s">
        <v>1047</v>
      </c>
      <c r="E1104" s="4" t="s">
        <v>829</v>
      </c>
      <c r="F1104" s="2">
        <v>4</v>
      </c>
      <c r="G1104" s="2" t="s">
        <v>1400</v>
      </c>
      <c r="H1104" s="2" t="s">
        <v>1399</v>
      </c>
      <c r="I1104" s="4" t="s">
        <v>60</v>
      </c>
      <c r="J1104" s="112">
        <f>IF($H1104&lt;&gt;"Y",0,ROUND(MIN(Dashboard!$R$24,IF(IFERROR(VLOOKUP($B1104,Dashboard!$Q$28:$S$60,2,FALSE),0)&gt;0,IFERROR(VLOOKUP($B1104,Dashboard!$Q$28:$S$60,2,FALSE),0),$Z1104*IF($U1104&lt;&gt;"",ROUND((Dashboard!$R$4/$U1104)*VLOOKUP($I1104,Dashboard!$Q$9:$R$13,2,FALSE)*IF(ISNUMBER(SEARCH("Duals",$B1104)),2,IF(ISNUMBER(SEARCH("Triples",$B1104)),3,IF(ISNUMBER(SEARCH("Quads",$B1104)),4,1))),2),ROUND(VLOOKUP($I1104,Dashboard!$Q$15:$R$20,2,FALSE)*IF($E1104="Red",Dashboard!$R$6,IF($E1104="Gold",Dashboard!$R$7,Dashboard!$R$5))*IF(ISNUMBER(SEARCH("Duals",$B1104)),2,IF(ISNUMBER(SEARCH("Triples",$B1104)),3,IF(ISNUMBER(SEARCH("Quads",$B1104)),4,1))),2))*IF(IFERROR(VLOOKUP($B1104,Dashboard!$Q$28:$S$60,3,FALSE),0)&gt;0,VLOOKUP($B1104,Dashboard!$Q$28:$S$60,3,FALSE),1))),0))</f>
        <v>0</v>
      </c>
      <c r="K1104" s="2" t="str">
        <f>IF('Base S2'!J4="","",'Base S2'!J4)</f>
        <v/>
      </c>
      <c r="L1104" s="2">
        <f t="shared" si="221"/>
        <v>0</v>
      </c>
      <c r="M1104" s="2">
        <f t="shared" si="222"/>
        <v>0</v>
      </c>
      <c r="N1104" s="2">
        <f t="shared" si="223"/>
        <v>0</v>
      </c>
      <c r="O1104" s="2">
        <f t="shared" si="224"/>
        <v>0</v>
      </c>
      <c r="P1104" s="112">
        <f t="shared" si="225"/>
        <v>0</v>
      </c>
      <c r="Q1104" s="112">
        <f t="shared" si="226"/>
        <v>0</v>
      </c>
      <c r="R1104" s="53"/>
      <c r="S1104" s="53" t="str">
        <f t="shared" si="227"/>
        <v>Base S2|Printing Plates Parallel - Season 2|103|Printing Plate</v>
      </c>
      <c r="T1104" s="57" t="str">
        <f>IF($S1104="","",IFERROR(VLOOKUP($S1104,'Pop Estimates (Non-#d)'!$N$2:$O$500,2,FALSE),""))</f>
        <v/>
      </c>
      <c r="U1104" s="57">
        <f t="shared" si="228"/>
        <v>4</v>
      </c>
      <c r="V1104" s="53" t="str">
        <f t="shared" si="229"/>
        <v/>
      </c>
      <c r="W1104" s="53" t="str">
        <f t="shared" si="230"/>
        <v/>
      </c>
      <c r="X1104" s="53" t="str">
        <f t="shared" si="231"/>
        <v/>
      </c>
      <c r="Y1104" s="57" t="str">
        <f>IF($X1104="","",IFERROR(VLOOKUP($X1104,'Char Popularity'!$A$2:$C$500,2,FALSE),""))</f>
        <v/>
      </c>
      <c r="Z1104" s="56">
        <f>IF($X1104="",1,IFERROR(VLOOKUP($X1104,'Char Popularity'!$A$2:$C$500,3,FALSE),1))</f>
        <v>1</v>
      </c>
      <c r="AA1104" s="62">
        <f>IF($H1104&lt;&gt;"Y",0,(IF($F1104&lt;&gt;"",ROUND(Dashboard!$R$4/$F1104,1),IF(AND($I1104="Base",$E1104="Base"),Dashboard!$R$5,IF(AND($I1104="Base",$E1104="Red"),Dashboard!$R$6,IF(AND($I1104="Base",$E1104="Gold"),Dashboard!$R$7,VLOOKUP($I1104,Dashboard!$Q$16:$R$21,2,FALSE)))))*VLOOKUP($I1104,Dashboard!$Q$9:$R$13,2,FALSE)*IF(AND($I1104="Auto",$F1104="",OR($B1104="Autographs Duals",$B1104="Autographs Triples",$B1104="Autographs Quads",$B1104="Autographs Quads (Inscribed)")),IF($B1104="Autographs Duals",2,IF($B1104="Autographs Triples",3,4)),1)))</f>
        <v>0</v>
      </c>
      <c r="AB1104" s="62">
        <f t="shared" si="232"/>
        <v>0</v>
      </c>
      <c r="AC1104" s="62">
        <f t="shared" si="233"/>
        <v>0</v>
      </c>
    </row>
    <row r="1105" spans="1:29" ht="42.95" customHeight="1" x14ac:dyDescent="0.25">
      <c r="A1105" s="4" t="s">
        <v>19</v>
      </c>
      <c r="B1105" s="7" t="s">
        <v>793</v>
      </c>
      <c r="C1105" s="2" t="s">
        <v>1503</v>
      </c>
      <c r="D1105" s="7" t="s">
        <v>1048</v>
      </c>
      <c r="E1105" s="4" t="s">
        <v>829</v>
      </c>
      <c r="F1105" s="2">
        <v>4</v>
      </c>
      <c r="G1105" s="2" t="s">
        <v>1400</v>
      </c>
      <c r="H1105" s="2" t="s">
        <v>1399</v>
      </c>
      <c r="I1105" s="4" t="s">
        <v>60</v>
      </c>
      <c r="J1105" s="112">
        <f>IF($H1105&lt;&gt;"Y",0,ROUND(MIN(Dashboard!$R$24,IF(IFERROR(VLOOKUP($B1105,Dashboard!$Q$28:$S$60,2,FALSE),0)&gt;0,IFERROR(VLOOKUP($B1105,Dashboard!$Q$28:$S$60,2,FALSE),0),$Z1105*IF($U1105&lt;&gt;"",ROUND((Dashboard!$R$4/$U1105)*VLOOKUP($I1105,Dashboard!$Q$9:$R$13,2,FALSE)*IF(ISNUMBER(SEARCH("Duals",$B1105)),2,IF(ISNUMBER(SEARCH("Triples",$B1105)),3,IF(ISNUMBER(SEARCH("Quads",$B1105)),4,1))),2),ROUND(VLOOKUP($I1105,Dashboard!$Q$15:$R$20,2,FALSE)*IF($E1105="Red",Dashboard!$R$6,IF($E1105="Gold",Dashboard!$R$7,Dashboard!$R$5))*IF(ISNUMBER(SEARCH("Duals",$B1105)),2,IF(ISNUMBER(SEARCH("Triples",$B1105)),3,IF(ISNUMBER(SEARCH("Quads",$B1105)),4,1))),2))*IF(IFERROR(VLOOKUP($B1105,Dashboard!$Q$28:$S$60,3,FALSE),0)&gt;0,VLOOKUP($B1105,Dashboard!$Q$28:$S$60,3,FALSE),1))),0))</f>
        <v>0</v>
      </c>
      <c r="K1105" s="2" t="str">
        <f>IF('Base S2'!J5="","",'Base S2'!J5)</f>
        <v/>
      </c>
      <c r="L1105" s="2">
        <f t="shared" si="221"/>
        <v>0</v>
      </c>
      <c r="M1105" s="2">
        <f t="shared" si="222"/>
        <v>0</v>
      </c>
      <c r="N1105" s="2">
        <f t="shared" si="223"/>
        <v>0</v>
      </c>
      <c r="O1105" s="2">
        <f t="shared" si="224"/>
        <v>0</v>
      </c>
      <c r="P1105" s="112">
        <f t="shared" si="225"/>
        <v>0</v>
      </c>
      <c r="Q1105" s="112">
        <f t="shared" si="226"/>
        <v>0</v>
      </c>
      <c r="R1105" s="53"/>
      <c r="S1105" s="53" t="str">
        <f t="shared" si="227"/>
        <v>Base S2|Printing Plates Parallel - Season 2|104|Printing Plate</v>
      </c>
      <c r="T1105" s="57" t="str">
        <f>IF($S1105="","",IFERROR(VLOOKUP($S1105,'Pop Estimates (Non-#d)'!$N$2:$O$500,2,FALSE),""))</f>
        <v/>
      </c>
      <c r="U1105" s="57">
        <f t="shared" si="228"/>
        <v>4</v>
      </c>
      <c r="V1105" s="53" t="str">
        <f t="shared" si="229"/>
        <v/>
      </c>
      <c r="W1105" s="53" t="str">
        <f t="shared" si="230"/>
        <v/>
      </c>
      <c r="X1105" s="53" t="str">
        <f t="shared" si="231"/>
        <v/>
      </c>
      <c r="Y1105" s="57" t="str">
        <f>IF($X1105="","",IFERROR(VLOOKUP($X1105,'Char Popularity'!$A$2:$C$500,2,FALSE),""))</f>
        <v/>
      </c>
      <c r="Z1105" s="56">
        <f>IF($X1105="",1,IFERROR(VLOOKUP($X1105,'Char Popularity'!$A$2:$C$500,3,FALSE),1))</f>
        <v>1</v>
      </c>
      <c r="AA1105" s="62">
        <f>IF($H1105&lt;&gt;"Y",0,(IF($F1105&lt;&gt;"",ROUND(Dashboard!$R$4/$F1105,1),IF(AND($I1105="Base",$E1105="Base"),Dashboard!$R$5,IF(AND($I1105="Base",$E1105="Red"),Dashboard!$R$6,IF(AND($I1105="Base",$E1105="Gold"),Dashboard!$R$7,VLOOKUP($I1105,Dashboard!$Q$16:$R$21,2,FALSE)))))*VLOOKUP($I1105,Dashboard!$Q$9:$R$13,2,FALSE)*IF(AND($I1105="Auto",$F1105="",OR($B1105="Autographs Duals",$B1105="Autographs Triples",$B1105="Autographs Quads",$B1105="Autographs Quads (Inscribed)")),IF($B1105="Autographs Duals",2,IF($B1105="Autographs Triples",3,4)),1)))</f>
        <v>0</v>
      </c>
      <c r="AB1105" s="62">
        <f t="shared" si="232"/>
        <v>0</v>
      </c>
      <c r="AC1105" s="62">
        <f t="shared" si="233"/>
        <v>0</v>
      </c>
    </row>
    <row r="1106" spans="1:29" ht="42.95" customHeight="1" x14ac:dyDescent="0.25">
      <c r="A1106" s="4" t="s">
        <v>19</v>
      </c>
      <c r="B1106" s="7" t="s">
        <v>793</v>
      </c>
      <c r="C1106" s="2" t="s">
        <v>1504</v>
      </c>
      <c r="D1106" s="7" t="s">
        <v>1049</v>
      </c>
      <c r="E1106" s="4" t="s">
        <v>829</v>
      </c>
      <c r="F1106" s="2">
        <v>4</v>
      </c>
      <c r="G1106" s="2" t="s">
        <v>1400</v>
      </c>
      <c r="H1106" s="2" t="s">
        <v>1399</v>
      </c>
      <c r="I1106" s="4" t="s">
        <v>60</v>
      </c>
      <c r="J1106" s="112">
        <f>IF($H1106&lt;&gt;"Y",0,ROUND(MIN(Dashboard!$R$24,IF(IFERROR(VLOOKUP($B1106,Dashboard!$Q$28:$S$60,2,FALSE),0)&gt;0,IFERROR(VLOOKUP($B1106,Dashboard!$Q$28:$S$60,2,FALSE),0),$Z1106*IF($U1106&lt;&gt;"",ROUND((Dashboard!$R$4/$U1106)*VLOOKUP($I1106,Dashboard!$Q$9:$R$13,2,FALSE)*IF(ISNUMBER(SEARCH("Duals",$B1106)),2,IF(ISNUMBER(SEARCH("Triples",$B1106)),3,IF(ISNUMBER(SEARCH("Quads",$B1106)),4,1))),2),ROUND(VLOOKUP($I1106,Dashboard!$Q$15:$R$20,2,FALSE)*IF($E1106="Red",Dashboard!$R$6,IF($E1106="Gold",Dashboard!$R$7,Dashboard!$R$5))*IF(ISNUMBER(SEARCH("Duals",$B1106)),2,IF(ISNUMBER(SEARCH("Triples",$B1106)),3,IF(ISNUMBER(SEARCH("Quads",$B1106)),4,1))),2))*IF(IFERROR(VLOOKUP($B1106,Dashboard!$Q$28:$S$60,3,FALSE),0)&gt;0,VLOOKUP($B1106,Dashboard!$Q$28:$S$60,3,FALSE),1))),0))</f>
        <v>0</v>
      </c>
      <c r="K1106" s="2" t="str">
        <f>IF('Base S2'!J6="","",'Base S2'!J6)</f>
        <v/>
      </c>
      <c r="L1106" s="2">
        <f t="shared" si="221"/>
        <v>0</v>
      </c>
      <c r="M1106" s="2">
        <f t="shared" si="222"/>
        <v>0</v>
      </c>
      <c r="N1106" s="2">
        <f t="shared" si="223"/>
        <v>0</v>
      </c>
      <c r="O1106" s="2">
        <f t="shared" si="224"/>
        <v>0</v>
      </c>
      <c r="P1106" s="112">
        <f t="shared" si="225"/>
        <v>0</v>
      </c>
      <c r="Q1106" s="112">
        <f t="shared" si="226"/>
        <v>0</v>
      </c>
      <c r="R1106" s="53"/>
      <c r="S1106" s="53" t="str">
        <f t="shared" si="227"/>
        <v>Base S2|Printing Plates Parallel - Season 2|105|Printing Plate</v>
      </c>
      <c r="T1106" s="57" t="str">
        <f>IF($S1106="","",IFERROR(VLOOKUP($S1106,'Pop Estimates (Non-#d)'!$N$2:$O$500,2,FALSE),""))</f>
        <v/>
      </c>
      <c r="U1106" s="57">
        <f t="shared" si="228"/>
        <v>4</v>
      </c>
      <c r="V1106" s="53" t="str">
        <f t="shared" si="229"/>
        <v/>
      </c>
      <c r="W1106" s="53" t="str">
        <f t="shared" si="230"/>
        <v/>
      </c>
      <c r="X1106" s="53" t="str">
        <f t="shared" si="231"/>
        <v/>
      </c>
      <c r="Y1106" s="57" t="str">
        <f>IF($X1106="","",IFERROR(VLOOKUP($X1106,'Char Popularity'!$A$2:$C$500,2,FALSE),""))</f>
        <v/>
      </c>
      <c r="Z1106" s="56">
        <f>IF($X1106="",1,IFERROR(VLOOKUP($X1106,'Char Popularity'!$A$2:$C$500,3,FALSE),1))</f>
        <v>1</v>
      </c>
      <c r="AA1106" s="62">
        <f>IF($H1106&lt;&gt;"Y",0,(IF($F1106&lt;&gt;"",ROUND(Dashboard!$R$4/$F1106,1),IF(AND($I1106="Base",$E1106="Base"),Dashboard!$R$5,IF(AND($I1106="Base",$E1106="Red"),Dashboard!$R$6,IF(AND($I1106="Base",$E1106="Gold"),Dashboard!$R$7,VLOOKUP($I1106,Dashboard!$Q$16:$R$21,2,FALSE)))))*VLOOKUP($I1106,Dashboard!$Q$9:$R$13,2,FALSE)*IF(AND($I1106="Auto",$F1106="",OR($B1106="Autographs Duals",$B1106="Autographs Triples",$B1106="Autographs Quads",$B1106="Autographs Quads (Inscribed)")),IF($B1106="Autographs Duals",2,IF($B1106="Autographs Triples",3,4)),1)))</f>
        <v>0</v>
      </c>
      <c r="AB1106" s="62">
        <f t="shared" si="232"/>
        <v>0</v>
      </c>
      <c r="AC1106" s="62">
        <f t="shared" si="233"/>
        <v>0</v>
      </c>
    </row>
    <row r="1107" spans="1:29" ht="42.95" customHeight="1" x14ac:dyDescent="0.25">
      <c r="A1107" s="4" t="s">
        <v>19</v>
      </c>
      <c r="B1107" s="7" t="s">
        <v>793</v>
      </c>
      <c r="C1107" s="2" t="s">
        <v>1505</v>
      </c>
      <c r="D1107" s="7" t="s">
        <v>1050</v>
      </c>
      <c r="E1107" s="4" t="s">
        <v>829</v>
      </c>
      <c r="F1107" s="2">
        <v>4</v>
      </c>
      <c r="G1107" s="2" t="s">
        <v>1400</v>
      </c>
      <c r="H1107" s="2" t="s">
        <v>1399</v>
      </c>
      <c r="I1107" s="4" t="s">
        <v>60</v>
      </c>
      <c r="J1107" s="112">
        <f>IF($H1107&lt;&gt;"Y",0,ROUND(MIN(Dashboard!$R$24,IF(IFERROR(VLOOKUP($B1107,Dashboard!$Q$28:$S$60,2,FALSE),0)&gt;0,IFERROR(VLOOKUP($B1107,Dashboard!$Q$28:$S$60,2,FALSE),0),$Z1107*IF($U1107&lt;&gt;"",ROUND((Dashboard!$R$4/$U1107)*VLOOKUP($I1107,Dashboard!$Q$9:$R$13,2,FALSE)*IF(ISNUMBER(SEARCH("Duals",$B1107)),2,IF(ISNUMBER(SEARCH("Triples",$B1107)),3,IF(ISNUMBER(SEARCH("Quads",$B1107)),4,1))),2),ROUND(VLOOKUP($I1107,Dashboard!$Q$15:$R$20,2,FALSE)*IF($E1107="Red",Dashboard!$R$6,IF($E1107="Gold",Dashboard!$R$7,Dashboard!$R$5))*IF(ISNUMBER(SEARCH("Duals",$B1107)),2,IF(ISNUMBER(SEARCH("Triples",$B1107)),3,IF(ISNUMBER(SEARCH("Quads",$B1107)),4,1))),2))*IF(IFERROR(VLOOKUP($B1107,Dashboard!$Q$28:$S$60,3,FALSE),0)&gt;0,VLOOKUP($B1107,Dashboard!$Q$28:$S$60,3,FALSE),1))),0))</f>
        <v>0</v>
      </c>
      <c r="K1107" s="2" t="str">
        <f>IF('Base S2'!J7="","",'Base S2'!J7)</f>
        <v/>
      </c>
      <c r="L1107" s="2">
        <f t="shared" si="221"/>
        <v>0</v>
      </c>
      <c r="M1107" s="2">
        <f t="shared" si="222"/>
        <v>0</v>
      </c>
      <c r="N1107" s="2">
        <f t="shared" si="223"/>
        <v>0</v>
      </c>
      <c r="O1107" s="2">
        <f t="shared" si="224"/>
        <v>0</v>
      </c>
      <c r="P1107" s="112">
        <f t="shared" si="225"/>
        <v>0</v>
      </c>
      <c r="Q1107" s="112">
        <f t="shared" si="226"/>
        <v>0</v>
      </c>
      <c r="R1107" s="53"/>
      <c r="S1107" s="53" t="str">
        <f t="shared" si="227"/>
        <v>Base S2|Printing Plates Parallel - Season 2|106|Printing Plate</v>
      </c>
      <c r="T1107" s="57" t="str">
        <f>IF($S1107="","",IFERROR(VLOOKUP($S1107,'Pop Estimates (Non-#d)'!$N$2:$O$500,2,FALSE),""))</f>
        <v/>
      </c>
      <c r="U1107" s="57">
        <f t="shared" si="228"/>
        <v>4</v>
      </c>
      <c r="V1107" s="53" t="str">
        <f t="shared" si="229"/>
        <v/>
      </c>
      <c r="W1107" s="53" t="str">
        <f t="shared" si="230"/>
        <v/>
      </c>
      <c r="X1107" s="53" t="str">
        <f t="shared" si="231"/>
        <v/>
      </c>
      <c r="Y1107" s="57" t="str">
        <f>IF($X1107="","",IFERROR(VLOOKUP($X1107,'Char Popularity'!$A$2:$C$500,2,FALSE),""))</f>
        <v/>
      </c>
      <c r="Z1107" s="56">
        <f>IF($X1107="",1,IFERROR(VLOOKUP($X1107,'Char Popularity'!$A$2:$C$500,3,FALSE),1))</f>
        <v>1</v>
      </c>
      <c r="AA1107" s="62">
        <f>IF($H1107&lt;&gt;"Y",0,(IF($F1107&lt;&gt;"",ROUND(Dashboard!$R$4/$F1107,1),IF(AND($I1107="Base",$E1107="Base"),Dashboard!$R$5,IF(AND($I1107="Base",$E1107="Red"),Dashboard!$R$6,IF(AND($I1107="Base",$E1107="Gold"),Dashboard!$R$7,VLOOKUP($I1107,Dashboard!$Q$16:$R$21,2,FALSE)))))*VLOOKUP($I1107,Dashboard!$Q$9:$R$13,2,FALSE)*IF(AND($I1107="Auto",$F1107="",OR($B1107="Autographs Duals",$B1107="Autographs Triples",$B1107="Autographs Quads",$B1107="Autographs Quads (Inscribed)")),IF($B1107="Autographs Duals",2,IF($B1107="Autographs Triples",3,4)),1)))</f>
        <v>0</v>
      </c>
      <c r="AB1107" s="62">
        <f t="shared" si="232"/>
        <v>0</v>
      </c>
      <c r="AC1107" s="62">
        <f t="shared" si="233"/>
        <v>0</v>
      </c>
    </row>
    <row r="1108" spans="1:29" ht="42.95" customHeight="1" x14ac:dyDescent="0.25">
      <c r="A1108" s="4" t="s">
        <v>19</v>
      </c>
      <c r="B1108" s="7" t="s">
        <v>793</v>
      </c>
      <c r="C1108" s="2" t="s">
        <v>1506</v>
      </c>
      <c r="D1108" s="7" t="s">
        <v>1051</v>
      </c>
      <c r="E1108" s="4" t="s">
        <v>829</v>
      </c>
      <c r="F1108" s="2">
        <v>4</v>
      </c>
      <c r="G1108" s="2" t="s">
        <v>1400</v>
      </c>
      <c r="H1108" s="2" t="s">
        <v>1399</v>
      </c>
      <c r="I1108" s="4" t="s">
        <v>60</v>
      </c>
      <c r="J1108" s="112">
        <f>IF($H1108&lt;&gt;"Y",0,ROUND(MIN(Dashboard!$R$24,IF(IFERROR(VLOOKUP($B1108,Dashboard!$Q$28:$S$60,2,FALSE),0)&gt;0,IFERROR(VLOOKUP($B1108,Dashboard!$Q$28:$S$60,2,FALSE),0),$Z1108*IF($U1108&lt;&gt;"",ROUND((Dashboard!$R$4/$U1108)*VLOOKUP($I1108,Dashboard!$Q$9:$R$13,2,FALSE)*IF(ISNUMBER(SEARCH("Duals",$B1108)),2,IF(ISNUMBER(SEARCH("Triples",$B1108)),3,IF(ISNUMBER(SEARCH("Quads",$B1108)),4,1))),2),ROUND(VLOOKUP($I1108,Dashboard!$Q$15:$R$20,2,FALSE)*IF($E1108="Red",Dashboard!$R$6,IF($E1108="Gold",Dashboard!$R$7,Dashboard!$R$5))*IF(ISNUMBER(SEARCH("Duals",$B1108)),2,IF(ISNUMBER(SEARCH("Triples",$B1108)),3,IF(ISNUMBER(SEARCH("Quads",$B1108)),4,1))),2))*IF(IFERROR(VLOOKUP($B1108,Dashboard!$Q$28:$S$60,3,FALSE),0)&gt;0,VLOOKUP($B1108,Dashboard!$Q$28:$S$60,3,FALSE),1))),0))</f>
        <v>0</v>
      </c>
      <c r="K1108" s="2" t="str">
        <f>IF('Base S2'!J8="","",'Base S2'!J8)</f>
        <v/>
      </c>
      <c r="L1108" s="2">
        <f t="shared" si="221"/>
        <v>0</v>
      </c>
      <c r="M1108" s="2">
        <f t="shared" si="222"/>
        <v>0</v>
      </c>
      <c r="N1108" s="2">
        <f t="shared" si="223"/>
        <v>0</v>
      </c>
      <c r="O1108" s="2">
        <f t="shared" si="224"/>
        <v>0</v>
      </c>
      <c r="P1108" s="112">
        <f t="shared" si="225"/>
        <v>0</v>
      </c>
      <c r="Q1108" s="112">
        <f t="shared" si="226"/>
        <v>0</v>
      </c>
      <c r="R1108" s="53"/>
      <c r="S1108" s="53" t="str">
        <f t="shared" si="227"/>
        <v>Base S2|Printing Plates Parallel - Season 2|107|Printing Plate</v>
      </c>
      <c r="T1108" s="57" t="str">
        <f>IF($S1108="","",IFERROR(VLOOKUP($S1108,'Pop Estimates (Non-#d)'!$N$2:$O$500,2,FALSE),""))</f>
        <v/>
      </c>
      <c r="U1108" s="57">
        <f t="shared" si="228"/>
        <v>4</v>
      </c>
      <c r="V1108" s="53" t="str">
        <f t="shared" si="229"/>
        <v/>
      </c>
      <c r="W1108" s="53" t="str">
        <f t="shared" si="230"/>
        <v/>
      </c>
      <c r="X1108" s="53" t="str">
        <f t="shared" si="231"/>
        <v/>
      </c>
      <c r="Y1108" s="57" t="str">
        <f>IF($X1108="","",IFERROR(VLOOKUP($X1108,'Char Popularity'!$A$2:$C$500,2,FALSE),""))</f>
        <v/>
      </c>
      <c r="Z1108" s="56">
        <f>IF($X1108="",1,IFERROR(VLOOKUP($X1108,'Char Popularity'!$A$2:$C$500,3,FALSE),1))</f>
        <v>1</v>
      </c>
      <c r="AA1108" s="62">
        <f>IF($H1108&lt;&gt;"Y",0,(IF($F1108&lt;&gt;"",ROUND(Dashboard!$R$4/$F1108,1),IF(AND($I1108="Base",$E1108="Base"),Dashboard!$R$5,IF(AND($I1108="Base",$E1108="Red"),Dashboard!$R$6,IF(AND($I1108="Base",$E1108="Gold"),Dashboard!$R$7,VLOOKUP($I1108,Dashboard!$Q$16:$R$21,2,FALSE)))))*VLOOKUP($I1108,Dashboard!$Q$9:$R$13,2,FALSE)*IF(AND($I1108="Auto",$F1108="",OR($B1108="Autographs Duals",$B1108="Autographs Triples",$B1108="Autographs Quads",$B1108="Autographs Quads (Inscribed)")),IF($B1108="Autographs Duals",2,IF($B1108="Autographs Triples",3,4)),1)))</f>
        <v>0</v>
      </c>
      <c r="AB1108" s="62">
        <f t="shared" si="232"/>
        <v>0</v>
      </c>
      <c r="AC1108" s="62">
        <f t="shared" si="233"/>
        <v>0</v>
      </c>
    </row>
    <row r="1109" spans="1:29" ht="42.95" customHeight="1" x14ac:dyDescent="0.25">
      <c r="A1109" s="4" t="s">
        <v>19</v>
      </c>
      <c r="B1109" s="7" t="s">
        <v>793</v>
      </c>
      <c r="C1109" s="2" t="s">
        <v>1507</v>
      </c>
      <c r="D1109" s="7" t="s">
        <v>1053</v>
      </c>
      <c r="E1109" s="4" t="s">
        <v>829</v>
      </c>
      <c r="F1109" s="2">
        <v>4</v>
      </c>
      <c r="G1109" s="2" t="s">
        <v>1400</v>
      </c>
      <c r="H1109" s="2" t="s">
        <v>1399</v>
      </c>
      <c r="I1109" s="4" t="s">
        <v>60</v>
      </c>
      <c r="J1109" s="112">
        <f>IF($H1109&lt;&gt;"Y",0,ROUND(MIN(Dashboard!$R$24,IF(IFERROR(VLOOKUP($B1109,Dashboard!$Q$28:$S$60,2,FALSE),0)&gt;0,IFERROR(VLOOKUP($B1109,Dashboard!$Q$28:$S$60,2,FALSE),0),$Z1109*IF($U1109&lt;&gt;"",ROUND((Dashboard!$R$4/$U1109)*VLOOKUP($I1109,Dashboard!$Q$9:$R$13,2,FALSE)*IF(ISNUMBER(SEARCH("Duals",$B1109)),2,IF(ISNUMBER(SEARCH("Triples",$B1109)),3,IF(ISNUMBER(SEARCH("Quads",$B1109)),4,1))),2),ROUND(VLOOKUP($I1109,Dashboard!$Q$15:$R$20,2,FALSE)*IF($E1109="Red",Dashboard!$R$6,IF($E1109="Gold",Dashboard!$R$7,Dashboard!$R$5))*IF(ISNUMBER(SEARCH("Duals",$B1109)),2,IF(ISNUMBER(SEARCH("Triples",$B1109)),3,IF(ISNUMBER(SEARCH("Quads",$B1109)),4,1))),2))*IF(IFERROR(VLOOKUP($B1109,Dashboard!$Q$28:$S$60,3,FALSE),0)&gt;0,VLOOKUP($B1109,Dashboard!$Q$28:$S$60,3,FALSE),1))),0))</f>
        <v>0</v>
      </c>
      <c r="K1109" s="2" t="str">
        <f>IF('Base S2'!J9="","",'Base S2'!J9)</f>
        <v/>
      </c>
      <c r="L1109" s="2">
        <f t="shared" si="221"/>
        <v>0</v>
      </c>
      <c r="M1109" s="2">
        <f t="shared" si="222"/>
        <v>0</v>
      </c>
      <c r="N1109" s="2">
        <f t="shared" si="223"/>
        <v>0</v>
      </c>
      <c r="O1109" s="2">
        <f t="shared" si="224"/>
        <v>0</v>
      </c>
      <c r="P1109" s="112">
        <f t="shared" si="225"/>
        <v>0</v>
      </c>
      <c r="Q1109" s="112">
        <f t="shared" si="226"/>
        <v>0</v>
      </c>
      <c r="R1109" s="53"/>
      <c r="S1109" s="53" t="str">
        <f t="shared" si="227"/>
        <v>Base S2|Printing Plates Parallel - Season 2|108|Printing Plate</v>
      </c>
      <c r="T1109" s="57" t="str">
        <f>IF($S1109="","",IFERROR(VLOOKUP($S1109,'Pop Estimates (Non-#d)'!$N$2:$O$500,2,FALSE),""))</f>
        <v/>
      </c>
      <c r="U1109" s="57">
        <f t="shared" si="228"/>
        <v>4</v>
      </c>
      <c r="V1109" s="53" t="str">
        <f t="shared" si="229"/>
        <v/>
      </c>
      <c r="W1109" s="53" t="str">
        <f t="shared" si="230"/>
        <v/>
      </c>
      <c r="X1109" s="53" t="str">
        <f t="shared" si="231"/>
        <v/>
      </c>
      <c r="Y1109" s="57" t="str">
        <f>IF($X1109="","",IFERROR(VLOOKUP($X1109,'Char Popularity'!$A$2:$C$500,2,FALSE),""))</f>
        <v/>
      </c>
      <c r="Z1109" s="56">
        <f>IF($X1109="",1,IFERROR(VLOOKUP($X1109,'Char Popularity'!$A$2:$C$500,3,FALSE),1))</f>
        <v>1</v>
      </c>
      <c r="AA1109" s="62">
        <f>IF($H1109&lt;&gt;"Y",0,(IF($F1109&lt;&gt;"",ROUND(Dashboard!$R$4/$F1109,1),IF(AND($I1109="Base",$E1109="Base"),Dashboard!$R$5,IF(AND($I1109="Base",$E1109="Red"),Dashboard!$R$6,IF(AND($I1109="Base",$E1109="Gold"),Dashboard!$R$7,VLOOKUP($I1109,Dashboard!$Q$16:$R$21,2,FALSE)))))*VLOOKUP($I1109,Dashboard!$Q$9:$R$13,2,FALSE)*IF(AND($I1109="Auto",$F1109="",OR($B1109="Autographs Duals",$B1109="Autographs Triples",$B1109="Autographs Quads",$B1109="Autographs Quads (Inscribed)")),IF($B1109="Autographs Duals",2,IF($B1109="Autographs Triples",3,4)),1)))</f>
        <v>0</v>
      </c>
      <c r="AB1109" s="62">
        <f t="shared" si="232"/>
        <v>0</v>
      </c>
      <c r="AC1109" s="62">
        <f t="shared" si="233"/>
        <v>0</v>
      </c>
    </row>
    <row r="1110" spans="1:29" ht="42.95" customHeight="1" x14ac:dyDescent="0.25">
      <c r="A1110" s="4" t="s">
        <v>19</v>
      </c>
      <c r="B1110" s="7" t="s">
        <v>793</v>
      </c>
      <c r="C1110" s="2" t="s">
        <v>1508</v>
      </c>
      <c r="D1110" s="7" t="s">
        <v>1056</v>
      </c>
      <c r="E1110" s="4" t="s">
        <v>829</v>
      </c>
      <c r="F1110" s="2">
        <v>4</v>
      </c>
      <c r="G1110" s="2" t="s">
        <v>1400</v>
      </c>
      <c r="H1110" s="2" t="s">
        <v>1399</v>
      </c>
      <c r="I1110" s="4" t="s">
        <v>60</v>
      </c>
      <c r="J1110" s="112">
        <f>IF($H1110&lt;&gt;"Y",0,ROUND(MIN(Dashboard!$R$24,IF(IFERROR(VLOOKUP($B1110,Dashboard!$Q$28:$S$60,2,FALSE),0)&gt;0,IFERROR(VLOOKUP($B1110,Dashboard!$Q$28:$S$60,2,FALSE),0),$Z1110*IF($U1110&lt;&gt;"",ROUND((Dashboard!$R$4/$U1110)*VLOOKUP($I1110,Dashboard!$Q$9:$R$13,2,FALSE)*IF(ISNUMBER(SEARCH("Duals",$B1110)),2,IF(ISNUMBER(SEARCH("Triples",$B1110)),3,IF(ISNUMBER(SEARCH("Quads",$B1110)),4,1))),2),ROUND(VLOOKUP($I1110,Dashboard!$Q$15:$R$20,2,FALSE)*IF($E1110="Red",Dashboard!$R$6,IF($E1110="Gold",Dashboard!$R$7,Dashboard!$R$5))*IF(ISNUMBER(SEARCH("Duals",$B1110)),2,IF(ISNUMBER(SEARCH("Triples",$B1110)),3,IF(ISNUMBER(SEARCH("Quads",$B1110)),4,1))),2))*IF(IFERROR(VLOOKUP($B1110,Dashboard!$Q$28:$S$60,3,FALSE),0)&gt;0,VLOOKUP($B1110,Dashboard!$Q$28:$S$60,3,FALSE),1))),0))</f>
        <v>0</v>
      </c>
      <c r="K1110" s="2" t="str">
        <f>IF('Base S2'!J10="","",'Base S2'!J10)</f>
        <v/>
      </c>
      <c r="L1110" s="2">
        <f t="shared" si="221"/>
        <v>0</v>
      </c>
      <c r="M1110" s="2">
        <f t="shared" si="222"/>
        <v>0</v>
      </c>
      <c r="N1110" s="2">
        <f t="shared" si="223"/>
        <v>0</v>
      </c>
      <c r="O1110" s="2">
        <f t="shared" si="224"/>
        <v>0</v>
      </c>
      <c r="P1110" s="112">
        <f t="shared" si="225"/>
        <v>0</v>
      </c>
      <c r="Q1110" s="112">
        <f t="shared" si="226"/>
        <v>0</v>
      </c>
      <c r="R1110" s="53"/>
      <c r="S1110" s="53" t="str">
        <f t="shared" si="227"/>
        <v>Base S2|Printing Plates Parallel - Season 2|109|Printing Plate</v>
      </c>
      <c r="T1110" s="57" t="str">
        <f>IF($S1110="","",IFERROR(VLOOKUP($S1110,'Pop Estimates (Non-#d)'!$N$2:$O$500,2,FALSE),""))</f>
        <v/>
      </c>
      <c r="U1110" s="57">
        <f t="shared" si="228"/>
        <v>4</v>
      </c>
      <c r="V1110" s="53" t="str">
        <f t="shared" si="229"/>
        <v/>
      </c>
      <c r="W1110" s="53" t="str">
        <f t="shared" si="230"/>
        <v/>
      </c>
      <c r="X1110" s="53" t="str">
        <f t="shared" si="231"/>
        <v/>
      </c>
      <c r="Y1110" s="57" t="str">
        <f>IF($X1110="","",IFERROR(VLOOKUP($X1110,'Char Popularity'!$A$2:$C$500,2,FALSE),""))</f>
        <v/>
      </c>
      <c r="Z1110" s="56">
        <f>IF($X1110="",1,IFERROR(VLOOKUP($X1110,'Char Popularity'!$A$2:$C$500,3,FALSE),1))</f>
        <v>1</v>
      </c>
      <c r="AA1110" s="62">
        <f>IF($H1110&lt;&gt;"Y",0,(IF($F1110&lt;&gt;"",ROUND(Dashboard!$R$4/$F1110,1),IF(AND($I1110="Base",$E1110="Base"),Dashboard!$R$5,IF(AND($I1110="Base",$E1110="Red"),Dashboard!$R$6,IF(AND($I1110="Base",$E1110="Gold"),Dashboard!$R$7,VLOOKUP($I1110,Dashboard!$Q$16:$R$21,2,FALSE)))))*VLOOKUP($I1110,Dashboard!$Q$9:$R$13,2,FALSE)*IF(AND($I1110="Auto",$F1110="",OR($B1110="Autographs Duals",$B1110="Autographs Triples",$B1110="Autographs Quads",$B1110="Autographs Quads (Inscribed)")),IF($B1110="Autographs Duals",2,IF($B1110="Autographs Triples",3,4)),1)))</f>
        <v>0</v>
      </c>
      <c r="AB1110" s="62">
        <f t="shared" si="232"/>
        <v>0</v>
      </c>
      <c r="AC1110" s="62">
        <f t="shared" si="233"/>
        <v>0</v>
      </c>
    </row>
    <row r="1111" spans="1:29" ht="42.95" customHeight="1" x14ac:dyDescent="0.25">
      <c r="A1111" s="4" t="s">
        <v>19</v>
      </c>
      <c r="B1111" s="7" t="s">
        <v>793</v>
      </c>
      <c r="C1111" s="2" t="s">
        <v>1509</v>
      </c>
      <c r="D1111" s="7" t="s">
        <v>1059</v>
      </c>
      <c r="E1111" s="4" t="s">
        <v>829</v>
      </c>
      <c r="F1111" s="2">
        <v>4</v>
      </c>
      <c r="G1111" s="2" t="s">
        <v>1400</v>
      </c>
      <c r="H1111" s="2" t="s">
        <v>1399</v>
      </c>
      <c r="I1111" s="4" t="s">
        <v>60</v>
      </c>
      <c r="J1111" s="112">
        <f>IF($H1111&lt;&gt;"Y",0,ROUND(MIN(Dashboard!$R$24,IF(IFERROR(VLOOKUP($B1111,Dashboard!$Q$28:$S$60,2,FALSE),0)&gt;0,IFERROR(VLOOKUP($B1111,Dashboard!$Q$28:$S$60,2,FALSE),0),$Z1111*IF($U1111&lt;&gt;"",ROUND((Dashboard!$R$4/$U1111)*VLOOKUP($I1111,Dashboard!$Q$9:$R$13,2,FALSE)*IF(ISNUMBER(SEARCH("Duals",$B1111)),2,IF(ISNUMBER(SEARCH("Triples",$B1111)),3,IF(ISNUMBER(SEARCH("Quads",$B1111)),4,1))),2),ROUND(VLOOKUP($I1111,Dashboard!$Q$15:$R$20,2,FALSE)*IF($E1111="Red",Dashboard!$R$6,IF($E1111="Gold",Dashboard!$R$7,Dashboard!$R$5))*IF(ISNUMBER(SEARCH("Duals",$B1111)),2,IF(ISNUMBER(SEARCH("Triples",$B1111)),3,IF(ISNUMBER(SEARCH("Quads",$B1111)),4,1))),2))*IF(IFERROR(VLOOKUP($B1111,Dashboard!$Q$28:$S$60,3,FALSE),0)&gt;0,VLOOKUP($B1111,Dashboard!$Q$28:$S$60,3,FALSE),1))),0))</f>
        <v>0</v>
      </c>
      <c r="K1111" s="2" t="str">
        <f>IF('Base S2'!J11="","",'Base S2'!J11)</f>
        <v/>
      </c>
      <c r="L1111" s="2">
        <f t="shared" si="221"/>
        <v>0</v>
      </c>
      <c r="M1111" s="2">
        <f t="shared" si="222"/>
        <v>0</v>
      </c>
      <c r="N1111" s="2">
        <f t="shared" si="223"/>
        <v>0</v>
      </c>
      <c r="O1111" s="2">
        <f t="shared" si="224"/>
        <v>0</v>
      </c>
      <c r="P1111" s="112">
        <f t="shared" si="225"/>
        <v>0</v>
      </c>
      <c r="Q1111" s="112">
        <f t="shared" si="226"/>
        <v>0</v>
      </c>
      <c r="R1111" s="53"/>
      <c r="S1111" s="53" t="str">
        <f t="shared" si="227"/>
        <v>Base S2|Printing Plates Parallel - Season 2|110|Printing Plate</v>
      </c>
      <c r="T1111" s="57" t="str">
        <f>IF($S1111="","",IFERROR(VLOOKUP($S1111,'Pop Estimates (Non-#d)'!$N$2:$O$500,2,FALSE),""))</f>
        <v/>
      </c>
      <c r="U1111" s="57">
        <f t="shared" si="228"/>
        <v>4</v>
      </c>
      <c r="V1111" s="53" t="str">
        <f t="shared" si="229"/>
        <v/>
      </c>
      <c r="W1111" s="53" t="str">
        <f t="shared" si="230"/>
        <v/>
      </c>
      <c r="X1111" s="53" t="str">
        <f t="shared" si="231"/>
        <v/>
      </c>
      <c r="Y1111" s="57" t="str">
        <f>IF($X1111="","",IFERROR(VLOOKUP($X1111,'Char Popularity'!$A$2:$C$500,2,FALSE),""))</f>
        <v/>
      </c>
      <c r="Z1111" s="56">
        <f>IF($X1111="",1,IFERROR(VLOOKUP($X1111,'Char Popularity'!$A$2:$C$500,3,FALSE),1))</f>
        <v>1</v>
      </c>
      <c r="AA1111" s="62">
        <f>IF($H1111&lt;&gt;"Y",0,(IF($F1111&lt;&gt;"",ROUND(Dashboard!$R$4/$F1111,1),IF(AND($I1111="Base",$E1111="Base"),Dashboard!$R$5,IF(AND($I1111="Base",$E1111="Red"),Dashboard!$R$6,IF(AND($I1111="Base",$E1111="Gold"),Dashboard!$R$7,VLOOKUP($I1111,Dashboard!$Q$16:$R$21,2,FALSE)))))*VLOOKUP($I1111,Dashboard!$Q$9:$R$13,2,FALSE)*IF(AND($I1111="Auto",$F1111="",OR($B1111="Autographs Duals",$B1111="Autographs Triples",$B1111="Autographs Quads",$B1111="Autographs Quads (Inscribed)")),IF($B1111="Autographs Duals",2,IF($B1111="Autographs Triples",3,4)),1)))</f>
        <v>0</v>
      </c>
      <c r="AB1111" s="62">
        <f t="shared" si="232"/>
        <v>0</v>
      </c>
      <c r="AC1111" s="62">
        <f t="shared" si="233"/>
        <v>0</v>
      </c>
    </row>
    <row r="1112" spans="1:29" ht="42.95" customHeight="1" x14ac:dyDescent="0.25">
      <c r="A1112" s="4" t="s">
        <v>19</v>
      </c>
      <c r="B1112" s="7" t="s">
        <v>793</v>
      </c>
      <c r="C1112" s="2" t="s">
        <v>1510</v>
      </c>
      <c r="D1112" s="7" t="s">
        <v>1061</v>
      </c>
      <c r="E1112" s="4" t="s">
        <v>829</v>
      </c>
      <c r="F1112" s="2">
        <v>4</v>
      </c>
      <c r="G1112" s="2" t="s">
        <v>1400</v>
      </c>
      <c r="H1112" s="2" t="s">
        <v>1399</v>
      </c>
      <c r="I1112" s="4" t="s">
        <v>60</v>
      </c>
      <c r="J1112" s="112">
        <f>IF($H1112&lt;&gt;"Y",0,ROUND(MIN(Dashboard!$R$24,IF(IFERROR(VLOOKUP($B1112,Dashboard!$Q$28:$S$60,2,FALSE),0)&gt;0,IFERROR(VLOOKUP($B1112,Dashboard!$Q$28:$S$60,2,FALSE),0),$Z1112*IF($U1112&lt;&gt;"",ROUND((Dashboard!$R$4/$U1112)*VLOOKUP($I1112,Dashboard!$Q$9:$R$13,2,FALSE)*IF(ISNUMBER(SEARCH("Duals",$B1112)),2,IF(ISNUMBER(SEARCH("Triples",$B1112)),3,IF(ISNUMBER(SEARCH("Quads",$B1112)),4,1))),2),ROUND(VLOOKUP($I1112,Dashboard!$Q$15:$R$20,2,FALSE)*IF($E1112="Red",Dashboard!$R$6,IF($E1112="Gold",Dashboard!$R$7,Dashboard!$R$5))*IF(ISNUMBER(SEARCH("Duals",$B1112)),2,IF(ISNUMBER(SEARCH("Triples",$B1112)),3,IF(ISNUMBER(SEARCH("Quads",$B1112)),4,1))),2))*IF(IFERROR(VLOOKUP($B1112,Dashboard!$Q$28:$S$60,3,FALSE),0)&gt;0,VLOOKUP($B1112,Dashboard!$Q$28:$S$60,3,FALSE),1))),0))</f>
        <v>0</v>
      </c>
      <c r="K1112" s="2" t="str">
        <f>IF('Base S2'!J12="","",'Base S2'!J12)</f>
        <v/>
      </c>
      <c r="L1112" s="2">
        <f t="shared" si="221"/>
        <v>0</v>
      </c>
      <c r="M1112" s="2">
        <f t="shared" si="222"/>
        <v>0</v>
      </c>
      <c r="N1112" s="2">
        <f t="shared" si="223"/>
        <v>0</v>
      </c>
      <c r="O1112" s="2">
        <f t="shared" si="224"/>
        <v>0</v>
      </c>
      <c r="P1112" s="112">
        <f t="shared" si="225"/>
        <v>0</v>
      </c>
      <c r="Q1112" s="112">
        <f t="shared" si="226"/>
        <v>0</v>
      </c>
      <c r="R1112" s="53"/>
      <c r="S1112" s="53" t="str">
        <f t="shared" si="227"/>
        <v>Base S2|Printing Plates Parallel - Season 2|111|Printing Plate</v>
      </c>
      <c r="T1112" s="57" t="str">
        <f>IF($S1112="","",IFERROR(VLOOKUP($S1112,'Pop Estimates (Non-#d)'!$N$2:$O$500,2,FALSE),""))</f>
        <v/>
      </c>
      <c r="U1112" s="57">
        <f t="shared" si="228"/>
        <v>4</v>
      </c>
      <c r="V1112" s="53" t="str">
        <f t="shared" si="229"/>
        <v/>
      </c>
      <c r="W1112" s="53" t="str">
        <f t="shared" si="230"/>
        <v/>
      </c>
      <c r="X1112" s="53" t="str">
        <f t="shared" si="231"/>
        <v/>
      </c>
      <c r="Y1112" s="57" t="str">
        <f>IF($X1112="","",IFERROR(VLOOKUP($X1112,'Char Popularity'!$A$2:$C$500,2,FALSE),""))</f>
        <v/>
      </c>
      <c r="Z1112" s="56">
        <f>IF($X1112="",1,IFERROR(VLOOKUP($X1112,'Char Popularity'!$A$2:$C$500,3,FALSE),1))</f>
        <v>1</v>
      </c>
      <c r="AA1112" s="62">
        <f>IF($H1112&lt;&gt;"Y",0,(IF($F1112&lt;&gt;"",ROUND(Dashboard!$R$4/$F1112,1),IF(AND($I1112="Base",$E1112="Base"),Dashboard!$R$5,IF(AND($I1112="Base",$E1112="Red"),Dashboard!$R$6,IF(AND($I1112="Base",$E1112="Gold"),Dashboard!$R$7,VLOOKUP($I1112,Dashboard!$Q$16:$R$21,2,FALSE)))))*VLOOKUP($I1112,Dashboard!$Q$9:$R$13,2,FALSE)*IF(AND($I1112="Auto",$F1112="",OR($B1112="Autographs Duals",$B1112="Autographs Triples",$B1112="Autographs Quads",$B1112="Autographs Quads (Inscribed)")),IF($B1112="Autographs Duals",2,IF($B1112="Autographs Triples",3,4)),1)))</f>
        <v>0</v>
      </c>
      <c r="AB1112" s="62">
        <f t="shared" si="232"/>
        <v>0</v>
      </c>
      <c r="AC1112" s="62">
        <f t="shared" si="233"/>
        <v>0</v>
      </c>
    </row>
    <row r="1113" spans="1:29" ht="42.95" customHeight="1" x14ac:dyDescent="0.25">
      <c r="A1113" s="4" t="s">
        <v>19</v>
      </c>
      <c r="B1113" s="7" t="s">
        <v>793</v>
      </c>
      <c r="C1113" s="2" t="s">
        <v>1511</v>
      </c>
      <c r="D1113" s="7" t="s">
        <v>1063</v>
      </c>
      <c r="E1113" s="4" t="s">
        <v>829</v>
      </c>
      <c r="F1113" s="2">
        <v>4</v>
      </c>
      <c r="G1113" s="2" t="s">
        <v>1400</v>
      </c>
      <c r="H1113" s="2" t="s">
        <v>1399</v>
      </c>
      <c r="I1113" s="4" t="s">
        <v>60</v>
      </c>
      <c r="J1113" s="112">
        <f>IF($H1113&lt;&gt;"Y",0,ROUND(MIN(Dashboard!$R$24,IF(IFERROR(VLOOKUP($B1113,Dashboard!$Q$28:$S$60,2,FALSE),0)&gt;0,IFERROR(VLOOKUP($B1113,Dashboard!$Q$28:$S$60,2,FALSE),0),$Z1113*IF($U1113&lt;&gt;"",ROUND((Dashboard!$R$4/$U1113)*VLOOKUP($I1113,Dashboard!$Q$9:$R$13,2,FALSE)*IF(ISNUMBER(SEARCH("Duals",$B1113)),2,IF(ISNUMBER(SEARCH("Triples",$B1113)),3,IF(ISNUMBER(SEARCH("Quads",$B1113)),4,1))),2),ROUND(VLOOKUP($I1113,Dashboard!$Q$15:$R$20,2,FALSE)*IF($E1113="Red",Dashboard!$R$6,IF($E1113="Gold",Dashboard!$R$7,Dashboard!$R$5))*IF(ISNUMBER(SEARCH("Duals",$B1113)),2,IF(ISNUMBER(SEARCH("Triples",$B1113)),3,IF(ISNUMBER(SEARCH("Quads",$B1113)),4,1))),2))*IF(IFERROR(VLOOKUP($B1113,Dashboard!$Q$28:$S$60,3,FALSE),0)&gt;0,VLOOKUP($B1113,Dashboard!$Q$28:$S$60,3,FALSE),1))),0))</f>
        <v>0</v>
      </c>
      <c r="K1113" s="2" t="str">
        <f>IF('Base S2'!J13="","",'Base S2'!J13)</f>
        <v/>
      </c>
      <c r="L1113" s="2">
        <f t="shared" si="221"/>
        <v>0</v>
      </c>
      <c r="M1113" s="2">
        <f t="shared" si="222"/>
        <v>0</v>
      </c>
      <c r="N1113" s="2">
        <f t="shared" si="223"/>
        <v>0</v>
      </c>
      <c r="O1113" s="2">
        <f t="shared" si="224"/>
        <v>0</v>
      </c>
      <c r="P1113" s="112">
        <f t="shared" si="225"/>
        <v>0</v>
      </c>
      <c r="Q1113" s="112">
        <f t="shared" si="226"/>
        <v>0</v>
      </c>
      <c r="R1113" s="53"/>
      <c r="S1113" s="53" t="str">
        <f t="shared" si="227"/>
        <v>Base S2|Printing Plates Parallel - Season 2|112|Printing Plate</v>
      </c>
      <c r="T1113" s="57" t="str">
        <f>IF($S1113="","",IFERROR(VLOOKUP($S1113,'Pop Estimates (Non-#d)'!$N$2:$O$500,2,FALSE),""))</f>
        <v/>
      </c>
      <c r="U1113" s="57">
        <f t="shared" si="228"/>
        <v>4</v>
      </c>
      <c r="V1113" s="53" t="str">
        <f t="shared" si="229"/>
        <v/>
      </c>
      <c r="W1113" s="53" t="str">
        <f t="shared" si="230"/>
        <v/>
      </c>
      <c r="X1113" s="53" t="str">
        <f t="shared" si="231"/>
        <v/>
      </c>
      <c r="Y1113" s="57" t="str">
        <f>IF($X1113="","",IFERROR(VLOOKUP($X1113,'Char Popularity'!$A$2:$C$500,2,FALSE),""))</f>
        <v/>
      </c>
      <c r="Z1113" s="56">
        <f>IF($X1113="",1,IFERROR(VLOOKUP($X1113,'Char Popularity'!$A$2:$C$500,3,FALSE),1))</f>
        <v>1</v>
      </c>
      <c r="AA1113" s="62">
        <f>IF($H1113&lt;&gt;"Y",0,(IF($F1113&lt;&gt;"",ROUND(Dashboard!$R$4/$F1113,1),IF(AND($I1113="Base",$E1113="Base"),Dashboard!$R$5,IF(AND($I1113="Base",$E1113="Red"),Dashboard!$R$6,IF(AND($I1113="Base",$E1113="Gold"),Dashboard!$R$7,VLOOKUP($I1113,Dashboard!$Q$16:$R$21,2,FALSE)))))*VLOOKUP($I1113,Dashboard!$Q$9:$R$13,2,FALSE)*IF(AND($I1113="Auto",$F1113="",OR($B1113="Autographs Duals",$B1113="Autographs Triples",$B1113="Autographs Quads",$B1113="Autographs Quads (Inscribed)")),IF($B1113="Autographs Duals",2,IF($B1113="Autographs Triples",3,4)),1)))</f>
        <v>0</v>
      </c>
      <c r="AB1113" s="62">
        <f t="shared" si="232"/>
        <v>0</v>
      </c>
      <c r="AC1113" s="62">
        <f t="shared" si="233"/>
        <v>0</v>
      </c>
    </row>
    <row r="1114" spans="1:29" ht="42.95" customHeight="1" x14ac:dyDescent="0.25">
      <c r="A1114" s="4" t="s">
        <v>19</v>
      </c>
      <c r="B1114" s="7" t="s">
        <v>793</v>
      </c>
      <c r="C1114" s="2" t="s">
        <v>1512</v>
      </c>
      <c r="D1114" s="7" t="s">
        <v>1065</v>
      </c>
      <c r="E1114" s="4" t="s">
        <v>829</v>
      </c>
      <c r="F1114" s="2">
        <v>4</v>
      </c>
      <c r="G1114" s="2" t="s">
        <v>1400</v>
      </c>
      <c r="H1114" s="2" t="s">
        <v>1399</v>
      </c>
      <c r="I1114" s="4" t="s">
        <v>60</v>
      </c>
      <c r="J1114" s="112">
        <f>IF($H1114&lt;&gt;"Y",0,ROUND(MIN(Dashboard!$R$24,IF(IFERROR(VLOOKUP($B1114,Dashboard!$Q$28:$S$60,2,FALSE),0)&gt;0,IFERROR(VLOOKUP($B1114,Dashboard!$Q$28:$S$60,2,FALSE),0),$Z1114*IF($U1114&lt;&gt;"",ROUND((Dashboard!$R$4/$U1114)*VLOOKUP($I1114,Dashboard!$Q$9:$R$13,2,FALSE)*IF(ISNUMBER(SEARCH("Duals",$B1114)),2,IF(ISNUMBER(SEARCH("Triples",$B1114)),3,IF(ISNUMBER(SEARCH("Quads",$B1114)),4,1))),2),ROUND(VLOOKUP($I1114,Dashboard!$Q$15:$R$20,2,FALSE)*IF($E1114="Red",Dashboard!$R$6,IF($E1114="Gold",Dashboard!$R$7,Dashboard!$R$5))*IF(ISNUMBER(SEARCH("Duals",$B1114)),2,IF(ISNUMBER(SEARCH("Triples",$B1114)),3,IF(ISNUMBER(SEARCH("Quads",$B1114)),4,1))),2))*IF(IFERROR(VLOOKUP($B1114,Dashboard!$Q$28:$S$60,3,FALSE),0)&gt;0,VLOOKUP($B1114,Dashboard!$Q$28:$S$60,3,FALSE),1))),0))</f>
        <v>0</v>
      </c>
      <c r="K1114" s="2" t="str">
        <f>IF('Base S2'!J14="","",'Base S2'!J14)</f>
        <v/>
      </c>
      <c r="L1114" s="2">
        <f t="shared" si="221"/>
        <v>0</v>
      </c>
      <c r="M1114" s="2">
        <f t="shared" si="222"/>
        <v>0</v>
      </c>
      <c r="N1114" s="2">
        <f t="shared" si="223"/>
        <v>0</v>
      </c>
      <c r="O1114" s="2">
        <f t="shared" si="224"/>
        <v>0</v>
      </c>
      <c r="P1114" s="112">
        <f t="shared" si="225"/>
        <v>0</v>
      </c>
      <c r="Q1114" s="112">
        <f t="shared" si="226"/>
        <v>0</v>
      </c>
      <c r="R1114" s="53"/>
      <c r="S1114" s="53" t="str">
        <f t="shared" si="227"/>
        <v>Base S2|Printing Plates Parallel - Season 2|113|Printing Plate</v>
      </c>
      <c r="T1114" s="57" t="str">
        <f>IF($S1114="","",IFERROR(VLOOKUP($S1114,'Pop Estimates (Non-#d)'!$N$2:$O$500,2,FALSE),""))</f>
        <v/>
      </c>
      <c r="U1114" s="57">
        <f t="shared" si="228"/>
        <v>4</v>
      </c>
      <c r="V1114" s="53" t="str">
        <f t="shared" si="229"/>
        <v/>
      </c>
      <c r="W1114" s="53" t="str">
        <f t="shared" si="230"/>
        <v/>
      </c>
      <c r="X1114" s="53" t="str">
        <f t="shared" si="231"/>
        <v/>
      </c>
      <c r="Y1114" s="57" t="str">
        <f>IF($X1114="","",IFERROR(VLOOKUP($X1114,'Char Popularity'!$A$2:$C$500,2,FALSE),""))</f>
        <v/>
      </c>
      <c r="Z1114" s="56">
        <f>IF($X1114="",1,IFERROR(VLOOKUP($X1114,'Char Popularity'!$A$2:$C$500,3,FALSE),1))</f>
        <v>1</v>
      </c>
      <c r="AA1114" s="62">
        <f>IF($H1114&lt;&gt;"Y",0,(IF($F1114&lt;&gt;"",ROUND(Dashboard!$R$4/$F1114,1),IF(AND($I1114="Base",$E1114="Base"),Dashboard!$R$5,IF(AND($I1114="Base",$E1114="Red"),Dashboard!$R$6,IF(AND($I1114="Base",$E1114="Gold"),Dashboard!$R$7,VLOOKUP($I1114,Dashboard!$Q$16:$R$21,2,FALSE)))))*VLOOKUP($I1114,Dashboard!$Q$9:$R$13,2,FALSE)*IF(AND($I1114="Auto",$F1114="",OR($B1114="Autographs Duals",$B1114="Autographs Triples",$B1114="Autographs Quads",$B1114="Autographs Quads (Inscribed)")),IF($B1114="Autographs Duals",2,IF($B1114="Autographs Triples",3,4)),1)))</f>
        <v>0</v>
      </c>
      <c r="AB1114" s="62">
        <f t="shared" si="232"/>
        <v>0</v>
      </c>
      <c r="AC1114" s="62">
        <f t="shared" si="233"/>
        <v>0</v>
      </c>
    </row>
    <row r="1115" spans="1:29" ht="42.95" customHeight="1" x14ac:dyDescent="0.25">
      <c r="A1115" s="4" t="s">
        <v>19</v>
      </c>
      <c r="B1115" s="7" t="s">
        <v>793</v>
      </c>
      <c r="C1115" s="2" t="s">
        <v>1513</v>
      </c>
      <c r="D1115" s="7" t="s">
        <v>1067</v>
      </c>
      <c r="E1115" s="4" t="s">
        <v>829</v>
      </c>
      <c r="F1115" s="2">
        <v>4</v>
      </c>
      <c r="G1115" s="2" t="s">
        <v>1400</v>
      </c>
      <c r="H1115" s="2" t="s">
        <v>1399</v>
      </c>
      <c r="I1115" s="4" t="s">
        <v>60</v>
      </c>
      <c r="J1115" s="112">
        <f>IF($H1115&lt;&gt;"Y",0,ROUND(MIN(Dashboard!$R$24,IF(IFERROR(VLOOKUP($B1115,Dashboard!$Q$28:$S$60,2,FALSE),0)&gt;0,IFERROR(VLOOKUP($B1115,Dashboard!$Q$28:$S$60,2,FALSE),0),$Z1115*IF($U1115&lt;&gt;"",ROUND((Dashboard!$R$4/$U1115)*VLOOKUP($I1115,Dashboard!$Q$9:$R$13,2,FALSE)*IF(ISNUMBER(SEARCH("Duals",$B1115)),2,IF(ISNUMBER(SEARCH("Triples",$B1115)),3,IF(ISNUMBER(SEARCH("Quads",$B1115)),4,1))),2),ROUND(VLOOKUP($I1115,Dashboard!$Q$15:$R$20,2,FALSE)*IF($E1115="Red",Dashboard!$R$6,IF($E1115="Gold",Dashboard!$R$7,Dashboard!$R$5))*IF(ISNUMBER(SEARCH("Duals",$B1115)),2,IF(ISNUMBER(SEARCH("Triples",$B1115)),3,IF(ISNUMBER(SEARCH("Quads",$B1115)),4,1))),2))*IF(IFERROR(VLOOKUP($B1115,Dashboard!$Q$28:$S$60,3,FALSE),0)&gt;0,VLOOKUP($B1115,Dashboard!$Q$28:$S$60,3,FALSE),1))),0))</f>
        <v>0</v>
      </c>
      <c r="K1115" s="2" t="str">
        <f>IF('Base S2'!J15="","",'Base S2'!J15)</f>
        <v/>
      </c>
      <c r="L1115" s="2">
        <f t="shared" si="221"/>
        <v>0</v>
      </c>
      <c r="M1115" s="2">
        <f t="shared" si="222"/>
        <v>0</v>
      </c>
      <c r="N1115" s="2">
        <f t="shared" si="223"/>
        <v>0</v>
      </c>
      <c r="O1115" s="2">
        <f t="shared" si="224"/>
        <v>0</v>
      </c>
      <c r="P1115" s="112">
        <f t="shared" si="225"/>
        <v>0</v>
      </c>
      <c r="Q1115" s="112">
        <f t="shared" si="226"/>
        <v>0</v>
      </c>
      <c r="R1115" s="53"/>
      <c r="S1115" s="53" t="str">
        <f t="shared" si="227"/>
        <v>Base S2|Printing Plates Parallel - Season 2|114|Printing Plate</v>
      </c>
      <c r="T1115" s="57" t="str">
        <f>IF($S1115="","",IFERROR(VLOOKUP($S1115,'Pop Estimates (Non-#d)'!$N$2:$O$500,2,FALSE),""))</f>
        <v/>
      </c>
      <c r="U1115" s="57">
        <f t="shared" si="228"/>
        <v>4</v>
      </c>
      <c r="V1115" s="53" t="str">
        <f t="shared" si="229"/>
        <v/>
      </c>
      <c r="W1115" s="53" t="str">
        <f t="shared" si="230"/>
        <v/>
      </c>
      <c r="X1115" s="53" t="str">
        <f t="shared" si="231"/>
        <v/>
      </c>
      <c r="Y1115" s="57" t="str">
        <f>IF($X1115="","",IFERROR(VLOOKUP($X1115,'Char Popularity'!$A$2:$C$500,2,FALSE),""))</f>
        <v/>
      </c>
      <c r="Z1115" s="56">
        <f>IF($X1115="",1,IFERROR(VLOOKUP($X1115,'Char Popularity'!$A$2:$C$500,3,FALSE),1))</f>
        <v>1</v>
      </c>
      <c r="AA1115" s="62">
        <f>IF($H1115&lt;&gt;"Y",0,(IF($F1115&lt;&gt;"",ROUND(Dashboard!$R$4/$F1115,1),IF(AND($I1115="Base",$E1115="Base"),Dashboard!$R$5,IF(AND($I1115="Base",$E1115="Red"),Dashboard!$R$6,IF(AND($I1115="Base",$E1115="Gold"),Dashboard!$R$7,VLOOKUP($I1115,Dashboard!$Q$16:$R$21,2,FALSE)))))*VLOOKUP($I1115,Dashboard!$Q$9:$R$13,2,FALSE)*IF(AND($I1115="Auto",$F1115="",OR($B1115="Autographs Duals",$B1115="Autographs Triples",$B1115="Autographs Quads",$B1115="Autographs Quads (Inscribed)")),IF($B1115="Autographs Duals",2,IF($B1115="Autographs Triples",3,4)),1)))</f>
        <v>0</v>
      </c>
      <c r="AB1115" s="62">
        <f t="shared" si="232"/>
        <v>0</v>
      </c>
      <c r="AC1115" s="62">
        <f t="shared" si="233"/>
        <v>0</v>
      </c>
    </row>
    <row r="1116" spans="1:29" ht="42.95" customHeight="1" x14ac:dyDescent="0.25">
      <c r="A1116" s="4" t="s">
        <v>19</v>
      </c>
      <c r="B1116" s="7" t="s">
        <v>793</v>
      </c>
      <c r="C1116" s="2" t="s">
        <v>1514</v>
      </c>
      <c r="D1116" s="7" t="s">
        <v>1069</v>
      </c>
      <c r="E1116" s="4" t="s">
        <v>829</v>
      </c>
      <c r="F1116" s="2">
        <v>4</v>
      </c>
      <c r="G1116" s="2" t="s">
        <v>1400</v>
      </c>
      <c r="H1116" s="2" t="s">
        <v>1399</v>
      </c>
      <c r="I1116" s="4" t="s">
        <v>60</v>
      </c>
      <c r="J1116" s="112">
        <f>IF($H1116&lt;&gt;"Y",0,ROUND(MIN(Dashboard!$R$24,IF(IFERROR(VLOOKUP($B1116,Dashboard!$Q$28:$S$60,2,FALSE),0)&gt;0,IFERROR(VLOOKUP($B1116,Dashboard!$Q$28:$S$60,2,FALSE),0),$Z1116*IF($U1116&lt;&gt;"",ROUND((Dashboard!$R$4/$U1116)*VLOOKUP($I1116,Dashboard!$Q$9:$R$13,2,FALSE)*IF(ISNUMBER(SEARCH("Duals",$B1116)),2,IF(ISNUMBER(SEARCH("Triples",$B1116)),3,IF(ISNUMBER(SEARCH("Quads",$B1116)),4,1))),2),ROUND(VLOOKUP($I1116,Dashboard!$Q$15:$R$20,2,FALSE)*IF($E1116="Red",Dashboard!$R$6,IF($E1116="Gold",Dashboard!$R$7,Dashboard!$R$5))*IF(ISNUMBER(SEARCH("Duals",$B1116)),2,IF(ISNUMBER(SEARCH("Triples",$B1116)),3,IF(ISNUMBER(SEARCH("Quads",$B1116)),4,1))),2))*IF(IFERROR(VLOOKUP($B1116,Dashboard!$Q$28:$S$60,3,FALSE),0)&gt;0,VLOOKUP($B1116,Dashboard!$Q$28:$S$60,3,FALSE),1))),0))</f>
        <v>0</v>
      </c>
      <c r="K1116" s="2" t="str">
        <f>IF('Base S2'!J16="","",'Base S2'!J16)</f>
        <v/>
      </c>
      <c r="L1116" s="2">
        <f t="shared" si="221"/>
        <v>0</v>
      </c>
      <c r="M1116" s="2">
        <f t="shared" si="222"/>
        <v>0</v>
      </c>
      <c r="N1116" s="2">
        <f t="shared" si="223"/>
        <v>0</v>
      </c>
      <c r="O1116" s="2">
        <f t="shared" si="224"/>
        <v>0</v>
      </c>
      <c r="P1116" s="112">
        <f t="shared" si="225"/>
        <v>0</v>
      </c>
      <c r="Q1116" s="112">
        <f t="shared" si="226"/>
        <v>0</v>
      </c>
      <c r="R1116" s="53"/>
      <c r="S1116" s="53" t="str">
        <f t="shared" si="227"/>
        <v>Base S2|Printing Plates Parallel - Season 2|115|Printing Plate</v>
      </c>
      <c r="T1116" s="57" t="str">
        <f>IF($S1116="","",IFERROR(VLOOKUP($S1116,'Pop Estimates (Non-#d)'!$N$2:$O$500,2,FALSE),""))</f>
        <v/>
      </c>
      <c r="U1116" s="57">
        <f t="shared" si="228"/>
        <v>4</v>
      </c>
      <c r="V1116" s="53" t="str">
        <f t="shared" si="229"/>
        <v/>
      </c>
      <c r="W1116" s="53" t="str">
        <f t="shared" si="230"/>
        <v/>
      </c>
      <c r="X1116" s="53" t="str">
        <f t="shared" si="231"/>
        <v/>
      </c>
      <c r="Y1116" s="57" t="str">
        <f>IF($X1116="","",IFERROR(VLOOKUP($X1116,'Char Popularity'!$A$2:$C$500,2,FALSE),""))</f>
        <v/>
      </c>
      <c r="Z1116" s="56">
        <f>IF($X1116="",1,IFERROR(VLOOKUP($X1116,'Char Popularity'!$A$2:$C$500,3,FALSE),1))</f>
        <v>1</v>
      </c>
      <c r="AA1116" s="62">
        <f>IF($H1116&lt;&gt;"Y",0,(IF($F1116&lt;&gt;"",ROUND(Dashboard!$R$4/$F1116,1),IF(AND($I1116="Base",$E1116="Base"),Dashboard!$R$5,IF(AND($I1116="Base",$E1116="Red"),Dashboard!$R$6,IF(AND($I1116="Base",$E1116="Gold"),Dashboard!$R$7,VLOOKUP($I1116,Dashboard!$Q$16:$R$21,2,FALSE)))))*VLOOKUP($I1116,Dashboard!$Q$9:$R$13,2,FALSE)*IF(AND($I1116="Auto",$F1116="",OR($B1116="Autographs Duals",$B1116="Autographs Triples",$B1116="Autographs Quads",$B1116="Autographs Quads (Inscribed)")),IF($B1116="Autographs Duals",2,IF($B1116="Autographs Triples",3,4)),1)))</f>
        <v>0</v>
      </c>
      <c r="AB1116" s="62">
        <f t="shared" si="232"/>
        <v>0</v>
      </c>
      <c r="AC1116" s="62">
        <f t="shared" si="233"/>
        <v>0</v>
      </c>
    </row>
    <row r="1117" spans="1:29" ht="42.95" customHeight="1" x14ac:dyDescent="0.25">
      <c r="A1117" s="4" t="s">
        <v>19</v>
      </c>
      <c r="B1117" s="7" t="s">
        <v>793</v>
      </c>
      <c r="C1117" s="2" t="s">
        <v>1515</v>
      </c>
      <c r="D1117" s="7" t="s">
        <v>1070</v>
      </c>
      <c r="E1117" s="4" t="s">
        <v>829</v>
      </c>
      <c r="F1117" s="2">
        <v>4</v>
      </c>
      <c r="G1117" s="2" t="s">
        <v>1400</v>
      </c>
      <c r="H1117" s="2" t="s">
        <v>1399</v>
      </c>
      <c r="I1117" s="4" t="s">
        <v>60</v>
      </c>
      <c r="J1117" s="112">
        <f>IF($H1117&lt;&gt;"Y",0,ROUND(MIN(Dashboard!$R$24,IF(IFERROR(VLOOKUP($B1117,Dashboard!$Q$28:$S$60,2,FALSE),0)&gt;0,IFERROR(VLOOKUP($B1117,Dashboard!$Q$28:$S$60,2,FALSE),0),$Z1117*IF($U1117&lt;&gt;"",ROUND((Dashboard!$R$4/$U1117)*VLOOKUP($I1117,Dashboard!$Q$9:$R$13,2,FALSE)*IF(ISNUMBER(SEARCH("Duals",$B1117)),2,IF(ISNUMBER(SEARCH("Triples",$B1117)),3,IF(ISNUMBER(SEARCH("Quads",$B1117)),4,1))),2),ROUND(VLOOKUP($I1117,Dashboard!$Q$15:$R$20,2,FALSE)*IF($E1117="Red",Dashboard!$R$6,IF($E1117="Gold",Dashboard!$R$7,Dashboard!$R$5))*IF(ISNUMBER(SEARCH("Duals",$B1117)),2,IF(ISNUMBER(SEARCH("Triples",$B1117)),3,IF(ISNUMBER(SEARCH("Quads",$B1117)),4,1))),2))*IF(IFERROR(VLOOKUP($B1117,Dashboard!$Q$28:$S$60,3,FALSE),0)&gt;0,VLOOKUP($B1117,Dashboard!$Q$28:$S$60,3,FALSE),1))),0))</f>
        <v>0</v>
      </c>
      <c r="K1117" s="2" t="str">
        <f>IF('Base S2'!J17="","",'Base S2'!J17)</f>
        <v/>
      </c>
      <c r="L1117" s="2">
        <f t="shared" si="221"/>
        <v>0</v>
      </c>
      <c r="M1117" s="2">
        <f t="shared" si="222"/>
        <v>0</v>
      </c>
      <c r="N1117" s="2">
        <f t="shared" si="223"/>
        <v>0</v>
      </c>
      <c r="O1117" s="2">
        <f t="shared" si="224"/>
        <v>0</v>
      </c>
      <c r="P1117" s="112">
        <f t="shared" si="225"/>
        <v>0</v>
      </c>
      <c r="Q1117" s="112">
        <f t="shared" si="226"/>
        <v>0</v>
      </c>
      <c r="R1117" s="53"/>
      <c r="S1117" s="53" t="str">
        <f t="shared" si="227"/>
        <v>Base S2|Printing Plates Parallel - Season 2|116|Printing Plate</v>
      </c>
      <c r="T1117" s="57" t="str">
        <f>IF($S1117="","",IFERROR(VLOOKUP($S1117,'Pop Estimates (Non-#d)'!$N$2:$O$500,2,FALSE),""))</f>
        <v/>
      </c>
      <c r="U1117" s="57">
        <f t="shared" si="228"/>
        <v>4</v>
      </c>
      <c r="V1117" s="53" t="str">
        <f t="shared" si="229"/>
        <v/>
      </c>
      <c r="W1117" s="53" t="str">
        <f t="shared" si="230"/>
        <v/>
      </c>
      <c r="X1117" s="53" t="str">
        <f t="shared" si="231"/>
        <v/>
      </c>
      <c r="Y1117" s="57" t="str">
        <f>IF($X1117="","",IFERROR(VLOOKUP($X1117,'Char Popularity'!$A$2:$C$500,2,FALSE),""))</f>
        <v/>
      </c>
      <c r="Z1117" s="56">
        <f>IF($X1117="",1,IFERROR(VLOOKUP($X1117,'Char Popularity'!$A$2:$C$500,3,FALSE),1))</f>
        <v>1</v>
      </c>
      <c r="AA1117" s="62">
        <f>IF($H1117&lt;&gt;"Y",0,(IF($F1117&lt;&gt;"",ROUND(Dashboard!$R$4/$F1117,1),IF(AND($I1117="Base",$E1117="Base"),Dashboard!$R$5,IF(AND($I1117="Base",$E1117="Red"),Dashboard!$R$6,IF(AND($I1117="Base",$E1117="Gold"),Dashboard!$R$7,VLOOKUP($I1117,Dashboard!$Q$16:$R$21,2,FALSE)))))*VLOOKUP($I1117,Dashboard!$Q$9:$R$13,2,FALSE)*IF(AND($I1117="Auto",$F1117="",OR($B1117="Autographs Duals",$B1117="Autographs Triples",$B1117="Autographs Quads",$B1117="Autographs Quads (Inscribed)")),IF($B1117="Autographs Duals",2,IF($B1117="Autographs Triples",3,4)),1)))</f>
        <v>0</v>
      </c>
      <c r="AB1117" s="62">
        <f t="shared" si="232"/>
        <v>0</v>
      </c>
      <c r="AC1117" s="62">
        <f t="shared" si="233"/>
        <v>0</v>
      </c>
    </row>
    <row r="1118" spans="1:29" ht="42.95" customHeight="1" x14ac:dyDescent="0.25">
      <c r="A1118" s="4" t="s">
        <v>19</v>
      </c>
      <c r="B1118" s="7" t="s">
        <v>793</v>
      </c>
      <c r="C1118" s="2" t="s">
        <v>1516</v>
      </c>
      <c r="D1118" s="7" t="s">
        <v>695</v>
      </c>
      <c r="E1118" s="4" t="s">
        <v>829</v>
      </c>
      <c r="F1118" s="2">
        <v>4</v>
      </c>
      <c r="G1118" s="2" t="s">
        <v>1400</v>
      </c>
      <c r="H1118" s="2" t="s">
        <v>1399</v>
      </c>
      <c r="I1118" s="4" t="s">
        <v>60</v>
      </c>
      <c r="J1118" s="112">
        <f>IF($H1118&lt;&gt;"Y",0,ROUND(MIN(Dashboard!$R$24,IF(IFERROR(VLOOKUP($B1118,Dashboard!$Q$28:$S$60,2,FALSE),0)&gt;0,IFERROR(VLOOKUP($B1118,Dashboard!$Q$28:$S$60,2,FALSE),0),$Z1118*IF($U1118&lt;&gt;"",ROUND((Dashboard!$R$4/$U1118)*VLOOKUP($I1118,Dashboard!$Q$9:$R$13,2,FALSE)*IF(ISNUMBER(SEARCH("Duals",$B1118)),2,IF(ISNUMBER(SEARCH("Triples",$B1118)),3,IF(ISNUMBER(SEARCH("Quads",$B1118)),4,1))),2),ROUND(VLOOKUP($I1118,Dashboard!$Q$15:$R$20,2,FALSE)*IF($E1118="Red",Dashboard!$R$6,IF($E1118="Gold",Dashboard!$R$7,Dashboard!$R$5))*IF(ISNUMBER(SEARCH("Duals",$B1118)),2,IF(ISNUMBER(SEARCH("Triples",$B1118)),3,IF(ISNUMBER(SEARCH("Quads",$B1118)),4,1))),2))*IF(IFERROR(VLOOKUP($B1118,Dashboard!$Q$28:$S$60,3,FALSE),0)&gt;0,VLOOKUP($B1118,Dashboard!$Q$28:$S$60,3,FALSE),1))),0))</f>
        <v>0</v>
      </c>
      <c r="K1118" s="2" t="str">
        <f>IF('Base S2'!J18="","",'Base S2'!J18)</f>
        <v/>
      </c>
      <c r="L1118" s="2">
        <f t="shared" si="221"/>
        <v>0</v>
      </c>
      <c r="M1118" s="2">
        <f t="shared" si="222"/>
        <v>0</v>
      </c>
      <c r="N1118" s="2">
        <f t="shared" si="223"/>
        <v>0</v>
      </c>
      <c r="O1118" s="2">
        <f t="shared" si="224"/>
        <v>0</v>
      </c>
      <c r="P1118" s="112">
        <f t="shared" si="225"/>
        <v>0</v>
      </c>
      <c r="Q1118" s="112">
        <f t="shared" si="226"/>
        <v>0</v>
      </c>
      <c r="R1118" s="53"/>
      <c r="S1118" s="53" t="str">
        <f t="shared" si="227"/>
        <v>Base S2|Printing Plates Parallel - Season 2|117|Printing Plate</v>
      </c>
      <c r="T1118" s="57" t="str">
        <f>IF($S1118="","",IFERROR(VLOOKUP($S1118,'Pop Estimates (Non-#d)'!$N$2:$O$500,2,FALSE),""))</f>
        <v/>
      </c>
      <c r="U1118" s="57">
        <f t="shared" si="228"/>
        <v>4</v>
      </c>
      <c r="V1118" s="53" t="str">
        <f t="shared" si="229"/>
        <v/>
      </c>
      <c r="W1118" s="53" t="str">
        <f t="shared" si="230"/>
        <v/>
      </c>
      <c r="X1118" s="53" t="str">
        <f t="shared" si="231"/>
        <v/>
      </c>
      <c r="Y1118" s="57" t="str">
        <f>IF($X1118="","",IFERROR(VLOOKUP($X1118,'Char Popularity'!$A$2:$C$500,2,FALSE),""))</f>
        <v/>
      </c>
      <c r="Z1118" s="56">
        <f>IF($X1118="",1,IFERROR(VLOOKUP($X1118,'Char Popularity'!$A$2:$C$500,3,FALSE),1))</f>
        <v>1</v>
      </c>
      <c r="AA1118" s="62">
        <f>IF($H1118&lt;&gt;"Y",0,(IF($F1118&lt;&gt;"",ROUND(Dashboard!$R$4/$F1118,1),IF(AND($I1118="Base",$E1118="Base"),Dashboard!$R$5,IF(AND($I1118="Base",$E1118="Red"),Dashboard!$R$6,IF(AND($I1118="Base",$E1118="Gold"),Dashboard!$R$7,VLOOKUP($I1118,Dashboard!$Q$16:$R$21,2,FALSE)))))*VLOOKUP($I1118,Dashboard!$Q$9:$R$13,2,FALSE)*IF(AND($I1118="Auto",$F1118="",OR($B1118="Autographs Duals",$B1118="Autographs Triples",$B1118="Autographs Quads",$B1118="Autographs Quads (Inscribed)")),IF($B1118="Autographs Duals",2,IF($B1118="Autographs Triples",3,4)),1)))</f>
        <v>0</v>
      </c>
      <c r="AB1118" s="62">
        <f t="shared" si="232"/>
        <v>0</v>
      </c>
      <c r="AC1118" s="62">
        <f t="shared" si="233"/>
        <v>0</v>
      </c>
    </row>
    <row r="1119" spans="1:29" ht="42.95" customHeight="1" x14ac:dyDescent="0.25">
      <c r="A1119" s="4" t="s">
        <v>19</v>
      </c>
      <c r="B1119" s="7" t="s">
        <v>793</v>
      </c>
      <c r="C1119" s="2" t="s">
        <v>1517</v>
      </c>
      <c r="D1119" s="7" t="s">
        <v>1072</v>
      </c>
      <c r="E1119" s="4" t="s">
        <v>829</v>
      </c>
      <c r="F1119" s="2">
        <v>4</v>
      </c>
      <c r="G1119" s="2" t="s">
        <v>1400</v>
      </c>
      <c r="H1119" s="2" t="s">
        <v>1399</v>
      </c>
      <c r="I1119" s="4" t="s">
        <v>60</v>
      </c>
      <c r="J1119" s="112">
        <f>IF($H1119&lt;&gt;"Y",0,ROUND(MIN(Dashboard!$R$24,IF(IFERROR(VLOOKUP($B1119,Dashboard!$Q$28:$S$60,2,FALSE),0)&gt;0,IFERROR(VLOOKUP($B1119,Dashboard!$Q$28:$S$60,2,FALSE),0),$Z1119*IF($U1119&lt;&gt;"",ROUND((Dashboard!$R$4/$U1119)*VLOOKUP($I1119,Dashboard!$Q$9:$R$13,2,FALSE)*IF(ISNUMBER(SEARCH("Duals",$B1119)),2,IF(ISNUMBER(SEARCH("Triples",$B1119)),3,IF(ISNUMBER(SEARCH("Quads",$B1119)),4,1))),2),ROUND(VLOOKUP($I1119,Dashboard!$Q$15:$R$20,2,FALSE)*IF($E1119="Red",Dashboard!$R$6,IF($E1119="Gold",Dashboard!$R$7,Dashboard!$R$5))*IF(ISNUMBER(SEARCH("Duals",$B1119)),2,IF(ISNUMBER(SEARCH("Triples",$B1119)),3,IF(ISNUMBER(SEARCH("Quads",$B1119)),4,1))),2))*IF(IFERROR(VLOOKUP($B1119,Dashboard!$Q$28:$S$60,3,FALSE),0)&gt;0,VLOOKUP($B1119,Dashboard!$Q$28:$S$60,3,FALSE),1))),0))</f>
        <v>0</v>
      </c>
      <c r="K1119" s="2" t="str">
        <f>IF('Base S2'!J19="","",'Base S2'!J19)</f>
        <v/>
      </c>
      <c r="L1119" s="2">
        <f t="shared" si="221"/>
        <v>0</v>
      </c>
      <c r="M1119" s="2">
        <f t="shared" si="222"/>
        <v>0</v>
      </c>
      <c r="N1119" s="2">
        <f t="shared" si="223"/>
        <v>0</v>
      </c>
      <c r="O1119" s="2">
        <f t="shared" si="224"/>
        <v>0</v>
      </c>
      <c r="P1119" s="112">
        <f t="shared" si="225"/>
        <v>0</v>
      </c>
      <c r="Q1119" s="112">
        <f t="shared" si="226"/>
        <v>0</v>
      </c>
      <c r="R1119" s="53"/>
      <c r="S1119" s="53" t="str">
        <f t="shared" si="227"/>
        <v>Base S2|Printing Plates Parallel - Season 2|118|Printing Plate</v>
      </c>
      <c r="T1119" s="57" t="str">
        <f>IF($S1119="","",IFERROR(VLOOKUP($S1119,'Pop Estimates (Non-#d)'!$N$2:$O$500,2,FALSE),""))</f>
        <v/>
      </c>
      <c r="U1119" s="57">
        <f t="shared" si="228"/>
        <v>4</v>
      </c>
      <c r="V1119" s="53" t="str">
        <f t="shared" si="229"/>
        <v/>
      </c>
      <c r="W1119" s="53" t="str">
        <f t="shared" si="230"/>
        <v/>
      </c>
      <c r="X1119" s="53" t="str">
        <f t="shared" si="231"/>
        <v/>
      </c>
      <c r="Y1119" s="57" t="str">
        <f>IF($X1119="","",IFERROR(VLOOKUP($X1119,'Char Popularity'!$A$2:$C$500,2,FALSE),""))</f>
        <v/>
      </c>
      <c r="Z1119" s="56">
        <f>IF($X1119="",1,IFERROR(VLOOKUP($X1119,'Char Popularity'!$A$2:$C$500,3,FALSE),1))</f>
        <v>1</v>
      </c>
      <c r="AA1119" s="62">
        <f>IF($H1119&lt;&gt;"Y",0,(IF($F1119&lt;&gt;"",ROUND(Dashboard!$R$4/$F1119,1),IF(AND($I1119="Base",$E1119="Base"),Dashboard!$R$5,IF(AND($I1119="Base",$E1119="Red"),Dashboard!$R$6,IF(AND($I1119="Base",$E1119="Gold"),Dashboard!$R$7,VLOOKUP($I1119,Dashboard!$Q$16:$R$21,2,FALSE)))))*VLOOKUP($I1119,Dashboard!$Q$9:$R$13,2,FALSE)*IF(AND($I1119="Auto",$F1119="",OR($B1119="Autographs Duals",$B1119="Autographs Triples",$B1119="Autographs Quads",$B1119="Autographs Quads (Inscribed)")),IF($B1119="Autographs Duals",2,IF($B1119="Autographs Triples",3,4)),1)))</f>
        <v>0</v>
      </c>
      <c r="AB1119" s="62">
        <f t="shared" si="232"/>
        <v>0</v>
      </c>
      <c r="AC1119" s="62">
        <f t="shared" si="233"/>
        <v>0</v>
      </c>
    </row>
    <row r="1120" spans="1:29" ht="42.95" customHeight="1" x14ac:dyDescent="0.25">
      <c r="A1120" s="4" t="s">
        <v>19</v>
      </c>
      <c r="B1120" s="7" t="s">
        <v>793</v>
      </c>
      <c r="C1120" s="2" t="s">
        <v>1518</v>
      </c>
      <c r="D1120" s="7" t="s">
        <v>1073</v>
      </c>
      <c r="E1120" s="4" t="s">
        <v>829</v>
      </c>
      <c r="F1120" s="2">
        <v>4</v>
      </c>
      <c r="G1120" s="2" t="s">
        <v>1400</v>
      </c>
      <c r="H1120" s="2" t="s">
        <v>1399</v>
      </c>
      <c r="I1120" s="4" t="s">
        <v>60</v>
      </c>
      <c r="J1120" s="112">
        <f>IF($H1120&lt;&gt;"Y",0,ROUND(MIN(Dashboard!$R$24,IF(IFERROR(VLOOKUP($B1120,Dashboard!$Q$28:$S$60,2,FALSE),0)&gt;0,IFERROR(VLOOKUP($B1120,Dashboard!$Q$28:$S$60,2,FALSE),0),$Z1120*IF($U1120&lt;&gt;"",ROUND((Dashboard!$R$4/$U1120)*VLOOKUP($I1120,Dashboard!$Q$9:$R$13,2,FALSE)*IF(ISNUMBER(SEARCH("Duals",$B1120)),2,IF(ISNUMBER(SEARCH("Triples",$B1120)),3,IF(ISNUMBER(SEARCH("Quads",$B1120)),4,1))),2),ROUND(VLOOKUP($I1120,Dashboard!$Q$15:$R$20,2,FALSE)*IF($E1120="Red",Dashboard!$R$6,IF($E1120="Gold",Dashboard!$R$7,Dashboard!$R$5))*IF(ISNUMBER(SEARCH("Duals",$B1120)),2,IF(ISNUMBER(SEARCH("Triples",$B1120)),3,IF(ISNUMBER(SEARCH("Quads",$B1120)),4,1))),2))*IF(IFERROR(VLOOKUP($B1120,Dashboard!$Q$28:$S$60,3,FALSE),0)&gt;0,VLOOKUP($B1120,Dashboard!$Q$28:$S$60,3,FALSE),1))),0))</f>
        <v>0</v>
      </c>
      <c r="K1120" s="2" t="str">
        <f>IF('Base S2'!J20="","",'Base S2'!J20)</f>
        <v/>
      </c>
      <c r="L1120" s="2">
        <f t="shared" si="221"/>
        <v>0</v>
      </c>
      <c r="M1120" s="2">
        <f t="shared" si="222"/>
        <v>0</v>
      </c>
      <c r="N1120" s="2">
        <f t="shared" si="223"/>
        <v>0</v>
      </c>
      <c r="O1120" s="2">
        <f t="shared" si="224"/>
        <v>0</v>
      </c>
      <c r="P1120" s="112">
        <f t="shared" si="225"/>
        <v>0</v>
      </c>
      <c r="Q1120" s="112">
        <f t="shared" si="226"/>
        <v>0</v>
      </c>
      <c r="R1120" s="53"/>
      <c r="S1120" s="53" t="str">
        <f t="shared" si="227"/>
        <v>Base S2|Printing Plates Parallel - Season 2|119|Printing Plate</v>
      </c>
      <c r="T1120" s="57" t="str">
        <f>IF($S1120="","",IFERROR(VLOOKUP($S1120,'Pop Estimates (Non-#d)'!$N$2:$O$500,2,FALSE),""))</f>
        <v/>
      </c>
      <c r="U1120" s="57">
        <f t="shared" si="228"/>
        <v>4</v>
      </c>
      <c r="V1120" s="53" t="str">
        <f t="shared" si="229"/>
        <v/>
      </c>
      <c r="W1120" s="53" t="str">
        <f t="shared" si="230"/>
        <v/>
      </c>
      <c r="X1120" s="53" t="str">
        <f t="shared" si="231"/>
        <v/>
      </c>
      <c r="Y1120" s="57" t="str">
        <f>IF($X1120="","",IFERROR(VLOOKUP($X1120,'Char Popularity'!$A$2:$C$500,2,FALSE),""))</f>
        <v/>
      </c>
      <c r="Z1120" s="56">
        <f>IF($X1120="",1,IFERROR(VLOOKUP($X1120,'Char Popularity'!$A$2:$C$500,3,FALSE),1))</f>
        <v>1</v>
      </c>
      <c r="AA1120" s="62">
        <f>IF($H1120&lt;&gt;"Y",0,(IF($F1120&lt;&gt;"",ROUND(Dashboard!$R$4/$F1120,1),IF(AND($I1120="Base",$E1120="Base"),Dashboard!$R$5,IF(AND($I1120="Base",$E1120="Red"),Dashboard!$R$6,IF(AND($I1120="Base",$E1120="Gold"),Dashboard!$R$7,VLOOKUP($I1120,Dashboard!$Q$16:$R$21,2,FALSE)))))*VLOOKUP($I1120,Dashboard!$Q$9:$R$13,2,FALSE)*IF(AND($I1120="Auto",$F1120="",OR($B1120="Autographs Duals",$B1120="Autographs Triples",$B1120="Autographs Quads",$B1120="Autographs Quads (Inscribed)")),IF($B1120="Autographs Duals",2,IF($B1120="Autographs Triples",3,4)),1)))</f>
        <v>0</v>
      </c>
      <c r="AB1120" s="62">
        <f t="shared" si="232"/>
        <v>0</v>
      </c>
      <c r="AC1120" s="62">
        <f t="shared" si="233"/>
        <v>0</v>
      </c>
    </row>
    <row r="1121" spans="1:29" ht="42.95" customHeight="1" x14ac:dyDescent="0.25">
      <c r="A1121" s="4" t="s">
        <v>19</v>
      </c>
      <c r="B1121" s="7" t="s">
        <v>793</v>
      </c>
      <c r="C1121" s="2" t="s">
        <v>1519</v>
      </c>
      <c r="D1121" s="7" t="s">
        <v>1075</v>
      </c>
      <c r="E1121" s="4" t="s">
        <v>829</v>
      </c>
      <c r="F1121" s="2">
        <v>4</v>
      </c>
      <c r="G1121" s="2" t="s">
        <v>1400</v>
      </c>
      <c r="H1121" s="2" t="s">
        <v>1399</v>
      </c>
      <c r="I1121" s="4" t="s">
        <v>60</v>
      </c>
      <c r="J1121" s="112">
        <f>IF($H1121&lt;&gt;"Y",0,ROUND(MIN(Dashboard!$R$24,IF(IFERROR(VLOOKUP($B1121,Dashboard!$Q$28:$S$60,2,FALSE),0)&gt;0,IFERROR(VLOOKUP($B1121,Dashboard!$Q$28:$S$60,2,FALSE),0),$Z1121*IF($U1121&lt;&gt;"",ROUND((Dashboard!$R$4/$U1121)*VLOOKUP($I1121,Dashboard!$Q$9:$R$13,2,FALSE)*IF(ISNUMBER(SEARCH("Duals",$B1121)),2,IF(ISNUMBER(SEARCH("Triples",$B1121)),3,IF(ISNUMBER(SEARCH("Quads",$B1121)),4,1))),2),ROUND(VLOOKUP($I1121,Dashboard!$Q$15:$R$20,2,FALSE)*IF($E1121="Red",Dashboard!$R$6,IF($E1121="Gold",Dashboard!$R$7,Dashboard!$R$5))*IF(ISNUMBER(SEARCH("Duals",$B1121)),2,IF(ISNUMBER(SEARCH("Triples",$B1121)),3,IF(ISNUMBER(SEARCH("Quads",$B1121)),4,1))),2))*IF(IFERROR(VLOOKUP($B1121,Dashboard!$Q$28:$S$60,3,FALSE),0)&gt;0,VLOOKUP($B1121,Dashboard!$Q$28:$S$60,3,FALSE),1))),0))</f>
        <v>0</v>
      </c>
      <c r="K1121" s="2" t="str">
        <f>IF('Base S2'!J21="","",'Base S2'!J21)</f>
        <v/>
      </c>
      <c r="L1121" s="2">
        <f t="shared" si="221"/>
        <v>0</v>
      </c>
      <c r="M1121" s="2">
        <f t="shared" si="222"/>
        <v>0</v>
      </c>
      <c r="N1121" s="2">
        <f t="shared" si="223"/>
        <v>0</v>
      </c>
      <c r="O1121" s="2">
        <f t="shared" si="224"/>
        <v>0</v>
      </c>
      <c r="P1121" s="112">
        <f t="shared" si="225"/>
        <v>0</v>
      </c>
      <c r="Q1121" s="112">
        <f t="shared" si="226"/>
        <v>0</v>
      </c>
      <c r="R1121" s="53"/>
      <c r="S1121" s="53" t="str">
        <f t="shared" si="227"/>
        <v>Base S2|Printing Plates Parallel - Season 2|120|Printing Plate</v>
      </c>
      <c r="T1121" s="57" t="str">
        <f>IF($S1121="","",IFERROR(VLOOKUP($S1121,'Pop Estimates (Non-#d)'!$N$2:$O$500,2,FALSE),""))</f>
        <v/>
      </c>
      <c r="U1121" s="57">
        <f t="shared" si="228"/>
        <v>4</v>
      </c>
      <c r="V1121" s="53" t="str">
        <f t="shared" si="229"/>
        <v/>
      </c>
      <c r="W1121" s="53" t="str">
        <f t="shared" si="230"/>
        <v/>
      </c>
      <c r="X1121" s="53" t="str">
        <f t="shared" si="231"/>
        <v/>
      </c>
      <c r="Y1121" s="57" t="str">
        <f>IF($X1121="","",IFERROR(VLOOKUP($X1121,'Char Popularity'!$A$2:$C$500,2,FALSE),""))</f>
        <v/>
      </c>
      <c r="Z1121" s="56">
        <f>IF($X1121="",1,IFERROR(VLOOKUP($X1121,'Char Popularity'!$A$2:$C$500,3,FALSE),1))</f>
        <v>1</v>
      </c>
      <c r="AA1121" s="62">
        <f>IF($H1121&lt;&gt;"Y",0,(IF($F1121&lt;&gt;"",ROUND(Dashboard!$R$4/$F1121,1),IF(AND($I1121="Base",$E1121="Base"),Dashboard!$R$5,IF(AND($I1121="Base",$E1121="Red"),Dashboard!$R$6,IF(AND($I1121="Base",$E1121="Gold"),Dashboard!$R$7,VLOOKUP($I1121,Dashboard!$Q$16:$R$21,2,FALSE)))))*VLOOKUP($I1121,Dashboard!$Q$9:$R$13,2,FALSE)*IF(AND($I1121="Auto",$F1121="",OR($B1121="Autographs Duals",$B1121="Autographs Triples",$B1121="Autographs Quads",$B1121="Autographs Quads (Inscribed)")),IF($B1121="Autographs Duals",2,IF($B1121="Autographs Triples",3,4)),1)))</f>
        <v>0</v>
      </c>
      <c r="AB1121" s="62">
        <f t="shared" si="232"/>
        <v>0</v>
      </c>
      <c r="AC1121" s="62">
        <f t="shared" si="233"/>
        <v>0</v>
      </c>
    </row>
    <row r="1122" spans="1:29" ht="42.95" customHeight="1" x14ac:dyDescent="0.25">
      <c r="A1122" s="4" t="s">
        <v>19</v>
      </c>
      <c r="B1122" s="7" t="s">
        <v>793</v>
      </c>
      <c r="C1122" s="2" t="s">
        <v>1520</v>
      </c>
      <c r="D1122" s="7" t="s">
        <v>1077</v>
      </c>
      <c r="E1122" s="4" t="s">
        <v>829</v>
      </c>
      <c r="F1122" s="2">
        <v>4</v>
      </c>
      <c r="G1122" s="2" t="s">
        <v>1400</v>
      </c>
      <c r="H1122" s="2" t="s">
        <v>1399</v>
      </c>
      <c r="I1122" s="4" t="s">
        <v>60</v>
      </c>
      <c r="J1122" s="112">
        <f>IF($H1122&lt;&gt;"Y",0,ROUND(MIN(Dashboard!$R$24,IF(IFERROR(VLOOKUP($B1122,Dashboard!$Q$28:$S$60,2,FALSE),0)&gt;0,IFERROR(VLOOKUP($B1122,Dashboard!$Q$28:$S$60,2,FALSE),0),$Z1122*IF($U1122&lt;&gt;"",ROUND((Dashboard!$R$4/$U1122)*VLOOKUP($I1122,Dashboard!$Q$9:$R$13,2,FALSE)*IF(ISNUMBER(SEARCH("Duals",$B1122)),2,IF(ISNUMBER(SEARCH("Triples",$B1122)),3,IF(ISNUMBER(SEARCH("Quads",$B1122)),4,1))),2),ROUND(VLOOKUP($I1122,Dashboard!$Q$15:$R$20,2,FALSE)*IF($E1122="Red",Dashboard!$R$6,IF($E1122="Gold",Dashboard!$R$7,Dashboard!$R$5))*IF(ISNUMBER(SEARCH("Duals",$B1122)),2,IF(ISNUMBER(SEARCH("Triples",$B1122)),3,IF(ISNUMBER(SEARCH("Quads",$B1122)),4,1))),2))*IF(IFERROR(VLOOKUP($B1122,Dashboard!$Q$28:$S$60,3,FALSE),0)&gt;0,VLOOKUP($B1122,Dashboard!$Q$28:$S$60,3,FALSE),1))),0))</f>
        <v>0</v>
      </c>
      <c r="K1122" s="2" t="str">
        <f>IF('Base S2'!J22="","",'Base S2'!J22)</f>
        <v/>
      </c>
      <c r="L1122" s="2">
        <f t="shared" si="221"/>
        <v>0</v>
      </c>
      <c r="M1122" s="2">
        <f t="shared" si="222"/>
        <v>0</v>
      </c>
      <c r="N1122" s="2">
        <f t="shared" si="223"/>
        <v>0</v>
      </c>
      <c r="O1122" s="2">
        <f t="shared" si="224"/>
        <v>0</v>
      </c>
      <c r="P1122" s="112">
        <f t="shared" si="225"/>
        <v>0</v>
      </c>
      <c r="Q1122" s="112">
        <f t="shared" si="226"/>
        <v>0</v>
      </c>
      <c r="R1122" s="53"/>
      <c r="S1122" s="53" t="str">
        <f t="shared" si="227"/>
        <v>Base S2|Printing Plates Parallel - Season 2|121|Printing Plate</v>
      </c>
      <c r="T1122" s="57" t="str">
        <f>IF($S1122="","",IFERROR(VLOOKUP($S1122,'Pop Estimates (Non-#d)'!$N$2:$O$500,2,FALSE),""))</f>
        <v/>
      </c>
      <c r="U1122" s="57">
        <f t="shared" si="228"/>
        <v>4</v>
      </c>
      <c r="V1122" s="53" t="str">
        <f t="shared" si="229"/>
        <v/>
      </c>
      <c r="W1122" s="53" t="str">
        <f t="shared" si="230"/>
        <v/>
      </c>
      <c r="X1122" s="53" t="str">
        <f t="shared" si="231"/>
        <v/>
      </c>
      <c r="Y1122" s="57" t="str">
        <f>IF($X1122="","",IFERROR(VLOOKUP($X1122,'Char Popularity'!$A$2:$C$500,2,FALSE),""))</f>
        <v/>
      </c>
      <c r="Z1122" s="56">
        <f>IF($X1122="",1,IFERROR(VLOOKUP($X1122,'Char Popularity'!$A$2:$C$500,3,FALSE),1))</f>
        <v>1</v>
      </c>
      <c r="AA1122" s="62">
        <f>IF($H1122&lt;&gt;"Y",0,(IF($F1122&lt;&gt;"",ROUND(Dashboard!$R$4/$F1122,1),IF(AND($I1122="Base",$E1122="Base"),Dashboard!$R$5,IF(AND($I1122="Base",$E1122="Red"),Dashboard!$R$6,IF(AND($I1122="Base",$E1122="Gold"),Dashboard!$R$7,VLOOKUP($I1122,Dashboard!$Q$16:$R$21,2,FALSE)))))*VLOOKUP($I1122,Dashboard!$Q$9:$R$13,2,FALSE)*IF(AND($I1122="Auto",$F1122="",OR($B1122="Autographs Duals",$B1122="Autographs Triples",$B1122="Autographs Quads",$B1122="Autographs Quads (Inscribed)")),IF($B1122="Autographs Duals",2,IF($B1122="Autographs Triples",3,4)),1)))</f>
        <v>0</v>
      </c>
      <c r="AB1122" s="62">
        <f t="shared" si="232"/>
        <v>0</v>
      </c>
      <c r="AC1122" s="62">
        <f t="shared" si="233"/>
        <v>0</v>
      </c>
    </row>
    <row r="1123" spans="1:29" ht="42.95" customHeight="1" x14ac:dyDescent="0.25">
      <c r="A1123" s="4" t="s">
        <v>19</v>
      </c>
      <c r="B1123" s="7" t="s">
        <v>793</v>
      </c>
      <c r="C1123" s="2" t="s">
        <v>1521</v>
      </c>
      <c r="D1123" s="7" t="s">
        <v>1079</v>
      </c>
      <c r="E1123" s="4" t="s">
        <v>829</v>
      </c>
      <c r="F1123" s="2">
        <v>4</v>
      </c>
      <c r="G1123" s="2" t="s">
        <v>1400</v>
      </c>
      <c r="H1123" s="2" t="s">
        <v>1399</v>
      </c>
      <c r="I1123" s="4" t="s">
        <v>60</v>
      </c>
      <c r="J1123" s="112">
        <f>IF($H1123&lt;&gt;"Y",0,ROUND(MIN(Dashboard!$R$24,IF(IFERROR(VLOOKUP($B1123,Dashboard!$Q$28:$S$60,2,FALSE),0)&gt;0,IFERROR(VLOOKUP($B1123,Dashboard!$Q$28:$S$60,2,FALSE),0),$Z1123*IF($U1123&lt;&gt;"",ROUND((Dashboard!$R$4/$U1123)*VLOOKUP($I1123,Dashboard!$Q$9:$R$13,2,FALSE)*IF(ISNUMBER(SEARCH("Duals",$B1123)),2,IF(ISNUMBER(SEARCH("Triples",$B1123)),3,IF(ISNUMBER(SEARCH("Quads",$B1123)),4,1))),2),ROUND(VLOOKUP($I1123,Dashboard!$Q$15:$R$20,2,FALSE)*IF($E1123="Red",Dashboard!$R$6,IF($E1123="Gold",Dashboard!$R$7,Dashboard!$R$5))*IF(ISNUMBER(SEARCH("Duals",$B1123)),2,IF(ISNUMBER(SEARCH("Triples",$B1123)),3,IF(ISNUMBER(SEARCH("Quads",$B1123)),4,1))),2))*IF(IFERROR(VLOOKUP($B1123,Dashboard!$Q$28:$S$60,3,FALSE),0)&gt;0,VLOOKUP($B1123,Dashboard!$Q$28:$S$60,3,FALSE),1))),0))</f>
        <v>0</v>
      </c>
      <c r="K1123" s="2" t="str">
        <f>IF('Base S2'!J23="","",'Base S2'!J23)</f>
        <v/>
      </c>
      <c r="L1123" s="2">
        <f t="shared" si="221"/>
        <v>0</v>
      </c>
      <c r="M1123" s="2">
        <f t="shared" si="222"/>
        <v>0</v>
      </c>
      <c r="N1123" s="2">
        <f t="shared" si="223"/>
        <v>0</v>
      </c>
      <c r="O1123" s="2">
        <f t="shared" si="224"/>
        <v>0</v>
      </c>
      <c r="P1123" s="112">
        <f t="shared" si="225"/>
        <v>0</v>
      </c>
      <c r="Q1123" s="112">
        <f t="shared" si="226"/>
        <v>0</v>
      </c>
      <c r="R1123" s="53"/>
      <c r="S1123" s="53" t="str">
        <f t="shared" si="227"/>
        <v>Base S2|Printing Plates Parallel - Season 2|122|Printing Plate</v>
      </c>
      <c r="T1123" s="57" t="str">
        <f>IF($S1123="","",IFERROR(VLOOKUP($S1123,'Pop Estimates (Non-#d)'!$N$2:$O$500,2,FALSE),""))</f>
        <v/>
      </c>
      <c r="U1123" s="57">
        <f t="shared" si="228"/>
        <v>4</v>
      </c>
      <c r="V1123" s="53" t="str">
        <f t="shared" si="229"/>
        <v/>
      </c>
      <c r="W1123" s="53" t="str">
        <f t="shared" si="230"/>
        <v/>
      </c>
      <c r="X1123" s="53" t="str">
        <f t="shared" si="231"/>
        <v/>
      </c>
      <c r="Y1123" s="57" t="str">
        <f>IF($X1123="","",IFERROR(VLOOKUP($X1123,'Char Popularity'!$A$2:$C$500,2,FALSE),""))</f>
        <v/>
      </c>
      <c r="Z1123" s="56">
        <f>IF($X1123="",1,IFERROR(VLOOKUP($X1123,'Char Popularity'!$A$2:$C$500,3,FALSE),1))</f>
        <v>1</v>
      </c>
      <c r="AA1123" s="62">
        <f>IF($H1123&lt;&gt;"Y",0,(IF($F1123&lt;&gt;"",ROUND(Dashboard!$R$4/$F1123,1),IF(AND($I1123="Base",$E1123="Base"),Dashboard!$R$5,IF(AND($I1123="Base",$E1123="Red"),Dashboard!$R$6,IF(AND($I1123="Base",$E1123="Gold"),Dashboard!$R$7,VLOOKUP($I1123,Dashboard!$Q$16:$R$21,2,FALSE)))))*VLOOKUP($I1123,Dashboard!$Q$9:$R$13,2,FALSE)*IF(AND($I1123="Auto",$F1123="",OR($B1123="Autographs Duals",$B1123="Autographs Triples",$B1123="Autographs Quads",$B1123="Autographs Quads (Inscribed)")),IF($B1123="Autographs Duals",2,IF($B1123="Autographs Triples",3,4)),1)))</f>
        <v>0</v>
      </c>
      <c r="AB1123" s="62">
        <f t="shared" si="232"/>
        <v>0</v>
      </c>
      <c r="AC1123" s="62">
        <f t="shared" si="233"/>
        <v>0</v>
      </c>
    </row>
    <row r="1124" spans="1:29" ht="42.95" customHeight="1" x14ac:dyDescent="0.25">
      <c r="A1124" s="4" t="s">
        <v>19</v>
      </c>
      <c r="B1124" s="7" t="s">
        <v>793</v>
      </c>
      <c r="C1124" s="2" t="s">
        <v>1522</v>
      </c>
      <c r="D1124" s="7" t="s">
        <v>1080</v>
      </c>
      <c r="E1124" s="4" t="s">
        <v>829</v>
      </c>
      <c r="F1124" s="2">
        <v>4</v>
      </c>
      <c r="G1124" s="2" t="s">
        <v>1400</v>
      </c>
      <c r="H1124" s="2" t="s">
        <v>1399</v>
      </c>
      <c r="I1124" s="4" t="s">
        <v>60</v>
      </c>
      <c r="J1124" s="112">
        <f>IF($H1124&lt;&gt;"Y",0,ROUND(MIN(Dashboard!$R$24,IF(IFERROR(VLOOKUP($B1124,Dashboard!$Q$28:$S$60,2,FALSE),0)&gt;0,IFERROR(VLOOKUP($B1124,Dashboard!$Q$28:$S$60,2,FALSE),0),$Z1124*IF($U1124&lt;&gt;"",ROUND((Dashboard!$R$4/$U1124)*VLOOKUP($I1124,Dashboard!$Q$9:$R$13,2,FALSE)*IF(ISNUMBER(SEARCH("Duals",$B1124)),2,IF(ISNUMBER(SEARCH("Triples",$B1124)),3,IF(ISNUMBER(SEARCH("Quads",$B1124)),4,1))),2),ROUND(VLOOKUP($I1124,Dashboard!$Q$15:$R$20,2,FALSE)*IF($E1124="Red",Dashboard!$R$6,IF($E1124="Gold",Dashboard!$R$7,Dashboard!$R$5))*IF(ISNUMBER(SEARCH("Duals",$B1124)),2,IF(ISNUMBER(SEARCH("Triples",$B1124)),3,IF(ISNUMBER(SEARCH("Quads",$B1124)),4,1))),2))*IF(IFERROR(VLOOKUP($B1124,Dashboard!$Q$28:$S$60,3,FALSE),0)&gt;0,VLOOKUP($B1124,Dashboard!$Q$28:$S$60,3,FALSE),1))),0))</f>
        <v>0</v>
      </c>
      <c r="K1124" s="2" t="str">
        <f>IF('Base S2'!J24="","",'Base S2'!J24)</f>
        <v/>
      </c>
      <c r="L1124" s="2">
        <f t="shared" si="221"/>
        <v>0</v>
      </c>
      <c r="M1124" s="2">
        <f t="shared" si="222"/>
        <v>0</v>
      </c>
      <c r="N1124" s="2">
        <f t="shared" si="223"/>
        <v>0</v>
      </c>
      <c r="O1124" s="2">
        <f t="shared" si="224"/>
        <v>0</v>
      </c>
      <c r="P1124" s="112">
        <f t="shared" si="225"/>
        <v>0</v>
      </c>
      <c r="Q1124" s="112">
        <f t="shared" si="226"/>
        <v>0</v>
      </c>
      <c r="R1124" s="53"/>
      <c r="S1124" s="53" t="str">
        <f t="shared" si="227"/>
        <v>Base S2|Printing Plates Parallel - Season 2|123|Printing Plate</v>
      </c>
      <c r="T1124" s="57" t="str">
        <f>IF($S1124="","",IFERROR(VLOOKUP($S1124,'Pop Estimates (Non-#d)'!$N$2:$O$500,2,FALSE),""))</f>
        <v/>
      </c>
      <c r="U1124" s="57">
        <f t="shared" si="228"/>
        <v>4</v>
      </c>
      <c r="V1124" s="53" t="str">
        <f t="shared" si="229"/>
        <v/>
      </c>
      <c r="W1124" s="53" t="str">
        <f t="shared" si="230"/>
        <v/>
      </c>
      <c r="X1124" s="53" t="str">
        <f t="shared" si="231"/>
        <v/>
      </c>
      <c r="Y1124" s="57" t="str">
        <f>IF($X1124="","",IFERROR(VLOOKUP($X1124,'Char Popularity'!$A$2:$C$500,2,FALSE),""))</f>
        <v/>
      </c>
      <c r="Z1124" s="56">
        <f>IF($X1124="",1,IFERROR(VLOOKUP($X1124,'Char Popularity'!$A$2:$C$500,3,FALSE),1))</f>
        <v>1</v>
      </c>
      <c r="AA1124" s="62">
        <f>IF($H1124&lt;&gt;"Y",0,(IF($F1124&lt;&gt;"",ROUND(Dashboard!$R$4/$F1124,1),IF(AND($I1124="Base",$E1124="Base"),Dashboard!$R$5,IF(AND($I1124="Base",$E1124="Red"),Dashboard!$R$6,IF(AND($I1124="Base",$E1124="Gold"),Dashboard!$R$7,VLOOKUP($I1124,Dashboard!$Q$16:$R$21,2,FALSE)))))*VLOOKUP($I1124,Dashboard!$Q$9:$R$13,2,FALSE)*IF(AND($I1124="Auto",$F1124="",OR($B1124="Autographs Duals",$B1124="Autographs Triples",$B1124="Autographs Quads",$B1124="Autographs Quads (Inscribed)")),IF($B1124="Autographs Duals",2,IF($B1124="Autographs Triples",3,4)),1)))</f>
        <v>0</v>
      </c>
      <c r="AB1124" s="62">
        <f t="shared" si="232"/>
        <v>0</v>
      </c>
      <c r="AC1124" s="62">
        <f t="shared" si="233"/>
        <v>0</v>
      </c>
    </row>
    <row r="1125" spans="1:29" ht="42.95" customHeight="1" x14ac:dyDescent="0.25">
      <c r="A1125" s="4" t="s">
        <v>19</v>
      </c>
      <c r="B1125" s="7" t="s">
        <v>793</v>
      </c>
      <c r="C1125" s="2" t="s">
        <v>1523</v>
      </c>
      <c r="D1125" s="7" t="s">
        <v>1081</v>
      </c>
      <c r="E1125" s="4" t="s">
        <v>829</v>
      </c>
      <c r="F1125" s="2">
        <v>4</v>
      </c>
      <c r="G1125" s="2" t="s">
        <v>1400</v>
      </c>
      <c r="H1125" s="2" t="s">
        <v>1399</v>
      </c>
      <c r="I1125" s="4" t="s">
        <v>60</v>
      </c>
      <c r="J1125" s="112">
        <f>IF($H1125&lt;&gt;"Y",0,ROUND(MIN(Dashboard!$R$24,IF(IFERROR(VLOOKUP($B1125,Dashboard!$Q$28:$S$60,2,FALSE),0)&gt;0,IFERROR(VLOOKUP($B1125,Dashboard!$Q$28:$S$60,2,FALSE),0),$Z1125*IF($U1125&lt;&gt;"",ROUND((Dashboard!$R$4/$U1125)*VLOOKUP($I1125,Dashboard!$Q$9:$R$13,2,FALSE)*IF(ISNUMBER(SEARCH("Duals",$B1125)),2,IF(ISNUMBER(SEARCH("Triples",$B1125)),3,IF(ISNUMBER(SEARCH("Quads",$B1125)),4,1))),2),ROUND(VLOOKUP($I1125,Dashboard!$Q$15:$R$20,2,FALSE)*IF($E1125="Red",Dashboard!$R$6,IF($E1125="Gold",Dashboard!$R$7,Dashboard!$R$5))*IF(ISNUMBER(SEARCH("Duals",$B1125)),2,IF(ISNUMBER(SEARCH("Triples",$B1125)),3,IF(ISNUMBER(SEARCH("Quads",$B1125)),4,1))),2))*IF(IFERROR(VLOOKUP($B1125,Dashboard!$Q$28:$S$60,3,FALSE),0)&gt;0,VLOOKUP($B1125,Dashboard!$Q$28:$S$60,3,FALSE),1))),0))</f>
        <v>0</v>
      </c>
      <c r="K1125" s="2" t="str">
        <f>IF('Base S2'!J25="","",'Base S2'!J25)</f>
        <v/>
      </c>
      <c r="L1125" s="2">
        <f t="shared" si="221"/>
        <v>0</v>
      </c>
      <c r="M1125" s="2">
        <f t="shared" si="222"/>
        <v>0</v>
      </c>
      <c r="N1125" s="2">
        <f t="shared" si="223"/>
        <v>0</v>
      </c>
      <c r="O1125" s="2">
        <f t="shared" si="224"/>
        <v>0</v>
      </c>
      <c r="P1125" s="112">
        <f t="shared" si="225"/>
        <v>0</v>
      </c>
      <c r="Q1125" s="112">
        <f t="shared" si="226"/>
        <v>0</v>
      </c>
      <c r="R1125" s="53"/>
      <c r="S1125" s="53" t="str">
        <f t="shared" si="227"/>
        <v>Base S2|Printing Plates Parallel - Season 2|124|Printing Plate</v>
      </c>
      <c r="T1125" s="57" t="str">
        <f>IF($S1125="","",IFERROR(VLOOKUP($S1125,'Pop Estimates (Non-#d)'!$N$2:$O$500,2,FALSE),""))</f>
        <v/>
      </c>
      <c r="U1125" s="57">
        <f t="shared" si="228"/>
        <v>4</v>
      </c>
      <c r="V1125" s="53" t="str">
        <f t="shared" si="229"/>
        <v/>
      </c>
      <c r="W1125" s="53" t="str">
        <f t="shared" si="230"/>
        <v/>
      </c>
      <c r="X1125" s="53" t="str">
        <f t="shared" si="231"/>
        <v/>
      </c>
      <c r="Y1125" s="57" t="str">
        <f>IF($X1125="","",IFERROR(VLOOKUP($X1125,'Char Popularity'!$A$2:$C$500,2,FALSE),""))</f>
        <v/>
      </c>
      <c r="Z1125" s="56">
        <f>IF($X1125="",1,IFERROR(VLOOKUP($X1125,'Char Popularity'!$A$2:$C$500,3,FALSE),1))</f>
        <v>1</v>
      </c>
      <c r="AA1125" s="62">
        <f>IF($H1125&lt;&gt;"Y",0,(IF($F1125&lt;&gt;"",ROUND(Dashboard!$R$4/$F1125,1),IF(AND($I1125="Base",$E1125="Base"),Dashboard!$R$5,IF(AND($I1125="Base",$E1125="Red"),Dashboard!$R$6,IF(AND($I1125="Base",$E1125="Gold"),Dashboard!$R$7,VLOOKUP($I1125,Dashboard!$Q$16:$R$21,2,FALSE)))))*VLOOKUP($I1125,Dashboard!$Q$9:$R$13,2,FALSE)*IF(AND($I1125="Auto",$F1125="",OR($B1125="Autographs Duals",$B1125="Autographs Triples",$B1125="Autographs Quads",$B1125="Autographs Quads (Inscribed)")),IF($B1125="Autographs Duals",2,IF($B1125="Autographs Triples",3,4)),1)))</f>
        <v>0</v>
      </c>
      <c r="AB1125" s="62">
        <f t="shared" si="232"/>
        <v>0</v>
      </c>
      <c r="AC1125" s="62">
        <f t="shared" si="233"/>
        <v>0</v>
      </c>
    </row>
    <row r="1126" spans="1:29" ht="42.95" customHeight="1" x14ac:dyDescent="0.25">
      <c r="A1126" s="4" t="s">
        <v>19</v>
      </c>
      <c r="B1126" s="7" t="s">
        <v>793</v>
      </c>
      <c r="C1126" s="2" t="s">
        <v>1524</v>
      </c>
      <c r="D1126" s="7" t="s">
        <v>1082</v>
      </c>
      <c r="E1126" s="4" t="s">
        <v>829</v>
      </c>
      <c r="F1126" s="2">
        <v>4</v>
      </c>
      <c r="G1126" s="2" t="s">
        <v>1400</v>
      </c>
      <c r="H1126" s="2" t="s">
        <v>1399</v>
      </c>
      <c r="I1126" s="4" t="s">
        <v>60</v>
      </c>
      <c r="J1126" s="112">
        <f>IF($H1126&lt;&gt;"Y",0,ROUND(MIN(Dashboard!$R$24,IF(IFERROR(VLOOKUP($B1126,Dashboard!$Q$28:$S$60,2,FALSE),0)&gt;0,IFERROR(VLOOKUP($B1126,Dashboard!$Q$28:$S$60,2,FALSE),0),$Z1126*IF($U1126&lt;&gt;"",ROUND((Dashboard!$R$4/$U1126)*VLOOKUP($I1126,Dashboard!$Q$9:$R$13,2,FALSE)*IF(ISNUMBER(SEARCH("Duals",$B1126)),2,IF(ISNUMBER(SEARCH("Triples",$B1126)),3,IF(ISNUMBER(SEARCH("Quads",$B1126)),4,1))),2),ROUND(VLOOKUP($I1126,Dashboard!$Q$15:$R$20,2,FALSE)*IF($E1126="Red",Dashboard!$R$6,IF($E1126="Gold",Dashboard!$R$7,Dashboard!$R$5))*IF(ISNUMBER(SEARCH("Duals",$B1126)),2,IF(ISNUMBER(SEARCH("Triples",$B1126)),3,IF(ISNUMBER(SEARCH("Quads",$B1126)),4,1))),2))*IF(IFERROR(VLOOKUP($B1126,Dashboard!$Q$28:$S$60,3,FALSE),0)&gt;0,VLOOKUP($B1126,Dashboard!$Q$28:$S$60,3,FALSE),1))),0))</f>
        <v>0</v>
      </c>
      <c r="K1126" s="2" t="str">
        <f>IF('Base S2'!J26="","",'Base S2'!J26)</f>
        <v/>
      </c>
      <c r="L1126" s="2">
        <f t="shared" si="221"/>
        <v>0</v>
      </c>
      <c r="M1126" s="2">
        <f t="shared" si="222"/>
        <v>0</v>
      </c>
      <c r="N1126" s="2">
        <f t="shared" si="223"/>
        <v>0</v>
      </c>
      <c r="O1126" s="2">
        <f t="shared" si="224"/>
        <v>0</v>
      </c>
      <c r="P1126" s="112">
        <f t="shared" si="225"/>
        <v>0</v>
      </c>
      <c r="Q1126" s="112">
        <f t="shared" si="226"/>
        <v>0</v>
      </c>
      <c r="R1126" s="53"/>
      <c r="S1126" s="53" t="str">
        <f t="shared" si="227"/>
        <v>Base S2|Printing Plates Parallel - Season 2|125|Printing Plate</v>
      </c>
      <c r="T1126" s="57" t="str">
        <f>IF($S1126="","",IFERROR(VLOOKUP($S1126,'Pop Estimates (Non-#d)'!$N$2:$O$500,2,FALSE),""))</f>
        <v/>
      </c>
      <c r="U1126" s="57">
        <f t="shared" si="228"/>
        <v>4</v>
      </c>
      <c r="V1126" s="53" t="str">
        <f t="shared" si="229"/>
        <v/>
      </c>
      <c r="W1126" s="53" t="str">
        <f t="shared" si="230"/>
        <v/>
      </c>
      <c r="X1126" s="53" t="str">
        <f t="shared" si="231"/>
        <v/>
      </c>
      <c r="Y1126" s="57" t="str">
        <f>IF($X1126="","",IFERROR(VLOOKUP($X1126,'Char Popularity'!$A$2:$C$500,2,FALSE),""))</f>
        <v/>
      </c>
      <c r="Z1126" s="56">
        <f>IF($X1126="",1,IFERROR(VLOOKUP($X1126,'Char Popularity'!$A$2:$C$500,3,FALSE),1))</f>
        <v>1</v>
      </c>
      <c r="AA1126" s="62">
        <f>IF($H1126&lt;&gt;"Y",0,(IF($F1126&lt;&gt;"",ROUND(Dashboard!$R$4/$F1126,1),IF(AND($I1126="Base",$E1126="Base"),Dashboard!$R$5,IF(AND($I1126="Base",$E1126="Red"),Dashboard!$R$6,IF(AND($I1126="Base",$E1126="Gold"),Dashboard!$R$7,VLOOKUP($I1126,Dashboard!$Q$16:$R$21,2,FALSE)))))*VLOOKUP($I1126,Dashboard!$Q$9:$R$13,2,FALSE)*IF(AND($I1126="Auto",$F1126="",OR($B1126="Autographs Duals",$B1126="Autographs Triples",$B1126="Autographs Quads",$B1126="Autographs Quads (Inscribed)")),IF($B1126="Autographs Duals",2,IF($B1126="Autographs Triples",3,4)),1)))</f>
        <v>0</v>
      </c>
      <c r="AB1126" s="62">
        <f t="shared" si="232"/>
        <v>0</v>
      </c>
      <c r="AC1126" s="62">
        <f t="shared" si="233"/>
        <v>0</v>
      </c>
    </row>
    <row r="1127" spans="1:29" ht="42.95" customHeight="1" x14ac:dyDescent="0.25">
      <c r="A1127" s="4" t="s">
        <v>19</v>
      </c>
      <c r="B1127" s="7" t="s">
        <v>793</v>
      </c>
      <c r="C1127" s="2" t="s">
        <v>1525</v>
      </c>
      <c r="D1127" s="7" t="s">
        <v>1083</v>
      </c>
      <c r="E1127" s="4" t="s">
        <v>829</v>
      </c>
      <c r="F1127" s="2">
        <v>4</v>
      </c>
      <c r="G1127" s="2" t="s">
        <v>1400</v>
      </c>
      <c r="H1127" s="2" t="s">
        <v>1399</v>
      </c>
      <c r="I1127" s="4" t="s">
        <v>60</v>
      </c>
      <c r="J1127" s="112">
        <f>IF($H1127&lt;&gt;"Y",0,ROUND(MIN(Dashboard!$R$24,IF(IFERROR(VLOOKUP($B1127,Dashboard!$Q$28:$S$60,2,FALSE),0)&gt;0,IFERROR(VLOOKUP($B1127,Dashboard!$Q$28:$S$60,2,FALSE),0),$Z1127*IF($U1127&lt;&gt;"",ROUND((Dashboard!$R$4/$U1127)*VLOOKUP($I1127,Dashboard!$Q$9:$R$13,2,FALSE)*IF(ISNUMBER(SEARCH("Duals",$B1127)),2,IF(ISNUMBER(SEARCH("Triples",$B1127)),3,IF(ISNUMBER(SEARCH("Quads",$B1127)),4,1))),2),ROUND(VLOOKUP($I1127,Dashboard!$Q$15:$R$20,2,FALSE)*IF($E1127="Red",Dashboard!$R$6,IF($E1127="Gold",Dashboard!$R$7,Dashboard!$R$5))*IF(ISNUMBER(SEARCH("Duals",$B1127)),2,IF(ISNUMBER(SEARCH("Triples",$B1127)),3,IF(ISNUMBER(SEARCH("Quads",$B1127)),4,1))),2))*IF(IFERROR(VLOOKUP($B1127,Dashboard!$Q$28:$S$60,3,FALSE),0)&gt;0,VLOOKUP($B1127,Dashboard!$Q$28:$S$60,3,FALSE),1))),0))</f>
        <v>0</v>
      </c>
      <c r="K1127" s="2" t="str">
        <f>IF('Base S2'!J27="","",'Base S2'!J27)</f>
        <v/>
      </c>
      <c r="L1127" s="2">
        <f t="shared" si="221"/>
        <v>0</v>
      </c>
      <c r="M1127" s="2">
        <f t="shared" si="222"/>
        <v>0</v>
      </c>
      <c r="N1127" s="2">
        <f t="shared" si="223"/>
        <v>0</v>
      </c>
      <c r="O1127" s="2">
        <f t="shared" si="224"/>
        <v>0</v>
      </c>
      <c r="P1127" s="112">
        <f t="shared" si="225"/>
        <v>0</v>
      </c>
      <c r="Q1127" s="112">
        <f t="shared" si="226"/>
        <v>0</v>
      </c>
      <c r="R1127" s="53"/>
      <c r="S1127" s="53" t="str">
        <f t="shared" si="227"/>
        <v>Base S2|Printing Plates Parallel - Season 2|126|Printing Plate</v>
      </c>
      <c r="T1127" s="57" t="str">
        <f>IF($S1127="","",IFERROR(VLOOKUP($S1127,'Pop Estimates (Non-#d)'!$N$2:$O$500,2,FALSE),""))</f>
        <v/>
      </c>
      <c r="U1127" s="57">
        <f t="shared" si="228"/>
        <v>4</v>
      </c>
      <c r="V1127" s="53" t="str">
        <f t="shared" si="229"/>
        <v/>
      </c>
      <c r="W1127" s="53" t="str">
        <f t="shared" si="230"/>
        <v/>
      </c>
      <c r="X1127" s="53" t="str">
        <f t="shared" si="231"/>
        <v/>
      </c>
      <c r="Y1127" s="57" t="str">
        <f>IF($X1127="","",IFERROR(VLOOKUP($X1127,'Char Popularity'!$A$2:$C$500,2,FALSE),""))</f>
        <v/>
      </c>
      <c r="Z1127" s="56">
        <f>IF($X1127="",1,IFERROR(VLOOKUP($X1127,'Char Popularity'!$A$2:$C$500,3,FALSE),1))</f>
        <v>1</v>
      </c>
      <c r="AA1127" s="62">
        <f>IF($H1127&lt;&gt;"Y",0,(IF($F1127&lt;&gt;"",ROUND(Dashboard!$R$4/$F1127,1),IF(AND($I1127="Base",$E1127="Base"),Dashboard!$R$5,IF(AND($I1127="Base",$E1127="Red"),Dashboard!$R$6,IF(AND($I1127="Base",$E1127="Gold"),Dashboard!$R$7,VLOOKUP($I1127,Dashboard!$Q$16:$R$21,2,FALSE)))))*VLOOKUP($I1127,Dashboard!$Q$9:$R$13,2,FALSE)*IF(AND($I1127="Auto",$F1127="",OR($B1127="Autographs Duals",$B1127="Autographs Triples",$B1127="Autographs Quads",$B1127="Autographs Quads (Inscribed)")),IF($B1127="Autographs Duals",2,IF($B1127="Autographs Triples",3,4)),1)))</f>
        <v>0</v>
      </c>
      <c r="AB1127" s="62">
        <f t="shared" si="232"/>
        <v>0</v>
      </c>
      <c r="AC1127" s="62">
        <f t="shared" si="233"/>
        <v>0</v>
      </c>
    </row>
    <row r="1128" spans="1:29" ht="42.95" customHeight="1" x14ac:dyDescent="0.25">
      <c r="A1128" s="4" t="s">
        <v>19</v>
      </c>
      <c r="B1128" s="7" t="s">
        <v>793</v>
      </c>
      <c r="C1128" s="2" t="s">
        <v>1526</v>
      </c>
      <c r="D1128" s="7" t="s">
        <v>1085</v>
      </c>
      <c r="E1128" s="4" t="s">
        <v>829</v>
      </c>
      <c r="F1128" s="2">
        <v>4</v>
      </c>
      <c r="G1128" s="2" t="s">
        <v>1400</v>
      </c>
      <c r="H1128" s="2" t="s">
        <v>1399</v>
      </c>
      <c r="I1128" s="4" t="s">
        <v>60</v>
      </c>
      <c r="J1128" s="112">
        <f>IF($H1128&lt;&gt;"Y",0,ROUND(MIN(Dashboard!$R$24,IF(IFERROR(VLOOKUP($B1128,Dashboard!$Q$28:$S$60,2,FALSE),0)&gt;0,IFERROR(VLOOKUP($B1128,Dashboard!$Q$28:$S$60,2,FALSE),0),$Z1128*IF($U1128&lt;&gt;"",ROUND((Dashboard!$R$4/$U1128)*VLOOKUP($I1128,Dashboard!$Q$9:$R$13,2,FALSE)*IF(ISNUMBER(SEARCH("Duals",$B1128)),2,IF(ISNUMBER(SEARCH("Triples",$B1128)),3,IF(ISNUMBER(SEARCH("Quads",$B1128)),4,1))),2),ROUND(VLOOKUP($I1128,Dashboard!$Q$15:$R$20,2,FALSE)*IF($E1128="Red",Dashboard!$R$6,IF($E1128="Gold",Dashboard!$R$7,Dashboard!$R$5))*IF(ISNUMBER(SEARCH("Duals",$B1128)),2,IF(ISNUMBER(SEARCH("Triples",$B1128)),3,IF(ISNUMBER(SEARCH("Quads",$B1128)),4,1))),2))*IF(IFERROR(VLOOKUP($B1128,Dashboard!$Q$28:$S$60,3,FALSE),0)&gt;0,VLOOKUP($B1128,Dashboard!$Q$28:$S$60,3,FALSE),1))),0))</f>
        <v>0</v>
      </c>
      <c r="K1128" s="2" t="str">
        <f>IF('Base S2'!J28="","",'Base S2'!J28)</f>
        <v/>
      </c>
      <c r="L1128" s="2">
        <f t="shared" si="221"/>
        <v>0</v>
      </c>
      <c r="M1128" s="2">
        <f t="shared" si="222"/>
        <v>0</v>
      </c>
      <c r="N1128" s="2">
        <f t="shared" si="223"/>
        <v>0</v>
      </c>
      <c r="O1128" s="2">
        <f t="shared" si="224"/>
        <v>0</v>
      </c>
      <c r="P1128" s="112">
        <f t="shared" si="225"/>
        <v>0</v>
      </c>
      <c r="Q1128" s="112">
        <f t="shared" si="226"/>
        <v>0</v>
      </c>
      <c r="R1128" s="53"/>
      <c r="S1128" s="53" t="str">
        <f t="shared" si="227"/>
        <v>Base S2|Printing Plates Parallel - Season 2|127|Printing Plate</v>
      </c>
      <c r="T1128" s="57" t="str">
        <f>IF($S1128="","",IFERROR(VLOOKUP($S1128,'Pop Estimates (Non-#d)'!$N$2:$O$500,2,FALSE),""))</f>
        <v/>
      </c>
      <c r="U1128" s="57">
        <f t="shared" si="228"/>
        <v>4</v>
      </c>
      <c r="V1128" s="53" t="str">
        <f t="shared" si="229"/>
        <v/>
      </c>
      <c r="W1128" s="53" t="str">
        <f t="shared" si="230"/>
        <v/>
      </c>
      <c r="X1128" s="53" t="str">
        <f t="shared" si="231"/>
        <v/>
      </c>
      <c r="Y1128" s="57" t="str">
        <f>IF($X1128="","",IFERROR(VLOOKUP($X1128,'Char Popularity'!$A$2:$C$500,2,FALSE),""))</f>
        <v/>
      </c>
      <c r="Z1128" s="56">
        <f>IF($X1128="",1,IFERROR(VLOOKUP($X1128,'Char Popularity'!$A$2:$C$500,3,FALSE),1))</f>
        <v>1</v>
      </c>
      <c r="AA1128" s="62">
        <f>IF($H1128&lt;&gt;"Y",0,(IF($F1128&lt;&gt;"",ROUND(Dashboard!$R$4/$F1128,1),IF(AND($I1128="Base",$E1128="Base"),Dashboard!$R$5,IF(AND($I1128="Base",$E1128="Red"),Dashboard!$R$6,IF(AND($I1128="Base",$E1128="Gold"),Dashboard!$R$7,VLOOKUP($I1128,Dashboard!$Q$16:$R$21,2,FALSE)))))*VLOOKUP($I1128,Dashboard!$Q$9:$R$13,2,FALSE)*IF(AND($I1128="Auto",$F1128="",OR($B1128="Autographs Duals",$B1128="Autographs Triples",$B1128="Autographs Quads",$B1128="Autographs Quads (Inscribed)")),IF($B1128="Autographs Duals",2,IF($B1128="Autographs Triples",3,4)),1)))</f>
        <v>0</v>
      </c>
      <c r="AB1128" s="62">
        <f t="shared" si="232"/>
        <v>0</v>
      </c>
      <c r="AC1128" s="62">
        <f t="shared" si="233"/>
        <v>0</v>
      </c>
    </row>
    <row r="1129" spans="1:29" ht="42.95" customHeight="1" x14ac:dyDescent="0.25">
      <c r="A1129" s="4" t="s">
        <v>19</v>
      </c>
      <c r="B1129" s="7" t="s">
        <v>793</v>
      </c>
      <c r="C1129" s="2" t="s">
        <v>1527</v>
      </c>
      <c r="D1129" s="7" t="s">
        <v>1086</v>
      </c>
      <c r="E1129" s="4" t="s">
        <v>829</v>
      </c>
      <c r="F1129" s="2">
        <v>4</v>
      </c>
      <c r="G1129" s="2" t="s">
        <v>1400</v>
      </c>
      <c r="H1129" s="2" t="s">
        <v>1399</v>
      </c>
      <c r="I1129" s="4" t="s">
        <v>60</v>
      </c>
      <c r="J1129" s="112">
        <f>IF($H1129&lt;&gt;"Y",0,ROUND(MIN(Dashboard!$R$24,IF(IFERROR(VLOOKUP($B1129,Dashboard!$Q$28:$S$60,2,FALSE),0)&gt;0,IFERROR(VLOOKUP($B1129,Dashboard!$Q$28:$S$60,2,FALSE),0),$Z1129*IF($U1129&lt;&gt;"",ROUND((Dashboard!$R$4/$U1129)*VLOOKUP($I1129,Dashboard!$Q$9:$R$13,2,FALSE)*IF(ISNUMBER(SEARCH("Duals",$B1129)),2,IF(ISNUMBER(SEARCH("Triples",$B1129)),3,IF(ISNUMBER(SEARCH("Quads",$B1129)),4,1))),2),ROUND(VLOOKUP($I1129,Dashboard!$Q$15:$R$20,2,FALSE)*IF($E1129="Red",Dashboard!$R$6,IF($E1129="Gold",Dashboard!$R$7,Dashboard!$R$5))*IF(ISNUMBER(SEARCH("Duals",$B1129)),2,IF(ISNUMBER(SEARCH("Triples",$B1129)),3,IF(ISNUMBER(SEARCH("Quads",$B1129)),4,1))),2))*IF(IFERROR(VLOOKUP($B1129,Dashboard!$Q$28:$S$60,3,FALSE),0)&gt;0,VLOOKUP($B1129,Dashboard!$Q$28:$S$60,3,FALSE),1))),0))</f>
        <v>0</v>
      </c>
      <c r="K1129" s="2" t="str">
        <f>IF('Base S2'!J29="","",'Base S2'!J29)</f>
        <v/>
      </c>
      <c r="L1129" s="2">
        <f t="shared" si="221"/>
        <v>0</v>
      </c>
      <c r="M1129" s="2">
        <f t="shared" si="222"/>
        <v>0</v>
      </c>
      <c r="N1129" s="2">
        <f t="shared" si="223"/>
        <v>0</v>
      </c>
      <c r="O1129" s="2">
        <f t="shared" si="224"/>
        <v>0</v>
      </c>
      <c r="P1129" s="112">
        <f t="shared" si="225"/>
        <v>0</v>
      </c>
      <c r="Q1129" s="112">
        <f t="shared" si="226"/>
        <v>0</v>
      </c>
      <c r="R1129" s="53"/>
      <c r="S1129" s="53" t="str">
        <f t="shared" si="227"/>
        <v>Base S2|Printing Plates Parallel - Season 2|128|Printing Plate</v>
      </c>
      <c r="T1129" s="57" t="str">
        <f>IF($S1129="","",IFERROR(VLOOKUP($S1129,'Pop Estimates (Non-#d)'!$N$2:$O$500,2,FALSE),""))</f>
        <v/>
      </c>
      <c r="U1129" s="57">
        <f t="shared" si="228"/>
        <v>4</v>
      </c>
      <c r="V1129" s="53" t="str">
        <f t="shared" si="229"/>
        <v/>
      </c>
      <c r="W1129" s="53" t="str">
        <f t="shared" si="230"/>
        <v/>
      </c>
      <c r="X1129" s="53" t="str">
        <f t="shared" si="231"/>
        <v/>
      </c>
      <c r="Y1129" s="57" t="str">
        <f>IF($X1129="","",IFERROR(VLOOKUP($X1129,'Char Popularity'!$A$2:$C$500,2,FALSE),""))</f>
        <v/>
      </c>
      <c r="Z1129" s="56">
        <f>IF($X1129="",1,IFERROR(VLOOKUP($X1129,'Char Popularity'!$A$2:$C$500,3,FALSE),1))</f>
        <v>1</v>
      </c>
      <c r="AA1129" s="62">
        <f>IF($H1129&lt;&gt;"Y",0,(IF($F1129&lt;&gt;"",ROUND(Dashboard!$R$4/$F1129,1),IF(AND($I1129="Base",$E1129="Base"),Dashboard!$R$5,IF(AND($I1129="Base",$E1129="Red"),Dashboard!$R$6,IF(AND($I1129="Base",$E1129="Gold"),Dashboard!$R$7,VLOOKUP($I1129,Dashboard!$Q$16:$R$21,2,FALSE)))))*VLOOKUP($I1129,Dashboard!$Q$9:$R$13,2,FALSE)*IF(AND($I1129="Auto",$F1129="",OR($B1129="Autographs Duals",$B1129="Autographs Triples",$B1129="Autographs Quads",$B1129="Autographs Quads (Inscribed)")),IF($B1129="Autographs Duals",2,IF($B1129="Autographs Triples",3,4)),1)))</f>
        <v>0</v>
      </c>
      <c r="AB1129" s="62">
        <f t="shared" si="232"/>
        <v>0</v>
      </c>
      <c r="AC1129" s="62">
        <f t="shared" si="233"/>
        <v>0</v>
      </c>
    </row>
    <row r="1130" spans="1:29" ht="42.95" customHeight="1" x14ac:dyDescent="0.25">
      <c r="A1130" s="4" t="s">
        <v>19</v>
      </c>
      <c r="B1130" s="7" t="s">
        <v>793</v>
      </c>
      <c r="C1130" s="2" t="s">
        <v>1528</v>
      </c>
      <c r="D1130" s="7" t="s">
        <v>1088</v>
      </c>
      <c r="E1130" s="4" t="s">
        <v>829</v>
      </c>
      <c r="F1130" s="2">
        <v>4</v>
      </c>
      <c r="G1130" s="2" t="s">
        <v>1400</v>
      </c>
      <c r="H1130" s="2" t="s">
        <v>1399</v>
      </c>
      <c r="I1130" s="4" t="s">
        <v>60</v>
      </c>
      <c r="J1130" s="112">
        <f>IF($H1130&lt;&gt;"Y",0,ROUND(MIN(Dashboard!$R$24,IF(IFERROR(VLOOKUP($B1130,Dashboard!$Q$28:$S$60,2,FALSE),0)&gt;0,IFERROR(VLOOKUP($B1130,Dashboard!$Q$28:$S$60,2,FALSE),0),$Z1130*IF($U1130&lt;&gt;"",ROUND((Dashboard!$R$4/$U1130)*VLOOKUP($I1130,Dashboard!$Q$9:$R$13,2,FALSE)*IF(ISNUMBER(SEARCH("Duals",$B1130)),2,IF(ISNUMBER(SEARCH("Triples",$B1130)),3,IF(ISNUMBER(SEARCH("Quads",$B1130)),4,1))),2),ROUND(VLOOKUP($I1130,Dashboard!$Q$15:$R$20,2,FALSE)*IF($E1130="Red",Dashboard!$R$6,IF($E1130="Gold",Dashboard!$R$7,Dashboard!$R$5))*IF(ISNUMBER(SEARCH("Duals",$B1130)),2,IF(ISNUMBER(SEARCH("Triples",$B1130)),3,IF(ISNUMBER(SEARCH("Quads",$B1130)),4,1))),2))*IF(IFERROR(VLOOKUP($B1130,Dashboard!$Q$28:$S$60,3,FALSE),0)&gt;0,VLOOKUP($B1130,Dashboard!$Q$28:$S$60,3,FALSE),1))),0))</f>
        <v>0</v>
      </c>
      <c r="K1130" s="2" t="str">
        <f>IF('Base S2'!J30="","",'Base S2'!J30)</f>
        <v/>
      </c>
      <c r="L1130" s="2">
        <f t="shared" si="221"/>
        <v>0</v>
      </c>
      <c r="M1130" s="2">
        <f t="shared" si="222"/>
        <v>0</v>
      </c>
      <c r="N1130" s="2">
        <f t="shared" si="223"/>
        <v>0</v>
      </c>
      <c r="O1130" s="2">
        <f t="shared" si="224"/>
        <v>0</v>
      </c>
      <c r="P1130" s="112">
        <f t="shared" si="225"/>
        <v>0</v>
      </c>
      <c r="Q1130" s="112">
        <f t="shared" si="226"/>
        <v>0</v>
      </c>
      <c r="R1130" s="53"/>
      <c r="S1130" s="53" t="str">
        <f t="shared" si="227"/>
        <v>Base S2|Printing Plates Parallel - Season 2|129|Printing Plate</v>
      </c>
      <c r="T1130" s="57" t="str">
        <f>IF($S1130="","",IFERROR(VLOOKUP($S1130,'Pop Estimates (Non-#d)'!$N$2:$O$500,2,FALSE),""))</f>
        <v/>
      </c>
      <c r="U1130" s="57">
        <f t="shared" si="228"/>
        <v>4</v>
      </c>
      <c r="V1130" s="53" t="str">
        <f t="shared" si="229"/>
        <v/>
      </c>
      <c r="W1130" s="53" t="str">
        <f t="shared" si="230"/>
        <v/>
      </c>
      <c r="X1130" s="53" t="str">
        <f t="shared" si="231"/>
        <v/>
      </c>
      <c r="Y1130" s="57" t="str">
        <f>IF($X1130="","",IFERROR(VLOOKUP($X1130,'Char Popularity'!$A$2:$C$500,2,FALSE),""))</f>
        <v/>
      </c>
      <c r="Z1130" s="56">
        <f>IF($X1130="",1,IFERROR(VLOOKUP($X1130,'Char Popularity'!$A$2:$C$500,3,FALSE),1))</f>
        <v>1</v>
      </c>
      <c r="AA1130" s="62">
        <f>IF($H1130&lt;&gt;"Y",0,(IF($F1130&lt;&gt;"",ROUND(Dashboard!$R$4/$F1130,1),IF(AND($I1130="Base",$E1130="Base"),Dashboard!$R$5,IF(AND($I1130="Base",$E1130="Red"),Dashboard!$R$6,IF(AND($I1130="Base",$E1130="Gold"),Dashboard!$R$7,VLOOKUP($I1130,Dashboard!$Q$16:$R$21,2,FALSE)))))*VLOOKUP($I1130,Dashboard!$Q$9:$R$13,2,FALSE)*IF(AND($I1130="Auto",$F1130="",OR($B1130="Autographs Duals",$B1130="Autographs Triples",$B1130="Autographs Quads",$B1130="Autographs Quads (Inscribed)")),IF($B1130="Autographs Duals",2,IF($B1130="Autographs Triples",3,4)),1)))</f>
        <v>0</v>
      </c>
      <c r="AB1130" s="62">
        <f t="shared" si="232"/>
        <v>0</v>
      </c>
      <c r="AC1130" s="62">
        <f t="shared" si="233"/>
        <v>0</v>
      </c>
    </row>
    <row r="1131" spans="1:29" ht="42.95" customHeight="1" x14ac:dyDescent="0.25">
      <c r="A1131" s="4" t="s">
        <v>19</v>
      </c>
      <c r="B1131" s="7" t="s">
        <v>793</v>
      </c>
      <c r="C1131" s="2" t="s">
        <v>1529</v>
      </c>
      <c r="D1131" s="7" t="s">
        <v>1091</v>
      </c>
      <c r="E1131" s="4" t="s">
        <v>829</v>
      </c>
      <c r="F1131" s="2">
        <v>4</v>
      </c>
      <c r="G1131" s="2" t="s">
        <v>1400</v>
      </c>
      <c r="H1131" s="2" t="s">
        <v>1399</v>
      </c>
      <c r="I1131" s="4" t="s">
        <v>60</v>
      </c>
      <c r="J1131" s="112">
        <f>IF($H1131&lt;&gt;"Y",0,ROUND(MIN(Dashboard!$R$24,IF(IFERROR(VLOOKUP($B1131,Dashboard!$Q$28:$S$60,2,FALSE),0)&gt;0,IFERROR(VLOOKUP($B1131,Dashboard!$Q$28:$S$60,2,FALSE),0),$Z1131*IF($U1131&lt;&gt;"",ROUND((Dashboard!$R$4/$U1131)*VLOOKUP($I1131,Dashboard!$Q$9:$R$13,2,FALSE)*IF(ISNUMBER(SEARCH("Duals",$B1131)),2,IF(ISNUMBER(SEARCH("Triples",$B1131)),3,IF(ISNUMBER(SEARCH("Quads",$B1131)),4,1))),2),ROUND(VLOOKUP($I1131,Dashboard!$Q$15:$R$20,2,FALSE)*IF($E1131="Red",Dashboard!$R$6,IF($E1131="Gold",Dashboard!$R$7,Dashboard!$R$5))*IF(ISNUMBER(SEARCH("Duals",$B1131)),2,IF(ISNUMBER(SEARCH("Triples",$B1131)),3,IF(ISNUMBER(SEARCH("Quads",$B1131)),4,1))),2))*IF(IFERROR(VLOOKUP($B1131,Dashboard!$Q$28:$S$60,3,FALSE),0)&gt;0,VLOOKUP($B1131,Dashboard!$Q$28:$S$60,3,FALSE),1))),0))</f>
        <v>0</v>
      </c>
      <c r="K1131" s="2" t="str">
        <f>IF('Base S2'!J31="","",'Base S2'!J31)</f>
        <v/>
      </c>
      <c r="L1131" s="2">
        <f t="shared" si="221"/>
        <v>0</v>
      </c>
      <c r="M1131" s="2">
        <f t="shared" si="222"/>
        <v>0</v>
      </c>
      <c r="N1131" s="2">
        <f t="shared" si="223"/>
        <v>0</v>
      </c>
      <c r="O1131" s="2">
        <f t="shared" si="224"/>
        <v>0</v>
      </c>
      <c r="P1131" s="112">
        <f t="shared" si="225"/>
        <v>0</v>
      </c>
      <c r="Q1131" s="112">
        <f t="shared" si="226"/>
        <v>0</v>
      </c>
      <c r="R1131" s="53"/>
      <c r="S1131" s="53" t="str">
        <f t="shared" si="227"/>
        <v>Base S2|Printing Plates Parallel - Season 2|130|Printing Plate</v>
      </c>
      <c r="T1131" s="57" t="str">
        <f>IF($S1131="","",IFERROR(VLOOKUP($S1131,'Pop Estimates (Non-#d)'!$N$2:$O$500,2,FALSE),""))</f>
        <v/>
      </c>
      <c r="U1131" s="57">
        <f t="shared" si="228"/>
        <v>4</v>
      </c>
      <c r="V1131" s="53" t="str">
        <f t="shared" si="229"/>
        <v/>
      </c>
      <c r="W1131" s="53" t="str">
        <f t="shared" si="230"/>
        <v/>
      </c>
      <c r="X1131" s="53" t="str">
        <f t="shared" si="231"/>
        <v/>
      </c>
      <c r="Y1131" s="57" t="str">
        <f>IF($X1131="","",IFERROR(VLOOKUP($X1131,'Char Popularity'!$A$2:$C$500,2,FALSE),""))</f>
        <v/>
      </c>
      <c r="Z1131" s="56">
        <f>IF($X1131="",1,IFERROR(VLOOKUP($X1131,'Char Popularity'!$A$2:$C$500,3,FALSE),1))</f>
        <v>1</v>
      </c>
      <c r="AA1131" s="62">
        <f>IF($H1131&lt;&gt;"Y",0,(IF($F1131&lt;&gt;"",ROUND(Dashboard!$R$4/$F1131,1),IF(AND($I1131="Base",$E1131="Base"),Dashboard!$R$5,IF(AND($I1131="Base",$E1131="Red"),Dashboard!$R$6,IF(AND($I1131="Base",$E1131="Gold"),Dashboard!$R$7,VLOOKUP($I1131,Dashboard!$Q$16:$R$21,2,FALSE)))))*VLOOKUP($I1131,Dashboard!$Q$9:$R$13,2,FALSE)*IF(AND($I1131="Auto",$F1131="",OR($B1131="Autographs Duals",$B1131="Autographs Triples",$B1131="Autographs Quads",$B1131="Autographs Quads (Inscribed)")),IF($B1131="Autographs Duals",2,IF($B1131="Autographs Triples",3,4)),1)))</f>
        <v>0</v>
      </c>
      <c r="AB1131" s="62">
        <f t="shared" si="232"/>
        <v>0</v>
      </c>
      <c r="AC1131" s="62">
        <f t="shared" si="233"/>
        <v>0</v>
      </c>
    </row>
    <row r="1132" spans="1:29" ht="42.95" customHeight="1" x14ac:dyDescent="0.25">
      <c r="A1132" s="4" t="s">
        <v>19</v>
      </c>
      <c r="B1132" s="7" t="s">
        <v>793</v>
      </c>
      <c r="C1132" s="2" t="s">
        <v>1530</v>
      </c>
      <c r="D1132" s="7" t="s">
        <v>1093</v>
      </c>
      <c r="E1132" s="4" t="s">
        <v>829</v>
      </c>
      <c r="F1132" s="2">
        <v>4</v>
      </c>
      <c r="G1132" s="2" t="s">
        <v>1400</v>
      </c>
      <c r="H1132" s="2" t="s">
        <v>1399</v>
      </c>
      <c r="I1132" s="4" t="s">
        <v>60</v>
      </c>
      <c r="J1132" s="112">
        <f>IF($H1132&lt;&gt;"Y",0,ROUND(MIN(Dashboard!$R$24,IF(IFERROR(VLOOKUP($B1132,Dashboard!$Q$28:$S$60,2,FALSE),0)&gt;0,IFERROR(VLOOKUP($B1132,Dashboard!$Q$28:$S$60,2,FALSE),0),$Z1132*IF($U1132&lt;&gt;"",ROUND((Dashboard!$R$4/$U1132)*VLOOKUP($I1132,Dashboard!$Q$9:$R$13,2,FALSE)*IF(ISNUMBER(SEARCH("Duals",$B1132)),2,IF(ISNUMBER(SEARCH("Triples",$B1132)),3,IF(ISNUMBER(SEARCH("Quads",$B1132)),4,1))),2),ROUND(VLOOKUP($I1132,Dashboard!$Q$15:$R$20,2,FALSE)*IF($E1132="Red",Dashboard!$R$6,IF($E1132="Gold",Dashboard!$R$7,Dashboard!$R$5))*IF(ISNUMBER(SEARCH("Duals",$B1132)),2,IF(ISNUMBER(SEARCH("Triples",$B1132)),3,IF(ISNUMBER(SEARCH("Quads",$B1132)),4,1))),2))*IF(IFERROR(VLOOKUP($B1132,Dashboard!$Q$28:$S$60,3,FALSE),0)&gt;0,VLOOKUP($B1132,Dashboard!$Q$28:$S$60,3,FALSE),1))),0))</f>
        <v>0</v>
      </c>
      <c r="K1132" s="2" t="str">
        <f>IF('Base S2'!J32="","",'Base S2'!J32)</f>
        <v/>
      </c>
      <c r="L1132" s="2">
        <f t="shared" si="221"/>
        <v>0</v>
      </c>
      <c r="M1132" s="2">
        <f t="shared" si="222"/>
        <v>0</v>
      </c>
      <c r="N1132" s="2">
        <f t="shared" si="223"/>
        <v>0</v>
      </c>
      <c r="O1132" s="2">
        <f t="shared" si="224"/>
        <v>0</v>
      </c>
      <c r="P1132" s="112">
        <f t="shared" si="225"/>
        <v>0</v>
      </c>
      <c r="Q1132" s="112">
        <f t="shared" si="226"/>
        <v>0</v>
      </c>
      <c r="R1132" s="53"/>
      <c r="S1132" s="53" t="str">
        <f t="shared" si="227"/>
        <v>Base S2|Printing Plates Parallel - Season 2|131|Printing Plate</v>
      </c>
      <c r="T1132" s="57" t="str">
        <f>IF($S1132="","",IFERROR(VLOOKUP($S1132,'Pop Estimates (Non-#d)'!$N$2:$O$500,2,FALSE),""))</f>
        <v/>
      </c>
      <c r="U1132" s="57">
        <f t="shared" si="228"/>
        <v>4</v>
      </c>
      <c r="V1132" s="53" t="str">
        <f t="shared" si="229"/>
        <v/>
      </c>
      <c r="W1132" s="53" t="str">
        <f t="shared" si="230"/>
        <v/>
      </c>
      <c r="X1132" s="53" t="str">
        <f t="shared" si="231"/>
        <v/>
      </c>
      <c r="Y1132" s="57" t="str">
        <f>IF($X1132="","",IFERROR(VLOOKUP($X1132,'Char Popularity'!$A$2:$C$500,2,FALSE),""))</f>
        <v/>
      </c>
      <c r="Z1132" s="56">
        <f>IF($X1132="",1,IFERROR(VLOOKUP($X1132,'Char Popularity'!$A$2:$C$500,3,FALSE),1))</f>
        <v>1</v>
      </c>
      <c r="AA1132" s="62">
        <f>IF($H1132&lt;&gt;"Y",0,(IF($F1132&lt;&gt;"",ROUND(Dashboard!$R$4/$F1132,1),IF(AND($I1132="Base",$E1132="Base"),Dashboard!$R$5,IF(AND($I1132="Base",$E1132="Red"),Dashboard!$R$6,IF(AND($I1132="Base",$E1132="Gold"),Dashboard!$R$7,VLOOKUP($I1132,Dashboard!$Q$16:$R$21,2,FALSE)))))*VLOOKUP($I1132,Dashboard!$Q$9:$R$13,2,FALSE)*IF(AND($I1132="Auto",$F1132="",OR($B1132="Autographs Duals",$B1132="Autographs Triples",$B1132="Autographs Quads",$B1132="Autographs Quads (Inscribed)")),IF($B1132="Autographs Duals",2,IF($B1132="Autographs Triples",3,4)),1)))</f>
        <v>0</v>
      </c>
      <c r="AB1132" s="62">
        <f t="shared" si="232"/>
        <v>0</v>
      </c>
      <c r="AC1132" s="62">
        <f t="shared" si="233"/>
        <v>0</v>
      </c>
    </row>
    <row r="1133" spans="1:29" ht="42.95" customHeight="1" x14ac:dyDescent="0.25">
      <c r="A1133" s="4" t="s">
        <v>19</v>
      </c>
      <c r="B1133" s="7" t="s">
        <v>793</v>
      </c>
      <c r="C1133" s="2" t="s">
        <v>1531</v>
      </c>
      <c r="D1133" s="7" t="s">
        <v>1096</v>
      </c>
      <c r="E1133" s="4" t="s">
        <v>829</v>
      </c>
      <c r="F1133" s="2">
        <v>4</v>
      </c>
      <c r="G1133" s="2" t="s">
        <v>1400</v>
      </c>
      <c r="H1133" s="2" t="s">
        <v>1399</v>
      </c>
      <c r="I1133" s="4" t="s">
        <v>60</v>
      </c>
      <c r="J1133" s="112">
        <f>IF($H1133&lt;&gt;"Y",0,ROUND(MIN(Dashboard!$R$24,IF(IFERROR(VLOOKUP($B1133,Dashboard!$Q$28:$S$60,2,FALSE),0)&gt;0,IFERROR(VLOOKUP($B1133,Dashboard!$Q$28:$S$60,2,FALSE),0),$Z1133*IF($U1133&lt;&gt;"",ROUND((Dashboard!$R$4/$U1133)*VLOOKUP($I1133,Dashboard!$Q$9:$R$13,2,FALSE)*IF(ISNUMBER(SEARCH("Duals",$B1133)),2,IF(ISNUMBER(SEARCH("Triples",$B1133)),3,IF(ISNUMBER(SEARCH("Quads",$B1133)),4,1))),2),ROUND(VLOOKUP($I1133,Dashboard!$Q$15:$R$20,2,FALSE)*IF($E1133="Red",Dashboard!$R$6,IF($E1133="Gold",Dashboard!$R$7,Dashboard!$R$5))*IF(ISNUMBER(SEARCH("Duals",$B1133)),2,IF(ISNUMBER(SEARCH("Triples",$B1133)),3,IF(ISNUMBER(SEARCH("Quads",$B1133)),4,1))),2))*IF(IFERROR(VLOOKUP($B1133,Dashboard!$Q$28:$S$60,3,FALSE),0)&gt;0,VLOOKUP($B1133,Dashboard!$Q$28:$S$60,3,FALSE),1))),0))</f>
        <v>0</v>
      </c>
      <c r="K1133" s="2" t="str">
        <f>IF('Base S2'!J33="","",'Base S2'!J33)</f>
        <v/>
      </c>
      <c r="L1133" s="2">
        <f t="shared" si="221"/>
        <v>0</v>
      </c>
      <c r="M1133" s="2">
        <f t="shared" si="222"/>
        <v>0</v>
      </c>
      <c r="N1133" s="2">
        <f t="shared" si="223"/>
        <v>0</v>
      </c>
      <c r="O1133" s="2">
        <f t="shared" si="224"/>
        <v>0</v>
      </c>
      <c r="P1133" s="112">
        <f t="shared" si="225"/>
        <v>0</v>
      </c>
      <c r="Q1133" s="112">
        <f t="shared" si="226"/>
        <v>0</v>
      </c>
      <c r="R1133" s="53"/>
      <c r="S1133" s="53" t="str">
        <f t="shared" si="227"/>
        <v>Base S2|Printing Plates Parallel - Season 2|132|Printing Plate</v>
      </c>
      <c r="T1133" s="57" t="str">
        <f>IF($S1133="","",IFERROR(VLOOKUP($S1133,'Pop Estimates (Non-#d)'!$N$2:$O$500,2,FALSE),""))</f>
        <v/>
      </c>
      <c r="U1133" s="57">
        <f t="shared" si="228"/>
        <v>4</v>
      </c>
      <c r="V1133" s="53" t="str">
        <f t="shared" si="229"/>
        <v/>
      </c>
      <c r="W1133" s="53" t="str">
        <f t="shared" si="230"/>
        <v/>
      </c>
      <c r="X1133" s="53" t="str">
        <f t="shared" si="231"/>
        <v/>
      </c>
      <c r="Y1133" s="57" t="str">
        <f>IF($X1133="","",IFERROR(VLOOKUP($X1133,'Char Popularity'!$A$2:$C$500,2,FALSE),""))</f>
        <v/>
      </c>
      <c r="Z1133" s="56">
        <f>IF($X1133="",1,IFERROR(VLOOKUP($X1133,'Char Popularity'!$A$2:$C$500,3,FALSE),1))</f>
        <v>1</v>
      </c>
      <c r="AA1133" s="62">
        <f>IF($H1133&lt;&gt;"Y",0,(IF($F1133&lt;&gt;"",ROUND(Dashboard!$R$4/$F1133,1),IF(AND($I1133="Base",$E1133="Base"),Dashboard!$R$5,IF(AND($I1133="Base",$E1133="Red"),Dashboard!$R$6,IF(AND($I1133="Base",$E1133="Gold"),Dashboard!$R$7,VLOOKUP($I1133,Dashboard!$Q$16:$R$21,2,FALSE)))))*VLOOKUP($I1133,Dashboard!$Q$9:$R$13,2,FALSE)*IF(AND($I1133="Auto",$F1133="",OR($B1133="Autographs Duals",$B1133="Autographs Triples",$B1133="Autographs Quads",$B1133="Autographs Quads (Inscribed)")),IF($B1133="Autographs Duals",2,IF($B1133="Autographs Triples",3,4)),1)))</f>
        <v>0</v>
      </c>
      <c r="AB1133" s="62">
        <f t="shared" si="232"/>
        <v>0</v>
      </c>
      <c r="AC1133" s="62">
        <f t="shared" si="233"/>
        <v>0</v>
      </c>
    </row>
    <row r="1134" spans="1:29" ht="42.95" customHeight="1" x14ac:dyDescent="0.25">
      <c r="A1134" s="4" t="s">
        <v>19</v>
      </c>
      <c r="B1134" s="7" t="s">
        <v>793</v>
      </c>
      <c r="C1134" s="2" t="s">
        <v>1532</v>
      </c>
      <c r="D1134" s="7" t="s">
        <v>1097</v>
      </c>
      <c r="E1134" s="4" t="s">
        <v>829</v>
      </c>
      <c r="F1134" s="2">
        <v>4</v>
      </c>
      <c r="G1134" s="2" t="s">
        <v>1400</v>
      </c>
      <c r="H1134" s="2" t="s">
        <v>1399</v>
      </c>
      <c r="I1134" s="4" t="s">
        <v>60</v>
      </c>
      <c r="J1134" s="112">
        <f>IF($H1134&lt;&gt;"Y",0,ROUND(MIN(Dashboard!$R$24,IF(IFERROR(VLOOKUP($B1134,Dashboard!$Q$28:$S$60,2,FALSE),0)&gt;0,IFERROR(VLOOKUP($B1134,Dashboard!$Q$28:$S$60,2,FALSE),0),$Z1134*IF($U1134&lt;&gt;"",ROUND((Dashboard!$R$4/$U1134)*VLOOKUP($I1134,Dashboard!$Q$9:$R$13,2,FALSE)*IF(ISNUMBER(SEARCH("Duals",$B1134)),2,IF(ISNUMBER(SEARCH("Triples",$B1134)),3,IF(ISNUMBER(SEARCH("Quads",$B1134)),4,1))),2),ROUND(VLOOKUP($I1134,Dashboard!$Q$15:$R$20,2,FALSE)*IF($E1134="Red",Dashboard!$R$6,IF($E1134="Gold",Dashboard!$R$7,Dashboard!$R$5))*IF(ISNUMBER(SEARCH("Duals",$B1134)),2,IF(ISNUMBER(SEARCH("Triples",$B1134)),3,IF(ISNUMBER(SEARCH("Quads",$B1134)),4,1))),2))*IF(IFERROR(VLOOKUP($B1134,Dashboard!$Q$28:$S$60,3,FALSE),0)&gt;0,VLOOKUP($B1134,Dashboard!$Q$28:$S$60,3,FALSE),1))),0))</f>
        <v>0</v>
      </c>
      <c r="K1134" s="2" t="str">
        <f>IF('Base S2'!J34="","",'Base S2'!J34)</f>
        <v/>
      </c>
      <c r="L1134" s="2">
        <f t="shared" si="221"/>
        <v>0</v>
      </c>
      <c r="M1134" s="2">
        <f t="shared" si="222"/>
        <v>0</v>
      </c>
      <c r="N1134" s="2">
        <f t="shared" si="223"/>
        <v>0</v>
      </c>
      <c r="O1134" s="2">
        <f t="shared" si="224"/>
        <v>0</v>
      </c>
      <c r="P1134" s="112">
        <f t="shared" si="225"/>
        <v>0</v>
      </c>
      <c r="Q1134" s="112">
        <f t="shared" si="226"/>
        <v>0</v>
      </c>
      <c r="R1134" s="53"/>
      <c r="S1134" s="53" t="str">
        <f t="shared" si="227"/>
        <v>Base S2|Printing Plates Parallel - Season 2|133|Printing Plate</v>
      </c>
      <c r="T1134" s="57" t="str">
        <f>IF($S1134="","",IFERROR(VLOOKUP($S1134,'Pop Estimates (Non-#d)'!$N$2:$O$500,2,FALSE),""))</f>
        <v/>
      </c>
      <c r="U1134" s="57">
        <f t="shared" si="228"/>
        <v>4</v>
      </c>
      <c r="V1134" s="53" t="str">
        <f t="shared" si="229"/>
        <v/>
      </c>
      <c r="W1134" s="53" t="str">
        <f t="shared" si="230"/>
        <v/>
      </c>
      <c r="X1134" s="53" t="str">
        <f t="shared" si="231"/>
        <v/>
      </c>
      <c r="Y1134" s="57" t="str">
        <f>IF($X1134="","",IFERROR(VLOOKUP($X1134,'Char Popularity'!$A$2:$C$500,2,FALSE),""))</f>
        <v/>
      </c>
      <c r="Z1134" s="56">
        <f>IF($X1134="",1,IFERROR(VLOOKUP($X1134,'Char Popularity'!$A$2:$C$500,3,FALSE),1))</f>
        <v>1</v>
      </c>
      <c r="AA1134" s="62">
        <f>IF($H1134&lt;&gt;"Y",0,(IF($F1134&lt;&gt;"",ROUND(Dashboard!$R$4/$F1134,1),IF(AND($I1134="Base",$E1134="Base"),Dashboard!$R$5,IF(AND($I1134="Base",$E1134="Red"),Dashboard!$R$6,IF(AND($I1134="Base",$E1134="Gold"),Dashboard!$R$7,VLOOKUP($I1134,Dashboard!$Q$16:$R$21,2,FALSE)))))*VLOOKUP($I1134,Dashboard!$Q$9:$R$13,2,FALSE)*IF(AND($I1134="Auto",$F1134="",OR($B1134="Autographs Duals",$B1134="Autographs Triples",$B1134="Autographs Quads",$B1134="Autographs Quads (Inscribed)")),IF($B1134="Autographs Duals",2,IF($B1134="Autographs Triples",3,4)),1)))</f>
        <v>0</v>
      </c>
      <c r="AB1134" s="62">
        <f t="shared" si="232"/>
        <v>0</v>
      </c>
      <c r="AC1134" s="62">
        <f t="shared" si="233"/>
        <v>0</v>
      </c>
    </row>
    <row r="1135" spans="1:29" ht="42.95" customHeight="1" x14ac:dyDescent="0.25">
      <c r="A1135" s="4" t="s">
        <v>19</v>
      </c>
      <c r="B1135" s="7" t="s">
        <v>793</v>
      </c>
      <c r="C1135" s="2" t="s">
        <v>1533</v>
      </c>
      <c r="D1135" s="7" t="s">
        <v>1099</v>
      </c>
      <c r="E1135" s="4" t="s">
        <v>829</v>
      </c>
      <c r="F1135" s="2">
        <v>4</v>
      </c>
      <c r="G1135" s="2" t="s">
        <v>1400</v>
      </c>
      <c r="H1135" s="2" t="s">
        <v>1399</v>
      </c>
      <c r="I1135" s="4" t="s">
        <v>60</v>
      </c>
      <c r="J1135" s="112">
        <f>IF($H1135&lt;&gt;"Y",0,ROUND(MIN(Dashboard!$R$24,IF(IFERROR(VLOOKUP($B1135,Dashboard!$Q$28:$S$60,2,FALSE),0)&gt;0,IFERROR(VLOOKUP($B1135,Dashboard!$Q$28:$S$60,2,FALSE),0),$Z1135*IF($U1135&lt;&gt;"",ROUND((Dashboard!$R$4/$U1135)*VLOOKUP($I1135,Dashboard!$Q$9:$R$13,2,FALSE)*IF(ISNUMBER(SEARCH("Duals",$B1135)),2,IF(ISNUMBER(SEARCH("Triples",$B1135)),3,IF(ISNUMBER(SEARCH("Quads",$B1135)),4,1))),2),ROUND(VLOOKUP($I1135,Dashboard!$Q$15:$R$20,2,FALSE)*IF($E1135="Red",Dashboard!$R$6,IF($E1135="Gold",Dashboard!$R$7,Dashboard!$R$5))*IF(ISNUMBER(SEARCH("Duals",$B1135)),2,IF(ISNUMBER(SEARCH("Triples",$B1135)),3,IF(ISNUMBER(SEARCH("Quads",$B1135)),4,1))),2))*IF(IFERROR(VLOOKUP($B1135,Dashboard!$Q$28:$S$60,3,FALSE),0)&gt;0,VLOOKUP($B1135,Dashboard!$Q$28:$S$60,3,FALSE),1))),0))</f>
        <v>0</v>
      </c>
      <c r="K1135" s="2" t="str">
        <f>IF('Base S2'!J35="","",'Base S2'!J35)</f>
        <v/>
      </c>
      <c r="L1135" s="2">
        <f t="shared" si="221"/>
        <v>0</v>
      </c>
      <c r="M1135" s="2">
        <f t="shared" si="222"/>
        <v>0</v>
      </c>
      <c r="N1135" s="2">
        <f t="shared" si="223"/>
        <v>0</v>
      </c>
      <c r="O1135" s="2">
        <f t="shared" si="224"/>
        <v>0</v>
      </c>
      <c r="P1135" s="112">
        <f t="shared" si="225"/>
        <v>0</v>
      </c>
      <c r="Q1135" s="112">
        <f t="shared" si="226"/>
        <v>0</v>
      </c>
      <c r="R1135" s="53"/>
      <c r="S1135" s="53" t="str">
        <f t="shared" si="227"/>
        <v>Base S2|Printing Plates Parallel - Season 2|134|Printing Plate</v>
      </c>
      <c r="T1135" s="57" t="str">
        <f>IF($S1135="","",IFERROR(VLOOKUP($S1135,'Pop Estimates (Non-#d)'!$N$2:$O$500,2,FALSE),""))</f>
        <v/>
      </c>
      <c r="U1135" s="57">
        <f t="shared" si="228"/>
        <v>4</v>
      </c>
      <c r="V1135" s="53" t="str">
        <f t="shared" si="229"/>
        <v/>
      </c>
      <c r="W1135" s="53" t="str">
        <f t="shared" si="230"/>
        <v/>
      </c>
      <c r="X1135" s="53" t="str">
        <f t="shared" si="231"/>
        <v/>
      </c>
      <c r="Y1135" s="57" t="str">
        <f>IF($X1135="","",IFERROR(VLOOKUP($X1135,'Char Popularity'!$A$2:$C$500,2,FALSE),""))</f>
        <v/>
      </c>
      <c r="Z1135" s="56">
        <f>IF($X1135="",1,IFERROR(VLOOKUP($X1135,'Char Popularity'!$A$2:$C$500,3,FALSE),1))</f>
        <v>1</v>
      </c>
      <c r="AA1135" s="62">
        <f>IF($H1135&lt;&gt;"Y",0,(IF($F1135&lt;&gt;"",ROUND(Dashboard!$R$4/$F1135,1),IF(AND($I1135="Base",$E1135="Base"),Dashboard!$R$5,IF(AND($I1135="Base",$E1135="Red"),Dashboard!$R$6,IF(AND($I1135="Base",$E1135="Gold"),Dashboard!$R$7,VLOOKUP($I1135,Dashboard!$Q$16:$R$21,2,FALSE)))))*VLOOKUP($I1135,Dashboard!$Q$9:$R$13,2,FALSE)*IF(AND($I1135="Auto",$F1135="",OR($B1135="Autographs Duals",$B1135="Autographs Triples",$B1135="Autographs Quads",$B1135="Autographs Quads (Inscribed)")),IF($B1135="Autographs Duals",2,IF($B1135="Autographs Triples",3,4)),1)))</f>
        <v>0</v>
      </c>
      <c r="AB1135" s="62">
        <f t="shared" si="232"/>
        <v>0</v>
      </c>
      <c r="AC1135" s="62">
        <f t="shared" si="233"/>
        <v>0</v>
      </c>
    </row>
    <row r="1136" spans="1:29" ht="42.95" customHeight="1" x14ac:dyDescent="0.25">
      <c r="A1136" s="4" t="s">
        <v>19</v>
      </c>
      <c r="B1136" s="7" t="s">
        <v>793</v>
      </c>
      <c r="C1136" s="2" t="s">
        <v>1534</v>
      </c>
      <c r="D1136" s="7" t="s">
        <v>1100</v>
      </c>
      <c r="E1136" s="4" t="s">
        <v>829</v>
      </c>
      <c r="F1136" s="2">
        <v>4</v>
      </c>
      <c r="G1136" s="2" t="s">
        <v>1400</v>
      </c>
      <c r="H1136" s="2" t="s">
        <v>1399</v>
      </c>
      <c r="I1136" s="4" t="s">
        <v>60</v>
      </c>
      <c r="J1136" s="112">
        <f>IF($H1136&lt;&gt;"Y",0,ROUND(MIN(Dashboard!$R$24,IF(IFERROR(VLOOKUP($B1136,Dashboard!$Q$28:$S$60,2,FALSE),0)&gt;0,IFERROR(VLOOKUP($B1136,Dashboard!$Q$28:$S$60,2,FALSE),0),$Z1136*IF($U1136&lt;&gt;"",ROUND((Dashboard!$R$4/$U1136)*VLOOKUP($I1136,Dashboard!$Q$9:$R$13,2,FALSE)*IF(ISNUMBER(SEARCH("Duals",$B1136)),2,IF(ISNUMBER(SEARCH("Triples",$B1136)),3,IF(ISNUMBER(SEARCH("Quads",$B1136)),4,1))),2),ROUND(VLOOKUP($I1136,Dashboard!$Q$15:$R$20,2,FALSE)*IF($E1136="Red",Dashboard!$R$6,IF($E1136="Gold",Dashboard!$R$7,Dashboard!$R$5))*IF(ISNUMBER(SEARCH("Duals",$B1136)),2,IF(ISNUMBER(SEARCH("Triples",$B1136)),3,IF(ISNUMBER(SEARCH("Quads",$B1136)),4,1))),2))*IF(IFERROR(VLOOKUP($B1136,Dashboard!$Q$28:$S$60,3,FALSE),0)&gt;0,VLOOKUP($B1136,Dashboard!$Q$28:$S$60,3,FALSE),1))),0))</f>
        <v>0</v>
      </c>
      <c r="K1136" s="2" t="str">
        <f>IF('Base S2'!J36="","",'Base S2'!J36)</f>
        <v/>
      </c>
      <c r="L1136" s="2">
        <f t="shared" si="221"/>
        <v>0</v>
      </c>
      <c r="M1136" s="2">
        <f t="shared" si="222"/>
        <v>0</v>
      </c>
      <c r="N1136" s="2">
        <f t="shared" si="223"/>
        <v>0</v>
      </c>
      <c r="O1136" s="2">
        <f t="shared" si="224"/>
        <v>0</v>
      </c>
      <c r="P1136" s="112">
        <f t="shared" si="225"/>
        <v>0</v>
      </c>
      <c r="Q1136" s="112">
        <f t="shared" si="226"/>
        <v>0</v>
      </c>
      <c r="R1136" s="53"/>
      <c r="S1136" s="53" t="str">
        <f t="shared" si="227"/>
        <v>Base S2|Printing Plates Parallel - Season 2|135|Printing Plate</v>
      </c>
      <c r="T1136" s="57" t="str">
        <f>IF($S1136="","",IFERROR(VLOOKUP($S1136,'Pop Estimates (Non-#d)'!$N$2:$O$500,2,FALSE),""))</f>
        <v/>
      </c>
      <c r="U1136" s="57">
        <f t="shared" si="228"/>
        <v>4</v>
      </c>
      <c r="V1136" s="53" t="str">
        <f t="shared" si="229"/>
        <v/>
      </c>
      <c r="W1136" s="53" t="str">
        <f t="shared" si="230"/>
        <v/>
      </c>
      <c r="X1136" s="53" t="str">
        <f t="shared" si="231"/>
        <v/>
      </c>
      <c r="Y1136" s="57" t="str">
        <f>IF($X1136="","",IFERROR(VLOOKUP($X1136,'Char Popularity'!$A$2:$C$500,2,FALSE),""))</f>
        <v/>
      </c>
      <c r="Z1136" s="56">
        <f>IF($X1136="",1,IFERROR(VLOOKUP($X1136,'Char Popularity'!$A$2:$C$500,3,FALSE),1))</f>
        <v>1</v>
      </c>
      <c r="AA1136" s="62">
        <f>IF($H1136&lt;&gt;"Y",0,(IF($F1136&lt;&gt;"",ROUND(Dashboard!$R$4/$F1136,1),IF(AND($I1136="Base",$E1136="Base"),Dashboard!$R$5,IF(AND($I1136="Base",$E1136="Red"),Dashboard!$R$6,IF(AND($I1136="Base",$E1136="Gold"),Dashboard!$R$7,VLOOKUP($I1136,Dashboard!$Q$16:$R$21,2,FALSE)))))*VLOOKUP($I1136,Dashboard!$Q$9:$R$13,2,FALSE)*IF(AND($I1136="Auto",$F1136="",OR($B1136="Autographs Duals",$B1136="Autographs Triples",$B1136="Autographs Quads",$B1136="Autographs Quads (Inscribed)")),IF($B1136="Autographs Duals",2,IF($B1136="Autographs Triples",3,4)),1)))</f>
        <v>0</v>
      </c>
      <c r="AB1136" s="62">
        <f t="shared" si="232"/>
        <v>0</v>
      </c>
      <c r="AC1136" s="62">
        <f t="shared" si="233"/>
        <v>0</v>
      </c>
    </row>
    <row r="1137" spans="1:29" ht="42.95" customHeight="1" x14ac:dyDescent="0.25">
      <c r="A1137" s="4" t="s">
        <v>19</v>
      </c>
      <c r="B1137" s="7" t="s">
        <v>793</v>
      </c>
      <c r="C1137" s="2" t="s">
        <v>1535</v>
      </c>
      <c r="D1137" s="7" t="s">
        <v>1101</v>
      </c>
      <c r="E1137" s="4" t="s">
        <v>829</v>
      </c>
      <c r="F1137" s="2">
        <v>4</v>
      </c>
      <c r="G1137" s="2" t="s">
        <v>1400</v>
      </c>
      <c r="H1137" s="2" t="s">
        <v>1399</v>
      </c>
      <c r="I1137" s="4" t="s">
        <v>60</v>
      </c>
      <c r="J1137" s="112">
        <f>IF($H1137&lt;&gt;"Y",0,ROUND(MIN(Dashboard!$R$24,IF(IFERROR(VLOOKUP($B1137,Dashboard!$Q$28:$S$60,2,FALSE),0)&gt;0,IFERROR(VLOOKUP($B1137,Dashboard!$Q$28:$S$60,2,FALSE),0),$Z1137*IF($U1137&lt;&gt;"",ROUND((Dashboard!$R$4/$U1137)*VLOOKUP($I1137,Dashboard!$Q$9:$R$13,2,FALSE)*IF(ISNUMBER(SEARCH("Duals",$B1137)),2,IF(ISNUMBER(SEARCH("Triples",$B1137)),3,IF(ISNUMBER(SEARCH("Quads",$B1137)),4,1))),2),ROUND(VLOOKUP($I1137,Dashboard!$Q$15:$R$20,2,FALSE)*IF($E1137="Red",Dashboard!$R$6,IF($E1137="Gold",Dashboard!$R$7,Dashboard!$R$5))*IF(ISNUMBER(SEARCH("Duals",$B1137)),2,IF(ISNUMBER(SEARCH("Triples",$B1137)),3,IF(ISNUMBER(SEARCH("Quads",$B1137)),4,1))),2))*IF(IFERROR(VLOOKUP($B1137,Dashboard!$Q$28:$S$60,3,FALSE),0)&gt;0,VLOOKUP($B1137,Dashboard!$Q$28:$S$60,3,FALSE),1))),0))</f>
        <v>0</v>
      </c>
      <c r="K1137" s="2" t="str">
        <f>IF('Base S2'!J37="","",'Base S2'!J37)</f>
        <v/>
      </c>
      <c r="L1137" s="2">
        <f t="shared" si="221"/>
        <v>0</v>
      </c>
      <c r="M1137" s="2">
        <f t="shared" si="222"/>
        <v>0</v>
      </c>
      <c r="N1137" s="2">
        <f t="shared" si="223"/>
        <v>0</v>
      </c>
      <c r="O1137" s="2">
        <f t="shared" si="224"/>
        <v>0</v>
      </c>
      <c r="P1137" s="112">
        <f t="shared" si="225"/>
        <v>0</v>
      </c>
      <c r="Q1137" s="112">
        <f t="shared" si="226"/>
        <v>0</v>
      </c>
      <c r="R1137" s="53"/>
      <c r="S1137" s="53" t="str">
        <f t="shared" si="227"/>
        <v>Base S2|Printing Plates Parallel - Season 2|136|Printing Plate</v>
      </c>
      <c r="T1137" s="57" t="str">
        <f>IF($S1137="","",IFERROR(VLOOKUP($S1137,'Pop Estimates (Non-#d)'!$N$2:$O$500,2,FALSE),""))</f>
        <v/>
      </c>
      <c r="U1137" s="57">
        <f t="shared" si="228"/>
        <v>4</v>
      </c>
      <c r="V1137" s="53" t="str">
        <f t="shared" si="229"/>
        <v/>
      </c>
      <c r="W1137" s="53" t="str">
        <f t="shared" si="230"/>
        <v/>
      </c>
      <c r="X1137" s="53" t="str">
        <f t="shared" si="231"/>
        <v/>
      </c>
      <c r="Y1137" s="57" t="str">
        <f>IF($X1137="","",IFERROR(VLOOKUP($X1137,'Char Popularity'!$A$2:$C$500,2,FALSE),""))</f>
        <v/>
      </c>
      <c r="Z1137" s="56">
        <f>IF($X1137="",1,IFERROR(VLOOKUP($X1137,'Char Popularity'!$A$2:$C$500,3,FALSE),1))</f>
        <v>1</v>
      </c>
      <c r="AA1137" s="62">
        <f>IF($H1137&lt;&gt;"Y",0,(IF($F1137&lt;&gt;"",ROUND(Dashboard!$R$4/$F1137,1),IF(AND($I1137="Base",$E1137="Base"),Dashboard!$R$5,IF(AND($I1137="Base",$E1137="Red"),Dashboard!$R$6,IF(AND($I1137="Base",$E1137="Gold"),Dashboard!$R$7,VLOOKUP($I1137,Dashboard!$Q$16:$R$21,2,FALSE)))))*VLOOKUP($I1137,Dashboard!$Q$9:$R$13,2,FALSE)*IF(AND($I1137="Auto",$F1137="",OR($B1137="Autographs Duals",$B1137="Autographs Triples",$B1137="Autographs Quads",$B1137="Autographs Quads (Inscribed)")),IF($B1137="Autographs Duals",2,IF($B1137="Autographs Triples",3,4)),1)))</f>
        <v>0</v>
      </c>
      <c r="AB1137" s="62">
        <f t="shared" si="232"/>
        <v>0</v>
      </c>
      <c r="AC1137" s="62">
        <f t="shared" si="233"/>
        <v>0</v>
      </c>
    </row>
    <row r="1138" spans="1:29" ht="42.95" customHeight="1" x14ac:dyDescent="0.25">
      <c r="A1138" s="4" t="s">
        <v>19</v>
      </c>
      <c r="B1138" s="7" t="s">
        <v>793</v>
      </c>
      <c r="C1138" s="2" t="s">
        <v>1536</v>
      </c>
      <c r="D1138" s="7" t="s">
        <v>1103</v>
      </c>
      <c r="E1138" s="4" t="s">
        <v>829</v>
      </c>
      <c r="F1138" s="2">
        <v>4</v>
      </c>
      <c r="G1138" s="2" t="s">
        <v>1400</v>
      </c>
      <c r="H1138" s="2" t="s">
        <v>1399</v>
      </c>
      <c r="I1138" s="4" t="s">
        <v>60</v>
      </c>
      <c r="J1138" s="112">
        <f>IF($H1138&lt;&gt;"Y",0,ROUND(MIN(Dashboard!$R$24,IF(IFERROR(VLOOKUP($B1138,Dashboard!$Q$28:$S$60,2,FALSE),0)&gt;0,IFERROR(VLOOKUP($B1138,Dashboard!$Q$28:$S$60,2,FALSE),0),$Z1138*IF($U1138&lt;&gt;"",ROUND((Dashboard!$R$4/$U1138)*VLOOKUP($I1138,Dashboard!$Q$9:$R$13,2,FALSE)*IF(ISNUMBER(SEARCH("Duals",$B1138)),2,IF(ISNUMBER(SEARCH("Triples",$B1138)),3,IF(ISNUMBER(SEARCH("Quads",$B1138)),4,1))),2),ROUND(VLOOKUP($I1138,Dashboard!$Q$15:$R$20,2,FALSE)*IF($E1138="Red",Dashboard!$R$6,IF($E1138="Gold",Dashboard!$R$7,Dashboard!$R$5))*IF(ISNUMBER(SEARCH("Duals",$B1138)),2,IF(ISNUMBER(SEARCH("Triples",$B1138)),3,IF(ISNUMBER(SEARCH("Quads",$B1138)),4,1))),2))*IF(IFERROR(VLOOKUP($B1138,Dashboard!$Q$28:$S$60,3,FALSE),0)&gt;0,VLOOKUP($B1138,Dashboard!$Q$28:$S$60,3,FALSE),1))),0))</f>
        <v>0</v>
      </c>
      <c r="K1138" s="2" t="str">
        <f>IF('Base S2'!J38="","",'Base S2'!J38)</f>
        <v/>
      </c>
      <c r="L1138" s="2">
        <f t="shared" si="221"/>
        <v>0</v>
      </c>
      <c r="M1138" s="2">
        <f t="shared" si="222"/>
        <v>0</v>
      </c>
      <c r="N1138" s="2">
        <f t="shared" si="223"/>
        <v>0</v>
      </c>
      <c r="O1138" s="2">
        <f t="shared" si="224"/>
        <v>0</v>
      </c>
      <c r="P1138" s="112">
        <f t="shared" si="225"/>
        <v>0</v>
      </c>
      <c r="Q1138" s="112">
        <f t="shared" si="226"/>
        <v>0</v>
      </c>
      <c r="R1138" s="53"/>
      <c r="S1138" s="53" t="str">
        <f t="shared" si="227"/>
        <v>Base S2|Printing Plates Parallel - Season 2|137|Printing Plate</v>
      </c>
      <c r="T1138" s="57" t="str">
        <f>IF($S1138="","",IFERROR(VLOOKUP($S1138,'Pop Estimates (Non-#d)'!$N$2:$O$500,2,FALSE),""))</f>
        <v/>
      </c>
      <c r="U1138" s="57">
        <f t="shared" si="228"/>
        <v>4</v>
      </c>
      <c r="V1138" s="53" t="str">
        <f t="shared" si="229"/>
        <v/>
      </c>
      <c r="W1138" s="53" t="str">
        <f t="shared" si="230"/>
        <v/>
      </c>
      <c r="X1138" s="53" t="str">
        <f t="shared" si="231"/>
        <v/>
      </c>
      <c r="Y1138" s="57" t="str">
        <f>IF($X1138="","",IFERROR(VLOOKUP($X1138,'Char Popularity'!$A$2:$C$500,2,FALSE),""))</f>
        <v/>
      </c>
      <c r="Z1138" s="56">
        <f>IF($X1138="",1,IFERROR(VLOOKUP($X1138,'Char Popularity'!$A$2:$C$500,3,FALSE),1))</f>
        <v>1</v>
      </c>
      <c r="AA1138" s="62">
        <f>IF($H1138&lt;&gt;"Y",0,(IF($F1138&lt;&gt;"",ROUND(Dashboard!$R$4/$F1138,1),IF(AND($I1138="Base",$E1138="Base"),Dashboard!$R$5,IF(AND($I1138="Base",$E1138="Red"),Dashboard!$R$6,IF(AND($I1138="Base",$E1138="Gold"),Dashboard!$R$7,VLOOKUP($I1138,Dashboard!$Q$16:$R$21,2,FALSE)))))*VLOOKUP($I1138,Dashboard!$Q$9:$R$13,2,FALSE)*IF(AND($I1138="Auto",$F1138="",OR($B1138="Autographs Duals",$B1138="Autographs Triples",$B1138="Autographs Quads",$B1138="Autographs Quads (Inscribed)")),IF($B1138="Autographs Duals",2,IF($B1138="Autographs Triples",3,4)),1)))</f>
        <v>0</v>
      </c>
      <c r="AB1138" s="62">
        <f t="shared" si="232"/>
        <v>0</v>
      </c>
      <c r="AC1138" s="62">
        <f t="shared" si="233"/>
        <v>0</v>
      </c>
    </row>
    <row r="1139" spans="1:29" ht="42.95" customHeight="1" x14ac:dyDescent="0.25">
      <c r="A1139" s="4" t="s">
        <v>19</v>
      </c>
      <c r="B1139" s="7" t="s">
        <v>793</v>
      </c>
      <c r="C1139" s="2" t="s">
        <v>1537</v>
      </c>
      <c r="D1139" s="7" t="s">
        <v>1104</v>
      </c>
      <c r="E1139" s="4" t="s">
        <v>829</v>
      </c>
      <c r="F1139" s="2">
        <v>4</v>
      </c>
      <c r="G1139" s="2" t="s">
        <v>1400</v>
      </c>
      <c r="H1139" s="2" t="s">
        <v>1399</v>
      </c>
      <c r="I1139" s="4" t="s">
        <v>60</v>
      </c>
      <c r="J1139" s="112">
        <f>IF($H1139&lt;&gt;"Y",0,ROUND(MIN(Dashboard!$R$24,IF(IFERROR(VLOOKUP($B1139,Dashboard!$Q$28:$S$60,2,FALSE),0)&gt;0,IFERROR(VLOOKUP($B1139,Dashboard!$Q$28:$S$60,2,FALSE),0),$Z1139*IF($U1139&lt;&gt;"",ROUND((Dashboard!$R$4/$U1139)*VLOOKUP($I1139,Dashboard!$Q$9:$R$13,2,FALSE)*IF(ISNUMBER(SEARCH("Duals",$B1139)),2,IF(ISNUMBER(SEARCH("Triples",$B1139)),3,IF(ISNUMBER(SEARCH("Quads",$B1139)),4,1))),2),ROUND(VLOOKUP($I1139,Dashboard!$Q$15:$R$20,2,FALSE)*IF($E1139="Red",Dashboard!$R$6,IF($E1139="Gold",Dashboard!$R$7,Dashboard!$R$5))*IF(ISNUMBER(SEARCH("Duals",$B1139)),2,IF(ISNUMBER(SEARCH("Triples",$B1139)),3,IF(ISNUMBER(SEARCH("Quads",$B1139)),4,1))),2))*IF(IFERROR(VLOOKUP($B1139,Dashboard!$Q$28:$S$60,3,FALSE),0)&gt;0,VLOOKUP($B1139,Dashboard!$Q$28:$S$60,3,FALSE),1))),0))</f>
        <v>0</v>
      </c>
      <c r="K1139" s="2" t="str">
        <f>IF('Base S2'!J39="","",'Base S2'!J39)</f>
        <v/>
      </c>
      <c r="L1139" s="2">
        <f t="shared" si="221"/>
        <v>0</v>
      </c>
      <c r="M1139" s="2">
        <f t="shared" si="222"/>
        <v>0</v>
      </c>
      <c r="N1139" s="2">
        <f t="shared" si="223"/>
        <v>0</v>
      </c>
      <c r="O1139" s="2">
        <f t="shared" si="224"/>
        <v>0</v>
      </c>
      <c r="P1139" s="112">
        <f t="shared" si="225"/>
        <v>0</v>
      </c>
      <c r="Q1139" s="112">
        <f t="shared" si="226"/>
        <v>0</v>
      </c>
      <c r="R1139" s="53"/>
      <c r="S1139" s="53" t="str">
        <f t="shared" si="227"/>
        <v>Base S2|Printing Plates Parallel - Season 2|138|Printing Plate</v>
      </c>
      <c r="T1139" s="57" t="str">
        <f>IF($S1139="","",IFERROR(VLOOKUP($S1139,'Pop Estimates (Non-#d)'!$N$2:$O$500,2,FALSE),""))</f>
        <v/>
      </c>
      <c r="U1139" s="57">
        <f t="shared" si="228"/>
        <v>4</v>
      </c>
      <c r="V1139" s="53" t="str">
        <f t="shared" si="229"/>
        <v/>
      </c>
      <c r="W1139" s="53" t="str">
        <f t="shared" si="230"/>
        <v/>
      </c>
      <c r="X1139" s="53" t="str">
        <f t="shared" si="231"/>
        <v/>
      </c>
      <c r="Y1139" s="57" t="str">
        <f>IF($X1139="","",IFERROR(VLOOKUP($X1139,'Char Popularity'!$A$2:$C$500,2,FALSE),""))</f>
        <v/>
      </c>
      <c r="Z1139" s="56">
        <f>IF($X1139="",1,IFERROR(VLOOKUP($X1139,'Char Popularity'!$A$2:$C$500,3,FALSE),1))</f>
        <v>1</v>
      </c>
      <c r="AA1139" s="62">
        <f>IF($H1139&lt;&gt;"Y",0,(IF($F1139&lt;&gt;"",ROUND(Dashboard!$R$4/$F1139,1),IF(AND($I1139="Base",$E1139="Base"),Dashboard!$R$5,IF(AND($I1139="Base",$E1139="Red"),Dashboard!$R$6,IF(AND($I1139="Base",$E1139="Gold"),Dashboard!$R$7,VLOOKUP($I1139,Dashboard!$Q$16:$R$21,2,FALSE)))))*VLOOKUP($I1139,Dashboard!$Q$9:$R$13,2,FALSE)*IF(AND($I1139="Auto",$F1139="",OR($B1139="Autographs Duals",$B1139="Autographs Triples",$B1139="Autographs Quads",$B1139="Autographs Quads (Inscribed)")),IF($B1139="Autographs Duals",2,IF($B1139="Autographs Triples",3,4)),1)))</f>
        <v>0</v>
      </c>
      <c r="AB1139" s="62">
        <f t="shared" si="232"/>
        <v>0</v>
      </c>
      <c r="AC1139" s="62">
        <f t="shared" si="233"/>
        <v>0</v>
      </c>
    </row>
    <row r="1140" spans="1:29" ht="42.95" customHeight="1" x14ac:dyDescent="0.25">
      <c r="A1140" s="4" t="s">
        <v>19</v>
      </c>
      <c r="B1140" s="7" t="s">
        <v>793</v>
      </c>
      <c r="C1140" s="2" t="s">
        <v>1538</v>
      </c>
      <c r="D1140" s="7" t="s">
        <v>1106</v>
      </c>
      <c r="E1140" s="4" t="s">
        <v>829</v>
      </c>
      <c r="F1140" s="2">
        <v>4</v>
      </c>
      <c r="G1140" s="2" t="s">
        <v>1400</v>
      </c>
      <c r="H1140" s="2" t="s">
        <v>1399</v>
      </c>
      <c r="I1140" s="4" t="s">
        <v>60</v>
      </c>
      <c r="J1140" s="112">
        <f>IF($H1140&lt;&gt;"Y",0,ROUND(MIN(Dashboard!$R$24,IF(IFERROR(VLOOKUP($B1140,Dashboard!$Q$28:$S$60,2,FALSE),0)&gt;0,IFERROR(VLOOKUP($B1140,Dashboard!$Q$28:$S$60,2,FALSE),0),$Z1140*IF($U1140&lt;&gt;"",ROUND((Dashboard!$R$4/$U1140)*VLOOKUP($I1140,Dashboard!$Q$9:$R$13,2,FALSE)*IF(ISNUMBER(SEARCH("Duals",$B1140)),2,IF(ISNUMBER(SEARCH("Triples",$B1140)),3,IF(ISNUMBER(SEARCH("Quads",$B1140)),4,1))),2),ROUND(VLOOKUP($I1140,Dashboard!$Q$15:$R$20,2,FALSE)*IF($E1140="Red",Dashboard!$R$6,IF($E1140="Gold",Dashboard!$R$7,Dashboard!$R$5))*IF(ISNUMBER(SEARCH("Duals",$B1140)),2,IF(ISNUMBER(SEARCH("Triples",$B1140)),3,IF(ISNUMBER(SEARCH("Quads",$B1140)),4,1))),2))*IF(IFERROR(VLOOKUP($B1140,Dashboard!$Q$28:$S$60,3,FALSE),0)&gt;0,VLOOKUP($B1140,Dashboard!$Q$28:$S$60,3,FALSE),1))),0))</f>
        <v>0</v>
      </c>
      <c r="K1140" s="2" t="str">
        <f>IF('Base S2'!J40="","",'Base S2'!J40)</f>
        <v>C Black</v>
      </c>
      <c r="L1140" s="2">
        <f t="shared" si="221"/>
        <v>1</v>
      </c>
      <c r="M1140" s="2">
        <f t="shared" si="222"/>
        <v>0</v>
      </c>
      <c r="N1140" s="2">
        <f t="shared" si="223"/>
        <v>1</v>
      </c>
      <c r="O1140" s="2">
        <f t="shared" si="224"/>
        <v>0</v>
      </c>
      <c r="P1140" s="112">
        <f t="shared" si="225"/>
        <v>0</v>
      </c>
      <c r="Q1140" s="112">
        <f t="shared" si="226"/>
        <v>0</v>
      </c>
      <c r="R1140" s="53"/>
      <c r="S1140" s="53" t="str">
        <f t="shared" si="227"/>
        <v>Base S2|Printing Plates Parallel - Season 2|139|Printing Plate</v>
      </c>
      <c r="T1140" s="57" t="str">
        <f>IF($S1140="","",IFERROR(VLOOKUP($S1140,'Pop Estimates (Non-#d)'!$N$2:$O$500,2,FALSE),""))</f>
        <v/>
      </c>
      <c r="U1140" s="57">
        <f t="shared" si="228"/>
        <v>4</v>
      </c>
      <c r="V1140" s="53" t="str">
        <f t="shared" si="229"/>
        <v/>
      </c>
      <c r="W1140" s="53" t="str">
        <f t="shared" si="230"/>
        <v/>
      </c>
      <c r="X1140" s="53" t="str">
        <f t="shared" si="231"/>
        <v/>
      </c>
      <c r="Y1140" s="57" t="str">
        <f>IF($X1140="","",IFERROR(VLOOKUP($X1140,'Char Popularity'!$A$2:$C$500,2,FALSE),""))</f>
        <v/>
      </c>
      <c r="Z1140" s="56">
        <f>IF($X1140="",1,IFERROR(VLOOKUP($X1140,'Char Popularity'!$A$2:$C$500,3,FALSE),1))</f>
        <v>1</v>
      </c>
      <c r="AA1140" s="62">
        <f>IF($H1140&lt;&gt;"Y",0,(IF($F1140&lt;&gt;"",ROUND(Dashboard!$R$4/$F1140,1),IF(AND($I1140="Base",$E1140="Base"),Dashboard!$R$5,IF(AND($I1140="Base",$E1140="Red"),Dashboard!$R$6,IF(AND($I1140="Base",$E1140="Gold"),Dashboard!$R$7,VLOOKUP($I1140,Dashboard!$Q$16:$R$21,2,FALSE)))))*VLOOKUP($I1140,Dashboard!$Q$9:$R$13,2,FALSE)*IF(AND($I1140="Auto",$F1140="",OR($B1140="Autographs Duals",$B1140="Autographs Triples",$B1140="Autographs Quads",$B1140="Autographs Quads (Inscribed)")),IF($B1140="Autographs Duals",2,IF($B1140="Autographs Triples",3,4)),1)))</f>
        <v>0</v>
      </c>
      <c r="AB1140" s="62">
        <f t="shared" si="232"/>
        <v>0</v>
      </c>
      <c r="AC1140" s="62">
        <f t="shared" si="233"/>
        <v>0</v>
      </c>
    </row>
    <row r="1141" spans="1:29" ht="42.95" customHeight="1" x14ac:dyDescent="0.25">
      <c r="A1141" s="4" t="s">
        <v>19</v>
      </c>
      <c r="B1141" s="7" t="s">
        <v>793</v>
      </c>
      <c r="C1141" s="2" t="s">
        <v>1539</v>
      </c>
      <c r="D1141" s="7" t="s">
        <v>1108</v>
      </c>
      <c r="E1141" s="4" t="s">
        <v>829</v>
      </c>
      <c r="F1141" s="2">
        <v>4</v>
      </c>
      <c r="G1141" s="2" t="s">
        <v>1400</v>
      </c>
      <c r="H1141" s="2" t="s">
        <v>1399</v>
      </c>
      <c r="I1141" s="4" t="s">
        <v>60</v>
      </c>
      <c r="J1141" s="112">
        <f>IF($H1141&lt;&gt;"Y",0,ROUND(MIN(Dashboard!$R$24,IF(IFERROR(VLOOKUP($B1141,Dashboard!$Q$28:$S$60,2,FALSE),0)&gt;0,IFERROR(VLOOKUP($B1141,Dashboard!$Q$28:$S$60,2,FALSE),0),$Z1141*IF($U1141&lt;&gt;"",ROUND((Dashboard!$R$4/$U1141)*VLOOKUP($I1141,Dashboard!$Q$9:$R$13,2,FALSE)*IF(ISNUMBER(SEARCH("Duals",$B1141)),2,IF(ISNUMBER(SEARCH("Triples",$B1141)),3,IF(ISNUMBER(SEARCH("Quads",$B1141)),4,1))),2),ROUND(VLOOKUP($I1141,Dashboard!$Q$15:$R$20,2,FALSE)*IF($E1141="Red",Dashboard!$R$6,IF($E1141="Gold",Dashboard!$R$7,Dashboard!$R$5))*IF(ISNUMBER(SEARCH("Duals",$B1141)),2,IF(ISNUMBER(SEARCH("Triples",$B1141)),3,IF(ISNUMBER(SEARCH("Quads",$B1141)),4,1))),2))*IF(IFERROR(VLOOKUP($B1141,Dashboard!$Q$28:$S$60,3,FALSE),0)&gt;0,VLOOKUP($B1141,Dashboard!$Q$28:$S$60,3,FALSE),1))),0))</f>
        <v>0</v>
      </c>
      <c r="K1141" s="2" t="str">
        <f>IF('Base S2'!J41="","",'Base S2'!J41)</f>
        <v/>
      </c>
      <c r="L1141" s="2">
        <f t="shared" si="221"/>
        <v>0</v>
      </c>
      <c r="M1141" s="2">
        <f t="shared" si="222"/>
        <v>0</v>
      </c>
      <c r="N1141" s="2">
        <f t="shared" si="223"/>
        <v>0</v>
      </c>
      <c r="O1141" s="2">
        <f t="shared" si="224"/>
        <v>0</v>
      </c>
      <c r="P1141" s="112">
        <f t="shared" si="225"/>
        <v>0</v>
      </c>
      <c r="Q1141" s="112">
        <f t="shared" si="226"/>
        <v>0</v>
      </c>
      <c r="R1141" s="53"/>
      <c r="S1141" s="53" t="str">
        <f t="shared" si="227"/>
        <v>Base S2|Printing Plates Parallel - Season 2|140|Printing Plate</v>
      </c>
      <c r="T1141" s="57" t="str">
        <f>IF($S1141="","",IFERROR(VLOOKUP($S1141,'Pop Estimates (Non-#d)'!$N$2:$O$500,2,FALSE),""))</f>
        <v/>
      </c>
      <c r="U1141" s="57">
        <f t="shared" si="228"/>
        <v>4</v>
      </c>
      <c r="V1141" s="53" t="str">
        <f t="shared" si="229"/>
        <v/>
      </c>
      <c r="W1141" s="53" t="str">
        <f t="shared" si="230"/>
        <v/>
      </c>
      <c r="X1141" s="53" t="str">
        <f t="shared" si="231"/>
        <v/>
      </c>
      <c r="Y1141" s="57" t="str">
        <f>IF($X1141="","",IFERROR(VLOOKUP($X1141,'Char Popularity'!$A$2:$C$500,2,FALSE),""))</f>
        <v/>
      </c>
      <c r="Z1141" s="56">
        <f>IF($X1141="",1,IFERROR(VLOOKUP($X1141,'Char Popularity'!$A$2:$C$500,3,FALSE),1))</f>
        <v>1</v>
      </c>
      <c r="AA1141" s="62">
        <f>IF($H1141&lt;&gt;"Y",0,(IF($F1141&lt;&gt;"",ROUND(Dashboard!$R$4/$F1141,1),IF(AND($I1141="Base",$E1141="Base"),Dashboard!$R$5,IF(AND($I1141="Base",$E1141="Red"),Dashboard!$R$6,IF(AND($I1141="Base",$E1141="Gold"),Dashboard!$R$7,VLOOKUP($I1141,Dashboard!$Q$16:$R$21,2,FALSE)))))*VLOOKUP($I1141,Dashboard!$Q$9:$R$13,2,FALSE)*IF(AND($I1141="Auto",$F1141="",OR($B1141="Autographs Duals",$B1141="Autographs Triples",$B1141="Autographs Quads",$B1141="Autographs Quads (Inscribed)")),IF($B1141="Autographs Duals",2,IF($B1141="Autographs Triples",3,4)),1)))</f>
        <v>0</v>
      </c>
      <c r="AB1141" s="62">
        <f t="shared" si="232"/>
        <v>0</v>
      </c>
      <c r="AC1141" s="62">
        <f t="shared" si="233"/>
        <v>0</v>
      </c>
    </row>
    <row r="1142" spans="1:29" ht="42.95" customHeight="1" x14ac:dyDescent="0.25">
      <c r="A1142" s="4" t="s">
        <v>19</v>
      </c>
      <c r="B1142" s="7" t="s">
        <v>793</v>
      </c>
      <c r="C1142" s="2" t="s">
        <v>1540</v>
      </c>
      <c r="D1142" s="7" t="s">
        <v>1109</v>
      </c>
      <c r="E1142" s="4" t="s">
        <v>829</v>
      </c>
      <c r="F1142" s="2">
        <v>4</v>
      </c>
      <c r="G1142" s="2" t="s">
        <v>1400</v>
      </c>
      <c r="H1142" s="2" t="s">
        <v>1399</v>
      </c>
      <c r="I1142" s="4" t="s">
        <v>60</v>
      </c>
      <c r="J1142" s="112">
        <f>IF($H1142&lt;&gt;"Y",0,ROUND(MIN(Dashboard!$R$24,IF(IFERROR(VLOOKUP($B1142,Dashboard!$Q$28:$S$60,2,FALSE),0)&gt;0,IFERROR(VLOOKUP($B1142,Dashboard!$Q$28:$S$60,2,FALSE),0),$Z1142*IF($U1142&lt;&gt;"",ROUND((Dashboard!$R$4/$U1142)*VLOOKUP($I1142,Dashboard!$Q$9:$R$13,2,FALSE)*IF(ISNUMBER(SEARCH("Duals",$B1142)),2,IF(ISNUMBER(SEARCH("Triples",$B1142)),3,IF(ISNUMBER(SEARCH("Quads",$B1142)),4,1))),2),ROUND(VLOOKUP($I1142,Dashboard!$Q$15:$R$20,2,FALSE)*IF($E1142="Red",Dashboard!$R$6,IF($E1142="Gold",Dashboard!$R$7,Dashboard!$R$5))*IF(ISNUMBER(SEARCH("Duals",$B1142)),2,IF(ISNUMBER(SEARCH("Triples",$B1142)),3,IF(ISNUMBER(SEARCH("Quads",$B1142)),4,1))),2))*IF(IFERROR(VLOOKUP($B1142,Dashboard!$Q$28:$S$60,3,FALSE),0)&gt;0,VLOOKUP($B1142,Dashboard!$Q$28:$S$60,3,FALSE),1))),0))</f>
        <v>0</v>
      </c>
      <c r="K1142" s="2" t="str">
        <f>IF('Base S2'!J42="","",'Base S2'!J42)</f>
        <v/>
      </c>
      <c r="L1142" s="2">
        <f t="shared" si="221"/>
        <v>0</v>
      </c>
      <c r="M1142" s="2">
        <f t="shared" si="222"/>
        <v>0</v>
      </c>
      <c r="N1142" s="2">
        <f t="shared" si="223"/>
        <v>0</v>
      </c>
      <c r="O1142" s="2">
        <f t="shared" si="224"/>
        <v>0</v>
      </c>
      <c r="P1142" s="112">
        <f t="shared" si="225"/>
        <v>0</v>
      </c>
      <c r="Q1142" s="112">
        <f t="shared" si="226"/>
        <v>0</v>
      </c>
      <c r="R1142" s="53"/>
      <c r="S1142" s="53" t="str">
        <f t="shared" si="227"/>
        <v>Base S2|Printing Plates Parallel - Season 2|141|Printing Plate</v>
      </c>
      <c r="T1142" s="57" t="str">
        <f>IF($S1142="","",IFERROR(VLOOKUP($S1142,'Pop Estimates (Non-#d)'!$N$2:$O$500,2,FALSE),""))</f>
        <v/>
      </c>
      <c r="U1142" s="57">
        <f t="shared" si="228"/>
        <v>4</v>
      </c>
      <c r="V1142" s="53" t="str">
        <f t="shared" si="229"/>
        <v/>
      </c>
      <c r="W1142" s="53" t="str">
        <f t="shared" si="230"/>
        <v/>
      </c>
      <c r="X1142" s="53" t="str">
        <f t="shared" si="231"/>
        <v/>
      </c>
      <c r="Y1142" s="57" t="str">
        <f>IF($X1142="","",IFERROR(VLOOKUP($X1142,'Char Popularity'!$A$2:$C$500,2,FALSE),""))</f>
        <v/>
      </c>
      <c r="Z1142" s="56">
        <f>IF($X1142="",1,IFERROR(VLOOKUP($X1142,'Char Popularity'!$A$2:$C$500,3,FALSE),1))</f>
        <v>1</v>
      </c>
      <c r="AA1142" s="62">
        <f>IF($H1142&lt;&gt;"Y",0,(IF($F1142&lt;&gt;"",ROUND(Dashboard!$R$4/$F1142,1),IF(AND($I1142="Base",$E1142="Base"),Dashboard!$R$5,IF(AND($I1142="Base",$E1142="Red"),Dashboard!$R$6,IF(AND($I1142="Base",$E1142="Gold"),Dashboard!$R$7,VLOOKUP($I1142,Dashboard!$Q$16:$R$21,2,FALSE)))))*VLOOKUP($I1142,Dashboard!$Q$9:$R$13,2,FALSE)*IF(AND($I1142="Auto",$F1142="",OR($B1142="Autographs Duals",$B1142="Autographs Triples",$B1142="Autographs Quads",$B1142="Autographs Quads (Inscribed)")),IF($B1142="Autographs Duals",2,IF($B1142="Autographs Triples",3,4)),1)))</f>
        <v>0</v>
      </c>
      <c r="AB1142" s="62">
        <f t="shared" si="232"/>
        <v>0</v>
      </c>
      <c r="AC1142" s="62">
        <f t="shared" si="233"/>
        <v>0</v>
      </c>
    </row>
    <row r="1143" spans="1:29" ht="42.95" customHeight="1" x14ac:dyDescent="0.25">
      <c r="A1143" s="4" t="s">
        <v>19</v>
      </c>
      <c r="B1143" s="7" t="s">
        <v>793</v>
      </c>
      <c r="C1143" s="2" t="s">
        <v>1541</v>
      </c>
      <c r="D1143" s="7" t="s">
        <v>1110</v>
      </c>
      <c r="E1143" s="4" t="s">
        <v>829</v>
      </c>
      <c r="F1143" s="2">
        <v>4</v>
      </c>
      <c r="G1143" s="2" t="s">
        <v>1400</v>
      </c>
      <c r="H1143" s="2" t="s">
        <v>1399</v>
      </c>
      <c r="I1143" s="4" t="s">
        <v>60</v>
      </c>
      <c r="J1143" s="112">
        <f>IF($H1143&lt;&gt;"Y",0,ROUND(MIN(Dashboard!$R$24,IF(IFERROR(VLOOKUP($B1143,Dashboard!$Q$28:$S$60,2,FALSE),0)&gt;0,IFERROR(VLOOKUP($B1143,Dashboard!$Q$28:$S$60,2,FALSE),0),$Z1143*IF($U1143&lt;&gt;"",ROUND((Dashboard!$R$4/$U1143)*VLOOKUP($I1143,Dashboard!$Q$9:$R$13,2,FALSE)*IF(ISNUMBER(SEARCH("Duals",$B1143)),2,IF(ISNUMBER(SEARCH("Triples",$B1143)),3,IF(ISNUMBER(SEARCH("Quads",$B1143)),4,1))),2),ROUND(VLOOKUP($I1143,Dashboard!$Q$15:$R$20,2,FALSE)*IF($E1143="Red",Dashboard!$R$6,IF($E1143="Gold",Dashboard!$R$7,Dashboard!$R$5))*IF(ISNUMBER(SEARCH("Duals",$B1143)),2,IF(ISNUMBER(SEARCH("Triples",$B1143)),3,IF(ISNUMBER(SEARCH("Quads",$B1143)),4,1))),2))*IF(IFERROR(VLOOKUP($B1143,Dashboard!$Q$28:$S$60,3,FALSE),0)&gt;0,VLOOKUP($B1143,Dashboard!$Q$28:$S$60,3,FALSE),1))),0))</f>
        <v>0</v>
      </c>
      <c r="K1143" s="2" t="str">
        <f>IF('Base S2'!J43="","",'Base S2'!J43)</f>
        <v/>
      </c>
      <c r="L1143" s="2">
        <f t="shared" si="221"/>
        <v>0</v>
      </c>
      <c r="M1143" s="2">
        <f t="shared" si="222"/>
        <v>0</v>
      </c>
      <c r="N1143" s="2">
        <f t="shared" si="223"/>
        <v>0</v>
      </c>
      <c r="O1143" s="2">
        <f t="shared" si="224"/>
        <v>0</v>
      </c>
      <c r="P1143" s="112">
        <f t="shared" si="225"/>
        <v>0</v>
      </c>
      <c r="Q1143" s="112">
        <f t="shared" si="226"/>
        <v>0</v>
      </c>
      <c r="R1143" s="53"/>
      <c r="S1143" s="53" t="str">
        <f t="shared" si="227"/>
        <v>Base S2|Printing Plates Parallel - Season 2|142|Printing Plate</v>
      </c>
      <c r="T1143" s="57" t="str">
        <f>IF($S1143="","",IFERROR(VLOOKUP($S1143,'Pop Estimates (Non-#d)'!$N$2:$O$500,2,FALSE),""))</f>
        <v/>
      </c>
      <c r="U1143" s="57">
        <f t="shared" si="228"/>
        <v>4</v>
      </c>
      <c r="V1143" s="53" t="str">
        <f t="shared" si="229"/>
        <v/>
      </c>
      <c r="W1143" s="53" t="str">
        <f t="shared" si="230"/>
        <v/>
      </c>
      <c r="X1143" s="53" t="str">
        <f t="shared" si="231"/>
        <v/>
      </c>
      <c r="Y1143" s="57" t="str">
        <f>IF($X1143="","",IFERROR(VLOOKUP($X1143,'Char Popularity'!$A$2:$C$500,2,FALSE),""))</f>
        <v/>
      </c>
      <c r="Z1143" s="56">
        <f>IF($X1143="",1,IFERROR(VLOOKUP($X1143,'Char Popularity'!$A$2:$C$500,3,FALSE),1))</f>
        <v>1</v>
      </c>
      <c r="AA1143" s="62">
        <f>IF($H1143&lt;&gt;"Y",0,(IF($F1143&lt;&gt;"",ROUND(Dashboard!$R$4/$F1143,1),IF(AND($I1143="Base",$E1143="Base"),Dashboard!$R$5,IF(AND($I1143="Base",$E1143="Red"),Dashboard!$R$6,IF(AND($I1143="Base",$E1143="Gold"),Dashboard!$R$7,VLOOKUP($I1143,Dashboard!$Q$16:$R$21,2,FALSE)))))*VLOOKUP($I1143,Dashboard!$Q$9:$R$13,2,FALSE)*IF(AND($I1143="Auto",$F1143="",OR($B1143="Autographs Duals",$B1143="Autographs Triples",$B1143="Autographs Quads",$B1143="Autographs Quads (Inscribed)")),IF($B1143="Autographs Duals",2,IF($B1143="Autographs Triples",3,4)),1)))</f>
        <v>0</v>
      </c>
      <c r="AB1143" s="62">
        <f t="shared" si="232"/>
        <v>0</v>
      </c>
      <c r="AC1143" s="62">
        <f t="shared" si="233"/>
        <v>0</v>
      </c>
    </row>
    <row r="1144" spans="1:29" ht="42.95" customHeight="1" x14ac:dyDescent="0.25">
      <c r="A1144" s="4" t="s">
        <v>19</v>
      </c>
      <c r="B1144" s="7" t="s">
        <v>793</v>
      </c>
      <c r="C1144" s="2" t="s">
        <v>1542</v>
      </c>
      <c r="D1144" s="7" t="s">
        <v>1111</v>
      </c>
      <c r="E1144" s="4" t="s">
        <v>829</v>
      </c>
      <c r="F1144" s="2">
        <v>4</v>
      </c>
      <c r="G1144" s="2" t="s">
        <v>1400</v>
      </c>
      <c r="H1144" s="2" t="s">
        <v>1399</v>
      </c>
      <c r="I1144" s="4" t="s">
        <v>60</v>
      </c>
      <c r="J1144" s="112">
        <f>IF($H1144&lt;&gt;"Y",0,ROUND(MIN(Dashboard!$R$24,IF(IFERROR(VLOOKUP($B1144,Dashboard!$Q$28:$S$60,2,FALSE),0)&gt;0,IFERROR(VLOOKUP($B1144,Dashboard!$Q$28:$S$60,2,FALSE),0),$Z1144*IF($U1144&lt;&gt;"",ROUND((Dashboard!$R$4/$U1144)*VLOOKUP($I1144,Dashboard!$Q$9:$R$13,2,FALSE)*IF(ISNUMBER(SEARCH("Duals",$B1144)),2,IF(ISNUMBER(SEARCH("Triples",$B1144)),3,IF(ISNUMBER(SEARCH("Quads",$B1144)),4,1))),2),ROUND(VLOOKUP($I1144,Dashboard!$Q$15:$R$20,2,FALSE)*IF($E1144="Red",Dashboard!$R$6,IF($E1144="Gold",Dashboard!$R$7,Dashboard!$R$5))*IF(ISNUMBER(SEARCH("Duals",$B1144)),2,IF(ISNUMBER(SEARCH("Triples",$B1144)),3,IF(ISNUMBER(SEARCH("Quads",$B1144)),4,1))),2))*IF(IFERROR(VLOOKUP($B1144,Dashboard!$Q$28:$S$60,3,FALSE),0)&gt;0,VLOOKUP($B1144,Dashboard!$Q$28:$S$60,3,FALSE),1))),0))</f>
        <v>0</v>
      </c>
      <c r="K1144" s="2" t="str">
        <f>IF('Base S2'!J44="","",'Base S2'!J44)</f>
        <v/>
      </c>
      <c r="L1144" s="2">
        <f t="shared" si="221"/>
        <v>0</v>
      </c>
      <c r="M1144" s="2">
        <f t="shared" si="222"/>
        <v>0</v>
      </c>
      <c r="N1144" s="2">
        <f t="shared" si="223"/>
        <v>0</v>
      </c>
      <c r="O1144" s="2">
        <f t="shared" si="224"/>
        <v>0</v>
      </c>
      <c r="P1144" s="112">
        <f t="shared" si="225"/>
        <v>0</v>
      </c>
      <c r="Q1144" s="112">
        <f t="shared" si="226"/>
        <v>0</v>
      </c>
      <c r="R1144" s="53"/>
      <c r="S1144" s="53" t="str">
        <f t="shared" si="227"/>
        <v>Base S2|Printing Plates Parallel - Season 2|143|Printing Plate</v>
      </c>
      <c r="T1144" s="57" t="str">
        <f>IF($S1144="","",IFERROR(VLOOKUP($S1144,'Pop Estimates (Non-#d)'!$N$2:$O$500,2,FALSE),""))</f>
        <v/>
      </c>
      <c r="U1144" s="57">
        <f t="shared" si="228"/>
        <v>4</v>
      </c>
      <c r="V1144" s="53" t="str">
        <f t="shared" si="229"/>
        <v/>
      </c>
      <c r="W1144" s="53" t="str">
        <f t="shared" si="230"/>
        <v/>
      </c>
      <c r="X1144" s="53" t="str">
        <f t="shared" si="231"/>
        <v/>
      </c>
      <c r="Y1144" s="57" t="str">
        <f>IF($X1144="","",IFERROR(VLOOKUP($X1144,'Char Popularity'!$A$2:$C$500,2,FALSE),""))</f>
        <v/>
      </c>
      <c r="Z1144" s="56">
        <f>IF($X1144="",1,IFERROR(VLOOKUP($X1144,'Char Popularity'!$A$2:$C$500,3,FALSE),1))</f>
        <v>1</v>
      </c>
      <c r="AA1144" s="62">
        <f>IF($H1144&lt;&gt;"Y",0,(IF($F1144&lt;&gt;"",ROUND(Dashboard!$R$4/$F1144,1),IF(AND($I1144="Base",$E1144="Base"),Dashboard!$R$5,IF(AND($I1144="Base",$E1144="Red"),Dashboard!$R$6,IF(AND($I1144="Base",$E1144="Gold"),Dashboard!$R$7,VLOOKUP($I1144,Dashboard!$Q$16:$R$21,2,FALSE)))))*VLOOKUP($I1144,Dashboard!$Q$9:$R$13,2,FALSE)*IF(AND($I1144="Auto",$F1144="",OR($B1144="Autographs Duals",$B1144="Autographs Triples",$B1144="Autographs Quads",$B1144="Autographs Quads (Inscribed)")),IF($B1144="Autographs Duals",2,IF($B1144="Autographs Triples",3,4)),1)))</f>
        <v>0</v>
      </c>
      <c r="AB1144" s="62">
        <f t="shared" si="232"/>
        <v>0</v>
      </c>
      <c r="AC1144" s="62">
        <f t="shared" si="233"/>
        <v>0</v>
      </c>
    </row>
    <row r="1145" spans="1:29" ht="42.95" customHeight="1" x14ac:dyDescent="0.25">
      <c r="A1145" s="4" t="s">
        <v>19</v>
      </c>
      <c r="B1145" s="7" t="s">
        <v>793</v>
      </c>
      <c r="C1145" s="2" t="s">
        <v>1543</v>
      </c>
      <c r="D1145" s="7" t="s">
        <v>1113</v>
      </c>
      <c r="E1145" s="4" t="s">
        <v>829</v>
      </c>
      <c r="F1145" s="2">
        <v>4</v>
      </c>
      <c r="G1145" s="2" t="s">
        <v>1400</v>
      </c>
      <c r="H1145" s="2" t="s">
        <v>1399</v>
      </c>
      <c r="I1145" s="4" t="s">
        <v>60</v>
      </c>
      <c r="J1145" s="112">
        <f>IF($H1145&lt;&gt;"Y",0,ROUND(MIN(Dashboard!$R$24,IF(IFERROR(VLOOKUP($B1145,Dashboard!$Q$28:$S$60,2,FALSE),0)&gt;0,IFERROR(VLOOKUP($B1145,Dashboard!$Q$28:$S$60,2,FALSE),0),$Z1145*IF($U1145&lt;&gt;"",ROUND((Dashboard!$R$4/$U1145)*VLOOKUP($I1145,Dashboard!$Q$9:$R$13,2,FALSE)*IF(ISNUMBER(SEARCH("Duals",$B1145)),2,IF(ISNUMBER(SEARCH("Triples",$B1145)),3,IF(ISNUMBER(SEARCH("Quads",$B1145)),4,1))),2),ROUND(VLOOKUP($I1145,Dashboard!$Q$15:$R$20,2,FALSE)*IF($E1145="Red",Dashboard!$R$6,IF($E1145="Gold",Dashboard!$R$7,Dashboard!$R$5))*IF(ISNUMBER(SEARCH("Duals",$B1145)),2,IF(ISNUMBER(SEARCH("Triples",$B1145)),3,IF(ISNUMBER(SEARCH("Quads",$B1145)),4,1))),2))*IF(IFERROR(VLOOKUP($B1145,Dashboard!$Q$28:$S$60,3,FALSE),0)&gt;0,VLOOKUP($B1145,Dashboard!$Q$28:$S$60,3,FALSE),1))),0))</f>
        <v>0</v>
      </c>
      <c r="K1145" s="2" t="str">
        <f>IF('Base S2'!J45="","",'Base S2'!J45)</f>
        <v/>
      </c>
      <c r="L1145" s="2">
        <f t="shared" si="221"/>
        <v>0</v>
      </c>
      <c r="M1145" s="2">
        <f t="shared" si="222"/>
        <v>0</v>
      </c>
      <c r="N1145" s="2">
        <f t="shared" si="223"/>
        <v>0</v>
      </c>
      <c r="O1145" s="2">
        <f t="shared" si="224"/>
        <v>0</v>
      </c>
      <c r="P1145" s="112">
        <f t="shared" si="225"/>
        <v>0</v>
      </c>
      <c r="Q1145" s="112">
        <f t="shared" si="226"/>
        <v>0</v>
      </c>
      <c r="R1145" s="53"/>
      <c r="S1145" s="53" t="str">
        <f t="shared" si="227"/>
        <v>Base S2|Printing Plates Parallel - Season 2|144|Printing Plate</v>
      </c>
      <c r="T1145" s="57" t="str">
        <f>IF($S1145="","",IFERROR(VLOOKUP($S1145,'Pop Estimates (Non-#d)'!$N$2:$O$500,2,FALSE),""))</f>
        <v/>
      </c>
      <c r="U1145" s="57">
        <f t="shared" si="228"/>
        <v>4</v>
      </c>
      <c r="V1145" s="53" t="str">
        <f t="shared" si="229"/>
        <v/>
      </c>
      <c r="W1145" s="53" t="str">
        <f t="shared" si="230"/>
        <v/>
      </c>
      <c r="X1145" s="53" t="str">
        <f t="shared" si="231"/>
        <v/>
      </c>
      <c r="Y1145" s="57" t="str">
        <f>IF($X1145="","",IFERROR(VLOOKUP($X1145,'Char Popularity'!$A$2:$C$500,2,FALSE),""))</f>
        <v/>
      </c>
      <c r="Z1145" s="56">
        <f>IF($X1145="",1,IFERROR(VLOOKUP($X1145,'Char Popularity'!$A$2:$C$500,3,FALSE),1))</f>
        <v>1</v>
      </c>
      <c r="AA1145" s="62">
        <f>IF($H1145&lt;&gt;"Y",0,(IF($F1145&lt;&gt;"",ROUND(Dashboard!$R$4/$F1145,1),IF(AND($I1145="Base",$E1145="Base"),Dashboard!$R$5,IF(AND($I1145="Base",$E1145="Red"),Dashboard!$R$6,IF(AND($I1145="Base",$E1145="Gold"),Dashboard!$R$7,VLOOKUP($I1145,Dashboard!$Q$16:$R$21,2,FALSE)))))*VLOOKUP($I1145,Dashboard!$Q$9:$R$13,2,FALSE)*IF(AND($I1145="Auto",$F1145="",OR($B1145="Autographs Duals",$B1145="Autographs Triples",$B1145="Autographs Quads",$B1145="Autographs Quads (Inscribed)")),IF($B1145="Autographs Duals",2,IF($B1145="Autographs Triples",3,4)),1)))</f>
        <v>0</v>
      </c>
      <c r="AB1145" s="62">
        <f t="shared" si="232"/>
        <v>0</v>
      </c>
      <c r="AC1145" s="62">
        <f t="shared" si="233"/>
        <v>0</v>
      </c>
    </row>
    <row r="1146" spans="1:29" ht="42.95" customHeight="1" x14ac:dyDescent="0.25">
      <c r="A1146" s="4" t="s">
        <v>19</v>
      </c>
      <c r="B1146" s="7" t="s">
        <v>793</v>
      </c>
      <c r="C1146" s="2" t="s">
        <v>1544</v>
      </c>
      <c r="D1146" s="7" t="s">
        <v>1114</v>
      </c>
      <c r="E1146" s="4" t="s">
        <v>829</v>
      </c>
      <c r="F1146" s="2">
        <v>4</v>
      </c>
      <c r="G1146" s="2" t="s">
        <v>1400</v>
      </c>
      <c r="H1146" s="2" t="s">
        <v>1399</v>
      </c>
      <c r="I1146" s="4" t="s">
        <v>60</v>
      </c>
      <c r="J1146" s="112">
        <f>IF($H1146&lt;&gt;"Y",0,ROUND(MIN(Dashboard!$R$24,IF(IFERROR(VLOOKUP($B1146,Dashboard!$Q$28:$S$60,2,FALSE),0)&gt;0,IFERROR(VLOOKUP($B1146,Dashboard!$Q$28:$S$60,2,FALSE),0),$Z1146*IF($U1146&lt;&gt;"",ROUND((Dashboard!$R$4/$U1146)*VLOOKUP($I1146,Dashboard!$Q$9:$R$13,2,FALSE)*IF(ISNUMBER(SEARCH("Duals",$B1146)),2,IF(ISNUMBER(SEARCH("Triples",$B1146)),3,IF(ISNUMBER(SEARCH("Quads",$B1146)),4,1))),2),ROUND(VLOOKUP($I1146,Dashboard!$Q$15:$R$20,2,FALSE)*IF($E1146="Red",Dashboard!$R$6,IF($E1146="Gold",Dashboard!$R$7,Dashboard!$R$5))*IF(ISNUMBER(SEARCH("Duals",$B1146)),2,IF(ISNUMBER(SEARCH("Triples",$B1146)),3,IF(ISNUMBER(SEARCH("Quads",$B1146)),4,1))),2))*IF(IFERROR(VLOOKUP($B1146,Dashboard!$Q$28:$S$60,3,FALSE),0)&gt;0,VLOOKUP($B1146,Dashboard!$Q$28:$S$60,3,FALSE),1))),0))</f>
        <v>0</v>
      </c>
      <c r="K1146" s="2" t="str">
        <f>IF('Base S2'!J46="","",'Base S2'!J46)</f>
        <v/>
      </c>
      <c r="L1146" s="2">
        <f t="shared" si="221"/>
        <v>0</v>
      </c>
      <c r="M1146" s="2">
        <f t="shared" si="222"/>
        <v>0</v>
      </c>
      <c r="N1146" s="2">
        <f t="shared" si="223"/>
        <v>0</v>
      </c>
      <c r="O1146" s="2">
        <f t="shared" si="224"/>
        <v>0</v>
      </c>
      <c r="P1146" s="112">
        <f t="shared" si="225"/>
        <v>0</v>
      </c>
      <c r="Q1146" s="112">
        <f t="shared" si="226"/>
        <v>0</v>
      </c>
      <c r="R1146" s="53"/>
      <c r="S1146" s="53" t="str">
        <f t="shared" si="227"/>
        <v>Base S2|Printing Plates Parallel - Season 2|145|Printing Plate</v>
      </c>
      <c r="T1146" s="57" t="str">
        <f>IF($S1146="","",IFERROR(VLOOKUP($S1146,'Pop Estimates (Non-#d)'!$N$2:$O$500,2,FALSE),""))</f>
        <v/>
      </c>
      <c r="U1146" s="57">
        <f t="shared" si="228"/>
        <v>4</v>
      </c>
      <c r="V1146" s="53" t="str">
        <f t="shared" si="229"/>
        <v/>
      </c>
      <c r="W1146" s="53" t="str">
        <f t="shared" si="230"/>
        <v/>
      </c>
      <c r="X1146" s="53" t="str">
        <f t="shared" si="231"/>
        <v/>
      </c>
      <c r="Y1146" s="57" t="str">
        <f>IF($X1146="","",IFERROR(VLOOKUP($X1146,'Char Popularity'!$A$2:$C$500,2,FALSE),""))</f>
        <v/>
      </c>
      <c r="Z1146" s="56">
        <f>IF($X1146="",1,IFERROR(VLOOKUP($X1146,'Char Popularity'!$A$2:$C$500,3,FALSE),1))</f>
        <v>1</v>
      </c>
      <c r="AA1146" s="62">
        <f>IF($H1146&lt;&gt;"Y",0,(IF($F1146&lt;&gt;"",ROUND(Dashboard!$R$4/$F1146,1),IF(AND($I1146="Base",$E1146="Base"),Dashboard!$R$5,IF(AND($I1146="Base",$E1146="Red"),Dashboard!$R$6,IF(AND($I1146="Base",$E1146="Gold"),Dashboard!$R$7,VLOOKUP($I1146,Dashboard!$Q$16:$R$21,2,FALSE)))))*VLOOKUP($I1146,Dashboard!$Q$9:$R$13,2,FALSE)*IF(AND($I1146="Auto",$F1146="",OR($B1146="Autographs Duals",$B1146="Autographs Triples",$B1146="Autographs Quads",$B1146="Autographs Quads (Inscribed)")),IF($B1146="Autographs Duals",2,IF($B1146="Autographs Triples",3,4)),1)))</f>
        <v>0</v>
      </c>
      <c r="AB1146" s="62">
        <f t="shared" si="232"/>
        <v>0</v>
      </c>
      <c r="AC1146" s="62">
        <f t="shared" si="233"/>
        <v>0</v>
      </c>
    </row>
    <row r="1147" spans="1:29" ht="42.95" customHeight="1" x14ac:dyDescent="0.25">
      <c r="A1147" s="4" t="s">
        <v>19</v>
      </c>
      <c r="B1147" s="7" t="s">
        <v>793</v>
      </c>
      <c r="C1147" s="2" t="s">
        <v>1545</v>
      </c>
      <c r="D1147" s="7" t="s">
        <v>1116</v>
      </c>
      <c r="E1147" s="4" t="s">
        <v>829</v>
      </c>
      <c r="F1147" s="2">
        <v>4</v>
      </c>
      <c r="G1147" s="2" t="s">
        <v>1400</v>
      </c>
      <c r="H1147" s="2" t="s">
        <v>1399</v>
      </c>
      <c r="I1147" s="4" t="s">
        <v>60</v>
      </c>
      <c r="J1147" s="112">
        <f>IF($H1147&lt;&gt;"Y",0,ROUND(MIN(Dashboard!$R$24,IF(IFERROR(VLOOKUP($B1147,Dashboard!$Q$28:$S$60,2,FALSE),0)&gt;0,IFERROR(VLOOKUP($B1147,Dashboard!$Q$28:$S$60,2,FALSE),0),$Z1147*IF($U1147&lt;&gt;"",ROUND((Dashboard!$R$4/$U1147)*VLOOKUP($I1147,Dashboard!$Q$9:$R$13,2,FALSE)*IF(ISNUMBER(SEARCH("Duals",$B1147)),2,IF(ISNUMBER(SEARCH("Triples",$B1147)),3,IF(ISNUMBER(SEARCH("Quads",$B1147)),4,1))),2),ROUND(VLOOKUP($I1147,Dashboard!$Q$15:$R$20,2,FALSE)*IF($E1147="Red",Dashboard!$R$6,IF($E1147="Gold",Dashboard!$R$7,Dashboard!$R$5))*IF(ISNUMBER(SEARCH("Duals",$B1147)),2,IF(ISNUMBER(SEARCH("Triples",$B1147)),3,IF(ISNUMBER(SEARCH("Quads",$B1147)),4,1))),2))*IF(IFERROR(VLOOKUP($B1147,Dashboard!$Q$28:$S$60,3,FALSE),0)&gt;0,VLOOKUP($B1147,Dashboard!$Q$28:$S$60,3,FALSE),1))),0))</f>
        <v>0</v>
      </c>
      <c r="K1147" s="2" t="str">
        <f>IF('Base S2'!J47="","",'Base S2'!J47)</f>
        <v/>
      </c>
      <c r="L1147" s="2">
        <f t="shared" si="221"/>
        <v>0</v>
      </c>
      <c r="M1147" s="2">
        <f t="shared" si="222"/>
        <v>0</v>
      </c>
      <c r="N1147" s="2">
        <f t="shared" si="223"/>
        <v>0</v>
      </c>
      <c r="O1147" s="2">
        <f t="shared" si="224"/>
        <v>0</v>
      </c>
      <c r="P1147" s="112">
        <f t="shared" si="225"/>
        <v>0</v>
      </c>
      <c r="Q1147" s="112">
        <f t="shared" si="226"/>
        <v>0</v>
      </c>
      <c r="R1147" s="53"/>
      <c r="S1147" s="53" t="str">
        <f t="shared" si="227"/>
        <v>Base S2|Printing Plates Parallel - Season 2|146|Printing Plate</v>
      </c>
      <c r="T1147" s="57" t="str">
        <f>IF($S1147="","",IFERROR(VLOOKUP($S1147,'Pop Estimates (Non-#d)'!$N$2:$O$500,2,FALSE),""))</f>
        <v/>
      </c>
      <c r="U1147" s="57">
        <f t="shared" si="228"/>
        <v>4</v>
      </c>
      <c r="V1147" s="53" t="str">
        <f t="shared" si="229"/>
        <v/>
      </c>
      <c r="W1147" s="53" t="str">
        <f t="shared" si="230"/>
        <v/>
      </c>
      <c r="X1147" s="53" t="str">
        <f t="shared" si="231"/>
        <v/>
      </c>
      <c r="Y1147" s="57" t="str">
        <f>IF($X1147="","",IFERROR(VLOOKUP($X1147,'Char Popularity'!$A$2:$C$500,2,FALSE),""))</f>
        <v/>
      </c>
      <c r="Z1147" s="56">
        <f>IF($X1147="",1,IFERROR(VLOOKUP($X1147,'Char Popularity'!$A$2:$C$500,3,FALSE),1))</f>
        <v>1</v>
      </c>
      <c r="AA1147" s="62">
        <f>IF($H1147&lt;&gt;"Y",0,(IF($F1147&lt;&gt;"",ROUND(Dashboard!$R$4/$F1147,1),IF(AND($I1147="Base",$E1147="Base"),Dashboard!$R$5,IF(AND($I1147="Base",$E1147="Red"),Dashboard!$R$6,IF(AND($I1147="Base",$E1147="Gold"),Dashboard!$R$7,VLOOKUP($I1147,Dashboard!$Q$16:$R$21,2,FALSE)))))*VLOOKUP($I1147,Dashboard!$Q$9:$R$13,2,FALSE)*IF(AND($I1147="Auto",$F1147="",OR($B1147="Autographs Duals",$B1147="Autographs Triples",$B1147="Autographs Quads",$B1147="Autographs Quads (Inscribed)")),IF($B1147="Autographs Duals",2,IF($B1147="Autographs Triples",3,4)),1)))</f>
        <v>0</v>
      </c>
      <c r="AB1147" s="62">
        <f t="shared" si="232"/>
        <v>0</v>
      </c>
      <c r="AC1147" s="62">
        <f t="shared" si="233"/>
        <v>0</v>
      </c>
    </row>
    <row r="1148" spans="1:29" ht="42.95" customHeight="1" x14ac:dyDescent="0.25">
      <c r="A1148" s="4" t="s">
        <v>19</v>
      </c>
      <c r="B1148" s="7" t="s">
        <v>793</v>
      </c>
      <c r="C1148" s="2" t="s">
        <v>1546</v>
      </c>
      <c r="D1148" s="7" t="s">
        <v>1118</v>
      </c>
      <c r="E1148" s="4" t="s">
        <v>829</v>
      </c>
      <c r="F1148" s="2">
        <v>4</v>
      </c>
      <c r="G1148" s="2" t="s">
        <v>1400</v>
      </c>
      <c r="H1148" s="2" t="s">
        <v>1399</v>
      </c>
      <c r="I1148" s="4" t="s">
        <v>60</v>
      </c>
      <c r="J1148" s="112">
        <f>IF($H1148&lt;&gt;"Y",0,ROUND(MIN(Dashboard!$R$24,IF(IFERROR(VLOOKUP($B1148,Dashboard!$Q$28:$S$60,2,FALSE),0)&gt;0,IFERROR(VLOOKUP($B1148,Dashboard!$Q$28:$S$60,2,FALSE),0),$Z1148*IF($U1148&lt;&gt;"",ROUND((Dashboard!$R$4/$U1148)*VLOOKUP($I1148,Dashboard!$Q$9:$R$13,2,FALSE)*IF(ISNUMBER(SEARCH("Duals",$B1148)),2,IF(ISNUMBER(SEARCH("Triples",$B1148)),3,IF(ISNUMBER(SEARCH("Quads",$B1148)),4,1))),2),ROUND(VLOOKUP($I1148,Dashboard!$Q$15:$R$20,2,FALSE)*IF($E1148="Red",Dashboard!$R$6,IF($E1148="Gold",Dashboard!$R$7,Dashboard!$R$5))*IF(ISNUMBER(SEARCH("Duals",$B1148)),2,IF(ISNUMBER(SEARCH("Triples",$B1148)),3,IF(ISNUMBER(SEARCH("Quads",$B1148)),4,1))),2))*IF(IFERROR(VLOOKUP($B1148,Dashboard!$Q$28:$S$60,3,FALSE),0)&gt;0,VLOOKUP($B1148,Dashboard!$Q$28:$S$60,3,FALSE),1))),0))</f>
        <v>0</v>
      </c>
      <c r="K1148" s="2" t="str">
        <f>IF('Base S2'!J48="","",'Base S2'!J48)</f>
        <v/>
      </c>
      <c r="L1148" s="2">
        <f t="shared" si="221"/>
        <v>0</v>
      </c>
      <c r="M1148" s="2">
        <f t="shared" si="222"/>
        <v>0</v>
      </c>
      <c r="N1148" s="2">
        <f t="shared" si="223"/>
        <v>0</v>
      </c>
      <c r="O1148" s="2">
        <f t="shared" si="224"/>
        <v>0</v>
      </c>
      <c r="P1148" s="112">
        <f t="shared" si="225"/>
        <v>0</v>
      </c>
      <c r="Q1148" s="112">
        <f t="shared" si="226"/>
        <v>0</v>
      </c>
      <c r="R1148" s="53"/>
      <c r="S1148" s="53" t="str">
        <f t="shared" si="227"/>
        <v>Base S2|Printing Plates Parallel - Season 2|147|Printing Plate</v>
      </c>
      <c r="T1148" s="57" t="str">
        <f>IF($S1148="","",IFERROR(VLOOKUP($S1148,'Pop Estimates (Non-#d)'!$N$2:$O$500,2,FALSE),""))</f>
        <v/>
      </c>
      <c r="U1148" s="57">
        <f t="shared" si="228"/>
        <v>4</v>
      </c>
      <c r="V1148" s="53" t="str">
        <f t="shared" si="229"/>
        <v/>
      </c>
      <c r="W1148" s="53" t="str">
        <f t="shared" si="230"/>
        <v/>
      </c>
      <c r="X1148" s="53" t="str">
        <f t="shared" si="231"/>
        <v/>
      </c>
      <c r="Y1148" s="57" t="str">
        <f>IF($X1148="","",IFERROR(VLOOKUP($X1148,'Char Popularity'!$A$2:$C$500,2,FALSE),""))</f>
        <v/>
      </c>
      <c r="Z1148" s="56">
        <f>IF($X1148="",1,IFERROR(VLOOKUP($X1148,'Char Popularity'!$A$2:$C$500,3,FALSE),1))</f>
        <v>1</v>
      </c>
      <c r="AA1148" s="62">
        <f>IF($H1148&lt;&gt;"Y",0,(IF($F1148&lt;&gt;"",ROUND(Dashboard!$R$4/$F1148,1),IF(AND($I1148="Base",$E1148="Base"),Dashboard!$R$5,IF(AND($I1148="Base",$E1148="Red"),Dashboard!$R$6,IF(AND($I1148="Base",$E1148="Gold"),Dashboard!$R$7,VLOOKUP($I1148,Dashboard!$Q$16:$R$21,2,FALSE)))))*VLOOKUP($I1148,Dashboard!$Q$9:$R$13,2,FALSE)*IF(AND($I1148="Auto",$F1148="",OR($B1148="Autographs Duals",$B1148="Autographs Triples",$B1148="Autographs Quads",$B1148="Autographs Quads (Inscribed)")),IF($B1148="Autographs Duals",2,IF($B1148="Autographs Triples",3,4)),1)))</f>
        <v>0</v>
      </c>
      <c r="AB1148" s="62">
        <f t="shared" si="232"/>
        <v>0</v>
      </c>
      <c r="AC1148" s="62">
        <f t="shared" si="233"/>
        <v>0</v>
      </c>
    </row>
    <row r="1149" spans="1:29" ht="42.95" customHeight="1" x14ac:dyDescent="0.25">
      <c r="A1149" s="4" t="s">
        <v>19</v>
      </c>
      <c r="B1149" s="7" t="s">
        <v>793</v>
      </c>
      <c r="C1149" s="2" t="s">
        <v>1547</v>
      </c>
      <c r="D1149" s="7" t="s">
        <v>1120</v>
      </c>
      <c r="E1149" s="4" t="s">
        <v>829</v>
      </c>
      <c r="F1149" s="2">
        <v>4</v>
      </c>
      <c r="G1149" s="2" t="s">
        <v>1400</v>
      </c>
      <c r="H1149" s="2" t="s">
        <v>1399</v>
      </c>
      <c r="I1149" s="4" t="s">
        <v>60</v>
      </c>
      <c r="J1149" s="112">
        <f>IF($H1149&lt;&gt;"Y",0,ROUND(MIN(Dashboard!$R$24,IF(IFERROR(VLOOKUP($B1149,Dashboard!$Q$28:$S$60,2,FALSE),0)&gt;0,IFERROR(VLOOKUP($B1149,Dashboard!$Q$28:$S$60,2,FALSE),0),$Z1149*IF($U1149&lt;&gt;"",ROUND((Dashboard!$R$4/$U1149)*VLOOKUP($I1149,Dashboard!$Q$9:$R$13,2,FALSE)*IF(ISNUMBER(SEARCH("Duals",$B1149)),2,IF(ISNUMBER(SEARCH("Triples",$B1149)),3,IF(ISNUMBER(SEARCH("Quads",$B1149)),4,1))),2),ROUND(VLOOKUP($I1149,Dashboard!$Q$15:$R$20,2,FALSE)*IF($E1149="Red",Dashboard!$R$6,IF($E1149="Gold",Dashboard!$R$7,Dashboard!$R$5))*IF(ISNUMBER(SEARCH("Duals",$B1149)),2,IF(ISNUMBER(SEARCH("Triples",$B1149)),3,IF(ISNUMBER(SEARCH("Quads",$B1149)),4,1))),2))*IF(IFERROR(VLOOKUP($B1149,Dashboard!$Q$28:$S$60,3,FALSE),0)&gt;0,VLOOKUP($B1149,Dashboard!$Q$28:$S$60,3,FALSE),1))),0))</f>
        <v>0</v>
      </c>
      <c r="K1149" s="2" t="str">
        <f>IF('Base S2'!J49="","",'Base S2'!J49)</f>
        <v/>
      </c>
      <c r="L1149" s="2">
        <f t="shared" si="221"/>
        <v>0</v>
      </c>
      <c r="M1149" s="2">
        <f t="shared" si="222"/>
        <v>0</v>
      </c>
      <c r="N1149" s="2">
        <f t="shared" si="223"/>
        <v>0</v>
      </c>
      <c r="O1149" s="2">
        <f t="shared" si="224"/>
        <v>0</v>
      </c>
      <c r="P1149" s="112">
        <f t="shared" si="225"/>
        <v>0</v>
      </c>
      <c r="Q1149" s="112">
        <f t="shared" si="226"/>
        <v>0</v>
      </c>
      <c r="R1149" s="53"/>
      <c r="S1149" s="53" t="str">
        <f t="shared" si="227"/>
        <v>Base S2|Printing Plates Parallel - Season 2|148|Printing Plate</v>
      </c>
      <c r="T1149" s="57" t="str">
        <f>IF($S1149="","",IFERROR(VLOOKUP($S1149,'Pop Estimates (Non-#d)'!$N$2:$O$500,2,FALSE),""))</f>
        <v/>
      </c>
      <c r="U1149" s="57">
        <f t="shared" si="228"/>
        <v>4</v>
      </c>
      <c r="V1149" s="53" t="str">
        <f t="shared" si="229"/>
        <v/>
      </c>
      <c r="W1149" s="53" t="str">
        <f t="shared" si="230"/>
        <v/>
      </c>
      <c r="X1149" s="53" t="str">
        <f t="shared" si="231"/>
        <v/>
      </c>
      <c r="Y1149" s="57" t="str">
        <f>IF($X1149="","",IFERROR(VLOOKUP($X1149,'Char Popularity'!$A$2:$C$500,2,FALSE),""))</f>
        <v/>
      </c>
      <c r="Z1149" s="56">
        <f>IF($X1149="",1,IFERROR(VLOOKUP($X1149,'Char Popularity'!$A$2:$C$500,3,FALSE),1))</f>
        <v>1</v>
      </c>
      <c r="AA1149" s="62">
        <f>IF($H1149&lt;&gt;"Y",0,(IF($F1149&lt;&gt;"",ROUND(Dashboard!$R$4/$F1149,1),IF(AND($I1149="Base",$E1149="Base"),Dashboard!$R$5,IF(AND($I1149="Base",$E1149="Red"),Dashboard!$R$6,IF(AND($I1149="Base",$E1149="Gold"),Dashboard!$R$7,VLOOKUP($I1149,Dashboard!$Q$16:$R$21,2,FALSE)))))*VLOOKUP($I1149,Dashboard!$Q$9:$R$13,2,FALSE)*IF(AND($I1149="Auto",$F1149="",OR($B1149="Autographs Duals",$B1149="Autographs Triples",$B1149="Autographs Quads",$B1149="Autographs Quads (Inscribed)")),IF($B1149="Autographs Duals",2,IF($B1149="Autographs Triples",3,4)),1)))</f>
        <v>0</v>
      </c>
      <c r="AB1149" s="62">
        <f t="shared" si="232"/>
        <v>0</v>
      </c>
      <c r="AC1149" s="62">
        <f t="shared" si="233"/>
        <v>0</v>
      </c>
    </row>
    <row r="1150" spans="1:29" ht="42.95" customHeight="1" x14ac:dyDescent="0.25">
      <c r="A1150" s="4" t="s">
        <v>19</v>
      </c>
      <c r="B1150" s="7" t="s">
        <v>793</v>
      </c>
      <c r="C1150" s="2" t="s">
        <v>1548</v>
      </c>
      <c r="D1150" s="7" t="s">
        <v>1122</v>
      </c>
      <c r="E1150" s="4" t="s">
        <v>829</v>
      </c>
      <c r="F1150" s="2">
        <v>4</v>
      </c>
      <c r="G1150" s="2" t="s">
        <v>1400</v>
      </c>
      <c r="H1150" s="2" t="s">
        <v>1399</v>
      </c>
      <c r="I1150" s="4" t="s">
        <v>60</v>
      </c>
      <c r="J1150" s="112">
        <f>IF($H1150&lt;&gt;"Y",0,ROUND(MIN(Dashboard!$R$24,IF(IFERROR(VLOOKUP($B1150,Dashboard!$Q$28:$S$60,2,FALSE),0)&gt;0,IFERROR(VLOOKUP($B1150,Dashboard!$Q$28:$S$60,2,FALSE),0),$Z1150*IF($U1150&lt;&gt;"",ROUND((Dashboard!$R$4/$U1150)*VLOOKUP($I1150,Dashboard!$Q$9:$R$13,2,FALSE)*IF(ISNUMBER(SEARCH("Duals",$B1150)),2,IF(ISNUMBER(SEARCH("Triples",$B1150)),3,IF(ISNUMBER(SEARCH("Quads",$B1150)),4,1))),2),ROUND(VLOOKUP($I1150,Dashboard!$Q$15:$R$20,2,FALSE)*IF($E1150="Red",Dashboard!$R$6,IF($E1150="Gold",Dashboard!$R$7,Dashboard!$R$5))*IF(ISNUMBER(SEARCH("Duals",$B1150)),2,IF(ISNUMBER(SEARCH("Triples",$B1150)),3,IF(ISNUMBER(SEARCH("Quads",$B1150)),4,1))),2))*IF(IFERROR(VLOOKUP($B1150,Dashboard!$Q$28:$S$60,3,FALSE),0)&gt;0,VLOOKUP($B1150,Dashboard!$Q$28:$S$60,3,FALSE),1))),0))</f>
        <v>0</v>
      </c>
      <c r="K1150" s="2" t="str">
        <f>IF('Base S2'!J50="","",'Base S2'!J50)</f>
        <v/>
      </c>
      <c r="L1150" s="2">
        <f t="shared" si="221"/>
        <v>0</v>
      </c>
      <c r="M1150" s="2">
        <f t="shared" si="222"/>
        <v>0</v>
      </c>
      <c r="N1150" s="2">
        <f t="shared" si="223"/>
        <v>0</v>
      </c>
      <c r="O1150" s="2">
        <f t="shared" si="224"/>
        <v>0</v>
      </c>
      <c r="P1150" s="112">
        <f t="shared" si="225"/>
        <v>0</v>
      </c>
      <c r="Q1150" s="112">
        <f t="shared" si="226"/>
        <v>0</v>
      </c>
      <c r="R1150" s="53"/>
      <c r="S1150" s="53" t="str">
        <f t="shared" si="227"/>
        <v>Base S2|Printing Plates Parallel - Season 2|149|Printing Plate</v>
      </c>
      <c r="T1150" s="57" t="str">
        <f>IF($S1150="","",IFERROR(VLOOKUP($S1150,'Pop Estimates (Non-#d)'!$N$2:$O$500,2,FALSE),""))</f>
        <v/>
      </c>
      <c r="U1150" s="57">
        <f t="shared" si="228"/>
        <v>4</v>
      </c>
      <c r="V1150" s="53" t="str">
        <f t="shared" si="229"/>
        <v/>
      </c>
      <c r="W1150" s="53" t="str">
        <f t="shared" si="230"/>
        <v/>
      </c>
      <c r="X1150" s="53" t="str">
        <f t="shared" si="231"/>
        <v/>
      </c>
      <c r="Y1150" s="57" t="str">
        <f>IF($X1150="","",IFERROR(VLOOKUP($X1150,'Char Popularity'!$A$2:$C$500,2,FALSE),""))</f>
        <v/>
      </c>
      <c r="Z1150" s="56">
        <f>IF($X1150="",1,IFERROR(VLOOKUP($X1150,'Char Popularity'!$A$2:$C$500,3,FALSE),1))</f>
        <v>1</v>
      </c>
      <c r="AA1150" s="62">
        <f>IF($H1150&lt;&gt;"Y",0,(IF($F1150&lt;&gt;"",ROUND(Dashboard!$R$4/$F1150,1),IF(AND($I1150="Base",$E1150="Base"),Dashboard!$R$5,IF(AND($I1150="Base",$E1150="Red"),Dashboard!$R$6,IF(AND($I1150="Base",$E1150="Gold"),Dashboard!$R$7,VLOOKUP($I1150,Dashboard!$Q$16:$R$21,2,FALSE)))))*VLOOKUP($I1150,Dashboard!$Q$9:$R$13,2,FALSE)*IF(AND($I1150="Auto",$F1150="",OR($B1150="Autographs Duals",$B1150="Autographs Triples",$B1150="Autographs Quads",$B1150="Autographs Quads (Inscribed)")),IF($B1150="Autographs Duals",2,IF($B1150="Autographs Triples",3,4)),1)))</f>
        <v>0</v>
      </c>
      <c r="AB1150" s="62">
        <f t="shared" si="232"/>
        <v>0</v>
      </c>
      <c r="AC1150" s="62">
        <f t="shared" si="233"/>
        <v>0</v>
      </c>
    </row>
    <row r="1151" spans="1:29" ht="42.95" customHeight="1" x14ac:dyDescent="0.25">
      <c r="A1151" s="4" t="s">
        <v>19</v>
      </c>
      <c r="B1151" s="7" t="s">
        <v>793</v>
      </c>
      <c r="C1151" s="2" t="s">
        <v>1549</v>
      </c>
      <c r="D1151" s="7" t="s">
        <v>1123</v>
      </c>
      <c r="E1151" s="4" t="s">
        <v>829</v>
      </c>
      <c r="F1151" s="2">
        <v>4</v>
      </c>
      <c r="G1151" s="2" t="s">
        <v>1400</v>
      </c>
      <c r="H1151" s="2" t="s">
        <v>1399</v>
      </c>
      <c r="I1151" s="4" t="s">
        <v>60</v>
      </c>
      <c r="J1151" s="112">
        <f>IF($H1151&lt;&gt;"Y",0,ROUND(MIN(Dashboard!$R$24,IF(IFERROR(VLOOKUP($B1151,Dashboard!$Q$28:$S$60,2,FALSE),0)&gt;0,IFERROR(VLOOKUP($B1151,Dashboard!$Q$28:$S$60,2,FALSE),0),$Z1151*IF($U1151&lt;&gt;"",ROUND((Dashboard!$R$4/$U1151)*VLOOKUP($I1151,Dashboard!$Q$9:$R$13,2,FALSE)*IF(ISNUMBER(SEARCH("Duals",$B1151)),2,IF(ISNUMBER(SEARCH("Triples",$B1151)),3,IF(ISNUMBER(SEARCH("Quads",$B1151)),4,1))),2),ROUND(VLOOKUP($I1151,Dashboard!$Q$15:$R$20,2,FALSE)*IF($E1151="Red",Dashboard!$R$6,IF($E1151="Gold",Dashboard!$R$7,Dashboard!$R$5))*IF(ISNUMBER(SEARCH("Duals",$B1151)),2,IF(ISNUMBER(SEARCH("Triples",$B1151)),3,IF(ISNUMBER(SEARCH("Quads",$B1151)),4,1))),2))*IF(IFERROR(VLOOKUP($B1151,Dashboard!$Q$28:$S$60,3,FALSE),0)&gt;0,VLOOKUP($B1151,Dashboard!$Q$28:$S$60,3,FALSE),1))),0))</f>
        <v>0</v>
      </c>
      <c r="K1151" s="2" t="str">
        <f>IF('Base S2'!J51="","",'Base S2'!J51)</f>
        <v/>
      </c>
      <c r="L1151" s="2">
        <f t="shared" si="221"/>
        <v>0</v>
      </c>
      <c r="M1151" s="2">
        <f t="shared" si="222"/>
        <v>0</v>
      </c>
      <c r="N1151" s="2">
        <f t="shared" si="223"/>
        <v>0</v>
      </c>
      <c r="O1151" s="2">
        <f t="shared" si="224"/>
        <v>0</v>
      </c>
      <c r="P1151" s="112">
        <f t="shared" si="225"/>
        <v>0</v>
      </c>
      <c r="Q1151" s="112">
        <f t="shared" si="226"/>
        <v>0</v>
      </c>
      <c r="R1151" s="53"/>
      <c r="S1151" s="53" t="str">
        <f t="shared" si="227"/>
        <v>Base S2|Printing Plates Parallel - Season 2|150|Printing Plate</v>
      </c>
      <c r="T1151" s="57" t="str">
        <f>IF($S1151="","",IFERROR(VLOOKUP($S1151,'Pop Estimates (Non-#d)'!$N$2:$O$500,2,FALSE),""))</f>
        <v/>
      </c>
      <c r="U1151" s="57">
        <f t="shared" si="228"/>
        <v>4</v>
      </c>
      <c r="V1151" s="53" t="str">
        <f t="shared" si="229"/>
        <v/>
      </c>
      <c r="W1151" s="53" t="str">
        <f t="shared" si="230"/>
        <v/>
      </c>
      <c r="X1151" s="53" t="str">
        <f t="shared" si="231"/>
        <v/>
      </c>
      <c r="Y1151" s="57" t="str">
        <f>IF($X1151="","",IFERROR(VLOOKUP($X1151,'Char Popularity'!$A$2:$C$500,2,FALSE),""))</f>
        <v/>
      </c>
      <c r="Z1151" s="56">
        <f>IF($X1151="",1,IFERROR(VLOOKUP($X1151,'Char Popularity'!$A$2:$C$500,3,FALSE),1))</f>
        <v>1</v>
      </c>
      <c r="AA1151" s="62">
        <f>IF($H1151&lt;&gt;"Y",0,(IF($F1151&lt;&gt;"",ROUND(Dashboard!$R$4/$F1151,1),IF(AND($I1151="Base",$E1151="Base"),Dashboard!$R$5,IF(AND($I1151="Base",$E1151="Red"),Dashboard!$R$6,IF(AND($I1151="Base",$E1151="Gold"),Dashboard!$R$7,VLOOKUP($I1151,Dashboard!$Q$16:$R$21,2,FALSE)))))*VLOOKUP($I1151,Dashboard!$Q$9:$R$13,2,FALSE)*IF(AND($I1151="Auto",$F1151="",OR($B1151="Autographs Duals",$B1151="Autographs Triples",$B1151="Autographs Quads",$B1151="Autographs Quads (Inscribed)")),IF($B1151="Autographs Duals",2,IF($B1151="Autographs Triples",3,4)),1)))</f>
        <v>0</v>
      </c>
      <c r="AB1151" s="62">
        <f t="shared" si="232"/>
        <v>0</v>
      </c>
      <c r="AC1151" s="62">
        <f t="shared" si="233"/>
        <v>0</v>
      </c>
    </row>
    <row r="1152" spans="1:29" ht="42.95" customHeight="1" x14ac:dyDescent="0.25">
      <c r="A1152" s="4" t="s">
        <v>19</v>
      </c>
      <c r="B1152" s="7" t="s">
        <v>793</v>
      </c>
      <c r="C1152" s="2" t="s">
        <v>1550</v>
      </c>
      <c r="D1152" s="7" t="s">
        <v>1125</v>
      </c>
      <c r="E1152" s="4" t="s">
        <v>829</v>
      </c>
      <c r="F1152" s="2">
        <v>4</v>
      </c>
      <c r="G1152" s="2" t="s">
        <v>1400</v>
      </c>
      <c r="H1152" s="2" t="s">
        <v>1399</v>
      </c>
      <c r="I1152" s="4" t="s">
        <v>60</v>
      </c>
      <c r="J1152" s="112">
        <f>IF($H1152&lt;&gt;"Y",0,ROUND(MIN(Dashboard!$R$24,IF(IFERROR(VLOOKUP($B1152,Dashboard!$Q$28:$S$60,2,FALSE),0)&gt;0,IFERROR(VLOOKUP($B1152,Dashboard!$Q$28:$S$60,2,FALSE),0),$Z1152*IF($U1152&lt;&gt;"",ROUND((Dashboard!$R$4/$U1152)*VLOOKUP($I1152,Dashboard!$Q$9:$R$13,2,FALSE)*IF(ISNUMBER(SEARCH("Duals",$B1152)),2,IF(ISNUMBER(SEARCH("Triples",$B1152)),3,IF(ISNUMBER(SEARCH("Quads",$B1152)),4,1))),2),ROUND(VLOOKUP($I1152,Dashboard!$Q$15:$R$20,2,FALSE)*IF($E1152="Red",Dashboard!$R$6,IF($E1152="Gold",Dashboard!$R$7,Dashboard!$R$5))*IF(ISNUMBER(SEARCH("Duals",$B1152)),2,IF(ISNUMBER(SEARCH("Triples",$B1152)),3,IF(ISNUMBER(SEARCH("Quads",$B1152)),4,1))),2))*IF(IFERROR(VLOOKUP($B1152,Dashboard!$Q$28:$S$60,3,FALSE),0)&gt;0,VLOOKUP($B1152,Dashboard!$Q$28:$S$60,3,FALSE),1))),0))</f>
        <v>0</v>
      </c>
      <c r="K1152" s="2" t="str">
        <f>IF('Base S2'!J52="","",'Base S2'!J52)</f>
        <v/>
      </c>
      <c r="L1152" s="2">
        <f t="shared" si="221"/>
        <v>0</v>
      </c>
      <c r="M1152" s="2">
        <f t="shared" si="222"/>
        <v>0</v>
      </c>
      <c r="N1152" s="2">
        <f t="shared" si="223"/>
        <v>0</v>
      </c>
      <c r="O1152" s="2">
        <f t="shared" si="224"/>
        <v>0</v>
      </c>
      <c r="P1152" s="112">
        <f t="shared" si="225"/>
        <v>0</v>
      </c>
      <c r="Q1152" s="112">
        <f t="shared" si="226"/>
        <v>0</v>
      </c>
      <c r="R1152" s="53"/>
      <c r="S1152" s="53" t="str">
        <f t="shared" si="227"/>
        <v>Base S2|Printing Plates Parallel - Season 2|151|Printing Plate</v>
      </c>
      <c r="T1152" s="57" t="str">
        <f>IF($S1152="","",IFERROR(VLOOKUP($S1152,'Pop Estimates (Non-#d)'!$N$2:$O$500,2,FALSE),""))</f>
        <v/>
      </c>
      <c r="U1152" s="57">
        <f t="shared" si="228"/>
        <v>4</v>
      </c>
      <c r="V1152" s="53" t="str">
        <f t="shared" si="229"/>
        <v/>
      </c>
      <c r="W1152" s="53" t="str">
        <f t="shared" si="230"/>
        <v/>
      </c>
      <c r="X1152" s="53" t="str">
        <f t="shared" si="231"/>
        <v/>
      </c>
      <c r="Y1152" s="57" t="str">
        <f>IF($X1152="","",IFERROR(VLOOKUP($X1152,'Char Popularity'!$A$2:$C$500,2,FALSE),""))</f>
        <v/>
      </c>
      <c r="Z1152" s="56">
        <f>IF($X1152="",1,IFERROR(VLOOKUP($X1152,'Char Popularity'!$A$2:$C$500,3,FALSE),1))</f>
        <v>1</v>
      </c>
      <c r="AA1152" s="62">
        <f>IF($H1152&lt;&gt;"Y",0,(IF($F1152&lt;&gt;"",ROUND(Dashboard!$R$4/$F1152,1),IF(AND($I1152="Base",$E1152="Base"),Dashboard!$R$5,IF(AND($I1152="Base",$E1152="Red"),Dashboard!$R$6,IF(AND($I1152="Base",$E1152="Gold"),Dashboard!$R$7,VLOOKUP($I1152,Dashboard!$Q$16:$R$21,2,FALSE)))))*VLOOKUP($I1152,Dashboard!$Q$9:$R$13,2,FALSE)*IF(AND($I1152="Auto",$F1152="",OR($B1152="Autographs Duals",$B1152="Autographs Triples",$B1152="Autographs Quads",$B1152="Autographs Quads (Inscribed)")),IF($B1152="Autographs Duals",2,IF($B1152="Autographs Triples",3,4)),1)))</f>
        <v>0</v>
      </c>
      <c r="AB1152" s="62">
        <f t="shared" si="232"/>
        <v>0</v>
      </c>
      <c r="AC1152" s="62">
        <f t="shared" si="233"/>
        <v>0</v>
      </c>
    </row>
    <row r="1153" spans="1:29" ht="42.95" customHeight="1" x14ac:dyDescent="0.25">
      <c r="A1153" s="4" t="s">
        <v>19</v>
      </c>
      <c r="B1153" s="7" t="s">
        <v>793</v>
      </c>
      <c r="C1153" s="2" t="s">
        <v>1551</v>
      </c>
      <c r="D1153" s="7" t="s">
        <v>1126</v>
      </c>
      <c r="E1153" s="4" t="s">
        <v>829</v>
      </c>
      <c r="F1153" s="2">
        <v>4</v>
      </c>
      <c r="G1153" s="2" t="s">
        <v>1400</v>
      </c>
      <c r="H1153" s="2" t="s">
        <v>1399</v>
      </c>
      <c r="I1153" s="4" t="s">
        <v>60</v>
      </c>
      <c r="J1153" s="112">
        <f>IF($H1153&lt;&gt;"Y",0,ROUND(MIN(Dashboard!$R$24,IF(IFERROR(VLOOKUP($B1153,Dashboard!$Q$28:$S$60,2,FALSE),0)&gt;0,IFERROR(VLOOKUP($B1153,Dashboard!$Q$28:$S$60,2,FALSE),0),$Z1153*IF($U1153&lt;&gt;"",ROUND((Dashboard!$R$4/$U1153)*VLOOKUP($I1153,Dashboard!$Q$9:$R$13,2,FALSE)*IF(ISNUMBER(SEARCH("Duals",$B1153)),2,IF(ISNUMBER(SEARCH("Triples",$B1153)),3,IF(ISNUMBER(SEARCH("Quads",$B1153)),4,1))),2),ROUND(VLOOKUP($I1153,Dashboard!$Q$15:$R$20,2,FALSE)*IF($E1153="Red",Dashboard!$R$6,IF($E1153="Gold",Dashboard!$R$7,Dashboard!$R$5))*IF(ISNUMBER(SEARCH("Duals",$B1153)),2,IF(ISNUMBER(SEARCH("Triples",$B1153)),3,IF(ISNUMBER(SEARCH("Quads",$B1153)),4,1))),2))*IF(IFERROR(VLOOKUP($B1153,Dashboard!$Q$28:$S$60,3,FALSE),0)&gt;0,VLOOKUP($B1153,Dashboard!$Q$28:$S$60,3,FALSE),1))),0))</f>
        <v>0</v>
      </c>
      <c r="K1153" s="2" t="str">
        <f>IF('Base S2'!J53="","",'Base S2'!J53)</f>
        <v/>
      </c>
      <c r="L1153" s="2">
        <f t="shared" si="221"/>
        <v>0</v>
      </c>
      <c r="M1153" s="2">
        <f t="shared" si="222"/>
        <v>0</v>
      </c>
      <c r="N1153" s="2">
        <f t="shared" si="223"/>
        <v>0</v>
      </c>
      <c r="O1153" s="2">
        <f t="shared" si="224"/>
        <v>0</v>
      </c>
      <c r="P1153" s="112">
        <f t="shared" si="225"/>
        <v>0</v>
      </c>
      <c r="Q1153" s="112">
        <f t="shared" si="226"/>
        <v>0</v>
      </c>
      <c r="R1153" s="53"/>
      <c r="S1153" s="53" t="str">
        <f t="shared" si="227"/>
        <v>Base S2|Printing Plates Parallel - Season 2|152|Printing Plate</v>
      </c>
      <c r="T1153" s="57" t="str">
        <f>IF($S1153="","",IFERROR(VLOOKUP($S1153,'Pop Estimates (Non-#d)'!$N$2:$O$500,2,FALSE),""))</f>
        <v/>
      </c>
      <c r="U1153" s="57">
        <f t="shared" si="228"/>
        <v>4</v>
      </c>
      <c r="V1153" s="53" t="str">
        <f t="shared" si="229"/>
        <v/>
      </c>
      <c r="W1153" s="53" t="str">
        <f t="shared" si="230"/>
        <v/>
      </c>
      <c r="X1153" s="53" t="str">
        <f t="shared" si="231"/>
        <v/>
      </c>
      <c r="Y1153" s="57" t="str">
        <f>IF($X1153="","",IFERROR(VLOOKUP($X1153,'Char Popularity'!$A$2:$C$500,2,FALSE),""))</f>
        <v/>
      </c>
      <c r="Z1153" s="56">
        <f>IF($X1153="",1,IFERROR(VLOOKUP($X1153,'Char Popularity'!$A$2:$C$500,3,FALSE),1))</f>
        <v>1</v>
      </c>
      <c r="AA1153" s="62">
        <f>IF($H1153&lt;&gt;"Y",0,(IF($F1153&lt;&gt;"",ROUND(Dashboard!$R$4/$F1153,1),IF(AND($I1153="Base",$E1153="Base"),Dashboard!$R$5,IF(AND($I1153="Base",$E1153="Red"),Dashboard!$R$6,IF(AND($I1153="Base",$E1153="Gold"),Dashboard!$R$7,VLOOKUP($I1153,Dashboard!$Q$16:$R$21,2,FALSE)))))*VLOOKUP($I1153,Dashboard!$Q$9:$R$13,2,FALSE)*IF(AND($I1153="Auto",$F1153="",OR($B1153="Autographs Duals",$B1153="Autographs Triples",$B1153="Autographs Quads",$B1153="Autographs Quads (Inscribed)")),IF($B1153="Autographs Duals",2,IF($B1153="Autographs Triples",3,4)),1)))</f>
        <v>0</v>
      </c>
      <c r="AB1153" s="62">
        <f t="shared" si="232"/>
        <v>0</v>
      </c>
      <c r="AC1153" s="62">
        <f t="shared" si="233"/>
        <v>0</v>
      </c>
    </row>
    <row r="1154" spans="1:29" ht="42.95" customHeight="1" x14ac:dyDescent="0.25">
      <c r="A1154" s="4" t="s">
        <v>19</v>
      </c>
      <c r="B1154" s="7" t="s">
        <v>793</v>
      </c>
      <c r="C1154" s="2" t="s">
        <v>1552</v>
      </c>
      <c r="D1154" s="7" t="s">
        <v>335</v>
      </c>
      <c r="E1154" s="4" t="s">
        <v>829</v>
      </c>
      <c r="F1154" s="2">
        <v>4</v>
      </c>
      <c r="G1154" s="2" t="s">
        <v>1400</v>
      </c>
      <c r="H1154" s="2" t="s">
        <v>1399</v>
      </c>
      <c r="I1154" s="4" t="s">
        <v>60</v>
      </c>
      <c r="J1154" s="112">
        <f>IF($H1154&lt;&gt;"Y",0,ROUND(MIN(Dashboard!$R$24,IF(IFERROR(VLOOKUP($B1154,Dashboard!$Q$28:$S$60,2,FALSE),0)&gt;0,IFERROR(VLOOKUP($B1154,Dashboard!$Q$28:$S$60,2,FALSE),0),$Z1154*IF($U1154&lt;&gt;"",ROUND((Dashboard!$R$4/$U1154)*VLOOKUP($I1154,Dashboard!$Q$9:$R$13,2,FALSE)*IF(ISNUMBER(SEARCH("Duals",$B1154)),2,IF(ISNUMBER(SEARCH("Triples",$B1154)),3,IF(ISNUMBER(SEARCH("Quads",$B1154)),4,1))),2),ROUND(VLOOKUP($I1154,Dashboard!$Q$15:$R$20,2,FALSE)*IF($E1154="Red",Dashboard!$R$6,IF($E1154="Gold",Dashboard!$R$7,Dashboard!$R$5))*IF(ISNUMBER(SEARCH("Duals",$B1154)),2,IF(ISNUMBER(SEARCH("Triples",$B1154)),3,IF(ISNUMBER(SEARCH("Quads",$B1154)),4,1))),2))*IF(IFERROR(VLOOKUP($B1154,Dashboard!$Q$28:$S$60,3,FALSE),0)&gt;0,VLOOKUP($B1154,Dashboard!$Q$28:$S$60,3,FALSE),1))),0))</f>
        <v>0</v>
      </c>
      <c r="K1154" s="2" t="str">
        <f>IF('Base S2'!J54="","",'Base S2'!J54)</f>
        <v/>
      </c>
      <c r="L1154" s="2">
        <f t="shared" ref="L1154:L1217" si="234">IF(AND($K1154&lt;&gt;"",LEFT($K1154,1)&lt;&gt;"Y"),1,0)</f>
        <v>0</v>
      </c>
      <c r="M1154" s="2">
        <f t="shared" ref="M1154:M1217" si="235">IF(LEFT($K1154,1)="Y",1,0)</f>
        <v>0</v>
      </c>
      <c r="N1154" s="2">
        <f t="shared" ref="N1154:N1217" si="236">$L1154+$M1154</f>
        <v>0</v>
      </c>
      <c r="O1154" s="2">
        <f t="shared" ref="O1154:O1217" si="237">IF($H1154="Y",1-$N1154,0)</f>
        <v>0</v>
      </c>
      <c r="P1154" s="112">
        <f t="shared" ref="P1154:P1217" si="238">IF($L1154=1,$J1154,0)</f>
        <v>0</v>
      </c>
      <c r="Q1154" s="112">
        <f t="shared" ref="Q1154:Q1217" si="239">IF($M1154=1,$J1154,0)</f>
        <v>0</v>
      </c>
      <c r="R1154" s="53"/>
      <c r="S1154" s="53" t="str">
        <f t="shared" ref="S1154:S1217" si="240">IF($A1154="","",$A1154&amp;"|"&amp;$B1154&amp;"|"&amp;$C1154&amp;"|"&amp;$E1154)</f>
        <v>Base S2|Printing Plates Parallel - Season 2|153|Printing Plate</v>
      </c>
      <c r="T1154" s="57" t="str">
        <f>IF($S1154="","",IFERROR(VLOOKUP($S1154,'Pop Estimates (Non-#d)'!$N$2:$O$500,2,FALSE),""))</f>
        <v/>
      </c>
      <c r="U1154" s="57">
        <f t="shared" ref="U1154:U1217" si="241">IF($A1154="","",IF($F1154&lt;&gt;"",$F1154,$T1154))</f>
        <v>4</v>
      </c>
      <c r="V1154" s="53" t="str">
        <f t="shared" ref="V1154:V1217" si="242">IF($A1154="","",IF(ISNUMBER(SEARCH(" as ",$D1154)),MID($D1154,SEARCH(" as ",$D1154)+4,255),IF(ISNUMBER(SEARCH("/",$D1154)),LEFT($D1154,FIND("/",$D1154&amp;"/")-1),"")))</f>
        <v/>
      </c>
      <c r="W1154" s="53" t="str">
        <f t="shared" ref="W1154:W1217" si="243">IF($V1154="","",TRIM(IFERROR(MID($V1154,SEARCH("(", $V1154)+1,SEARCH(")",$V1154)-SEARCH("(", $V1154)-1),$V1154)))</f>
        <v/>
      </c>
      <c r="X1154" s="53" t="str">
        <f t="shared" ref="X1154:X1217" si="244">IF($W1154="","",TRIM(LEFT($W1154&amp;"""",FIND("""",$W1154&amp;"""")-1)))</f>
        <v/>
      </c>
      <c r="Y1154" s="57" t="str">
        <f>IF($X1154="","",IFERROR(VLOOKUP($X1154,'Char Popularity'!$A$2:$C$500,2,FALSE),""))</f>
        <v/>
      </c>
      <c r="Z1154" s="56">
        <f>IF($X1154="",1,IFERROR(VLOOKUP($X1154,'Char Popularity'!$A$2:$C$500,3,FALSE),1))</f>
        <v>1</v>
      </c>
      <c r="AA1154" s="62">
        <f>IF($H1154&lt;&gt;"Y",0,(IF($F1154&lt;&gt;"",ROUND(Dashboard!$R$4/$F1154,1),IF(AND($I1154="Base",$E1154="Base"),Dashboard!$R$5,IF(AND($I1154="Base",$E1154="Red"),Dashboard!$R$6,IF(AND($I1154="Base",$E1154="Gold"),Dashboard!$R$7,VLOOKUP($I1154,Dashboard!$Q$16:$R$21,2,FALSE)))))*VLOOKUP($I1154,Dashboard!$Q$9:$R$13,2,FALSE)*IF(AND($I1154="Auto",$F1154="",OR($B1154="Autographs Duals",$B1154="Autographs Triples",$B1154="Autographs Quads",$B1154="Autographs Quads (Inscribed)")),IF($B1154="Autographs Duals",2,IF($B1154="Autographs Triples",3,4)),1)))</f>
        <v>0</v>
      </c>
      <c r="AB1154" s="62">
        <f t="shared" ref="AB1154:AB1217" si="245">IF($L1154=1,$AA1154,0)</f>
        <v>0</v>
      </c>
      <c r="AC1154" s="62">
        <f t="shared" ref="AC1154:AC1217" si="246">IF($M1154=1,$AA1154,0)</f>
        <v>0</v>
      </c>
    </row>
    <row r="1155" spans="1:29" ht="42.95" customHeight="1" x14ac:dyDescent="0.25">
      <c r="A1155" s="4" t="s">
        <v>19</v>
      </c>
      <c r="B1155" s="7" t="s">
        <v>793</v>
      </c>
      <c r="C1155" s="2" t="s">
        <v>1553</v>
      </c>
      <c r="D1155" s="7" t="s">
        <v>1128</v>
      </c>
      <c r="E1155" s="4" t="s">
        <v>829</v>
      </c>
      <c r="F1155" s="2">
        <v>4</v>
      </c>
      <c r="G1155" s="2" t="s">
        <v>1400</v>
      </c>
      <c r="H1155" s="2" t="s">
        <v>1399</v>
      </c>
      <c r="I1155" s="4" t="s">
        <v>60</v>
      </c>
      <c r="J1155" s="112">
        <f>IF($H1155&lt;&gt;"Y",0,ROUND(MIN(Dashboard!$R$24,IF(IFERROR(VLOOKUP($B1155,Dashboard!$Q$28:$S$60,2,FALSE),0)&gt;0,IFERROR(VLOOKUP($B1155,Dashboard!$Q$28:$S$60,2,FALSE),0),$Z1155*IF($U1155&lt;&gt;"",ROUND((Dashboard!$R$4/$U1155)*VLOOKUP($I1155,Dashboard!$Q$9:$R$13,2,FALSE)*IF(ISNUMBER(SEARCH("Duals",$B1155)),2,IF(ISNUMBER(SEARCH("Triples",$B1155)),3,IF(ISNUMBER(SEARCH("Quads",$B1155)),4,1))),2),ROUND(VLOOKUP($I1155,Dashboard!$Q$15:$R$20,2,FALSE)*IF($E1155="Red",Dashboard!$R$6,IF($E1155="Gold",Dashboard!$R$7,Dashboard!$R$5))*IF(ISNUMBER(SEARCH("Duals",$B1155)),2,IF(ISNUMBER(SEARCH("Triples",$B1155)),3,IF(ISNUMBER(SEARCH("Quads",$B1155)),4,1))),2))*IF(IFERROR(VLOOKUP($B1155,Dashboard!$Q$28:$S$60,3,FALSE),0)&gt;0,VLOOKUP($B1155,Dashboard!$Q$28:$S$60,3,FALSE),1))),0))</f>
        <v>0</v>
      </c>
      <c r="K1155" s="2" t="str">
        <f>IF('Base S2'!J55="","",'Base S2'!J55)</f>
        <v>V Cyan</v>
      </c>
      <c r="L1155" s="2">
        <f t="shared" si="234"/>
        <v>1</v>
      </c>
      <c r="M1155" s="2">
        <f t="shared" si="235"/>
        <v>0</v>
      </c>
      <c r="N1155" s="2">
        <f t="shared" si="236"/>
        <v>1</v>
      </c>
      <c r="O1155" s="2">
        <f t="shared" si="237"/>
        <v>0</v>
      </c>
      <c r="P1155" s="112">
        <f t="shared" si="238"/>
        <v>0</v>
      </c>
      <c r="Q1155" s="112">
        <f t="shared" si="239"/>
        <v>0</v>
      </c>
      <c r="R1155" s="53"/>
      <c r="S1155" s="53" t="str">
        <f t="shared" si="240"/>
        <v>Base S2|Printing Plates Parallel - Season 2|154|Printing Plate</v>
      </c>
      <c r="T1155" s="57" t="str">
        <f>IF($S1155="","",IFERROR(VLOOKUP($S1155,'Pop Estimates (Non-#d)'!$N$2:$O$500,2,FALSE),""))</f>
        <v/>
      </c>
      <c r="U1155" s="57">
        <f t="shared" si="241"/>
        <v>4</v>
      </c>
      <c r="V1155" s="53" t="str">
        <f t="shared" si="242"/>
        <v/>
      </c>
      <c r="W1155" s="53" t="str">
        <f t="shared" si="243"/>
        <v/>
      </c>
      <c r="X1155" s="53" t="str">
        <f t="shared" si="244"/>
        <v/>
      </c>
      <c r="Y1155" s="57" t="str">
        <f>IF($X1155="","",IFERROR(VLOOKUP($X1155,'Char Popularity'!$A$2:$C$500,2,FALSE),""))</f>
        <v/>
      </c>
      <c r="Z1155" s="56">
        <f>IF($X1155="",1,IFERROR(VLOOKUP($X1155,'Char Popularity'!$A$2:$C$500,3,FALSE),1))</f>
        <v>1</v>
      </c>
      <c r="AA1155" s="62">
        <f>IF($H1155&lt;&gt;"Y",0,(IF($F1155&lt;&gt;"",ROUND(Dashboard!$R$4/$F1155,1),IF(AND($I1155="Base",$E1155="Base"),Dashboard!$R$5,IF(AND($I1155="Base",$E1155="Red"),Dashboard!$R$6,IF(AND($I1155="Base",$E1155="Gold"),Dashboard!$R$7,VLOOKUP($I1155,Dashboard!$Q$16:$R$21,2,FALSE)))))*VLOOKUP($I1155,Dashboard!$Q$9:$R$13,2,FALSE)*IF(AND($I1155="Auto",$F1155="",OR($B1155="Autographs Duals",$B1155="Autographs Triples",$B1155="Autographs Quads",$B1155="Autographs Quads (Inscribed)")),IF($B1155="Autographs Duals",2,IF($B1155="Autographs Triples",3,4)),1)))</f>
        <v>0</v>
      </c>
      <c r="AB1155" s="62">
        <f t="shared" si="245"/>
        <v>0</v>
      </c>
      <c r="AC1155" s="62">
        <f t="shared" si="246"/>
        <v>0</v>
      </c>
    </row>
    <row r="1156" spans="1:29" ht="42.95" customHeight="1" x14ac:dyDescent="0.25">
      <c r="A1156" s="4" t="s">
        <v>19</v>
      </c>
      <c r="B1156" s="7" t="s">
        <v>793</v>
      </c>
      <c r="C1156" s="2" t="s">
        <v>1554</v>
      </c>
      <c r="D1156" s="7" t="s">
        <v>1130</v>
      </c>
      <c r="E1156" s="4" t="s">
        <v>829</v>
      </c>
      <c r="F1156" s="2">
        <v>4</v>
      </c>
      <c r="G1156" s="2" t="s">
        <v>1400</v>
      </c>
      <c r="H1156" s="2" t="s">
        <v>1399</v>
      </c>
      <c r="I1156" s="4" t="s">
        <v>60</v>
      </c>
      <c r="J1156" s="112">
        <f>IF($H1156&lt;&gt;"Y",0,ROUND(MIN(Dashboard!$R$24,IF(IFERROR(VLOOKUP($B1156,Dashboard!$Q$28:$S$60,2,FALSE),0)&gt;0,IFERROR(VLOOKUP($B1156,Dashboard!$Q$28:$S$60,2,FALSE),0),$Z1156*IF($U1156&lt;&gt;"",ROUND((Dashboard!$R$4/$U1156)*VLOOKUP($I1156,Dashboard!$Q$9:$R$13,2,FALSE)*IF(ISNUMBER(SEARCH("Duals",$B1156)),2,IF(ISNUMBER(SEARCH("Triples",$B1156)),3,IF(ISNUMBER(SEARCH("Quads",$B1156)),4,1))),2),ROUND(VLOOKUP($I1156,Dashboard!$Q$15:$R$20,2,FALSE)*IF($E1156="Red",Dashboard!$R$6,IF($E1156="Gold",Dashboard!$R$7,Dashboard!$R$5))*IF(ISNUMBER(SEARCH("Duals",$B1156)),2,IF(ISNUMBER(SEARCH("Triples",$B1156)),3,IF(ISNUMBER(SEARCH("Quads",$B1156)),4,1))),2))*IF(IFERROR(VLOOKUP($B1156,Dashboard!$Q$28:$S$60,3,FALSE),0)&gt;0,VLOOKUP($B1156,Dashboard!$Q$28:$S$60,3,FALSE),1))),0))</f>
        <v>0</v>
      </c>
      <c r="K1156" s="2" t="str">
        <f>IF('Base S2'!J56="","",'Base S2'!J56)</f>
        <v/>
      </c>
      <c r="L1156" s="2">
        <f t="shared" si="234"/>
        <v>0</v>
      </c>
      <c r="M1156" s="2">
        <f t="shared" si="235"/>
        <v>0</v>
      </c>
      <c r="N1156" s="2">
        <f t="shared" si="236"/>
        <v>0</v>
      </c>
      <c r="O1156" s="2">
        <f t="shared" si="237"/>
        <v>0</v>
      </c>
      <c r="P1156" s="112">
        <f t="shared" si="238"/>
        <v>0</v>
      </c>
      <c r="Q1156" s="112">
        <f t="shared" si="239"/>
        <v>0</v>
      </c>
      <c r="R1156" s="53"/>
      <c r="S1156" s="53" t="str">
        <f t="shared" si="240"/>
        <v>Base S2|Printing Plates Parallel - Season 2|155|Printing Plate</v>
      </c>
      <c r="T1156" s="57" t="str">
        <f>IF($S1156="","",IFERROR(VLOOKUP($S1156,'Pop Estimates (Non-#d)'!$N$2:$O$500,2,FALSE),""))</f>
        <v/>
      </c>
      <c r="U1156" s="57">
        <f t="shared" si="241"/>
        <v>4</v>
      </c>
      <c r="V1156" s="53" t="str">
        <f t="shared" si="242"/>
        <v/>
      </c>
      <c r="W1156" s="53" t="str">
        <f t="shared" si="243"/>
        <v/>
      </c>
      <c r="X1156" s="53" t="str">
        <f t="shared" si="244"/>
        <v/>
      </c>
      <c r="Y1156" s="57" t="str">
        <f>IF($X1156="","",IFERROR(VLOOKUP($X1156,'Char Popularity'!$A$2:$C$500,2,FALSE),""))</f>
        <v/>
      </c>
      <c r="Z1156" s="56">
        <f>IF($X1156="",1,IFERROR(VLOOKUP($X1156,'Char Popularity'!$A$2:$C$500,3,FALSE),1))</f>
        <v>1</v>
      </c>
      <c r="AA1156" s="62">
        <f>IF($H1156&lt;&gt;"Y",0,(IF($F1156&lt;&gt;"",ROUND(Dashboard!$R$4/$F1156,1),IF(AND($I1156="Base",$E1156="Base"),Dashboard!$R$5,IF(AND($I1156="Base",$E1156="Red"),Dashboard!$R$6,IF(AND($I1156="Base",$E1156="Gold"),Dashboard!$R$7,VLOOKUP($I1156,Dashboard!$Q$16:$R$21,2,FALSE)))))*VLOOKUP($I1156,Dashboard!$Q$9:$R$13,2,FALSE)*IF(AND($I1156="Auto",$F1156="",OR($B1156="Autographs Duals",$B1156="Autographs Triples",$B1156="Autographs Quads",$B1156="Autographs Quads (Inscribed)")),IF($B1156="Autographs Duals",2,IF($B1156="Autographs Triples",3,4)),1)))</f>
        <v>0</v>
      </c>
      <c r="AB1156" s="62">
        <f t="shared" si="245"/>
        <v>0</v>
      </c>
      <c r="AC1156" s="62">
        <f t="shared" si="246"/>
        <v>0</v>
      </c>
    </row>
    <row r="1157" spans="1:29" ht="42.95" customHeight="1" x14ac:dyDescent="0.25">
      <c r="A1157" s="4" t="s">
        <v>19</v>
      </c>
      <c r="B1157" s="7" t="s">
        <v>793</v>
      </c>
      <c r="C1157" s="2" t="s">
        <v>1555</v>
      </c>
      <c r="D1157" s="7" t="s">
        <v>1132</v>
      </c>
      <c r="E1157" s="4" t="s">
        <v>829</v>
      </c>
      <c r="F1157" s="2">
        <v>4</v>
      </c>
      <c r="G1157" s="2" t="s">
        <v>1400</v>
      </c>
      <c r="H1157" s="2" t="s">
        <v>1399</v>
      </c>
      <c r="I1157" s="4" t="s">
        <v>60</v>
      </c>
      <c r="J1157" s="112">
        <f>IF($H1157&lt;&gt;"Y",0,ROUND(MIN(Dashboard!$R$24,IF(IFERROR(VLOOKUP($B1157,Dashboard!$Q$28:$S$60,2,FALSE),0)&gt;0,IFERROR(VLOOKUP($B1157,Dashboard!$Q$28:$S$60,2,FALSE),0),$Z1157*IF($U1157&lt;&gt;"",ROUND((Dashboard!$R$4/$U1157)*VLOOKUP($I1157,Dashboard!$Q$9:$R$13,2,FALSE)*IF(ISNUMBER(SEARCH("Duals",$B1157)),2,IF(ISNUMBER(SEARCH("Triples",$B1157)),3,IF(ISNUMBER(SEARCH("Quads",$B1157)),4,1))),2),ROUND(VLOOKUP($I1157,Dashboard!$Q$15:$R$20,2,FALSE)*IF($E1157="Red",Dashboard!$R$6,IF($E1157="Gold",Dashboard!$R$7,Dashboard!$R$5))*IF(ISNUMBER(SEARCH("Duals",$B1157)),2,IF(ISNUMBER(SEARCH("Triples",$B1157)),3,IF(ISNUMBER(SEARCH("Quads",$B1157)),4,1))),2))*IF(IFERROR(VLOOKUP($B1157,Dashboard!$Q$28:$S$60,3,FALSE),0)&gt;0,VLOOKUP($B1157,Dashboard!$Q$28:$S$60,3,FALSE),1))),0))</f>
        <v>0</v>
      </c>
      <c r="K1157" s="2" t="str">
        <f>IF('Base S2'!J57="","",'Base S2'!J57)</f>
        <v/>
      </c>
      <c r="L1157" s="2">
        <f t="shared" si="234"/>
        <v>0</v>
      </c>
      <c r="M1157" s="2">
        <f t="shared" si="235"/>
        <v>0</v>
      </c>
      <c r="N1157" s="2">
        <f t="shared" si="236"/>
        <v>0</v>
      </c>
      <c r="O1157" s="2">
        <f t="shared" si="237"/>
        <v>0</v>
      </c>
      <c r="P1157" s="112">
        <f t="shared" si="238"/>
        <v>0</v>
      </c>
      <c r="Q1157" s="112">
        <f t="shared" si="239"/>
        <v>0</v>
      </c>
      <c r="R1157" s="53"/>
      <c r="S1157" s="53" t="str">
        <f t="shared" si="240"/>
        <v>Base S2|Printing Plates Parallel - Season 2|156|Printing Plate</v>
      </c>
      <c r="T1157" s="57" t="str">
        <f>IF($S1157="","",IFERROR(VLOOKUP($S1157,'Pop Estimates (Non-#d)'!$N$2:$O$500,2,FALSE),""))</f>
        <v/>
      </c>
      <c r="U1157" s="57">
        <f t="shared" si="241"/>
        <v>4</v>
      </c>
      <c r="V1157" s="53" t="str">
        <f t="shared" si="242"/>
        <v/>
      </c>
      <c r="W1157" s="53" t="str">
        <f t="shared" si="243"/>
        <v/>
      </c>
      <c r="X1157" s="53" t="str">
        <f t="shared" si="244"/>
        <v/>
      </c>
      <c r="Y1157" s="57" t="str">
        <f>IF($X1157="","",IFERROR(VLOOKUP($X1157,'Char Popularity'!$A$2:$C$500,2,FALSE),""))</f>
        <v/>
      </c>
      <c r="Z1157" s="56">
        <f>IF($X1157="",1,IFERROR(VLOOKUP($X1157,'Char Popularity'!$A$2:$C$500,3,FALSE),1))</f>
        <v>1</v>
      </c>
      <c r="AA1157" s="62">
        <f>IF($H1157&lt;&gt;"Y",0,(IF($F1157&lt;&gt;"",ROUND(Dashboard!$R$4/$F1157,1),IF(AND($I1157="Base",$E1157="Base"),Dashboard!$R$5,IF(AND($I1157="Base",$E1157="Red"),Dashboard!$R$6,IF(AND($I1157="Base",$E1157="Gold"),Dashboard!$R$7,VLOOKUP($I1157,Dashboard!$Q$16:$R$21,2,FALSE)))))*VLOOKUP($I1157,Dashboard!$Q$9:$R$13,2,FALSE)*IF(AND($I1157="Auto",$F1157="",OR($B1157="Autographs Duals",$B1157="Autographs Triples",$B1157="Autographs Quads",$B1157="Autographs Quads (Inscribed)")),IF($B1157="Autographs Duals",2,IF($B1157="Autographs Triples",3,4)),1)))</f>
        <v>0</v>
      </c>
      <c r="AB1157" s="62">
        <f t="shared" si="245"/>
        <v>0</v>
      </c>
      <c r="AC1157" s="62">
        <f t="shared" si="246"/>
        <v>0</v>
      </c>
    </row>
    <row r="1158" spans="1:29" ht="42.95" customHeight="1" x14ac:dyDescent="0.25">
      <c r="A1158" s="4" t="s">
        <v>19</v>
      </c>
      <c r="B1158" s="7" t="s">
        <v>793</v>
      </c>
      <c r="C1158" s="2" t="s">
        <v>1556</v>
      </c>
      <c r="D1158" s="7" t="s">
        <v>1134</v>
      </c>
      <c r="E1158" s="4" t="s">
        <v>829</v>
      </c>
      <c r="F1158" s="2">
        <v>4</v>
      </c>
      <c r="G1158" s="2" t="s">
        <v>1400</v>
      </c>
      <c r="H1158" s="2" t="s">
        <v>1399</v>
      </c>
      <c r="I1158" s="4" t="s">
        <v>60</v>
      </c>
      <c r="J1158" s="112">
        <f>IF($H1158&lt;&gt;"Y",0,ROUND(MIN(Dashboard!$R$24,IF(IFERROR(VLOOKUP($B1158,Dashboard!$Q$28:$S$60,2,FALSE),0)&gt;0,IFERROR(VLOOKUP($B1158,Dashboard!$Q$28:$S$60,2,FALSE),0),$Z1158*IF($U1158&lt;&gt;"",ROUND((Dashboard!$R$4/$U1158)*VLOOKUP($I1158,Dashboard!$Q$9:$R$13,2,FALSE)*IF(ISNUMBER(SEARCH("Duals",$B1158)),2,IF(ISNUMBER(SEARCH("Triples",$B1158)),3,IF(ISNUMBER(SEARCH("Quads",$B1158)),4,1))),2),ROUND(VLOOKUP($I1158,Dashboard!$Q$15:$R$20,2,FALSE)*IF($E1158="Red",Dashboard!$R$6,IF($E1158="Gold",Dashboard!$R$7,Dashboard!$R$5))*IF(ISNUMBER(SEARCH("Duals",$B1158)),2,IF(ISNUMBER(SEARCH("Triples",$B1158)),3,IF(ISNUMBER(SEARCH("Quads",$B1158)),4,1))),2))*IF(IFERROR(VLOOKUP($B1158,Dashboard!$Q$28:$S$60,3,FALSE),0)&gt;0,VLOOKUP($B1158,Dashboard!$Q$28:$S$60,3,FALSE),1))),0))</f>
        <v>0</v>
      </c>
      <c r="K1158" s="2" t="str">
        <f>IF('Base S2'!J58="","",'Base S2'!J58)</f>
        <v/>
      </c>
      <c r="L1158" s="2">
        <f t="shared" si="234"/>
        <v>0</v>
      </c>
      <c r="M1158" s="2">
        <f t="shared" si="235"/>
        <v>0</v>
      </c>
      <c r="N1158" s="2">
        <f t="shared" si="236"/>
        <v>0</v>
      </c>
      <c r="O1158" s="2">
        <f t="shared" si="237"/>
        <v>0</v>
      </c>
      <c r="P1158" s="112">
        <f t="shared" si="238"/>
        <v>0</v>
      </c>
      <c r="Q1158" s="112">
        <f t="shared" si="239"/>
        <v>0</v>
      </c>
      <c r="R1158" s="53"/>
      <c r="S1158" s="53" t="str">
        <f t="shared" si="240"/>
        <v>Base S2|Printing Plates Parallel - Season 2|157|Printing Plate</v>
      </c>
      <c r="T1158" s="57" t="str">
        <f>IF($S1158="","",IFERROR(VLOOKUP($S1158,'Pop Estimates (Non-#d)'!$N$2:$O$500,2,FALSE),""))</f>
        <v/>
      </c>
      <c r="U1158" s="57">
        <f t="shared" si="241"/>
        <v>4</v>
      </c>
      <c r="V1158" s="53" t="str">
        <f t="shared" si="242"/>
        <v/>
      </c>
      <c r="W1158" s="53" t="str">
        <f t="shared" si="243"/>
        <v/>
      </c>
      <c r="X1158" s="53" t="str">
        <f t="shared" si="244"/>
        <v/>
      </c>
      <c r="Y1158" s="57" t="str">
        <f>IF($X1158="","",IFERROR(VLOOKUP($X1158,'Char Popularity'!$A$2:$C$500,2,FALSE),""))</f>
        <v/>
      </c>
      <c r="Z1158" s="56">
        <f>IF($X1158="",1,IFERROR(VLOOKUP($X1158,'Char Popularity'!$A$2:$C$500,3,FALSE),1))</f>
        <v>1</v>
      </c>
      <c r="AA1158" s="62">
        <f>IF($H1158&lt;&gt;"Y",0,(IF($F1158&lt;&gt;"",ROUND(Dashboard!$R$4/$F1158,1),IF(AND($I1158="Base",$E1158="Base"),Dashboard!$R$5,IF(AND($I1158="Base",$E1158="Red"),Dashboard!$R$6,IF(AND($I1158="Base",$E1158="Gold"),Dashboard!$R$7,VLOOKUP($I1158,Dashboard!$Q$16:$R$21,2,FALSE)))))*VLOOKUP($I1158,Dashboard!$Q$9:$R$13,2,FALSE)*IF(AND($I1158="Auto",$F1158="",OR($B1158="Autographs Duals",$B1158="Autographs Triples",$B1158="Autographs Quads",$B1158="Autographs Quads (Inscribed)")),IF($B1158="Autographs Duals",2,IF($B1158="Autographs Triples",3,4)),1)))</f>
        <v>0</v>
      </c>
      <c r="AB1158" s="62">
        <f t="shared" si="245"/>
        <v>0</v>
      </c>
      <c r="AC1158" s="62">
        <f t="shared" si="246"/>
        <v>0</v>
      </c>
    </row>
    <row r="1159" spans="1:29" ht="42.95" customHeight="1" x14ac:dyDescent="0.25">
      <c r="A1159" s="4" t="s">
        <v>19</v>
      </c>
      <c r="B1159" s="7" t="s">
        <v>793</v>
      </c>
      <c r="C1159" s="2" t="s">
        <v>1557</v>
      </c>
      <c r="D1159" s="7" t="s">
        <v>1136</v>
      </c>
      <c r="E1159" s="4" t="s">
        <v>829</v>
      </c>
      <c r="F1159" s="2">
        <v>4</v>
      </c>
      <c r="G1159" s="2" t="s">
        <v>1400</v>
      </c>
      <c r="H1159" s="2" t="s">
        <v>1399</v>
      </c>
      <c r="I1159" s="4" t="s">
        <v>60</v>
      </c>
      <c r="J1159" s="112">
        <f>IF($H1159&lt;&gt;"Y",0,ROUND(MIN(Dashboard!$R$24,IF(IFERROR(VLOOKUP($B1159,Dashboard!$Q$28:$S$60,2,FALSE),0)&gt;0,IFERROR(VLOOKUP($B1159,Dashboard!$Q$28:$S$60,2,FALSE),0),$Z1159*IF($U1159&lt;&gt;"",ROUND((Dashboard!$R$4/$U1159)*VLOOKUP($I1159,Dashboard!$Q$9:$R$13,2,FALSE)*IF(ISNUMBER(SEARCH("Duals",$B1159)),2,IF(ISNUMBER(SEARCH("Triples",$B1159)),3,IF(ISNUMBER(SEARCH("Quads",$B1159)),4,1))),2),ROUND(VLOOKUP($I1159,Dashboard!$Q$15:$R$20,2,FALSE)*IF($E1159="Red",Dashboard!$R$6,IF($E1159="Gold",Dashboard!$R$7,Dashboard!$R$5))*IF(ISNUMBER(SEARCH("Duals",$B1159)),2,IF(ISNUMBER(SEARCH("Triples",$B1159)),3,IF(ISNUMBER(SEARCH("Quads",$B1159)),4,1))),2))*IF(IFERROR(VLOOKUP($B1159,Dashboard!$Q$28:$S$60,3,FALSE),0)&gt;0,VLOOKUP($B1159,Dashboard!$Q$28:$S$60,3,FALSE),1))),0))</f>
        <v>0</v>
      </c>
      <c r="K1159" s="2" t="str">
        <f>IF('Base S2'!J59="","",'Base S2'!J59)</f>
        <v/>
      </c>
      <c r="L1159" s="2">
        <f t="shared" si="234"/>
        <v>0</v>
      </c>
      <c r="M1159" s="2">
        <f t="shared" si="235"/>
        <v>0</v>
      </c>
      <c r="N1159" s="2">
        <f t="shared" si="236"/>
        <v>0</v>
      </c>
      <c r="O1159" s="2">
        <f t="shared" si="237"/>
        <v>0</v>
      </c>
      <c r="P1159" s="112">
        <f t="shared" si="238"/>
        <v>0</v>
      </c>
      <c r="Q1159" s="112">
        <f t="shared" si="239"/>
        <v>0</v>
      </c>
      <c r="R1159" s="53"/>
      <c r="S1159" s="53" t="str">
        <f t="shared" si="240"/>
        <v>Base S2|Printing Plates Parallel - Season 2|158|Printing Plate</v>
      </c>
      <c r="T1159" s="57" t="str">
        <f>IF($S1159="","",IFERROR(VLOOKUP($S1159,'Pop Estimates (Non-#d)'!$N$2:$O$500,2,FALSE),""))</f>
        <v/>
      </c>
      <c r="U1159" s="57">
        <f t="shared" si="241"/>
        <v>4</v>
      </c>
      <c r="V1159" s="53" t="str">
        <f t="shared" si="242"/>
        <v/>
      </c>
      <c r="W1159" s="53" t="str">
        <f t="shared" si="243"/>
        <v/>
      </c>
      <c r="X1159" s="53" t="str">
        <f t="shared" si="244"/>
        <v/>
      </c>
      <c r="Y1159" s="57" t="str">
        <f>IF($X1159="","",IFERROR(VLOOKUP($X1159,'Char Popularity'!$A$2:$C$500,2,FALSE),""))</f>
        <v/>
      </c>
      <c r="Z1159" s="56">
        <f>IF($X1159="",1,IFERROR(VLOOKUP($X1159,'Char Popularity'!$A$2:$C$500,3,FALSE),1))</f>
        <v>1</v>
      </c>
      <c r="AA1159" s="62">
        <f>IF($H1159&lt;&gt;"Y",0,(IF($F1159&lt;&gt;"",ROUND(Dashboard!$R$4/$F1159,1),IF(AND($I1159="Base",$E1159="Base"),Dashboard!$R$5,IF(AND($I1159="Base",$E1159="Red"),Dashboard!$R$6,IF(AND($I1159="Base",$E1159="Gold"),Dashboard!$R$7,VLOOKUP($I1159,Dashboard!$Q$16:$R$21,2,FALSE)))))*VLOOKUP($I1159,Dashboard!$Q$9:$R$13,2,FALSE)*IF(AND($I1159="Auto",$F1159="",OR($B1159="Autographs Duals",$B1159="Autographs Triples",$B1159="Autographs Quads",$B1159="Autographs Quads (Inscribed)")),IF($B1159="Autographs Duals",2,IF($B1159="Autographs Triples",3,4)),1)))</f>
        <v>0</v>
      </c>
      <c r="AB1159" s="62">
        <f t="shared" si="245"/>
        <v>0</v>
      </c>
      <c r="AC1159" s="62">
        <f t="shared" si="246"/>
        <v>0</v>
      </c>
    </row>
    <row r="1160" spans="1:29" ht="42.95" customHeight="1" x14ac:dyDescent="0.25">
      <c r="A1160" s="4" t="s">
        <v>19</v>
      </c>
      <c r="B1160" s="7" t="s">
        <v>793</v>
      </c>
      <c r="C1160" s="2" t="s">
        <v>1558</v>
      </c>
      <c r="D1160" s="7" t="s">
        <v>1137</v>
      </c>
      <c r="E1160" s="4" t="s">
        <v>829</v>
      </c>
      <c r="F1160" s="2">
        <v>4</v>
      </c>
      <c r="G1160" s="2" t="s">
        <v>1400</v>
      </c>
      <c r="H1160" s="2" t="s">
        <v>1399</v>
      </c>
      <c r="I1160" s="4" t="s">
        <v>60</v>
      </c>
      <c r="J1160" s="112">
        <f>IF($H1160&lt;&gt;"Y",0,ROUND(MIN(Dashboard!$R$24,IF(IFERROR(VLOOKUP($B1160,Dashboard!$Q$28:$S$60,2,FALSE),0)&gt;0,IFERROR(VLOOKUP($B1160,Dashboard!$Q$28:$S$60,2,FALSE),0),$Z1160*IF($U1160&lt;&gt;"",ROUND((Dashboard!$R$4/$U1160)*VLOOKUP($I1160,Dashboard!$Q$9:$R$13,2,FALSE)*IF(ISNUMBER(SEARCH("Duals",$B1160)),2,IF(ISNUMBER(SEARCH("Triples",$B1160)),3,IF(ISNUMBER(SEARCH("Quads",$B1160)),4,1))),2),ROUND(VLOOKUP($I1160,Dashboard!$Q$15:$R$20,2,FALSE)*IF($E1160="Red",Dashboard!$R$6,IF($E1160="Gold",Dashboard!$R$7,Dashboard!$R$5))*IF(ISNUMBER(SEARCH("Duals",$B1160)),2,IF(ISNUMBER(SEARCH("Triples",$B1160)),3,IF(ISNUMBER(SEARCH("Quads",$B1160)),4,1))),2))*IF(IFERROR(VLOOKUP($B1160,Dashboard!$Q$28:$S$60,3,FALSE),0)&gt;0,VLOOKUP($B1160,Dashboard!$Q$28:$S$60,3,FALSE),1))),0))</f>
        <v>0</v>
      </c>
      <c r="K1160" s="2" t="str">
        <f>IF('Base S2'!J60="","",'Base S2'!J60)</f>
        <v>C Yellow</v>
      </c>
      <c r="L1160" s="2">
        <f t="shared" si="234"/>
        <v>1</v>
      </c>
      <c r="M1160" s="2">
        <f t="shared" si="235"/>
        <v>0</v>
      </c>
      <c r="N1160" s="2">
        <f t="shared" si="236"/>
        <v>1</v>
      </c>
      <c r="O1160" s="2">
        <f t="shared" si="237"/>
        <v>0</v>
      </c>
      <c r="P1160" s="112">
        <f t="shared" si="238"/>
        <v>0</v>
      </c>
      <c r="Q1160" s="112">
        <f t="shared" si="239"/>
        <v>0</v>
      </c>
      <c r="R1160" s="53"/>
      <c r="S1160" s="53" t="str">
        <f t="shared" si="240"/>
        <v>Base S2|Printing Plates Parallel - Season 2|159|Printing Plate</v>
      </c>
      <c r="T1160" s="57" t="str">
        <f>IF($S1160="","",IFERROR(VLOOKUP($S1160,'Pop Estimates (Non-#d)'!$N$2:$O$500,2,FALSE),""))</f>
        <v/>
      </c>
      <c r="U1160" s="57">
        <f t="shared" si="241"/>
        <v>4</v>
      </c>
      <c r="V1160" s="53" t="str">
        <f t="shared" si="242"/>
        <v/>
      </c>
      <c r="W1160" s="53" t="str">
        <f t="shared" si="243"/>
        <v/>
      </c>
      <c r="X1160" s="53" t="str">
        <f t="shared" si="244"/>
        <v/>
      </c>
      <c r="Y1160" s="57" t="str">
        <f>IF($X1160="","",IFERROR(VLOOKUP($X1160,'Char Popularity'!$A$2:$C$500,2,FALSE),""))</f>
        <v/>
      </c>
      <c r="Z1160" s="56">
        <f>IF($X1160="",1,IFERROR(VLOOKUP($X1160,'Char Popularity'!$A$2:$C$500,3,FALSE),1))</f>
        <v>1</v>
      </c>
      <c r="AA1160" s="62">
        <f>IF($H1160&lt;&gt;"Y",0,(IF($F1160&lt;&gt;"",ROUND(Dashboard!$R$4/$F1160,1),IF(AND($I1160="Base",$E1160="Base"),Dashboard!$R$5,IF(AND($I1160="Base",$E1160="Red"),Dashboard!$R$6,IF(AND($I1160="Base",$E1160="Gold"),Dashboard!$R$7,VLOOKUP($I1160,Dashboard!$Q$16:$R$21,2,FALSE)))))*VLOOKUP($I1160,Dashboard!$Q$9:$R$13,2,FALSE)*IF(AND($I1160="Auto",$F1160="",OR($B1160="Autographs Duals",$B1160="Autographs Triples",$B1160="Autographs Quads",$B1160="Autographs Quads (Inscribed)")),IF($B1160="Autographs Duals",2,IF($B1160="Autographs Triples",3,4)),1)))</f>
        <v>0</v>
      </c>
      <c r="AB1160" s="62">
        <f t="shared" si="245"/>
        <v>0</v>
      </c>
      <c r="AC1160" s="62">
        <f t="shared" si="246"/>
        <v>0</v>
      </c>
    </row>
    <row r="1161" spans="1:29" ht="42.95" customHeight="1" x14ac:dyDescent="0.25">
      <c r="A1161" s="4" t="s">
        <v>19</v>
      </c>
      <c r="B1161" s="7" t="s">
        <v>793</v>
      </c>
      <c r="C1161" s="2" t="s">
        <v>1559</v>
      </c>
      <c r="D1161" s="7" t="s">
        <v>1139</v>
      </c>
      <c r="E1161" s="4" t="s">
        <v>829</v>
      </c>
      <c r="F1161" s="2">
        <v>4</v>
      </c>
      <c r="G1161" s="2" t="s">
        <v>1400</v>
      </c>
      <c r="H1161" s="2" t="s">
        <v>1399</v>
      </c>
      <c r="I1161" s="4" t="s">
        <v>60</v>
      </c>
      <c r="J1161" s="112">
        <f>IF($H1161&lt;&gt;"Y",0,ROUND(MIN(Dashboard!$R$24,IF(IFERROR(VLOOKUP($B1161,Dashboard!$Q$28:$S$60,2,FALSE),0)&gt;0,IFERROR(VLOOKUP($B1161,Dashboard!$Q$28:$S$60,2,FALSE),0),$Z1161*IF($U1161&lt;&gt;"",ROUND((Dashboard!$R$4/$U1161)*VLOOKUP($I1161,Dashboard!$Q$9:$R$13,2,FALSE)*IF(ISNUMBER(SEARCH("Duals",$B1161)),2,IF(ISNUMBER(SEARCH("Triples",$B1161)),3,IF(ISNUMBER(SEARCH("Quads",$B1161)),4,1))),2),ROUND(VLOOKUP($I1161,Dashboard!$Q$15:$R$20,2,FALSE)*IF($E1161="Red",Dashboard!$R$6,IF($E1161="Gold",Dashboard!$R$7,Dashboard!$R$5))*IF(ISNUMBER(SEARCH("Duals",$B1161)),2,IF(ISNUMBER(SEARCH("Triples",$B1161)),3,IF(ISNUMBER(SEARCH("Quads",$B1161)),4,1))),2))*IF(IFERROR(VLOOKUP($B1161,Dashboard!$Q$28:$S$60,3,FALSE),0)&gt;0,VLOOKUP($B1161,Dashboard!$Q$28:$S$60,3,FALSE),1))),0))</f>
        <v>0</v>
      </c>
      <c r="K1161" s="2" t="str">
        <f>IF('Base S2'!J61="","",'Base S2'!J61)</f>
        <v/>
      </c>
      <c r="L1161" s="2">
        <f t="shared" si="234"/>
        <v>0</v>
      </c>
      <c r="M1161" s="2">
        <f t="shared" si="235"/>
        <v>0</v>
      </c>
      <c r="N1161" s="2">
        <f t="shared" si="236"/>
        <v>0</v>
      </c>
      <c r="O1161" s="2">
        <f t="shared" si="237"/>
        <v>0</v>
      </c>
      <c r="P1161" s="112">
        <f t="shared" si="238"/>
        <v>0</v>
      </c>
      <c r="Q1161" s="112">
        <f t="shared" si="239"/>
        <v>0</v>
      </c>
      <c r="R1161" s="53"/>
      <c r="S1161" s="53" t="str">
        <f t="shared" si="240"/>
        <v>Base S2|Printing Plates Parallel - Season 2|160|Printing Plate</v>
      </c>
      <c r="T1161" s="57" t="str">
        <f>IF($S1161="","",IFERROR(VLOOKUP($S1161,'Pop Estimates (Non-#d)'!$N$2:$O$500,2,FALSE),""))</f>
        <v/>
      </c>
      <c r="U1161" s="57">
        <f t="shared" si="241"/>
        <v>4</v>
      </c>
      <c r="V1161" s="53" t="str">
        <f t="shared" si="242"/>
        <v/>
      </c>
      <c r="W1161" s="53" t="str">
        <f t="shared" si="243"/>
        <v/>
      </c>
      <c r="X1161" s="53" t="str">
        <f t="shared" si="244"/>
        <v/>
      </c>
      <c r="Y1161" s="57" t="str">
        <f>IF($X1161="","",IFERROR(VLOOKUP($X1161,'Char Popularity'!$A$2:$C$500,2,FALSE),""))</f>
        <v/>
      </c>
      <c r="Z1161" s="56">
        <f>IF($X1161="",1,IFERROR(VLOOKUP($X1161,'Char Popularity'!$A$2:$C$500,3,FALSE),1))</f>
        <v>1</v>
      </c>
      <c r="AA1161" s="62">
        <f>IF($H1161&lt;&gt;"Y",0,(IF($F1161&lt;&gt;"",ROUND(Dashboard!$R$4/$F1161,1),IF(AND($I1161="Base",$E1161="Base"),Dashboard!$R$5,IF(AND($I1161="Base",$E1161="Red"),Dashboard!$R$6,IF(AND($I1161="Base",$E1161="Gold"),Dashboard!$R$7,VLOOKUP($I1161,Dashboard!$Q$16:$R$21,2,FALSE)))))*VLOOKUP($I1161,Dashboard!$Q$9:$R$13,2,FALSE)*IF(AND($I1161="Auto",$F1161="",OR($B1161="Autographs Duals",$B1161="Autographs Triples",$B1161="Autographs Quads",$B1161="Autographs Quads (Inscribed)")),IF($B1161="Autographs Duals",2,IF($B1161="Autographs Triples",3,4)),1)))</f>
        <v>0</v>
      </c>
      <c r="AB1161" s="62">
        <f t="shared" si="245"/>
        <v>0</v>
      </c>
      <c r="AC1161" s="62">
        <f t="shared" si="246"/>
        <v>0</v>
      </c>
    </row>
    <row r="1162" spans="1:29" ht="42.95" customHeight="1" x14ac:dyDescent="0.25">
      <c r="A1162" s="4" t="s">
        <v>19</v>
      </c>
      <c r="B1162" s="7" t="s">
        <v>793</v>
      </c>
      <c r="C1162" s="2" t="s">
        <v>1560</v>
      </c>
      <c r="D1162" s="7" t="s">
        <v>1140</v>
      </c>
      <c r="E1162" s="4" t="s">
        <v>829</v>
      </c>
      <c r="F1162" s="2">
        <v>4</v>
      </c>
      <c r="G1162" s="2" t="s">
        <v>1400</v>
      </c>
      <c r="H1162" s="2" t="s">
        <v>1399</v>
      </c>
      <c r="I1162" s="4" t="s">
        <v>60</v>
      </c>
      <c r="J1162" s="112">
        <f>IF($H1162&lt;&gt;"Y",0,ROUND(MIN(Dashboard!$R$24,IF(IFERROR(VLOOKUP($B1162,Dashboard!$Q$28:$S$60,2,FALSE),0)&gt;0,IFERROR(VLOOKUP($B1162,Dashboard!$Q$28:$S$60,2,FALSE),0),$Z1162*IF($U1162&lt;&gt;"",ROUND((Dashboard!$R$4/$U1162)*VLOOKUP($I1162,Dashboard!$Q$9:$R$13,2,FALSE)*IF(ISNUMBER(SEARCH("Duals",$B1162)),2,IF(ISNUMBER(SEARCH("Triples",$B1162)),3,IF(ISNUMBER(SEARCH("Quads",$B1162)),4,1))),2),ROUND(VLOOKUP($I1162,Dashboard!$Q$15:$R$20,2,FALSE)*IF($E1162="Red",Dashboard!$R$6,IF($E1162="Gold",Dashboard!$R$7,Dashboard!$R$5))*IF(ISNUMBER(SEARCH("Duals",$B1162)),2,IF(ISNUMBER(SEARCH("Triples",$B1162)),3,IF(ISNUMBER(SEARCH("Quads",$B1162)),4,1))),2))*IF(IFERROR(VLOOKUP($B1162,Dashboard!$Q$28:$S$60,3,FALSE),0)&gt;0,VLOOKUP($B1162,Dashboard!$Q$28:$S$60,3,FALSE),1))),0))</f>
        <v>0</v>
      </c>
      <c r="K1162" s="2" t="str">
        <f>IF('Base S2'!J62="","",'Base S2'!J62)</f>
        <v/>
      </c>
      <c r="L1162" s="2">
        <f t="shared" si="234"/>
        <v>0</v>
      </c>
      <c r="M1162" s="2">
        <f t="shared" si="235"/>
        <v>0</v>
      </c>
      <c r="N1162" s="2">
        <f t="shared" si="236"/>
        <v>0</v>
      </c>
      <c r="O1162" s="2">
        <f t="shared" si="237"/>
        <v>0</v>
      </c>
      <c r="P1162" s="112">
        <f t="shared" si="238"/>
        <v>0</v>
      </c>
      <c r="Q1162" s="112">
        <f t="shared" si="239"/>
        <v>0</v>
      </c>
      <c r="R1162" s="53"/>
      <c r="S1162" s="53" t="str">
        <f t="shared" si="240"/>
        <v>Base S2|Printing Plates Parallel - Season 2|161|Printing Plate</v>
      </c>
      <c r="T1162" s="57" t="str">
        <f>IF($S1162="","",IFERROR(VLOOKUP($S1162,'Pop Estimates (Non-#d)'!$N$2:$O$500,2,FALSE),""))</f>
        <v/>
      </c>
      <c r="U1162" s="57">
        <f t="shared" si="241"/>
        <v>4</v>
      </c>
      <c r="V1162" s="53" t="str">
        <f t="shared" si="242"/>
        <v/>
      </c>
      <c r="W1162" s="53" t="str">
        <f t="shared" si="243"/>
        <v/>
      </c>
      <c r="X1162" s="53" t="str">
        <f t="shared" si="244"/>
        <v/>
      </c>
      <c r="Y1162" s="57" t="str">
        <f>IF($X1162="","",IFERROR(VLOOKUP($X1162,'Char Popularity'!$A$2:$C$500,2,FALSE),""))</f>
        <v/>
      </c>
      <c r="Z1162" s="56">
        <f>IF($X1162="",1,IFERROR(VLOOKUP($X1162,'Char Popularity'!$A$2:$C$500,3,FALSE),1))</f>
        <v>1</v>
      </c>
      <c r="AA1162" s="62">
        <f>IF($H1162&lt;&gt;"Y",0,(IF($F1162&lt;&gt;"",ROUND(Dashboard!$R$4/$F1162,1),IF(AND($I1162="Base",$E1162="Base"),Dashboard!$R$5,IF(AND($I1162="Base",$E1162="Red"),Dashboard!$R$6,IF(AND($I1162="Base",$E1162="Gold"),Dashboard!$R$7,VLOOKUP($I1162,Dashboard!$Q$16:$R$21,2,FALSE)))))*VLOOKUP($I1162,Dashboard!$Q$9:$R$13,2,FALSE)*IF(AND($I1162="Auto",$F1162="",OR($B1162="Autographs Duals",$B1162="Autographs Triples",$B1162="Autographs Quads",$B1162="Autographs Quads (Inscribed)")),IF($B1162="Autographs Duals",2,IF($B1162="Autographs Triples",3,4)),1)))</f>
        <v>0</v>
      </c>
      <c r="AB1162" s="62">
        <f t="shared" si="245"/>
        <v>0</v>
      </c>
      <c r="AC1162" s="62">
        <f t="shared" si="246"/>
        <v>0</v>
      </c>
    </row>
    <row r="1163" spans="1:29" ht="42.95" customHeight="1" x14ac:dyDescent="0.25">
      <c r="A1163" s="4" t="s">
        <v>19</v>
      </c>
      <c r="B1163" s="7" t="s">
        <v>793</v>
      </c>
      <c r="C1163" s="2" t="s">
        <v>1561</v>
      </c>
      <c r="D1163" s="7" t="s">
        <v>1142</v>
      </c>
      <c r="E1163" s="4" t="s">
        <v>829</v>
      </c>
      <c r="F1163" s="2">
        <v>4</v>
      </c>
      <c r="G1163" s="2" t="s">
        <v>1400</v>
      </c>
      <c r="H1163" s="2" t="s">
        <v>1399</v>
      </c>
      <c r="I1163" s="4" t="s">
        <v>60</v>
      </c>
      <c r="J1163" s="112">
        <f>IF($H1163&lt;&gt;"Y",0,ROUND(MIN(Dashboard!$R$24,IF(IFERROR(VLOOKUP($B1163,Dashboard!$Q$28:$S$60,2,FALSE),0)&gt;0,IFERROR(VLOOKUP($B1163,Dashboard!$Q$28:$S$60,2,FALSE),0),$Z1163*IF($U1163&lt;&gt;"",ROUND((Dashboard!$R$4/$U1163)*VLOOKUP($I1163,Dashboard!$Q$9:$R$13,2,FALSE)*IF(ISNUMBER(SEARCH("Duals",$B1163)),2,IF(ISNUMBER(SEARCH("Triples",$B1163)),3,IF(ISNUMBER(SEARCH("Quads",$B1163)),4,1))),2),ROUND(VLOOKUP($I1163,Dashboard!$Q$15:$R$20,2,FALSE)*IF($E1163="Red",Dashboard!$R$6,IF($E1163="Gold",Dashboard!$R$7,Dashboard!$R$5))*IF(ISNUMBER(SEARCH("Duals",$B1163)),2,IF(ISNUMBER(SEARCH("Triples",$B1163)),3,IF(ISNUMBER(SEARCH("Quads",$B1163)),4,1))),2))*IF(IFERROR(VLOOKUP($B1163,Dashboard!$Q$28:$S$60,3,FALSE),0)&gt;0,VLOOKUP($B1163,Dashboard!$Q$28:$S$60,3,FALSE),1))),0))</f>
        <v>0</v>
      </c>
      <c r="K1163" s="2" t="str">
        <f>IF('Base S2'!J63="","",'Base S2'!J63)</f>
        <v/>
      </c>
      <c r="L1163" s="2">
        <f t="shared" si="234"/>
        <v>0</v>
      </c>
      <c r="M1163" s="2">
        <f t="shared" si="235"/>
        <v>0</v>
      </c>
      <c r="N1163" s="2">
        <f t="shared" si="236"/>
        <v>0</v>
      </c>
      <c r="O1163" s="2">
        <f t="shared" si="237"/>
        <v>0</v>
      </c>
      <c r="P1163" s="112">
        <f t="shared" si="238"/>
        <v>0</v>
      </c>
      <c r="Q1163" s="112">
        <f t="shared" si="239"/>
        <v>0</v>
      </c>
      <c r="R1163" s="53"/>
      <c r="S1163" s="53" t="str">
        <f t="shared" si="240"/>
        <v>Base S2|Printing Plates Parallel - Season 2|162|Printing Plate</v>
      </c>
      <c r="T1163" s="57" t="str">
        <f>IF($S1163="","",IFERROR(VLOOKUP($S1163,'Pop Estimates (Non-#d)'!$N$2:$O$500,2,FALSE),""))</f>
        <v/>
      </c>
      <c r="U1163" s="57">
        <f t="shared" si="241"/>
        <v>4</v>
      </c>
      <c r="V1163" s="53" t="str">
        <f t="shared" si="242"/>
        <v/>
      </c>
      <c r="W1163" s="53" t="str">
        <f t="shared" si="243"/>
        <v/>
      </c>
      <c r="X1163" s="53" t="str">
        <f t="shared" si="244"/>
        <v/>
      </c>
      <c r="Y1163" s="57" t="str">
        <f>IF($X1163="","",IFERROR(VLOOKUP($X1163,'Char Popularity'!$A$2:$C$500,2,FALSE),""))</f>
        <v/>
      </c>
      <c r="Z1163" s="56">
        <f>IF($X1163="",1,IFERROR(VLOOKUP($X1163,'Char Popularity'!$A$2:$C$500,3,FALSE),1))</f>
        <v>1</v>
      </c>
      <c r="AA1163" s="62">
        <f>IF($H1163&lt;&gt;"Y",0,(IF($F1163&lt;&gt;"",ROUND(Dashboard!$R$4/$F1163,1),IF(AND($I1163="Base",$E1163="Base"),Dashboard!$R$5,IF(AND($I1163="Base",$E1163="Red"),Dashboard!$R$6,IF(AND($I1163="Base",$E1163="Gold"),Dashboard!$R$7,VLOOKUP($I1163,Dashboard!$Q$16:$R$21,2,FALSE)))))*VLOOKUP($I1163,Dashboard!$Q$9:$R$13,2,FALSE)*IF(AND($I1163="Auto",$F1163="",OR($B1163="Autographs Duals",$B1163="Autographs Triples",$B1163="Autographs Quads",$B1163="Autographs Quads (Inscribed)")),IF($B1163="Autographs Duals",2,IF($B1163="Autographs Triples",3,4)),1)))</f>
        <v>0</v>
      </c>
      <c r="AB1163" s="62">
        <f t="shared" si="245"/>
        <v>0</v>
      </c>
      <c r="AC1163" s="62">
        <f t="shared" si="246"/>
        <v>0</v>
      </c>
    </row>
    <row r="1164" spans="1:29" ht="42.95" customHeight="1" x14ac:dyDescent="0.25">
      <c r="A1164" s="4" t="s">
        <v>19</v>
      </c>
      <c r="B1164" s="7" t="s">
        <v>793</v>
      </c>
      <c r="C1164" s="2" t="s">
        <v>1562</v>
      </c>
      <c r="D1164" s="7" t="s">
        <v>1143</v>
      </c>
      <c r="E1164" s="4" t="s">
        <v>829</v>
      </c>
      <c r="F1164" s="2">
        <v>4</v>
      </c>
      <c r="G1164" s="2" t="s">
        <v>1400</v>
      </c>
      <c r="H1164" s="2" t="s">
        <v>1399</v>
      </c>
      <c r="I1164" s="4" t="s">
        <v>60</v>
      </c>
      <c r="J1164" s="112">
        <f>IF($H1164&lt;&gt;"Y",0,ROUND(MIN(Dashboard!$R$24,IF(IFERROR(VLOOKUP($B1164,Dashboard!$Q$28:$S$60,2,FALSE),0)&gt;0,IFERROR(VLOOKUP($B1164,Dashboard!$Q$28:$S$60,2,FALSE),0),$Z1164*IF($U1164&lt;&gt;"",ROUND((Dashboard!$R$4/$U1164)*VLOOKUP($I1164,Dashboard!$Q$9:$R$13,2,FALSE)*IF(ISNUMBER(SEARCH("Duals",$B1164)),2,IF(ISNUMBER(SEARCH("Triples",$B1164)),3,IF(ISNUMBER(SEARCH("Quads",$B1164)),4,1))),2),ROUND(VLOOKUP($I1164,Dashboard!$Q$15:$R$20,2,FALSE)*IF($E1164="Red",Dashboard!$R$6,IF($E1164="Gold",Dashboard!$R$7,Dashboard!$R$5))*IF(ISNUMBER(SEARCH("Duals",$B1164)),2,IF(ISNUMBER(SEARCH("Triples",$B1164)),3,IF(ISNUMBER(SEARCH("Quads",$B1164)),4,1))),2))*IF(IFERROR(VLOOKUP($B1164,Dashboard!$Q$28:$S$60,3,FALSE),0)&gt;0,VLOOKUP($B1164,Dashboard!$Q$28:$S$60,3,FALSE),1))),0))</f>
        <v>0</v>
      </c>
      <c r="K1164" s="2" t="str">
        <f>IF('Base S2'!J64="","",'Base S2'!J64)</f>
        <v/>
      </c>
      <c r="L1164" s="2">
        <f t="shared" si="234"/>
        <v>0</v>
      </c>
      <c r="M1164" s="2">
        <f t="shared" si="235"/>
        <v>0</v>
      </c>
      <c r="N1164" s="2">
        <f t="shared" si="236"/>
        <v>0</v>
      </c>
      <c r="O1164" s="2">
        <f t="shared" si="237"/>
        <v>0</v>
      </c>
      <c r="P1164" s="112">
        <f t="shared" si="238"/>
        <v>0</v>
      </c>
      <c r="Q1164" s="112">
        <f t="shared" si="239"/>
        <v>0</v>
      </c>
      <c r="R1164" s="53"/>
      <c r="S1164" s="53" t="str">
        <f t="shared" si="240"/>
        <v>Base S2|Printing Plates Parallel - Season 2|163|Printing Plate</v>
      </c>
      <c r="T1164" s="57" t="str">
        <f>IF($S1164="","",IFERROR(VLOOKUP($S1164,'Pop Estimates (Non-#d)'!$N$2:$O$500,2,FALSE),""))</f>
        <v/>
      </c>
      <c r="U1164" s="57">
        <f t="shared" si="241"/>
        <v>4</v>
      </c>
      <c r="V1164" s="53" t="str">
        <f t="shared" si="242"/>
        <v/>
      </c>
      <c r="W1164" s="53" t="str">
        <f t="shared" si="243"/>
        <v/>
      </c>
      <c r="X1164" s="53" t="str">
        <f t="shared" si="244"/>
        <v/>
      </c>
      <c r="Y1164" s="57" t="str">
        <f>IF($X1164="","",IFERROR(VLOOKUP($X1164,'Char Popularity'!$A$2:$C$500,2,FALSE),""))</f>
        <v/>
      </c>
      <c r="Z1164" s="56">
        <f>IF($X1164="",1,IFERROR(VLOOKUP($X1164,'Char Popularity'!$A$2:$C$500,3,FALSE),1))</f>
        <v>1</v>
      </c>
      <c r="AA1164" s="62">
        <f>IF($H1164&lt;&gt;"Y",0,(IF($F1164&lt;&gt;"",ROUND(Dashboard!$R$4/$F1164,1),IF(AND($I1164="Base",$E1164="Base"),Dashboard!$R$5,IF(AND($I1164="Base",$E1164="Red"),Dashboard!$R$6,IF(AND($I1164="Base",$E1164="Gold"),Dashboard!$R$7,VLOOKUP($I1164,Dashboard!$Q$16:$R$21,2,FALSE)))))*VLOOKUP($I1164,Dashboard!$Q$9:$R$13,2,FALSE)*IF(AND($I1164="Auto",$F1164="",OR($B1164="Autographs Duals",$B1164="Autographs Triples",$B1164="Autographs Quads",$B1164="Autographs Quads (Inscribed)")),IF($B1164="Autographs Duals",2,IF($B1164="Autographs Triples",3,4)),1)))</f>
        <v>0</v>
      </c>
      <c r="AB1164" s="62">
        <f t="shared" si="245"/>
        <v>0</v>
      </c>
      <c r="AC1164" s="62">
        <f t="shared" si="246"/>
        <v>0</v>
      </c>
    </row>
    <row r="1165" spans="1:29" ht="42.95" customHeight="1" x14ac:dyDescent="0.25">
      <c r="A1165" s="4" t="s">
        <v>19</v>
      </c>
      <c r="B1165" s="7" t="s">
        <v>793</v>
      </c>
      <c r="C1165" s="2" t="s">
        <v>1563</v>
      </c>
      <c r="D1165" s="7" t="s">
        <v>1145</v>
      </c>
      <c r="E1165" s="4" t="s">
        <v>829</v>
      </c>
      <c r="F1165" s="2">
        <v>4</v>
      </c>
      <c r="G1165" s="2" t="s">
        <v>1400</v>
      </c>
      <c r="H1165" s="2" t="s">
        <v>1399</v>
      </c>
      <c r="I1165" s="4" t="s">
        <v>60</v>
      </c>
      <c r="J1165" s="112">
        <f>IF($H1165&lt;&gt;"Y",0,ROUND(MIN(Dashboard!$R$24,IF(IFERROR(VLOOKUP($B1165,Dashboard!$Q$28:$S$60,2,FALSE),0)&gt;0,IFERROR(VLOOKUP($B1165,Dashboard!$Q$28:$S$60,2,FALSE),0),$Z1165*IF($U1165&lt;&gt;"",ROUND((Dashboard!$R$4/$U1165)*VLOOKUP($I1165,Dashboard!$Q$9:$R$13,2,FALSE)*IF(ISNUMBER(SEARCH("Duals",$B1165)),2,IF(ISNUMBER(SEARCH("Triples",$B1165)),3,IF(ISNUMBER(SEARCH("Quads",$B1165)),4,1))),2),ROUND(VLOOKUP($I1165,Dashboard!$Q$15:$R$20,2,FALSE)*IF($E1165="Red",Dashboard!$R$6,IF($E1165="Gold",Dashboard!$R$7,Dashboard!$R$5))*IF(ISNUMBER(SEARCH("Duals",$B1165)),2,IF(ISNUMBER(SEARCH("Triples",$B1165)),3,IF(ISNUMBER(SEARCH("Quads",$B1165)),4,1))),2))*IF(IFERROR(VLOOKUP($B1165,Dashboard!$Q$28:$S$60,3,FALSE),0)&gt;0,VLOOKUP($B1165,Dashboard!$Q$28:$S$60,3,FALSE),1))),0))</f>
        <v>0</v>
      </c>
      <c r="K1165" s="2" t="str">
        <f>IF('Base S2'!J65="","",'Base S2'!J65)</f>
        <v/>
      </c>
      <c r="L1165" s="2">
        <f t="shared" si="234"/>
        <v>0</v>
      </c>
      <c r="M1165" s="2">
        <f t="shared" si="235"/>
        <v>0</v>
      </c>
      <c r="N1165" s="2">
        <f t="shared" si="236"/>
        <v>0</v>
      </c>
      <c r="O1165" s="2">
        <f t="shared" si="237"/>
        <v>0</v>
      </c>
      <c r="P1165" s="112">
        <f t="shared" si="238"/>
        <v>0</v>
      </c>
      <c r="Q1165" s="112">
        <f t="shared" si="239"/>
        <v>0</v>
      </c>
      <c r="R1165" s="53"/>
      <c r="S1165" s="53" t="str">
        <f t="shared" si="240"/>
        <v>Base S2|Printing Plates Parallel - Season 2|164|Printing Plate</v>
      </c>
      <c r="T1165" s="57" t="str">
        <f>IF($S1165="","",IFERROR(VLOOKUP($S1165,'Pop Estimates (Non-#d)'!$N$2:$O$500,2,FALSE),""))</f>
        <v/>
      </c>
      <c r="U1165" s="57">
        <f t="shared" si="241"/>
        <v>4</v>
      </c>
      <c r="V1165" s="53" t="str">
        <f t="shared" si="242"/>
        <v/>
      </c>
      <c r="W1165" s="53" t="str">
        <f t="shared" si="243"/>
        <v/>
      </c>
      <c r="X1165" s="53" t="str">
        <f t="shared" si="244"/>
        <v/>
      </c>
      <c r="Y1165" s="57" t="str">
        <f>IF($X1165="","",IFERROR(VLOOKUP($X1165,'Char Popularity'!$A$2:$C$500,2,FALSE),""))</f>
        <v/>
      </c>
      <c r="Z1165" s="56">
        <f>IF($X1165="",1,IFERROR(VLOOKUP($X1165,'Char Popularity'!$A$2:$C$500,3,FALSE),1))</f>
        <v>1</v>
      </c>
      <c r="AA1165" s="62">
        <f>IF($H1165&lt;&gt;"Y",0,(IF($F1165&lt;&gt;"",ROUND(Dashboard!$R$4/$F1165,1),IF(AND($I1165="Base",$E1165="Base"),Dashboard!$R$5,IF(AND($I1165="Base",$E1165="Red"),Dashboard!$R$6,IF(AND($I1165="Base",$E1165="Gold"),Dashboard!$R$7,VLOOKUP($I1165,Dashboard!$Q$16:$R$21,2,FALSE)))))*VLOOKUP($I1165,Dashboard!$Q$9:$R$13,2,FALSE)*IF(AND($I1165="Auto",$F1165="",OR($B1165="Autographs Duals",$B1165="Autographs Triples",$B1165="Autographs Quads",$B1165="Autographs Quads (Inscribed)")),IF($B1165="Autographs Duals",2,IF($B1165="Autographs Triples",3,4)),1)))</f>
        <v>0</v>
      </c>
      <c r="AB1165" s="62">
        <f t="shared" si="245"/>
        <v>0</v>
      </c>
      <c r="AC1165" s="62">
        <f t="shared" si="246"/>
        <v>0</v>
      </c>
    </row>
    <row r="1166" spans="1:29" ht="42.95" customHeight="1" x14ac:dyDescent="0.25">
      <c r="A1166" s="4" t="s">
        <v>19</v>
      </c>
      <c r="B1166" s="7" t="s">
        <v>793</v>
      </c>
      <c r="C1166" s="2" t="s">
        <v>1564</v>
      </c>
      <c r="D1166" s="7" t="s">
        <v>1147</v>
      </c>
      <c r="E1166" s="4" t="s">
        <v>829</v>
      </c>
      <c r="F1166" s="2">
        <v>4</v>
      </c>
      <c r="G1166" s="2" t="s">
        <v>1400</v>
      </c>
      <c r="H1166" s="2" t="s">
        <v>1399</v>
      </c>
      <c r="I1166" s="4" t="s">
        <v>60</v>
      </c>
      <c r="J1166" s="112">
        <f>IF($H1166&lt;&gt;"Y",0,ROUND(MIN(Dashboard!$R$24,IF(IFERROR(VLOOKUP($B1166,Dashboard!$Q$28:$S$60,2,FALSE),0)&gt;0,IFERROR(VLOOKUP($B1166,Dashboard!$Q$28:$S$60,2,FALSE),0),$Z1166*IF($U1166&lt;&gt;"",ROUND((Dashboard!$R$4/$U1166)*VLOOKUP($I1166,Dashboard!$Q$9:$R$13,2,FALSE)*IF(ISNUMBER(SEARCH("Duals",$B1166)),2,IF(ISNUMBER(SEARCH("Triples",$B1166)),3,IF(ISNUMBER(SEARCH("Quads",$B1166)),4,1))),2),ROUND(VLOOKUP($I1166,Dashboard!$Q$15:$R$20,2,FALSE)*IF($E1166="Red",Dashboard!$R$6,IF($E1166="Gold",Dashboard!$R$7,Dashboard!$R$5))*IF(ISNUMBER(SEARCH("Duals",$B1166)),2,IF(ISNUMBER(SEARCH("Triples",$B1166)),3,IF(ISNUMBER(SEARCH("Quads",$B1166)),4,1))),2))*IF(IFERROR(VLOOKUP($B1166,Dashboard!$Q$28:$S$60,3,FALSE),0)&gt;0,VLOOKUP($B1166,Dashboard!$Q$28:$S$60,3,FALSE),1))),0))</f>
        <v>0</v>
      </c>
      <c r="K1166" s="2" t="str">
        <f>IF('Base S2'!J66="","",'Base S2'!J66)</f>
        <v/>
      </c>
      <c r="L1166" s="2">
        <f t="shared" si="234"/>
        <v>0</v>
      </c>
      <c r="M1166" s="2">
        <f t="shared" si="235"/>
        <v>0</v>
      </c>
      <c r="N1166" s="2">
        <f t="shared" si="236"/>
        <v>0</v>
      </c>
      <c r="O1166" s="2">
        <f t="shared" si="237"/>
        <v>0</v>
      </c>
      <c r="P1166" s="112">
        <f t="shared" si="238"/>
        <v>0</v>
      </c>
      <c r="Q1166" s="112">
        <f t="shared" si="239"/>
        <v>0</v>
      </c>
      <c r="R1166" s="53"/>
      <c r="S1166" s="53" t="str">
        <f t="shared" si="240"/>
        <v>Base S2|Printing Plates Parallel - Season 2|165|Printing Plate</v>
      </c>
      <c r="T1166" s="57" t="str">
        <f>IF($S1166="","",IFERROR(VLOOKUP($S1166,'Pop Estimates (Non-#d)'!$N$2:$O$500,2,FALSE),""))</f>
        <v/>
      </c>
      <c r="U1166" s="57">
        <f t="shared" si="241"/>
        <v>4</v>
      </c>
      <c r="V1166" s="53" t="str">
        <f t="shared" si="242"/>
        <v/>
      </c>
      <c r="W1166" s="53" t="str">
        <f t="shared" si="243"/>
        <v/>
      </c>
      <c r="X1166" s="53" t="str">
        <f t="shared" si="244"/>
        <v/>
      </c>
      <c r="Y1166" s="57" t="str">
        <f>IF($X1166="","",IFERROR(VLOOKUP($X1166,'Char Popularity'!$A$2:$C$500,2,FALSE),""))</f>
        <v/>
      </c>
      <c r="Z1166" s="56">
        <f>IF($X1166="",1,IFERROR(VLOOKUP($X1166,'Char Popularity'!$A$2:$C$500,3,FALSE),1))</f>
        <v>1</v>
      </c>
      <c r="AA1166" s="62">
        <f>IF($H1166&lt;&gt;"Y",0,(IF($F1166&lt;&gt;"",ROUND(Dashboard!$R$4/$F1166,1),IF(AND($I1166="Base",$E1166="Base"),Dashboard!$R$5,IF(AND($I1166="Base",$E1166="Red"),Dashboard!$R$6,IF(AND($I1166="Base",$E1166="Gold"),Dashboard!$R$7,VLOOKUP($I1166,Dashboard!$Q$16:$R$21,2,FALSE)))))*VLOOKUP($I1166,Dashboard!$Q$9:$R$13,2,FALSE)*IF(AND($I1166="Auto",$F1166="",OR($B1166="Autographs Duals",$B1166="Autographs Triples",$B1166="Autographs Quads",$B1166="Autographs Quads (Inscribed)")),IF($B1166="Autographs Duals",2,IF($B1166="Autographs Triples",3,4)),1)))</f>
        <v>0</v>
      </c>
      <c r="AB1166" s="62">
        <f t="shared" si="245"/>
        <v>0</v>
      </c>
      <c r="AC1166" s="62">
        <f t="shared" si="246"/>
        <v>0</v>
      </c>
    </row>
    <row r="1167" spans="1:29" ht="42.95" customHeight="1" x14ac:dyDescent="0.25">
      <c r="A1167" s="4" t="s">
        <v>19</v>
      </c>
      <c r="B1167" s="7" t="s">
        <v>793</v>
      </c>
      <c r="C1167" s="2" t="s">
        <v>1565</v>
      </c>
      <c r="D1167" s="7" t="s">
        <v>1148</v>
      </c>
      <c r="E1167" s="4" t="s">
        <v>829</v>
      </c>
      <c r="F1167" s="2">
        <v>4</v>
      </c>
      <c r="G1167" s="2" t="s">
        <v>1400</v>
      </c>
      <c r="H1167" s="2" t="s">
        <v>1399</v>
      </c>
      <c r="I1167" s="4" t="s">
        <v>60</v>
      </c>
      <c r="J1167" s="112">
        <f>IF($H1167&lt;&gt;"Y",0,ROUND(MIN(Dashboard!$R$24,IF(IFERROR(VLOOKUP($B1167,Dashboard!$Q$28:$S$60,2,FALSE),0)&gt;0,IFERROR(VLOOKUP($B1167,Dashboard!$Q$28:$S$60,2,FALSE),0),$Z1167*IF($U1167&lt;&gt;"",ROUND((Dashboard!$R$4/$U1167)*VLOOKUP($I1167,Dashboard!$Q$9:$R$13,2,FALSE)*IF(ISNUMBER(SEARCH("Duals",$B1167)),2,IF(ISNUMBER(SEARCH("Triples",$B1167)),3,IF(ISNUMBER(SEARCH("Quads",$B1167)),4,1))),2),ROUND(VLOOKUP($I1167,Dashboard!$Q$15:$R$20,2,FALSE)*IF($E1167="Red",Dashboard!$R$6,IF($E1167="Gold",Dashboard!$R$7,Dashboard!$R$5))*IF(ISNUMBER(SEARCH("Duals",$B1167)),2,IF(ISNUMBER(SEARCH("Triples",$B1167)),3,IF(ISNUMBER(SEARCH("Quads",$B1167)),4,1))),2))*IF(IFERROR(VLOOKUP($B1167,Dashboard!$Q$28:$S$60,3,FALSE),0)&gt;0,VLOOKUP($B1167,Dashboard!$Q$28:$S$60,3,FALSE),1))),0))</f>
        <v>0</v>
      </c>
      <c r="K1167" s="2" t="str">
        <f>IF('Base S2'!J67="","",'Base S2'!J67)</f>
        <v/>
      </c>
      <c r="L1167" s="2">
        <f t="shared" si="234"/>
        <v>0</v>
      </c>
      <c r="M1167" s="2">
        <f t="shared" si="235"/>
        <v>0</v>
      </c>
      <c r="N1167" s="2">
        <f t="shared" si="236"/>
        <v>0</v>
      </c>
      <c r="O1167" s="2">
        <f t="shared" si="237"/>
        <v>0</v>
      </c>
      <c r="P1167" s="112">
        <f t="shared" si="238"/>
        <v>0</v>
      </c>
      <c r="Q1167" s="112">
        <f t="shared" si="239"/>
        <v>0</v>
      </c>
      <c r="R1167" s="53"/>
      <c r="S1167" s="53" t="str">
        <f t="shared" si="240"/>
        <v>Base S2|Printing Plates Parallel - Season 2|166|Printing Plate</v>
      </c>
      <c r="T1167" s="57" t="str">
        <f>IF($S1167="","",IFERROR(VLOOKUP($S1167,'Pop Estimates (Non-#d)'!$N$2:$O$500,2,FALSE),""))</f>
        <v/>
      </c>
      <c r="U1167" s="57">
        <f t="shared" si="241"/>
        <v>4</v>
      </c>
      <c r="V1167" s="53" t="str">
        <f t="shared" si="242"/>
        <v/>
      </c>
      <c r="W1167" s="53" t="str">
        <f t="shared" si="243"/>
        <v/>
      </c>
      <c r="X1167" s="53" t="str">
        <f t="shared" si="244"/>
        <v/>
      </c>
      <c r="Y1167" s="57" t="str">
        <f>IF($X1167="","",IFERROR(VLOOKUP($X1167,'Char Popularity'!$A$2:$C$500,2,FALSE),""))</f>
        <v/>
      </c>
      <c r="Z1167" s="56">
        <f>IF($X1167="",1,IFERROR(VLOOKUP($X1167,'Char Popularity'!$A$2:$C$500,3,FALSE),1))</f>
        <v>1</v>
      </c>
      <c r="AA1167" s="62">
        <f>IF($H1167&lt;&gt;"Y",0,(IF($F1167&lt;&gt;"",ROUND(Dashboard!$R$4/$F1167,1),IF(AND($I1167="Base",$E1167="Base"),Dashboard!$R$5,IF(AND($I1167="Base",$E1167="Red"),Dashboard!$R$6,IF(AND($I1167="Base",$E1167="Gold"),Dashboard!$R$7,VLOOKUP($I1167,Dashboard!$Q$16:$R$21,2,FALSE)))))*VLOOKUP($I1167,Dashboard!$Q$9:$R$13,2,FALSE)*IF(AND($I1167="Auto",$F1167="",OR($B1167="Autographs Duals",$B1167="Autographs Triples",$B1167="Autographs Quads",$B1167="Autographs Quads (Inscribed)")),IF($B1167="Autographs Duals",2,IF($B1167="Autographs Triples",3,4)),1)))</f>
        <v>0</v>
      </c>
      <c r="AB1167" s="62">
        <f t="shared" si="245"/>
        <v>0</v>
      </c>
      <c r="AC1167" s="62">
        <f t="shared" si="246"/>
        <v>0</v>
      </c>
    </row>
    <row r="1168" spans="1:29" ht="42.95" customHeight="1" x14ac:dyDescent="0.25">
      <c r="A1168" s="4" t="s">
        <v>19</v>
      </c>
      <c r="B1168" s="7" t="s">
        <v>793</v>
      </c>
      <c r="C1168" s="2" t="s">
        <v>1566</v>
      </c>
      <c r="D1168" s="7" t="s">
        <v>1150</v>
      </c>
      <c r="E1168" s="4" t="s">
        <v>829</v>
      </c>
      <c r="F1168" s="2">
        <v>4</v>
      </c>
      <c r="G1168" s="2" t="s">
        <v>1400</v>
      </c>
      <c r="H1168" s="2" t="s">
        <v>1399</v>
      </c>
      <c r="I1168" s="4" t="s">
        <v>60</v>
      </c>
      <c r="J1168" s="112">
        <f>IF($H1168&lt;&gt;"Y",0,ROUND(MIN(Dashboard!$R$24,IF(IFERROR(VLOOKUP($B1168,Dashboard!$Q$28:$S$60,2,FALSE),0)&gt;0,IFERROR(VLOOKUP($B1168,Dashboard!$Q$28:$S$60,2,FALSE),0),$Z1168*IF($U1168&lt;&gt;"",ROUND((Dashboard!$R$4/$U1168)*VLOOKUP($I1168,Dashboard!$Q$9:$R$13,2,FALSE)*IF(ISNUMBER(SEARCH("Duals",$B1168)),2,IF(ISNUMBER(SEARCH("Triples",$B1168)),3,IF(ISNUMBER(SEARCH("Quads",$B1168)),4,1))),2),ROUND(VLOOKUP($I1168,Dashboard!$Q$15:$R$20,2,FALSE)*IF($E1168="Red",Dashboard!$R$6,IF($E1168="Gold",Dashboard!$R$7,Dashboard!$R$5))*IF(ISNUMBER(SEARCH("Duals",$B1168)),2,IF(ISNUMBER(SEARCH("Triples",$B1168)),3,IF(ISNUMBER(SEARCH("Quads",$B1168)),4,1))),2))*IF(IFERROR(VLOOKUP($B1168,Dashboard!$Q$28:$S$60,3,FALSE),0)&gt;0,VLOOKUP($B1168,Dashboard!$Q$28:$S$60,3,FALSE),1))),0))</f>
        <v>0</v>
      </c>
      <c r="K1168" s="2" t="str">
        <f>IF('Base S2'!J68="","",'Base S2'!J68)</f>
        <v/>
      </c>
      <c r="L1168" s="2">
        <f t="shared" si="234"/>
        <v>0</v>
      </c>
      <c r="M1168" s="2">
        <f t="shared" si="235"/>
        <v>0</v>
      </c>
      <c r="N1168" s="2">
        <f t="shared" si="236"/>
        <v>0</v>
      </c>
      <c r="O1168" s="2">
        <f t="shared" si="237"/>
        <v>0</v>
      </c>
      <c r="P1168" s="112">
        <f t="shared" si="238"/>
        <v>0</v>
      </c>
      <c r="Q1168" s="112">
        <f t="shared" si="239"/>
        <v>0</v>
      </c>
      <c r="R1168" s="53"/>
      <c r="S1168" s="53" t="str">
        <f t="shared" si="240"/>
        <v>Base S2|Printing Plates Parallel - Season 2|167|Printing Plate</v>
      </c>
      <c r="T1168" s="57" t="str">
        <f>IF($S1168="","",IFERROR(VLOOKUP($S1168,'Pop Estimates (Non-#d)'!$N$2:$O$500,2,FALSE),""))</f>
        <v/>
      </c>
      <c r="U1168" s="57">
        <f t="shared" si="241"/>
        <v>4</v>
      </c>
      <c r="V1168" s="53" t="str">
        <f t="shared" si="242"/>
        <v/>
      </c>
      <c r="W1168" s="53" t="str">
        <f t="shared" si="243"/>
        <v/>
      </c>
      <c r="X1168" s="53" t="str">
        <f t="shared" si="244"/>
        <v/>
      </c>
      <c r="Y1168" s="57" t="str">
        <f>IF($X1168="","",IFERROR(VLOOKUP($X1168,'Char Popularity'!$A$2:$C$500,2,FALSE),""))</f>
        <v/>
      </c>
      <c r="Z1168" s="56">
        <f>IF($X1168="",1,IFERROR(VLOOKUP($X1168,'Char Popularity'!$A$2:$C$500,3,FALSE),1))</f>
        <v>1</v>
      </c>
      <c r="AA1168" s="62">
        <f>IF($H1168&lt;&gt;"Y",0,(IF($F1168&lt;&gt;"",ROUND(Dashboard!$R$4/$F1168,1),IF(AND($I1168="Base",$E1168="Base"),Dashboard!$R$5,IF(AND($I1168="Base",$E1168="Red"),Dashboard!$R$6,IF(AND($I1168="Base",$E1168="Gold"),Dashboard!$R$7,VLOOKUP($I1168,Dashboard!$Q$16:$R$21,2,FALSE)))))*VLOOKUP($I1168,Dashboard!$Q$9:$R$13,2,FALSE)*IF(AND($I1168="Auto",$F1168="",OR($B1168="Autographs Duals",$B1168="Autographs Triples",$B1168="Autographs Quads",$B1168="Autographs Quads (Inscribed)")),IF($B1168="Autographs Duals",2,IF($B1168="Autographs Triples",3,4)),1)))</f>
        <v>0</v>
      </c>
      <c r="AB1168" s="62">
        <f t="shared" si="245"/>
        <v>0</v>
      </c>
      <c r="AC1168" s="62">
        <f t="shared" si="246"/>
        <v>0</v>
      </c>
    </row>
    <row r="1169" spans="1:29" ht="42.95" customHeight="1" x14ac:dyDescent="0.25">
      <c r="A1169" s="4" t="s">
        <v>19</v>
      </c>
      <c r="B1169" s="7" t="s">
        <v>793</v>
      </c>
      <c r="C1169" s="2" t="s">
        <v>1567</v>
      </c>
      <c r="D1169" s="7" t="s">
        <v>1151</v>
      </c>
      <c r="E1169" s="4" t="s">
        <v>829</v>
      </c>
      <c r="F1169" s="2">
        <v>4</v>
      </c>
      <c r="G1169" s="2" t="s">
        <v>1400</v>
      </c>
      <c r="H1169" s="2" t="s">
        <v>1399</v>
      </c>
      <c r="I1169" s="4" t="s">
        <v>60</v>
      </c>
      <c r="J1169" s="112">
        <f>IF($H1169&lt;&gt;"Y",0,ROUND(MIN(Dashboard!$R$24,IF(IFERROR(VLOOKUP($B1169,Dashboard!$Q$28:$S$60,2,FALSE),0)&gt;0,IFERROR(VLOOKUP($B1169,Dashboard!$Q$28:$S$60,2,FALSE),0),$Z1169*IF($U1169&lt;&gt;"",ROUND((Dashboard!$R$4/$U1169)*VLOOKUP($I1169,Dashboard!$Q$9:$R$13,2,FALSE)*IF(ISNUMBER(SEARCH("Duals",$B1169)),2,IF(ISNUMBER(SEARCH("Triples",$B1169)),3,IF(ISNUMBER(SEARCH("Quads",$B1169)),4,1))),2),ROUND(VLOOKUP($I1169,Dashboard!$Q$15:$R$20,2,FALSE)*IF($E1169="Red",Dashboard!$R$6,IF($E1169="Gold",Dashboard!$R$7,Dashboard!$R$5))*IF(ISNUMBER(SEARCH("Duals",$B1169)),2,IF(ISNUMBER(SEARCH("Triples",$B1169)),3,IF(ISNUMBER(SEARCH("Quads",$B1169)),4,1))),2))*IF(IFERROR(VLOOKUP($B1169,Dashboard!$Q$28:$S$60,3,FALSE),0)&gt;0,VLOOKUP($B1169,Dashboard!$Q$28:$S$60,3,FALSE),1))),0))</f>
        <v>0</v>
      </c>
      <c r="K1169" s="2" t="str">
        <f>IF('Base S2'!J69="","",'Base S2'!J69)</f>
        <v/>
      </c>
      <c r="L1169" s="2">
        <f t="shared" si="234"/>
        <v>0</v>
      </c>
      <c r="M1169" s="2">
        <f t="shared" si="235"/>
        <v>0</v>
      </c>
      <c r="N1169" s="2">
        <f t="shared" si="236"/>
        <v>0</v>
      </c>
      <c r="O1169" s="2">
        <f t="shared" si="237"/>
        <v>0</v>
      </c>
      <c r="P1169" s="112">
        <f t="shared" si="238"/>
        <v>0</v>
      </c>
      <c r="Q1169" s="112">
        <f t="shared" si="239"/>
        <v>0</v>
      </c>
      <c r="R1169" s="53"/>
      <c r="S1169" s="53" t="str">
        <f t="shared" si="240"/>
        <v>Base S2|Printing Plates Parallel - Season 2|168|Printing Plate</v>
      </c>
      <c r="T1169" s="57" t="str">
        <f>IF($S1169="","",IFERROR(VLOOKUP($S1169,'Pop Estimates (Non-#d)'!$N$2:$O$500,2,FALSE),""))</f>
        <v/>
      </c>
      <c r="U1169" s="57">
        <f t="shared" si="241"/>
        <v>4</v>
      </c>
      <c r="V1169" s="53" t="str">
        <f t="shared" si="242"/>
        <v/>
      </c>
      <c r="W1169" s="53" t="str">
        <f t="shared" si="243"/>
        <v/>
      </c>
      <c r="X1169" s="53" t="str">
        <f t="shared" si="244"/>
        <v/>
      </c>
      <c r="Y1169" s="57" t="str">
        <f>IF($X1169="","",IFERROR(VLOOKUP($X1169,'Char Popularity'!$A$2:$C$500,2,FALSE),""))</f>
        <v/>
      </c>
      <c r="Z1169" s="56">
        <f>IF($X1169="",1,IFERROR(VLOOKUP($X1169,'Char Popularity'!$A$2:$C$500,3,FALSE),1))</f>
        <v>1</v>
      </c>
      <c r="AA1169" s="62">
        <f>IF($H1169&lt;&gt;"Y",0,(IF($F1169&lt;&gt;"",ROUND(Dashboard!$R$4/$F1169,1),IF(AND($I1169="Base",$E1169="Base"),Dashboard!$R$5,IF(AND($I1169="Base",$E1169="Red"),Dashboard!$R$6,IF(AND($I1169="Base",$E1169="Gold"),Dashboard!$R$7,VLOOKUP($I1169,Dashboard!$Q$16:$R$21,2,FALSE)))))*VLOOKUP($I1169,Dashboard!$Q$9:$R$13,2,FALSE)*IF(AND($I1169="Auto",$F1169="",OR($B1169="Autographs Duals",$B1169="Autographs Triples",$B1169="Autographs Quads",$B1169="Autographs Quads (Inscribed)")),IF($B1169="Autographs Duals",2,IF($B1169="Autographs Triples",3,4)),1)))</f>
        <v>0</v>
      </c>
      <c r="AB1169" s="62">
        <f t="shared" si="245"/>
        <v>0</v>
      </c>
      <c r="AC1169" s="62">
        <f t="shared" si="246"/>
        <v>0</v>
      </c>
    </row>
    <row r="1170" spans="1:29" ht="42.95" customHeight="1" x14ac:dyDescent="0.25">
      <c r="A1170" s="4" t="s">
        <v>19</v>
      </c>
      <c r="B1170" s="7" t="s">
        <v>793</v>
      </c>
      <c r="C1170" s="2" t="s">
        <v>1568</v>
      </c>
      <c r="D1170" s="7" t="s">
        <v>1153</v>
      </c>
      <c r="E1170" s="4" t="s">
        <v>829</v>
      </c>
      <c r="F1170" s="2">
        <v>4</v>
      </c>
      <c r="G1170" s="2" t="s">
        <v>1400</v>
      </c>
      <c r="H1170" s="2" t="s">
        <v>1399</v>
      </c>
      <c r="I1170" s="4" t="s">
        <v>60</v>
      </c>
      <c r="J1170" s="112">
        <f>IF($H1170&lt;&gt;"Y",0,ROUND(MIN(Dashboard!$R$24,IF(IFERROR(VLOOKUP($B1170,Dashboard!$Q$28:$S$60,2,FALSE),0)&gt;0,IFERROR(VLOOKUP($B1170,Dashboard!$Q$28:$S$60,2,FALSE),0),$Z1170*IF($U1170&lt;&gt;"",ROUND((Dashboard!$R$4/$U1170)*VLOOKUP($I1170,Dashboard!$Q$9:$R$13,2,FALSE)*IF(ISNUMBER(SEARCH("Duals",$B1170)),2,IF(ISNUMBER(SEARCH("Triples",$B1170)),3,IF(ISNUMBER(SEARCH("Quads",$B1170)),4,1))),2),ROUND(VLOOKUP($I1170,Dashboard!$Q$15:$R$20,2,FALSE)*IF($E1170="Red",Dashboard!$R$6,IF($E1170="Gold",Dashboard!$R$7,Dashboard!$R$5))*IF(ISNUMBER(SEARCH("Duals",$B1170)),2,IF(ISNUMBER(SEARCH("Triples",$B1170)),3,IF(ISNUMBER(SEARCH("Quads",$B1170)),4,1))),2))*IF(IFERROR(VLOOKUP($B1170,Dashboard!$Q$28:$S$60,3,FALSE),0)&gt;0,VLOOKUP($B1170,Dashboard!$Q$28:$S$60,3,FALSE),1))),0))</f>
        <v>0</v>
      </c>
      <c r="K1170" s="2" t="str">
        <f>IF('Base S2'!J70="","",'Base S2'!J70)</f>
        <v/>
      </c>
      <c r="L1170" s="2">
        <f t="shared" si="234"/>
        <v>0</v>
      </c>
      <c r="M1170" s="2">
        <f t="shared" si="235"/>
        <v>0</v>
      </c>
      <c r="N1170" s="2">
        <f t="shared" si="236"/>
        <v>0</v>
      </c>
      <c r="O1170" s="2">
        <f t="shared" si="237"/>
        <v>0</v>
      </c>
      <c r="P1170" s="112">
        <f t="shared" si="238"/>
        <v>0</v>
      </c>
      <c r="Q1170" s="112">
        <f t="shared" si="239"/>
        <v>0</v>
      </c>
      <c r="R1170" s="53"/>
      <c r="S1170" s="53" t="str">
        <f t="shared" si="240"/>
        <v>Base S2|Printing Plates Parallel - Season 2|169|Printing Plate</v>
      </c>
      <c r="T1170" s="57" t="str">
        <f>IF($S1170="","",IFERROR(VLOOKUP($S1170,'Pop Estimates (Non-#d)'!$N$2:$O$500,2,FALSE),""))</f>
        <v/>
      </c>
      <c r="U1170" s="57">
        <f t="shared" si="241"/>
        <v>4</v>
      </c>
      <c r="V1170" s="53" t="str">
        <f t="shared" si="242"/>
        <v/>
      </c>
      <c r="W1170" s="53" t="str">
        <f t="shared" si="243"/>
        <v/>
      </c>
      <c r="X1170" s="53" t="str">
        <f t="shared" si="244"/>
        <v/>
      </c>
      <c r="Y1170" s="57" t="str">
        <f>IF($X1170="","",IFERROR(VLOOKUP($X1170,'Char Popularity'!$A$2:$C$500,2,FALSE),""))</f>
        <v/>
      </c>
      <c r="Z1170" s="56">
        <f>IF($X1170="",1,IFERROR(VLOOKUP($X1170,'Char Popularity'!$A$2:$C$500,3,FALSE),1))</f>
        <v>1</v>
      </c>
      <c r="AA1170" s="62">
        <f>IF($H1170&lt;&gt;"Y",0,(IF($F1170&lt;&gt;"",ROUND(Dashboard!$R$4/$F1170,1),IF(AND($I1170="Base",$E1170="Base"),Dashboard!$R$5,IF(AND($I1170="Base",$E1170="Red"),Dashboard!$R$6,IF(AND($I1170="Base",$E1170="Gold"),Dashboard!$R$7,VLOOKUP($I1170,Dashboard!$Q$16:$R$21,2,FALSE)))))*VLOOKUP($I1170,Dashboard!$Q$9:$R$13,2,FALSE)*IF(AND($I1170="Auto",$F1170="",OR($B1170="Autographs Duals",$B1170="Autographs Triples",$B1170="Autographs Quads",$B1170="Autographs Quads (Inscribed)")),IF($B1170="Autographs Duals",2,IF($B1170="Autographs Triples",3,4)),1)))</f>
        <v>0</v>
      </c>
      <c r="AB1170" s="62">
        <f t="shared" si="245"/>
        <v>0</v>
      </c>
      <c r="AC1170" s="62">
        <f t="shared" si="246"/>
        <v>0</v>
      </c>
    </row>
    <row r="1171" spans="1:29" ht="42.95" customHeight="1" x14ac:dyDescent="0.25">
      <c r="A1171" s="4" t="s">
        <v>19</v>
      </c>
      <c r="B1171" s="7" t="s">
        <v>793</v>
      </c>
      <c r="C1171" s="2" t="s">
        <v>1569</v>
      </c>
      <c r="D1171" s="7" t="s">
        <v>1154</v>
      </c>
      <c r="E1171" s="4" t="s">
        <v>829</v>
      </c>
      <c r="F1171" s="2">
        <v>4</v>
      </c>
      <c r="G1171" s="2" t="s">
        <v>1400</v>
      </c>
      <c r="H1171" s="2" t="s">
        <v>1399</v>
      </c>
      <c r="I1171" s="4" t="s">
        <v>60</v>
      </c>
      <c r="J1171" s="112">
        <f>IF($H1171&lt;&gt;"Y",0,ROUND(MIN(Dashboard!$R$24,IF(IFERROR(VLOOKUP($B1171,Dashboard!$Q$28:$S$60,2,FALSE),0)&gt;0,IFERROR(VLOOKUP($B1171,Dashboard!$Q$28:$S$60,2,FALSE),0),$Z1171*IF($U1171&lt;&gt;"",ROUND((Dashboard!$R$4/$U1171)*VLOOKUP($I1171,Dashboard!$Q$9:$R$13,2,FALSE)*IF(ISNUMBER(SEARCH("Duals",$B1171)),2,IF(ISNUMBER(SEARCH("Triples",$B1171)),3,IF(ISNUMBER(SEARCH("Quads",$B1171)),4,1))),2),ROUND(VLOOKUP($I1171,Dashboard!$Q$15:$R$20,2,FALSE)*IF($E1171="Red",Dashboard!$R$6,IF($E1171="Gold",Dashboard!$R$7,Dashboard!$R$5))*IF(ISNUMBER(SEARCH("Duals",$B1171)),2,IF(ISNUMBER(SEARCH("Triples",$B1171)),3,IF(ISNUMBER(SEARCH("Quads",$B1171)),4,1))),2))*IF(IFERROR(VLOOKUP($B1171,Dashboard!$Q$28:$S$60,3,FALSE),0)&gt;0,VLOOKUP($B1171,Dashboard!$Q$28:$S$60,3,FALSE),1))),0))</f>
        <v>0</v>
      </c>
      <c r="K1171" s="2" t="str">
        <f>IF('Base S2'!J71="","",'Base S2'!J71)</f>
        <v>C Cyan</v>
      </c>
      <c r="L1171" s="2">
        <f t="shared" si="234"/>
        <v>1</v>
      </c>
      <c r="M1171" s="2">
        <f t="shared" si="235"/>
        <v>0</v>
      </c>
      <c r="N1171" s="2">
        <f t="shared" si="236"/>
        <v>1</v>
      </c>
      <c r="O1171" s="2">
        <f t="shared" si="237"/>
        <v>0</v>
      </c>
      <c r="P1171" s="112">
        <f t="shared" si="238"/>
        <v>0</v>
      </c>
      <c r="Q1171" s="112">
        <f t="shared" si="239"/>
        <v>0</v>
      </c>
      <c r="R1171" s="53"/>
      <c r="S1171" s="53" t="str">
        <f t="shared" si="240"/>
        <v>Base S2|Printing Plates Parallel - Season 2|170|Printing Plate</v>
      </c>
      <c r="T1171" s="57" t="str">
        <f>IF($S1171="","",IFERROR(VLOOKUP($S1171,'Pop Estimates (Non-#d)'!$N$2:$O$500,2,FALSE),""))</f>
        <v/>
      </c>
      <c r="U1171" s="57">
        <f t="shared" si="241"/>
        <v>4</v>
      </c>
      <c r="V1171" s="53" t="str">
        <f t="shared" si="242"/>
        <v/>
      </c>
      <c r="W1171" s="53" t="str">
        <f t="shared" si="243"/>
        <v/>
      </c>
      <c r="X1171" s="53" t="str">
        <f t="shared" si="244"/>
        <v/>
      </c>
      <c r="Y1171" s="57" t="str">
        <f>IF($X1171="","",IFERROR(VLOOKUP($X1171,'Char Popularity'!$A$2:$C$500,2,FALSE),""))</f>
        <v/>
      </c>
      <c r="Z1171" s="56">
        <f>IF($X1171="",1,IFERROR(VLOOKUP($X1171,'Char Popularity'!$A$2:$C$500,3,FALSE),1))</f>
        <v>1</v>
      </c>
      <c r="AA1171" s="62">
        <f>IF($H1171&lt;&gt;"Y",0,(IF($F1171&lt;&gt;"",ROUND(Dashboard!$R$4/$F1171,1),IF(AND($I1171="Base",$E1171="Base"),Dashboard!$R$5,IF(AND($I1171="Base",$E1171="Red"),Dashboard!$R$6,IF(AND($I1171="Base",$E1171="Gold"),Dashboard!$R$7,VLOOKUP($I1171,Dashboard!$Q$16:$R$21,2,FALSE)))))*VLOOKUP($I1171,Dashboard!$Q$9:$R$13,2,FALSE)*IF(AND($I1171="Auto",$F1171="",OR($B1171="Autographs Duals",$B1171="Autographs Triples",$B1171="Autographs Quads",$B1171="Autographs Quads (Inscribed)")),IF($B1171="Autographs Duals",2,IF($B1171="Autographs Triples",3,4)),1)))</f>
        <v>0</v>
      </c>
      <c r="AB1171" s="62">
        <f t="shared" si="245"/>
        <v>0</v>
      </c>
      <c r="AC1171" s="62">
        <f t="shared" si="246"/>
        <v>0</v>
      </c>
    </row>
    <row r="1172" spans="1:29" ht="42.95" customHeight="1" x14ac:dyDescent="0.25">
      <c r="A1172" s="4" t="s">
        <v>19</v>
      </c>
      <c r="B1172" s="7" t="s">
        <v>793</v>
      </c>
      <c r="C1172" s="2" t="s">
        <v>1570</v>
      </c>
      <c r="D1172" s="7" t="s">
        <v>1158</v>
      </c>
      <c r="E1172" s="4" t="s">
        <v>829</v>
      </c>
      <c r="F1172" s="2">
        <v>4</v>
      </c>
      <c r="G1172" s="2" t="s">
        <v>1400</v>
      </c>
      <c r="H1172" s="2" t="s">
        <v>1399</v>
      </c>
      <c r="I1172" s="4" t="s">
        <v>60</v>
      </c>
      <c r="J1172" s="112">
        <f>IF($H1172&lt;&gt;"Y",0,ROUND(MIN(Dashboard!$R$24,IF(IFERROR(VLOOKUP($B1172,Dashboard!$Q$28:$S$60,2,FALSE),0)&gt;0,IFERROR(VLOOKUP($B1172,Dashboard!$Q$28:$S$60,2,FALSE),0),$Z1172*IF($U1172&lt;&gt;"",ROUND((Dashboard!$R$4/$U1172)*VLOOKUP($I1172,Dashboard!$Q$9:$R$13,2,FALSE)*IF(ISNUMBER(SEARCH("Duals",$B1172)),2,IF(ISNUMBER(SEARCH("Triples",$B1172)),3,IF(ISNUMBER(SEARCH("Quads",$B1172)),4,1))),2),ROUND(VLOOKUP($I1172,Dashboard!$Q$15:$R$20,2,FALSE)*IF($E1172="Red",Dashboard!$R$6,IF($E1172="Gold",Dashboard!$R$7,Dashboard!$R$5))*IF(ISNUMBER(SEARCH("Duals",$B1172)),2,IF(ISNUMBER(SEARCH("Triples",$B1172)),3,IF(ISNUMBER(SEARCH("Quads",$B1172)),4,1))),2))*IF(IFERROR(VLOOKUP($B1172,Dashboard!$Q$28:$S$60,3,FALSE),0)&gt;0,VLOOKUP($B1172,Dashboard!$Q$28:$S$60,3,FALSE),1))),0))</f>
        <v>0</v>
      </c>
      <c r="K1172" s="2" t="str">
        <f>IF('Base S2'!J72="","",'Base S2'!J72)</f>
        <v/>
      </c>
      <c r="L1172" s="2">
        <f t="shared" si="234"/>
        <v>0</v>
      </c>
      <c r="M1172" s="2">
        <f t="shared" si="235"/>
        <v>0</v>
      </c>
      <c r="N1172" s="2">
        <f t="shared" si="236"/>
        <v>0</v>
      </c>
      <c r="O1172" s="2">
        <f t="shared" si="237"/>
        <v>0</v>
      </c>
      <c r="P1172" s="112">
        <f t="shared" si="238"/>
        <v>0</v>
      </c>
      <c r="Q1172" s="112">
        <f t="shared" si="239"/>
        <v>0</v>
      </c>
      <c r="R1172" s="53"/>
      <c r="S1172" s="53" t="str">
        <f t="shared" si="240"/>
        <v>Base S2|Printing Plates Parallel - Season 2|171|Printing Plate</v>
      </c>
      <c r="T1172" s="57" t="str">
        <f>IF($S1172="","",IFERROR(VLOOKUP($S1172,'Pop Estimates (Non-#d)'!$N$2:$O$500,2,FALSE),""))</f>
        <v/>
      </c>
      <c r="U1172" s="57">
        <f t="shared" si="241"/>
        <v>4</v>
      </c>
      <c r="V1172" s="53" t="str">
        <f t="shared" si="242"/>
        <v/>
      </c>
      <c r="W1172" s="53" t="str">
        <f t="shared" si="243"/>
        <v/>
      </c>
      <c r="X1172" s="53" t="str">
        <f t="shared" si="244"/>
        <v/>
      </c>
      <c r="Y1172" s="57" t="str">
        <f>IF($X1172="","",IFERROR(VLOOKUP($X1172,'Char Popularity'!$A$2:$C$500,2,FALSE),""))</f>
        <v/>
      </c>
      <c r="Z1172" s="56">
        <f>IF($X1172="",1,IFERROR(VLOOKUP($X1172,'Char Popularity'!$A$2:$C$500,3,FALSE),1))</f>
        <v>1</v>
      </c>
      <c r="AA1172" s="62">
        <f>IF($H1172&lt;&gt;"Y",0,(IF($F1172&lt;&gt;"",ROUND(Dashboard!$R$4/$F1172,1),IF(AND($I1172="Base",$E1172="Base"),Dashboard!$R$5,IF(AND($I1172="Base",$E1172="Red"),Dashboard!$R$6,IF(AND($I1172="Base",$E1172="Gold"),Dashboard!$R$7,VLOOKUP($I1172,Dashboard!$Q$16:$R$21,2,FALSE)))))*VLOOKUP($I1172,Dashboard!$Q$9:$R$13,2,FALSE)*IF(AND($I1172="Auto",$F1172="",OR($B1172="Autographs Duals",$B1172="Autographs Triples",$B1172="Autographs Quads",$B1172="Autographs Quads (Inscribed)")),IF($B1172="Autographs Duals",2,IF($B1172="Autographs Triples",3,4)),1)))</f>
        <v>0</v>
      </c>
      <c r="AB1172" s="62">
        <f t="shared" si="245"/>
        <v>0</v>
      </c>
      <c r="AC1172" s="62">
        <f t="shared" si="246"/>
        <v>0</v>
      </c>
    </row>
    <row r="1173" spans="1:29" ht="42.95" customHeight="1" x14ac:dyDescent="0.25">
      <c r="A1173" s="4" t="s">
        <v>19</v>
      </c>
      <c r="B1173" s="7" t="s">
        <v>793</v>
      </c>
      <c r="C1173" s="2" t="s">
        <v>1571</v>
      </c>
      <c r="D1173" s="7" t="s">
        <v>1160</v>
      </c>
      <c r="E1173" s="4" t="s">
        <v>829</v>
      </c>
      <c r="F1173" s="2">
        <v>4</v>
      </c>
      <c r="G1173" s="2" t="s">
        <v>1400</v>
      </c>
      <c r="H1173" s="2" t="s">
        <v>1399</v>
      </c>
      <c r="I1173" s="4" t="s">
        <v>60</v>
      </c>
      <c r="J1173" s="112">
        <f>IF($H1173&lt;&gt;"Y",0,ROUND(MIN(Dashboard!$R$24,IF(IFERROR(VLOOKUP($B1173,Dashboard!$Q$28:$S$60,2,FALSE),0)&gt;0,IFERROR(VLOOKUP($B1173,Dashboard!$Q$28:$S$60,2,FALSE),0),$Z1173*IF($U1173&lt;&gt;"",ROUND((Dashboard!$R$4/$U1173)*VLOOKUP($I1173,Dashboard!$Q$9:$R$13,2,FALSE)*IF(ISNUMBER(SEARCH("Duals",$B1173)),2,IF(ISNUMBER(SEARCH("Triples",$B1173)),3,IF(ISNUMBER(SEARCH("Quads",$B1173)),4,1))),2),ROUND(VLOOKUP($I1173,Dashboard!$Q$15:$R$20,2,FALSE)*IF($E1173="Red",Dashboard!$R$6,IF($E1173="Gold",Dashboard!$R$7,Dashboard!$R$5))*IF(ISNUMBER(SEARCH("Duals",$B1173)),2,IF(ISNUMBER(SEARCH("Triples",$B1173)),3,IF(ISNUMBER(SEARCH("Quads",$B1173)),4,1))),2))*IF(IFERROR(VLOOKUP($B1173,Dashboard!$Q$28:$S$60,3,FALSE),0)&gt;0,VLOOKUP($B1173,Dashboard!$Q$28:$S$60,3,FALSE),1))),0))</f>
        <v>0</v>
      </c>
      <c r="K1173" s="2" t="str">
        <f>IF('Base S2'!J73="","",'Base S2'!J73)</f>
        <v/>
      </c>
      <c r="L1173" s="2">
        <f t="shared" si="234"/>
        <v>0</v>
      </c>
      <c r="M1173" s="2">
        <f t="shared" si="235"/>
        <v>0</v>
      </c>
      <c r="N1173" s="2">
        <f t="shared" si="236"/>
        <v>0</v>
      </c>
      <c r="O1173" s="2">
        <f t="shared" si="237"/>
        <v>0</v>
      </c>
      <c r="P1173" s="112">
        <f t="shared" si="238"/>
        <v>0</v>
      </c>
      <c r="Q1173" s="112">
        <f t="shared" si="239"/>
        <v>0</v>
      </c>
      <c r="R1173" s="53"/>
      <c r="S1173" s="53" t="str">
        <f t="shared" si="240"/>
        <v>Base S2|Printing Plates Parallel - Season 2|172|Printing Plate</v>
      </c>
      <c r="T1173" s="57" t="str">
        <f>IF($S1173="","",IFERROR(VLOOKUP($S1173,'Pop Estimates (Non-#d)'!$N$2:$O$500,2,FALSE),""))</f>
        <v/>
      </c>
      <c r="U1173" s="57">
        <f t="shared" si="241"/>
        <v>4</v>
      </c>
      <c r="V1173" s="53" t="str">
        <f t="shared" si="242"/>
        <v/>
      </c>
      <c r="W1173" s="53" t="str">
        <f t="shared" si="243"/>
        <v/>
      </c>
      <c r="X1173" s="53" t="str">
        <f t="shared" si="244"/>
        <v/>
      </c>
      <c r="Y1173" s="57" t="str">
        <f>IF($X1173="","",IFERROR(VLOOKUP($X1173,'Char Popularity'!$A$2:$C$500,2,FALSE),""))</f>
        <v/>
      </c>
      <c r="Z1173" s="56">
        <f>IF($X1173="",1,IFERROR(VLOOKUP($X1173,'Char Popularity'!$A$2:$C$500,3,FALSE),1))</f>
        <v>1</v>
      </c>
      <c r="AA1173" s="62">
        <f>IF($H1173&lt;&gt;"Y",0,(IF($F1173&lt;&gt;"",ROUND(Dashboard!$R$4/$F1173,1),IF(AND($I1173="Base",$E1173="Base"),Dashboard!$R$5,IF(AND($I1173="Base",$E1173="Red"),Dashboard!$R$6,IF(AND($I1173="Base",$E1173="Gold"),Dashboard!$R$7,VLOOKUP($I1173,Dashboard!$Q$16:$R$21,2,FALSE)))))*VLOOKUP($I1173,Dashboard!$Q$9:$R$13,2,FALSE)*IF(AND($I1173="Auto",$F1173="",OR($B1173="Autographs Duals",$B1173="Autographs Triples",$B1173="Autographs Quads",$B1173="Autographs Quads (Inscribed)")),IF($B1173="Autographs Duals",2,IF($B1173="Autographs Triples",3,4)),1)))</f>
        <v>0</v>
      </c>
      <c r="AB1173" s="62">
        <f t="shared" si="245"/>
        <v>0</v>
      </c>
      <c r="AC1173" s="62">
        <f t="shared" si="246"/>
        <v>0</v>
      </c>
    </row>
    <row r="1174" spans="1:29" ht="42.95" customHeight="1" x14ac:dyDescent="0.25">
      <c r="A1174" s="4" t="s">
        <v>19</v>
      </c>
      <c r="B1174" s="7" t="s">
        <v>793</v>
      </c>
      <c r="C1174" s="2" t="s">
        <v>1572</v>
      </c>
      <c r="D1174" s="7" t="s">
        <v>1161</v>
      </c>
      <c r="E1174" s="4" t="s">
        <v>829</v>
      </c>
      <c r="F1174" s="2">
        <v>4</v>
      </c>
      <c r="G1174" s="2" t="s">
        <v>1400</v>
      </c>
      <c r="H1174" s="2" t="s">
        <v>1399</v>
      </c>
      <c r="I1174" s="4" t="s">
        <v>60</v>
      </c>
      <c r="J1174" s="112">
        <f>IF($H1174&lt;&gt;"Y",0,ROUND(MIN(Dashboard!$R$24,IF(IFERROR(VLOOKUP($B1174,Dashboard!$Q$28:$S$60,2,FALSE),0)&gt;0,IFERROR(VLOOKUP($B1174,Dashboard!$Q$28:$S$60,2,FALSE),0),$Z1174*IF($U1174&lt;&gt;"",ROUND((Dashboard!$R$4/$U1174)*VLOOKUP($I1174,Dashboard!$Q$9:$R$13,2,FALSE)*IF(ISNUMBER(SEARCH("Duals",$B1174)),2,IF(ISNUMBER(SEARCH("Triples",$B1174)),3,IF(ISNUMBER(SEARCH("Quads",$B1174)),4,1))),2),ROUND(VLOOKUP($I1174,Dashboard!$Q$15:$R$20,2,FALSE)*IF($E1174="Red",Dashboard!$R$6,IF($E1174="Gold",Dashboard!$R$7,Dashboard!$R$5))*IF(ISNUMBER(SEARCH("Duals",$B1174)),2,IF(ISNUMBER(SEARCH("Triples",$B1174)),3,IF(ISNUMBER(SEARCH("Quads",$B1174)),4,1))),2))*IF(IFERROR(VLOOKUP($B1174,Dashboard!$Q$28:$S$60,3,FALSE),0)&gt;0,VLOOKUP($B1174,Dashboard!$Q$28:$S$60,3,FALSE),1))),0))</f>
        <v>0</v>
      </c>
      <c r="K1174" s="2" t="str">
        <f>IF('Base S2'!J74="","",'Base S2'!J74)</f>
        <v/>
      </c>
      <c r="L1174" s="2">
        <f t="shared" si="234"/>
        <v>0</v>
      </c>
      <c r="M1174" s="2">
        <f t="shared" si="235"/>
        <v>0</v>
      </c>
      <c r="N1174" s="2">
        <f t="shared" si="236"/>
        <v>0</v>
      </c>
      <c r="O1174" s="2">
        <f t="shared" si="237"/>
        <v>0</v>
      </c>
      <c r="P1174" s="112">
        <f t="shared" si="238"/>
        <v>0</v>
      </c>
      <c r="Q1174" s="112">
        <f t="shared" si="239"/>
        <v>0</v>
      </c>
      <c r="R1174" s="53"/>
      <c r="S1174" s="53" t="str">
        <f t="shared" si="240"/>
        <v>Base S2|Printing Plates Parallel - Season 2|173|Printing Plate</v>
      </c>
      <c r="T1174" s="57" t="str">
        <f>IF($S1174="","",IFERROR(VLOOKUP($S1174,'Pop Estimates (Non-#d)'!$N$2:$O$500,2,FALSE),""))</f>
        <v/>
      </c>
      <c r="U1174" s="57">
        <f t="shared" si="241"/>
        <v>4</v>
      </c>
      <c r="V1174" s="53" t="str">
        <f t="shared" si="242"/>
        <v/>
      </c>
      <c r="W1174" s="53" t="str">
        <f t="shared" si="243"/>
        <v/>
      </c>
      <c r="X1174" s="53" t="str">
        <f t="shared" si="244"/>
        <v/>
      </c>
      <c r="Y1174" s="57" t="str">
        <f>IF($X1174="","",IFERROR(VLOOKUP($X1174,'Char Popularity'!$A$2:$C$500,2,FALSE),""))</f>
        <v/>
      </c>
      <c r="Z1174" s="56">
        <f>IF($X1174="",1,IFERROR(VLOOKUP($X1174,'Char Popularity'!$A$2:$C$500,3,FALSE),1))</f>
        <v>1</v>
      </c>
      <c r="AA1174" s="62">
        <f>IF($H1174&lt;&gt;"Y",0,(IF($F1174&lt;&gt;"",ROUND(Dashboard!$R$4/$F1174,1),IF(AND($I1174="Base",$E1174="Base"),Dashboard!$R$5,IF(AND($I1174="Base",$E1174="Red"),Dashboard!$R$6,IF(AND($I1174="Base",$E1174="Gold"),Dashboard!$R$7,VLOOKUP($I1174,Dashboard!$Q$16:$R$21,2,FALSE)))))*VLOOKUP($I1174,Dashboard!$Q$9:$R$13,2,FALSE)*IF(AND($I1174="Auto",$F1174="",OR($B1174="Autographs Duals",$B1174="Autographs Triples",$B1174="Autographs Quads",$B1174="Autographs Quads (Inscribed)")),IF($B1174="Autographs Duals",2,IF($B1174="Autographs Triples",3,4)),1)))</f>
        <v>0</v>
      </c>
      <c r="AB1174" s="62">
        <f t="shared" si="245"/>
        <v>0</v>
      </c>
      <c r="AC1174" s="62">
        <f t="shared" si="246"/>
        <v>0</v>
      </c>
    </row>
    <row r="1175" spans="1:29" ht="42.95" customHeight="1" x14ac:dyDescent="0.25">
      <c r="A1175" s="4" t="s">
        <v>19</v>
      </c>
      <c r="B1175" s="7" t="s">
        <v>793</v>
      </c>
      <c r="C1175" s="2" t="s">
        <v>1573</v>
      </c>
      <c r="D1175" s="7" t="s">
        <v>1164</v>
      </c>
      <c r="E1175" s="4" t="s">
        <v>829</v>
      </c>
      <c r="F1175" s="2">
        <v>4</v>
      </c>
      <c r="G1175" s="2" t="s">
        <v>1400</v>
      </c>
      <c r="H1175" s="2" t="s">
        <v>1399</v>
      </c>
      <c r="I1175" s="4" t="s">
        <v>60</v>
      </c>
      <c r="J1175" s="112">
        <f>IF($H1175&lt;&gt;"Y",0,ROUND(MIN(Dashboard!$R$24,IF(IFERROR(VLOOKUP($B1175,Dashboard!$Q$28:$S$60,2,FALSE),0)&gt;0,IFERROR(VLOOKUP($B1175,Dashboard!$Q$28:$S$60,2,FALSE),0),$Z1175*IF($U1175&lt;&gt;"",ROUND((Dashboard!$R$4/$U1175)*VLOOKUP($I1175,Dashboard!$Q$9:$R$13,2,FALSE)*IF(ISNUMBER(SEARCH("Duals",$B1175)),2,IF(ISNUMBER(SEARCH("Triples",$B1175)),3,IF(ISNUMBER(SEARCH("Quads",$B1175)),4,1))),2),ROUND(VLOOKUP($I1175,Dashboard!$Q$15:$R$20,2,FALSE)*IF($E1175="Red",Dashboard!$R$6,IF($E1175="Gold",Dashboard!$R$7,Dashboard!$R$5))*IF(ISNUMBER(SEARCH("Duals",$B1175)),2,IF(ISNUMBER(SEARCH("Triples",$B1175)),3,IF(ISNUMBER(SEARCH("Quads",$B1175)),4,1))),2))*IF(IFERROR(VLOOKUP($B1175,Dashboard!$Q$28:$S$60,3,FALSE),0)&gt;0,VLOOKUP($B1175,Dashboard!$Q$28:$S$60,3,FALSE),1))),0))</f>
        <v>0</v>
      </c>
      <c r="K1175" s="2" t="str">
        <f>IF('Base S2'!J75="","",'Base S2'!J75)</f>
        <v/>
      </c>
      <c r="L1175" s="2">
        <f t="shared" si="234"/>
        <v>0</v>
      </c>
      <c r="M1175" s="2">
        <f t="shared" si="235"/>
        <v>0</v>
      </c>
      <c r="N1175" s="2">
        <f t="shared" si="236"/>
        <v>0</v>
      </c>
      <c r="O1175" s="2">
        <f t="shared" si="237"/>
        <v>0</v>
      </c>
      <c r="P1175" s="112">
        <f t="shared" si="238"/>
        <v>0</v>
      </c>
      <c r="Q1175" s="112">
        <f t="shared" si="239"/>
        <v>0</v>
      </c>
      <c r="R1175" s="53"/>
      <c r="S1175" s="53" t="str">
        <f t="shared" si="240"/>
        <v>Base S2|Printing Plates Parallel - Season 2|174|Printing Plate</v>
      </c>
      <c r="T1175" s="57" t="str">
        <f>IF($S1175="","",IFERROR(VLOOKUP($S1175,'Pop Estimates (Non-#d)'!$N$2:$O$500,2,FALSE),""))</f>
        <v/>
      </c>
      <c r="U1175" s="57">
        <f t="shared" si="241"/>
        <v>4</v>
      </c>
      <c r="V1175" s="53" t="str">
        <f t="shared" si="242"/>
        <v/>
      </c>
      <c r="W1175" s="53" t="str">
        <f t="shared" si="243"/>
        <v/>
      </c>
      <c r="X1175" s="53" t="str">
        <f t="shared" si="244"/>
        <v/>
      </c>
      <c r="Y1175" s="57" t="str">
        <f>IF($X1175="","",IFERROR(VLOOKUP($X1175,'Char Popularity'!$A$2:$C$500,2,FALSE),""))</f>
        <v/>
      </c>
      <c r="Z1175" s="56">
        <f>IF($X1175="",1,IFERROR(VLOOKUP($X1175,'Char Popularity'!$A$2:$C$500,3,FALSE),1))</f>
        <v>1</v>
      </c>
      <c r="AA1175" s="62">
        <f>IF($H1175&lt;&gt;"Y",0,(IF($F1175&lt;&gt;"",ROUND(Dashboard!$R$4/$F1175,1),IF(AND($I1175="Base",$E1175="Base"),Dashboard!$R$5,IF(AND($I1175="Base",$E1175="Red"),Dashboard!$R$6,IF(AND($I1175="Base",$E1175="Gold"),Dashboard!$R$7,VLOOKUP($I1175,Dashboard!$Q$16:$R$21,2,FALSE)))))*VLOOKUP($I1175,Dashboard!$Q$9:$R$13,2,FALSE)*IF(AND($I1175="Auto",$F1175="",OR($B1175="Autographs Duals",$B1175="Autographs Triples",$B1175="Autographs Quads",$B1175="Autographs Quads (Inscribed)")),IF($B1175="Autographs Duals",2,IF($B1175="Autographs Triples",3,4)),1)))</f>
        <v>0</v>
      </c>
      <c r="AB1175" s="62">
        <f t="shared" si="245"/>
        <v>0</v>
      </c>
      <c r="AC1175" s="62">
        <f t="shared" si="246"/>
        <v>0</v>
      </c>
    </row>
    <row r="1176" spans="1:29" ht="42.95" customHeight="1" x14ac:dyDescent="0.25">
      <c r="A1176" s="4" t="s">
        <v>19</v>
      </c>
      <c r="B1176" s="7" t="s">
        <v>793</v>
      </c>
      <c r="C1176" s="2" t="s">
        <v>1574</v>
      </c>
      <c r="D1176" s="7" t="s">
        <v>1165</v>
      </c>
      <c r="E1176" s="4" t="s">
        <v>829</v>
      </c>
      <c r="F1176" s="2">
        <v>4</v>
      </c>
      <c r="G1176" s="2" t="s">
        <v>1400</v>
      </c>
      <c r="H1176" s="2" t="s">
        <v>1399</v>
      </c>
      <c r="I1176" s="4" t="s">
        <v>60</v>
      </c>
      <c r="J1176" s="112">
        <f>IF($H1176&lt;&gt;"Y",0,ROUND(MIN(Dashboard!$R$24,IF(IFERROR(VLOOKUP($B1176,Dashboard!$Q$28:$S$60,2,FALSE),0)&gt;0,IFERROR(VLOOKUP($B1176,Dashboard!$Q$28:$S$60,2,FALSE),0),$Z1176*IF($U1176&lt;&gt;"",ROUND((Dashboard!$R$4/$U1176)*VLOOKUP($I1176,Dashboard!$Q$9:$R$13,2,FALSE)*IF(ISNUMBER(SEARCH("Duals",$B1176)),2,IF(ISNUMBER(SEARCH("Triples",$B1176)),3,IF(ISNUMBER(SEARCH("Quads",$B1176)),4,1))),2),ROUND(VLOOKUP($I1176,Dashboard!$Q$15:$R$20,2,FALSE)*IF($E1176="Red",Dashboard!$R$6,IF($E1176="Gold",Dashboard!$R$7,Dashboard!$R$5))*IF(ISNUMBER(SEARCH("Duals",$B1176)),2,IF(ISNUMBER(SEARCH("Triples",$B1176)),3,IF(ISNUMBER(SEARCH("Quads",$B1176)),4,1))),2))*IF(IFERROR(VLOOKUP($B1176,Dashboard!$Q$28:$S$60,3,FALSE),0)&gt;0,VLOOKUP($B1176,Dashboard!$Q$28:$S$60,3,FALSE),1))),0))</f>
        <v>0</v>
      </c>
      <c r="K1176" s="2" t="str">
        <f>IF('Base S2'!J76="","",'Base S2'!J76)</f>
        <v/>
      </c>
      <c r="L1176" s="2">
        <f t="shared" si="234"/>
        <v>0</v>
      </c>
      <c r="M1176" s="2">
        <f t="shared" si="235"/>
        <v>0</v>
      </c>
      <c r="N1176" s="2">
        <f t="shared" si="236"/>
        <v>0</v>
      </c>
      <c r="O1176" s="2">
        <f t="shared" si="237"/>
        <v>0</v>
      </c>
      <c r="P1176" s="112">
        <f t="shared" si="238"/>
        <v>0</v>
      </c>
      <c r="Q1176" s="112">
        <f t="shared" si="239"/>
        <v>0</v>
      </c>
      <c r="R1176" s="53"/>
      <c r="S1176" s="53" t="str">
        <f t="shared" si="240"/>
        <v>Base S2|Printing Plates Parallel - Season 2|175|Printing Plate</v>
      </c>
      <c r="T1176" s="57" t="str">
        <f>IF($S1176="","",IFERROR(VLOOKUP($S1176,'Pop Estimates (Non-#d)'!$N$2:$O$500,2,FALSE),""))</f>
        <v/>
      </c>
      <c r="U1176" s="57">
        <f t="shared" si="241"/>
        <v>4</v>
      </c>
      <c r="V1176" s="53" t="str">
        <f t="shared" si="242"/>
        <v/>
      </c>
      <c r="W1176" s="53" t="str">
        <f t="shared" si="243"/>
        <v/>
      </c>
      <c r="X1176" s="53" t="str">
        <f t="shared" si="244"/>
        <v/>
      </c>
      <c r="Y1176" s="57" t="str">
        <f>IF($X1176="","",IFERROR(VLOOKUP($X1176,'Char Popularity'!$A$2:$C$500,2,FALSE),""))</f>
        <v/>
      </c>
      <c r="Z1176" s="56">
        <f>IF($X1176="",1,IFERROR(VLOOKUP($X1176,'Char Popularity'!$A$2:$C$500,3,FALSE),1))</f>
        <v>1</v>
      </c>
      <c r="AA1176" s="62">
        <f>IF($H1176&lt;&gt;"Y",0,(IF($F1176&lt;&gt;"",ROUND(Dashboard!$R$4/$F1176,1),IF(AND($I1176="Base",$E1176="Base"),Dashboard!$R$5,IF(AND($I1176="Base",$E1176="Red"),Dashboard!$R$6,IF(AND($I1176="Base",$E1176="Gold"),Dashboard!$R$7,VLOOKUP($I1176,Dashboard!$Q$16:$R$21,2,FALSE)))))*VLOOKUP($I1176,Dashboard!$Q$9:$R$13,2,FALSE)*IF(AND($I1176="Auto",$F1176="",OR($B1176="Autographs Duals",$B1176="Autographs Triples",$B1176="Autographs Quads",$B1176="Autographs Quads (Inscribed)")),IF($B1176="Autographs Duals",2,IF($B1176="Autographs Triples",3,4)),1)))</f>
        <v>0</v>
      </c>
      <c r="AB1176" s="62">
        <f t="shared" si="245"/>
        <v>0</v>
      </c>
      <c r="AC1176" s="62">
        <f t="shared" si="246"/>
        <v>0</v>
      </c>
    </row>
    <row r="1177" spans="1:29" ht="42.95" customHeight="1" x14ac:dyDescent="0.25">
      <c r="A1177" s="4" t="s">
        <v>19</v>
      </c>
      <c r="B1177" s="7" t="s">
        <v>793</v>
      </c>
      <c r="C1177" s="2" t="s">
        <v>1575</v>
      </c>
      <c r="D1177" s="7" t="s">
        <v>1167</v>
      </c>
      <c r="E1177" s="4" t="s">
        <v>829</v>
      </c>
      <c r="F1177" s="2">
        <v>4</v>
      </c>
      <c r="G1177" s="2" t="s">
        <v>1400</v>
      </c>
      <c r="H1177" s="2" t="s">
        <v>1399</v>
      </c>
      <c r="I1177" s="4" t="s">
        <v>60</v>
      </c>
      <c r="J1177" s="112">
        <f>IF($H1177&lt;&gt;"Y",0,ROUND(MIN(Dashboard!$R$24,IF(IFERROR(VLOOKUP($B1177,Dashboard!$Q$28:$S$60,2,FALSE),0)&gt;0,IFERROR(VLOOKUP($B1177,Dashboard!$Q$28:$S$60,2,FALSE),0),$Z1177*IF($U1177&lt;&gt;"",ROUND((Dashboard!$R$4/$U1177)*VLOOKUP($I1177,Dashboard!$Q$9:$R$13,2,FALSE)*IF(ISNUMBER(SEARCH("Duals",$B1177)),2,IF(ISNUMBER(SEARCH("Triples",$B1177)),3,IF(ISNUMBER(SEARCH("Quads",$B1177)),4,1))),2),ROUND(VLOOKUP($I1177,Dashboard!$Q$15:$R$20,2,FALSE)*IF($E1177="Red",Dashboard!$R$6,IF($E1177="Gold",Dashboard!$R$7,Dashboard!$R$5))*IF(ISNUMBER(SEARCH("Duals",$B1177)),2,IF(ISNUMBER(SEARCH("Triples",$B1177)),3,IF(ISNUMBER(SEARCH("Quads",$B1177)),4,1))),2))*IF(IFERROR(VLOOKUP($B1177,Dashboard!$Q$28:$S$60,3,FALSE),0)&gt;0,VLOOKUP($B1177,Dashboard!$Q$28:$S$60,3,FALSE),1))),0))</f>
        <v>0</v>
      </c>
      <c r="K1177" s="2" t="str">
        <f>IF('Base S2'!J77="","",'Base S2'!J77)</f>
        <v/>
      </c>
      <c r="L1177" s="2">
        <f t="shared" si="234"/>
        <v>0</v>
      </c>
      <c r="M1177" s="2">
        <f t="shared" si="235"/>
        <v>0</v>
      </c>
      <c r="N1177" s="2">
        <f t="shared" si="236"/>
        <v>0</v>
      </c>
      <c r="O1177" s="2">
        <f t="shared" si="237"/>
        <v>0</v>
      </c>
      <c r="P1177" s="112">
        <f t="shared" si="238"/>
        <v>0</v>
      </c>
      <c r="Q1177" s="112">
        <f t="shared" si="239"/>
        <v>0</v>
      </c>
      <c r="R1177" s="53"/>
      <c r="S1177" s="53" t="str">
        <f t="shared" si="240"/>
        <v>Base S2|Printing Plates Parallel - Season 2|176|Printing Plate</v>
      </c>
      <c r="T1177" s="57" t="str">
        <f>IF($S1177="","",IFERROR(VLOOKUP($S1177,'Pop Estimates (Non-#d)'!$N$2:$O$500,2,FALSE),""))</f>
        <v/>
      </c>
      <c r="U1177" s="57">
        <f t="shared" si="241"/>
        <v>4</v>
      </c>
      <c r="V1177" s="53" t="str">
        <f t="shared" si="242"/>
        <v/>
      </c>
      <c r="W1177" s="53" t="str">
        <f t="shared" si="243"/>
        <v/>
      </c>
      <c r="X1177" s="53" t="str">
        <f t="shared" si="244"/>
        <v/>
      </c>
      <c r="Y1177" s="57" t="str">
        <f>IF($X1177="","",IFERROR(VLOOKUP($X1177,'Char Popularity'!$A$2:$C$500,2,FALSE),""))</f>
        <v/>
      </c>
      <c r="Z1177" s="56">
        <f>IF($X1177="",1,IFERROR(VLOOKUP($X1177,'Char Popularity'!$A$2:$C$500,3,FALSE),1))</f>
        <v>1</v>
      </c>
      <c r="AA1177" s="62">
        <f>IF($H1177&lt;&gt;"Y",0,(IF($F1177&lt;&gt;"",ROUND(Dashboard!$R$4/$F1177,1),IF(AND($I1177="Base",$E1177="Base"),Dashboard!$R$5,IF(AND($I1177="Base",$E1177="Red"),Dashboard!$R$6,IF(AND($I1177="Base",$E1177="Gold"),Dashboard!$R$7,VLOOKUP($I1177,Dashboard!$Q$16:$R$21,2,FALSE)))))*VLOOKUP($I1177,Dashboard!$Q$9:$R$13,2,FALSE)*IF(AND($I1177="Auto",$F1177="",OR($B1177="Autographs Duals",$B1177="Autographs Triples",$B1177="Autographs Quads",$B1177="Autographs Quads (Inscribed)")),IF($B1177="Autographs Duals",2,IF($B1177="Autographs Triples",3,4)),1)))</f>
        <v>0</v>
      </c>
      <c r="AB1177" s="62">
        <f t="shared" si="245"/>
        <v>0</v>
      </c>
      <c r="AC1177" s="62">
        <f t="shared" si="246"/>
        <v>0</v>
      </c>
    </row>
    <row r="1178" spans="1:29" ht="42.95" customHeight="1" x14ac:dyDescent="0.25">
      <c r="A1178" s="4" t="s">
        <v>19</v>
      </c>
      <c r="B1178" s="7" t="s">
        <v>793</v>
      </c>
      <c r="C1178" s="2" t="s">
        <v>1576</v>
      </c>
      <c r="D1178" s="7" t="s">
        <v>1168</v>
      </c>
      <c r="E1178" s="4" t="s">
        <v>829</v>
      </c>
      <c r="F1178" s="2">
        <v>4</v>
      </c>
      <c r="G1178" s="2" t="s">
        <v>1400</v>
      </c>
      <c r="H1178" s="2" t="s">
        <v>1399</v>
      </c>
      <c r="I1178" s="4" t="s">
        <v>60</v>
      </c>
      <c r="J1178" s="112">
        <f>IF($H1178&lt;&gt;"Y",0,ROUND(MIN(Dashboard!$R$24,IF(IFERROR(VLOOKUP($B1178,Dashboard!$Q$28:$S$60,2,FALSE),0)&gt;0,IFERROR(VLOOKUP($B1178,Dashboard!$Q$28:$S$60,2,FALSE),0),$Z1178*IF($U1178&lt;&gt;"",ROUND((Dashboard!$R$4/$U1178)*VLOOKUP($I1178,Dashboard!$Q$9:$R$13,2,FALSE)*IF(ISNUMBER(SEARCH("Duals",$B1178)),2,IF(ISNUMBER(SEARCH("Triples",$B1178)),3,IF(ISNUMBER(SEARCH("Quads",$B1178)),4,1))),2),ROUND(VLOOKUP($I1178,Dashboard!$Q$15:$R$20,2,FALSE)*IF($E1178="Red",Dashboard!$R$6,IF($E1178="Gold",Dashboard!$R$7,Dashboard!$R$5))*IF(ISNUMBER(SEARCH("Duals",$B1178)),2,IF(ISNUMBER(SEARCH("Triples",$B1178)),3,IF(ISNUMBER(SEARCH("Quads",$B1178)),4,1))),2))*IF(IFERROR(VLOOKUP($B1178,Dashboard!$Q$28:$S$60,3,FALSE),0)&gt;0,VLOOKUP($B1178,Dashboard!$Q$28:$S$60,3,FALSE),1))),0))</f>
        <v>0</v>
      </c>
      <c r="K1178" s="2" t="str">
        <f>IF('Base S2'!J78="","",'Base S2'!J78)</f>
        <v/>
      </c>
      <c r="L1178" s="2">
        <f t="shared" si="234"/>
        <v>0</v>
      </c>
      <c r="M1178" s="2">
        <f t="shared" si="235"/>
        <v>0</v>
      </c>
      <c r="N1178" s="2">
        <f t="shared" si="236"/>
        <v>0</v>
      </c>
      <c r="O1178" s="2">
        <f t="shared" si="237"/>
        <v>0</v>
      </c>
      <c r="P1178" s="112">
        <f t="shared" si="238"/>
        <v>0</v>
      </c>
      <c r="Q1178" s="112">
        <f t="shared" si="239"/>
        <v>0</v>
      </c>
      <c r="R1178" s="53"/>
      <c r="S1178" s="53" t="str">
        <f t="shared" si="240"/>
        <v>Base S2|Printing Plates Parallel - Season 2|177|Printing Plate</v>
      </c>
      <c r="T1178" s="57" t="str">
        <f>IF($S1178="","",IFERROR(VLOOKUP($S1178,'Pop Estimates (Non-#d)'!$N$2:$O$500,2,FALSE),""))</f>
        <v/>
      </c>
      <c r="U1178" s="57">
        <f t="shared" si="241"/>
        <v>4</v>
      </c>
      <c r="V1178" s="53" t="str">
        <f t="shared" si="242"/>
        <v/>
      </c>
      <c r="W1178" s="53" t="str">
        <f t="shared" si="243"/>
        <v/>
      </c>
      <c r="X1178" s="53" t="str">
        <f t="shared" si="244"/>
        <v/>
      </c>
      <c r="Y1178" s="57" t="str">
        <f>IF($X1178="","",IFERROR(VLOOKUP($X1178,'Char Popularity'!$A$2:$C$500,2,FALSE),""))</f>
        <v/>
      </c>
      <c r="Z1178" s="56">
        <f>IF($X1178="",1,IFERROR(VLOOKUP($X1178,'Char Popularity'!$A$2:$C$500,3,FALSE),1))</f>
        <v>1</v>
      </c>
      <c r="AA1178" s="62">
        <f>IF($H1178&lt;&gt;"Y",0,(IF($F1178&lt;&gt;"",ROUND(Dashboard!$R$4/$F1178,1),IF(AND($I1178="Base",$E1178="Base"),Dashboard!$R$5,IF(AND($I1178="Base",$E1178="Red"),Dashboard!$R$6,IF(AND($I1178="Base",$E1178="Gold"),Dashboard!$R$7,VLOOKUP($I1178,Dashboard!$Q$16:$R$21,2,FALSE)))))*VLOOKUP($I1178,Dashboard!$Q$9:$R$13,2,FALSE)*IF(AND($I1178="Auto",$F1178="",OR($B1178="Autographs Duals",$B1178="Autographs Triples",$B1178="Autographs Quads",$B1178="Autographs Quads (Inscribed)")),IF($B1178="Autographs Duals",2,IF($B1178="Autographs Triples",3,4)),1)))</f>
        <v>0</v>
      </c>
      <c r="AB1178" s="62">
        <f t="shared" si="245"/>
        <v>0</v>
      </c>
      <c r="AC1178" s="62">
        <f t="shared" si="246"/>
        <v>0</v>
      </c>
    </row>
    <row r="1179" spans="1:29" ht="42.95" customHeight="1" x14ac:dyDescent="0.25">
      <c r="A1179" s="4" t="s">
        <v>19</v>
      </c>
      <c r="B1179" s="7" t="s">
        <v>793</v>
      </c>
      <c r="C1179" s="2" t="s">
        <v>1577</v>
      </c>
      <c r="D1179" s="7" t="s">
        <v>1169</v>
      </c>
      <c r="E1179" s="4" t="s">
        <v>829</v>
      </c>
      <c r="F1179" s="2">
        <v>4</v>
      </c>
      <c r="G1179" s="2" t="s">
        <v>1400</v>
      </c>
      <c r="H1179" s="2" t="s">
        <v>1399</v>
      </c>
      <c r="I1179" s="4" t="s">
        <v>60</v>
      </c>
      <c r="J1179" s="112">
        <f>IF($H1179&lt;&gt;"Y",0,ROUND(MIN(Dashboard!$R$24,IF(IFERROR(VLOOKUP($B1179,Dashboard!$Q$28:$S$60,2,FALSE),0)&gt;0,IFERROR(VLOOKUP($B1179,Dashboard!$Q$28:$S$60,2,FALSE),0),$Z1179*IF($U1179&lt;&gt;"",ROUND((Dashboard!$R$4/$U1179)*VLOOKUP($I1179,Dashboard!$Q$9:$R$13,2,FALSE)*IF(ISNUMBER(SEARCH("Duals",$B1179)),2,IF(ISNUMBER(SEARCH("Triples",$B1179)),3,IF(ISNUMBER(SEARCH("Quads",$B1179)),4,1))),2),ROUND(VLOOKUP($I1179,Dashboard!$Q$15:$R$20,2,FALSE)*IF($E1179="Red",Dashboard!$R$6,IF($E1179="Gold",Dashboard!$R$7,Dashboard!$R$5))*IF(ISNUMBER(SEARCH("Duals",$B1179)),2,IF(ISNUMBER(SEARCH("Triples",$B1179)),3,IF(ISNUMBER(SEARCH("Quads",$B1179)),4,1))),2))*IF(IFERROR(VLOOKUP($B1179,Dashboard!$Q$28:$S$60,3,FALSE),0)&gt;0,VLOOKUP($B1179,Dashboard!$Q$28:$S$60,3,FALSE),1))),0))</f>
        <v>0</v>
      </c>
      <c r="K1179" s="2" t="str">
        <f>IF('Base S2'!J79="","",'Base S2'!J79)</f>
        <v/>
      </c>
      <c r="L1179" s="2">
        <f t="shared" si="234"/>
        <v>0</v>
      </c>
      <c r="M1179" s="2">
        <f t="shared" si="235"/>
        <v>0</v>
      </c>
      <c r="N1179" s="2">
        <f t="shared" si="236"/>
        <v>0</v>
      </c>
      <c r="O1179" s="2">
        <f t="shared" si="237"/>
        <v>0</v>
      </c>
      <c r="P1179" s="112">
        <f t="shared" si="238"/>
        <v>0</v>
      </c>
      <c r="Q1179" s="112">
        <f t="shared" si="239"/>
        <v>0</v>
      </c>
      <c r="R1179" s="53"/>
      <c r="S1179" s="53" t="str">
        <f t="shared" si="240"/>
        <v>Base S2|Printing Plates Parallel - Season 2|178|Printing Plate</v>
      </c>
      <c r="T1179" s="57" t="str">
        <f>IF($S1179="","",IFERROR(VLOOKUP($S1179,'Pop Estimates (Non-#d)'!$N$2:$O$500,2,FALSE),""))</f>
        <v/>
      </c>
      <c r="U1179" s="57">
        <f t="shared" si="241"/>
        <v>4</v>
      </c>
      <c r="V1179" s="53" t="str">
        <f t="shared" si="242"/>
        <v/>
      </c>
      <c r="W1179" s="53" t="str">
        <f t="shared" si="243"/>
        <v/>
      </c>
      <c r="X1179" s="53" t="str">
        <f t="shared" si="244"/>
        <v/>
      </c>
      <c r="Y1179" s="57" t="str">
        <f>IF($X1179="","",IFERROR(VLOOKUP($X1179,'Char Popularity'!$A$2:$C$500,2,FALSE),""))</f>
        <v/>
      </c>
      <c r="Z1179" s="56">
        <f>IF($X1179="",1,IFERROR(VLOOKUP($X1179,'Char Popularity'!$A$2:$C$500,3,FALSE),1))</f>
        <v>1</v>
      </c>
      <c r="AA1179" s="62">
        <f>IF($H1179&lt;&gt;"Y",0,(IF($F1179&lt;&gt;"",ROUND(Dashboard!$R$4/$F1179,1),IF(AND($I1179="Base",$E1179="Base"),Dashboard!$R$5,IF(AND($I1179="Base",$E1179="Red"),Dashboard!$R$6,IF(AND($I1179="Base",$E1179="Gold"),Dashboard!$R$7,VLOOKUP($I1179,Dashboard!$Q$16:$R$21,2,FALSE)))))*VLOOKUP($I1179,Dashboard!$Q$9:$R$13,2,FALSE)*IF(AND($I1179="Auto",$F1179="",OR($B1179="Autographs Duals",$B1179="Autographs Triples",$B1179="Autographs Quads",$B1179="Autographs Quads (Inscribed)")),IF($B1179="Autographs Duals",2,IF($B1179="Autographs Triples",3,4)),1)))</f>
        <v>0</v>
      </c>
      <c r="AB1179" s="62">
        <f t="shared" si="245"/>
        <v>0</v>
      </c>
      <c r="AC1179" s="62">
        <f t="shared" si="246"/>
        <v>0</v>
      </c>
    </row>
    <row r="1180" spans="1:29" ht="42.95" customHeight="1" x14ac:dyDescent="0.25">
      <c r="A1180" s="4" t="s">
        <v>19</v>
      </c>
      <c r="B1180" s="7" t="s">
        <v>793</v>
      </c>
      <c r="C1180" s="2" t="s">
        <v>1578</v>
      </c>
      <c r="D1180" s="7" t="s">
        <v>1170</v>
      </c>
      <c r="E1180" s="4" t="s">
        <v>829</v>
      </c>
      <c r="F1180" s="2">
        <v>4</v>
      </c>
      <c r="G1180" s="2" t="s">
        <v>1400</v>
      </c>
      <c r="H1180" s="2" t="s">
        <v>1399</v>
      </c>
      <c r="I1180" s="4" t="s">
        <v>60</v>
      </c>
      <c r="J1180" s="112">
        <f>IF($H1180&lt;&gt;"Y",0,ROUND(MIN(Dashboard!$R$24,IF(IFERROR(VLOOKUP($B1180,Dashboard!$Q$28:$S$60,2,FALSE),0)&gt;0,IFERROR(VLOOKUP($B1180,Dashboard!$Q$28:$S$60,2,FALSE),0),$Z1180*IF($U1180&lt;&gt;"",ROUND((Dashboard!$R$4/$U1180)*VLOOKUP($I1180,Dashboard!$Q$9:$R$13,2,FALSE)*IF(ISNUMBER(SEARCH("Duals",$B1180)),2,IF(ISNUMBER(SEARCH("Triples",$B1180)),3,IF(ISNUMBER(SEARCH("Quads",$B1180)),4,1))),2),ROUND(VLOOKUP($I1180,Dashboard!$Q$15:$R$20,2,FALSE)*IF($E1180="Red",Dashboard!$R$6,IF($E1180="Gold",Dashboard!$R$7,Dashboard!$R$5))*IF(ISNUMBER(SEARCH("Duals",$B1180)),2,IF(ISNUMBER(SEARCH("Triples",$B1180)),3,IF(ISNUMBER(SEARCH("Quads",$B1180)),4,1))),2))*IF(IFERROR(VLOOKUP($B1180,Dashboard!$Q$28:$S$60,3,FALSE),0)&gt;0,VLOOKUP($B1180,Dashboard!$Q$28:$S$60,3,FALSE),1))),0))</f>
        <v>0</v>
      </c>
      <c r="K1180" s="2" t="str">
        <f>IF('Base S2'!J80="","",'Base S2'!J80)</f>
        <v/>
      </c>
      <c r="L1180" s="2">
        <f t="shared" si="234"/>
        <v>0</v>
      </c>
      <c r="M1180" s="2">
        <f t="shared" si="235"/>
        <v>0</v>
      </c>
      <c r="N1180" s="2">
        <f t="shared" si="236"/>
        <v>0</v>
      </c>
      <c r="O1180" s="2">
        <f t="shared" si="237"/>
        <v>0</v>
      </c>
      <c r="P1180" s="112">
        <f t="shared" si="238"/>
        <v>0</v>
      </c>
      <c r="Q1180" s="112">
        <f t="shared" si="239"/>
        <v>0</v>
      </c>
      <c r="R1180" s="53"/>
      <c r="S1180" s="53" t="str">
        <f t="shared" si="240"/>
        <v>Base S2|Printing Plates Parallel - Season 2|179|Printing Plate</v>
      </c>
      <c r="T1180" s="57" t="str">
        <f>IF($S1180="","",IFERROR(VLOOKUP($S1180,'Pop Estimates (Non-#d)'!$N$2:$O$500,2,FALSE),""))</f>
        <v/>
      </c>
      <c r="U1180" s="57">
        <f t="shared" si="241"/>
        <v>4</v>
      </c>
      <c r="V1180" s="53" t="str">
        <f t="shared" si="242"/>
        <v/>
      </c>
      <c r="W1180" s="53" t="str">
        <f t="shared" si="243"/>
        <v/>
      </c>
      <c r="X1180" s="53" t="str">
        <f t="shared" si="244"/>
        <v/>
      </c>
      <c r="Y1180" s="57" t="str">
        <f>IF($X1180="","",IFERROR(VLOOKUP($X1180,'Char Popularity'!$A$2:$C$500,2,FALSE),""))</f>
        <v/>
      </c>
      <c r="Z1180" s="56">
        <f>IF($X1180="",1,IFERROR(VLOOKUP($X1180,'Char Popularity'!$A$2:$C$500,3,FALSE),1))</f>
        <v>1</v>
      </c>
      <c r="AA1180" s="62">
        <f>IF($H1180&lt;&gt;"Y",0,(IF($F1180&lt;&gt;"",ROUND(Dashboard!$R$4/$F1180,1),IF(AND($I1180="Base",$E1180="Base"),Dashboard!$R$5,IF(AND($I1180="Base",$E1180="Red"),Dashboard!$R$6,IF(AND($I1180="Base",$E1180="Gold"),Dashboard!$R$7,VLOOKUP($I1180,Dashboard!$Q$16:$R$21,2,FALSE)))))*VLOOKUP($I1180,Dashboard!$Q$9:$R$13,2,FALSE)*IF(AND($I1180="Auto",$F1180="",OR($B1180="Autographs Duals",$B1180="Autographs Triples",$B1180="Autographs Quads",$B1180="Autographs Quads (Inscribed)")),IF($B1180="Autographs Duals",2,IF($B1180="Autographs Triples",3,4)),1)))</f>
        <v>0</v>
      </c>
      <c r="AB1180" s="62">
        <f t="shared" si="245"/>
        <v>0</v>
      </c>
      <c r="AC1180" s="62">
        <f t="shared" si="246"/>
        <v>0</v>
      </c>
    </row>
    <row r="1181" spans="1:29" ht="42.95" customHeight="1" x14ac:dyDescent="0.25">
      <c r="A1181" s="4" t="s">
        <v>19</v>
      </c>
      <c r="B1181" s="7" t="s">
        <v>793</v>
      </c>
      <c r="C1181" s="2" t="s">
        <v>1579</v>
      </c>
      <c r="D1181" s="7" t="s">
        <v>1172</v>
      </c>
      <c r="E1181" s="4" t="s">
        <v>829</v>
      </c>
      <c r="F1181" s="2">
        <v>4</v>
      </c>
      <c r="G1181" s="2" t="s">
        <v>1400</v>
      </c>
      <c r="H1181" s="2" t="s">
        <v>1399</v>
      </c>
      <c r="I1181" s="4" t="s">
        <v>60</v>
      </c>
      <c r="J1181" s="112">
        <f>IF($H1181&lt;&gt;"Y",0,ROUND(MIN(Dashboard!$R$24,IF(IFERROR(VLOOKUP($B1181,Dashboard!$Q$28:$S$60,2,FALSE),0)&gt;0,IFERROR(VLOOKUP($B1181,Dashboard!$Q$28:$S$60,2,FALSE),0),$Z1181*IF($U1181&lt;&gt;"",ROUND((Dashboard!$R$4/$U1181)*VLOOKUP($I1181,Dashboard!$Q$9:$R$13,2,FALSE)*IF(ISNUMBER(SEARCH("Duals",$B1181)),2,IF(ISNUMBER(SEARCH("Triples",$B1181)),3,IF(ISNUMBER(SEARCH("Quads",$B1181)),4,1))),2),ROUND(VLOOKUP($I1181,Dashboard!$Q$15:$R$20,2,FALSE)*IF($E1181="Red",Dashboard!$R$6,IF($E1181="Gold",Dashboard!$R$7,Dashboard!$R$5))*IF(ISNUMBER(SEARCH("Duals",$B1181)),2,IF(ISNUMBER(SEARCH("Triples",$B1181)),3,IF(ISNUMBER(SEARCH("Quads",$B1181)),4,1))),2))*IF(IFERROR(VLOOKUP($B1181,Dashboard!$Q$28:$S$60,3,FALSE),0)&gt;0,VLOOKUP($B1181,Dashboard!$Q$28:$S$60,3,FALSE),1))),0))</f>
        <v>0</v>
      </c>
      <c r="K1181" s="2" t="str">
        <f>IF('Base S2'!J81="","",'Base S2'!J81)</f>
        <v/>
      </c>
      <c r="L1181" s="2">
        <f t="shared" si="234"/>
        <v>0</v>
      </c>
      <c r="M1181" s="2">
        <f t="shared" si="235"/>
        <v>0</v>
      </c>
      <c r="N1181" s="2">
        <f t="shared" si="236"/>
        <v>0</v>
      </c>
      <c r="O1181" s="2">
        <f t="shared" si="237"/>
        <v>0</v>
      </c>
      <c r="P1181" s="112">
        <f t="shared" si="238"/>
        <v>0</v>
      </c>
      <c r="Q1181" s="112">
        <f t="shared" si="239"/>
        <v>0</v>
      </c>
      <c r="R1181" s="53"/>
      <c r="S1181" s="53" t="str">
        <f t="shared" si="240"/>
        <v>Base S2|Printing Plates Parallel - Season 2|180|Printing Plate</v>
      </c>
      <c r="T1181" s="57" t="str">
        <f>IF($S1181="","",IFERROR(VLOOKUP($S1181,'Pop Estimates (Non-#d)'!$N$2:$O$500,2,FALSE),""))</f>
        <v/>
      </c>
      <c r="U1181" s="57">
        <f t="shared" si="241"/>
        <v>4</v>
      </c>
      <c r="V1181" s="53" t="str">
        <f t="shared" si="242"/>
        <v/>
      </c>
      <c r="W1181" s="53" t="str">
        <f t="shared" si="243"/>
        <v/>
      </c>
      <c r="X1181" s="53" t="str">
        <f t="shared" si="244"/>
        <v/>
      </c>
      <c r="Y1181" s="57" t="str">
        <f>IF($X1181="","",IFERROR(VLOOKUP($X1181,'Char Popularity'!$A$2:$C$500,2,FALSE),""))</f>
        <v/>
      </c>
      <c r="Z1181" s="56">
        <f>IF($X1181="",1,IFERROR(VLOOKUP($X1181,'Char Popularity'!$A$2:$C$500,3,FALSE),1))</f>
        <v>1</v>
      </c>
      <c r="AA1181" s="62">
        <f>IF($H1181&lt;&gt;"Y",0,(IF($F1181&lt;&gt;"",ROUND(Dashboard!$R$4/$F1181,1),IF(AND($I1181="Base",$E1181="Base"),Dashboard!$R$5,IF(AND($I1181="Base",$E1181="Red"),Dashboard!$R$6,IF(AND($I1181="Base",$E1181="Gold"),Dashboard!$R$7,VLOOKUP($I1181,Dashboard!$Q$16:$R$21,2,FALSE)))))*VLOOKUP($I1181,Dashboard!$Q$9:$R$13,2,FALSE)*IF(AND($I1181="Auto",$F1181="",OR($B1181="Autographs Duals",$B1181="Autographs Triples",$B1181="Autographs Quads",$B1181="Autographs Quads (Inscribed)")),IF($B1181="Autographs Duals",2,IF($B1181="Autographs Triples",3,4)),1)))</f>
        <v>0</v>
      </c>
      <c r="AB1181" s="62">
        <f t="shared" si="245"/>
        <v>0</v>
      </c>
      <c r="AC1181" s="62">
        <f t="shared" si="246"/>
        <v>0</v>
      </c>
    </row>
    <row r="1182" spans="1:29" ht="42.95" customHeight="1" x14ac:dyDescent="0.25">
      <c r="A1182" s="4" t="s">
        <v>19</v>
      </c>
      <c r="B1182" s="7" t="s">
        <v>793</v>
      </c>
      <c r="C1182" s="2" t="s">
        <v>1580</v>
      </c>
      <c r="D1182" s="7" t="s">
        <v>1173</v>
      </c>
      <c r="E1182" s="4" t="s">
        <v>829</v>
      </c>
      <c r="F1182" s="2">
        <v>4</v>
      </c>
      <c r="G1182" s="2" t="s">
        <v>1400</v>
      </c>
      <c r="H1182" s="2" t="s">
        <v>1399</v>
      </c>
      <c r="I1182" s="4" t="s">
        <v>60</v>
      </c>
      <c r="J1182" s="112">
        <f>IF($H1182&lt;&gt;"Y",0,ROUND(MIN(Dashboard!$R$24,IF(IFERROR(VLOOKUP($B1182,Dashboard!$Q$28:$S$60,2,FALSE),0)&gt;0,IFERROR(VLOOKUP($B1182,Dashboard!$Q$28:$S$60,2,FALSE),0),$Z1182*IF($U1182&lt;&gt;"",ROUND((Dashboard!$R$4/$U1182)*VLOOKUP($I1182,Dashboard!$Q$9:$R$13,2,FALSE)*IF(ISNUMBER(SEARCH("Duals",$B1182)),2,IF(ISNUMBER(SEARCH("Triples",$B1182)),3,IF(ISNUMBER(SEARCH("Quads",$B1182)),4,1))),2),ROUND(VLOOKUP($I1182,Dashboard!$Q$15:$R$20,2,FALSE)*IF($E1182="Red",Dashboard!$R$6,IF($E1182="Gold",Dashboard!$R$7,Dashboard!$R$5))*IF(ISNUMBER(SEARCH("Duals",$B1182)),2,IF(ISNUMBER(SEARCH("Triples",$B1182)),3,IF(ISNUMBER(SEARCH("Quads",$B1182)),4,1))),2))*IF(IFERROR(VLOOKUP($B1182,Dashboard!$Q$28:$S$60,3,FALSE),0)&gt;0,VLOOKUP($B1182,Dashboard!$Q$28:$S$60,3,FALSE),1))),0))</f>
        <v>0</v>
      </c>
      <c r="K1182" s="2" t="str">
        <f>IF('Base S2'!J82="","",'Base S2'!J82)</f>
        <v/>
      </c>
      <c r="L1182" s="2">
        <f t="shared" si="234"/>
        <v>0</v>
      </c>
      <c r="M1182" s="2">
        <f t="shared" si="235"/>
        <v>0</v>
      </c>
      <c r="N1182" s="2">
        <f t="shared" si="236"/>
        <v>0</v>
      </c>
      <c r="O1182" s="2">
        <f t="shared" si="237"/>
        <v>0</v>
      </c>
      <c r="P1182" s="112">
        <f t="shared" si="238"/>
        <v>0</v>
      </c>
      <c r="Q1182" s="112">
        <f t="shared" si="239"/>
        <v>0</v>
      </c>
      <c r="R1182" s="53"/>
      <c r="S1182" s="53" t="str">
        <f t="shared" si="240"/>
        <v>Base S2|Printing Plates Parallel - Season 2|181|Printing Plate</v>
      </c>
      <c r="T1182" s="57" t="str">
        <f>IF($S1182="","",IFERROR(VLOOKUP($S1182,'Pop Estimates (Non-#d)'!$N$2:$O$500,2,FALSE),""))</f>
        <v/>
      </c>
      <c r="U1182" s="57">
        <f t="shared" si="241"/>
        <v>4</v>
      </c>
      <c r="V1182" s="53" t="str">
        <f t="shared" si="242"/>
        <v/>
      </c>
      <c r="W1182" s="53" t="str">
        <f t="shared" si="243"/>
        <v/>
      </c>
      <c r="X1182" s="53" t="str">
        <f t="shared" si="244"/>
        <v/>
      </c>
      <c r="Y1182" s="57" t="str">
        <f>IF($X1182="","",IFERROR(VLOOKUP($X1182,'Char Popularity'!$A$2:$C$500,2,FALSE),""))</f>
        <v/>
      </c>
      <c r="Z1182" s="56">
        <f>IF($X1182="",1,IFERROR(VLOOKUP($X1182,'Char Popularity'!$A$2:$C$500,3,FALSE),1))</f>
        <v>1</v>
      </c>
      <c r="AA1182" s="62">
        <f>IF($H1182&lt;&gt;"Y",0,(IF($F1182&lt;&gt;"",ROUND(Dashboard!$R$4/$F1182,1),IF(AND($I1182="Base",$E1182="Base"),Dashboard!$R$5,IF(AND($I1182="Base",$E1182="Red"),Dashboard!$R$6,IF(AND($I1182="Base",$E1182="Gold"),Dashboard!$R$7,VLOOKUP($I1182,Dashboard!$Q$16:$R$21,2,FALSE)))))*VLOOKUP($I1182,Dashboard!$Q$9:$R$13,2,FALSE)*IF(AND($I1182="Auto",$F1182="",OR($B1182="Autographs Duals",$B1182="Autographs Triples",$B1182="Autographs Quads",$B1182="Autographs Quads (Inscribed)")),IF($B1182="Autographs Duals",2,IF($B1182="Autographs Triples",3,4)),1)))</f>
        <v>0</v>
      </c>
      <c r="AB1182" s="62">
        <f t="shared" si="245"/>
        <v>0</v>
      </c>
      <c r="AC1182" s="62">
        <f t="shared" si="246"/>
        <v>0</v>
      </c>
    </row>
    <row r="1183" spans="1:29" ht="42.95" customHeight="1" x14ac:dyDescent="0.25">
      <c r="A1183" s="4" t="s">
        <v>19</v>
      </c>
      <c r="B1183" s="7" t="s">
        <v>793</v>
      </c>
      <c r="C1183" s="2" t="s">
        <v>1581</v>
      </c>
      <c r="D1183" s="7" t="s">
        <v>1174</v>
      </c>
      <c r="E1183" s="4" t="s">
        <v>829</v>
      </c>
      <c r="F1183" s="2">
        <v>4</v>
      </c>
      <c r="G1183" s="2" t="s">
        <v>1400</v>
      </c>
      <c r="H1183" s="2" t="s">
        <v>1399</v>
      </c>
      <c r="I1183" s="4" t="s">
        <v>60</v>
      </c>
      <c r="J1183" s="112">
        <f>IF($H1183&lt;&gt;"Y",0,ROUND(MIN(Dashboard!$R$24,IF(IFERROR(VLOOKUP($B1183,Dashboard!$Q$28:$S$60,2,FALSE),0)&gt;0,IFERROR(VLOOKUP($B1183,Dashboard!$Q$28:$S$60,2,FALSE),0),$Z1183*IF($U1183&lt;&gt;"",ROUND((Dashboard!$R$4/$U1183)*VLOOKUP($I1183,Dashboard!$Q$9:$R$13,2,FALSE)*IF(ISNUMBER(SEARCH("Duals",$B1183)),2,IF(ISNUMBER(SEARCH("Triples",$B1183)),3,IF(ISNUMBER(SEARCH("Quads",$B1183)),4,1))),2),ROUND(VLOOKUP($I1183,Dashboard!$Q$15:$R$20,2,FALSE)*IF($E1183="Red",Dashboard!$R$6,IF($E1183="Gold",Dashboard!$R$7,Dashboard!$R$5))*IF(ISNUMBER(SEARCH("Duals",$B1183)),2,IF(ISNUMBER(SEARCH("Triples",$B1183)),3,IF(ISNUMBER(SEARCH("Quads",$B1183)),4,1))),2))*IF(IFERROR(VLOOKUP($B1183,Dashboard!$Q$28:$S$60,3,FALSE),0)&gt;0,VLOOKUP($B1183,Dashboard!$Q$28:$S$60,3,FALSE),1))),0))</f>
        <v>0</v>
      </c>
      <c r="K1183" s="2" t="str">
        <f>IF('Base S2'!J83="","",'Base S2'!J83)</f>
        <v/>
      </c>
      <c r="L1183" s="2">
        <f t="shared" si="234"/>
        <v>0</v>
      </c>
      <c r="M1183" s="2">
        <f t="shared" si="235"/>
        <v>0</v>
      </c>
      <c r="N1183" s="2">
        <f t="shared" si="236"/>
        <v>0</v>
      </c>
      <c r="O1183" s="2">
        <f t="shared" si="237"/>
        <v>0</v>
      </c>
      <c r="P1183" s="112">
        <f t="shared" si="238"/>
        <v>0</v>
      </c>
      <c r="Q1183" s="112">
        <f t="shared" si="239"/>
        <v>0</v>
      </c>
      <c r="R1183" s="53"/>
      <c r="S1183" s="53" t="str">
        <f t="shared" si="240"/>
        <v>Base S2|Printing Plates Parallel - Season 2|182|Printing Plate</v>
      </c>
      <c r="T1183" s="57" t="str">
        <f>IF($S1183="","",IFERROR(VLOOKUP($S1183,'Pop Estimates (Non-#d)'!$N$2:$O$500,2,FALSE),""))</f>
        <v/>
      </c>
      <c r="U1183" s="57">
        <f t="shared" si="241"/>
        <v>4</v>
      </c>
      <c r="V1183" s="53" t="str">
        <f t="shared" si="242"/>
        <v/>
      </c>
      <c r="W1183" s="53" t="str">
        <f t="shared" si="243"/>
        <v/>
      </c>
      <c r="X1183" s="53" t="str">
        <f t="shared" si="244"/>
        <v/>
      </c>
      <c r="Y1183" s="57" t="str">
        <f>IF($X1183="","",IFERROR(VLOOKUP($X1183,'Char Popularity'!$A$2:$C$500,2,FALSE),""))</f>
        <v/>
      </c>
      <c r="Z1183" s="56">
        <f>IF($X1183="",1,IFERROR(VLOOKUP($X1183,'Char Popularity'!$A$2:$C$500,3,FALSE),1))</f>
        <v>1</v>
      </c>
      <c r="AA1183" s="62">
        <f>IF($H1183&lt;&gt;"Y",0,(IF($F1183&lt;&gt;"",ROUND(Dashboard!$R$4/$F1183,1),IF(AND($I1183="Base",$E1183="Base"),Dashboard!$R$5,IF(AND($I1183="Base",$E1183="Red"),Dashboard!$R$6,IF(AND($I1183="Base",$E1183="Gold"),Dashboard!$R$7,VLOOKUP($I1183,Dashboard!$Q$16:$R$21,2,FALSE)))))*VLOOKUP($I1183,Dashboard!$Q$9:$R$13,2,FALSE)*IF(AND($I1183="Auto",$F1183="",OR($B1183="Autographs Duals",$B1183="Autographs Triples",$B1183="Autographs Quads",$B1183="Autographs Quads (Inscribed)")),IF($B1183="Autographs Duals",2,IF($B1183="Autographs Triples",3,4)),1)))</f>
        <v>0</v>
      </c>
      <c r="AB1183" s="62">
        <f t="shared" si="245"/>
        <v>0</v>
      </c>
      <c r="AC1183" s="62">
        <f t="shared" si="246"/>
        <v>0</v>
      </c>
    </row>
    <row r="1184" spans="1:29" ht="42.95" customHeight="1" x14ac:dyDescent="0.25">
      <c r="A1184" s="4" t="s">
        <v>19</v>
      </c>
      <c r="B1184" s="7" t="s">
        <v>793</v>
      </c>
      <c r="C1184" s="2" t="s">
        <v>1582</v>
      </c>
      <c r="D1184" s="7" t="s">
        <v>1177</v>
      </c>
      <c r="E1184" s="4" t="s">
        <v>829</v>
      </c>
      <c r="F1184" s="2">
        <v>4</v>
      </c>
      <c r="G1184" s="2" t="s">
        <v>1400</v>
      </c>
      <c r="H1184" s="2" t="s">
        <v>1399</v>
      </c>
      <c r="I1184" s="4" t="s">
        <v>60</v>
      </c>
      <c r="J1184" s="112">
        <f>IF($H1184&lt;&gt;"Y",0,ROUND(MIN(Dashboard!$R$24,IF(IFERROR(VLOOKUP($B1184,Dashboard!$Q$28:$S$60,2,FALSE),0)&gt;0,IFERROR(VLOOKUP($B1184,Dashboard!$Q$28:$S$60,2,FALSE),0),$Z1184*IF($U1184&lt;&gt;"",ROUND((Dashboard!$R$4/$U1184)*VLOOKUP($I1184,Dashboard!$Q$9:$R$13,2,FALSE)*IF(ISNUMBER(SEARCH("Duals",$B1184)),2,IF(ISNUMBER(SEARCH("Triples",$B1184)),3,IF(ISNUMBER(SEARCH("Quads",$B1184)),4,1))),2),ROUND(VLOOKUP($I1184,Dashboard!$Q$15:$R$20,2,FALSE)*IF($E1184="Red",Dashboard!$R$6,IF($E1184="Gold",Dashboard!$R$7,Dashboard!$R$5))*IF(ISNUMBER(SEARCH("Duals",$B1184)),2,IF(ISNUMBER(SEARCH("Triples",$B1184)),3,IF(ISNUMBER(SEARCH("Quads",$B1184)),4,1))),2))*IF(IFERROR(VLOOKUP($B1184,Dashboard!$Q$28:$S$60,3,FALSE),0)&gt;0,VLOOKUP($B1184,Dashboard!$Q$28:$S$60,3,FALSE),1))),0))</f>
        <v>0</v>
      </c>
      <c r="K1184" s="2" t="str">
        <f>IF('Base S2'!J84="","",'Base S2'!J84)</f>
        <v/>
      </c>
      <c r="L1184" s="2">
        <f t="shared" si="234"/>
        <v>0</v>
      </c>
      <c r="M1184" s="2">
        <f t="shared" si="235"/>
        <v>0</v>
      </c>
      <c r="N1184" s="2">
        <f t="shared" si="236"/>
        <v>0</v>
      </c>
      <c r="O1184" s="2">
        <f t="shared" si="237"/>
        <v>0</v>
      </c>
      <c r="P1184" s="112">
        <f t="shared" si="238"/>
        <v>0</v>
      </c>
      <c r="Q1184" s="112">
        <f t="shared" si="239"/>
        <v>0</v>
      </c>
      <c r="R1184" s="53"/>
      <c r="S1184" s="53" t="str">
        <f t="shared" si="240"/>
        <v>Base S2|Printing Plates Parallel - Season 2|183|Printing Plate</v>
      </c>
      <c r="T1184" s="57" t="str">
        <f>IF($S1184="","",IFERROR(VLOOKUP($S1184,'Pop Estimates (Non-#d)'!$N$2:$O$500,2,FALSE),""))</f>
        <v/>
      </c>
      <c r="U1184" s="57">
        <f t="shared" si="241"/>
        <v>4</v>
      </c>
      <c r="V1184" s="53" t="str">
        <f t="shared" si="242"/>
        <v/>
      </c>
      <c r="W1184" s="53" t="str">
        <f t="shared" si="243"/>
        <v/>
      </c>
      <c r="X1184" s="53" t="str">
        <f t="shared" si="244"/>
        <v/>
      </c>
      <c r="Y1184" s="57" t="str">
        <f>IF($X1184="","",IFERROR(VLOOKUP($X1184,'Char Popularity'!$A$2:$C$500,2,FALSE),""))</f>
        <v/>
      </c>
      <c r="Z1184" s="56">
        <f>IF($X1184="",1,IFERROR(VLOOKUP($X1184,'Char Popularity'!$A$2:$C$500,3,FALSE),1))</f>
        <v>1</v>
      </c>
      <c r="AA1184" s="62">
        <f>IF($H1184&lt;&gt;"Y",0,(IF($F1184&lt;&gt;"",ROUND(Dashboard!$R$4/$F1184,1),IF(AND($I1184="Base",$E1184="Base"),Dashboard!$R$5,IF(AND($I1184="Base",$E1184="Red"),Dashboard!$R$6,IF(AND($I1184="Base",$E1184="Gold"),Dashboard!$R$7,VLOOKUP($I1184,Dashboard!$Q$16:$R$21,2,FALSE)))))*VLOOKUP($I1184,Dashboard!$Q$9:$R$13,2,FALSE)*IF(AND($I1184="Auto",$F1184="",OR($B1184="Autographs Duals",$B1184="Autographs Triples",$B1184="Autographs Quads",$B1184="Autographs Quads (Inscribed)")),IF($B1184="Autographs Duals",2,IF($B1184="Autographs Triples",3,4)),1)))</f>
        <v>0</v>
      </c>
      <c r="AB1184" s="62">
        <f t="shared" si="245"/>
        <v>0</v>
      </c>
      <c r="AC1184" s="62">
        <f t="shared" si="246"/>
        <v>0</v>
      </c>
    </row>
    <row r="1185" spans="1:29" ht="42.95" customHeight="1" x14ac:dyDescent="0.25">
      <c r="A1185" s="4" t="s">
        <v>19</v>
      </c>
      <c r="B1185" s="7" t="s">
        <v>793</v>
      </c>
      <c r="C1185" s="2" t="s">
        <v>1583</v>
      </c>
      <c r="D1185" s="7" t="s">
        <v>1179</v>
      </c>
      <c r="E1185" s="4" t="s">
        <v>829</v>
      </c>
      <c r="F1185" s="2">
        <v>4</v>
      </c>
      <c r="G1185" s="2" t="s">
        <v>1400</v>
      </c>
      <c r="H1185" s="2" t="s">
        <v>1399</v>
      </c>
      <c r="I1185" s="4" t="s">
        <v>60</v>
      </c>
      <c r="J1185" s="112">
        <f>IF($H1185&lt;&gt;"Y",0,ROUND(MIN(Dashboard!$R$24,IF(IFERROR(VLOOKUP($B1185,Dashboard!$Q$28:$S$60,2,FALSE),0)&gt;0,IFERROR(VLOOKUP($B1185,Dashboard!$Q$28:$S$60,2,FALSE),0),$Z1185*IF($U1185&lt;&gt;"",ROUND((Dashboard!$R$4/$U1185)*VLOOKUP($I1185,Dashboard!$Q$9:$R$13,2,FALSE)*IF(ISNUMBER(SEARCH("Duals",$B1185)),2,IF(ISNUMBER(SEARCH("Triples",$B1185)),3,IF(ISNUMBER(SEARCH("Quads",$B1185)),4,1))),2),ROUND(VLOOKUP($I1185,Dashboard!$Q$15:$R$20,2,FALSE)*IF($E1185="Red",Dashboard!$R$6,IF($E1185="Gold",Dashboard!$R$7,Dashboard!$R$5))*IF(ISNUMBER(SEARCH("Duals",$B1185)),2,IF(ISNUMBER(SEARCH("Triples",$B1185)),3,IF(ISNUMBER(SEARCH("Quads",$B1185)),4,1))),2))*IF(IFERROR(VLOOKUP($B1185,Dashboard!$Q$28:$S$60,3,FALSE),0)&gt;0,VLOOKUP($B1185,Dashboard!$Q$28:$S$60,3,FALSE),1))),0))</f>
        <v>0</v>
      </c>
      <c r="K1185" s="2" t="str">
        <f>IF('Base S2'!J85="","",'Base S2'!J85)</f>
        <v/>
      </c>
      <c r="L1185" s="2">
        <f t="shared" si="234"/>
        <v>0</v>
      </c>
      <c r="M1185" s="2">
        <f t="shared" si="235"/>
        <v>0</v>
      </c>
      <c r="N1185" s="2">
        <f t="shared" si="236"/>
        <v>0</v>
      </c>
      <c r="O1185" s="2">
        <f t="shared" si="237"/>
        <v>0</v>
      </c>
      <c r="P1185" s="112">
        <f t="shared" si="238"/>
        <v>0</v>
      </c>
      <c r="Q1185" s="112">
        <f t="shared" si="239"/>
        <v>0</v>
      </c>
      <c r="R1185" s="53"/>
      <c r="S1185" s="53" t="str">
        <f t="shared" si="240"/>
        <v>Base S2|Printing Plates Parallel - Season 2|184|Printing Plate</v>
      </c>
      <c r="T1185" s="57" t="str">
        <f>IF($S1185="","",IFERROR(VLOOKUP($S1185,'Pop Estimates (Non-#d)'!$N$2:$O$500,2,FALSE),""))</f>
        <v/>
      </c>
      <c r="U1185" s="57">
        <f t="shared" si="241"/>
        <v>4</v>
      </c>
      <c r="V1185" s="53" t="str">
        <f t="shared" si="242"/>
        <v/>
      </c>
      <c r="W1185" s="53" t="str">
        <f t="shared" si="243"/>
        <v/>
      </c>
      <c r="X1185" s="53" t="str">
        <f t="shared" si="244"/>
        <v/>
      </c>
      <c r="Y1185" s="57" t="str">
        <f>IF($X1185="","",IFERROR(VLOOKUP($X1185,'Char Popularity'!$A$2:$C$500,2,FALSE),""))</f>
        <v/>
      </c>
      <c r="Z1185" s="56">
        <f>IF($X1185="",1,IFERROR(VLOOKUP($X1185,'Char Popularity'!$A$2:$C$500,3,FALSE),1))</f>
        <v>1</v>
      </c>
      <c r="AA1185" s="62">
        <f>IF($H1185&lt;&gt;"Y",0,(IF($F1185&lt;&gt;"",ROUND(Dashboard!$R$4/$F1185,1),IF(AND($I1185="Base",$E1185="Base"),Dashboard!$R$5,IF(AND($I1185="Base",$E1185="Red"),Dashboard!$R$6,IF(AND($I1185="Base",$E1185="Gold"),Dashboard!$R$7,VLOOKUP($I1185,Dashboard!$Q$16:$R$21,2,FALSE)))))*VLOOKUP($I1185,Dashboard!$Q$9:$R$13,2,FALSE)*IF(AND($I1185="Auto",$F1185="",OR($B1185="Autographs Duals",$B1185="Autographs Triples",$B1185="Autographs Quads",$B1185="Autographs Quads (Inscribed)")),IF($B1185="Autographs Duals",2,IF($B1185="Autographs Triples",3,4)),1)))</f>
        <v>0</v>
      </c>
      <c r="AB1185" s="62">
        <f t="shared" si="245"/>
        <v>0</v>
      </c>
      <c r="AC1185" s="62">
        <f t="shared" si="246"/>
        <v>0</v>
      </c>
    </row>
    <row r="1186" spans="1:29" ht="42.95" customHeight="1" x14ac:dyDescent="0.25">
      <c r="A1186" s="4" t="s">
        <v>19</v>
      </c>
      <c r="B1186" s="7" t="s">
        <v>793</v>
      </c>
      <c r="C1186" s="2" t="s">
        <v>1584</v>
      </c>
      <c r="D1186" s="7" t="s">
        <v>1180</v>
      </c>
      <c r="E1186" s="4" t="s">
        <v>829</v>
      </c>
      <c r="F1186" s="2">
        <v>4</v>
      </c>
      <c r="G1186" s="2" t="s">
        <v>1400</v>
      </c>
      <c r="H1186" s="2" t="s">
        <v>1399</v>
      </c>
      <c r="I1186" s="4" t="s">
        <v>60</v>
      </c>
      <c r="J1186" s="112">
        <f>IF($H1186&lt;&gt;"Y",0,ROUND(MIN(Dashboard!$R$24,IF(IFERROR(VLOOKUP($B1186,Dashboard!$Q$28:$S$60,2,FALSE),0)&gt;0,IFERROR(VLOOKUP($B1186,Dashboard!$Q$28:$S$60,2,FALSE),0),$Z1186*IF($U1186&lt;&gt;"",ROUND((Dashboard!$R$4/$U1186)*VLOOKUP($I1186,Dashboard!$Q$9:$R$13,2,FALSE)*IF(ISNUMBER(SEARCH("Duals",$B1186)),2,IF(ISNUMBER(SEARCH("Triples",$B1186)),3,IF(ISNUMBER(SEARCH("Quads",$B1186)),4,1))),2),ROUND(VLOOKUP($I1186,Dashboard!$Q$15:$R$20,2,FALSE)*IF($E1186="Red",Dashboard!$R$6,IF($E1186="Gold",Dashboard!$R$7,Dashboard!$R$5))*IF(ISNUMBER(SEARCH("Duals",$B1186)),2,IF(ISNUMBER(SEARCH("Triples",$B1186)),3,IF(ISNUMBER(SEARCH("Quads",$B1186)),4,1))),2))*IF(IFERROR(VLOOKUP($B1186,Dashboard!$Q$28:$S$60,3,FALSE),0)&gt;0,VLOOKUP($B1186,Dashboard!$Q$28:$S$60,3,FALSE),1))),0))</f>
        <v>0</v>
      </c>
      <c r="K1186" s="2" t="str">
        <f>IF('Base S2'!J86="","",'Base S2'!J86)</f>
        <v/>
      </c>
      <c r="L1186" s="2">
        <f t="shared" si="234"/>
        <v>0</v>
      </c>
      <c r="M1186" s="2">
        <f t="shared" si="235"/>
        <v>0</v>
      </c>
      <c r="N1186" s="2">
        <f t="shared" si="236"/>
        <v>0</v>
      </c>
      <c r="O1186" s="2">
        <f t="shared" si="237"/>
        <v>0</v>
      </c>
      <c r="P1186" s="112">
        <f t="shared" si="238"/>
        <v>0</v>
      </c>
      <c r="Q1186" s="112">
        <f t="shared" si="239"/>
        <v>0</v>
      </c>
      <c r="R1186" s="53"/>
      <c r="S1186" s="53" t="str">
        <f t="shared" si="240"/>
        <v>Base S2|Printing Plates Parallel - Season 2|185|Printing Plate</v>
      </c>
      <c r="T1186" s="57" t="str">
        <f>IF($S1186="","",IFERROR(VLOOKUP($S1186,'Pop Estimates (Non-#d)'!$N$2:$O$500,2,FALSE),""))</f>
        <v/>
      </c>
      <c r="U1186" s="57">
        <f t="shared" si="241"/>
        <v>4</v>
      </c>
      <c r="V1186" s="53" t="str">
        <f t="shared" si="242"/>
        <v/>
      </c>
      <c r="W1186" s="53" t="str">
        <f t="shared" si="243"/>
        <v/>
      </c>
      <c r="X1186" s="53" t="str">
        <f t="shared" si="244"/>
        <v/>
      </c>
      <c r="Y1186" s="57" t="str">
        <f>IF($X1186="","",IFERROR(VLOOKUP($X1186,'Char Popularity'!$A$2:$C$500,2,FALSE),""))</f>
        <v/>
      </c>
      <c r="Z1186" s="56">
        <f>IF($X1186="",1,IFERROR(VLOOKUP($X1186,'Char Popularity'!$A$2:$C$500,3,FALSE),1))</f>
        <v>1</v>
      </c>
      <c r="AA1186" s="62">
        <f>IF($H1186&lt;&gt;"Y",0,(IF($F1186&lt;&gt;"",ROUND(Dashboard!$R$4/$F1186,1),IF(AND($I1186="Base",$E1186="Base"),Dashboard!$R$5,IF(AND($I1186="Base",$E1186="Red"),Dashboard!$R$6,IF(AND($I1186="Base",$E1186="Gold"),Dashboard!$R$7,VLOOKUP($I1186,Dashboard!$Q$16:$R$21,2,FALSE)))))*VLOOKUP($I1186,Dashboard!$Q$9:$R$13,2,FALSE)*IF(AND($I1186="Auto",$F1186="",OR($B1186="Autographs Duals",$B1186="Autographs Triples",$B1186="Autographs Quads",$B1186="Autographs Quads (Inscribed)")),IF($B1186="Autographs Duals",2,IF($B1186="Autographs Triples",3,4)),1)))</f>
        <v>0</v>
      </c>
      <c r="AB1186" s="62">
        <f t="shared" si="245"/>
        <v>0</v>
      </c>
      <c r="AC1186" s="62">
        <f t="shared" si="246"/>
        <v>0</v>
      </c>
    </row>
    <row r="1187" spans="1:29" ht="42.95" customHeight="1" x14ac:dyDescent="0.25">
      <c r="A1187" s="4" t="s">
        <v>19</v>
      </c>
      <c r="B1187" s="7" t="s">
        <v>793</v>
      </c>
      <c r="C1187" s="2" t="s">
        <v>1585</v>
      </c>
      <c r="D1187" s="7" t="s">
        <v>1181</v>
      </c>
      <c r="E1187" s="4" t="s">
        <v>829</v>
      </c>
      <c r="F1187" s="2">
        <v>4</v>
      </c>
      <c r="G1187" s="2" t="s">
        <v>1400</v>
      </c>
      <c r="H1187" s="2" t="s">
        <v>1399</v>
      </c>
      <c r="I1187" s="4" t="s">
        <v>60</v>
      </c>
      <c r="J1187" s="112">
        <f>IF($H1187&lt;&gt;"Y",0,ROUND(MIN(Dashboard!$R$24,IF(IFERROR(VLOOKUP($B1187,Dashboard!$Q$28:$S$60,2,FALSE),0)&gt;0,IFERROR(VLOOKUP($B1187,Dashboard!$Q$28:$S$60,2,FALSE),0),$Z1187*IF($U1187&lt;&gt;"",ROUND((Dashboard!$R$4/$U1187)*VLOOKUP($I1187,Dashboard!$Q$9:$R$13,2,FALSE)*IF(ISNUMBER(SEARCH("Duals",$B1187)),2,IF(ISNUMBER(SEARCH("Triples",$B1187)),3,IF(ISNUMBER(SEARCH("Quads",$B1187)),4,1))),2),ROUND(VLOOKUP($I1187,Dashboard!$Q$15:$R$20,2,FALSE)*IF($E1187="Red",Dashboard!$R$6,IF($E1187="Gold",Dashboard!$R$7,Dashboard!$R$5))*IF(ISNUMBER(SEARCH("Duals",$B1187)),2,IF(ISNUMBER(SEARCH("Triples",$B1187)),3,IF(ISNUMBER(SEARCH("Quads",$B1187)),4,1))),2))*IF(IFERROR(VLOOKUP($B1187,Dashboard!$Q$28:$S$60,3,FALSE),0)&gt;0,VLOOKUP($B1187,Dashboard!$Q$28:$S$60,3,FALSE),1))),0))</f>
        <v>0</v>
      </c>
      <c r="K1187" s="2" t="str">
        <f>IF('Base S2'!J87="","",'Base S2'!J87)</f>
        <v/>
      </c>
      <c r="L1187" s="2">
        <f t="shared" si="234"/>
        <v>0</v>
      </c>
      <c r="M1187" s="2">
        <f t="shared" si="235"/>
        <v>0</v>
      </c>
      <c r="N1187" s="2">
        <f t="shared" si="236"/>
        <v>0</v>
      </c>
      <c r="O1187" s="2">
        <f t="shared" si="237"/>
        <v>0</v>
      </c>
      <c r="P1187" s="112">
        <f t="shared" si="238"/>
        <v>0</v>
      </c>
      <c r="Q1187" s="112">
        <f t="shared" si="239"/>
        <v>0</v>
      </c>
      <c r="R1187" s="53"/>
      <c r="S1187" s="53" t="str">
        <f t="shared" si="240"/>
        <v>Base S2|Printing Plates Parallel - Season 2|186|Printing Plate</v>
      </c>
      <c r="T1187" s="57" t="str">
        <f>IF($S1187="","",IFERROR(VLOOKUP($S1187,'Pop Estimates (Non-#d)'!$N$2:$O$500,2,FALSE),""))</f>
        <v/>
      </c>
      <c r="U1187" s="57">
        <f t="shared" si="241"/>
        <v>4</v>
      </c>
      <c r="V1187" s="53" t="str">
        <f t="shared" si="242"/>
        <v/>
      </c>
      <c r="W1187" s="53" t="str">
        <f t="shared" si="243"/>
        <v/>
      </c>
      <c r="X1187" s="53" t="str">
        <f t="shared" si="244"/>
        <v/>
      </c>
      <c r="Y1187" s="57" t="str">
        <f>IF($X1187="","",IFERROR(VLOOKUP($X1187,'Char Popularity'!$A$2:$C$500,2,FALSE),""))</f>
        <v/>
      </c>
      <c r="Z1187" s="56">
        <f>IF($X1187="",1,IFERROR(VLOOKUP($X1187,'Char Popularity'!$A$2:$C$500,3,FALSE),1))</f>
        <v>1</v>
      </c>
      <c r="AA1187" s="62">
        <f>IF($H1187&lt;&gt;"Y",0,(IF($F1187&lt;&gt;"",ROUND(Dashboard!$R$4/$F1187,1),IF(AND($I1187="Base",$E1187="Base"),Dashboard!$R$5,IF(AND($I1187="Base",$E1187="Red"),Dashboard!$R$6,IF(AND($I1187="Base",$E1187="Gold"),Dashboard!$R$7,VLOOKUP($I1187,Dashboard!$Q$16:$R$21,2,FALSE)))))*VLOOKUP($I1187,Dashboard!$Q$9:$R$13,2,FALSE)*IF(AND($I1187="Auto",$F1187="",OR($B1187="Autographs Duals",$B1187="Autographs Triples",$B1187="Autographs Quads",$B1187="Autographs Quads (Inscribed)")),IF($B1187="Autographs Duals",2,IF($B1187="Autographs Triples",3,4)),1)))</f>
        <v>0</v>
      </c>
      <c r="AB1187" s="62">
        <f t="shared" si="245"/>
        <v>0</v>
      </c>
      <c r="AC1187" s="62">
        <f t="shared" si="246"/>
        <v>0</v>
      </c>
    </row>
    <row r="1188" spans="1:29" ht="42.95" customHeight="1" x14ac:dyDescent="0.25">
      <c r="A1188" s="4" t="s">
        <v>19</v>
      </c>
      <c r="B1188" s="7" t="s">
        <v>793</v>
      </c>
      <c r="C1188" s="2" t="s">
        <v>1586</v>
      </c>
      <c r="D1188" s="7" t="s">
        <v>1182</v>
      </c>
      <c r="E1188" s="4" t="s">
        <v>829</v>
      </c>
      <c r="F1188" s="2">
        <v>4</v>
      </c>
      <c r="G1188" s="2" t="s">
        <v>1400</v>
      </c>
      <c r="H1188" s="2" t="s">
        <v>1399</v>
      </c>
      <c r="I1188" s="4" t="s">
        <v>60</v>
      </c>
      <c r="J1188" s="112">
        <f>IF($H1188&lt;&gt;"Y",0,ROUND(MIN(Dashboard!$R$24,IF(IFERROR(VLOOKUP($B1188,Dashboard!$Q$28:$S$60,2,FALSE),0)&gt;0,IFERROR(VLOOKUP($B1188,Dashboard!$Q$28:$S$60,2,FALSE),0),$Z1188*IF($U1188&lt;&gt;"",ROUND((Dashboard!$R$4/$U1188)*VLOOKUP($I1188,Dashboard!$Q$9:$R$13,2,FALSE)*IF(ISNUMBER(SEARCH("Duals",$B1188)),2,IF(ISNUMBER(SEARCH("Triples",$B1188)),3,IF(ISNUMBER(SEARCH("Quads",$B1188)),4,1))),2),ROUND(VLOOKUP($I1188,Dashboard!$Q$15:$R$20,2,FALSE)*IF($E1188="Red",Dashboard!$R$6,IF($E1188="Gold",Dashboard!$R$7,Dashboard!$R$5))*IF(ISNUMBER(SEARCH("Duals",$B1188)),2,IF(ISNUMBER(SEARCH("Triples",$B1188)),3,IF(ISNUMBER(SEARCH("Quads",$B1188)),4,1))),2))*IF(IFERROR(VLOOKUP($B1188,Dashboard!$Q$28:$S$60,3,FALSE),0)&gt;0,VLOOKUP($B1188,Dashboard!$Q$28:$S$60,3,FALSE),1))),0))</f>
        <v>0</v>
      </c>
      <c r="K1188" s="2" t="str">
        <f>IF('Base S2'!J88="","",'Base S2'!J88)</f>
        <v/>
      </c>
      <c r="L1188" s="2">
        <f t="shared" si="234"/>
        <v>0</v>
      </c>
      <c r="M1188" s="2">
        <f t="shared" si="235"/>
        <v>0</v>
      </c>
      <c r="N1188" s="2">
        <f t="shared" si="236"/>
        <v>0</v>
      </c>
      <c r="O1188" s="2">
        <f t="shared" si="237"/>
        <v>0</v>
      </c>
      <c r="P1188" s="112">
        <f t="shared" si="238"/>
        <v>0</v>
      </c>
      <c r="Q1188" s="112">
        <f t="shared" si="239"/>
        <v>0</v>
      </c>
      <c r="R1188" s="53"/>
      <c r="S1188" s="53" t="str">
        <f t="shared" si="240"/>
        <v>Base S2|Printing Plates Parallel - Season 2|187|Printing Plate</v>
      </c>
      <c r="T1188" s="57" t="str">
        <f>IF($S1188="","",IFERROR(VLOOKUP($S1188,'Pop Estimates (Non-#d)'!$N$2:$O$500,2,FALSE),""))</f>
        <v/>
      </c>
      <c r="U1188" s="57">
        <f t="shared" si="241"/>
        <v>4</v>
      </c>
      <c r="V1188" s="53" t="str">
        <f t="shared" si="242"/>
        <v/>
      </c>
      <c r="W1188" s="53" t="str">
        <f t="shared" si="243"/>
        <v/>
      </c>
      <c r="X1188" s="53" t="str">
        <f t="shared" si="244"/>
        <v/>
      </c>
      <c r="Y1188" s="57" t="str">
        <f>IF($X1188="","",IFERROR(VLOOKUP($X1188,'Char Popularity'!$A$2:$C$500,2,FALSE),""))</f>
        <v/>
      </c>
      <c r="Z1188" s="56">
        <f>IF($X1188="",1,IFERROR(VLOOKUP($X1188,'Char Popularity'!$A$2:$C$500,3,FALSE),1))</f>
        <v>1</v>
      </c>
      <c r="AA1188" s="62">
        <f>IF($H1188&lt;&gt;"Y",0,(IF($F1188&lt;&gt;"",ROUND(Dashboard!$R$4/$F1188,1),IF(AND($I1188="Base",$E1188="Base"),Dashboard!$R$5,IF(AND($I1188="Base",$E1188="Red"),Dashboard!$R$6,IF(AND($I1188="Base",$E1188="Gold"),Dashboard!$R$7,VLOOKUP($I1188,Dashboard!$Q$16:$R$21,2,FALSE)))))*VLOOKUP($I1188,Dashboard!$Q$9:$R$13,2,FALSE)*IF(AND($I1188="Auto",$F1188="",OR($B1188="Autographs Duals",$B1188="Autographs Triples",$B1188="Autographs Quads",$B1188="Autographs Quads (Inscribed)")),IF($B1188="Autographs Duals",2,IF($B1188="Autographs Triples",3,4)),1)))</f>
        <v>0</v>
      </c>
      <c r="AB1188" s="62">
        <f t="shared" si="245"/>
        <v>0</v>
      </c>
      <c r="AC1188" s="62">
        <f t="shared" si="246"/>
        <v>0</v>
      </c>
    </row>
    <row r="1189" spans="1:29" ht="42.95" customHeight="1" x14ac:dyDescent="0.25">
      <c r="A1189" s="4" t="s">
        <v>19</v>
      </c>
      <c r="B1189" s="7" t="s">
        <v>793</v>
      </c>
      <c r="C1189" s="2" t="s">
        <v>1587</v>
      </c>
      <c r="D1189" s="7" t="s">
        <v>1183</v>
      </c>
      <c r="E1189" s="4" t="s">
        <v>829</v>
      </c>
      <c r="F1189" s="2">
        <v>4</v>
      </c>
      <c r="G1189" s="2" t="s">
        <v>1400</v>
      </c>
      <c r="H1189" s="2" t="s">
        <v>1399</v>
      </c>
      <c r="I1189" s="4" t="s">
        <v>60</v>
      </c>
      <c r="J1189" s="112">
        <f>IF($H1189&lt;&gt;"Y",0,ROUND(MIN(Dashboard!$R$24,IF(IFERROR(VLOOKUP($B1189,Dashboard!$Q$28:$S$60,2,FALSE),0)&gt;0,IFERROR(VLOOKUP($B1189,Dashboard!$Q$28:$S$60,2,FALSE),0),$Z1189*IF($U1189&lt;&gt;"",ROUND((Dashboard!$R$4/$U1189)*VLOOKUP($I1189,Dashboard!$Q$9:$R$13,2,FALSE)*IF(ISNUMBER(SEARCH("Duals",$B1189)),2,IF(ISNUMBER(SEARCH("Triples",$B1189)),3,IF(ISNUMBER(SEARCH("Quads",$B1189)),4,1))),2),ROUND(VLOOKUP($I1189,Dashboard!$Q$15:$R$20,2,FALSE)*IF($E1189="Red",Dashboard!$R$6,IF($E1189="Gold",Dashboard!$R$7,Dashboard!$R$5))*IF(ISNUMBER(SEARCH("Duals",$B1189)),2,IF(ISNUMBER(SEARCH("Triples",$B1189)),3,IF(ISNUMBER(SEARCH("Quads",$B1189)),4,1))),2))*IF(IFERROR(VLOOKUP($B1189,Dashboard!$Q$28:$S$60,3,FALSE),0)&gt;0,VLOOKUP($B1189,Dashboard!$Q$28:$S$60,3,FALSE),1))),0))</f>
        <v>0</v>
      </c>
      <c r="K1189" s="2" t="str">
        <f>IF('Base S2'!J89="","",'Base S2'!J89)</f>
        <v/>
      </c>
      <c r="L1189" s="2">
        <f t="shared" si="234"/>
        <v>0</v>
      </c>
      <c r="M1189" s="2">
        <f t="shared" si="235"/>
        <v>0</v>
      </c>
      <c r="N1189" s="2">
        <f t="shared" si="236"/>
        <v>0</v>
      </c>
      <c r="O1189" s="2">
        <f t="shared" si="237"/>
        <v>0</v>
      </c>
      <c r="P1189" s="112">
        <f t="shared" si="238"/>
        <v>0</v>
      </c>
      <c r="Q1189" s="112">
        <f t="shared" si="239"/>
        <v>0</v>
      </c>
      <c r="R1189" s="53"/>
      <c r="S1189" s="53" t="str">
        <f t="shared" si="240"/>
        <v>Base S2|Printing Plates Parallel - Season 2|188|Printing Plate</v>
      </c>
      <c r="T1189" s="57" t="str">
        <f>IF($S1189="","",IFERROR(VLOOKUP($S1189,'Pop Estimates (Non-#d)'!$N$2:$O$500,2,FALSE),""))</f>
        <v/>
      </c>
      <c r="U1189" s="57">
        <f t="shared" si="241"/>
        <v>4</v>
      </c>
      <c r="V1189" s="53" t="str">
        <f t="shared" si="242"/>
        <v/>
      </c>
      <c r="W1189" s="53" t="str">
        <f t="shared" si="243"/>
        <v/>
      </c>
      <c r="X1189" s="53" t="str">
        <f t="shared" si="244"/>
        <v/>
      </c>
      <c r="Y1189" s="57" t="str">
        <f>IF($X1189="","",IFERROR(VLOOKUP($X1189,'Char Popularity'!$A$2:$C$500,2,FALSE),""))</f>
        <v/>
      </c>
      <c r="Z1189" s="56">
        <f>IF($X1189="",1,IFERROR(VLOOKUP($X1189,'Char Popularity'!$A$2:$C$500,3,FALSE),1))</f>
        <v>1</v>
      </c>
      <c r="AA1189" s="62">
        <f>IF($H1189&lt;&gt;"Y",0,(IF($F1189&lt;&gt;"",ROUND(Dashboard!$R$4/$F1189,1),IF(AND($I1189="Base",$E1189="Base"),Dashboard!$R$5,IF(AND($I1189="Base",$E1189="Red"),Dashboard!$R$6,IF(AND($I1189="Base",$E1189="Gold"),Dashboard!$R$7,VLOOKUP($I1189,Dashboard!$Q$16:$R$21,2,FALSE)))))*VLOOKUP($I1189,Dashboard!$Q$9:$R$13,2,FALSE)*IF(AND($I1189="Auto",$F1189="",OR($B1189="Autographs Duals",$B1189="Autographs Triples",$B1189="Autographs Quads",$B1189="Autographs Quads (Inscribed)")),IF($B1189="Autographs Duals",2,IF($B1189="Autographs Triples",3,4)),1)))</f>
        <v>0</v>
      </c>
      <c r="AB1189" s="62">
        <f t="shared" si="245"/>
        <v>0</v>
      </c>
      <c r="AC1189" s="62">
        <f t="shared" si="246"/>
        <v>0</v>
      </c>
    </row>
    <row r="1190" spans="1:29" ht="42.95" customHeight="1" x14ac:dyDescent="0.25">
      <c r="A1190" s="4" t="s">
        <v>19</v>
      </c>
      <c r="B1190" s="7" t="s">
        <v>793</v>
      </c>
      <c r="C1190" s="2" t="s">
        <v>1588</v>
      </c>
      <c r="D1190" s="7" t="s">
        <v>1185</v>
      </c>
      <c r="E1190" s="4" t="s">
        <v>829</v>
      </c>
      <c r="F1190" s="2">
        <v>4</v>
      </c>
      <c r="G1190" s="2" t="s">
        <v>1400</v>
      </c>
      <c r="H1190" s="2" t="s">
        <v>1399</v>
      </c>
      <c r="I1190" s="4" t="s">
        <v>60</v>
      </c>
      <c r="J1190" s="112">
        <f>IF($H1190&lt;&gt;"Y",0,ROUND(MIN(Dashboard!$R$24,IF(IFERROR(VLOOKUP($B1190,Dashboard!$Q$28:$S$60,2,FALSE),0)&gt;0,IFERROR(VLOOKUP($B1190,Dashboard!$Q$28:$S$60,2,FALSE),0),$Z1190*IF($U1190&lt;&gt;"",ROUND((Dashboard!$R$4/$U1190)*VLOOKUP($I1190,Dashboard!$Q$9:$R$13,2,FALSE)*IF(ISNUMBER(SEARCH("Duals",$B1190)),2,IF(ISNUMBER(SEARCH("Triples",$B1190)),3,IF(ISNUMBER(SEARCH("Quads",$B1190)),4,1))),2),ROUND(VLOOKUP($I1190,Dashboard!$Q$15:$R$20,2,FALSE)*IF($E1190="Red",Dashboard!$R$6,IF($E1190="Gold",Dashboard!$R$7,Dashboard!$R$5))*IF(ISNUMBER(SEARCH("Duals",$B1190)),2,IF(ISNUMBER(SEARCH("Triples",$B1190)),3,IF(ISNUMBER(SEARCH("Quads",$B1190)),4,1))),2))*IF(IFERROR(VLOOKUP($B1190,Dashboard!$Q$28:$S$60,3,FALSE),0)&gt;0,VLOOKUP($B1190,Dashboard!$Q$28:$S$60,3,FALSE),1))),0))</f>
        <v>0</v>
      </c>
      <c r="K1190" s="2" t="str">
        <f>IF('Base S2'!J90="","",'Base S2'!J90)</f>
        <v/>
      </c>
      <c r="L1190" s="2">
        <f t="shared" si="234"/>
        <v>0</v>
      </c>
      <c r="M1190" s="2">
        <f t="shared" si="235"/>
        <v>0</v>
      </c>
      <c r="N1190" s="2">
        <f t="shared" si="236"/>
        <v>0</v>
      </c>
      <c r="O1190" s="2">
        <f t="shared" si="237"/>
        <v>0</v>
      </c>
      <c r="P1190" s="112">
        <f t="shared" si="238"/>
        <v>0</v>
      </c>
      <c r="Q1190" s="112">
        <f t="shared" si="239"/>
        <v>0</v>
      </c>
      <c r="R1190" s="53"/>
      <c r="S1190" s="53" t="str">
        <f t="shared" si="240"/>
        <v>Base S2|Printing Plates Parallel - Season 2|189|Printing Plate</v>
      </c>
      <c r="T1190" s="57" t="str">
        <f>IF($S1190="","",IFERROR(VLOOKUP($S1190,'Pop Estimates (Non-#d)'!$N$2:$O$500,2,FALSE),""))</f>
        <v/>
      </c>
      <c r="U1190" s="57">
        <f t="shared" si="241"/>
        <v>4</v>
      </c>
      <c r="V1190" s="53" t="str">
        <f t="shared" si="242"/>
        <v/>
      </c>
      <c r="W1190" s="53" t="str">
        <f t="shared" si="243"/>
        <v/>
      </c>
      <c r="X1190" s="53" t="str">
        <f t="shared" si="244"/>
        <v/>
      </c>
      <c r="Y1190" s="57" t="str">
        <f>IF($X1190="","",IFERROR(VLOOKUP($X1190,'Char Popularity'!$A$2:$C$500,2,FALSE),""))</f>
        <v/>
      </c>
      <c r="Z1190" s="56">
        <f>IF($X1190="",1,IFERROR(VLOOKUP($X1190,'Char Popularity'!$A$2:$C$500,3,FALSE),1))</f>
        <v>1</v>
      </c>
      <c r="AA1190" s="62">
        <f>IF($H1190&lt;&gt;"Y",0,(IF($F1190&lt;&gt;"",ROUND(Dashboard!$R$4/$F1190,1),IF(AND($I1190="Base",$E1190="Base"),Dashboard!$R$5,IF(AND($I1190="Base",$E1190="Red"),Dashboard!$R$6,IF(AND($I1190="Base",$E1190="Gold"),Dashboard!$R$7,VLOOKUP($I1190,Dashboard!$Q$16:$R$21,2,FALSE)))))*VLOOKUP($I1190,Dashboard!$Q$9:$R$13,2,FALSE)*IF(AND($I1190="Auto",$F1190="",OR($B1190="Autographs Duals",$B1190="Autographs Triples",$B1190="Autographs Quads",$B1190="Autographs Quads (Inscribed)")),IF($B1190="Autographs Duals",2,IF($B1190="Autographs Triples",3,4)),1)))</f>
        <v>0</v>
      </c>
      <c r="AB1190" s="62">
        <f t="shared" si="245"/>
        <v>0</v>
      </c>
      <c r="AC1190" s="62">
        <f t="shared" si="246"/>
        <v>0</v>
      </c>
    </row>
    <row r="1191" spans="1:29" ht="42.95" customHeight="1" x14ac:dyDescent="0.25">
      <c r="A1191" s="4" t="s">
        <v>19</v>
      </c>
      <c r="B1191" s="7" t="s">
        <v>793</v>
      </c>
      <c r="C1191" s="2" t="s">
        <v>1589</v>
      </c>
      <c r="D1191" s="7" t="s">
        <v>1186</v>
      </c>
      <c r="E1191" s="4" t="s">
        <v>829</v>
      </c>
      <c r="F1191" s="2">
        <v>4</v>
      </c>
      <c r="G1191" s="2" t="s">
        <v>1400</v>
      </c>
      <c r="H1191" s="2" t="s">
        <v>1399</v>
      </c>
      <c r="I1191" s="4" t="s">
        <v>60</v>
      </c>
      <c r="J1191" s="112">
        <f>IF($H1191&lt;&gt;"Y",0,ROUND(MIN(Dashboard!$R$24,IF(IFERROR(VLOOKUP($B1191,Dashboard!$Q$28:$S$60,2,FALSE),0)&gt;0,IFERROR(VLOOKUP($B1191,Dashboard!$Q$28:$S$60,2,FALSE),0),$Z1191*IF($U1191&lt;&gt;"",ROUND((Dashboard!$R$4/$U1191)*VLOOKUP($I1191,Dashboard!$Q$9:$R$13,2,FALSE)*IF(ISNUMBER(SEARCH("Duals",$B1191)),2,IF(ISNUMBER(SEARCH("Triples",$B1191)),3,IF(ISNUMBER(SEARCH("Quads",$B1191)),4,1))),2),ROUND(VLOOKUP($I1191,Dashboard!$Q$15:$R$20,2,FALSE)*IF($E1191="Red",Dashboard!$R$6,IF($E1191="Gold",Dashboard!$R$7,Dashboard!$R$5))*IF(ISNUMBER(SEARCH("Duals",$B1191)),2,IF(ISNUMBER(SEARCH("Triples",$B1191)),3,IF(ISNUMBER(SEARCH("Quads",$B1191)),4,1))),2))*IF(IFERROR(VLOOKUP($B1191,Dashboard!$Q$28:$S$60,3,FALSE),0)&gt;0,VLOOKUP($B1191,Dashboard!$Q$28:$S$60,3,FALSE),1))),0))</f>
        <v>0</v>
      </c>
      <c r="K1191" s="2" t="str">
        <f>IF('Base S2'!J91="","",'Base S2'!J91)</f>
        <v/>
      </c>
      <c r="L1191" s="2">
        <f t="shared" si="234"/>
        <v>0</v>
      </c>
      <c r="M1191" s="2">
        <f t="shared" si="235"/>
        <v>0</v>
      </c>
      <c r="N1191" s="2">
        <f t="shared" si="236"/>
        <v>0</v>
      </c>
      <c r="O1191" s="2">
        <f t="shared" si="237"/>
        <v>0</v>
      </c>
      <c r="P1191" s="112">
        <f t="shared" si="238"/>
        <v>0</v>
      </c>
      <c r="Q1191" s="112">
        <f t="shared" si="239"/>
        <v>0</v>
      </c>
      <c r="R1191" s="53"/>
      <c r="S1191" s="53" t="str">
        <f t="shared" si="240"/>
        <v>Base S2|Printing Plates Parallel - Season 2|190|Printing Plate</v>
      </c>
      <c r="T1191" s="57" t="str">
        <f>IF($S1191="","",IFERROR(VLOOKUP($S1191,'Pop Estimates (Non-#d)'!$N$2:$O$500,2,FALSE),""))</f>
        <v/>
      </c>
      <c r="U1191" s="57">
        <f t="shared" si="241"/>
        <v>4</v>
      </c>
      <c r="V1191" s="53" t="str">
        <f t="shared" si="242"/>
        <v/>
      </c>
      <c r="W1191" s="53" t="str">
        <f t="shared" si="243"/>
        <v/>
      </c>
      <c r="X1191" s="53" t="str">
        <f t="shared" si="244"/>
        <v/>
      </c>
      <c r="Y1191" s="57" t="str">
        <f>IF($X1191="","",IFERROR(VLOOKUP($X1191,'Char Popularity'!$A$2:$C$500,2,FALSE),""))</f>
        <v/>
      </c>
      <c r="Z1191" s="56">
        <f>IF($X1191="",1,IFERROR(VLOOKUP($X1191,'Char Popularity'!$A$2:$C$500,3,FALSE),1))</f>
        <v>1</v>
      </c>
      <c r="AA1191" s="62">
        <f>IF($H1191&lt;&gt;"Y",0,(IF($F1191&lt;&gt;"",ROUND(Dashboard!$R$4/$F1191,1),IF(AND($I1191="Base",$E1191="Base"),Dashboard!$R$5,IF(AND($I1191="Base",$E1191="Red"),Dashboard!$R$6,IF(AND($I1191="Base",$E1191="Gold"),Dashboard!$R$7,VLOOKUP($I1191,Dashboard!$Q$16:$R$21,2,FALSE)))))*VLOOKUP($I1191,Dashboard!$Q$9:$R$13,2,FALSE)*IF(AND($I1191="Auto",$F1191="",OR($B1191="Autographs Duals",$B1191="Autographs Triples",$B1191="Autographs Quads",$B1191="Autographs Quads (Inscribed)")),IF($B1191="Autographs Duals",2,IF($B1191="Autographs Triples",3,4)),1)))</f>
        <v>0</v>
      </c>
      <c r="AB1191" s="62">
        <f t="shared" si="245"/>
        <v>0</v>
      </c>
      <c r="AC1191" s="62">
        <f t="shared" si="246"/>
        <v>0</v>
      </c>
    </row>
    <row r="1192" spans="1:29" ht="42.95" customHeight="1" x14ac:dyDescent="0.25">
      <c r="A1192" s="4" t="s">
        <v>19</v>
      </c>
      <c r="B1192" s="7" t="s">
        <v>793</v>
      </c>
      <c r="C1192" s="2" t="s">
        <v>1590</v>
      </c>
      <c r="D1192" s="7" t="s">
        <v>1187</v>
      </c>
      <c r="E1192" s="4" t="s">
        <v>829</v>
      </c>
      <c r="F1192" s="2">
        <v>4</v>
      </c>
      <c r="G1192" s="2" t="s">
        <v>1400</v>
      </c>
      <c r="H1192" s="2" t="s">
        <v>1399</v>
      </c>
      <c r="I1192" s="4" t="s">
        <v>60</v>
      </c>
      <c r="J1192" s="112">
        <f>IF($H1192&lt;&gt;"Y",0,ROUND(MIN(Dashboard!$R$24,IF(IFERROR(VLOOKUP($B1192,Dashboard!$Q$28:$S$60,2,FALSE),0)&gt;0,IFERROR(VLOOKUP($B1192,Dashboard!$Q$28:$S$60,2,FALSE),0),$Z1192*IF($U1192&lt;&gt;"",ROUND((Dashboard!$R$4/$U1192)*VLOOKUP($I1192,Dashboard!$Q$9:$R$13,2,FALSE)*IF(ISNUMBER(SEARCH("Duals",$B1192)),2,IF(ISNUMBER(SEARCH("Triples",$B1192)),3,IF(ISNUMBER(SEARCH("Quads",$B1192)),4,1))),2),ROUND(VLOOKUP($I1192,Dashboard!$Q$15:$R$20,2,FALSE)*IF($E1192="Red",Dashboard!$R$6,IF($E1192="Gold",Dashboard!$R$7,Dashboard!$R$5))*IF(ISNUMBER(SEARCH("Duals",$B1192)),2,IF(ISNUMBER(SEARCH("Triples",$B1192)),3,IF(ISNUMBER(SEARCH("Quads",$B1192)),4,1))),2))*IF(IFERROR(VLOOKUP($B1192,Dashboard!$Q$28:$S$60,3,FALSE),0)&gt;0,VLOOKUP($B1192,Dashboard!$Q$28:$S$60,3,FALSE),1))),0))</f>
        <v>0</v>
      </c>
      <c r="K1192" s="2" t="str">
        <f>IF('Base S2'!J92="","",'Base S2'!J92)</f>
        <v/>
      </c>
      <c r="L1192" s="2">
        <f t="shared" si="234"/>
        <v>0</v>
      </c>
      <c r="M1192" s="2">
        <f t="shared" si="235"/>
        <v>0</v>
      </c>
      <c r="N1192" s="2">
        <f t="shared" si="236"/>
        <v>0</v>
      </c>
      <c r="O1192" s="2">
        <f t="shared" si="237"/>
        <v>0</v>
      </c>
      <c r="P1192" s="112">
        <f t="shared" si="238"/>
        <v>0</v>
      </c>
      <c r="Q1192" s="112">
        <f t="shared" si="239"/>
        <v>0</v>
      </c>
      <c r="R1192" s="53"/>
      <c r="S1192" s="53" t="str">
        <f t="shared" si="240"/>
        <v>Base S2|Printing Plates Parallel - Season 2|191|Printing Plate</v>
      </c>
      <c r="T1192" s="57" t="str">
        <f>IF($S1192="","",IFERROR(VLOOKUP($S1192,'Pop Estimates (Non-#d)'!$N$2:$O$500,2,FALSE),""))</f>
        <v/>
      </c>
      <c r="U1192" s="57">
        <f t="shared" si="241"/>
        <v>4</v>
      </c>
      <c r="V1192" s="53" t="str">
        <f t="shared" si="242"/>
        <v/>
      </c>
      <c r="W1192" s="53" t="str">
        <f t="shared" si="243"/>
        <v/>
      </c>
      <c r="X1192" s="53" t="str">
        <f t="shared" si="244"/>
        <v/>
      </c>
      <c r="Y1192" s="57" t="str">
        <f>IF($X1192="","",IFERROR(VLOOKUP($X1192,'Char Popularity'!$A$2:$C$500,2,FALSE),""))</f>
        <v/>
      </c>
      <c r="Z1192" s="56">
        <f>IF($X1192="",1,IFERROR(VLOOKUP($X1192,'Char Popularity'!$A$2:$C$500,3,FALSE),1))</f>
        <v>1</v>
      </c>
      <c r="AA1192" s="62">
        <f>IF($H1192&lt;&gt;"Y",0,(IF($F1192&lt;&gt;"",ROUND(Dashboard!$R$4/$F1192,1),IF(AND($I1192="Base",$E1192="Base"),Dashboard!$R$5,IF(AND($I1192="Base",$E1192="Red"),Dashboard!$R$6,IF(AND($I1192="Base",$E1192="Gold"),Dashboard!$R$7,VLOOKUP($I1192,Dashboard!$Q$16:$R$21,2,FALSE)))))*VLOOKUP($I1192,Dashboard!$Q$9:$R$13,2,FALSE)*IF(AND($I1192="Auto",$F1192="",OR($B1192="Autographs Duals",$B1192="Autographs Triples",$B1192="Autographs Quads",$B1192="Autographs Quads (Inscribed)")),IF($B1192="Autographs Duals",2,IF($B1192="Autographs Triples",3,4)),1)))</f>
        <v>0</v>
      </c>
      <c r="AB1192" s="62">
        <f t="shared" si="245"/>
        <v>0</v>
      </c>
      <c r="AC1192" s="62">
        <f t="shared" si="246"/>
        <v>0</v>
      </c>
    </row>
    <row r="1193" spans="1:29" ht="42.95" customHeight="1" x14ac:dyDescent="0.25">
      <c r="A1193" s="4" t="s">
        <v>19</v>
      </c>
      <c r="B1193" s="7" t="s">
        <v>793</v>
      </c>
      <c r="C1193" s="2" t="s">
        <v>1591</v>
      </c>
      <c r="D1193" s="7" t="s">
        <v>1188</v>
      </c>
      <c r="E1193" s="4" t="s">
        <v>829</v>
      </c>
      <c r="F1193" s="2">
        <v>4</v>
      </c>
      <c r="G1193" s="2" t="s">
        <v>1400</v>
      </c>
      <c r="H1193" s="2" t="s">
        <v>1399</v>
      </c>
      <c r="I1193" s="4" t="s">
        <v>60</v>
      </c>
      <c r="J1193" s="112">
        <f>IF($H1193&lt;&gt;"Y",0,ROUND(MIN(Dashboard!$R$24,IF(IFERROR(VLOOKUP($B1193,Dashboard!$Q$28:$S$60,2,FALSE),0)&gt;0,IFERROR(VLOOKUP($B1193,Dashboard!$Q$28:$S$60,2,FALSE),0),$Z1193*IF($U1193&lt;&gt;"",ROUND((Dashboard!$R$4/$U1193)*VLOOKUP($I1193,Dashboard!$Q$9:$R$13,2,FALSE)*IF(ISNUMBER(SEARCH("Duals",$B1193)),2,IF(ISNUMBER(SEARCH("Triples",$B1193)),3,IF(ISNUMBER(SEARCH("Quads",$B1193)),4,1))),2),ROUND(VLOOKUP($I1193,Dashboard!$Q$15:$R$20,2,FALSE)*IF($E1193="Red",Dashboard!$R$6,IF($E1193="Gold",Dashboard!$R$7,Dashboard!$R$5))*IF(ISNUMBER(SEARCH("Duals",$B1193)),2,IF(ISNUMBER(SEARCH("Triples",$B1193)),3,IF(ISNUMBER(SEARCH("Quads",$B1193)),4,1))),2))*IF(IFERROR(VLOOKUP($B1193,Dashboard!$Q$28:$S$60,3,FALSE),0)&gt;0,VLOOKUP($B1193,Dashboard!$Q$28:$S$60,3,FALSE),1))),0))</f>
        <v>0</v>
      </c>
      <c r="K1193" s="2" t="str">
        <f>IF('Base S2'!J93="","",'Base S2'!J93)</f>
        <v/>
      </c>
      <c r="L1193" s="2">
        <f t="shared" si="234"/>
        <v>0</v>
      </c>
      <c r="M1193" s="2">
        <f t="shared" si="235"/>
        <v>0</v>
      </c>
      <c r="N1193" s="2">
        <f t="shared" si="236"/>
        <v>0</v>
      </c>
      <c r="O1193" s="2">
        <f t="shared" si="237"/>
        <v>0</v>
      </c>
      <c r="P1193" s="112">
        <f t="shared" si="238"/>
        <v>0</v>
      </c>
      <c r="Q1193" s="112">
        <f t="shared" si="239"/>
        <v>0</v>
      </c>
      <c r="R1193" s="53"/>
      <c r="S1193" s="53" t="str">
        <f t="shared" si="240"/>
        <v>Base S2|Printing Plates Parallel - Season 2|192|Printing Plate</v>
      </c>
      <c r="T1193" s="57" t="str">
        <f>IF($S1193="","",IFERROR(VLOOKUP($S1193,'Pop Estimates (Non-#d)'!$N$2:$O$500,2,FALSE),""))</f>
        <v/>
      </c>
      <c r="U1193" s="57">
        <f t="shared" si="241"/>
        <v>4</v>
      </c>
      <c r="V1193" s="53" t="str">
        <f t="shared" si="242"/>
        <v/>
      </c>
      <c r="W1193" s="53" t="str">
        <f t="shared" si="243"/>
        <v/>
      </c>
      <c r="X1193" s="53" t="str">
        <f t="shared" si="244"/>
        <v/>
      </c>
      <c r="Y1193" s="57" t="str">
        <f>IF($X1193="","",IFERROR(VLOOKUP($X1193,'Char Popularity'!$A$2:$C$500,2,FALSE),""))</f>
        <v/>
      </c>
      <c r="Z1193" s="56">
        <f>IF($X1193="",1,IFERROR(VLOOKUP($X1193,'Char Popularity'!$A$2:$C$500,3,FALSE),1))</f>
        <v>1</v>
      </c>
      <c r="AA1193" s="62">
        <f>IF($H1193&lt;&gt;"Y",0,(IF($F1193&lt;&gt;"",ROUND(Dashboard!$R$4/$F1193,1),IF(AND($I1193="Base",$E1193="Base"),Dashboard!$R$5,IF(AND($I1193="Base",$E1193="Red"),Dashboard!$R$6,IF(AND($I1193="Base",$E1193="Gold"),Dashboard!$R$7,VLOOKUP($I1193,Dashboard!$Q$16:$R$21,2,FALSE)))))*VLOOKUP($I1193,Dashboard!$Q$9:$R$13,2,FALSE)*IF(AND($I1193="Auto",$F1193="",OR($B1193="Autographs Duals",$B1193="Autographs Triples",$B1193="Autographs Quads",$B1193="Autographs Quads (Inscribed)")),IF($B1193="Autographs Duals",2,IF($B1193="Autographs Triples",3,4)),1)))</f>
        <v>0</v>
      </c>
      <c r="AB1193" s="62">
        <f t="shared" si="245"/>
        <v>0</v>
      </c>
      <c r="AC1193" s="62">
        <f t="shared" si="246"/>
        <v>0</v>
      </c>
    </row>
    <row r="1194" spans="1:29" ht="42.95" customHeight="1" x14ac:dyDescent="0.25">
      <c r="A1194" s="4" t="s">
        <v>19</v>
      </c>
      <c r="B1194" s="7" t="s">
        <v>793</v>
      </c>
      <c r="C1194" s="2" t="s">
        <v>1592</v>
      </c>
      <c r="D1194" s="7" t="s">
        <v>1190</v>
      </c>
      <c r="E1194" s="4" t="s">
        <v>829</v>
      </c>
      <c r="F1194" s="2">
        <v>4</v>
      </c>
      <c r="G1194" s="2" t="s">
        <v>1400</v>
      </c>
      <c r="H1194" s="2" t="s">
        <v>1399</v>
      </c>
      <c r="I1194" s="4" t="s">
        <v>60</v>
      </c>
      <c r="J1194" s="112">
        <f>IF($H1194&lt;&gt;"Y",0,ROUND(MIN(Dashboard!$R$24,IF(IFERROR(VLOOKUP($B1194,Dashboard!$Q$28:$S$60,2,FALSE),0)&gt;0,IFERROR(VLOOKUP($B1194,Dashboard!$Q$28:$S$60,2,FALSE),0),$Z1194*IF($U1194&lt;&gt;"",ROUND((Dashboard!$R$4/$U1194)*VLOOKUP($I1194,Dashboard!$Q$9:$R$13,2,FALSE)*IF(ISNUMBER(SEARCH("Duals",$B1194)),2,IF(ISNUMBER(SEARCH("Triples",$B1194)),3,IF(ISNUMBER(SEARCH("Quads",$B1194)),4,1))),2),ROUND(VLOOKUP($I1194,Dashboard!$Q$15:$R$20,2,FALSE)*IF($E1194="Red",Dashboard!$R$6,IF($E1194="Gold",Dashboard!$R$7,Dashboard!$R$5))*IF(ISNUMBER(SEARCH("Duals",$B1194)),2,IF(ISNUMBER(SEARCH("Triples",$B1194)),3,IF(ISNUMBER(SEARCH("Quads",$B1194)),4,1))),2))*IF(IFERROR(VLOOKUP($B1194,Dashboard!$Q$28:$S$60,3,FALSE),0)&gt;0,VLOOKUP($B1194,Dashboard!$Q$28:$S$60,3,FALSE),1))),0))</f>
        <v>0</v>
      </c>
      <c r="K1194" s="2" t="str">
        <f>IF('Base S2'!J94="","",'Base S2'!J94)</f>
        <v/>
      </c>
      <c r="L1194" s="2">
        <f t="shared" si="234"/>
        <v>0</v>
      </c>
      <c r="M1194" s="2">
        <f t="shared" si="235"/>
        <v>0</v>
      </c>
      <c r="N1194" s="2">
        <f t="shared" si="236"/>
        <v>0</v>
      </c>
      <c r="O1194" s="2">
        <f t="shared" si="237"/>
        <v>0</v>
      </c>
      <c r="P1194" s="112">
        <f t="shared" si="238"/>
        <v>0</v>
      </c>
      <c r="Q1194" s="112">
        <f t="shared" si="239"/>
        <v>0</v>
      </c>
      <c r="R1194" s="53"/>
      <c r="S1194" s="53" t="str">
        <f t="shared" si="240"/>
        <v>Base S2|Printing Plates Parallel - Season 2|193|Printing Plate</v>
      </c>
      <c r="T1194" s="57" t="str">
        <f>IF($S1194="","",IFERROR(VLOOKUP($S1194,'Pop Estimates (Non-#d)'!$N$2:$O$500,2,FALSE),""))</f>
        <v/>
      </c>
      <c r="U1194" s="57">
        <f t="shared" si="241"/>
        <v>4</v>
      </c>
      <c r="V1194" s="53" t="str">
        <f t="shared" si="242"/>
        <v/>
      </c>
      <c r="W1194" s="53" t="str">
        <f t="shared" si="243"/>
        <v/>
      </c>
      <c r="X1194" s="53" t="str">
        <f t="shared" si="244"/>
        <v/>
      </c>
      <c r="Y1194" s="57" t="str">
        <f>IF($X1194="","",IFERROR(VLOOKUP($X1194,'Char Popularity'!$A$2:$C$500,2,FALSE),""))</f>
        <v/>
      </c>
      <c r="Z1194" s="56">
        <f>IF($X1194="",1,IFERROR(VLOOKUP($X1194,'Char Popularity'!$A$2:$C$500,3,FALSE),1))</f>
        <v>1</v>
      </c>
      <c r="AA1194" s="62">
        <f>IF($H1194&lt;&gt;"Y",0,(IF($F1194&lt;&gt;"",ROUND(Dashboard!$R$4/$F1194,1),IF(AND($I1194="Base",$E1194="Base"),Dashboard!$R$5,IF(AND($I1194="Base",$E1194="Red"),Dashboard!$R$6,IF(AND($I1194="Base",$E1194="Gold"),Dashboard!$R$7,VLOOKUP($I1194,Dashboard!$Q$16:$R$21,2,FALSE)))))*VLOOKUP($I1194,Dashboard!$Q$9:$R$13,2,FALSE)*IF(AND($I1194="Auto",$F1194="",OR($B1194="Autographs Duals",$B1194="Autographs Triples",$B1194="Autographs Quads",$B1194="Autographs Quads (Inscribed)")),IF($B1194="Autographs Duals",2,IF($B1194="Autographs Triples",3,4)),1)))</f>
        <v>0</v>
      </c>
      <c r="AB1194" s="62">
        <f t="shared" si="245"/>
        <v>0</v>
      </c>
      <c r="AC1194" s="62">
        <f t="shared" si="246"/>
        <v>0</v>
      </c>
    </row>
    <row r="1195" spans="1:29" ht="42.95" customHeight="1" x14ac:dyDescent="0.25">
      <c r="A1195" s="4" t="s">
        <v>19</v>
      </c>
      <c r="B1195" s="7" t="s">
        <v>793</v>
      </c>
      <c r="C1195" s="2" t="s">
        <v>1593</v>
      </c>
      <c r="D1195" s="7" t="s">
        <v>1191</v>
      </c>
      <c r="E1195" s="4" t="s">
        <v>829</v>
      </c>
      <c r="F1195" s="2">
        <v>4</v>
      </c>
      <c r="G1195" s="2" t="s">
        <v>1400</v>
      </c>
      <c r="H1195" s="2" t="s">
        <v>1399</v>
      </c>
      <c r="I1195" s="4" t="s">
        <v>60</v>
      </c>
      <c r="J1195" s="112">
        <f>IF($H1195&lt;&gt;"Y",0,ROUND(MIN(Dashboard!$R$24,IF(IFERROR(VLOOKUP($B1195,Dashboard!$Q$28:$S$60,2,FALSE),0)&gt;0,IFERROR(VLOOKUP($B1195,Dashboard!$Q$28:$S$60,2,FALSE),0),$Z1195*IF($U1195&lt;&gt;"",ROUND((Dashboard!$R$4/$U1195)*VLOOKUP($I1195,Dashboard!$Q$9:$R$13,2,FALSE)*IF(ISNUMBER(SEARCH("Duals",$B1195)),2,IF(ISNUMBER(SEARCH("Triples",$B1195)),3,IF(ISNUMBER(SEARCH("Quads",$B1195)),4,1))),2),ROUND(VLOOKUP($I1195,Dashboard!$Q$15:$R$20,2,FALSE)*IF($E1195="Red",Dashboard!$R$6,IF($E1195="Gold",Dashboard!$R$7,Dashboard!$R$5))*IF(ISNUMBER(SEARCH("Duals",$B1195)),2,IF(ISNUMBER(SEARCH("Triples",$B1195)),3,IF(ISNUMBER(SEARCH("Quads",$B1195)),4,1))),2))*IF(IFERROR(VLOOKUP($B1195,Dashboard!$Q$28:$S$60,3,FALSE),0)&gt;0,VLOOKUP($B1195,Dashboard!$Q$28:$S$60,3,FALSE),1))),0))</f>
        <v>0</v>
      </c>
      <c r="K1195" s="2" t="str">
        <f>IF('Base S2'!J95="","",'Base S2'!J95)</f>
        <v/>
      </c>
      <c r="L1195" s="2">
        <f t="shared" si="234"/>
        <v>0</v>
      </c>
      <c r="M1195" s="2">
        <f t="shared" si="235"/>
        <v>0</v>
      </c>
      <c r="N1195" s="2">
        <f t="shared" si="236"/>
        <v>0</v>
      </c>
      <c r="O1195" s="2">
        <f t="shared" si="237"/>
        <v>0</v>
      </c>
      <c r="P1195" s="112">
        <f t="shared" si="238"/>
        <v>0</v>
      </c>
      <c r="Q1195" s="112">
        <f t="shared" si="239"/>
        <v>0</v>
      </c>
      <c r="R1195" s="53"/>
      <c r="S1195" s="53" t="str">
        <f t="shared" si="240"/>
        <v>Base S2|Printing Plates Parallel - Season 2|194|Printing Plate</v>
      </c>
      <c r="T1195" s="57" t="str">
        <f>IF($S1195="","",IFERROR(VLOOKUP($S1195,'Pop Estimates (Non-#d)'!$N$2:$O$500,2,FALSE),""))</f>
        <v/>
      </c>
      <c r="U1195" s="57">
        <f t="shared" si="241"/>
        <v>4</v>
      </c>
      <c r="V1195" s="53" t="str">
        <f t="shared" si="242"/>
        <v/>
      </c>
      <c r="W1195" s="53" t="str">
        <f t="shared" si="243"/>
        <v/>
      </c>
      <c r="X1195" s="53" t="str">
        <f t="shared" si="244"/>
        <v/>
      </c>
      <c r="Y1195" s="57" t="str">
        <f>IF($X1195="","",IFERROR(VLOOKUP($X1195,'Char Popularity'!$A$2:$C$500,2,FALSE),""))</f>
        <v/>
      </c>
      <c r="Z1195" s="56">
        <f>IF($X1195="",1,IFERROR(VLOOKUP($X1195,'Char Popularity'!$A$2:$C$500,3,FALSE),1))</f>
        <v>1</v>
      </c>
      <c r="AA1195" s="62">
        <f>IF($H1195&lt;&gt;"Y",0,(IF($F1195&lt;&gt;"",ROUND(Dashboard!$R$4/$F1195,1),IF(AND($I1195="Base",$E1195="Base"),Dashboard!$R$5,IF(AND($I1195="Base",$E1195="Red"),Dashboard!$R$6,IF(AND($I1195="Base",$E1195="Gold"),Dashboard!$R$7,VLOOKUP($I1195,Dashboard!$Q$16:$R$21,2,FALSE)))))*VLOOKUP($I1195,Dashboard!$Q$9:$R$13,2,FALSE)*IF(AND($I1195="Auto",$F1195="",OR($B1195="Autographs Duals",$B1195="Autographs Triples",$B1195="Autographs Quads",$B1195="Autographs Quads (Inscribed)")),IF($B1195="Autographs Duals",2,IF($B1195="Autographs Triples",3,4)),1)))</f>
        <v>0</v>
      </c>
      <c r="AB1195" s="62">
        <f t="shared" si="245"/>
        <v>0</v>
      </c>
      <c r="AC1195" s="62">
        <f t="shared" si="246"/>
        <v>0</v>
      </c>
    </row>
    <row r="1196" spans="1:29" ht="42.95" customHeight="1" x14ac:dyDescent="0.25">
      <c r="A1196" s="4" t="s">
        <v>19</v>
      </c>
      <c r="B1196" s="7" t="s">
        <v>793</v>
      </c>
      <c r="C1196" s="2" t="s">
        <v>1594</v>
      </c>
      <c r="D1196" s="7" t="s">
        <v>1192</v>
      </c>
      <c r="E1196" s="4" t="s">
        <v>829</v>
      </c>
      <c r="F1196" s="2">
        <v>4</v>
      </c>
      <c r="G1196" s="2" t="s">
        <v>1400</v>
      </c>
      <c r="H1196" s="2" t="s">
        <v>1399</v>
      </c>
      <c r="I1196" s="4" t="s">
        <v>60</v>
      </c>
      <c r="J1196" s="112">
        <f>IF($H1196&lt;&gt;"Y",0,ROUND(MIN(Dashboard!$R$24,IF(IFERROR(VLOOKUP($B1196,Dashboard!$Q$28:$S$60,2,FALSE),0)&gt;0,IFERROR(VLOOKUP($B1196,Dashboard!$Q$28:$S$60,2,FALSE),0),$Z1196*IF($U1196&lt;&gt;"",ROUND((Dashboard!$R$4/$U1196)*VLOOKUP($I1196,Dashboard!$Q$9:$R$13,2,FALSE)*IF(ISNUMBER(SEARCH("Duals",$B1196)),2,IF(ISNUMBER(SEARCH("Triples",$B1196)),3,IF(ISNUMBER(SEARCH("Quads",$B1196)),4,1))),2),ROUND(VLOOKUP($I1196,Dashboard!$Q$15:$R$20,2,FALSE)*IF($E1196="Red",Dashboard!$R$6,IF($E1196="Gold",Dashboard!$R$7,Dashboard!$R$5))*IF(ISNUMBER(SEARCH("Duals",$B1196)),2,IF(ISNUMBER(SEARCH("Triples",$B1196)),3,IF(ISNUMBER(SEARCH("Quads",$B1196)),4,1))),2))*IF(IFERROR(VLOOKUP($B1196,Dashboard!$Q$28:$S$60,3,FALSE),0)&gt;0,VLOOKUP($B1196,Dashboard!$Q$28:$S$60,3,FALSE),1))),0))</f>
        <v>0</v>
      </c>
      <c r="K1196" s="2" t="str">
        <f>IF('Base S2'!J96="","",'Base S2'!J96)</f>
        <v/>
      </c>
      <c r="L1196" s="2">
        <f t="shared" si="234"/>
        <v>0</v>
      </c>
      <c r="M1196" s="2">
        <f t="shared" si="235"/>
        <v>0</v>
      </c>
      <c r="N1196" s="2">
        <f t="shared" si="236"/>
        <v>0</v>
      </c>
      <c r="O1196" s="2">
        <f t="shared" si="237"/>
        <v>0</v>
      </c>
      <c r="P1196" s="112">
        <f t="shared" si="238"/>
        <v>0</v>
      </c>
      <c r="Q1196" s="112">
        <f t="shared" si="239"/>
        <v>0</v>
      </c>
      <c r="R1196" s="53"/>
      <c r="S1196" s="53" t="str">
        <f t="shared" si="240"/>
        <v>Base S2|Printing Plates Parallel - Season 2|195|Printing Plate</v>
      </c>
      <c r="T1196" s="57" t="str">
        <f>IF($S1196="","",IFERROR(VLOOKUP($S1196,'Pop Estimates (Non-#d)'!$N$2:$O$500,2,FALSE),""))</f>
        <v/>
      </c>
      <c r="U1196" s="57">
        <f t="shared" si="241"/>
        <v>4</v>
      </c>
      <c r="V1196" s="53" t="str">
        <f t="shared" si="242"/>
        <v/>
      </c>
      <c r="W1196" s="53" t="str">
        <f t="shared" si="243"/>
        <v/>
      </c>
      <c r="X1196" s="53" t="str">
        <f t="shared" si="244"/>
        <v/>
      </c>
      <c r="Y1196" s="57" t="str">
        <f>IF($X1196="","",IFERROR(VLOOKUP($X1196,'Char Popularity'!$A$2:$C$500,2,FALSE),""))</f>
        <v/>
      </c>
      <c r="Z1196" s="56">
        <f>IF($X1196="",1,IFERROR(VLOOKUP($X1196,'Char Popularity'!$A$2:$C$500,3,FALSE),1))</f>
        <v>1</v>
      </c>
      <c r="AA1196" s="62">
        <f>IF($H1196&lt;&gt;"Y",0,(IF($F1196&lt;&gt;"",ROUND(Dashboard!$R$4/$F1196,1),IF(AND($I1196="Base",$E1196="Base"),Dashboard!$R$5,IF(AND($I1196="Base",$E1196="Red"),Dashboard!$R$6,IF(AND($I1196="Base",$E1196="Gold"),Dashboard!$R$7,VLOOKUP($I1196,Dashboard!$Q$16:$R$21,2,FALSE)))))*VLOOKUP($I1196,Dashboard!$Q$9:$R$13,2,FALSE)*IF(AND($I1196="Auto",$F1196="",OR($B1196="Autographs Duals",$B1196="Autographs Triples",$B1196="Autographs Quads",$B1196="Autographs Quads (Inscribed)")),IF($B1196="Autographs Duals",2,IF($B1196="Autographs Triples",3,4)),1)))</f>
        <v>0</v>
      </c>
      <c r="AB1196" s="62">
        <f t="shared" si="245"/>
        <v>0</v>
      </c>
      <c r="AC1196" s="62">
        <f t="shared" si="246"/>
        <v>0</v>
      </c>
    </row>
    <row r="1197" spans="1:29" ht="42.95" customHeight="1" x14ac:dyDescent="0.25">
      <c r="A1197" s="4" t="s">
        <v>19</v>
      </c>
      <c r="B1197" s="7" t="s">
        <v>793</v>
      </c>
      <c r="C1197" s="2" t="s">
        <v>1595</v>
      </c>
      <c r="D1197" s="7" t="s">
        <v>1193</v>
      </c>
      <c r="E1197" s="4" t="s">
        <v>829</v>
      </c>
      <c r="F1197" s="2">
        <v>4</v>
      </c>
      <c r="G1197" s="2" t="s">
        <v>1400</v>
      </c>
      <c r="H1197" s="2" t="s">
        <v>1399</v>
      </c>
      <c r="I1197" s="4" t="s">
        <v>60</v>
      </c>
      <c r="J1197" s="112">
        <f>IF($H1197&lt;&gt;"Y",0,ROUND(MIN(Dashboard!$R$24,IF(IFERROR(VLOOKUP($B1197,Dashboard!$Q$28:$S$60,2,FALSE),0)&gt;0,IFERROR(VLOOKUP($B1197,Dashboard!$Q$28:$S$60,2,FALSE),0),$Z1197*IF($U1197&lt;&gt;"",ROUND((Dashboard!$R$4/$U1197)*VLOOKUP($I1197,Dashboard!$Q$9:$R$13,2,FALSE)*IF(ISNUMBER(SEARCH("Duals",$B1197)),2,IF(ISNUMBER(SEARCH("Triples",$B1197)),3,IF(ISNUMBER(SEARCH("Quads",$B1197)),4,1))),2),ROUND(VLOOKUP($I1197,Dashboard!$Q$15:$R$20,2,FALSE)*IF($E1197="Red",Dashboard!$R$6,IF($E1197="Gold",Dashboard!$R$7,Dashboard!$R$5))*IF(ISNUMBER(SEARCH("Duals",$B1197)),2,IF(ISNUMBER(SEARCH("Triples",$B1197)),3,IF(ISNUMBER(SEARCH("Quads",$B1197)),4,1))),2))*IF(IFERROR(VLOOKUP($B1197,Dashboard!$Q$28:$S$60,3,FALSE),0)&gt;0,VLOOKUP($B1197,Dashboard!$Q$28:$S$60,3,FALSE),1))),0))</f>
        <v>0</v>
      </c>
      <c r="K1197" s="2" t="str">
        <f>IF('Base S2'!J97="","",'Base S2'!J97)</f>
        <v/>
      </c>
      <c r="L1197" s="2">
        <f t="shared" si="234"/>
        <v>0</v>
      </c>
      <c r="M1197" s="2">
        <f t="shared" si="235"/>
        <v>0</v>
      </c>
      <c r="N1197" s="2">
        <f t="shared" si="236"/>
        <v>0</v>
      </c>
      <c r="O1197" s="2">
        <f t="shared" si="237"/>
        <v>0</v>
      </c>
      <c r="P1197" s="112">
        <f t="shared" si="238"/>
        <v>0</v>
      </c>
      <c r="Q1197" s="112">
        <f t="shared" si="239"/>
        <v>0</v>
      </c>
      <c r="R1197" s="53"/>
      <c r="S1197" s="53" t="str">
        <f t="shared" si="240"/>
        <v>Base S2|Printing Plates Parallel - Season 2|196|Printing Plate</v>
      </c>
      <c r="T1197" s="57" t="str">
        <f>IF($S1197="","",IFERROR(VLOOKUP($S1197,'Pop Estimates (Non-#d)'!$N$2:$O$500,2,FALSE),""))</f>
        <v/>
      </c>
      <c r="U1197" s="57">
        <f t="shared" si="241"/>
        <v>4</v>
      </c>
      <c r="V1197" s="53" t="str">
        <f t="shared" si="242"/>
        <v/>
      </c>
      <c r="W1197" s="53" t="str">
        <f t="shared" si="243"/>
        <v/>
      </c>
      <c r="X1197" s="53" t="str">
        <f t="shared" si="244"/>
        <v/>
      </c>
      <c r="Y1197" s="57" t="str">
        <f>IF($X1197="","",IFERROR(VLOOKUP($X1197,'Char Popularity'!$A$2:$C$500,2,FALSE),""))</f>
        <v/>
      </c>
      <c r="Z1197" s="56">
        <f>IF($X1197="",1,IFERROR(VLOOKUP($X1197,'Char Popularity'!$A$2:$C$500,3,FALSE),1))</f>
        <v>1</v>
      </c>
      <c r="AA1197" s="62">
        <f>IF($H1197&lt;&gt;"Y",0,(IF($F1197&lt;&gt;"",ROUND(Dashboard!$R$4/$F1197,1),IF(AND($I1197="Base",$E1197="Base"),Dashboard!$R$5,IF(AND($I1197="Base",$E1197="Red"),Dashboard!$R$6,IF(AND($I1197="Base",$E1197="Gold"),Dashboard!$R$7,VLOOKUP($I1197,Dashboard!$Q$16:$R$21,2,FALSE)))))*VLOOKUP($I1197,Dashboard!$Q$9:$R$13,2,FALSE)*IF(AND($I1197="Auto",$F1197="",OR($B1197="Autographs Duals",$B1197="Autographs Triples",$B1197="Autographs Quads",$B1197="Autographs Quads (Inscribed)")),IF($B1197="Autographs Duals",2,IF($B1197="Autographs Triples",3,4)),1)))</f>
        <v>0</v>
      </c>
      <c r="AB1197" s="62">
        <f t="shared" si="245"/>
        <v>0</v>
      </c>
      <c r="AC1197" s="62">
        <f t="shared" si="246"/>
        <v>0</v>
      </c>
    </row>
    <row r="1198" spans="1:29" ht="42.95" customHeight="1" x14ac:dyDescent="0.25">
      <c r="A1198" s="4" t="s">
        <v>19</v>
      </c>
      <c r="B1198" s="7" t="s">
        <v>793</v>
      </c>
      <c r="C1198" s="2" t="s">
        <v>1596</v>
      </c>
      <c r="D1198" s="7" t="s">
        <v>1195</v>
      </c>
      <c r="E1198" s="4" t="s">
        <v>829</v>
      </c>
      <c r="F1198" s="2">
        <v>4</v>
      </c>
      <c r="G1198" s="2" t="s">
        <v>1400</v>
      </c>
      <c r="H1198" s="2" t="s">
        <v>1399</v>
      </c>
      <c r="I1198" s="4" t="s">
        <v>60</v>
      </c>
      <c r="J1198" s="112">
        <f>IF($H1198&lt;&gt;"Y",0,ROUND(MIN(Dashboard!$R$24,IF(IFERROR(VLOOKUP($B1198,Dashboard!$Q$28:$S$60,2,FALSE),0)&gt;0,IFERROR(VLOOKUP($B1198,Dashboard!$Q$28:$S$60,2,FALSE),0),$Z1198*IF($U1198&lt;&gt;"",ROUND((Dashboard!$R$4/$U1198)*VLOOKUP($I1198,Dashboard!$Q$9:$R$13,2,FALSE)*IF(ISNUMBER(SEARCH("Duals",$B1198)),2,IF(ISNUMBER(SEARCH("Triples",$B1198)),3,IF(ISNUMBER(SEARCH("Quads",$B1198)),4,1))),2),ROUND(VLOOKUP($I1198,Dashboard!$Q$15:$R$20,2,FALSE)*IF($E1198="Red",Dashboard!$R$6,IF($E1198="Gold",Dashboard!$R$7,Dashboard!$R$5))*IF(ISNUMBER(SEARCH("Duals",$B1198)),2,IF(ISNUMBER(SEARCH("Triples",$B1198)),3,IF(ISNUMBER(SEARCH("Quads",$B1198)),4,1))),2))*IF(IFERROR(VLOOKUP($B1198,Dashboard!$Q$28:$S$60,3,FALSE),0)&gt;0,VLOOKUP($B1198,Dashboard!$Q$28:$S$60,3,FALSE),1))),0))</f>
        <v>0</v>
      </c>
      <c r="K1198" s="2" t="str">
        <f>IF('Base S2'!J98="","",'Base S2'!J98)</f>
        <v/>
      </c>
      <c r="L1198" s="2">
        <f t="shared" si="234"/>
        <v>0</v>
      </c>
      <c r="M1198" s="2">
        <f t="shared" si="235"/>
        <v>0</v>
      </c>
      <c r="N1198" s="2">
        <f t="shared" si="236"/>
        <v>0</v>
      </c>
      <c r="O1198" s="2">
        <f t="shared" si="237"/>
        <v>0</v>
      </c>
      <c r="P1198" s="112">
        <f t="shared" si="238"/>
        <v>0</v>
      </c>
      <c r="Q1198" s="112">
        <f t="shared" si="239"/>
        <v>0</v>
      </c>
      <c r="R1198" s="53"/>
      <c r="S1198" s="53" t="str">
        <f t="shared" si="240"/>
        <v>Base S2|Printing Plates Parallel - Season 2|197|Printing Plate</v>
      </c>
      <c r="T1198" s="57" t="str">
        <f>IF($S1198="","",IFERROR(VLOOKUP($S1198,'Pop Estimates (Non-#d)'!$N$2:$O$500,2,FALSE),""))</f>
        <v/>
      </c>
      <c r="U1198" s="57">
        <f t="shared" si="241"/>
        <v>4</v>
      </c>
      <c r="V1198" s="53" t="str">
        <f t="shared" si="242"/>
        <v/>
      </c>
      <c r="W1198" s="53" t="str">
        <f t="shared" si="243"/>
        <v/>
      </c>
      <c r="X1198" s="53" t="str">
        <f t="shared" si="244"/>
        <v/>
      </c>
      <c r="Y1198" s="57" t="str">
        <f>IF($X1198="","",IFERROR(VLOOKUP($X1198,'Char Popularity'!$A$2:$C$500,2,FALSE),""))</f>
        <v/>
      </c>
      <c r="Z1198" s="56">
        <f>IF($X1198="",1,IFERROR(VLOOKUP($X1198,'Char Popularity'!$A$2:$C$500,3,FALSE),1))</f>
        <v>1</v>
      </c>
      <c r="AA1198" s="62">
        <f>IF($H1198&lt;&gt;"Y",0,(IF($F1198&lt;&gt;"",ROUND(Dashboard!$R$4/$F1198,1),IF(AND($I1198="Base",$E1198="Base"),Dashboard!$R$5,IF(AND($I1198="Base",$E1198="Red"),Dashboard!$R$6,IF(AND($I1198="Base",$E1198="Gold"),Dashboard!$R$7,VLOOKUP($I1198,Dashboard!$Q$16:$R$21,2,FALSE)))))*VLOOKUP($I1198,Dashboard!$Q$9:$R$13,2,FALSE)*IF(AND($I1198="Auto",$F1198="",OR($B1198="Autographs Duals",$B1198="Autographs Triples",$B1198="Autographs Quads",$B1198="Autographs Quads (Inscribed)")),IF($B1198="Autographs Duals",2,IF($B1198="Autographs Triples",3,4)),1)))</f>
        <v>0</v>
      </c>
      <c r="AB1198" s="62">
        <f t="shared" si="245"/>
        <v>0</v>
      </c>
      <c r="AC1198" s="62">
        <f t="shared" si="246"/>
        <v>0</v>
      </c>
    </row>
    <row r="1199" spans="1:29" ht="42.95" customHeight="1" x14ac:dyDescent="0.25">
      <c r="A1199" s="4" t="s">
        <v>19</v>
      </c>
      <c r="B1199" s="7" t="s">
        <v>793</v>
      </c>
      <c r="C1199" s="2" t="s">
        <v>1597</v>
      </c>
      <c r="D1199" s="7" t="s">
        <v>1197</v>
      </c>
      <c r="E1199" s="4" t="s">
        <v>829</v>
      </c>
      <c r="F1199" s="2">
        <v>4</v>
      </c>
      <c r="G1199" s="2" t="s">
        <v>1400</v>
      </c>
      <c r="H1199" s="2" t="s">
        <v>1399</v>
      </c>
      <c r="I1199" s="4" t="s">
        <v>60</v>
      </c>
      <c r="J1199" s="112">
        <f>IF($H1199&lt;&gt;"Y",0,ROUND(MIN(Dashboard!$R$24,IF(IFERROR(VLOOKUP($B1199,Dashboard!$Q$28:$S$60,2,FALSE),0)&gt;0,IFERROR(VLOOKUP($B1199,Dashboard!$Q$28:$S$60,2,FALSE),0),$Z1199*IF($U1199&lt;&gt;"",ROUND((Dashboard!$R$4/$U1199)*VLOOKUP($I1199,Dashboard!$Q$9:$R$13,2,FALSE)*IF(ISNUMBER(SEARCH("Duals",$B1199)),2,IF(ISNUMBER(SEARCH("Triples",$B1199)),3,IF(ISNUMBER(SEARCH("Quads",$B1199)),4,1))),2),ROUND(VLOOKUP($I1199,Dashboard!$Q$15:$R$20,2,FALSE)*IF($E1199="Red",Dashboard!$R$6,IF($E1199="Gold",Dashboard!$R$7,Dashboard!$R$5))*IF(ISNUMBER(SEARCH("Duals",$B1199)),2,IF(ISNUMBER(SEARCH("Triples",$B1199)),3,IF(ISNUMBER(SEARCH("Quads",$B1199)),4,1))),2))*IF(IFERROR(VLOOKUP($B1199,Dashboard!$Q$28:$S$60,3,FALSE),0)&gt;0,VLOOKUP($B1199,Dashboard!$Q$28:$S$60,3,FALSE),1))),0))</f>
        <v>0</v>
      </c>
      <c r="K1199" s="2" t="str">
        <f>IF('Base S2'!J99="","",'Base S2'!J99)</f>
        <v/>
      </c>
      <c r="L1199" s="2">
        <f t="shared" si="234"/>
        <v>0</v>
      </c>
      <c r="M1199" s="2">
        <f t="shared" si="235"/>
        <v>0</v>
      </c>
      <c r="N1199" s="2">
        <f t="shared" si="236"/>
        <v>0</v>
      </c>
      <c r="O1199" s="2">
        <f t="shared" si="237"/>
        <v>0</v>
      </c>
      <c r="P1199" s="112">
        <f t="shared" si="238"/>
        <v>0</v>
      </c>
      <c r="Q1199" s="112">
        <f t="shared" si="239"/>
        <v>0</v>
      </c>
      <c r="R1199" s="53"/>
      <c r="S1199" s="53" t="str">
        <f t="shared" si="240"/>
        <v>Base S2|Printing Plates Parallel - Season 2|198|Printing Plate</v>
      </c>
      <c r="T1199" s="57" t="str">
        <f>IF($S1199="","",IFERROR(VLOOKUP($S1199,'Pop Estimates (Non-#d)'!$N$2:$O$500,2,FALSE),""))</f>
        <v/>
      </c>
      <c r="U1199" s="57">
        <f t="shared" si="241"/>
        <v>4</v>
      </c>
      <c r="V1199" s="53" t="str">
        <f t="shared" si="242"/>
        <v/>
      </c>
      <c r="W1199" s="53" t="str">
        <f t="shared" si="243"/>
        <v/>
      </c>
      <c r="X1199" s="53" t="str">
        <f t="shared" si="244"/>
        <v/>
      </c>
      <c r="Y1199" s="57" t="str">
        <f>IF($X1199="","",IFERROR(VLOOKUP($X1199,'Char Popularity'!$A$2:$C$500,2,FALSE),""))</f>
        <v/>
      </c>
      <c r="Z1199" s="56">
        <f>IF($X1199="",1,IFERROR(VLOOKUP($X1199,'Char Popularity'!$A$2:$C$500,3,FALSE),1))</f>
        <v>1</v>
      </c>
      <c r="AA1199" s="62">
        <f>IF($H1199&lt;&gt;"Y",0,(IF($F1199&lt;&gt;"",ROUND(Dashboard!$R$4/$F1199,1),IF(AND($I1199="Base",$E1199="Base"),Dashboard!$R$5,IF(AND($I1199="Base",$E1199="Red"),Dashboard!$R$6,IF(AND($I1199="Base",$E1199="Gold"),Dashboard!$R$7,VLOOKUP($I1199,Dashboard!$Q$16:$R$21,2,FALSE)))))*VLOOKUP($I1199,Dashboard!$Q$9:$R$13,2,FALSE)*IF(AND($I1199="Auto",$F1199="",OR($B1199="Autographs Duals",$B1199="Autographs Triples",$B1199="Autographs Quads",$B1199="Autographs Quads (Inscribed)")),IF($B1199="Autographs Duals",2,IF($B1199="Autographs Triples",3,4)),1)))</f>
        <v>0</v>
      </c>
      <c r="AB1199" s="62">
        <f t="shared" si="245"/>
        <v>0</v>
      </c>
      <c r="AC1199" s="62">
        <f t="shared" si="246"/>
        <v>0</v>
      </c>
    </row>
    <row r="1200" spans="1:29" ht="42.95" customHeight="1" x14ac:dyDescent="0.25">
      <c r="A1200" s="4" t="s">
        <v>19</v>
      </c>
      <c r="B1200" s="7" t="s">
        <v>793</v>
      </c>
      <c r="C1200" s="2" t="s">
        <v>1598</v>
      </c>
      <c r="D1200" s="7" t="s">
        <v>1199</v>
      </c>
      <c r="E1200" s="4" t="s">
        <v>829</v>
      </c>
      <c r="F1200" s="2">
        <v>4</v>
      </c>
      <c r="G1200" s="2" t="s">
        <v>1400</v>
      </c>
      <c r="H1200" s="2" t="s">
        <v>1399</v>
      </c>
      <c r="I1200" s="4" t="s">
        <v>60</v>
      </c>
      <c r="J1200" s="112">
        <f>IF($H1200&lt;&gt;"Y",0,ROUND(MIN(Dashboard!$R$24,IF(IFERROR(VLOOKUP($B1200,Dashboard!$Q$28:$S$60,2,FALSE),0)&gt;0,IFERROR(VLOOKUP($B1200,Dashboard!$Q$28:$S$60,2,FALSE),0),$Z1200*IF($U1200&lt;&gt;"",ROUND((Dashboard!$R$4/$U1200)*VLOOKUP($I1200,Dashboard!$Q$9:$R$13,2,FALSE)*IF(ISNUMBER(SEARCH("Duals",$B1200)),2,IF(ISNUMBER(SEARCH("Triples",$B1200)),3,IF(ISNUMBER(SEARCH("Quads",$B1200)),4,1))),2),ROUND(VLOOKUP($I1200,Dashboard!$Q$15:$R$20,2,FALSE)*IF($E1200="Red",Dashboard!$R$6,IF($E1200="Gold",Dashboard!$R$7,Dashboard!$R$5))*IF(ISNUMBER(SEARCH("Duals",$B1200)),2,IF(ISNUMBER(SEARCH("Triples",$B1200)),3,IF(ISNUMBER(SEARCH("Quads",$B1200)),4,1))),2))*IF(IFERROR(VLOOKUP($B1200,Dashboard!$Q$28:$S$60,3,FALSE),0)&gt;0,VLOOKUP($B1200,Dashboard!$Q$28:$S$60,3,FALSE),1))),0))</f>
        <v>0</v>
      </c>
      <c r="K1200" s="2" t="str">
        <f>IF('Base S2'!J100="","",'Base S2'!J100)</f>
        <v/>
      </c>
      <c r="L1200" s="2">
        <f t="shared" si="234"/>
        <v>0</v>
      </c>
      <c r="M1200" s="2">
        <f t="shared" si="235"/>
        <v>0</v>
      </c>
      <c r="N1200" s="2">
        <f t="shared" si="236"/>
        <v>0</v>
      </c>
      <c r="O1200" s="2">
        <f t="shared" si="237"/>
        <v>0</v>
      </c>
      <c r="P1200" s="112">
        <f t="shared" si="238"/>
        <v>0</v>
      </c>
      <c r="Q1200" s="112">
        <f t="shared" si="239"/>
        <v>0</v>
      </c>
      <c r="R1200" s="53"/>
      <c r="S1200" s="53" t="str">
        <f t="shared" si="240"/>
        <v>Base S2|Printing Plates Parallel - Season 2|199|Printing Plate</v>
      </c>
      <c r="T1200" s="57" t="str">
        <f>IF($S1200="","",IFERROR(VLOOKUP($S1200,'Pop Estimates (Non-#d)'!$N$2:$O$500,2,FALSE),""))</f>
        <v/>
      </c>
      <c r="U1200" s="57">
        <f t="shared" si="241"/>
        <v>4</v>
      </c>
      <c r="V1200" s="53" t="str">
        <f t="shared" si="242"/>
        <v/>
      </c>
      <c r="W1200" s="53" t="str">
        <f t="shared" si="243"/>
        <v/>
      </c>
      <c r="X1200" s="53" t="str">
        <f t="shared" si="244"/>
        <v/>
      </c>
      <c r="Y1200" s="57" t="str">
        <f>IF($X1200="","",IFERROR(VLOOKUP($X1200,'Char Popularity'!$A$2:$C$500,2,FALSE),""))</f>
        <v/>
      </c>
      <c r="Z1200" s="56">
        <f>IF($X1200="",1,IFERROR(VLOOKUP($X1200,'Char Popularity'!$A$2:$C$500,3,FALSE),1))</f>
        <v>1</v>
      </c>
      <c r="AA1200" s="62">
        <f>IF($H1200&lt;&gt;"Y",0,(IF($F1200&lt;&gt;"",ROUND(Dashboard!$R$4/$F1200,1),IF(AND($I1200="Base",$E1200="Base"),Dashboard!$R$5,IF(AND($I1200="Base",$E1200="Red"),Dashboard!$R$6,IF(AND($I1200="Base",$E1200="Gold"),Dashboard!$R$7,VLOOKUP($I1200,Dashboard!$Q$16:$R$21,2,FALSE)))))*VLOOKUP($I1200,Dashboard!$Q$9:$R$13,2,FALSE)*IF(AND($I1200="Auto",$F1200="",OR($B1200="Autographs Duals",$B1200="Autographs Triples",$B1200="Autographs Quads",$B1200="Autographs Quads (Inscribed)")),IF($B1200="Autographs Duals",2,IF($B1200="Autographs Triples",3,4)),1)))</f>
        <v>0</v>
      </c>
      <c r="AB1200" s="62">
        <f t="shared" si="245"/>
        <v>0</v>
      </c>
      <c r="AC1200" s="62">
        <f t="shared" si="246"/>
        <v>0</v>
      </c>
    </row>
    <row r="1201" spans="1:29" ht="42.95" customHeight="1" x14ac:dyDescent="0.25">
      <c r="A1201" s="4" t="s">
        <v>19</v>
      </c>
      <c r="B1201" s="7" t="s">
        <v>793</v>
      </c>
      <c r="C1201" s="2" t="s">
        <v>1599</v>
      </c>
      <c r="D1201" s="7" t="s">
        <v>1201</v>
      </c>
      <c r="E1201" s="4" t="s">
        <v>829</v>
      </c>
      <c r="F1201" s="2">
        <v>4</v>
      </c>
      <c r="G1201" s="2" t="s">
        <v>1400</v>
      </c>
      <c r="H1201" s="2" t="s">
        <v>1399</v>
      </c>
      <c r="I1201" s="4" t="s">
        <v>60</v>
      </c>
      <c r="J1201" s="112">
        <f>IF($H1201&lt;&gt;"Y",0,ROUND(MIN(Dashboard!$R$24,IF(IFERROR(VLOOKUP($B1201,Dashboard!$Q$28:$S$60,2,FALSE),0)&gt;0,IFERROR(VLOOKUP($B1201,Dashboard!$Q$28:$S$60,2,FALSE),0),$Z1201*IF($U1201&lt;&gt;"",ROUND((Dashboard!$R$4/$U1201)*VLOOKUP($I1201,Dashboard!$Q$9:$R$13,2,FALSE)*IF(ISNUMBER(SEARCH("Duals",$B1201)),2,IF(ISNUMBER(SEARCH("Triples",$B1201)),3,IF(ISNUMBER(SEARCH("Quads",$B1201)),4,1))),2),ROUND(VLOOKUP($I1201,Dashboard!$Q$15:$R$20,2,FALSE)*IF($E1201="Red",Dashboard!$R$6,IF($E1201="Gold",Dashboard!$R$7,Dashboard!$R$5))*IF(ISNUMBER(SEARCH("Duals",$B1201)),2,IF(ISNUMBER(SEARCH("Triples",$B1201)),3,IF(ISNUMBER(SEARCH("Quads",$B1201)),4,1))),2))*IF(IFERROR(VLOOKUP($B1201,Dashboard!$Q$28:$S$60,3,FALSE),0)&gt;0,VLOOKUP($B1201,Dashboard!$Q$28:$S$60,3,FALSE),1))),0))</f>
        <v>0</v>
      </c>
      <c r="K1201" s="2" t="str">
        <f>IF('Base S2'!J101="","",'Base S2'!J101)</f>
        <v/>
      </c>
      <c r="L1201" s="2">
        <f t="shared" si="234"/>
        <v>0</v>
      </c>
      <c r="M1201" s="2">
        <f t="shared" si="235"/>
        <v>0</v>
      </c>
      <c r="N1201" s="2">
        <f t="shared" si="236"/>
        <v>0</v>
      </c>
      <c r="O1201" s="2">
        <f t="shared" si="237"/>
        <v>0</v>
      </c>
      <c r="P1201" s="112">
        <f t="shared" si="238"/>
        <v>0</v>
      </c>
      <c r="Q1201" s="112">
        <f t="shared" si="239"/>
        <v>0</v>
      </c>
      <c r="R1201" s="53"/>
      <c r="S1201" s="53" t="str">
        <f t="shared" si="240"/>
        <v>Base S2|Printing Plates Parallel - Season 2|200|Printing Plate</v>
      </c>
      <c r="T1201" s="57" t="str">
        <f>IF($S1201="","",IFERROR(VLOOKUP($S1201,'Pop Estimates (Non-#d)'!$N$2:$O$500,2,FALSE),""))</f>
        <v/>
      </c>
      <c r="U1201" s="57">
        <f t="shared" si="241"/>
        <v>4</v>
      </c>
      <c r="V1201" s="53" t="str">
        <f t="shared" si="242"/>
        <v/>
      </c>
      <c r="W1201" s="53" t="str">
        <f t="shared" si="243"/>
        <v/>
      </c>
      <c r="X1201" s="53" t="str">
        <f t="shared" si="244"/>
        <v/>
      </c>
      <c r="Y1201" s="57" t="str">
        <f>IF($X1201="","",IFERROR(VLOOKUP($X1201,'Char Popularity'!$A$2:$C$500,2,FALSE),""))</f>
        <v/>
      </c>
      <c r="Z1201" s="56">
        <f>IF($X1201="",1,IFERROR(VLOOKUP($X1201,'Char Popularity'!$A$2:$C$500,3,FALSE),1))</f>
        <v>1</v>
      </c>
      <c r="AA1201" s="62">
        <f>IF($H1201&lt;&gt;"Y",0,(IF($F1201&lt;&gt;"",ROUND(Dashboard!$R$4/$F1201,1),IF(AND($I1201="Base",$E1201="Base"),Dashboard!$R$5,IF(AND($I1201="Base",$E1201="Red"),Dashboard!$R$6,IF(AND($I1201="Base",$E1201="Gold"),Dashboard!$R$7,VLOOKUP($I1201,Dashboard!$Q$16:$R$21,2,FALSE)))))*VLOOKUP($I1201,Dashboard!$Q$9:$R$13,2,FALSE)*IF(AND($I1201="Auto",$F1201="",OR($B1201="Autographs Duals",$B1201="Autographs Triples",$B1201="Autographs Quads",$B1201="Autographs Quads (Inscribed)")),IF($B1201="Autographs Duals",2,IF($B1201="Autographs Triples",3,4)),1)))</f>
        <v>0</v>
      </c>
      <c r="AB1201" s="62">
        <f t="shared" si="245"/>
        <v>0</v>
      </c>
      <c r="AC1201" s="62">
        <f t="shared" si="246"/>
        <v>0</v>
      </c>
    </row>
    <row r="1202" spans="1:29" ht="28.7" customHeight="1" x14ac:dyDescent="0.25">
      <c r="A1202" s="4" t="s">
        <v>19</v>
      </c>
      <c r="B1202" s="7" t="s">
        <v>75</v>
      </c>
      <c r="C1202" s="2" t="s">
        <v>1500</v>
      </c>
      <c r="D1202" s="7" t="s">
        <v>1043</v>
      </c>
      <c r="E1202" s="4" t="s">
        <v>823</v>
      </c>
      <c r="F1202" s="2"/>
      <c r="G1202" s="2" t="s">
        <v>1399</v>
      </c>
      <c r="H1202" s="2" t="s">
        <v>1400</v>
      </c>
      <c r="I1202" s="4" t="s">
        <v>60</v>
      </c>
      <c r="J1202" s="112">
        <f>IF($H1202&lt;&gt;"Y",0,ROUND(MIN(Dashboard!$R$24,IF(IFERROR(VLOOKUP($B1202,Dashboard!$Q$28:$S$60,2,FALSE),0)&gt;0,IFERROR(VLOOKUP($B1202,Dashboard!$Q$28:$S$60,2,FALSE),0),$Z1202*IF($U1202&lt;&gt;"",ROUND((Dashboard!$R$4/$U1202)*VLOOKUP($I1202,Dashboard!$Q$9:$R$13,2,FALSE)*IF(ISNUMBER(SEARCH("Duals",$B1202)),2,IF(ISNUMBER(SEARCH("Triples",$B1202)),3,IF(ISNUMBER(SEARCH("Quads",$B1202)),4,1))),2),ROUND(VLOOKUP($I1202,Dashboard!$Q$15:$R$20,2,FALSE)*IF($E1202="Red",Dashboard!$R$6,IF($E1202="Gold",Dashboard!$R$7,Dashboard!$R$5))*IF(ISNUMBER(SEARCH("Duals",$B1202)),2,IF(ISNUMBER(SEARCH("Triples",$B1202)),3,IF(ISNUMBER(SEARCH("Quads",$B1202)),4,1))),2))*IF(IFERROR(VLOOKUP($B1202,Dashboard!$Q$28:$S$60,3,FALSE),0)&gt;0,VLOOKUP($B1202,Dashboard!$Q$28:$S$60,3,FALSE),1))),0))</f>
        <v>2</v>
      </c>
      <c r="K1202" s="2" t="str">
        <f>IF('Base S2'!D2="","",'Base S2'!D2)</f>
        <v>h</v>
      </c>
      <c r="L1202" s="2">
        <f t="shared" si="234"/>
        <v>1</v>
      </c>
      <c r="M1202" s="2">
        <f t="shared" si="235"/>
        <v>0</v>
      </c>
      <c r="N1202" s="2">
        <f t="shared" si="236"/>
        <v>1</v>
      </c>
      <c r="O1202" s="2">
        <f t="shared" si="237"/>
        <v>0</v>
      </c>
      <c r="P1202" s="112">
        <f t="shared" si="238"/>
        <v>2</v>
      </c>
      <c r="Q1202" s="112">
        <f t="shared" si="239"/>
        <v>0</v>
      </c>
      <c r="R1202" s="53"/>
      <c r="S1202" s="53" t="str">
        <f t="shared" si="240"/>
        <v>Base S2|Red Parallel - Season 2|101|Red</v>
      </c>
      <c r="T1202" s="57" t="str">
        <f>IF($S1202="","",IFERROR(VLOOKUP($S1202,'Pop Estimates (Non-#d)'!$N$2:$O$500,2,FALSE),""))</f>
        <v/>
      </c>
      <c r="U1202" s="57" t="str">
        <f t="shared" si="241"/>
        <v/>
      </c>
      <c r="V1202" s="53" t="str">
        <f t="shared" si="242"/>
        <v/>
      </c>
      <c r="W1202" s="53" t="str">
        <f t="shared" si="243"/>
        <v/>
      </c>
      <c r="X1202" s="53" t="str">
        <f t="shared" si="244"/>
        <v/>
      </c>
      <c r="Y1202" s="57" t="str">
        <f>IF($X1202="","",IFERROR(VLOOKUP($X1202,'Char Popularity'!$A$2:$C$500,2,FALSE),""))</f>
        <v/>
      </c>
      <c r="Z1202" s="56">
        <f>IF($X1202="",1,IFERROR(VLOOKUP($X1202,'Char Popularity'!$A$2:$C$500,3,FALSE),1))</f>
        <v>1</v>
      </c>
      <c r="AA1202" s="62">
        <f>IF($H1202&lt;&gt;"Y",0,(IF($F1202&lt;&gt;"",ROUND(Dashboard!$R$4/$F1202,1),IF(AND($I1202="Base",$E1202="Base"),Dashboard!$R$5,IF(AND($I1202="Base",$E1202="Red"),Dashboard!$R$6,IF(AND($I1202="Base",$E1202="Gold"),Dashboard!$R$7,VLOOKUP($I1202,Dashboard!$Q$16:$R$21,2,FALSE)))))*VLOOKUP($I1202,Dashboard!$Q$9:$R$13,2,FALSE)*IF(AND($I1202="Auto",$F1202="",OR($B1202="Autographs Duals",$B1202="Autographs Triples",$B1202="Autographs Quads",$B1202="Autographs Quads (Inscribed)")),IF($B1202="Autographs Duals",2,IF($B1202="Autographs Triples",3,4)),1)))</f>
        <v>2</v>
      </c>
      <c r="AB1202" s="62">
        <f t="shared" si="245"/>
        <v>2</v>
      </c>
      <c r="AC1202" s="62">
        <f t="shared" si="246"/>
        <v>0</v>
      </c>
    </row>
    <row r="1203" spans="1:29" ht="28.7" customHeight="1" x14ac:dyDescent="0.25">
      <c r="A1203" s="4" t="s">
        <v>19</v>
      </c>
      <c r="B1203" s="7" t="s">
        <v>75</v>
      </c>
      <c r="C1203" s="2" t="s">
        <v>1501</v>
      </c>
      <c r="D1203" s="7" t="s">
        <v>1045</v>
      </c>
      <c r="E1203" s="4" t="s">
        <v>823</v>
      </c>
      <c r="F1203" s="2"/>
      <c r="G1203" s="2" t="s">
        <v>1399</v>
      </c>
      <c r="H1203" s="2" t="s">
        <v>1400</v>
      </c>
      <c r="I1203" s="4" t="s">
        <v>60</v>
      </c>
      <c r="J1203" s="112">
        <f>IF($H1203&lt;&gt;"Y",0,ROUND(MIN(Dashboard!$R$24,IF(IFERROR(VLOOKUP($B1203,Dashboard!$Q$28:$S$60,2,FALSE),0)&gt;0,IFERROR(VLOOKUP($B1203,Dashboard!$Q$28:$S$60,2,FALSE),0),$Z1203*IF($U1203&lt;&gt;"",ROUND((Dashboard!$R$4/$U1203)*VLOOKUP($I1203,Dashboard!$Q$9:$R$13,2,FALSE)*IF(ISNUMBER(SEARCH("Duals",$B1203)),2,IF(ISNUMBER(SEARCH("Triples",$B1203)),3,IF(ISNUMBER(SEARCH("Quads",$B1203)),4,1))),2),ROUND(VLOOKUP($I1203,Dashboard!$Q$15:$R$20,2,FALSE)*IF($E1203="Red",Dashboard!$R$6,IF($E1203="Gold",Dashboard!$R$7,Dashboard!$R$5))*IF(ISNUMBER(SEARCH("Duals",$B1203)),2,IF(ISNUMBER(SEARCH("Triples",$B1203)),3,IF(ISNUMBER(SEARCH("Quads",$B1203)),4,1))),2))*IF(IFERROR(VLOOKUP($B1203,Dashboard!$Q$28:$S$60,3,FALSE),0)&gt;0,VLOOKUP($B1203,Dashboard!$Q$28:$S$60,3,FALSE),1))),0))</f>
        <v>2</v>
      </c>
      <c r="K1203" s="2" t="str">
        <f>IF('Base S2'!D3="","",'Base S2'!D3)</f>
        <v>h</v>
      </c>
      <c r="L1203" s="2">
        <f t="shared" si="234"/>
        <v>1</v>
      </c>
      <c r="M1203" s="2">
        <f t="shared" si="235"/>
        <v>0</v>
      </c>
      <c r="N1203" s="2">
        <f t="shared" si="236"/>
        <v>1</v>
      </c>
      <c r="O1203" s="2">
        <f t="shared" si="237"/>
        <v>0</v>
      </c>
      <c r="P1203" s="112">
        <f t="shared" si="238"/>
        <v>2</v>
      </c>
      <c r="Q1203" s="112">
        <f t="shared" si="239"/>
        <v>0</v>
      </c>
      <c r="R1203" s="53"/>
      <c r="S1203" s="53" t="str">
        <f t="shared" si="240"/>
        <v>Base S2|Red Parallel - Season 2|102|Red</v>
      </c>
      <c r="T1203" s="57" t="str">
        <f>IF($S1203="","",IFERROR(VLOOKUP($S1203,'Pop Estimates (Non-#d)'!$N$2:$O$500,2,FALSE),""))</f>
        <v/>
      </c>
      <c r="U1203" s="57" t="str">
        <f t="shared" si="241"/>
        <v/>
      </c>
      <c r="V1203" s="53" t="str">
        <f t="shared" si="242"/>
        <v/>
      </c>
      <c r="W1203" s="53" t="str">
        <f t="shared" si="243"/>
        <v/>
      </c>
      <c r="X1203" s="53" t="str">
        <f t="shared" si="244"/>
        <v/>
      </c>
      <c r="Y1203" s="57" t="str">
        <f>IF($X1203="","",IFERROR(VLOOKUP($X1203,'Char Popularity'!$A$2:$C$500,2,FALSE),""))</f>
        <v/>
      </c>
      <c r="Z1203" s="56">
        <f>IF($X1203="",1,IFERROR(VLOOKUP($X1203,'Char Popularity'!$A$2:$C$500,3,FALSE),1))</f>
        <v>1</v>
      </c>
      <c r="AA1203" s="62">
        <f>IF($H1203&lt;&gt;"Y",0,(IF($F1203&lt;&gt;"",ROUND(Dashboard!$R$4/$F1203,1),IF(AND($I1203="Base",$E1203="Base"),Dashboard!$R$5,IF(AND($I1203="Base",$E1203="Red"),Dashboard!$R$6,IF(AND($I1203="Base",$E1203="Gold"),Dashboard!$R$7,VLOOKUP($I1203,Dashboard!$Q$16:$R$21,2,FALSE)))))*VLOOKUP($I1203,Dashboard!$Q$9:$R$13,2,FALSE)*IF(AND($I1203="Auto",$F1203="",OR($B1203="Autographs Duals",$B1203="Autographs Triples",$B1203="Autographs Quads",$B1203="Autographs Quads (Inscribed)")),IF($B1203="Autographs Duals",2,IF($B1203="Autographs Triples",3,4)),1)))</f>
        <v>2</v>
      </c>
      <c r="AB1203" s="62">
        <f t="shared" si="245"/>
        <v>2</v>
      </c>
      <c r="AC1203" s="62">
        <f t="shared" si="246"/>
        <v>0</v>
      </c>
    </row>
    <row r="1204" spans="1:29" ht="28.7" customHeight="1" x14ac:dyDescent="0.25">
      <c r="A1204" s="4" t="s">
        <v>19</v>
      </c>
      <c r="B1204" s="7" t="s">
        <v>75</v>
      </c>
      <c r="C1204" s="2" t="s">
        <v>1502</v>
      </c>
      <c r="D1204" s="7" t="s">
        <v>1047</v>
      </c>
      <c r="E1204" s="4" t="s">
        <v>823</v>
      </c>
      <c r="F1204" s="2"/>
      <c r="G1204" s="2" t="s">
        <v>1399</v>
      </c>
      <c r="H1204" s="2" t="s">
        <v>1400</v>
      </c>
      <c r="I1204" s="4" t="s">
        <v>60</v>
      </c>
      <c r="J1204" s="112">
        <f>IF($H1204&lt;&gt;"Y",0,ROUND(MIN(Dashboard!$R$24,IF(IFERROR(VLOOKUP($B1204,Dashboard!$Q$28:$S$60,2,FALSE),0)&gt;0,IFERROR(VLOOKUP($B1204,Dashboard!$Q$28:$S$60,2,FALSE),0),$Z1204*IF($U1204&lt;&gt;"",ROUND((Dashboard!$R$4/$U1204)*VLOOKUP($I1204,Dashboard!$Q$9:$R$13,2,FALSE)*IF(ISNUMBER(SEARCH("Duals",$B1204)),2,IF(ISNUMBER(SEARCH("Triples",$B1204)),3,IF(ISNUMBER(SEARCH("Quads",$B1204)),4,1))),2),ROUND(VLOOKUP($I1204,Dashboard!$Q$15:$R$20,2,FALSE)*IF($E1204="Red",Dashboard!$R$6,IF($E1204="Gold",Dashboard!$R$7,Dashboard!$R$5))*IF(ISNUMBER(SEARCH("Duals",$B1204)),2,IF(ISNUMBER(SEARCH("Triples",$B1204)),3,IF(ISNUMBER(SEARCH("Quads",$B1204)),4,1))),2))*IF(IFERROR(VLOOKUP($B1204,Dashboard!$Q$28:$S$60,3,FALSE),0)&gt;0,VLOOKUP($B1204,Dashboard!$Q$28:$S$60,3,FALSE),1))),0))</f>
        <v>2</v>
      </c>
      <c r="K1204" s="2" t="str">
        <f>IF('Base S2'!D4="","",'Base S2'!D4)</f>
        <v>h</v>
      </c>
      <c r="L1204" s="2">
        <f t="shared" si="234"/>
        <v>1</v>
      </c>
      <c r="M1204" s="2">
        <f t="shared" si="235"/>
        <v>0</v>
      </c>
      <c r="N1204" s="2">
        <f t="shared" si="236"/>
        <v>1</v>
      </c>
      <c r="O1204" s="2">
        <f t="shared" si="237"/>
        <v>0</v>
      </c>
      <c r="P1204" s="112">
        <f t="shared" si="238"/>
        <v>2</v>
      </c>
      <c r="Q1204" s="112">
        <f t="shared" si="239"/>
        <v>0</v>
      </c>
      <c r="R1204" s="53"/>
      <c r="S1204" s="53" t="str">
        <f t="shared" si="240"/>
        <v>Base S2|Red Parallel - Season 2|103|Red</v>
      </c>
      <c r="T1204" s="57" t="str">
        <f>IF($S1204="","",IFERROR(VLOOKUP($S1204,'Pop Estimates (Non-#d)'!$N$2:$O$500,2,FALSE),""))</f>
        <v/>
      </c>
      <c r="U1204" s="57" t="str">
        <f t="shared" si="241"/>
        <v/>
      </c>
      <c r="V1204" s="53" t="str">
        <f t="shared" si="242"/>
        <v/>
      </c>
      <c r="W1204" s="53" t="str">
        <f t="shared" si="243"/>
        <v/>
      </c>
      <c r="X1204" s="53" t="str">
        <f t="shared" si="244"/>
        <v/>
      </c>
      <c r="Y1204" s="57" t="str">
        <f>IF($X1204="","",IFERROR(VLOOKUP($X1204,'Char Popularity'!$A$2:$C$500,2,FALSE),""))</f>
        <v/>
      </c>
      <c r="Z1204" s="56">
        <f>IF($X1204="",1,IFERROR(VLOOKUP($X1204,'Char Popularity'!$A$2:$C$500,3,FALSE),1))</f>
        <v>1</v>
      </c>
      <c r="AA1204" s="62">
        <f>IF($H1204&lt;&gt;"Y",0,(IF($F1204&lt;&gt;"",ROUND(Dashboard!$R$4/$F1204,1),IF(AND($I1204="Base",$E1204="Base"),Dashboard!$R$5,IF(AND($I1204="Base",$E1204="Red"),Dashboard!$R$6,IF(AND($I1204="Base",$E1204="Gold"),Dashboard!$R$7,VLOOKUP($I1204,Dashboard!$Q$16:$R$21,2,FALSE)))))*VLOOKUP($I1204,Dashboard!$Q$9:$R$13,2,FALSE)*IF(AND($I1204="Auto",$F1204="",OR($B1204="Autographs Duals",$B1204="Autographs Triples",$B1204="Autographs Quads",$B1204="Autographs Quads (Inscribed)")),IF($B1204="Autographs Duals",2,IF($B1204="Autographs Triples",3,4)),1)))</f>
        <v>2</v>
      </c>
      <c r="AB1204" s="62">
        <f t="shared" si="245"/>
        <v>2</v>
      </c>
      <c r="AC1204" s="62">
        <f t="shared" si="246"/>
        <v>0</v>
      </c>
    </row>
    <row r="1205" spans="1:29" ht="28.7" customHeight="1" x14ac:dyDescent="0.25">
      <c r="A1205" s="4" t="s">
        <v>19</v>
      </c>
      <c r="B1205" s="7" t="s">
        <v>75</v>
      </c>
      <c r="C1205" s="2" t="s">
        <v>1503</v>
      </c>
      <c r="D1205" s="7" t="s">
        <v>1048</v>
      </c>
      <c r="E1205" s="4" t="s">
        <v>823</v>
      </c>
      <c r="F1205" s="2"/>
      <c r="G1205" s="2" t="s">
        <v>1399</v>
      </c>
      <c r="H1205" s="2" t="s">
        <v>1400</v>
      </c>
      <c r="I1205" s="4" t="s">
        <v>60</v>
      </c>
      <c r="J1205" s="112">
        <f>IF($H1205&lt;&gt;"Y",0,ROUND(MIN(Dashboard!$R$24,IF(IFERROR(VLOOKUP($B1205,Dashboard!$Q$28:$S$60,2,FALSE),0)&gt;0,IFERROR(VLOOKUP($B1205,Dashboard!$Q$28:$S$60,2,FALSE),0),$Z1205*IF($U1205&lt;&gt;"",ROUND((Dashboard!$R$4/$U1205)*VLOOKUP($I1205,Dashboard!$Q$9:$R$13,2,FALSE)*IF(ISNUMBER(SEARCH("Duals",$B1205)),2,IF(ISNUMBER(SEARCH("Triples",$B1205)),3,IF(ISNUMBER(SEARCH("Quads",$B1205)),4,1))),2),ROUND(VLOOKUP($I1205,Dashboard!$Q$15:$R$20,2,FALSE)*IF($E1205="Red",Dashboard!$R$6,IF($E1205="Gold",Dashboard!$R$7,Dashboard!$R$5))*IF(ISNUMBER(SEARCH("Duals",$B1205)),2,IF(ISNUMBER(SEARCH("Triples",$B1205)),3,IF(ISNUMBER(SEARCH("Quads",$B1205)),4,1))),2))*IF(IFERROR(VLOOKUP($B1205,Dashboard!$Q$28:$S$60,3,FALSE),0)&gt;0,VLOOKUP($B1205,Dashboard!$Q$28:$S$60,3,FALSE),1))),0))</f>
        <v>2</v>
      </c>
      <c r="K1205" s="2" t="str">
        <f>IF('Base S2'!D5="","",'Base S2'!D5)</f>
        <v>h</v>
      </c>
      <c r="L1205" s="2">
        <f t="shared" si="234"/>
        <v>1</v>
      </c>
      <c r="M1205" s="2">
        <f t="shared" si="235"/>
        <v>0</v>
      </c>
      <c r="N1205" s="2">
        <f t="shared" si="236"/>
        <v>1</v>
      </c>
      <c r="O1205" s="2">
        <f t="shared" si="237"/>
        <v>0</v>
      </c>
      <c r="P1205" s="112">
        <f t="shared" si="238"/>
        <v>2</v>
      </c>
      <c r="Q1205" s="112">
        <f t="shared" si="239"/>
        <v>0</v>
      </c>
      <c r="R1205" s="53"/>
      <c r="S1205" s="53" t="str">
        <f t="shared" si="240"/>
        <v>Base S2|Red Parallel - Season 2|104|Red</v>
      </c>
      <c r="T1205" s="57" t="str">
        <f>IF($S1205="","",IFERROR(VLOOKUP($S1205,'Pop Estimates (Non-#d)'!$N$2:$O$500,2,FALSE),""))</f>
        <v/>
      </c>
      <c r="U1205" s="57" t="str">
        <f t="shared" si="241"/>
        <v/>
      </c>
      <c r="V1205" s="53" t="str">
        <f t="shared" si="242"/>
        <v/>
      </c>
      <c r="W1205" s="53" t="str">
        <f t="shared" si="243"/>
        <v/>
      </c>
      <c r="X1205" s="53" t="str">
        <f t="shared" si="244"/>
        <v/>
      </c>
      <c r="Y1205" s="57" t="str">
        <f>IF($X1205="","",IFERROR(VLOOKUP($X1205,'Char Popularity'!$A$2:$C$500,2,FALSE),""))</f>
        <v/>
      </c>
      <c r="Z1205" s="56">
        <f>IF($X1205="",1,IFERROR(VLOOKUP($X1205,'Char Popularity'!$A$2:$C$500,3,FALSE),1))</f>
        <v>1</v>
      </c>
      <c r="AA1205" s="62">
        <f>IF($H1205&lt;&gt;"Y",0,(IF($F1205&lt;&gt;"",ROUND(Dashboard!$R$4/$F1205,1),IF(AND($I1205="Base",$E1205="Base"),Dashboard!$R$5,IF(AND($I1205="Base",$E1205="Red"),Dashboard!$R$6,IF(AND($I1205="Base",$E1205="Gold"),Dashboard!$R$7,VLOOKUP($I1205,Dashboard!$Q$16:$R$21,2,FALSE)))))*VLOOKUP($I1205,Dashboard!$Q$9:$R$13,2,FALSE)*IF(AND($I1205="Auto",$F1205="",OR($B1205="Autographs Duals",$B1205="Autographs Triples",$B1205="Autographs Quads",$B1205="Autographs Quads (Inscribed)")),IF($B1205="Autographs Duals",2,IF($B1205="Autographs Triples",3,4)),1)))</f>
        <v>2</v>
      </c>
      <c r="AB1205" s="62">
        <f t="shared" si="245"/>
        <v>2</v>
      </c>
      <c r="AC1205" s="62">
        <f t="shared" si="246"/>
        <v>0</v>
      </c>
    </row>
    <row r="1206" spans="1:29" ht="28.7" customHeight="1" x14ac:dyDescent="0.25">
      <c r="A1206" s="4" t="s">
        <v>19</v>
      </c>
      <c r="B1206" s="7" t="s">
        <v>75</v>
      </c>
      <c r="C1206" s="2" t="s">
        <v>1504</v>
      </c>
      <c r="D1206" s="7" t="s">
        <v>1049</v>
      </c>
      <c r="E1206" s="4" t="s">
        <v>823</v>
      </c>
      <c r="F1206" s="2"/>
      <c r="G1206" s="2" t="s">
        <v>1399</v>
      </c>
      <c r="H1206" s="2" t="s">
        <v>1400</v>
      </c>
      <c r="I1206" s="4" t="s">
        <v>60</v>
      </c>
      <c r="J1206" s="112">
        <f>IF($H1206&lt;&gt;"Y",0,ROUND(MIN(Dashboard!$R$24,IF(IFERROR(VLOOKUP($B1206,Dashboard!$Q$28:$S$60,2,FALSE),0)&gt;0,IFERROR(VLOOKUP($B1206,Dashboard!$Q$28:$S$60,2,FALSE),0),$Z1206*IF($U1206&lt;&gt;"",ROUND((Dashboard!$R$4/$U1206)*VLOOKUP($I1206,Dashboard!$Q$9:$R$13,2,FALSE)*IF(ISNUMBER(SEARCH("Duals",$B1206)),2,IF(ISNUMBER(SEARCH("Triples",$B1206)),3,IF(ISNUMBER(SEARCH("Quads",$B1206)),4,1))),2),ROUND(VLOOKUP($I1206,Dashboard!$Q$15:$R$20,2,FALSE)*IF($E1206="Red",Dashboard!$R$6,IF($E1206="Gold",Dashboard!$R$7,Dashboard!$R$5))*IF(ISNUMBER(SEARCH("Duals",$B1206)),2,IF(ISNUMBER(SEARCH("Triples",$B1206)),3,IF(ISNUMBER(SEARCH("Quads",$B1206)),4,1))),2))*IF(IFERROR(VLOOKUP($B1206,Dashboard!$Q$28:$S$60,3,FALSE),0)&gt;0,VLOOKUP($B1206,Dashboard!$Q$28:$S$60,3,FALSE),1))),0))</f>
        <v>2</v>
      </c>
      <c r="K1206" s="2" t="str">
        <f>IF('Base S2'!D6="","",'Base S2'!D6)</f>
        <v>h</v>
      </c>
      <c r="L1206" s="2">
        <f t="shared" si="234"/>
        <v>1</v>
      </c>
      <c r="M1206" s="2">
        <f t="shared" si="235"/>
        <v>0</v>
      </c>
      <c r="N1206" s="2">
        <f t="shared" si="236"/>
        <v>1</v>
      </c>
      <c r="O1206" s="2">
        <f t="shared" si="237"/>
        <v>0</v>
      </c>
      <c r="P1206" s="112">
        <f t="shared" si="238"/>
        <v>2</v>
      </c>
      <c r="Q1206" s="112">
        <f t="shared" si="239"/>
        <v>0</v>
      </c>
      <c r="R1206" s="53"/>
      <c r="S1206" s="53" t="str">
        <f t="shared" si="240"/>
        <v>Base S2|Red Parallel - Season 2|105|Red</v>
      </c>
      <c r="T1206" s="57" t="str">
        <f>IF($S1206="","",IFERROR(VLOOKUP($S1206,'Pop Estimates (Non-#d)'!$N$2:$O$500,2,FALSE),""))</f>
        <v/>
      </c>
      <c r="U1206" s="57" t="str">
        <f t="shared" si="241"/>
        <v/>
      </c>
      <c r="V1206" s="53" t="str">
        <f t="shared" si="242"/>
        <v/>
      </c>
      <c r="W1206" s="53" t="str">
        <f t="shared" si="243"/>
        <v/>
      </c>
      <c r="X1206" s="53" t="str">
        <f t="shared" si="244"/>
        <v/>
      </c>
      <c r="Y1206" s="57" t="str">
        <f>IF($X1206="","",IFERROR(VLOOKUP($X1206,'Char Popularity'!$A$2:$C$500,2,FALSE),""))</f>
        <v/>
      </c>
      <c r="Z1206" s="56">
        <f>IF($X1206="",1,IFERROR(VLOOKUP($X1206,'Char Popularity'!$A$2:$C$500,3,FALSE),1))</f>
        <v>1</v>
      </c>
      <c r="AA1206" s="62">
        <f>IF($H1206&lt;&gt;"Y",0,(IF($F1206&lt;&gt;"",ROUND(Dashboard!$R$4/$F1206,1),IF(AND($I1206="Base",$E1206="Base"),Dashboard!$R$5,IF(AND($I1206="Base",$E1206="Red"),Dashboard!$R$6,IF(AND($I1206="Base",$E1206="Gold"),Dashboard!$R$7,VLOOKUP($I1206,Dashboard!$Q$16:$R$21,2,FALSE)))))*VLOOKUP($I1206,Dashboard!$Q$9:$R$13,2,FALSE)*IF(AND($I1206="Auto",$F1206="",OR($B1206="Autographs Duals",$B1206="Autographs Triples",$B1206="Autographs Quads",$B1206="Autographs Quads (Inscribed)")),IF($B1206="Autographs Duals",2,IF($B1206="Autographs Triples",3,4)),1)))</f>
        <v>2</v>
      </c>
      <c r="AB1206" s="62">
        <f t="shared" si="245"/>
        <v>2</v>
      </c>
      <c r="AC1206" s="62">
        <f t="shared" si="246"/>
        <v>0</v>
      </c>
    </row>
    <row r="1207" spans="1:29" ht="28.7" customHeight="1" x14ac:dyDescent="0.25">
      <c r="A1207" s="4" t="s">
        <v>19</v>
      </c>
      <c r="B1207" s="7" t="s">
        <v>75</v>
      </c>
      <c r="C1207" s="2" t="s">
        <v>1505</v>
      </c>
      <c r="D1207" s="7" t="s">
        <v>1050</v>
      </c>
      <c r="E1207" s="4" t="s">
        <v>823</v>
      </c>
      <c r="F1207" s="2"/>
      <c r="G1207" s="2" t="s">
        <v>1399</v>
      </c>
      <c r="H1207" s="2" t="s">
        <v>1400</v>
      </c>
      <c r="I1207" s="4" t="s">
        <v>60</v>
      </c>
      <c r="J1207" s="112">
        <f>IF($H1207&lt;&gt;"Y",0,ROUND(MIN(Dashboard!$R$24,IF(IFERROR(VLOOKUP($B1207,Dashboard!$Q$28:$S$60,2,FALSE),0)&gt;0,IFERROR(VLOOKUP($B1207,Dashboard!$Q$28:$S$60,2,FALSE),0),$Z1207*IF($U1207&lt;&gt;"",ROUND((Dashboard!$R$4/$U1207)*VLOOKUP($I1207,Dashboard!$Q$9:$R$13,2,FALSE)*IF(ISNUMBER(SEARCH("Duals",$B1207)),2,IF(ISNUMBER(SEARCH("Triples",$B1207)),3,IF(ISNUMBER(SEARCH("Quads",$B1207)),4,1))),2),ROUND(VLOOKUP($I1207,Dashboard!$Q$15:$R$20,2,FALSE)*IF($E1207="Red",Dashboard!$R$6,IF($E1207="Gold",Dashboard!$R$7,Dashboard!$R$5))*IF(ISNUMBER(SEARCH("Duals",$B1207)),2,IF(ISNUMBER(SEARCH("Triples",$B1207)),3,IF(ISNUMBER(SEARCH("Quads",$B1207)),4,1))),2))*IF(IFERROR(VLOOKUP($B1207,Dashboard!$Q$28:$S$60,3,FALSE),0)&gt;0,VLOOKUP($B1207,Dashboard!$Q$28:$S$60,3,FALSE),1))),0))</f>
        <v>2</v>
      </c>
      <c r="K1207" s="2" t="str">
        <f>IF('Base S2'!D7="","",'Base S2'!D7)</f>
        <v>h</v>
      </c>
      <c r="L1207" s="2">
        <f t="shared" si="234"/>
        <v>1</v>
      </c>
      <c r="M1207" s="2">
        <f t="shared" si="235"/>
        <v>0</v>
      </c>
      <c r="N1207" s="2">
        <f t="shared" si="236"/>
        <v>1</v>
      </c>
      <c r="O1207" s="2">
        <f t="shared" si="237"/>
        <v>0</v>
      </c>
      <c r="P1207" s="112">
        <f t="shared" si="238"/>
        <v>2</v>
      </c>
      <c r="Q1207" s="112">
        <f t="shared" si="239"/>
        <v>0</v>
      </c>
      <c r="R1207" s="53"/>
      <c r="S1207" s="53" t="str">
        <f t="shared" si="240"/>
        <v>Base S2|Red Parallel - Season 2|106|Red</v>
      </c>
      <c r="T1207" s="57" t="str">
        <f>IF($S1207="","",IFERROR(VLOOKUP($S1207,'Pop Estimates (Non-#d)'!$N$2:$O$500,2,FALSE),""))</f>
        <v/>
      </c>
      <c r="U1207" s="57" t="str">
        <f t="shared" si="241"/>
        <v/>
      </c>
      <c r="V1207" s="53" t="str">
        <f t="shared" si="242"/>
        <v/>
      </c>
      <c r="W1207" s="53" t="str">
        <f t="shared" si="243"/>
        <v/>
      </c>
      <c r="X1207" s="53" t="str">
        <f t="shared" si="244"/>
        <v/>
      </c>
      <c r="Y1207" s="57" t="str">
        <f>IF($X1207="","",IFERROR(VLOOKUP($X1207,'Char Popularity'!$A$2:$C$500,2,FALSE),""))</f>
        <v/>
      </c>
      <c r="Z1207" s="56">
        <f>IF($X1207="",1,IFERROR(VLOOKUP($X1207,'Char Popularity'!$A$2:$C$500,3,FALSE),1))</f>
        <v>1</v>
      </c>
      <c r="AA1207" s="62">
        <f>IF($H1207&lt;&gt;"Y",0,(IF($F1207&lt;&gt;"",ROUND(Dashboard!$R$4/$F1207,1),IF(AND($I1207="Base",$E1207="Base"),Dashboard!$R$5,IF(AND($I1207="Base",$E1207="Red"),Dashboard!$R$6,IF(AND($I1207="Base",$E1207="Gold"),Dashboard!$R$7,VLOOKUP($I1207,Dashboard!$Q$16:$R$21,2,FALSE)))))*VLOOKUP($I1207,Dashboard!$Q$9:$R$13,2,FALSE)*IF(AND($I1207="Auto",$F1207="",OR($B1207="Autographs Duals",$B1207="Autographs Triples",$B1207="Autographs Quads",$B1207="Autographs Quads (Inscribed)")),IF($B1207="Autographs Duals",2,IF($B1207="Autographs Triples",3,4)),1)))</f>
        <v>2</v>
      </c>
      <c r="AB1207" s="62">
        <f t="shared" si="245"/>
        <v>2</v>
      </c>
      <c r="AC1207" s="62">
        <f t="shared" si="246"/>
        <v>0</v>
      </c>
    </row>
    <row r="1208" spans="1:29" ht="28.7" customHeight="1" x14ac:dyDescent="0.25">
      <c r="A1208" s="4" t="s">
        <v>19</v>
      </c>
      <c r="B1208" s="7" t="s">
        <v>75</v>
      </c>
      <c r="C1208" s="2" t="s">
        <v>1506</v>
      </c>
      <c r="D1208" s="7" t="s">
        <v>1051</v>
      </c>
      <c r="E1208" s="4" t="s">
        <v>823</v>
      </c>
      <c r="F1208" s="2"/>
      <c r="G1208" s="2" t="s">
        <v>1399</v>
      </c>
      <c r="H1208" s="2" t="s">
        <v>1400</v>
      </c>
      <c r="I1208" s="4" t="s">
        <v>60</v>
      </c>
      <c r="J1208" s="112">
        <f>IF($H1208&lt;&gt;"Y",0,ROUND(MIN(Dashboard!$R$24,IF(IFERROR(VLOOKUP($B1208,Dashboard!$Q$28:$S$60,2,FALSE),0)&gt;0,IFERROR(VLOOKUP($B1208,Dashboard!$Q$28:$S$60,2,FALSE),0),$Z1208*IF($U1208&lt;&gt;"",ROUND((Dashboard!$R$4/$U1208)*VLOOKUP($I1208,Dashboard!$Q$9:$R$13,2,FALSE)*IF(ISNUMBER(SEARCH("Duals",$B1208)),2,IF(ISNUMBER(SEARCH("Triples",$B1208)),3,IF(ISNUMBER(SEARCH("Quads",$B1208)),4,1))),2),ROUND(VLOOKUP($I1208,Dashboard!$Q$15:$R$20,2,FALSE)*IF($E1208="Red",Dashboard!$R$6,IF($E1208="Gold",Dashboard!$R$7,Dashboard!$R$5))*IF(ISNUMBER(SEARCH("Duals",$B1208)),2,IF(ISNUMBER(SEARCH("Triples",$B1208)),3,IF(ISNUMBER(SEARCH("Quads",$B1208)),4,1))),2))*IF(IFERROR(VLOOKUP($B1208,Dashboard!$Q$28:$S$60,3,FALSE),0)&gt;0,VLOOKUP($B1208,Dashboard!$Q$28:$S$60,3,FALSE),1))),0))</f>
        <v>2</v>
      </c>
      <c r="K1208" s="2" t="str">
        <f>IF('Base S2'!D8="","",'Base S2'!D8)</f>
        <v>h</v>
      </c>
      <c r="L1208" s="2">
        <f t="shared" si="234"/>
        <v>1</v>
      </c>
      <c r="M1208" s="2">
        <f t="shared" si="235"/>
        <v>0</v>
      </c>
      <c r="N1208" s="2">
        <f t="shared" si="236"/>
        <v>1</v>
      </c>
      <c r="O1208" s="2">
        <f t="shared" si="237"/>
        <v>0</v>
      </c>
      <c r="P1208" s="112">
        <f t="shared" si="238"/>
        <v>2</v>
      </c>
      <c r="Q1208" s="112">
        <f t="shared" si="239"/>
        <v>0</v>
      </c>
      <c r="R1208" s="53"/>
      <c r="S1208" s="53" t="str">
        <f t="shared" si="240"/>
        <v>Base S2|Red Parallel - Season 2|107|Red</v>
      </c>
      <c r="T1208" s="57" t="str">
        <f>IF($S1208="","",IFERROR(VLOOKUP($S1208,'Pop Estimates (Non-#d)'!$N$2:$O$500,2,FALSE),""))</f>
        <v/>
      </c>
      <c r="U1208" s="57" t="str">
        <f t="shared" si="241"/>
        <v/>
      </c>
      <c r="V1208" s="53" t="str">
        <f t="shared" si="242"/>
        <v/>
      </c>
      <c r="W1208" s="53" t="str">
        <f t="shared" si="243"/>
        <v/>
      </c>
      <c r="X1208" s="53" t="str">
        <f t="shared" si="244"/>
        <v/>
      </c>
      <c r="Y1208" s="57" t="str">
        <f>IF($X1208="","",IFERROR(VLOOKUP($X1208,'Char Popularity'!$A$2:$C$500,2,FALSE),""))</f>
        <v/>
      </c>
      <c r="Z1208" s="56">
        <f>IF($X1208="",1,IFERROR(VLOOKUP($X1208,'Char Popularity'!$A$2:$C$500,3,FALSE),1))</f>
        <v>1</v>
      </c>
      <c r="AA1208" s="62">
        <f>IF($H1208&lt;&gt;"Y",0,(IF($F1208&lt;&gt;"",ROUND(Dashboard!$R$4/$F1208,1),IF(AND($I1208="Base",$E1208="Base"),Dashboard!$R$5,IF(AND($I1208="Base",$E1208="Red"),Dashboard!$R$6,IF(AND($I1208="Base",$E1208="Gold"),Dashboard!$R$7,VLOOKUP($I1208,Dashboard!$Q$16:$R$21,2,FALSE)))))*VLOOKUP($I1208,Dashboard!$Q$9:$R$13,2,FALSE)*IF(AND($I1208="Auto",$F1208="",OR($B1208="Autographs Duals",$B1208="Autographs Triples",$B1208="Autographs Quads",$B1208="Autographs Quads (Inscribed)")),IF($B1208="Autographs Duals",2,IF($B1208="Autographs Triples",3,4)),1)))</f>
        <v>2</v>
      </c>
      <c r="AB1208" s="62">
        <f t="shared" si="245"/>
        <v>2</v>
      </c>
      <c r="AC1208" s="62">
        <f t="shared" si="246"/>
        <v>0</v>
      </c>
    </row>
    <row r="1209" spans="1:29" ht="28.7" customHeight="1" x14ac:dyDescent="0.25">
      <c r="A1209" s="4" t="s">
        <v>19</v>
      </c>
      <c r="B1209" s="7" t="s">
        <v>75</v>
      </c>
      <c r="C1209" s="2" t="s">
        <v>1507</v>
      </c>
      <c r="D1209" s="7" t="s">
        <v>1053</v>
      </c>
      <c r="E1209" s="4" t="s">
        <v>823</v>
      </c>
      <c r="F1209" s="2"/>
      <c r="G1209" s="2" t="s">
        <v>1399</v>
      </c>
      <c r="H1209" s="2" t="s">
        <v>1400</v>
      </c>
      <c r="I1209" s="4" t="s">
        <v>60</v>
      </c>
      <c r="J1209" s="112">
        <f>IF($H1209&lt;&gt;"Y",0,ROUND(MIN(Dashboard!$R$24,IF(IFERROR(VLOOKUP($B1209,Dashboard!$Q$28:$S$60,2,FALSE),0)&gt;0,IFERROR(VLOOKUP($B1209,Dashboard!$Q$28:$S$60,2,FALSE),0),$Z1209*IF($U1209&lt;&gt;"",ROUND((Dashboard!$R$4/$U1209)*VLOOKUP($I1209,Dashboard!$Q$9:$R$13,2,FALSE)*IF(ISNUMBER(SEARCH("Duals",$B1209)),2,IF(ISNUMBER(SEARCH("Triples",$B1209)),3,IF(ISNUMBER(SEARCH("Quads",$B1209)),4,1))),2),ROUND(VLOOKUP($I1209,Dashboard!$Q$15:$R$20,2,FALSE)*IF($E1209="Red",Dashboard!$R$6,IF($E1209="Gold",Dashboard!$R$7,Dashboard!$R$5))*IF(ISNUMBER(SEARCH("Duals",$B1209)),2,IF(ISNUMBER(SEARCH("Triples",$B1209)),3,IF(ISNUMBER(SEARCH("Quads",$B1209)),4,1))),2))*IF(IFERROR(VLOOKUP($B1209,Dashboard!$Q$28:$S$60,3,FALSE),0)&gt;0,VLOOKUP($B1209,Dashboard!$Q$28:$S$60,3,FALSE),1))),0))</f>
        <v>2</v>
      </c>
      <c r="K1209" s="2" t="str">
        <f>IF('Base S2'!D9="","",'Base S2'!D9)</f>
        <v>h</v>
      </c>
      <c r="L1209" s="2">
        <f t="shared" si="234"/>
        <v>1</v>
      </c>
      <c r="M1209" s="2">
        <f t="shared" si="235"/>
        <v>0</v>
      </c>
      <c r="N1209" s="2">
        <f t="shared" si="236"/>
        <v>1</v>
      </c>
      <c r="O1209" s="2">
        <f t="shared" si="237"/>
        <v>0</v>
      </c>
      <c r="P1209" s="112">
        <f t="shared" si="238"/>
        <v>2</v>
      </c>
      <c r="Q1209" s="112">
        <f t="shared" si="239"/>
        <v>0</v>
      </c>
      <c r="R1209" s="53"/>
      <c r="S1209" s="53" t="str">
        <f t="shared" si="240"/>
        <v>Base S2|Red Parallel - Season 2|108|Red</v>
      </c>
      <c r="T1209" s="57" t="str">
        <f>IF($S1209="","",IFERROR(VLOOKUP($S1209,'Pop Estimates (Non-#d)'!$N$2:$O$500,2,FALSE),""))</f>
        <v/>
      </c>
      <c r="U1209" s="57" t="str">
        <f t="shared" si="241"/>
        <v/>
      </c>
      <c r="V1209" s="53" t="str">
        <f t="shared" si="242"/>
        <v/>
      </c>
      <c r="W1209" s="53" t="str">
        <f t="shared" si="243"/>
        <v/>
      </c>
      <c r="X1209" s="53" t="str">
        <f t="shared" si="244"/>
        <v/>
      </c>
      <c r="Y1209" s="57" t="str">
        <f>IF($X1209="","",IFERROR(VLOOKUP($X1209,'Char Popularity'!$A$2:$C$500,2,FALSE),""))</f>
        <v/>
      </c>
      <c r="Z1209" s="56">
        <f>IF($X1209="",1,IFERROR(VLOOKUP($X1209,'Char Popularity'!$A$2:$C$500,3,FALSE),1))</f>
        <v>1</v>
      </c>
      <c r="AA1209" s="62">
        <f>IF($H1209&lt;&gt;"Y",0,(IF($F1209&lt;&gt;"",ROUND(Dashboard!$R$4/$F1209,1),IF(AND($I1209="Base",$E1209="Base"),Dashboard!$R$5,IF(AND($I1209="Base",$E1209="Red"),Dashboard!$R$6,IF(AND($I1209="Base",$E1209="Gold"),Dashboard!$R$7,VLOOKUP($I1209,Dashboard!$Q$16:$R$21,2,FALSE)))))*VLOOKUP($I1209,Dashboard!$Q$9:$R$13,2,FALSE)*IF(AND($I1209="Auto",$F1209="",OR($B1209="Autographs Duals",$B1209="Autographs Triples",$B1209="Autographs Quads",$B1209="Autographs Quads (Inscribed)")),IF($B1209="Autographs Duals",2,IF($B1209="Autographs Triples",3,4)),1)))</f>
        <v>2</v>
      </c>
      <c r="AB1209" s="62">
        <f t="shared" si="245"/>
        <v>2</v>
      </c>
      <c r="AC1209" s="62">
        <f t="shared" si="246"/>
        <v>0</v>
      </c>
    </row>
    <row r="1210" spans="1:29" ht="28.7" customHeight="1" x14ac:dyDescent="0.25">
      <c r="A1210" s="4" t="s">
        <v>19</v>
      </c>
      <c r="B1210" s="7" t="s">
        <v>75</v>
      </c>
      <c r="C1210" s="2" t="s">
        <v>1508</v>
      </c>
      <c r="D1210" s="7" t="s">
        <v>1056</v>
      </c>
      <c r="E1210" s="4" t="s">
        <v>823</v>
      </c>
      <c r="F1210" s="2"/>
      <c r="G1210" s="2" t="s">
        <v>1399</v>
      </c>
      <c r="H1210" s="2" t="s">
        <v>1400</v>
      </c>
      <c r="I1210" s="4" t="s">
        <v>60</v>
      </c>
      <c r="J1210" s="112">
        <f>IF($H1210&lt;&gt;"Y",0,ROUND(MIN(Dashboard!$R$24,IF(IFERROR(VLOOKUP($B1210,Dashboard!$Q$28:$S$60,2,FALSE),0)&gt;0,IFERROR(VLOOKUP($B1210,Dashboard!$Q$28:$S$60,2,FALSE),0),$Z1210*IF($U1210&lt;&gt;"",ROUND((Dashboard!$R$4/$U1210)*VLOOKUP($I1210,Dashboard!$Q$9:$R$13,2,FALSE)*IF(ISNUMBER(SEARCH("Duals",$B1210)),2,IF(ISNUMBER(SEARCH("Triples",$B1210)),3,IF(ISNUMBER(SEARCH("Quads",$B1210)),4,1))),2),ROUND(VLOOKUP($I1210,Dashboard!$Q$15:$R$20,2,FALSE)*IF($E1210="Red",Dashboard!$R$6,IF($E1210="Gold",Dashboard!$R$7,Dashboard!$R$5))*IF(ISNUMBER(SEARCH("Duals",$B1210)),2,IF(ISNUMBER(SEARCH("Triples",$B1210)),3,IF(ISNUMBER(SEARCH("Quads",$B1210)),4,1))),2))*IF(IFERROR(VLOOKUP($B1210,Dashboard!$Q$28:$S$60,3,FALSE),0)&gt;0,VLOOKUP($B1210,Dashboard!$Q$28:$S$60,3,FALSE),1))),0))</f>
        <v>2</v>
      </c>
      <c r="K1210" s="2" t="str">
        <f>IF('Base S2'!D10="","",'Base S2'!D10)</f>
        <v>h</v>
      </c>
      <c r="L1210" s="2">
        <f t="shared" si="234"/>
        <v>1</v>
      </c>
      <c r="M1210" s="2">
        <f t="shared" si="235"/>
        <v>0</v>
      </c>
      <c r="N1210" s="2">
        <f t="shared" si="236"/>
        <v>1</v>
      </c>
      <c r="O1210" s="2">
        <f t="shared" si="237"/>
        <v>0</v>
      </c>
      <c r="P1210" s="112">
        <f t="shared" si="238"/>
        <v>2</v>
      </c>
      <c r="Q1210" s="112">
        <f t="shared" si="239"/>
        <v>0</v>
      </c>
      <c r="R1210" s="53"/>
      <c r="S1210" s="53" t="str">
        <f t="shared" si="240"/>
        <v>Base S2|Red Parallel - Season 2|109|Red</v>
      </c>
      <c r="T1210" s="57" t="str">
        <f>IF($S1210="","",IFERROR(VLOOKUP($S1210,'Pop Estimates (Non-#d)'!$N$2:$O$500,2,FALSE),""))</f>
        <v/>
      </c>
      <c r="U1210" s="57" t="str">
        <f t="shared" si="241"/>
        <v/>
      </c>
      <c r="V1210" s="53" t="str">
        <f t="shared" si="242"/>
        <v/>
      </c>
      <c r="W1210" s="53" t="str">
        <f t="shared" si="243"/>
        <v/>
      </c>
      <c r="X1210" s="53" t="str">
        <f t="shared" si="244"/>
        <v/>
      </c>
      <c r="Y1210" s="57" t="str">
        <f>IF($X1210="","",IFERROR(VLOOKUP($X1210,'Char Popularity'!$A$2:$C$500,2,FALSE),""))</f>
        <v/>
      </c>
      <c r="Z1210" s="56">
        <f>IF($X1210="",1,IFERROR(VLOOKUP($X1210,'Char Popularity'!$A$2:$C$500,3,FALSE),1))</f>
        <v>1</v>
      </c>
      <c r="AA1210" s="62">
        <f>IF($H1210&lt;&gt;"Y",0,(IF($F1210&lt;&gt;"",ROUND(Dashboard!$R$4/$F1210,1),IF(AND($I1210="Base",$E1210="Base"),Dashboard!$R$5,IF(AND($I1210="Base",$E1210="Red"),Dashboard!$R$6,IF(AND($I1210="Base",$E1210="Gold"),Dashboard!$R$7,VLOOKUP($I1210,Dashboard!$Q$16:$R$21,2,FALSE)))))*VLOOKUP($I1210,Dashboard!$Q$9:$R$13,2,FALSE)*IF(AND($I1210="Auto",$F1210="",OR($B1210="Autographs Duals",$B1210="Autographs Triples",$B1210="Autographs Quads",$B1210="Autographs Quads (Inscribed)")),IF($B1210="Autographs Duals",2,IF($B1210="Autographs Triples",3,4)),1)))</f>
        <v>2</v>
      </c>
      <c r="AB1210" s="62">
        <f t="shared" si="245"/>
        <v>2</v>
      </c>
      <c r="AC1210" s="62">
        <f t="shared" si="246"/>
        <v>0</v>
      </c>
    </row>
    <row r="1211" spans="1:29" ht="28.7" customHeight="1" x14ac:dyDescent="0.25">
      <c r="A1211" s="4" t="s">
        <v>19</v>
      </c>
      <c r="B1211" s="7" t="s">
        <v>75</v>
      </c>
      <c r="C1211" s="2" t="s">
        <v>1509</v>
      </c>
      <c r="D1211" s="7" t="s">
        <v>1059</v>
      </c>
      <c r="E1211" s="4" t="s">
        <v>823</v>
      </c>
      <c r="F1211" s="2"/>
      <c r="G1211" s="2" t="s">
        <v>1399</v>
      </c>
      <c r="H1211" s="2" t="s">
        <v>1400</v>
      </c>
      <c r="I1211" s="4" t="s">
        <v>60</v>
      </c>
      <c r="J1211" s="112">
        <f>IF($H1211&lt;&gt;"Y",0,ROUND(MIN(Dashboard!$R$24,IF(IFERROR(VLOOKUP($B1211,Dashboard!$Q$28:$S$60,2,FALSE),0)&gt;0,IFERROR(VLOOKUP($B1211,Dashboard!$Q$28:$S$60,2,FALSE),0),$Z1211*IF($U1211&lt;&gt;"",ROUND((Dashboard!$R$4/$U1211)*VLOOKUP($I1211,Dashboard!$Q$9:$R$13,2,FALSE)*IF(ISNUMBER(SEARCH("Duals",$B1211)),2,IF(ISNUMBER(SEARCH("Triples",$B1211)),3,IF(ISNUMBER(SEARCH("Quads",$B1211)),4,1))),2),ROUND(VLOOKUP($I1211,Dashboard!$Q$15:$R$20,2,FALSE)*IF($E1211="Red",Dashboard!$R$6,IF($E1211="Gold",Dashboard!$R$7,Dashboard!$R$5))*IF(ISNUMBER(SEARCH("Duals",$B1211)),2,IF(ISNUMBER(SEARCH("Triples",$B1211)),3,IF(ISNUMBER(SEARCH("Quads",$B1211)),4,1))),2))*IF(IFERROR(VLOOKUP($B1211,Dashboard!$Q$28:$S$60,3,FALSE),0)&gt;0,VLOOKUP($B1211,Dashboard!$Q$28:$S$60,3,FALSE),1))),0))</f>
        <v>2</v>
      </c>
      <c r="K1211" s="2" t="str">
        <f>IF('Base S2'!D11="","",'Base S2'!D11)</f>
        <v>h</v>
      </c>
      <c r="L1211" s="2">
        <f t="shared" si="234"/>
        <v>1</v>
      </c>
      <c r="M1211" s="2">
        <f t="shared" si="235"/>
        <v>0</v>
      </c>
      <c r="N1211" s="2">
        <f t="shared" si="236"/>
        <v>1</v>
      </c>
      <c r="O1211" s="2">
        <f t="shared" si="237"/>
        <v>0</v>
      </c>
      <c r="P1211" s="112">
        <f t="shared" si="238"/>
        <v>2</v>
      </c>
      <c r="Q1211" s="112">
        <f t="shared" si="239"/>
        <v>0</v>
      </c>
      <c r="R1211" s="53"/>
      <c r="S1211" s="53" t="str">
        <f t="shared" si="240"/>
        <v>Base S2|Red Parallel - Season 2|110|Red</v>
      </c>
      <c r="T1211" s="57" t="str">
        <f>IF($S1211="","",IFERROR(VLOOKUP($S1211,'Pop Estimates (Non-#d)'!$N$2:$O$500,2,FALSE),""))</f>
        <v/>
      </c>
      <c r="U1211" s="57" t="str">
        <f t="shared" si="241"/>
        <v/>
      </c>
      <c r="V1211" s="53" t="str">
        <f t="shared" si="242"/>
        <v/>
      </c>
      <c r="W1211" s="53" t="str">
        <f t="shared" si="243"/>
        <v/>
      </c>
      <c r="X1211" s="53" t="str">
        <f t="shared" si="244"/>
        <v/>
      </c>
      <c r="Y1211" s="57" t="str">
        <f>IF($X1211="","",IFERROR(VLOOKUP($X1211,'Char Popularity'!$A$2:$C$500,2,FALSE),""))</f>
        <v/>
      </c>
      <c r="Z1211" s="56">
        <f>IF($X1211="",1,IFERROR(VLOOKUP($X1211,'Char Popularity'!$A$2:$C$500,3,FALSE),1))</f>
        <v>1</v>
      </c>
      <c r="AA1211" s="62">
        <f>IF($H1211&lt;&gt;"Y",0,(IF($F1211&lt;&gt;"",ROUND(Dashboard!$R$4/$F1211,1),IF(AND($I1211="Base",$E1211="Base"),Dashboard!$R$5,IF(AND($I1211="Base",$E1211="Red"),Dashboard!$R$6,IF(AND($I1211="Base",$E1211="Gold"),Dashboard!$R$7,VLOOKUP($I1211,Dashboard!$Q$16:$R$21,2,FALSE)))))*VLOOKUP($I1211,Dashboard!$Q$9:$R$13,2,FALSE)*IF(AND($I1211="Auto",$F1211="",OR($B1211="Autographs Duals",$B1211="Autographs Triples",$B1211="Autographs Quads",$B1211="Autographs Quads (Inscribed)")),IF($B1211="Autographs Duals",2,IF($B1211="Autographs Triples",3,4)),1)))</f>
        <v>2</v>
      </c>
      <c r="AB1211" s="62">
        <f t="shared" si="245"/>
        <v>2</v>
      </c>
      <c r="AC1211" s="62">
        <f t="shared" si="246"/>
        <v>0</v>
      </c>
    </row>
    <row r="1212" spans="1:29" ht="28.7" customHeight="1" x14ac:dyDescent="0.25">
      <c r="A1212" s="4" t="s">
        <v>19</v>
      </c>
      <c r="B1212" s="7" t="s">
        <v>75</v>
      </c>
      <c r="C1212" s="2" t="s">
        <v>1510</v>
      </c>
      <c r="D1212" s="7" t="s">
        <v>1061</v>
      </c>
      <c r="E1212" s="4" t="s">
        <v>823</v>
      </c>
      <c r="F1212" s="2"/>
      <c r="G1212" s="2" t="s">
        <v>1399</v>
      </c>
      <c r="H1212" s="2" t="s">
        <v>1400</v>
      </c>
      <c r="I1212" s="4" t="s">
        <v>60</v>
      </c>
      <c r="J1212" s="112">
        <f>IF($H1212&lt;&gt;"Y",0,ROUND(MIN(Dashboard!$R$24,IF(IFERROR(VLOOKUP($B1212,Dashboard!$Q$28:$S$60,2,FALSE),0)&gt;0,IFERROR(VLOOKUP($B1212,Dashboard!$Q$28:$S$60,2,FALSE),0),$Z1212*IF($U1212&lt;&gt;"",ROUND((Dashboard!$R$4/$U1212)*VLOOKUP($I1212,Dashboard!$Q$9:$R$13,2,FALSE)*IF(ISNUMBER(SEARCH("Duals",$B1212)),2,IF(ISNUMBER(SEARCH("Triples",$B1212)),3,IF(ISNUMBER(SEARCH("Quads",$B1212)),4,1))),2),ROUND(VLOOKUP($I1212,Dashboard!$Q$15:$R$20,2,FALSE)*IF($E1212="Red",Dashboard!$R$6,IF($E1212="Gold",Dashboard!$R$7,Dashboard!$R$5))*IF(ISNUMBER(SEARCH("Duals",$B1212)),2,IF(ISNUMBER(SEARCH("Triples",$B1212)),3,IF(ISNUMBER(SEARCH("Quads",$B1212)),4,1))),2))*IF(IFERROR(VLOOKUP($B1212,Dashboard!$Q$28:$S$60,3,FALSE),0)&gt;0,VLOOKUP($B1212,Dashboard!$Q$28:$S$60,3,FALSE),1))),0))</f>
        <v>2</v>
      </c>
      <c r="K1212" s="2" t="str">
        <f>IF('Base S2'!D12="","",'Base S2'!D12)</f>
        <v>h</v>
      </c>
      <c r="L1212" s="2">
        <f t="shared" si="234"/>
        <v>1</v>
      </c>
      <c r="M1212" s="2">
        <f t="shared" si="235"/>
        <v>0</v>
      </c>
      <c r="N1212" s="2">
        <f t="shared" si="236"/>
        <v>1</v>
      </c>
      <c r="O1212" s="2">
        <f t="shared" si="237"/>
        <v>0</v>
      </c>
      <c r="P1212" s="112">
        <f t="shared" si="238"/>
        <v>2</v>
      </c>
      <c r="Q1212" s="112">
        <f t="shared" si="239"/>
        <v>0</v>
      </c>
      <c r="R1212" s="53"/>
      <c r="S1212" s="53" t="str">
        <f t="shared" si="240"/>
        <v>Base S2|Red Parallel - Season 2|111|Red</v>
      </c>
      <c r="T1212" s="57" t="str">
        <f>IF($S1212="","",IFERROR(VLOOKUP($S1212,'Pop Estimates (Non-#d)'!$N$2:$O$500,2,FALSE),""))</f>
        <v/>
      </c>
      <c r="U1212" s="57" t="str">
        <f t="shared" si="241"/>
        <v/>
      </c>
      <c r="V1212" s="53" t="str">
        <f t="shared" si="242"/>
        <v/>
      </c>
      <c r="W1212" s="53" t="str">
        <f t="shared" si="243"/>
        <v/>
      </c>
      <c r="X1212" s="53" t="str">
        <f t="shared" si="244"/>
        <v/>
      </c>
      <c r="Y1212" s="57" t="str">
        <f>IF($X1212="","",IFERROR(VLOOKUP($X1212,'Char Popularity'!$A$2:$C$500,2,FALSE),""))</f>
        <v/>
      </c>
      <c r="Z1212" s="56">
        <f>IF($X1212="",1,IFERROR(VLOOKUP($X1212,'Char Popularity'!$A$2:$C$500,3,FALSE),1))</f>
        <v>1</v>
      </c>
      <c r="AA1212" s="62">
        <f>IF($H1212&lt;&gt;"Y",0,(IF($F1212&lt;&gt;"",ROUND(Dashboard!$R$4/$F1212,1),IF(AND($I1212="Base",$E1212="Base"),Dashboard!$R$5,IF(AND($I1212="Base",$E1212="Red"),Dashboard!$R$6,IF(AND($I1212="Base",$E1212="Gold"),Dashboard!$R$7,VLOOKUP($I1212,Dashboard!$Q$16:$R$21,2,FALSE)))))*VLOOKUP($I1212,Dashboard!$Q$9:$R$13,2,FALSE)*IF(AND($I1212="Auto",$F1212="",OR($B1212="Autographs Duals",$B1212="Autographs Triples",$B1212="Autographs Quads",$B1212="Autographs Quads (Inscribed)")),IF($B1212="Autographs Duals",2,IF($B1212="Autographs Triples",3,4)),1)))</f>
        <v>2</v>
      </c>
      <c r="AB1212" s="62">
        <f t="shared" si="245"/>
        <v>2</v>
      </c>
      <c r="AC1212" s="62">
        <f t="shared" si="246"/>
        <v>0</v>
      </c>
    </row>
    <row r="1213" spans="1:29" ht="28.7" customHeight="1" x14ac:dyDescent="0.25">
      <c r="A1213" s="4" t="s">
        <v>19</v>
      </c>
      <c r="B1213" s="7" t="s">
        <v>75</v>
      </c>
      <c r="C1213" s="2" t="s">
        <v>1511</v>
      </c>
      <c r="D1213" s="7" t="s">
        <v>1063</v>
      </c>
      <c r="E1213" s="4" t="s">
        <v>823</v>
      </c>
      <c r="F1213" s="2"/>
      <c r="G1213" s="2" t="s">
        <v>1399</v>
      </c>
      <c r="H1213" s="2" t="s">
        <v>1400</v>
      </c>
      <c r="I1213" s="4" t="s">
        <v>60</v>
      </c>
      <c r="J1213" s="112">
        <f>IF($H1213&lt;&gt;"Y",0,ROUND(MIN(Dashboard!$R$24,IF(IFERROR(VLOOKUP($B1213,Dashboard!$Q$28:$S$60,2,FALSE),0)&gt;0,IFERROR(VLOOKUP($B1213,Dashboard!$Q$28:$S$60,2,FALSE),0),$Z1213*IF($U1213&lt;&gt;"",ROUND((Dashboard!$R$4/$U1213)*VLOOKUP($I1213,Dashboard!$Q$9:$R$13,2,FALSE)*IF(ISNUMBER(SEARCH("Duals",$B1213)),2,IF(ISNUMBER(SEARCH("Triples",$B1213)),3,IF(ISNUMBER(SEARCH("Quads",$B1213)),4,1))),2),ROUND(VLOOKUP($I1213,Dashboard!$Q$15:$R$20,2,FALSE)*IF($E1213="Red",Dashboard!$R$6,IF($E1213="Gold",Dashboard!$R$7,Dashboard!$R$5))*IF(ISNUMBER(SEARCH("Duals",$B1213)),2,IF(ISNUMBER(SEARCH("Triples",$B1213)),3,IF(ISNUMBER(SEARCH("Quads",$B1213)),4,1))),2))*IF(IFERROR(VLOOKUP($B1213,Dashboard!$Q$28:$S$60,3,FALSE),0)&gt;0,VLOOKUP($B1213,Dashboard!$Q$28:$S$60,3,FALSE),1))),0))</f>
        <v>2</v>
      </c>
      <c r="K1213" s="2" t="str">
        <f>IF('Base S2'!D13="","",'Base S2'!D13)</f>
        <v>h</v>
      </c>
      <c r="L1213" s="2">
        <f t="shared" si="234"/>
        <v>1</v>
      </c>
      <c r="M1213" s="2">
        <f t="shared" si="235"/>
        <v>0</v>
      </c>
      <c r="N1213" s="2">
        <f t="shared" si="236"/>
        <v>1</v>
      </c>
      <c r="O1213" s="2">
        <f t="shared" si="237"/>
        <v>0</v>
      </c>
      <c r="P1213" s="112">
        <f t="shared" si="238"/>
        <v>2</v>
      </c>
      <c r="Q1213" s="112">
        <f t="shared" si="239"/>
        <v>0</v>
      </c>
      <c r="R1213" s="53"/>
      <c r="S1213" s="53" t="str">
        <f t="shared" si="240"/>
        <v>Base S2|Red Parallel - Season 2|112|Red</v>
      </c>
      <c r="T1213" s="57" t="str">
        <f>IF($S1213="","",IFERROR(VLOOKUP($S1213,'Pop Estimates (Non-#d)'!$N$2:$O$500,2,FALSE),""))</f>
        <v/>
      </c>
      <c r="U1213" s="57" t="str">
        <f t="shared" si="241"/>
        <v/>
      </c>
      <c r="V1213" s="53" t="str">
        <f t="shared" si="242"/>
        <v/>
      </c>
      <c r="W1213" s="53" t="str">
        <f t="shared" si="243"/>
        <v/>
      </c>
      <c r="X1213" s="53" t="str">
        <f t="shared" si="244"/>
        <v/>
      </c>
      <c r="Y1213" s="57" t="str">
        <f>IF($X1213="","",IFERROR(VLOOKUP($X1213,'Char Popularity'!$A$2:$C$500,2,FALSE),""))</f>
        <v/>
      </c>
      <c r="Z1213" s="56">
        <f>IF($X1213="",1,IFERROR(VLOOKUP($X1213,'Char Popularity'!$A$2:$C$500,3,FALSE),1))</f>
        <v>1</v>
      </c>
      <c r="AA1213" s="62">
        <f>IF($H1213&lt;&gt;"Y",0,(IF($F1213&lt;&gt;"",ROUND(Dashboard!$R$4/$F1213,1),IF(AND($I1213="Base",$E1213="Base"),Dashboard!$R$5,IF(AND($I1213="Base",$E1213="Red"),Dashboard!$R$6,IF(AND($I1213="Base",$E1213="Gold"),Dashboard!$R$7,VLOOKUP($I1213,Dashboard!$Q$16:$R$21,2,FALSE)))))*VLOOKUP($I1213,Dashboard!$Q$9:$R$13,2,FALSE)*IF(AND($I1213="Auto",$F1213="",OR($B1213="Autographs Duals",$B1213="Autographs Triples",$B1213="Autographs Quads",$B1213="Autographs Quads (Inscribed)")),IF($B1213="Autographs Duals",2,IF($B1213="Autographs Triples",3,4)),1)))</f>
        <v>2</v>
      </c>
      <c r="AB1213" s="62">
        <f t="shared" si="245"/>
        <v>2</v>
      </c>
      <c r="AC1213" s="62">
        <f t="shared" si="246"/>
        <v>0</v>
      </c>
    </row>
    <row r="1214" spans="1:29" ht="28.7" customHeight="1" x14ac:dyDescent="0.25">
      <c r="A1214" s="4" t="s">
        <v>19</v>
      </c>
      <c r="B1214" s="7" t="s">
        <v>75</v>
      </c>
      <c r="C1214" s="2" t="s">
        <v>1512</v>
      </c>
      <c r="D1214" s="7" t="s">
        <v>1065</v>
      </c>
      <c r="E1214" s="4" t="s">
        <v>823</v>
      </c>
      <c r="F1214" s="2"/>
      <c r="G1214" s="2" t="s">
        <v>1399</v>
      </c>
      <c r="H1214" s="2" t="s">
        <v>1400</v>
      </c>
      <c r="I1214" s="4" t="s">
        <v>60</v>
      </c>
      <c r="J1214" s="112">
        <f>IF($H1214&lt;&gt;"Y",0,ROUND(MIN(Dashboard!$R$24,IF(IFERROR(VLOOKUP($B1214,Dashboard!$Q$28:$S$60,2,FALSE),0)&gt;0,IFERROR(VLOOKUP($B1214,Dashboard!$Q$28:$S$60,2,FALSE),0),$Z1214*IF($U1214&lt;&gt;"",ROUND((Dashboard!$R$4/$U1214)*VLOOKUP($I1214,Dashboard!$Q$9:$R$13,2,FALSE)*IF(ISNUMBER(SEARCH("Duals",$B1214)),2,IF(ISNUMBER(SEARCH("Triples",$B1214)),3,IF(ISNUMBER(SEARCH("Quads",$B1214)),4,1))),2),ROUND(VLOOKUP($I1214,Dashboard!$Q$15:$R$20,2,FALSE)*IF($E1214="Red",Dashboard!$R$6,IF($E1214="Gold",Dashboard!$R$7,Dashboard!$R$5))*IF(ISNUMBER(SEARCH("Duals",$B1214)),2,IF(ISNUMBER(SEARCH("Triples",$B1214)),3,IF(ISNUMBER(SEARCH("Quads",$B1214)),4,1))),2))*IF(IFERROR(VLOOKUP($B1214,Dashboard!$Q$28:$S$60,3,FALSE),0)&gt;0,VLOOKUP($B1214,Dashboard!$Q$28:$S$60,3,FALSE),1))),0))</f>
        <v>2</v>
      </c>
      <c r="K1214" s="2" t="str">
        <f>IF('Base S2'!D14="","",'Base S2'!D14)</f>
        <v>h</v>
      </c>
      <c r="L1214" s="2">
        <f t="shared" si="234"/>
        <v>1</v>
      </c>
      <c r="M1214" s="2">
        <f t="shared" si="235"/>
        <v>0</v>
      </c>
      <c r="N1214" s="2">
        <f t="shared" si="236"/>
        <v>1</v>
      </c>
      <c r="O1214" s="2">
        <f t="shared" si="237"/>
        <v>0</v>
      </c>
      <c r="P1214" s="112">
        <f t="shared" si="238"/>
        <v>2</v>
      </c>
      <c r="Q1214" s="112">
        <f t="shared" si="239"/>
        <v>0</v>
      </c>
      <c r="R1214" s="53"/>
      <c r="S1214" s="53" t="str">
        <f t="shared" si="240"/>
        <v>Base S2|Red Parallel - Season 2|113|Red</v>
      </c>
      <c r="T1214" s="57" t="str">
        <f>IF($S1214="","",IFERROR(VLOOKUP($S1214,'Pop Estimates (Non-#d)'!$N$2:$O$500,2,FALSE),""))</f>
        <v/>
      </c>
      <c r="U1214" s="57" t="str">
        <f t="shared" si="241"/>
        <v/>
      </c>
      <c r="V1214" s="53" t="str">
        <f t="shared" si="242"/>
        <v/>
      </c>
      <c r="W1214" s="53" t="str">
        <f t="shared" si="243"/>
        <v/>
      </c>
      <c r="X1214" s="53" t="str">
        <f t="shared" si="244"/>
        <v/>
      </c>
      <c r="Y1214" s="57" t="str">
        <f>IF($X1214="","",IFERROR(VLOOKUP($X1214,'Char Popularity'!$A$2:$C$500,2,FALSE),""))</f>
        <v/>
      </c>
      <c r="Z1214" s="56">
        <f>IF($X1214="",1,IFERROR(VLOOKUP($X1214,'Char Popularity'!$A$2:$C$500,3,FALSE),1))</f>
        <v>1</v>
      </c>
      <c r="AA1214" s="62">
        <f>IF($H1214&lt;&gt;"Y",0,(IF($F1214&lt;&gt;"",ROUND(Dashboard!$R$4/$F1214,1),IF(AND($I1214="Base",$E1214="Base"),Dashboard!$R$5,IF(AND($I1214="Base",$E1214="Red"),Dashboard!$R$6,IF(AND($I1214="Base",$E1214="Gold"),Dashboard!$R$7,VLOOKUP($I1214,Dashboard!$Q$16:$R$21,2,FALSE)))))*VLOOKUP($I1214,Dashboard!$Q$9:$R$13,2,FALSE)*IF(AND($I1214="Auto",$F1214="",OR($B1214="Autographs Duals",$B1214="Autographs Triples",$B1214="Autographs Quads",$B1214="Autographs Quads (Inscribed)")),IF($B1214="Autographs Duals",2,IF($B1214="Autographs Triples",3,4)),1)))</f>
        <v>2</v>
      </c>
      <c r="AB1214" s="62">
        <f t="shared" si="245"/>
        <v>2</v>
      </c>
      <c r="AC1214" s="62">
        <f t="shared" si="246"/>
        <v>0</v>
      </c>
    </row>
    <row r="1215" spans="1:29" ht="28.7" customHeight="1" x14ac:dyDescent="0.25">
      <c r="A1215" s="4" t="s">
        <v>19</v>
      </c>
      <c r="B1215" s="7" t="s">
        <v>75</v>
      </c>
      <c r="C1215" s="2" t="s">
        <v>1513</v>
      </c>
      <c r="D1215" s="7" t="s">
        <v>1067</v>
      </c>
      <c r="E1215" s="4" t="s">
        <v>823</v>
      </c>
      <c r="F1215" s="2"/>
      <c r="G1215" s="2" t="s">
        <v>1399</v>
      </c>
      <c r="H1215" s="2" t="s">
        <v>1400</v>
      </c>
      <c r="I1215" s="4" t="s">
        <v>60</v>
      </c>
      <c r="J1215" s="112">
        <f>IF($H1215&lt;&gt;"Y",0,ROUND(MIN(Dashboard!$R$24,IF(IFERROR(VLOOKUP($B1215,Dashboard!$Q$28:$S$60,2,FALSE),0)&gt;0,IFERROR(VLOOKUP($B1215,Dashboard!$Q$28:$S$60,2,FALSE),0),$Z1215*IF($U1215&lt;&gt;"",ROUND((Dashboard!$R$4/$U1215)*VLOOKUP($I1215,Dashboard!$Q$9:$R$13,2,FALSE)*IF(ISNUMBER(SEARCH("Duals",$B1215)),2,IF(ISNUMBER(SEARCH("Triples",$B1215)),3,IF(ISNUMBER(SEARCH("Quads",$B1215)),4,1))),2),ROUND(VLOOKUP($I1215,Dashboard!$Q$15:$R$20,2,FALSE)*IF($E1215="Red",Dashboard!$R$6,IF($E1215="Gold",Dashboard!$R$7,Dashboard!$R$5))*IF(ISNUMBER(SEARCH("Duals",$B1215)),2,IF(ISNUMBER(SEARCH("Triples",$B1215)),3,IF(ISNUMBER(SEARCH("Quads",$B1215)),4,1))),2))*IF(IFERROR(VLOOKUP($B1215,Dashboard!$Q$28:$S$60,3,FALSE),0)&gt;0,VLOOKUP($B1215,Dashboard!$Q$28:$S$60,3,FALSE),1))),0))</f>
        <v>2</v>
      </c>
      <c r="K1215" s="2" t="str">
        <f>IF('Base S2'!D15="","",'Base S2'!D15)</f>
        <v>h</v>
      </c>
      <c r="L1215" s="2">
        <f t="shared" si="234"/>
        <v>1</v>
      </c>
      <c r="M1215" s="2">
        <f t="shared" si="235"/>
        <v>0</v>
      </c>
      <c r="N1215" s="2">
        <f t="shared" si="236"/>
        <v>1</v>
      </c>
      <c r="O1215" s="2">
        <f t="shared" si="237"/>
        <v>0</v>
      </c>
      <c r="P1215" s="112">
        <f t="shared" si="238"/>
        <v>2</v>
      </c>
      <c r="Q1215" s="112">
        <f t="shared" si="239"/>
        <v>0</v>
      </c>
      <c r="R1215" s="53"/>
      <c r="S1215" s="53" t="str">
        <f t="shared" si="240"/>
        <v>Base S2|Red Parallel - Season 2|114|Red</v>
      </c>
      <c r="T1215" s="57" t="str">
        <f>IF($S1215="","",IFERROR(VLOOKUP($S1215,'Pop Estimates (Non-#d)'!$N$2:$O$500,2,FALSE),""))</f>
        <v/>
      </c>
      <c r="U1215" s="57" t="str">
        <f t="shared" si="241"/>
        <v/>
      </c>
      <c r="V1215" s="53" t="str">
        <f t="shared" si="242"/>
        <v/>
      </c>
      <c r="W1215" s="53" t="str">
        <f t="shared" si="243"/>
        <v/>
      </c>
      <c r="X1215" s="53" t="str">
        <f t="shared" si="244"/>
        <v/>
      </c>
      <c r="Y1215" s="57" t="str">
        <f>IF($X1215="","",IFERROR(VLOOKUP($X1215,'Char Popularity'!$A$2:$C$500,2,FALSE),""))</f>
        <v/>
      </c>
      <c r="Z1215" s="56">
        <f>IF($X1215="",1,IFERROR(VLOOKUP($X1215,'Char Popularity'!$A$2:$C$500,3,FALSE),1))</f>
        <v>1</v>
      </c>
      <c r="AA1215" s="62">
        <f>IF($H1215&lt;&gt;"Y",0,(IF($F1215&lt;&gt;"",ROUND(Dashboard!$R$4/$F1215,1),IF(AND($I1215="Base",$E1215="Base"),Dashboard!$R$5,IF(AND($I1215="Base",$E1215="Red"),Dashboard!$R$6,IF(AND($I1215="Base",$E1215="Gold"),Dashboard!$R$7,VLOOKUP($I1215,Dashboard!$Q$16:$R$21,2,FALSE)))))*VLOOKUP($I1215,Dashboard!$Q$9:$R$13,2,FALSE)*IF(AND($I1215="Auto",$F1215="",OR($B1215="Autographs Duals",$B1215="Autographs Triples",$B1215="Autographs Quads",$B1215="Autographs Quads (Inscribed)")),IF($B1215="Autographs Duals",2,IF($B1215="Autographs Triples",3,4)),1)))</f>
        <v>2</v>
      </c>
      <c r="AB1215" s="62">
        <f t="shared" si="245"/>
        <v>2</v>
      </c>
      <c r="AC1215" s="62">
        <f t="shared" si="246"/>
        <v>0</v>
      </c>
    </row>
    <row r="1216" spans="1:29" ht="28.7" customHeight="1" x14ac:dyDescent="0.25">
      <c r="A1216" s="4" t="s">
        <v>19</v>
      </c>
      <c r="B1216" s="7" t="s">
        <v>75</v>
      </c>
      <c r="C1216" s="2" t="s">
        <v>1514</v>
      </c>
      <c r="D1216" s="7" t="s">
        <v>1069</v>
      </c>
      <c r="E1216" s="4" t="s">
        <v>823</v>
      </c>
      <c r="F1216" s="2"/>
      <c r="G1216" s="2" t="s">
        <v>1399</v>
      </c>
      <c r="H1216" s="2" t="s">
        <v>1400</v>
      </c>
      <c r="I1216" s="4" t="s">
        <v>60</v>
      </c>
      <c r="J1216" s="112">
        <f>IF($H1216&lt;&gt;"Y",0,ROUND(MIN(Dashboard!$R$24,IF(IFERROR(VLOOKUP($B1216,Dashboard!$Q$28:$S$60,2,FALSE),0)&gt;0,IFERROR(VLOOKUP($B1216,Dashboard!$Q$28:$S$60,2,FALSE),0),$Z1216*IF($U1216&lt;&gt;"",ROUND((Dashboard!$R$4/$U1216)*VLOOKUP($I1216,Dashboard!$Q$9:$R$13,2,FALSE)*IF(ISNUMBER(SEARCH("Duals",$B1216)),2,IF(ISNUMBER(SEARCH("Triples",$B1216)),3,IF(ISNUMBER(SEARCH("Quads",$B1216)),4,1))),2),ROUND(VLOOKUP($I1216,Dashboard!$Q$15:$R$20,2,FALSE)*IF($E1216="Red",Dashboard!$R$6,IF($E1216="Gold",Dashboard!$R$7,Dashboard!$R$5))*IF(ISNUMBER(SEARCH("Duals",$B1216)),2,IF(ISNUMBER(SEARCH("Triples",$B1216)),3,IF(ISNUMBER(SEARCH("Quads",$B1216)),4,1))),2))*IF(IFERROR(VLOOKUP($B1216,Dashboard!$Q$28:$S$60,3,FALSE),0)&gt;0,VLOOKUP($B1216,Dashboard!$Q$28:$S$60,3,FALSE),1))),0))</f>
        <v>2</v>
      </c>
      <c r="K1216" s="2" t="str">
        <f>IF('Base S2'!D16="","",'Base S2'!D16)</f>
        <v>h</v>
      </c>
      <c r="L1216" s="2">
        <f t="shared" si="234"/>
        <v>1</v>
      </c>
      <c r="M1216" s="2">
        <f t="shared" si="235"/>
        <v>0</v>
      </c>
      <c r="N1216" s="2">
        <f t="shared" si="236"/>
        <v>1</v>
      </c>
      <c r="O1216" s="2">
        <f t="shared" si="237"/>
        <v>0</v>
      </c>
      <c r="P1216" s="112">
        <f t="shared" si="238"/>
        <v>2</v>
      </c>
      <c r="Q1216" s="112">
        <f t="shared" si="239"/>
        <v>0</v>
      </c>
      <c r="R1216" s="53"/>
      <c r="S1216" s="53" t="str">
        <f t="shared" si="240"/>
        <v>Base S2|Red Parallel - Season 2|115|Red</v>
      </c>
      <c r="T1216" s="57" t="str">
        <f>IF($S1216="","",IFERROR(VLOOKUP($S1216,'Pop Estimates (Non-#d)'!$N$2:$O$500,2,FALSE),""))</f>
        <v/>
      </c>
      <c r="U1216" s="57" t="str">
        <f t="shared" si="241"/>
        <v/>
      </c>
      <c r="V1216" s="53" t="str">
        <f t="shared" si="242"/>
        <v/>
      </c>
      <c r="W1216" s="53" t="str">
        <f t="shared" si="243"/>
        <v/>
      </c>
      <c r="X1216" s="53" t="str">
        <f t="shared" si="244"/>
        <v/>
      </c>
      <c r="Y1216" s="57" t="str">
        <f>IF($X1216="","",IFERROR(VLOOKUP($X1216,'Char Popularity'!$A$2:$C$500,2,FALSE),""))</f>
        <v/>
      </c>
      <c r="Z1216" s="56">
        <f>IF($X1216="",1,IFERROR(VLOOKUP($X1216,'Char Popularity'!$A$2:$C$500,3,FALSE),1))</f>
        <v>1</v>
      </c>
      <c r="AA1216" s="62">
        <f>IF($H1216&lt;&gt;"Y",0,(IF($F1216&lt;&gt;"",ROUND(Dashboard!$R$4/$F1216,1),IF(AND($I1216="Base",$E1216="Base"),Dashboard!$R$5,IF(AND($I1216="Base",$E1216="Red"),Dashboard!$R$6,IF(AND($I1216="Base",$E1216="Gold"),Dashboard!$R$7,VLOOKUP($I1216,Dashboard!$Q$16:$R$21,2,FALSE)))))*VLOOKUP($I1216,Dashboard!$Q$9:$R$13,2,FALSE)*IF(AND($I1216="Auto",$F1216="",OR($B1216="Autographs Duals",$B1216="Autographs Triples",$B1216="Autographs Quads",$B1216="Autographs Quads (Inscribed)")),IF($B1216="Autographs Duals",2,IF($B1216="Autographs Triples",3,4)),1)))</f>
        <v>2</v>
      </c>
      <c r="AB1216" s="62">
        <f t="shared" si="245"/>
        <v>2</v>
      </c>
      <c r="AC1216" s="62">
        <f t="shared" si="246"/>
        <v>0</v>
      </c>
    </row>
    <row r="1217" spans="1:29" ht="28.7" customHeight="1" x14ac:dyDescent="0.25">
      <c r="A1217" s="4" t="s">
        <v>19</v>
      </c>
      <c r="B1217" s="7" t="s">
        <v>75</v>
      </c>
      <c r="C1217" s="2" t="s">
        <v>1515</v>
      </c>
      <c r="D1217" s="7" t="s">
        <v>1070</v>
      </c>
      <c r="E1217" s="4" t="s">
        <v>823</v>
      </c>
      <c r="F1217" s="2"/>
      <c r="G1217" s="2" t="s">
        <v>1399</v>
      </c>
      <c r="H1217" s="2" t="s">
        <v>1400</v>
      </c>
      <c r="I1217" s="4" t="s">
        <v>60</v>
      </c>
      <c r="J1217" s="112">
        <f>IF($H1217&lt;&gt;"Y",0,ROUND(MIN(Dashboard!$R$24,IF(IFERROR(VLOOKUP($B1217,Dashboard!$Q$28:$S$60,2,FALSE),0)&gt;0,IFERROR(VLOOKUP($B1217,Dashboard!$Q$28:$S$60,2,FALSE),0),$Z1217*IF($U1217&lt;&gt;"",ROUND((Dashboard!$R$4/$U1217)*VLOOKUP($I1217,Dashboard!$Q$9:$R$13,2,FALSE)*IF(ISNUMBER(SEARCH("Duals",$B1217)),2,IF(ISNUMBER(SEARCH("Triples",$B1217)),3,IF(ISNUMBER(SEARCH("Quads",$B1217)),4,1))),2),ROUND(VLOOKUP($I1217,Dashboard!$Q$15:$R$20,2,FALSE)*IF($E1217="Red",Dashboard!$R$6,IF($E1217="Gold",Dashboard!$R$7,Dashboard!$R$5))*IF(ISNUMBER(SEARCH("Duals",$B1217)),2,IF(ISNUMBER(SEARCH("Triples",$B1217)),3,IF(ISNUMBER(SEARCH("Quads",$B1217)),4,1))),2))*IF(IFERROR(VLOOKUP($B1217,Dashboard!$Q$28:$S$60,3,FALSE),0)&gt;0,VLOOKUP($B1217,Dashboard!$Q$28:$S$60,3,FALSE),1))),0))</f>
        <v>2</v>
      </c>
      <c r="K1217" s="2" t="str">
        <f>IF('Base S2'!D17="","",'Base S2'!D17)</f>
        <v>h</v>
      </c>
      <c r="L1217" s="2">
        <f t="shared" si="234"/>
        <v>1</v>
      </c>
      <c r="M1217" s="2">
        <f t="shared" si="235"/>
        <v>0</v>
      </c>
      <c r="N1217" s="2">
        <f t="shared" si="236"/>
        <v>1</v>
      </c>
      <c r="O1217" s="2">
        <f t="shared" si="237"/>
        <v>0</v>
      </c>
      <c r="P1217" s="112">
        <f t="shared" si="238"/>
        <v>2</v>
      </c>
      <c r="Q1217" s="112">
        <f t="shared" si="239"/>
        <v>0</v>
      </c>
      <c r="R1217" s="53"/>
      <c r="S1217" s="53" t="str">
        <f t="shared" si="240"/>
        <v>Base S2|Red Parallel - Season 2|116|Red</v>
      </c>
      <c r="T1217" s="57" t="str">
        <f>IF($S1217="","",IFERROR(VLOOKUP($S1217,'Pop Estimates (Non-#d)'!$N$2:$O$500,2,FALSE),""))</f>
        <v/>
      </c>
      <c r="U1217" s="57" t="str">
        <f t="shared" si="241"/>
        <v/>
      </c>
      <c r="V1217" s="53" t="str">
        <f t="shared" si="242"/>
        <v/>
      </c>
      <c r="W1217" s="53" t="str">
        <f t="shared" si="243"/>
        <v/>
      </c>
      <c r="X1217" s="53" t="str">
        <f t="shared" si="244"/>
        <v/>
      </c>
      <c r="Y1217" s="57" t="str">
        <f>IF($X1217="","",IFERROR(VLOOKUP($X1217,'Char Popularity'!$A$2:$C$500,2,FALSE),""))</f>
        <v/>
      </c>
      <c r="Z1217" s="56">
        <f>IF($X1217="",1,IFERROR(VLOOKUP($X1217,'Char Popularity'!$A$2:$C$500,3,FALSE),1))</f>
        <v>1</v>
      </c>
      <c r="AA1217" s="62">
        <f>IF($H1217&lt;&gt;"Y",0,(IF($F1217&lt;&gt;"",ROUND(Dashboard!$R$4/$F1217,1),IF(AND($I1217="Base",$E1217="Base"),Dashboard!$R$5,IF(AND($I1217="Base",$E1217="Red"),Dashboard!$R$6,IF(AND($I1217="Base",$E1217="Gold"),Dashboard!$R$7,VLOOKUP($I1217,Dashboard!$Q$16:$R$21,2,FALSE)))))*VLOOKUP($I1217,Dashboard!$Q$9:$R$13,2,FALSE)*IF(AND($I1217="Auto",$F1217="",OR($B1217="Autographs Duals",$B1217="Autographs Triples",$B1217="Autographs Quads",$B1217="Autographs Quads (Inscribed)")),IF($B1217="Autographs Duals",2,IF($B1217="Autographs Triples",3,4)),1)))</f>
        <v>2</v>
      </c>
      <c r="AB1217" s="62">
        <f t="shared" si="245"/>
        <v>2</v>
      </c>
      <c r="AC1217" s="62">
        <f t="shared" si="246"/>
        <v>0</v>
      </c>
    </row>
    <row r="1218" spans="1:29" ht="28.7" customHeight="1" x14ac:dyDescent="0.25">
      <c r="A1218" s="4" t="s">
        <v>19</v>
      </c>
      <c r="B1218" s="7" t="s">
        <v>75</v>
      </c>
      <c r="C1218" s="2" t="s">
        <v>1516</v>
      </c>
      <c r="D1218" s="7" t="s">
        <v>695</v>
      </c>
      <c r="E1218" s="4" t="s">
        <v>823</v>
      </c>
      <c r="F1218" s="2"/>
      <c r="G1218" s="2" t="s">
        <v>1399</v>
      </c>
      <c r="H1218" s="2" t="s">
        <v>1400</v>
      </c>
      <c r="I1218" s="4" t="s">
        <v>60</v>
      </c>
      <c r="J1218" s="112">
        <f>IF($H1218&lt;&gt;"Y",0,ROUND(MIN(Dashboard!$R$24,IF(IFERROR(VLOOKUP($B1218,Dashboard!$Q$28:$S$60,2,FALSE),0)&gt;0,IFERROR(VLOOKUP($B1218,Dashboard!$Q$28:$S$60,2,FALSE),0),$Z1218*IF($U1218&lt;&gt;"",ROUND((Dashboard!$R$4/$U1218)*VLOOKUP($I1218,Dashboard!$Q$9:$R$13,2,FALSE)*IF(ISNUMBER(SEARCH("Duals",$B1218)),2,IF(ISNUMBER(SEARCH("Triples",$B1218)),3,IF(ISNUMBER(SEARCH("Quads",$B1218)),4,1))),2),ROUND(VLOOKUP($I1218,Dashboard!$Q$15:$R$20,2,FALSE)*IF($E1218="Red",Dashboard!$R$6,IF($E1218="Gold",Dashboard!$R$7,Dashboard!$R$5))*IF(ISNUMBER(SEARCH("Duals",$B1218)),2,IF(ISNUMBER(SEARCH("Triples",$B1218)),3,IF(ISNUMBER(SEARCH("Quads",$B1218)),4,1))),2))*IF(IFERROR(VLOOKUP($B1218,Dashboard!$Q$28:$S$60,3,FALSE),0)&gt;0,VLOOKUP($B1218,Dashboard!$Q$28:$S$60,3,FALSE),1))),0))</f>
        <v>2</v>
      </c>
      <c r="K1218" s="2" t="str">
        <f>IF('Base S2'!D18="","",'Base S2'!D18)</f>
        <v>h</v>
      </c>
      <c r="L1218" s="2">
        <f t="shared" ref="L1218:L1281" si="247">IF(AND($K1218&lt;&gt;"",LEFT($K1218,1)&lt;&gt;"Y"),1,0)</f>
        <v>1</v>
      </c>
      <c r="M1218" s="2">
        <f t="shared" ref="M1218:M1281" si="248">IF(LEFT($K1218,1)="Y",1,0)</f>
        <v>0</v>
      </c>
      <c r="N1218" s="2">
        <f t="shared" ref="N1218:N1281" si="249">$L1218+$M1218</f>
        <v>1</v>
      </c>
      <c r="O1218" s="2">
        <f t="shared" ref="O1218:O1281" si="250">IF($H1218="Y",1-$N1218,0)</f>
        <v>0</v>
      </c>
      <c r="P1218" s="112">
        <f t="shared" ref="P1218:P1281" si="251">IF($L1218=1,$J1218,0)</f>
        <v>2</v>
      </c>
      <c r="Q1218" s="112">
        <f t="shared" ref="Q1218:Q1281" si="252">IF($M1218=1,$J1218,0)</f>
        <v>0</v>
      </c>
      <c r="R1218" s="53"/>
      <c r="S1218" s="53" t="str">
        <f t="shared" ref="S1218:S1281" si="253">IF($A1218="","",$A1218&amp;"|"&amp;$B1218&amp;"|"&amp;$C1218&amp;"|"&amp;$E1218)</f>
        <v>Base S2|Red Parallel - Season 2|117|Red</v>
      </c>
      <c r="T1218" s="57" t="str">
        <f>IF($S1218="","",IFERROR(VLOOKUP($S1218,'Pop Estimates (Non-#d)'!$N$2:$O$500,2,FALSE),""))</f>
        <v/>
      </c>
      <c r="U1218" s="57" t="str">
        <f t="shared" ref="U1218:U1281" si="254">IF($A1218="","",IF($F1218&lt;&gt;"",$F1218,$T1218))</f>
        <v/>
      </c>
      <c r="V1218" s="53" t="str">
        <f t="shared" ref="V1218:V1281" si="255">IF($A1218="","",IF(ISNUMBER(SEARCH(" as ",$D1218)),MID($D1218,SEARCH(" as ",$D1218)+4,255),IF(ISNUMBER(SEARCH("/",$D1218)),LEFT($D1218,FIND("/",$D1218&amp;"/")-1),"")))</f>
        <v/>
      </c>
      <c r="W1218" s="53" t="str">
        <f t="shared" ref="W1218:W1281" si="256">IF($V1218="","",TRIM(IFERROR(MID($V1218,SEARCH("(", $V1218)+1,SEARCH(")",$V1218)-SEARCH("(", $V1218)-1),$V1218)))</f>
        <v/>
      </c>
      <c r="X1218" s="53" t="str">
        <f t="shared" ref="X1218:X1281" si="257">IF($W1218="","",TRIM(LEFT($W1218&amp;"""",FIND("""",$W1218&amp;"""")-1)))</f>
        <v/>
      </c>
      <c r="Y1218" s="57" t="str">
        <f>IF($X1218="","",IFERROR(VLOOKUP($X1218,'Char Popularity'!$A$2:$C$500,2,FALSE),""))</f>
        <v/>
      </c>
      <c r="Z1218" s="56">
        <f>IF($X1218="",1,IFERROR(VLOOKUP($X1218,'Char Popularity'!$A$2:$C$500,3,FALSE),1))</f>
        <v>1</v>
      </c>
      <c r="AA1218" s="62">
        <f>IF($H1218&lt;&gt;"Y",0,(IF($F1218&lt;&gt;"",ROUND(Dashboard!$R$4/$F1218,1),IF(AND($I1218="Base",$E1218="Base"),Dashboard!$R$5,IF(AND($I1218="Base",$E1218="Red"),Dashboard!$R$6,IF(AND($I1218="Base",$E1218="Gold"),Dashboard!$R$7,VLOOKUP($I1218,Dashboard!$Q$16:$R$21,2,FALSE)))))*VLOOKUP($I1218,Dashboard!$Q$9:$R$13,2,FALSE)*IF(AND($I1218="Auto",$F1218="",OR($B1218="Autographs Duals",$B1218="Autographs Triples",$B1218="Autographs Quads",$B1218="Autographs Quads (Inscribed)")),IF($B1218="Autographs Duals",2,IF($B1218="Autographs Triples",3,4)),1)))</f>
        <v>2</v>
      </c>
      <c r="AB1218" s="62">
        <f t="shared" ref="AB1218:AB1281" si="258">IF($L1218=1,$AA1218,0)</f>
        <v>2</v>
      </c>
      <c r="AC1218" s="62">
        <f t="shared" ref="AC1218:AC1281" si="259">IF($M1218=1,$AA1218,0)</f>
        <v>0</v>
      </c>
    </row>
    <row r="1219" spans="1:29" ht="28.7" customHeight="1" x14ac:dyDescent="0.25">
      <c r="A1219" s="4" t="s">
        <v>19</v>
      </c>
      <c r="B1219" s="7" t="s">
        <v>75</v>
      </c>
      <c r="C1219" s="2" t="s">
        <v>1517</v>
      </c>
      <c r="D1219" s="7" t="s">
        <v>1072</v>
      </c>
      <c r="E1219" s="4" t="s">
        <v>823</v>
      </c>
      <c r="F1219" s="2"/>
      <c r="G1219" s="2" t="s">
        <v>1399</v>
      </c>
      <c r="H1219" s="2" t="s">
        <v>1400</v>
      </c>
      <c r="I1219" s="4" t="s">
        <v>60</v>
      </c>
      <c r="J1219" s="112">
        <f>IF($H1219&lt;&gt;"Y",0,ROUND(MIN(Dashboard!$R$24,IF(IFERROR(VLOOKUP($B1219,Dashboard!$Q$28:$S$60,2,FALSE),0)&gt;0,IFERROR(VLOOKUP($B1219,Dashboard!$Q$28:$S$60,2,FALSE),0),$Z1219*IF($U1219&lt;&gt;"",ROUND((Dashboard!$R$4/$U1219)*VLOOKUP($I1219,Dashboard!$Q$9:$R$13,2,FALSE)*IF(ISNUMBER(SEARCH("Duals",$B1219)),2,IF(ISNUMBER(SEARCH("Triples",$B1219)),3,IF(ISNUMBER(SEARCH("Quads",$B1219)),4,1))),2),ROUND(VLOOKUP($I1219,Dashboard!$Q$15:$R$20,2,FALSE)*IF($E1219="Red",Dashboard!$R$6,IF($E1219="Gold",Dashboard!$R$7,Dashboard!$R$5))*IF(ISNUMBER(SEARCH("Duals",$B1219)),2,IF(ISNUMBER(SEARCH("Triples",$B1219)),3,IF(ISNUMBER(SEARCH("Quads",$B1219)),4,1))),2))*IF(IFERROR(VLOOKUP($B1219,Dashboard!$Q$28:$S$60,3,FALSE),0)&gt;0,VLOOKUP($B1219,Dashboard!$Q$28:$S$60,3,FALSE),1))),0))</f>
        <v>2</v>
      </c>
      <c r="K1219" s="2" t="str">
        <f>IF('Base S2'!D19="","",'Base S2'!D19)</f>
        <v>h</v>
      </c>
      <c r="L1219" s="2">
        <f t="shared" si="247"/>
        <v>1</v>
      </c>
      <c r="M1219" s="2">
        <f t="shared" si="248"/>
        <v>0</v>
      </c>
      <c r="N1219" s="2">
        <f t="shared" si="249"/>
        <v>1</v>
      </c>
      <c r="O1219" s="2">
        <f t="shared" si="250"/>
        <v>0</v>
      </c>
      <c r="P1219" s="112">
        <f t="shared" si="251"/>
        <v>2</v>
      </c>
      <c r="Q1219" s="112">
        <f t="shared" si="252"/>
        <v>0</v>
      </c>
      <c r="R1219" s="53"/>
      <c r="S1219" s="53" t="str">
        <f t="shared" si="253"/>
        <v>Base S2|Red Parallel - Season 2|118|Red</v>
      </c>
      <c r="T1219" s="57" t="str">
        <f>IF($S1219="","",IFERROR(VLOOKUP($S1219,'Pop Estimates (Non-#d)'!$N$2:$O$500,2,FALSE),""))</f>
        <v/>
      </c>
      <c r="U1219" s="57" t="str">
        <f t="shared" si="254"/>
        <v/>
      </c>
      <c r="V1219" s="53" t="str">
        <f t="shared" si="255"/>
        <v/>
      </c>
      <c r="W1219" s="53" t="str">
        <f t="shared" si="256"/>
        <v/>
      </c>
      <c r="X1219" s="53" t="str">
        <f t="shared" si="257"/>
        <v/>
      </c>
      <c r="Y1219" s="57" t="str">
        <f>IF($X1219="","",IFERROR(VLOOKUP($X1219,'Char Popularity'!$A$2:$C$500,2,FALSE),""))</f>
        <v/>
      </c>
      <c r="Z1219" s="56">
        <f>IF($X1219="",1,IFERROR(VLOOKUP($X1219,'Char Popularity'!$A$2:$C$500,3,FALSE),1))</f>
        <v>1</v>
      </c>
      <c r="AA1219" s="62">
        <f>IF($H1219&lt;&gt;"Y",0,(IF($F1219&lt;&gt;"",ROUND(Dashboard!$R$4/$F1219,1),IF(AND($I1219="Base",$E1219="Base"),Dashboard!$R$5,IF(AND($I1219="Base",$E1219="Red"),Dashboard!$R$6,IF(AND($I1219="Base",$E1219="Gold"),Dashboard!$R$7,VLOOKUP($I1219,Dashboard!$Q$16:$R$21,2,FALSE)))))*VLOOKUP($I1219,Dashboard!$Q$9:$R$13,2,FALSE)*IF(AND($I1219="Auto",$F1219="",OR($B1219="Autographs Duals",$B1219="Autographs Triples",$B1219="Autographs Quads",$B1219="Autographs Quads (Inscribed)")),IF($B1219="Autographs Duals",2,IF($B1219="Autographs Triples",3,4)),1)))</f>
        <v>2</v>
      </c>
      <c r="AB1219" s="62">
        <f t="shared" si="258"/>
        <v>2</v>
      </c>
      <c r="AC1219" s="62">
        <f t="shared" si="259"/>
        <v>0</v>
      </c>
    </row>
    <row r="1220" spans="1:29" ht="28.7" customHeight="1" x14ac:dyDescent="0.25">
      <c r="A1220" s="4" t="s">
        <v>19</v>
      </c>
      <c r="B1220" s="7" t="s">
        <v>75</v>
      </c>
      <c r="C1220" s="2" t="s">
        <v>1518</v>
      </c>
      <c r="D1220" s="7" t="s">
        <v>1073</v>
      </c>
      <c r="E1220" s="4" t="s">
        <v>823</v>
      </c>
      <c r="F1220" s="2"/>
      <c r="G1220" s="2" t="s">
        <v>1399</v>
      </c>
      <c r="H1220" s="2" t="s">
        <v>1400</v>
      </c>
      <c r="I1220" s="4" t="s">
        <v>60</v>
      </c>
      <c r="J1220" s="112">
        <f>IF($H1220&lt;&gt;"Y",0,ROUND(MIN(Dashboard!$R$24,IF(IFERROR(VLOOKUP($B1220,Dashboard!$Q$28:$S$60,2,FALSE),0)&gt;0,IFERROR(VLOOKUP($B1220,Dashboard!$Q$28:$S$60,2,FALSE),0),$Z1220*IF($U1220&lt;&gt;"",ROUND((Dashboard!$R$4/$U1220)*VLOOKUP($I1220,Dashboard!$Q$9:$R$13,2,FALSE)*IF(ISNUMBER(SEARCH("Duals",$B1220)),2,IF(ISNUMBER(SEARCH("Triples",$B1220)),3,IF(ISNUMBER(SEARCH("Quads",$B1220)),4,1))),2),ROUND(VLOOKUP($I1220,Dashboard!$Q$15:$R$20,2,FALSE)*IF($E1220="Red",Dashboard!$R$6,IF($E1220="Gold",Dashboard!$R$7,Dashboard!$R$5))*IF(ISNUMBER(SEARCH("Duals",$B1220)),2,IF(ISNUMBER(SEARCH("Triples",$B1220)),3,IF(ISNUMBER(SEARCH("Quads",$B1220)),4,1))),2))*IF(IFERROR(VLOOKUP($B1220,Dashboard!$Q$28:$S$60,3,FALSE),0)&gt;0,VLOOKUP($B1220,Dashboard!$Q$28:$S$60,3,FALSE),1))),0))</f>
        <v>2</v>
      </c>
      <c r="K1220" s="2" t="str">
        <f>IF('Base S2'!D20="","",'Base S2'!D20)</f>
        <v>h</v>
      </c>
      <c r="L1220" s="2">
        <f t="shared" si="247"/>
        <v>1</v>
      </c>
      <c r="M1220" s="2">
        <f t="shared" si="248"/>
        <v>0</v>
      </c>
      <c r="N1220" s="2">
        <f t="shared" si="249"/>
        <v>1</v>
      </c>
      <c r="O1220" s="2">
        <f t="shared" si="250"/>
        <v>0</v>
      </c>
      <c r="P1220" s="112">
        <f t="shared" si="251"/>
        <v>2</v>
      </c>
      <c r="Q1220" s="112">
        <f t="shared" si="252"/>
        <v>0</v>
      </c>
      <c r="R1220" s="53"/>
      <c r="S1220" s="53" t="str">
        <f t="shared" si="253"/>
        <v>Base S2|Red Parallel - Season 2|119|Red</v>
      </c>
      <c r="T1220" s="57" t="str">
        <f>IF($S1220="","",IFERROR(VLOOKUP($S1220,'Pop Estimates (Non-#d)'!$N$2:$O$500,2,FALSE),""))</f>
        <v/>
      </c>
      <c r="U1220" s="57" t="str">
        <f t="shared" si="254"/>
        <v/>
      </c>
      <c r="V1220" s="53" t="str">
        <f t="shared" si="255"/>
        <v/>
      </c>
      <c r="W1220" s="53" t="str">
        <f t="shared" si="256"/>
        <v/>
      </c>
      <c r="X1220" s="53" t="str">
        <f t="shared" si="257"/>
        <v/>
      </c>
      <c r="Y1220" s="57" t="str">
        <f>IF($X1220="","",IFERROR(VLOOKUP($X1220,'Char Popularity'!$A$2:$C$500,2,FALSE),""))</f>
        <v/>
      </c>
      <c r="Z1220" s="56">
        <f>IF($X1220="",1,IFERROR(VLOOKUP($X1220,'Char Popularity'!$A$2:$C$500,3,FALSE),1))</f>
        <v>1</v>
      </c>
      <c r="AA1220" s="62">
        <f>IF($H1220&lt;&gt;"Y",0,(IF($F1220&lt;&gt;"",ROUND(Dashboard!$R$4/$F1220,1),IF(AND($I1220="Base",$E1220="Base"),Dashboard!$R$5,IF(AND($I1220="Base",$E1220="Red"),Dashboard!$R$6,IF(AND($I1220="Base",$E1220="Gold"),Dashboard!$R$7,VLOOKUP($I1220,Dashboard!$Q$16:$R$21,2,FALSE)))))*VLOOKUP($I1220,Dashboard!$Q$9:$R$13,2,FALSE)*IF(AND($I1220="Auto",$F1220="",OR($B1220="Autographs Duals",$B1220="Autographs Triples",$B1220="Autographs Quads",$B1220="Autographs Quads (Inscribed)")),IF($B1220="Autographs Duals",2,IF($B1220="Autographs Triples",3,4)),1)))</f>
        <v>2</v>
      </c>
      <c r="AB1220" s="62">
        <f t="shared" si="258"/>
        <v>2</v>
      </c>
      <c r="AC1220" s="62">
        <f t="shared" si="259"/>
        <v>0</v>
      </c>
    </row>
    <row r="1221" spans="1:29" ht="28.7" customHeight="1" x14ac:dyDescent="0.25">
      <c r="A1221" s="4" t="s">
        <v>19</v>
      </c>
      <c r="B1221" s="7" t="s">
        <v>75</v>
      </c>
      <c r="C1221" s="2" t="s">
        <v>1519</v>
      </c>
      <c r="D1221" s="7" t="s">
        <v>1075</v>
      </c>
      <c r="E1221" s="4" t="s">
        <v>823</v>
      </c>
      <c r="F1221" s="2"/>
      <c r="G1221" s="2" t="s">
        <v>1399</v>
      </c>
      <c r="H1221" s="2" t="s">
        <v>1400</v>
      </c>
      <c r="I1221" s="4" t="s">
        <v>60</v>
      </c>
      <c r="J1221" s="112">
        <f>IF($H1221&lt;&gt;"Y",0,ROUND(MIN(Dashboard!$R$24,IF(IFERROR(VLOOKUP($B1221,Dashboard!$Q$28:$S$60,2,FALSE),0)&gt;0,IFERROR(VLOOKUP($B1221,Dashboard!$Q$28:$S$60,2,FALSE),0),$Z1221*IF($U1221&lt;&gt;"",ROUND((Dashboard!$R$4/$U1221)*VLOOKUP($I1221,Dashboard!$Q$9:$R$13,2,FALSE)*IF(ISNUMBER(SEARCH("Duals",$B1221)),2,IF(ISNUMBER(SEARCH("Triples",$B1221)),3,IF(ISNUMBER(SEARCH("Quads",$B1221)),4,1))),2),ROUND(VLOOKUP($I1221,Dashboard!$Q$15:$R$20,2,FALSE)*IF($E1221="Red",Dashboard!$R$6,IF($E1221="Gold",Dashboard!$R$7,Dashboard!$R$5))*IF(ISNUMBER(SEARCH("Duals",$B1221)),2,IF(ISNUMBER(SEARCH("Triples",$B1221)),3,IF(ISNUMBER(SEARCH("Quads",$B1221)),4,1))),2))*IF(IFERROR(VLOOKUP($B1221,Dashboard!$Q$28:$S$60,3,FALSE),0)&gt;0,VLOOKUP($B1221,Dashboard!$Q$28:$S$60,3,FALSE),1))),0))</f>
        <v>2</v>
      </c>
      <c r="K1221" s="2" t="str">
        <f>IF('Base S2'!D21="","",'Base S2'!D21)</f>
        <v>h</v>
      </c>
      <c r="L1221" s="2">
        <f t="shared" si="247"/>
        <v>1</v>
      </c>
      <c r="M1221" s="2">
        <f t="shared" si="248"/>
        <v>0</v>
      </c>
      <c r="N1221" s="2">
        <f t="shared" si="249"/>
        <v>1</v>
      </c>
      <c r="O1221" s="2">
        <f t="shared" si="250"/>
        <v>0</v>
      </c>
      <c r="P1221" s="112">
        <f t="shared" si="251"/>
        <v>2</v>
      </c>
      <c r="Q1221" s="112">
        <f t="shared" si="252"/>
        <v>0</v>
      </c>
      <c r="R1221" s="53"/>
      <c r="S1221" s="53" t="str">
        <f t="shared" si="253"/>
        <v>Base S2|Red Parallel - Season 2|120|Red</v>
      </c>
      <c r="T1221" s="57" t="str">
        <f>IF($S1221="","",IFERROR(VLOOKUP($S1221,'Pop Estimates (Non-#d)'!$N$2:$O$500,2,FALSE),""))</f>
        <v/>
      </c>
      <c r="U1221" s="57" t="str">
        <f t="shared" si="254"/>
        <v/>
      </c>
      <c r="V1221" s="53" t="str">
        <f t="shared" si="255"/>
        <v/>
      </c>
      <c r="W1221" s="53" t="str">
        <f t="shared" si="256"/>
        <v/>
      </c>
      <c r="X1221" s="53" t="str">
        <f t="shared" si="257"/>
        <v/>
      </c>
      <c r="Y1221" s="57" t="str">
        <f>IF($X1221="","",IFERROR(VLOOKUP($X1221,'Char Popularity'!$A$2:$C$500,2,FALSE),""))</f>
        <v/>
      </c>
      <c r="Z1221" s="56">
        <f>IF($X1221="",1,IFERROR(VLOOKUP($X1221,'Char Popularity'!$A$2:$C$500,3,FALSE),1))</f>
        <v>1</v>
      </c>
      <c r="AA1221" s="62">
        <f>IF($H1221&lt;&gt;"Y",0,(IF($F1221&lt;&gt;"",ROUND(Dashboard!$R$4/$F1221,1),IF(AND($I1221="Base",$E1221="Base"),Dashboard!$R$5,IF(AND($I1221="Base",$E1221="Red"),Dashboard!$R$6,IF(AND($I1221="Base",$E1221="Gold"),Dashboard!$R$7,VLOOKUP($I1221,Dashboard!$Q$16:$R$21,2,FALSE)))))*VLOOKUP($I1221,Dashboard!$Q$9:$R$13,2,FALSE)*IF(AND($I1221="Auto",$F1221="",OR($B1221="Autographs Duals",$B1221="Autographs Triples",$B1221="Autographs Quads",$B1221="Autographs Quads (Inscribed)")),IF($B1221="Autographs Duals",2,IF($B1221="Autographs Triples",3,4)),1)))</f>
        <v>2</v>
      </c>
      <c r="AB1221" s="62">
        <f t="shared" si="258"/>
        <v>2</v>
      </c>
      <c r="AC1221" s="62">
        <f t="shared" si="259"/>
        <v>0</v>
      </c>
    </row>
    <row r="1222" spans="1:29" ht="28.7" customHeight="1" x14ac:dyDescent="0.25">
      <c r="A1222" s="4" t="s">
        <v>19</v>
      </c>
      <c r="B1222" s="7" t="s">
        <v>75</v>
      </c>
      <c r="C1222" s="2" t="s">
        <v>1520</v>
      </c>
      <c r="D1222" s="7" t="s">
        <v>1077</v>
      </c>
      <c r="E1222" s="4" t="s">
        <v>823</v>
      </c>
      <c r="F1222" s="2"/>
      <c r="G1222" s="2" t="s">
        <v>1399</v>
      </c>
      <c r="H1222" s="2" t="s">
        <v>1400</v>
      </c>
      <c r="I1222" s="4" t="s">
        <v>60</v>
      </c>
      <c r="J1222" s="112">
        <f>IF($H1222&lt;&gt;"Y",0,ROUND(MIN(Dashboard!$R$24,IF(IFERROR(VLOOKUP($B1222,Dashboard!$Q$28:$S$60,2,FALSE),0)&gt;0,IFERROR(VLOOKUP($B1222,Dashboard!$Q$28:$S$60,2,FALSE),0),$Z1222*IF($U1222&lt;&gt;"",ROUND((Dashboard!$R$4/$U1222)*VLOOKUP($I1222,Dashboard!$Q$9:$R$13,2,FALSE)*IF(ISNUMBER(SEARCH("Duals",$B1222)),2,IF(ISNUMBER(SEARCH("Triples",$B1222)),3,IF(ISNUMBER(SEARCH("Quads",$B1222)),4,1))),2),ROUND(VLOOKUP($I1222,Dashboard!$Q$15:$R$20,2,FALSE)*IF($E1222="Red",Dashboard!$R$6,IF($E1222="Gold",Dashboard!$R$7,Dashboard!$R$5))*IF(ISNUMBER(SEARCH("Duals",$B1222)),2,IF(ISNUMBER(SEARCH("Triples",$B1222)),3,IF(ISNUMBER(SEARCH("Quads",$B1222)),4,1))),2))*IF(IFERROR(VLOOKUP($B1222,Dashboard!$Q$28:$S$60,3,FALSE),0)&gt;0,VLOOKUP($B1222,Dashboard!$Q$28:$S$60,3,FALSE),1))),0))</f>
        <v>2</v>
      </c>
      <c r="K1222" s="2" t="str">
        <f>IF('Base S2'!D22="","",'Base S2'!D22)</f>
        <v>h</v>
      </c>
      <c r="L1222" s="2">
        <f t="shared" si="247"/>
        <v>1</v>
      </c>
      <c r="M1222" s="2">
        <f t="shared" si="248"/>
        <v>0</v>
      </c>
      <c r="N1222" s="2">
        <f t="shared" si="249"/>
        <v>1</v>
      </c>
      <c r="O1222" s="2">
        <f t="shared" si="250"/>
        <v>0</v>
      </c>
      <c r="P1222" s="112">
        <f t="shared" si="251"/>
        <v>2</v>
      </c>
      <c r="Q1222" s="112">
        <f t="shared" si="252"/>
        <v>0</v>
      </c>
      <c r="R1222" s="53"/>
      <c r="S1222" s="53" t="str">
        <f t="shared" si="253"/>
        <v>Base S2|Red Parallel - Season 2|121|Red</v>
      </c>
      <c r="T1222" s="57" t="str">
        <f>IF($S1222="","",IFERROR(VLOOKUP($S1222,'Pop Estimates (Non-#d)'!$N$2:$O$500,2,FALSE),""))</f>
        <v/>
      </c>
      <c r="U1222" s="57" t="str">
        <f t="shared" si="254"/>
        <v/>
      </c>
      <c r="V1222" s="53" t="str">
        <f t="shared" si="255"/>
        <v/>
      </c>
      <c r="W1222" s="53" t="str">
        <f t="shared" si="256"/>
        <v/>
      </c>
      <c r="X1222" s="53" t="str">
        <f t="shared" si="257"/>
        <v/>
      </c>
      <c r="Y1222" s="57" t="str">
        <f>IF($X1222="","",IFERROR(VLOOKUP($X1222,'Char Popularity'!$A$2:$C$500,2,FALSE),""))</f>
        <v/>
      </c>
      <c r="Z1222" s="56">
        <f>IF($X1222="",1,IFERROR(VLOOKUP($X1222,'Char Popularity'!$A$2:$C$500,3,FALSE),1))</f>
        <v>1</v>
      </c>
      <c r="AA1222" s="62">
        <f>IF($H1222&lt;&gt;"Y",0,(IF($F1222&lt;&gt;"",ROUND(Dashboard!$R$4/$F1222,1),IF(AND($I1222="Base",$E1222="Base"),Dashboard!$R$5,IF(AND($I1222="Base",$E1222="Red"),Dashboard!$R$6,IF(AND($I1222="Base",$E1222="Gold"),Dashboard!$R$7,VLOOKUP($I1222,Dashboard!$Q$16:$R$21,2,FALSE)))))*VLOOKUP($I1222,Dashboard!$Q$9:$R$13,2,FALSE)*IF(AND($I1222="Auto",$F1222="",OR($B1222="Autographs Duals",$B1222="Autographs Triples",$B1222="Autographs Quads",$B1222="Autographs Quads (Inscribed)")),IF($B1222="Autographs Duals",2,IF($B1222="Autographs Triples",3,4)),1)))</f>
        <v>2</v>
      </c>
      <c r="AB1222" s="62">
        <f t="shared" si="258"/>
        <v>2</v>
      </c>
      <c r="AC1222" s="62">
        <f t="shared" si="259"/>
        <v>0</v>
      </c>
    </row>
    <row r="1223" spans="1:29" ht="28.7" customHeight="1" x14ac:dyDescent="0.25">
      <c r="A1223" s="4" t="s">
        <v>19</v>
      </c>
      <c r="B1223" s="7" t="s">
        <v>75</v>
      </c>
      <c r="C1223" s="2" t="s">
        <v>1521</v>
      </c>
      <c r="D1223" s="7" t="s">
        <v>1079</v>
      </c>
      <c r="E1223" s="4" t="s">
        <v>823</v>
      </c>
      <c r="F1223" s="2"/>
      <c r="G1223" s="2" t="s">
        <v>1399</v>
      </c>
      <c r="H1223" s="2" t="s">
        <v>1400</v>
      </c>
      <c r="I1223" s="4" t="s">
        <v>60</v>
      </c>
      <c r="J1223" s="112">
        <f>IF($H1223&lt;&gt;"Y",0,ROUND(MIN(Dashboard!$R$24,IF(IFERROR(VLOOKUP($B1223,Dashboard!$Q$28:$S$60,2,FALSE),0)&gt;0,IFERROR(VLOOKUP($B1223,Dashboard!$Q$28:$S$60,2,FALSE),0),$Z1223*IF($U1223&lt;&gt;"",ROUND((Dashboard!$R$4/$U1223)*VLOOKUP($I1223,Dashboard!$Q$9:$R$13,2,FALSE)*IF(ISNUMBER(SEARCH("Duals",$B1223)),2,IF(ISNUMBER(SEARCH("Triples",$B1223)),3,IF(ISNUMBER(SEARCH("Quads",$B1223)),4,1))),2),ROUND(VLOOKUP($I1223,Dashboard!$Q$15:$R$20,2,FALSE)*IF($E1223="Red",Dashboard!$R$6,IF($E1223="Gold",Dashboard!$R$7,Dashboard!$R$5))*IF(ISNUMBER(SEARCH("Duals",$B1223)),2,IF(ISNUMBER(SEARCH("Triples",$B1223)),3,IF(ISNUMBER(SEARCH("Quads",$B1223)),4,1))),2))*IF(IFERROR(VLOOKUP($B1223,Dashboard!$Q$28:$S$60,3,FALSE),0)&gt;0,VLOOKUP($B1223,Dashboard!$Q$28:$S$60,3,FALSE),1))),0))</f>
        <v>2</v>
      </c>
      <c r="K1223" s="2" t="str">
        <f>IF('Base S2'!D23="","",'Base S2'!D23)</f>
        <v>h</v>
      </c>
      <c r="L1223" s="2">
        <f t="shared" si="247"/>
        <v>1</v>
      </c>
      <c r="M1223" s="2">
        <f t="shared" si="248"/>
        <v>0</v>
      </c>
      <c r="N1223" s="2">
        <f t="shared" si="249"/>
        <v>1</v>
      </c>
      <c r="O1223" s="2">
        <f t="shared" si="250"/>
        <v>0</v>
      </c>
      <c r="P1223" s="112">
        <f t="shared" si="251"/>
        <v>2</v>
      </c>
      <c r="Q1223" s="112">
        <f t="shared" si="252"/>
        <v>0</v>
      </c>
      <c r="R1223" s="53"/>
      <c r="S1223" s="53" t="str">
        <f t="shared" si="253"/>
        <v>Base S2|Red Parallel - Season 2|122|Red</v>
      </c>
      <c r="T1223" s="57" t="str">
        <f>IF($S1223="","",IFERROR(VLOOKUP($S1223,'Pop Estimates (Non-#d)'!$N$2:$O$500,2,FALSE),""))</f>
        <v/>
      </c>
      <c r="U1223" s="57" t="str">
        <f t="shared" si="254"/>
        <v/>
      </c>
      <c r="V1223" s="53" t="str">
        <f t="shared" si="255"/>
        <v/>
      </c>
      <c r="W1223" s="53" t="str">
        <f t="shared" si="256"/>
        <v/>
      </c>
      <c r="X1223" s="53" t="str">
        <f t="shared" si="257"/>
        <v/>
      </c>
      <c r="Y1223" s="57" t="str">
        <f>IF($X1223="","",IFERROR(VLOOKUP($X1223,'Char Popularity'!$A$2:$C$500,2,FALSE),""))</f>
        <v/>
      </c>
      <c r="Z1223" s="56">
        <f>IF($X1223="",1,IFERROR(VLOOKUP($X1223,'Char Popularity'!$A$2:$C$500,3,FALSE),1))</f>
        <v>1</v>
      </c>
      <c r="AA1223" s="62">
        <f>IF($H1223&lt;&gt;"Y",0,(IF($F1223&lt;&gt;"",ROUND(Dashboard!$R$4/$F1223,1),IF(AND($I1223="Base",$E1223="Base"),Dashboard!$R$5,IF(AND($I1223="Base",$E1223="Red"),Dashboard!$R$6,IF(AND($I1223="Base",$E1223="Gold"),Dashboard!$R$7,VLOOKUP($I1223,Dashboard!$Q$16:$R$21,2,FALSE)))))*VLOOKUP($I1223,Dashboard!$Q$9:$R$13,2,FALSE)*IF(AND($I1223="Auto",$F1223="",OR($B1223="Autographs Duals",$B1223="Autographs Triples",$B1223="Autographs Quads",$B1223="Autographs Quads (Inscribed)")),IF($B1223="Autographs Duals",2,IF($B1223="Autographs Triples",3,4)),1)))</f>
        <v>2</v>
      </c>
      <c r="AB1223" s="62">
        <f t="shared" si="258"/>
        <v>2</v>
      </c>
      <c r="AC1223" s="62">
        <f t="shared" si="259"/>
        <v>0</v>
      </c>
    </row>
    <row r="1224" spans="1:29" ht="28.7" customHeight="1" x14ac:dyDescent="0.25">
      <c r="A1224" s="4" t="s">
        <v>19</v>
      </c>
      <c r="B1224" s="7" t="s">
        <v>75</v>
      </c>
      <c r="C1224" s="2" t="s">
        <v>1522</v>
      </c>
      <c r="D1224" s="7" t="s">
        <v>1080</v>
      </c>
      <c r="E1224" s="4" t="s">
        <v>823</v>
      </c>
      <c r="F1224" s="2"/>
      <c r="G1224" s="2" t="s">
        <v>1399</v>
      </c>
      <c r="H1224" s="2" t="s">
        <v>1400</v>
      </c>
      <c r="I1224" s="4" t="s">
        <v>60</v>
      </c>
      <c r="J1224" s="112">
        <f>IF($H1224&lt;&gt;"Y",0,ROUND(MIN(Dashboard!$R$24,IF(IFERROR(VLOOKUP($B1224,Dashboard!$Q$28:$S$60,2,FALSE),0)&gt;0,IFERROR(VLOOKUP($B1224,Dashboard!$Q$28:$S$60,2,FALSE),0),$Z1224*IF($U1224&lt;&gt;"",ROUND((Dashboard!$R$4/$U1224)*VLOOKUP($I1224,Dashboard!$Q$9:$R$13,2,FALSE)*IF(ISNUMBER(SEARCH("Duals",$B1224)),2,IF(ISNUMBER(SEARCH("Triples",$B1224)),3,IF(ISNUMBER(SEARCH("Quads",$B1224)),4,1))),2),ROUND(VLOOKUP($I1224,Dashboard!$Q$15:$R$20,2,FALSE)*IF($E1224="Red",Dashboard!$R$6,IF($E1224="Gold",Dashboard!$R$7,Dashboard!$R$5))*IF(ISNUMBER(SEARCH("Duals",$B1224)),2,IF(ISNUMBER(SEARCH("Triples",$B1224)),3,IF(ISNUMBER(SEARCH("Quads",$B1224)),4,1))),2))*IF(IFERROR(VLOOKUP($B1224,Dashboard!$Q$28:$S$60,3,FALSE),0)&gt;0,VLOOKUP($B1224,Dashboard!$Q$28:$S$60,3,FALSE),1))),0))</f>
        <v>2</v>
      </c>
      <c r="K1224" s="2" t="str">
        <f>IF('Base S2'!D24="","",'Base S2'!D24)</f>
        <v>h</v>
      </c>
      <c r="L1224" s="2">
        <f t="shared" si="247"/>
        <v>1</v>
      </c>
      <c r="M1224" s="2">
        <f t="shared" si="248"/>
        <v>0</v>
      </c>
      <c r="N1224" s="2">
        <f t="shared" si="249"/>
        <v>1</v>
      </c>
      <c r="O1224" s="2">
        <f t="shared" si="250"/>
        <v>0</v>
      </c>
      <c r="P1224" s="112">
        <f t="shared" si="251"/>
        <v>2</v>
      </c>
      <c r="Q1224" s="112">
        <f t="shared" si="252"/>
        <v>0</v>
      </c>
      <c r="R1224" s="53"/>
      <c r="S1224" s="53" t="str">
        <f t="shared" si="253"/>
        <v>Base S2|Red Parallel - Season 2|123|Red</v>
      </c>
      <c r="T1224" s="57" t="str">
        <f>IF($S1224="","",IFERROR(VLOOKUP($S1224,'Pop Estimates (Non-#d)'!$N$2:$O$500,2,FALSE),""))</f>
        <v/>
      </c>
      <c r="U1224" s="57" t="str">
        <f t="shared" si="254"/>
        <v/>
      </c>
      <c r="V1224" s="53" t="str">
        <f t="shared" si="255"/>
        <v/>
      </c>
      <c r="W1224" s="53" t="str">
        <f t="shared" si="256"/>
        <v/>
      </c>
      <c r="X1224" s="53" t="str">
        <f t="shared" si="257"/>
        <v/>
      </c>
      <c r="Y1224" s="57" t="str">
        <f>IF($X1224="","",IFERROR(VLOOKUP($X1224,'Char Popularity'!$A$2:$C$500,2,FALSE),""))</f>
        <v/>
      </c>
      <c r="Z1224" s="56">
        <f>IF($X1224="",1,IFERROR(VLOOKUP($X1224,'Char Popularity'!$A$2:$C$500,3,FALSE),1))</f>
        <v>1</v>
      </c>
      <c r="AA1224" s="62">
        <f>IF($H1224&lt;&gt;"Y",0,(IF($F1224&lt;&gt;"",ROUND(Dashboard!$R$4/$F1224,1),IF(AND($I1224="Base",$E1224="Base"),Dashboard!$R$5,IF(AND($I1224="Base",$E1224="Red"),Dashboard!$R$6,IF(AND($I1224="Base",$E1224="Gold"),Dashboard!$R$7,VLOOKUP($I1224,Dashboard!$Q$16:$R$21,2,FALSE)))))*VLOOKUP($I1224,Dashboard!$Q$9:$R$13,2,FALSE)*IF(AND($I1224="Auto",$F1224="",OR($B1224="Autographs Duals",$B1224="Autographs Triples",$B1224="Autographs Quads",$B1224="Autographs Quads (Inscribed)")),IF($B1224="Autographs Duals",2,IF($B1224="Autographs Triples",3,4)),1)))</f>
        <v>2</v>
      </c>
      <c r="AB1224" s="62">
        <f t="shared" si="258"/>
        <v>2</v>
      </c>
      <c r="AC1224" s="62">
        <f t="shared" si="259"/>
        <v>0</v>
      </c>
    </row>
    <row r="1225" spans="1:29" ht="28.7" customHeight="1" x14ac:dyDescent="0.25">
      <c r="A1225" s="4" t="s">
        <v>19</v>
      </c>
      <c r="B1225" s="7" t="s">
        <v>75</v>
      </c>
      <c r="C1225" s="2" t="s">
        <v>1523</v>
      </c>
      <c r="D1225" s="7" t="s">
        <v>1081</v>
      </c>
      <c r="E1225" s="4" t="s">
        <v>823</v>
      </c>
      <c r="F1225" s="2"/>
      <c r="G1225" s="2" t="s">
        <v>1399</v>
      </c>
      <c r="H1225" s="2" t="s">
        <v>1400</v>
      </c>
      <c r="I1225" s="4" t="s">
        <v>60</v>
      </c>
      <c r="J1225" s="112">
        <f>IF($H1225&lt;&gt;"Y",0,ROUND(MIN(Dashboard!$R$24,IF(IFERROR(VLOOKUP($B1225,Dashboard!$Q$28:$S$60,2,FALSE),0)&gt;0,IFERROR(VLOOKUP($B1225,Dashboard!$Q$28:$S$60,2,FALSE),0),$Z1225*IF($U1225&lt;&gt;"",ROUND((Dashboard!$R$4/$U1225)*VLOOKUP($I1225,Dashboard!$Q$9:$R$13,2,FALSE)*IF(ISNUMBER(SEARCH("Duals",$B1225)),2,IF(ISNUMBER(SEARCH("Triples",$B1225)),3,IF(ISNUMBER(SEARCH("Quads",$B1225)),4,1))),2),ROUND(VLOOKUP($I1225,Dashboard!$Q$15:$R$20,2,FALSE)*IF($E1225="Red",Dashboard!$R$6,IF($E1225="Gold",Dashboard!$R$7,Dashboard!$R$5))*IF(ISNUMBER(SEARCH("Duals",$B1225)),2,IF(ISNUMBER(SEARCH("Triples",$B1225)),3,IF(ISNUMBER(SEARCH("Quads",$B1225)),4,1))),2))*IF(IFERROR(VLOOKUP($B1225,Dashboard!$Q$28:$S$60,3,FALSE),0)&gt;0,VLOOKUP($B1225,Dashboard!$Q$28:$S$60,3,FALSE),1))),0))</f>
        <v>2</v>
      </c>
      <c r="K1225" s="2" t="str">
        <f>IF('Base S2'!D25="","",'Base S2'!D25)</f>
        <v>h</v>
      </c>
      <c r="L1225" s="2">
        <f t="shared" si="247"/>
        <v>1</v>
      </c>
      <c r="M1225" s="2">
        <f t="shared" si="248"/>
        <v>0</v>
      </c>
      <c r="N1225" s="2">
        <f t="shared" si="249"/>
        <v>1</v>
      </c>
      <c r="O1225" s="2">
        <f t="shared" si="250"/>
        <v>0</v>
      </c>
      <c r="P1225" s="112">
        <f t="shared" si="251"/>
        <v>2</v>
      </c>
      <c r="Q1225" s="112">
        <f t="shared" si="252"/>
        <v>0</v>
      </c>
      <c r="R1225" s="53"/>
      <c r="S1225" s="53" t="str">
        <f t="shared" si="253"/>
        <v>Base S2|Red Parallel - Season 2|124|Red</v>
      </c>
      <c r="T1225" s="57" t="str">
        <f>IF($S1225="","",IFERROR(VLOOKUP($S1225,'Pop Estimates (Non-#d)'!$N$2:$O$500,2,FALSE),""))</f>
        <v/>
      </c>
      <c r="U1225" s="57" t="str">
        <f t="shared" si="254"/>
        <v/>
      </c>
      <c r="V1225" s="53" t="str">
        <f t="shared" si="255"/>
        <v/>
      </c>
      <c r="W1225" s="53" t="str">
        <f t="shared" si="256"/>
        <v/>
      </c>
      <c r="X1225" s="53" t="str">
        <f t="shared" si="257"/>
        <v/>
      </c>
      <c r="Y1225" s="57" t="str">
        <f>IF($X1225="","",IFERROR(VLOOKUP($X1225,'Char Popularity'!$A$2:$C$500,2,FALSE),""))</f>
        <v/>
      </c>
      <c r="Z1225" s="56">
        <f>IF($X1225="",1,IFERROR(VLOOKUP($X1225,'Char Popularity'!$A$2:$C$500,3,FALSE),1))</f>
        <v>1</v>
      </c>
      <c r="AA1225" s="62">
        <f>IF($H1225&lt;&gt;"Y",0,(IF($F1225&lt;&gt;"",ROUND(Dashboard!$R$4/$F1225,1),IF(AND($I1225="Base",$E1225="Base"),Dashboard!$R$5,IF(AND($I1225="Base",$E1225="Red"),Dashboard!$R$6,IF(AND($I1225="Base",$E1225="Gold"),Dashboard!$R$7,VLOOKUP($I1225,Dashboard!$Q$16:$R$21,2,FALSE)))))*VLOOKUP($I1225,Dashboard!$Q$9:$R$13,2,FALSE)*IF(AND($I1225="Auto",$F1225="",OR($B1225="Autographs Duals",$B1225="Autographs Triples",$B1225="Autographs Quads",$B1225="Autographs Quads (Inscribed)")),IF($B1225="Autographs Duals",2,IF($B1225="Autographs Triples",3,4)),1)))</f>
        <v>2</v>
      </c>
      <c r="AB1225" s="62">
        <f t="shared" si="258"/>
        <v>2</v>
      </c>
      <c r="AC1225" s="62">
        <f t="shared" si="259"/>
        <v>0</v>
      </c>
    </row>
    <row r="1226" spans="1:29" ht="28.7" customHeight="1" x14ac:dyDescent="0.25">
      <c r="A1226" s="4" t="s">
        <v>19</v>
      </c>
      <c r="B1226" s="7" t="s">
        <v>75</v>
      </c>
      <c r="C1226" s="2" t="s">
        <v>1524</v>
      </c>
      <c r="D1226" s="7" t="s">
        <v>1082</v>
      </c>
      <c r="E1226" s="4" t="s">
        <v>823</v>
      </c>
      <c r="F1226" s="2"/>
      <c r="G1226" s="2" t="s">
        <v>1399</v>
      </c>
      <c r="H1226" s="2" t="s">
        <v>1400</v>
      </c>
      <c r="I1226" s="4" t="s">
        <v>60</v>
      </c>
      <c r="J1226" s="112">
        <f>IF($H1226&lt;&gt;"Y",0,ROUND(MIN(Dashboard!$R$24,IF(IFERROR(VLOOKUP($B1226,Dashboard!$Q$28:$S$60,2,FALSE),0)&gt;0,IFERROR(VLOOKUP($B1226,Dashboard!$Q$28:$S$60,2,FALSE),0),$Z1226*IF($U1226&lt;&gt;"",ROUND((Dashboard!$R$4/$U1226)*VLOOKUP($I1226,Dashboard!$Q$9:$R$13,2,FALSE)*IF(ISNUMBER(SEARCH("Duals",$B1226)),2,IF(ISNUMBER(SEARCH("Triples",$B1226)),3,IF(ISNUMBER(SEARCH("Quads",$B1226)),4,1))),2),ROUND(VLOOKUP($I1226,Dashboard!$Q$15:$R$20,2,FALSE)*IF($E1226="Red",Dashboard!$R$6,IF($E1226="Gold",Dashboard!$R$7,Dashboard!$R$5))*IF(ISNUMBER(SEARCH("Duals",$B1226)),2,IF(ISNUMBER(SEARCH("Triples",$B1226)),3,IF(ISNUMBER(SEARCH("Quads",$B1226)),4,1))),2))*IF(IFERROR(VLOOKUP($B1226,Dashboard!$Q$28:$S$60,3,FALSE),0)&gt;0,VLOOKUP($B1226,Dashboard!$Q$28:$S$60,3,FALSE),1))),0))</f>
        <v>2</v>
      </c>
      <c r="K1226" s="2" t="str">
        <f>IF('Base S2'!D26="","",'Base S2'!D26)</f>
        <v>h</v>
      </c>
      <c r="L1226" s="2">
        <f t="shared" si="247"/>
        <v>1</v>
      </c>
      <c r="M1226" s="2">
        <f t="shared" si="248"/>
        <v>0</v>
      </c>
      <c r="N1226" s="2">
        <f t="shared" si="249"/>
        <v>1</v>
      </c>
      <c r="O1226" s="2">
        <f t="shared" si="250"/>
        <v>0</v>
      </c>
      <c r="P1226" s="112">
        <f t="shared" si="251"/>
        <v>2</v>
      </c>
      <c r="Q1226" s="112">
        <f t="shared" si="252"/>
        <v>0</v>
      </c>
      <c r="R1226" s="53"/>
      <c r="S1226" s="53" t="str">
        <f t="shared" si="253"/>
        <v>Base S2|Red Parallel - Season 2|125|Red</v>
      </c>
      <c r="T1226" s="57" t="str">
        <f>IF($S1226="","",IFERROR(VLOOKUP($S1226,'Pop Estimates (Non-#d)'!$N$2:$O$500,2,FALSE),""))</f>
        <v/>
      </c>
      <c r="U1226" s="57" t="str">
        <f t="shared" si="254"/>
        <v/>
      </c>
      <c r="V1226" s="53" t="str">
        <f t="shared" si="255"/>
        <v/>
      </c>
      <c r="W1226" s="53" t="str">
        <f t="shared" si="256"/>
        <v/>
      </c>
      <c r="X1226" s="53" t="str">
        <f t="shared" si="257"/>
        <v/>
      </c>
      <c r="Y1226" s="57" t="str">
        <f>IF($X1226="","",IFERROR(VLOOKUP($X1226,'Char Popularity'!$A$2:$C$500,2,FALSE),""))</f>
        <v/>
      </c>
      <c r="Z1226" s="56">
        <f>IF($X1226="",1,IFERROR(VLOOKUP($X1226,'Char Popularity'!$A$2:$C$500,3,FALSE),1))</f>
        <v>1</v>
      </c>
      <c r="AA1226" s="62">
        <f>IF($H1226&lt;&gt;"Y",0,(IF($F1226&lt;&gt;"",ROUND(Dashboard!$R$4/$F1226,1),IF(AND($I1226="Base",$E1226="Base"),Dashboard!$R$5,IF(AND($I1226="Base",$E1226="Red"),Dashboard!$R$6,IF(AND($I1226="Base",$E1226="Gold"),Dashboard!$R$7,VLOOKUP($I1226,Dashboard!$Q$16:$R$21,2,FALSE)))))*VLOOKUP($I1226,Dashboard!$Q$9:$R$13,2,FALSE)*IF(AND($I1226="Auto",$F1226="",OR($B1226="Autographs Duals",$B1226="Autographs Triples",$B1226="Autographs Quads",$B1226="Autographs Quads (Inscribed)")),IF($B1226="Autographs Duals",2,IF($B1226="Autographs Triples",3,4)),1)))</f>
        <v>2</v>
      </c>
      <c r="AB1226" s="62">
        <f t="shared" si="258"/>
        <v>2</v>
      </c>
      <c r="AC1226" s="62">
        <f t="shared" si="259"/>
        <v>0</v>
      </c>
    </row>
    <row r="1227" spans="1:29" ht="28.7" customHeight="1" x14ac:dyDescent="0.25">
      <c r="A1227" s="4" t="s">
        <v>19</v>
      </c>
      <c r="B1227" s="7" t="s">
        <v>75</v>
      </c>
      <c r="C1227" s="2" t="s">
        <v>1525</v>
      </c>
      <c r="D1227" s="7" t="s">
        <v>1083</v>
      </c>
      <c r="E1227" s="4" t="s">
        <v>823</v>
      </c>
      <c r="F1227" s="2"/>
      <c r="G1227" s="2" t="s">
        <v>1399</v>
      </c>
      <c r="H1227" s="2" t="s">
        <v>1400</v>
      </c>
      <c r="I1227" s="4" t="s">
        <v>60</v>
      </c>
      <c r="J1227" s="112">
        <f>IF($H1227&lt;&gt;"Y",0,ROUND(MIN(Dashboard!$R$24,IF(IFERROR(VLOOKUP($B1227,Dashboard!$Q$28:$S$60,2,FALSE),0)&gt;0,IFERROR(VLOOKUP($B1227,Dashboard!$Q$28:$S$60,2,FALSE),0),$Z1227*IF($U1227&lt;&gt;"",ROUND((Dashboard!$R$4/$U1227)*VLOOKUP($I1227,Dashboard!$Q$9:$R$13,2,FALSE)*IF(ISNUMBER(SEARCH("Duals",$B1227)),2,IF(ISNUMBER(SEARCH("Triples",$B1227)),3,IF(ISNUMBER(SEARCH("Quads",$B1227)),4,1))),2),ROUND(VLOOKUP($I1227,Dashboard!$Q$15:$R$20,2,FALSE)*IF($E1227="Red",Dashboard!$R$6,IF($E1227="Gold",Dashboard!$R$7,Dashboard!$R$5))*IF(ISNUMBER(SEARCH("Duals",$B1227)),2,IF(ISNUMBER(SEARCH("Triples",$B1227)),3,IF(ISNUMBER(SEARCH("Quads",$B1227)),4,1))),2))*IF(IFERROR(VLOOKUP($B1227,Dashboard!$Q$28:$S$60,3,FALSE),0)&gt;0,VLOOKUP($B1227,Dashboard!$Q$28:$S$60,3,FALSE),1))),0))</f>
        <v>2</v>
      </c>
      <c r="K1227" s="2" t="str">
        <f>IF('Base S2'!D27="","",'Base S2'!D27)</f>
        <v>h</v>
      </c>
      <c r="L1227" s="2">
        <f t="shared" si="247"/>
        <v>1</v>
      </c>
      <c r="M1227" s="2">
        <f t="shared" si="248"/>
        <v>0</v>
      </c>
      <c r="N1227" s="2">
        <f t="shared" si="249"/>
        <v>1</v>
      </c>
      <c r="O1227" s="2">
        <f t="shared" si="250"/>
        <v>0</v>
      </c>
      <c r="P1227" s="112">
        <f t="shared" si="251"/>
        <v>2</v>
      </c>
      <c r="Q1227" s="112">
        <f t="shared" si="252"/>
        <v>0</v>
      </c>
      <c r="R1227" s="53"/>
      <c r="S1227" s="53" t="str">
        <f t="shared" si="253"/>
        <v>Base S2|Red Parallel - Season 2|126|Red</v>
      </c>
      <c r="T1227" s="57" t="str">
        <f>IF($S1227="","",IFERROR(VLOOKUP($S1227,'Pop Estimates (Non-#d)'!$N$2:$O$500,2,FALSE),""))</f>
        <v/>
      </c>
      <c r="U1227" s="57" t="str">
        <f t="shared" si="254"/>
        <v/>
      </c>
      <c r="V1227" s="53" t="str">
        <f t="shared" si="255"/>
        <v/>
      </c>
      <c r="W1227" s="53" t="str">
        <f t="shared" si="256"/>
        <v/>
      </c>
      <c r="X1227" s="53" t="str">
        <f t="shared" si="257"/>
        <v/>
      </c>
      <c r="Y1227" s="57" t="str">
        <f>IF($X1227="","",IFERROR(VLOOKUP($X1227,'Char Popularity'!$A$2:$C$500,2,FALSE),""))</f>
        <v/>
      </c>
      <c r="Z1227" s="56">
        <f>IF($X1227="",1,IFERROR(VLOOKUP($X1227,'Char Popularity'!$A$2:$C$500,3,FALSE),1))</f>
        <v>1</v>
      </c>
      <c r="AA1227" s="62">
        <f>IF($H1227&lt;&gt;"Y",0,(IF($F1227&lt;&gt;"",ROUND(Dashboard!$R$4/$F1227,1),IF(AND($I1227="Base",$E1227="Base"),Dashboard!$R$5,IF(AND($I1227="Base",$E1227="Red"),Dashboard!$R$6,IF(AND($I1227="Base",$E1227="Gold"),Dashboard!$R$7,VLOOKUP($I1227,Dashboard!$Q$16:$R$21,2,FALSE)))))*VLOOKUP($I1227,Dashboard!$Q$9:$R$13,2,FALSE)*IF(AND($I1227="Auto",$F1227="",OR($B1227="Autographs Duals",$B1227="Autographs Triples",$B1227="Autographs Quads",$B1227="Autographs Quads (Inscribed)")),IF($B1227="Autographs Duals",2,IF($B1227="Autographs Triples",3,4)),1)))</f>
        <v>2</v>
      </c>
      <c r="AB1227" s="62">
        <f t="shared" si="258"/>
        <v>2</v>
      </c>
      <c r="AC1227" s="62">
        <f t="shared" si="259"/>
        <v>0</v>
      </c>
    </row>
    <row r="1228" spans="1:29" ht="28.7" customHeight="1" x14ac:dyDescent="0.25">
      <c r="A1228" s="4" t="s">
        <v>19</v>
      </c>
      <c r="B1228" s="7" t="s">
        <v>75</v>
      </c>
      <c r="C1228" s="2" t="s">
        <v>1526</v>
      </c>
      <c r="D1228" s="7" t="s">
        <v>1085</v>
      </c>
      <c r="E1228" s="4" t="s">
        <v>823</v>
      </c>
      <c r="F1228" s="2"/>
      <c r="G1228" s="2" t="s">
        <v>1399</v>
      </c>
      <c r="H1228" s="2" t="s">
        <v>1400</v>
      </c>
      <c r="I1228" s="4" t="s">
        <v>60</v>
      </c>
      <c r="J1228" s="112">
        <f>IF($H1228&lt;&gt;"Y",0,ROUND(MIN(Dashboard!$R$24,IF(IFERROR(VLOOKUP($B1228,Dashboard!$Q$28:$S$60,2,FALSE),0)&gt;0,IFERROR(VLOOKUP($B1228,Dashboard!$Q$28:$S$60,2,FALSE),0),$Z1228*IF($U1228&lt;&gt;"",ROUND((Dashboard!$R$4/$U1228)*VLOOKUP($I1228,Dashboard!$Q$9:$R$13,2,FALSE)*IF(ISNUMBER(SEARCH("Duals",$B1228)),2,IF(ISNUMBER(SEARCH("Triples",$B1228)),3,IF(ISNUMBER(SEARCH("Quads",$B1228)),4,1))),2),ROUND(VLOOKUP($I1228,Dashboard!$Q$15:$R$20,2,FALSE)*IF($E1228="Red",Dashboard!$R$6,IF($E1228="Gold",Dashboard!$R$7,Dashboard!$R$5))*IF(ISNUMBER(SEARCH("Duals",$B1228)),2,IF(ISNUMBER(SEARCH("Triples",$B1228)),3,IF(ISNUMBER(SEARCH("Quads",$B1228)),4,1))),2))*IF(IFERROR(VLOOKUP($B1228,Dashboard!$Q$28:$S$60,3,FALSE),0)&gt;0,VLOOKUP($B1228,Dashboard!$Q$28:$S$60,3,FALSE),1))),0))</f>
        <v>2</v>
      </c>
      <c r="K1228" s="2" t="str">
        <f>IF('Base S2'!D28="","",'Base S2'!D28)</f>
        <v>h</v>
      </c>
      <c r="L1228" s="2">
        <f t="shared" si="247"/>
        <v>1</v>
      </c>
      <c r="M1228" s="2">
        <f t="shared" si="248"/>
        <v>0</v>
      </c>
      <c r="N1228" s="2">
        <f t="shared" si="249"/>
        <v>1</v>
      </c>
      <c r="O1228" s="2">
        <f t="shared" si="250"/>
        <v>0</v>
      </c>
      <c r="P1228" s="112">
        <f t="shared" si="251"/>
        <v>2</v>
      </c>
      <c r="Q1228" s="112">
        <f t="shared" si="252"/>
        <v>0</v>
      </c>
      <c r="R1228" s="53"/>
      <c r="S1228" s="53" t="str">
        <f t="shared" si="253"/>
        <v>Base S2|Red Parallel - Season 2|127|Red</v>
      </c>
      <c r="T1228" s="57" t="str">
        <f>IF($S1228="","",IFERROR(VLOOKUP($S1228,'Pop Estimates (Non-#d)'!$N$2:$O$500,2,FALSE),""))</f>
        <v/>
      </c>
      <c r="U1228" s="57" t="str">
        <f t="shared" si="254"/>
        <v/>
      </c>
      <c r="V1228" s="53" t="str">
        <f t="shared" si="255"/>
        <v/>
      </c>
      <c r="W1228" s="53" t="str">
        <f t="shared" si="256"/>
        <v/>
      </c>
      <c r="X1228" s="53" t="str">
        <f t="shared" si="257"/>
        <v/>
      </c>
      <c r="Y1228" s="57" t="str">
        <f>IF($X1228="","",IFERROR(VLOOKUP($X1228,'Char Popularity'!$A$2:$C$500,2,FALSE),""))</f>
        <v/>
      </c>
      <c r="Z1228" s="56">
        <f>IF($X1228="",1,IFERROR(VLOOKUP($X1228,'Char Popularity'!$A$2:$C$500,3,FALSE),1))</f>
        <v>1</v>
      </c>
      <c r="AA1228" s="62">
        <f>IF($H1228&lt;&gt;"Y",0,(IF($F1228&lt;&gt;"",ROUND(Dashboard!$R$4/$F1228,1),IF(AND($I1228="Base",$E1228="Base"),Dashboard!$R$5,IF(AND($I1228="Base",$E1228="Red"),Dashboard!$R$6,IF(AND($I1228="Base",$E1228="Gold"),Dashboard!$R$7,VLOOKUP($I1228,Dashboard!$Q$16:$R$21,2,FALSE)))))*VLOOKUP($I1228,Dashboard!$Q$9:$R$13,2,FALSE)*IF(AND($I1228="Auto",$F1228="",OR($B1228="Autographs Duals",$B1228="Autographs Triples",$B1228="Autographs Quads",$B1228="Autographs Quads (Inscribed)")),IF($B1228="Autographs Duals",2,IF($B1228="Autographs Triples",3,4)),1)))</f>
        <v>2</v>
      </c>
      <c r="AB1228" s="62">
        <f t="shared" si="258"/>
        <v>2</v>
      </c>
      <c r="AC1228" s="62">
        <f t="shared" si="259"/>
        <v>0</v>
      </c>
    </row>
    <row r="1229" spans="1:29" ht="28.7" customHeight="1" x14ac:dyDescent="0.25">
      <c r="A1229" s="4" t="s">
        <v>19</v>
      </c>
      <c r="B1229" s="7" t="s">
        <v>75</v>
      </c>
      <c r="C1229" s="2" t="s">
        <v>1527</v>
      </c>
      <c r="D1229" s="7" t="s">
        <v>1086</v>
      </c>
      <c r="E1229" s="4" t="s">
        <v>823</v>
      </c>
      <c r="F1229" s="2"/>
      <c r="G1229" s="2" t="s">
        <v>1399</v>
      </c>
      <c r="H1229" s="2" t="s">
        <v>1400</v>
      </c>
      <c r="I1229" s="4" t="s">
        <v>60</v>
      </c>
      <c r="J1229" s="112">
        <f>IF($H1229&lt;&gt;"Y",0,ROUND(MIN(Dashboard!$R$24,IF(IFERROR(VLOOKUP($B1229,Dashboard!$Q$28:$S$60,2,FALSE),0)&gt;0,IFERROR(VLOOKUP($B1229,Dashboard!$Q$28:$S$60,2,FALSE),0),$Z1229*IF($U1229&lt;&gt;"",ROUND((Dashboard!$R$4/$U1229)*VLOOKUP($I1229,Dashboard!$Q$9:$R$13,2,FALSE)*IF(ISNUMBER(SEARCH("Duals",$B1229)),2,IF(ISNUMBER(SEARCH("Triples",$B1229)),3,IF(ISNUMBER(SEARCH("Quads",$B1229)),4,1))),2),ROUND(VLOOKUP($I1229,Dashboard!$Q$15:$R$20,2,FALSE)*IF($E1229="Red",Dashboard!$R$6,IF($E1229="Gold",Dashboard!$R$7,Dashboard!$R$5))*IF(ISNUMBER(SEARCH("Duals",$B1229)),2,IF(ISNUMBER(SEARCH("Triples",$B1229)),3,IF(ISNUMBER(SEARCH("Quads",$B1229)),4,1))),2))*IF(IFERROR(VLOOKUP($B1229,Dashboard!$Q$28:$S$60,3,FALSE),0)&gt;0,VLOOKUP($B1229,Dashboard!$Q$28:$S$60,3,FALSE),1))),0))</f>
        <v>2</v>
      </c>
      <c r="K1229" s="2" t="str">
        <f>IF('Base S2'!D29="","",'Base S2'!D29)</f>
        <v>h</v>
      </c>
      <c r="L1229" s="2">
        <f t="shared" si="247"/>
        <v>1</v>
      </c>
      <c r="M1229" s="2">
        <f t="shared" si="248"/>
        <v>0</v>
      </c>
      <c r="N1229" s="2">
        <f t="shared" si="249"/>
        <v>1</v>
      </c>
      <c r="O1229" s="2">
        <f t="shared" si="250"/>
        <v>0</v>
      </c>
      <c r="P1229" s="112">
        <f t="shared" si="251"/>
        <v>2</v>
      </c>
      <c r="Q1229" s="112">
        <f t="shared" si="252"/>
        <v>0</v>
      </c>
      <c r="R1229" s="53"/>
      <c r="S1229" s="53" t="str">
        <f t="shared" si="253"/>
        <v>Base S2|Red Parallel - Season 2|128|Red</v>
      </c>
      <c r="T1229" s="57" t="str">
        <f>IF($S1229="","",IFERROR(VLOOKUP($S1229,'Pop Estimates (Non-#d)'!$N$2:$O$500,2,FALSE),""))</f>
        <v/>
      </c>
      <c r="U1229" s="57" t="str">
        <f t="shared" si="254"/>
        <v/>
      </c>
      <c r="V1229" s="53" t="str">
        <f t="shared" si="255"/>
        <v/>
      </c>
      <c r="W1229" s="53" t="str">
        <f t="shared" si="256"/>
        <v/>
      </c>
      <c r="X1229" s="53" t="str">
        <f t="shared" si="257"/>
        <v/>
      </c>
      <c r="Y1229" s="57" t="str">
        <f>IF($X1229="","",IFERROR(VLOOKUP($X1229,'Char Popularity'!$A$2:$C$500,2,FALSE),""))</f>
        <v/>
      </c>
      <c r="Z1229" s="56">
        <f>IF($X1229="",1,IFERROR(VLOOKUP($X1229,'Char Popularity'!$A$2:$C$500,3,FALSE),1))</f>
        <v>1</v>
      </c>
      <c r="AA1229" s="62">
        <f>IF($H1229&lt;&gt;"Y",0,(IF($F1229&lt;&gt;"",ROUND(Dashboard!$R$4/$F1229,1),IF(AND($I1229="Base",$E1229="Base"),Dashboard!$R$5,IF(AND($I1229="Base",$E1229="Red"),Dashboard!$R$6,IF(AND($I1229="Base",$E1229="Gold"),Dashboard!$R$7,VLOOKUP($I1229,Dashboard!$Q$16:$R$21,2,FALSE)))))*VLOOKUP($I1229,Dashboard!$Q$9:$R$13,2,FALSE)*IF(AND($I1229="Auto",$F1229="",OR($B1229="Autographs Duals",$B1229="Autographs Triples",$B1229="Autographs Quads",$B1229="Autographs Quads (Inscribed)")),IF($B1229="Autographs Duals",2,IF($B1229="Autographs Triples",3,4)),1)))</f>
        <v>2</v>
      </c>
      <c r="AB1229" s="62">
        <f t="shared" si="258"/>
        <v>2</v>
      </c>
      <c r="AC1229" s="62">
        <f t="shared" si="259"/>
        <v>0</v>
      </c>
    </row>
    <row r="1230" spans="1:29" ht="28.7" customHeight="1" x14ac:dyDescent="0.25">
      <c r="A1230" s="4" t="s">
        <v>19</v>
      </c>
      <c r="B1230" s="7" t="s">
        <v>75</v>
      </c>
      <c r="C1230" s="2" t="s">
        <v>1528</v>
      </c>
      <c r="D1230" s="7" t="s">
        <v>1088</v>
      </c>
      <c r="E1230" s="4" t="s">
        <v>823</v>
      </c>
      <c r="F1230" s="2"/>
      <c r="G1230" s="2" t="s">
        <v>1399</v>
      </c>
      <c r="H1230" s="2" t="s">
        <v>1400</v>
      </c>
      <c r="I1230" s="4" t="s">
        <v>60</v>
      </c>
      <c r="J1230" s="112">
        <f>IF($H1230&lt;&gt;"Y",0,ROUND(MIN(Dashboard!$R$24,IF(IFERROR(VLOOKUP($B1230,Dashboard!$Q$28:$S$60,2,FALSE),0)&gt;0,IFERROR(VLOOKUP($B1230,Dashboard!$Q$28:$S$60,2,FALSE),0),$Z1230*IF($U1230&lt;&gt;"",ROUND((Dashboard!$R$4/$U1230)*VLOOKUP($I1230,Dashboard!$Q$9:$R$13,2,FALSE)*IF(ISNUMBER(SEARCH("Duals",$B1230)),2,IF(ISNUMBER(SEARCH("Triples",$B1230)),3,IF(ISNUMBER(SEARCH("Quads",$B1230)),4,1))),2),ROUND(VLOOKUP($I1230,Dashboard!$Q$15:$R$20,2,FALSE)*IF($E1230="Red",Dashboard!$R$6,IF($E1230="Gold",Dashboard!$R$7,Dashboard!$R$5))*IF(ISNUMBER(SEARCH("Duals",$B1230)),2,IF(ISNUMBER(SEARCH("Triples",$B1230)),3,IF(ISNUMBER(SEARCH("Quads",$B1230)),4,1))),2))*IF(IFERROR(VLOOKUP($B1230,Dashboard!$Q$28:$S$60,3,FALSE),0)&gt;0,VLOOKUP($B1230,Dashboard!$Q$28:$S$60,3,FALSE),1))),0))</f>
        <v>2</v>
      </c>
      <c r="K1230" s="2" t="str">
        <f>IF('Base S2'!D30="","",'Base S2'!D30)</f>
        <v>h</v>
      </c>
      <c r="L1230" s="2">
        <f t="shared" si="247"/>
        <v>1</v>
      </c>
      <c r="M1230" s="2">
        <f t="shared" si="248"/>
        <v>0</v>
      </c>
      <c r="N1230" s="2">
        <f t="shared" si="249"/>
        <v>1</v>
      </c>
      <c r="O1230" s="2">
        <f t="shared" si="250"/>
        <v>0</v>
      </c>
      <c r="P1230" s="112">
        <f t="shared" si="251"/>
        <v>2</v>
      </c>
      <c r="Q1230" s="112">
        <f t="shared" si="252"/>
        <v>0</v>
      </c>
      <c r="R1230" s="53"/>
      <c r="S1230" s="53" t="str">
        <f t="shared" si="253"/>
        <v>Base S2|Red Parallel - Season 2|129|Red</v>
      </c>
      <c r="T1230" s="57" t="str">
        <f>IF($S1230="","",IFERROR(VLOOKUP($S1230,'Pop Estimates (Non-#d)'!$N$2:$O$500,2,FALSE),""))</f>
        <v/>
      </c>
      <c r="U1230" s="57" t="str">
        <f t="shared" si="254"/>
        <v/>
      </c>
      <c r="V1230" s="53" t="str">
        <f t="shared" si="255"/>
        <v/>
      </c>
      <c r="W1230" s="53" t="str">
        <f t="shared" si="256"/>
        <v/>
      </c>
      <c r="X1230" s="53" t="str">
        <f t="shared" si="257"/>
        <v/>
      </c>
      <c r="Y1230" s="57" t="str">
        <f>IF($X1230="","",IFERROR(VLOOKUP($X1230,'Char Popularity'!$A$2:$C$500,2,FALSE),""))</f>
        <v/>
      </c>
      <c r="Z1230" s="56">
        <f>IF($X1230="",1,IFERROR(VLOOKUP($X1230,'Char Popularity'!$A$2:$C$500,3,FALSE),1))</f>
        <v>1</v>
      </c>
      <c r="AA1230" s="62">
        <f>IF($H1230&lt;&gt;"Y",0,(IF($F1230&lt;&gt;"",ROUND(Dashboard!$R$4/$F1230,1),IF(AND($I1230="Base",$E1230="Base"),Dashboard!$R$5,IF(AND($I1230="Base",$E1230="Red"),Dashboard!$R$6,IF(AND($I1230="Base",$E1230="Gold"),Dashboard!$R$7,VLOOKUP($I1230,Dashboard!$Q$16:$R$21,2,FALSE)))))*VLOOKUP($I1230,Dashboard!$Q$9:$R$13,2,FALSE)*IF(AND($I1230="Auto",$F1230="",OR($B1230="Autographs Duals",$B1230="Autographs Triples",$B1230="Autographs Quads",$B1230="Autographs Quads (Inscribed)")),IF($B1230="Autographs Duals",2,IF($B1230="Autographs Triples",3,4)),1)))</f>
        <v>2</v>
      </c>
      <c r="AB1230" s="62">
        <f t="shared" si="258"/>
        <v>2</v>
      </c>
      <c r="AC1230" s="62">
        <f t="shared" si="259"/>
        <v>0</v>
      </c>
    </row>
    <row r="1231" spans="1:29" ht="28.7" customHeight="1" x14ac:dyDescent="0.25">
      <c r="A1231" s="4" t="s">
        <v>19</v>
      </c>
      <c r="B1231" s="7" t="s">
        <v>75</v>
      </c>
      <c r="C1231" s="2" t="s">
        <v>1529</v>
      </c>
      <c r="D1231" s="7" t="s">
        <v>1091</v>
      </c>
      <c r="E1231" s="4" t="s">
        <v>823</v>
      </c>
      <c r="F1231" s="2"/>
      <c r="G1231" s="2" t="s">
        <v>1399</v>
      </c>
      <c r="H1231" s="2" t="s">
        <v>1400</v>
      </c>
      <c r="I1231" s="4" t="s">
        <v>60</v>
      </c>
      <c r="J1231" s="112">
        <f>IF($H1231&lt;&gt;"Y",0,ROUND(MIN(Dashboard!$R$24,IF(IFERROR(VLOOKUP($B1231,Dashboard!$Q$28:$S$60,2,FALSE),0)&gt;0,IFERROR(VLOOKUP($B1231,Dashboard!$Q$28:$S$60,2,FALSE),0),$Z1231*IF($U1231&lt;&gt;"",ROUND((Dashboard!$R$4/$U1231)*VLOOKUP($I1231,Dashboard!$Q$9:$R$13,2,FALSE)*IF(ISNUMBER(SEARCH("Duals",$B1231)),2,IF(ISNUMBER(SEARCH("Triples",$B1231)),3,IF(ISNUMBER(SEARCH("Quads",$B1231)),4,1))),2),ROUND(VLOOKUP($I1231,Dashboard!$Q$15:$R$20,2,FALSE)*IF($E1231="Red",Dashboard!$R$6,IF($E1231="Gold",Dashboard!$R$7,Dashboard!$R$5))*IF(ISNUMBER(SEARCH("Duals",$B1231)),2,IF(ISNUMBER(SEARCH("Triples",$B1231)),3,IF(ISNUMBER(SEARCH("Quads",$B1231)),4,1))),2))*IF(IFERROR(VLOOKUP($B1231,Dashboard!$Q$28:$S$60,3,FALSE),0)&gt;0,VLOOKUP($B1231,Dashboard!$Q$28:$S$60,3,FALSE),1))),0))</f>
        <v>2</v>
      </c>
      <c r="K1231" s="2" t="str">
        <f>IF('Base S2'!D31="","",'Base S2'!D31)</f>
        <v>h</v>
      </c>
      <c r="L1231" s="2">
        <f t="shared" si="247"/>
        <v>1</v>
      </c>
      <c r="M1231" s="2">
        <f t="shared" si="248"/>
        <v>0</v>
      </c>
      <c r="N1231" s="2">
        <f t="shared" si="249"/>
        <v>1</v>
      </c>
      <c r="O1231" s="2">
        <f t="shared" si="250"/>
        <v>0</v>
      </c>
      <c r="P1231" s="112">
        <f t="shared" si="251"/>
        <v>2</v>
      </c>
      <c r="Q1231" s="112">
        <f t="shared" si="252"/>
        <v>0</v>
      </c>
      <c r="R1231" s="53"/>
      <c r="S1231" s="53" t="str">
        <f t="shared" si="253"/>
        <v>Base S2|Red Parallel - Season 2|130|Red</v>
      </c>
      <c r="T1231" s="57" t="str">
        <f>IF($S1231="","",IFERROR(VLOOKUP($S1231,'Pop Estimates (Non-#d)'!$N$2:$O$500,2,FALSE),""))</f>
        <v/>
      </c>
      <c r="U1231" s="57" t="str">
        <f t="shared" si="254"/>
        <v/>
      </c>
      <c r="V1231" s="53" t="str">
        <f t="shared" si="255"/>
        <v/>
      </c>
      <c r="W1231" s="53" t="str">
        <f t="shared" si="256"/>
        <v/>
      </c>
      <c r="X1231" s="53" t="str">
        <f t="shared" si="257"/>
        <v/>
      </c>
      <c r="Y1231" s="57" t="str">
        <f>IF($X1231="","",IFERROR(VLOOKUP($X1231,'Char Popularity'!$A$2:$C$500,2,FALSE),""))</f>
        <v/>
      </c>
      <c r="Z1231" s="56">
        <f>IF($X1231="",1,IFERROR(VLOOKUP($X1231,'Char Popularity'!$A$2:$C$500,3,FALSE),1))</f>
        <v>1</v>
      </c>
      <c r="AA1231" s="62">
        <f>IF($H1231&lt;&gt;"Y",0,(IF($F1231&lt;&gt;"",ROUND(Dashboard!$R$4/$F1231,1),IF(AND($I1231="Base",$E1231="Base"),Dashboard!$R$5,IF(AND($I1231="Base",$E1231="Red"),Dashboard!$R$6,IF(AND($I1231="Base",$E1231="Gold"),Dashboard!$R$7,VLOOKUP($I1231,Dashboard!$Q$16:$R$21,2,FALSE)))))*VLOOKUP($I1231,Dashboard!$Q$9:$R$13,2,FALSE)*IF(AND($I1231="Auto",$F1231="",OR($B1231="Autographs Duals",$B1231="Autographs Triples",$B1231="Autographs Quads",$B1231="Autographs Quads (Inscribed)")),IF($B1231="Autographs Duals",2,IF($B1231="Autographs Triples",3,4)),1)))</f>
        <v>2</v>
      </c>
      <c r="AB1231" s="62">
        <f t="shared" si="258"/>
        <v>2</v>
      </c>
      <c r="AC1231" s="62">
        <f t="shared" si="259"/>
        <v>0</v>
      </c>
    </row>
    <row r="1232" spans="1:29" ht="28.7" customHeight="1" x14ac:dyDescent="0.25">
      <c r="A1232" s="4" t="s">
        <v>19</v>
      </c>
      <c r="B1232" s="7" t="s">
        <v>75</v>
      </c>
      <c r="C1232" s="2" t="s">
        <v>1530</v>
      </c>
      <c r="D1232" s="7" t="s">
        <v>1093</v>
      </c>
      <c r="E1232" s="4" t="s">
        <v>823</v>
      </c>
      <c r="F1232" s="2"/>
      <c r="G1232" s="2" t="s">
        <v>1399</v>
      </c>
      <c r="H1232" s="2" t="s">
        <v>1400</v>
      </c>
      <c r="I1232" s="4" t="s">
        <v>60</v>
      </c>
      <c r="J1232" s="112">
        <f>IF($H1232&lt;&gt;"Y",0,ROUND(MIN(Dashboard!$R$24,IF(IFERROR(VLOOKUP($B1232,Dashboard!$Q$28:$S$60,2,FALSE),0)&gt;0,IFERROR(VLOOKUP($B1232,Dashboard!$Q$28:$S$60,2,FALSE),0),$Z1232*IF($U1232&lt;&gt;"",ROUND((Dashboard!$R$4/$U1232)*VLOOKUP($I1232,Dashboard!$Q$9:$R$13,2,FALSE)*IF(ISNUMBER(SEARCH("Duals",$B1232)),2,IF(ISNUMBER(SEARCH("Triples",$B1232)),3,IF(ISNUMBER(SEARCH("Quads",$B1232)),4,1))),2),ROUND(VLOOKUP($I1232,Dashboard!$Q$15:$R$20,2,FALSE)*IF($E1232="Red",Dashboard!$R$6,IF($E1232="Gold",Dashboard!$R$7,Dashboard!$R$5))*IF(ISNUMBER(SEARCH("Duals",$B1232)),2,IF(ISNUMBER(SEARCH("Triples",$B1232)),3,IF(ISNUMBER(SEARCH("Quads",$B1232)),4,1))),2))*IF(IFERROR(VLOOKUP($B1232,Dashboard!$Q$28:$S$60,3,FALSE),0)&gt;0,VLOOKUP($B1232,Dashboard!$Q$28:$S$60,3,FALSE),1))),0))</f>
        <v>2</v>
      </c>
      <c r="K1232" s="2" t="str">
        <f>IF('Base S2'!D32="","",'Base S2'!D32)</f>
        <v>h</v>
      </c>
      <c r="L1232" s="2">
        <f t="shared" si="247"/>
        <v>1</v>
      </c>
      <c r="M1232" s="2">
        <f t="shared" si="248"/>
        <v>0</v>
      </c>
      <c r="N1232" s="2">
        <f t="shared" si="249"/>
        <v>1</v>
      </c>
      <c r="O1232" s="2">
        <f t="shared" si="250"/>
        <v>0</v>
      </c>
      <c r="P1232" s="112">
        <f t="shared" si="251"/>
        <v>2</v>
      </c>
      <c r="Q1232" s="112">
        <f t="shared" si="252"/>
        <v>0</v>
      </c>
      <c r="R1232" s="53"/>
      <c r="S1232" s="53" t="str">
        <f t="shared" si="253"/>
        <v>Base S2|Red Parallel - Season 2|131|Red</v>
      </c>
      <c r="T1232" s="57" t="str">
        <f>IF($S1232="","",IFERROR(VLOOKUP($S1232,'Pop Estimates (Non-#d)'!$N$2:$O$500,2,FALSE),""))</f>
        <v/>
      </c>
      <c r="U1232" s="57" t="str">
        <f t="shared" si="254"/>
        <v/>
      </c>
      <c r="V1232" s="53" t="str">
        <f t="shared" si="255"/>
        <v/>
      </c>
      <c r="W1232" s="53" t="str">
        <f t="shared" si="256"/>
        <v/>
      </c>
      <c r="X1232" s="53" t="str">
        <f t="shared" si="257"/>
        <v/>
      </c>
      <c r="Y1232" s="57" t="str">
        <f>IF($X1232="","",IFERROR(VLOOKUP($X1232,'Char Popularity'!$A$2:$C$500,2,FALSE),""))</f>
        <v/>
      </c>
      <c r="Z1232" s="56">
        <f>IF($X1232="",1,IFERROR(VLOOKUP($X1232,'Char Popularity'!$A$2:$C$500,3,FALSE),1))</f>
        <v>1</v>
      </c>
      <c r="AA1232" s="62">
        <f>IF($H1232&lt;&gt;"Y",0,(IF($F1232&lt;&gt;"",ROUND(Dashboard!$R$4/$F1232,1),IF(AND($I1232="Base",$E1232="Base"),Dashboard!$R$5,IF(AND($I1232="Base",$E1232="Red"),Dashboard!$R$6,IF(AND($I1232="Base",$E1232="Gold"),Dashboard!$R$7,VLOOKUP($I1232,Dashboard!$Q$16:$R$21,2,FALSE)))))*VLOOKUP($I1232,Dashboard!$Q$9:$R$13,2,FALSE)*IF(AND($I1232="Auto",$F1232="",OR($B1232="Autographs Duals",$B1232="Autographs Triples",$B1232="Autographs Quads",$B1232="Autographs Quads (Inscribed)")),IF($B1232="Autographs Duals",2,IF($B1232="Autographs Triples",3,4)),1)))</f>
        <v>2</v>
      </c>
      <c r="AB1232" s="62">
        <f t="shared" si="258"/>
        <v>2</v>
      </c>
      <c r="AC1232" s="62">
        <f t="shared" si="259"/>
        <v>0</v>
      </c>
    </row>
    <row r="1233" spans="1:29" ht="28.7" customHeight="1" x14ac:dyDescent="0.25">
      <c r="A1233" s="4" t="s">
        <v>19</v>
      </c>
      <c r="B1233" s="7" t="s">
        <v>75</v>
      </c>
      <c r="C1233" s="2" t="s">
        <v>1531</v>
      </c>
      <c r="D1233" s="7" t="s">
        <v>1096</v>
      </c>
      <c r="E1233" s="4" t="s">
        <v>823</v>
      </c>
      <c r="F1233" s="2"/>
      <c r="G1233" s="2" t="s">
        <v>1399</v>
      </c>
      <c r="H1233" s="2" t="s">
        <v>1400</v>
      </c>
      <c r="I1233" s="4" t="s">
        <v>60</v>
      </c>
      <c r="J1233" s="112">
        <f>IF($H1233&lt;&gt;"Y",0,ROUND(MIN(Dashboard!$R$24,IF(IFERROR(VLOOKUP($B1233,Dashboard!$Q$28:$S$60,2,FALSE),0)&gt;0,IFERROR(VLOOKUP($B1233,Dashboard!$Q$28:$S$60,2,FALSE),0),$Z1233*IF($U1233&lt;&gt;"",ROUND((Dashboard!$R$4/$U1233)*VLOOKUP($I1233,Dashboard!$Q$9:$R$13,2,FALSE)*IF(ISNUMBER(SEARCH("Duals",$B1233)),2,IF(ISNUMBER(SEARCH("Triples",$B1233)),3,IF(ISNUMBER(SEARCH("Quads",$B1233)),4,1))),2),ROUND(VLOOKUP($I1233,Dashboard!$Q$15:$R$20,2,FALSE)*IF($E1233="Red",Dashboard!$R$6,IF($E1233="Gold",Dashboard!$R$7,Dashboard!$R$5))*IF(ISNUMBER(SEARCH("Duals",$B1233)),2,IF(ISNUMBER(SEARCH("Triples",$B1233)),3,IF(ISNUMBER(SEARCH("Quads",$B1233)),4,1))),2))*IF(IFERROR(VLOOKUP($B1233,Dashboard!$Q$28:$S$60,3,FALSE),0)&gt;0,VLOOKUP($B1233,Dashboard!$Q$28:$S$60,3,FALSE),1))),0))</f>
        <v>2</v>
      </c>
      <c r="K1233" s="2" t="str">
        <f>IF('Base S2'!D33="","",'Base S2'!D33)</f>
        <v>h</v>
      </c>
      <c r="L1233" s="2">
        <f t="shared" si="247"/>
        <v>1</v>
      </c>
      <c r="M1233" s="2">
        <f t="shared" si="248"/>
        <v>0</v>
      </c>
      <c r="N1233" s="2">
        <f t="shared" si="249"/>
        <v>1</v>
      </c>
      <c r="O1233" s="2">
        <f t="shared" si="250"/>
        <v>0</v>
      </c>
      <c r="P1233" s="112">
        <f t="shared" si="251"/>
        <v>2</v>
      </c>
      <c r="Q1233" s="112">
        <f t="shared" si="252"/>
        <v>0</v>
      </c>
      <c r="R1233" s="53"/>
      <c r="S1233" s="53" t="str">
        <f t="shared" si="253"/>
        <v>Base S2|Red Parallel - Season 2|132|Red</v>
      </c>
      <c r="T1233" s="57" t="str">
        <f>IF($S1233="","",IFERROR(VLOOKUP($S1233,'Pop Estimates (Non-#d)'!$N$2:$O$500,2,FALSE),""))</f>
        <v/>
      </c>
      <c r="U1233" s="57" t="str">
        <f t="shared" si="254"/>
        <v/>
      </c>
      <c r="V1233" s="53" t="str">
        <f t="shared" si="255"/>
        <v/>
      </c>
      <c r="W1233" s="53" t="str">
        <f t="shared" si="256"/>
        <v/>
      </c>
      <c r="X1233" s="53" t="str">
        <f t="shared" si="257"/>
        <v/>
      </c>
      <c r="Y1233" s="57" t="str">
        <f>IF($X1233="","",IFERROR(VLOOKUP($X1233,'Char Popularity'!$A$2:$C$500,2,FALSE),""))</f>
        <v/>
      </c>
      <c r="Z1233" s="56">
        <f>IF($X1233="",1,IFERROR(VLOOKUP($X1233,'Char Popularity'!$A$2:$C$500,3,FALSE),1))</f>
        <v>1</v>
      </c>
      <c r="AA1233" s="62">
        <f>IF($H1233&lt;&gt;"Y",0,(IF($F1233&lt;&gt;"",ROUND(Dashboard!$R$4/$F1233,1),IF(AND($I1233="Base",$E1233="Base"),Dashboard!$R$5,IF(AND($I1233="Base",$E1233="Red"),Dashboard!$R$6,IF(AND($I1233="Base",$E1233="Gold"),Dashboard!$R$7,VLOOKUP($I1233,Dashboard!$Q$16:$R$21,2,FALSE)))))*VLOOKUP($I1233,Dashboard!$Q$9:$R$13,2,FALSE)*IF(AND($I1233="Auto",$F1233="",OR($B1233="Autographs Duals",$B1233="Autographs Triples",$B1233="Autographs Quads",$B1233="Autographs Quads (Inscribed)")),IF($B1233="Autographs Duals",2,IF($B1233="Autographs Triples",3,4)),1)))</f>
        <v>2</v>
      </c>
      <c r="AB1233" s="62">
        <f t="shared" si="258"/>
        <v>2</v>
      </c>
      <c r="AC1233" s="62">
        <f t="shared" si="259"/>
        <v>0</v>
      </c>
    </row>
    <row r="1234" spans="1:29" ht="28.7" customHeight="1" x14ac:dyDescent="0.25">
      <c r="A1234" s="4" t="s">
        <v>19</v>
      </c>
      <c r="B1234" s="7" t="s">
        <v>75</v>
      </c>
      <c r="C1234" s="2" t="s">
        <v>1532</v>
      </c>
      <c r="D1234" s="7" t="s">
        <v>1097</v>
      </c>
      <c r="E1234" s="4" t="s">
        <v>823</v>
      </c>
      <c r="F1234" s="2"/>
      <c r="G1234" s="2" t="s">
        <v>1399</v>
      </c>
      <c r="H1234" s="2" t="s">
        <v>1400</v>
      </c>
      <c r="I1234" s="4" t="s">
        <v>60</v>
      </c>
      <c r="J1234" s="112">
        <f>IF($H1234&lt;&gt;"Y",0,ROUND(MIN(Dashboard!$R$24,IF(IFERROR(VLOOKUP($B1234,Dashboard!$Q$28:$S$60,2,FALSE),0)&gt;0,IFERROR(VLOOKUP($B1234,Dashboard!$Q$28:$S$60,2,FALSE),0),$Z1234*IF($U1234&lt;&gt;"",ROUND((Dashboard!$R$4/$U1234)*VLOOKUP($I1234,Dashboard!$Q$9:$R$13,2,FALSE)*IF(ISNUMBER(SEARCH("Duals",$B1234)),2,IF(ISNUMBER(SEARCH("Triples",$B1234)),3,IF(ISNUMBER(SEARCH("Quads",$B1234)),4,1))),2),ROUND(VLOOKUP($I1234,Dashboard!$Q$15:$R$20,2,FALSE)*IF($E1234="Red",Dashboard!$R$6,IF($E1234="Gold",Dashboard!$R$7,Dashboard!$R$5))*IF(ISNUMBER(SEARCH("Duals",$B1234)),2,IF(ISNUMBER(SEARCH("Triples",$B1234)),3,IF(ISNUMBER(SEARCH("Quads",$B1234)),4,1))),2))*IF(IFERROR(VLOOKUP($B1234,Dashboard!$Q$28:$S$60,3,FALSE),0)&gt;0,VLOOKUP($B1234,Dashboard!$Q$28:$S$60,3,FALSE),1))),0))</f>
        <v>2</v>
      </c>
      <c r="K1234" s="2" t="str">
        <f>IF('Base S2'!D34="","",'Base S2'!D34)</f>
        <v>h</v>
      </c>
      <c r="L1234" s="2">
        <f t="shared" si="247"/>
        <v>1</v>
      </c>
      <c r="M1234" s="2">
        <f t="shared" si="248"/>
        <v>0</v>
      </c>
      <c r="N1234" s="2">
        <f t="shared" si="249"/>
        <v>1</v>
      </c>
      <c r="O1234" s="2">
        <f t="shared" si="250"/>
        <v>0</v>
      </c>
      <c r="P1234" s="112">
        <f t="shared" si="251"/>
        <v>2</v>
      </c>
      <c r="Q1234" s="112">
        <f t="shared" si="252"/>
        <v>0</v>
      </c>
      <c r="R1234" s="53"/>
      <c r="S1234" s="53" t="str">
        <f t="shared" si="253"/>
        <v>Base S2|Red Parallel - Season 2|133|Red</v>
      </c>
      <c r="T1234" s="57" t="str">
        <f>IF($S1234="","",IFERROR(VLOOKUP($S1234,'Pop Estimates (Non-#d)'!$N$2:$O$500,2,FALSE),""))</f>
        <v/>
      </c>
      <c r="U1234" s="57" t="str">
        <f t="shared" si="254"/>
        <v/>
      </c>
      <c r="V1234" s="53" t="str">
        <f t="shared" si="255"/>
        <v/>
      </c>
      <c r="W1234" s="53" t="str">
        <f t="shared" si="256"/>
        <v/>
      </c>
      <c r="X1234" s="53" t="str">
        <f t="shared" si="257"/>
        <v/>
      </c>
      <c r="Y1234" s="57" t="str">
        <f>IF($X1234="","",IFERROR(VLOOKUP($X1234,'Char Popularity'!$A$2:$C$500,2,FALSE),""))</f>
        <v/>
      </c>
      <c r="Z1234" s="56">
        <f>IF($X1234="",1,IFERROR(VLOOKUP($X1234,'Char Popularity'!$A$2:$C$500,3,FALSE),1))</f>
        <v>1</v>
      </c>
      <c r="AA1234" s="62">
        <f>IF($H1234&lt;&gt;"Y",0,(IF($F1234&lt;&gt;"",ROUND(Dashboard!$R$4/$F1234,1),IF(AND($I1234="Base",$E1234="Base"),Dashboard!$R$5,IF(AND($I1234="Base",$E1234="Red"),Dashboard!$R$6,IF(AND($I1234="Base",$E1234="Gold"),Dashboard!$R$7,VLOOKUP($I1234,Dashboard!$Q$16:$R$21,2,FALSE)))))*VLOOKUP($I1234,Dashboard!$Q$9:$R$13,2,FALSE)*IF(AND($I1234="Auto",$F1234="",OR($B1234="Autographs Duals",$B1234="Autographs Triples",$B1234="Autographs Quads",$B1234="Autographs Quads (Inscribed)")),IF($B1234="Autographs Duals",2,IF($B1234="Autographs Triples",3,4)),1)))</f>
        <v>2</v>
      </c>
      <c r="AB1234" s="62">
        <f t="shared" si="258"/>
        <v>2</v>
      </c>
      <c r="AC1234" s="62">
        <f t="shared" si="259"/>
        <v>0</v>
      </c>
    </row>
    <row r="1235" spans="1:29" ht="28.7" customHeight="1" x14ac:dyDescent="0.25">
      <c r="A1235" s="4" t="s">
        <v>19</v>
      </c>
      <c r="B1235" s="7" t="s">
        <v>75</v>
      </c>
      <c r="C1235" s="2" t="s">
        <v>1533</v>
      </c>
      <c r="D1235" s="7" t="s">
        <v>1099</v>
      </c>
      <c r="E1235" s="4" t="s">
        <v>823</v>
      </c>
      <c r="F1235" s="2"/>
      <c r="G1235" s="2" t="s">
        <v>1399</v>
      </c>
      <c r="H1235" s="2" t="s">
        <v>1400</v>
      </c>
      <c r="I1235" s="4" t="s">
        <v>60</v>
      </c>
      <c r="J1235" s="112">
        <f>IF($H1235&lt;&gt;"Y",0,ROUND(MIN(Dashboard!$R$24,IF(IFERROR(VLOOKUP($B1235,Dashboard!$Q$28:$S$60,2,FALSE),0)&gt;0,IFERROR(VLOOKUP($B1235,Dashboard!$Q$28:$S$60,2,FALSE),0),$Z1235*IF($U1235&lt;&gt;"",ROUND((Dashboard!$R$4/$U1235)*VLOOKUP($I1235,Dashboard!$Q$9:$R$13,2,FALSE)*IF(ISNUMBER(SEARCH("Duals",$B1235)),2,IF(ISNUMBER(SEARCH("Triples",$B1235)),3,IF(ISNUMBER(SEARCH("Quads",$B1235)),4,1))),2),ROUND(VLOOKUP($I1235,Dashboard!$Q$15:$R$20,2,FALSE)*IF($E1235="Red",Dashboard!$R$6,IF($E1235="Gold",Dashboard!$R$7,Dashboard!$R$5))*IF(ISNUMBER(SEARCH("Duals",$B1235)),2,IF(ISNUMBER(SEARCH("Triples",$B1235)),3,IF(ISNUMBER(SEARCH("Quads",$B1235)),4,1))),2))*IF(IFERROR(VLOOKUP($B1235,Dashboard!$Q$28:$S$60,3,FALSE),0)&gt;0,VLOOKUP($B1235,Dashboard!$Q$28:$S$60,3,FALSE),1))),0))</f>
        <v>2</v>
      </c>
      <c r="K1235" s="2" t="str">
        <f>IF('Base S2'!D35="","",'Base S2'!D35)</f>
        <v>h</v>
      </c>
      <c r="L1235" s="2">
        <f t="shared" si="247"/>
        <v>1</v>
      </c>
      <c r="M1235" s="2">
        <f t="shared" si="248"/>
        <v>0</v>
      </c>
      <c r="N1235" s="2">
        <f t="shared" si="249"/>
        <v>1</v>
      </c>
      <c r="O1235" s="2">
        <f t="shared" si="250"/>
        <v>0</v>
      </c>
      <c r="P1235" s="112">
        <f t="shared" si="251"/>
        <v>2</v>
      </c>
      <c r="Q1235" s="112">
        <f t="shared" si="252"/>
        <v>0</v>
      </c>
      <c r="R1235" s="53"/>
      <c r="S1235" s="53" t="str">
        <f t="shared" si="253"/>
        <v>Base S2|Red Parallel - Season 2|134|Red</v>
      </c>
      <c r="T1235" s="57" t="str">
        <f>IF($S1235="","",IFERROR(VLOOKUP($S1235,'Pop Estimates (Non-#d)'!$N$2:$O$500,2,FALSE),""))</f>
        <v/>
      </c>
      <c r="U1235" s="57" t="str">
        <f t="shared" si="254"/>
        <v/>
      </c>
      <c r="V1235" s="53" t="str">
        <f t="shared" si="255"/>
        <v/>
      </c>
      <c r="W1235" s="53" t="str">
        <f t="shared" si="256"/>
        <v/>
      </c>
      <c r="X1235" s="53" t="str">
        <f t="shared" si="257"/>
        <v/>
      </c>
      <c r="Y1235" s="57" t="str">
        <f>IF($X1235="","",IFERROR(VLOOKUP($X1235,'Char Popularity'!$A$2:$C$500,2,FALSE),""))</f>
        <v/>
      </c>
      <c r="Z1235" s="56">
        <f>IF($X1235="",1,IFERROR(VLOOKUP($X1235,'Char Popularity'!$A$2:$C$500,3,FALSE),1))</f>
        <v>1</v>
      </c>
      <c r="AA1235" s="62">
        <f>IF($H1235&lt;&gt;"Y",0,(IF($F1235&lt;&gt;"",ROUND(Dashboard!$R$4/$F1235,1),IF(AND($I1235="Base",$E1235="Base"),Dashboard!$R$5,IF(AND($I1235="Base",$E1235="Red"),Dashboard!$R$6,IF(AND($I1235="Base",$E1235="Gold"),Dashboard!$R$7,VLOOKUP($I1235,Dashboard!$Q$16:$R$21,2,FALSE)))))*VLOOKUP($I1235,Dashboard!$Q$9:$R$13,2,FALSE)*IF(AND($I1235="Auto",$F1235="",OR($B1235="Autographs Duals",$B1235="Autographs Triples",$B1235="Autographs Quads",$B1235="Autographs Quads (Inscribed)")),IF($B1235="Autographs Duals",2,IF($B1235="Autographs Triples",3,4)),1)))</f>
        <v>2</v>
      </c>
      <c r="AB1235" s="62">
        <f t="shared" si="258"/>
        <v>2</v>
      </c>
      <c r="AC1235" s="62">
        <f t="shared" si="259"/>
        <v>0</v>
      </c>
    </row>
    <row r="1236" spans="1:29" ht="28.7" customHeight="1" x14ac:dyDescent="0.25">
      <c r="A1236" s="4" t="s">
        <v>19</v>
      </c>
      <c r="B1236" s="7" t="s">
        <v>75</v>
      </c>
      <c r="C1236" s="2" t="s">
        <v>1534</v>
      </c>
      <c r="D1236" s="7" t="s">
        <v>1100</v>
      </c>
      <c r="E1236" s="4" t="s">
        <v>823</v>
      </c>
      <c r="F1236" s="2"/>
      <c r="G1236" s="2" t="s">
        <v>1399</v>
      </c>
      <c r="H1236" s="2" t="s">
        <v>1400</v>
      </c>
      <c r="I1236" s="4" t="s">
        <v>60</v>
      </c>
      <c r="J1236" s="112">
        <f>IF($H1236&lt;&gt;"Y",0,ROUND(MIN(Dashboard!$R$24,IF(IFERROR(VLOOKUP($B1236,Dashboard!$Q$28:$S$60,2,FALSE),0)&gt;0,IFERROR(VLOOKUP($B1236,Dashboard!$Q$28:$S$60,2,FALSE),0),$Z1236*IF($U1236&lt;&gt;"",ROUND((Dashboard!$R$4/$U1236)*VLOOKUP($I1236,Dashboard!$Q$9:$R$13,2,FALSE)*IF(ISNUMBER(SEARCH("Duals",$B1236)),2,IF(ISNUMBER(SEARCH("Triples",$B1236)),3,IF(ISNUMBER(SEARCH("Quads",$B1236)),4,1))),2),ROUND(VLOOKUP($I1236,Dashboard!$Q$15:$R$20,2,FALSE)*IF($E1236="Red",Dashboard!$R$6,IF($E1236="Gold",Dashboard!$R$7,Dashboard!$R$5))*IF(ISNUMBER(SEARCH("Duals",$B1236)),2,IF(ISNUMBER(SEARCH("Triples",$B1236)),3,IF(ISNUMBER(SEARCH("Quads",$B1236)),4,1))),2))*IF(IFERROR(VLOOKUP($B1236,Dashboard!$Q$28:$S$60,3,FALSE),0)&gt;0,VLOOKUP($B1236,Dashboard!$Q$28:$S$60,3,FALSE),1))),0))</f>
        <v>2</v>
      </c>
      <c r="K1236" s="2" t="str">
        <f>IF('Base S2'!D36="","",'Base S2'!D36)</f>
        <v>h</v>
      </c>
      <c r="L1236" s="2">
        <f t="shared" si="247"/>
        <v>1</v>
      </c>
      <c r="M1236" s="2">
        <f t="shared" si="248"/>
        <v>0</v>
      </c>
      <c r="N1236" s="2">
        <f t="shared" si="249"/>
        <v>1</v>
      </c>
      <c r="O1236" s="2">
        <f t="shared" si="250"/>
        <v>0</v>
      </c>
      <c r="P1236" s="112">
        <f t="shared" si="251"/>
        <v>2</v>
      </c>
      <c r="Q1236" s="112">
        <f t="shared" si="252"/>
        <v>0</v>
      </c>
      <c r="R1236" s="53"/>
      <c r="S1236" s="53" t="str">
        <f t="shared" si="253"/>
        <v>Base S2|Red Parallel - Season 2|135|Red</v>
      </c>
      <c r="T1236" s="57" t="str">
        <f>IF($S1236="","",IFERROR(VLOOKUP($S1236,'Pop Estimates (Non-#d)'!$N$2:$O$500,2,FALSE),""))</f>
        <v/>
      </c>
      <c r="U1236" s="57" t="str">
        <f t="shared" si="254"/>
        <v/>
      </c>
      <c r="V1236" s="53" t="str">
        <f t="shared" si="255"/>
        <v/>
      </c>
      <c r="W1236" s="53" t="str">
        <f t="shared" si="256"/>
        <v/>
      </c>
      <c r="X1236" s="53" t="str">
        <f t="shared" si="257"/>
        <v/>
      </c>
      <c r="Y1236" s="57" t="str">
        <f>IF($X1236="","",IFERROR(VLOOKUP($X1236,'Char Popularity'!$A$2:$C$500,2,FALSE),""))</f>
        <v/>
      </c>
      <c r="Z1236" s="56">
        <f>IF($X1236="",1,IFERROR(VLOOKUP($X1236,'Char Popularity'!$A$2:$C$500,3,FALSE),1))</f>
        <v>1</v>
      </c>
      <c r="AA1236" s="62">
        <f>IF($H1236&lt;&gt;"Y",0,(IF($F1236&lt;&gt;"",ROUND(Dashboard!$R$4/$F1236,1),IF(AND($I1236="Base",$E1236="Base"),Dashboard!$R$5,IF(AND($I1236="Base",$E1236="Red"),Dashboard!$R$6,IF(AND($I1236="Base",$E1236="Gold"),Dashboard!$R$7,VLOOKUP($I1236,Dashboard!$Q$16:$R$21,2,FALSE)))))*VLOOKUP($I1236,Dashboard!$Q$9:$R$13,2,FALSE)*IF(AND($I1236="Auto",$F1236="",OR($B1236="Autographs Duals",$B1236="Autographs Triples",$B1236="Autographs Quads",$B1236="Autographs Quads (Inscribed)")),IF($B1236="Autographs Duals",2,IF($B1236="Autographs Triples",3,4)),1)))</f>
        <v>2</v>
      </c>
      <c r="AB1236" s="62">
        <f t="shared" si="258"/>
        <v>2</v>
      </c>
      <c r="AC1236" s="62">
        <f t="shared" si="259"/>
        <v>0</v>
      </c>
    </row>
    <row r="1237" spans="1:29" ht="28.7" customHeight="1" x14ac:dyDescent="0.25">
      <c r="A1237" s="4" t="s">
        <v>19</v>
      </c>
      <c r="B1237" s="7" t="s">
        <v>75</v>
      </c>
      <c r="C1237" s="2" t="s">
        <v>1535</v>
      </c>
      <c r="D1237" s="7" t="s">
        <v>1101</v>
      </c>
      <c r="E1237" s="4" t="s">
        <v>823</v>
      </c>
      <c r="F1237" s="2"/>
      <c r="G1237" s="2" t="s">
        <v>1399</v>
      </c>
      <c r="H1237" s="2" t="s">
        <v>1400</v>
      </c>
      <c r="I1237" s="4" t="s">
        <v>60</v>
      </c>
      <c r="J1237" s="112">
        <f>IF($H1237&lt;&gt;"Y",0,ROUND(MIN(Dashboard!$R$24,IF(IFERROR(VLOOKUP($B1237,Dashboard!$Q$28:$S$60,2,FALSE),0)&gt;0,IFERROR(VLOOKUP($B1237,Dashboard!$Q$28:$S$60,2,FALSE),0),$Z1237*IF($U1237&lt;&gt;"",ROUND((Dashboard!$R$4/$U1237)*VLOOKUP($I1237,Dashboard!$Q$9:$R$13,2,FALSE)*IF(ISNUMBER(SEARCH("Duals",$B1237)),2,IF(ISNUMBER(SEARCH("Triples",$B1237)),3,IF(ISNUMBER(SEARCH("Quads",$B1237)),4,1))),2),ROUND(VLOOKUP($I1237,Dashboard!$Q$15:$R$20,2,FALSE)*IF($E1237="Red",Dashboard!$R$6,IF($E1237="Gold",Dashboard!$R$7,Dashboard!$R$5))*IF(ISNUMBER(SEARCH("Duals",$B1237)),2,IF(ISNUMBER(SEARCH("Triples",$B1237)),3,IF(ISNUMBER(SEARCH("Quads",$B1237)),4,1))),2))*IF(IFERROR(VLOOKUP($B1237,Dashboard!$Q$28:$S$60,3,FALSE),0)&gt;0,VLOOKUP($B1237,Dashboard!$Q$28:$S$60,3,FALSE),1))),0))</f>
        <v>2</v>
      </c>
      <c r="K1237" s="2" t="str">
        <f>IF('Base S2'!D37="","",'Base S2'!D37)</f>
        <v>h</v>
      </c>
      <c r="L1237" s="2">
        <f t="shared" si="247"/>
        <v>1</v>
      </c>
      <c r="M1237" s="2">
        <f t="shared" si="248"/>
        <v>0</v>
      </c>
      <c r="N1237" s="2">
        <f t="shared" si="249"/>
        <v>1</v>
      </c>
      <c r="O1237" s="2">
        <f t="shared" si="250"/>
        <v>0</v>
      </c>
      <c r="P1237" s="112">
        <f t="shared" si="251"/>
        <v>2</v>
      </c>
      <c r="Q1237" s="112">
        <f t="shared" si="252"/>
        <v>0</v>
      </c>
      <c r="R1237" s="53"/>
      <c r="S1237" s="53" t="str">
        <f t="shared" si="253"/>
        <v>Base S2|Red Parallel - Season 2|136|Red</v>
      </c>
      <c r="T1237" s="57" t="str">
        <f>IF($S1237="","",IFERROR(VLOOKUP($S1237,'Pop Estimates (Non-#d)'!$N$2:$O$500,2,FALSE),""))</f>
        <v/>
      </c>
      <c r="U1237" s="57" t="str">
        <f t="shared" si="254"/>
        <v/>
      </c>
      <c r="V1237" s="53" t="str">
        <f t="shared" si="255"/>
        <v/>
      </c>
      <c r="W1237" s="53" t="str">
        <f t="shared" si="256"/>
        <v/>
      </c>
      <c r="X1237" s="53" t="str">
        <f t="shared" si="257"/>
        <v/>
      </c>
      <c r="Y1237" s="57" t="str">
        <f>IF($X1237="","",IFERROR(VLOOKUP($X1237,'Char Popularity'!$A$2:$C$500,2,FALSE),""))</f>
        <v/>
      </c>
      <c r="Z1237" s="56">
        <f>IF($X1237="",1,IFERROR(VLOOKUP($X1237,'Char Popularity'!$A$2:$C$500,3,FALSE),1))</f>
        <v>1</v>
      </c>
      <c r="AA1237" s="62">
        <f>IF($H1237&lt;&gt;"Y",0,(IF($F1237&lt;&gt;"",ROUND(Dashboard!$R$4/$F1237,1),IF(AND($I1237="Base",$E1237="Base"),Dashboard!$R$5,IF(AND($I1237="Base",$E1237="Red"),Dashboard!$R$6,IF(AND($I1237="Base",$E1237="Gold"),Dashboard!$R$7,VLOOKUP($I1237,Dashboard!$Q$16:$R$21,2,FALSE)))))*VLOOKUP($I1237,Dashboard!$Q$9:$R$13,2,FALSE)*IF(AND($I1237="Auto",$F1237="",OR($B1237="Autographs Duals",$B1237="Autographs Triples",$B1237="Autographs Quads",$B1237="Autographs Quads (Inscribed)")),IF($B1237="Autographs Duals",2,IF($B1237="Autographs Triples",3,4)),1)))</f>
        <v>2</v>
      </c>
      <c r="AB1237" s="62">
        <f t="shared" si="258"/>
        <v>2</v>
      </c>
      <c r="AC1237" s="62">
        <f t="shared" si="259"/>
        <v>0</v>
      </c>
    </row>
    <row r="1238" spans="1:29" ht="28.7" customHeight="1" x14ac:dyDescent="0.25">
      <c r="A1238" s="4" t="s">
        <v>19</v>
      </c>
      <c r="B1238" s="7" t="s">
        <v>75</v>
      </c>
      <c r="C1238" s="2" t="s">
        <v>1536</v>
      </c>
      <c r="D1238" s="7" t="s">
        <v>1103</v>
      </c>
      <c r="E1238" s="4" t="s">
        <v>823</v>
      </c>
      <c r="F1238" s="2"/>
      <c r="G1238" s="2" t="s">
        <v>1399</v>
      </c>
      <c r="H1238" s="2" t="s">
        <v>1400</v>
      </c>
      <c r="I1238" s="4" t="s">
        <v>60</v>
      </c>
      <c r="J1238" s="112">
        <f>IF($H1238&lt;&gt;"Y",0,ROUND(MIN(Dashboard!$R$24,IF(IFERROR(VLOOKUP($B1238,Dashboard!$Q$28:$S$60,2,FALSE),0)&gt;0,IFERROR(VLOOKUP($B1238,Dashboard!$Q$28:$S$60,2,FALSE),0),$Z1238*IF($U1238&lt;&gt;"",ROUND((Dashboard!$R$4/$U1238)*VLOOKUP($I1238,Dashboard!$Q$9:$R$13,2,FALSE)*IF(ISNUMBER(SEARCH("Duals",$B1238)),2,IF(ISNUMBER(SEARCH("Triples",$B1238)),3,IF(ISNUMBER(SEARCH("Quads",$B1238)),4,1))),2),ROUND(VLOOKUP($I1238,Dashboard!$Q$15:$R$20,2,FALSE)*IF($E1238="Red",Dashboard!$R$6,IF($E1238="Gold",Dashboard!$R$7,Dashboard!$R$5))*IF(ISNUMBER(SEARCH("Duals",$B1238)),2,IF(ISNUMBER(SEARCH("Triples",$B1238)),3,IF(ISNUMBER(SEARCH("Quads",$B1238)),4,1))),2))*IF(IFERROR(VLOOKUP($B1238,Dashboard!$Q$28:$S$60,3,FALSE),0)&gt;0,VLOOKUP($B1238,Dashboard!$Q$28:$S$60,3,FALSE),1))),0))</f>
        <v>2</v>
      </c>
      <c r="K1238" s="2" t="str">
        <f>IF('Base S2'!D38="","",'Base S2'!D38)</f>
        <v>h</v>
      </c>
      <c r="L1238" s="2">
        <f t="shared" si="247"/>
        <v>1</v>
      </c>
      <c r="M1238" s="2">
        <f t="shared" si="248"/>
        <v>0</v>
      </c>
      <c r="N1238" s="2">
        <f t="shared" si="249"/>
        <v>1</v>
      </c>
      <c r="O1238" s="2">
        <f t="shared" si="250"/>
        <v>0</v>
      </c>
      <c r="P1238" s="112">
        <f t="shared" si="251"/>
        <v>2</v>
      </c>
      <c r="Q1238" s="112">
        <f t="shared" si="252"/>
        <v>0</v>
      </c>
      <c r="R1238" s="53"/>
      <c r="S1238" s="53" t="str">
        <f t="shared" si="253"/>
        <v>Base S2|Red Parallel - Season 2|137|Red</v>
      </c>
      <c r="T1238" s="57" t="str">
        <f>IF($S1238="","",IFERROR(VLOOKUP($S1238,'Pop Estimates (Non-#d)'!$N$2:$O$500,2,FALSE),""))</f>
        <v/>
      </c>
      <c r="U1238" s="57" t="str">
        <f t="shared" si="254"/>
        <v/>
      </c>
      <c r="V1238" s="53" t="str">
        <f t="shared" si="255"/>
        <v/>
      </c>
      <c r="W1238" s="53" t="str">
        <f t="shared" si="256"/>
        <v/>
      </c>
      <c r="X1238" s="53" t="str">
        <f t="shared" si="257"/>
        <v/>
      </c>
      <c r="Y1238" s="57" t="str">
        <f>IF($X1238="","",IFERROR(VLOOKUP($X1238,'Char Popularity'!$A$2:$C$500,2,FALSE),""))</f>
        <v/>
      </c>
      <c r="Z1238" s="56">
        <f>IF($X1238="",1,IFERROR(VLOOKUP($X1238,'Char Popularity'!$A$2:$C$500,3,FALSE),1))</f>
        <v>1</v>
      </c>
      <c r="AA1238" s="62">
        <f>IF($H1238&lt;&gt;"Y",0,(IF($F1238&lt;&gt;"",ROUND(Dashboard!$R$4/$F1238,1),IF(AND($I1238="Base",$E1238="Base"),Dashboard!$R$5,IF(AND($I1238="Base",$E1238="Red"),Dashboard!$R$6,IF(AND($I1238="Base",$E1238="Gold"),Dashboard!$R$7,VLOOKUP($I1238,Dashboard!$Q$16:$R$21,2,FALSE)))))*VLOOKUP($I1238,Dashboard!$Q$9:$R$13,2,FALSE)*IF(AND($I1238="Auto",$F1238="",OR($B1238="Autographs Duals",$B1238="Autographs Triples",$B1238="Autographs Quads",$B1238="Autographs Quads (Inscribed)")),IF($B1238="Autographs Duals",2,IF($B1238="Autographs Triples",3,4)),1)))</f>
        <v>2</v>
      </c>
      <c r="AB1238" s="62">
        <f t="shared" si="258"/>
        <v>2</v>
      </c>
      <c r="AC1238" s="62">
        <f t="shared" si="259"/>
        <v>0</v>
      </c>
    </row>
    <row r="1239" spans="1:29" ht="28.7" customHeight="1" x14ac:dyDescent="0.25">
      <c r="A1239" s="4" t="s">
        <v>19</v>
      </c>
      <c r="B1239" s="7" t="s">
        <v>75</v>
      </c>
      <c r="C1239" s="2" t="s">
        <v>1537</v>
      </c>
      <c r="D1239" s="7" t="s">
        <v>1104</v>
      </c>
      <c r="E1239" s="4" t="s">
        <v>823</v>
      </c>
      <c r="F1239" s="2"/>
      <c r="G1239" s="2" t="s">
        <v>1399</v>
      </c>
      <c r="H1239" s="2" t="s">
        <v>1400</v>
      </c>
      <c r="I1239" s="4" t="s">
        <v>60</v>
      </c>
      <c r="J1239" s="112">
        <f>IF($H1239&lt;&gt;"Y",0,ROUND(MIN(Dashboard!$R$24,IF(IFERROR(VLOOKUP($B1239,Dashboard!$Q$28:$S$60,2,FALSE),0)&gt;0,IFERROR(VLOOKUP($B1239,Dashboard!$Q$28:$S$60,2,FALSE),0),$Z1239*IF($U1239&lt;&gt;"",ROUND((Dashboard!$R$4/$U1239)*VLOOKUP($I1239,Dashboard!$Q$9:$R$13,2,FALSE)*IF(ISNUMBER(SEARCH("Duals",$B1239)),2,IF(ISNUMBER(SEARCH("Triples",$B1239)),3,IF(ISNUMBER(SEARCH("Quads",$B1239)),4,1))),2),ROUND(VLOOKUP($I1239,Dashboard!$Q$15:$R$20,2,FALSE)*IF($E1239="Red",Dashboard!$R$6,IF($E1239="Gold",Dashboard!$R$7,Dashboard!$R$5))*IF(ISNUMBER(SEARCH("Duals",$B1239)),2,IF(ISNUMBER(SEARCH("Triples",$B1239)),3,IF(ISNUMBER(SEARCH("Quads",$B1239)),4,1))),2))*IF(IFERROR(VLOOKUP($B1239,Dashboard!$Q$28:$S$60,3,FALSE),0)&gt;0,VLOOKUP($B1239,Dashboard!$Q$28:$S$60,3,FALSE),1))),0))</f>
        <v>2</v>
      </c>
      <c r="K1239" s="2" t="str">
        <f>IF('Base S2'!D39="","",'Base S2'!D39)</f>
        <v>h</v>
      </c>
      <c r="L1239" s="2">
        <f t="shared" si="247"/>
        <v>1</v>
      </c>
      <c r="M1239" s="2">
        <f t="shared" si="248"/>
        <v>0</v>
      </c>
      <c r="N1239" s="2">
        <f t="shared" si="249"/>
        <v>1</v>
      </c>
      <c r="O1239" s="2">
        <f t="shared" si="250"/>
        <v>0</v>
      </c>
      <c r="P1239" s="112">
        <f t="shared" si="251"/>
        <v>2</v>
      </c>
      <c r="Q1239" s="112">
        <f t="shared" si="252"/>
        <v>0</v>
      </c>
      <c r="R1239" s="53"/>
      <c r="S1239" s="53" t="str">
        <f t="shared" si="253"/>
        <v>Base S2|Red Parallel - Season 2|138|Red</v>
      </c>
      <c r="T1239" s="57" t="str">
        <f>IF($S1239="","",IFERROR(VLOOKUP($S1239,'Pop Estimates (Non-#d)'!$N$2:$O$500,2,FALSE),""))</f>
        <v/>
      </c>
      <c r="U1239" s="57" t="str">
        <f t="shared" si="254"/>
        <v/>
      </c>
      <c r="V1239" s="53" t="str">
        <f t="shared" si="255"/>
        <v/>
      </c>
      <c r="W1239" s="53" t="str">
        <f t="shared" si="256"/>
        <v/>
      </c>
      <c r="X1239" s="53" t="str">
        <f t="shared" si="257"/>
        <v/>
      </c>
      <c r="Y1239" s="57" t="str">
        <f>IF($X1239="","",IFERROR(VLOOKUP($X1239,'Char Popularity'!$A$2:$C$500,2,FALSE),""))</f>
        <v/>
      </c>
      <c r="Z1239" s="56">
        <f>IF($X1239="",1,IFERROR(VLOOKUP($X1239,'Char Popularity'!$A$2:$C$500,3,FALSE),1))</f>
        <v>1</v>
      </c>
      <c r="AA1239" s="62">
        <f>IF($H1239&lt;&gt;"Y",0,(IF($F1239&lt;&gt;"",ROUND(Dashboard!$R$4/$F1239,1),IF(AND($I1239="Base",$E1239="Base"),Dashboard!$R$5,IF(AND($I1239="Base",$E1239="Red"),Dashboard!$R$6,IF(AND($I1239="Base",$E1239="Gold"),Dashboard!$R$7,VLOOKUP($I1239,Dashboard!$Q$16:$R$21,2,FALSE)))))*VLOOKUP($I1239,Dashboard!$Q$9:$R$13,2,FALSE)*IF(AND($I1239="Auto",$F1239="",OR($B1239="Autographs Duals",$B1239="Autographs Triples",$B1239="Autographs Quads",$B1239="Autographs Quads (Inscribed)")),IF($B1239="Autographs Duals",2,IF($B1239="Autographs Triples",3,4)),1)))</f>
        <v>2</v>
      </c>
      <c r="AB1239" s="62">
        <f t="shared" si="258"/>
        <v>2</v>
      </c>
      <c r="AC1239" s="62">
        <f t="shared" si="259"/>
        <v>0</v>
      </c>
    </row>
    <row r="1240" spans="1:29" ht="28.7" customHeight="1" x14ac:dyDescent="0.25">
      <c r="A1240" s="4" t="s">
        <v>19</v>
      </c>
      <c r="B1240" s="7" t="s">
        <v>75</v>
      </c>
      <c r="C1240" s="2" t="s">
        <v>1538</v>
      </c>
      <c r="D1240" s="7" t="s">
        <v>1106</v>
      </c>
      <c r="E1240" s="4" t="s">
        <v>823</v>
      </c>
      <c r="F1240" s="2"/>
      <c r="G1240" s="2" t="s">
        <v>1399</v>
      </c>
      <c r="H1240" s="2" t="s">
        <v>1400</v>
      </c>
      <c r="I1240" s="4" t="s">
        <v>60</v>
      </c>
      <c r="J1240" s="112">
        <f>IF($H1240&lt;&gt;"Y",0,ROUND(MIN(Dashboard!$R$24,IF(IFERROR(VLOOKUP($B1240,Dashboard!$Q$28:$S$60,2,FALSE),0)&gt;0,IFERROR(VLOOKUP($B1240,Dashboard!$Q$28:$S$60,2,FALSE),0),$Z1240*IF($U1240&lt;&gt;"",ROUND((Dashboard!$R$4/$U1240)*VLOOKUP($I1240,Dashboard!$Q$9:$R$13,2,FALSE)*IF(ISNUMBER(SEARCH("Duals",$B1240)),2,IF(ISNUMBER(SEARCH("Triples",$B1240)),3,IF(ISNUMBER(SEARCH("Quads",$B1240)),4,1))),2),ROUND(VLOOKUP($I1240,Dashboard!$Q$15:$R$20,2,FALSE)*IF($E1240="Red",Dashboard!$R$6,IF($E1240="Gold",Dashboard!$R$7,Dashboard!$R$5))*IF(ISNUMBER(SEARCH("Duals",$B1240)),2,IF(ISNUMBER(SEARCH("Triples",$B1240)),3,IF(ISNUMBER(SEARCH("Quads",$B1240)),4,1))),2))*IF(IFERROR(VLOOKUP($B1240,Dashboard!$Q$28:$S$60,3,FALSE),0)&gt;0,VLOOKUP($B1240,Dashboard!$Q$28:$S$60,3,FALSE),1))),0))</f>
        <v>2</v>
      </c>
      <c r="K1240" s="2" t="str">
        <f>IF('Base S2'!D40="","",'Base S2'!D40)</f>
        <v>h</v>
      </c>
      <c r="L1240" s="2">
        <f t="shared" si="247"/>
        <v>1</v>
      </c>
      <c r="M1240" s="2">
        <f t="shared" si="248"/>
        <v>0</v>
      </c>
      <c r="N1240" s="2">
        <f t="shared" si="249"/>
        <v>1</v>
      </c>
      <c r="O1240" s="2">
        <f t="shared" si="250"/>
        <v>0</v>
      </c>
      <c r="P1240" s="112">
        <f t="shared" si="251"/>
        <v>2</v>
      </c>
      <c r="Q1240" s="112">
        <f t="shared" si="252"/>
        <v>0</v>
      </c>
      <c r="R1240" s="53"/>
      <c r="S1240" s="53" t="str">
        <f t="shared" si="253"/>
        <v>Base S2|Red Parallel - Season 2|139|Red</v>
      </c>
      <c r="T1240" s="57" t="str">
        <f>IF($S1240="","",IFERROR(VLOOKUP($S1240,'Pop Estimates (Non-#d)'!$N$2:$O$500,2,FALSE),""))</f>
        <v/>
      </c>
      <c r="U1240" s="57" t="str">
        <f t="shared" si="254"/>
        <v/>
      </c>
      <c r="V1240" s="53" t="str">
        <f t="shared" si="255"/>
        <v/>
      </c>
      <c r="W1240" s="53" t="str">
        <f t="shared" si="256"/>
        <v/>
      </c>
      <c r="X1240" s="53" t="str">
        <f t="shared" si="257"/>
        <v/>
      </c>
      <c r="Y1240" s="57" t="str">
        <f>IF($X1240="","",IFERROR(VLOOKUP($X1240,'Char Popularity'!$A$2:$C$500,2,FALSE),""))</f>
        <v/>
      </c>
      <c r="Z1240" s="56">
        <f>IF($X1240="",1,IFERROR(VLOOKUP($X1240,'Char Popularity'!$A$2:$C$500,3,FALSE),1))</f>
        <v>1</v>
      </c>
      <c r="AA1240" s="62">
        <f>IF($H1240&lt;&gt;"Y",0,(IF($F1240&lt;&gt;"",ROUND(Dashboard!$R$4/$F1240,1),IF(AND($I1240="Base",$E1240="Base"),Dashboard!$R$5,IF(AND($I1240="Base",$E1240="Red"),Dashboard!$R$6,IF(AND($I1240="Base",$E1240="Gold"),Dashboard!$R$7,VLOOKUP($I1240,Dashboard!$Q$16:$R$21,2,FALSE)))))*VLOOKUP($I1240,Dashboard!$Q$9:$R$13,2,FALSE)*IF(AND($I1240="Auto",$F1240="",OR($B1240="Autographs Duals",$B1240="Autographs Triples",$B1240="Autographs Quads",$B1240="Autographs Quads (Inscribed)")),IF($B1240="Autographs Duals",2,IF($B1240="Autographs Triples",3,4)),1)))</f>
        <v>2</v>
      </c>
      <c r="AB1240" s="62">
        <f t="shared" si="258"/>
        <v>2</v>
      </c>
      <c r="AC1240" s="62">
        <f t="shared" si="259"/>
        <v>0</v>
      </c>
    </row>
    <row r="1241" spans="1:29" ht="28.7" customHeight="1" x14ac:dyDescent="0.25">
      <c r="A1241" s="4" t="s">
        <v>19</v>
      </c>
      <c r="B1241" s="7" t="s">
        <v>75</v>
      </c>
      <c r="C1241" s="2" t="s">
        <v>1539</v>
      </c>
      <c r="D1241" s="7" t="s">
        <v>1108</v>
      </c>
      <c r="E1241" s="4" t="s">
        <v>823</v>
      </c>
      <c r="F1241" s="2"/>
      <c r="G1241" s="2" t="s">
        <v>1399</v>
      </c>
      <c r="H1241" s="2" t="s">
        <v>1400</v>
      </c>
      <c r="I1241" s="4" t="s">
        <v>60</v>
      </c>
      <c r="J1241" s="112">
        <f>IF($H1241&lt;&gt;"Y",0,ROUND(MIN(Dashboard!$R$24,IF(IFERROR(VLOOKUP($B1241,Dashboard!$Q$28:$S$60,2,FALSE),0)&gt;0,IFERROR(VLOOKUP($B1241,Dashboard!$Q$28:$S$60,2,FALSE),0),$Z1241*IF($U1241&lt;&gt;"",ROUND((Dashboard!$R$4/$U1241)*VLOOKUP($I1241,Dashboard!$Q$9:$R$13,2,FALSE)*IF(ISNUMBER(SEARCH("Duals",$B1241)),2,IF(ISNUMBER(SEARCH("Triples",$B1241)),3,IF(ISNUMBER(SEARCH("Quads",$B1241)),4,1))),2),ROUND(VLOOKUP($I1241,Dashboard!$Q$15:$R$20,2,FALSE)*IF($E1241="Red",Dashboard!$R$6,IF($E1241="Gold",Dashboard!$R$7,Dashboard!$R$5))*IF(ISNUMBER(SEARCH("Duals",$B1241)),2,IF(ISNUMBER(SEARCH("Triples",$B1241)),3,IF(ISNUMBER(SEARCH("Quads",$B1241)),4,1))),2))*IF(IFERROR(VLOOKUP($B1241,Dashboard!$Q$28:$S$60,3,FALSE),0)&gt;0,VLOOKUP($B1241,Dashboard!$Q$28:$S$60,3,FALSE),1))),0))</f>
        <v>2</v>
      </c>
      <c r="K1241" s="2" t="str">
        <f>IF('Base S2'!D41="","",'Base S2'!D41)</f>
        <v>h</v>
      </c>
      <c r="L1241" s="2">
        <f t="shared" si="247"/>
        <v>1</v>
      </c>
      <c r="M1241" s="2">
        <f t="shared" si="248"/>
        <v>0</v>
      </c>
      <c r="N1241" s="2">
        <f t="shared" si="249"/>
        <v>1</v>
      </c>
      <c r="O1241" s="2">
        <f t="shared" si="250"/>
        <v>0</v>
      </c>
      <c r="P1241" s="112">
        <f t="shared" si="251"/>
        <v>2</v>
      </c>
      <c r="Q1241" s="112">
        <f t="shared" si="252"/>
        <v>0</v>
      </c>
      <c r="R1241" s="53"/>
      <c r="S1241" s="53" t="str">
        <f t="shared" si="253"/>
        <v>Base S2|Red Parallel - Season 2|140|Red</v>
      </c>
      <c r="T1241" s="57" t="str">
        <f>IF($S1241="","",IFERROR(VLOOKUP($S1241,'Pop Estimates (Non-#d)'!$N$2:$O$500,2,FALSE),""))</f>
        <v/>
      </c>
      <c r="U1241" s="57" t="str">
        <f t="shared" si="254"/>
        <v/>
      </c>
      <c r="V1241" s="53" t="str">
        <f t="shared" si="255"/>
        <v/>
      </c>
      <c r="W1241" s="53" t="str">
        <f t="shared" si="256"/>
        <v/>
      </c>
      <c r="X1241" s="53" t="str">
        <f t="shared" si="257"/>
        <v/>
      </c>
      <c r="Y1241" s="57" t="str">
        <f>IF($X1241="","",IFERROR(VLOOKUP($X1241,'Char Popularity'!$A$2:$C$500,2,FALSE),""))</f>
        <v/>
      </c>
      <c r="Z1241" s="56">
        <f>IF($X1241="",1,IFERROR(VLOOKUP($X1241,'Char Popularity'!$A$2:$C$500,3,FALSE),1))</f>
        <v>1</v>
      </c>
      <c r="AA1241" s="62">
        <f>IF($H1241&lt;&gt;"Y",0,(IF($F1241&lt;&gt;"",ROUND(Dashboard!$R$4/$F1241,1),IF(AND($I1241="Base",$E1241="Base"),Dashboard!$R$5,IF(AND($I1241="Base",$E1241="Red"),Dashboard!$R$6,IF(AND($I1241="Base",$E1241="Gold"),Dashboard!$R$7,VLOOKUP($I1241,Dashboard!$Q$16:$R$21,2,FALSE)))))*VLOOKUP($I1241,Dashboard!$Q$9:$R$13,2,FALSE)*IF(AND($I1241="Auto",$F1241="",OR($B1241="Autographs Duals",$B1241="Autographs Triples",$B1241="Autographs Quads",$B1241="Autographs Quads (Inscribed)")),IF($B1241="Autographs Duals",2,IF($B1241="Autographs Triples",3,4)),1)))</f>
        <v>2</v>
      </c>
      <c r="AB1241" s="62">
        <f t="shared" si="258"/>
        <v>2</v>
      </c>
      <c r="AC1241" s="62">
        <f t="shared" si="259"/>
        <v>0</v>
      </c>
    </row>
    <row r="1242" spans="1:29" ht="28.7" customHeight="1" x14ac:dyDescent="0.25">
      <c r="A1242" s="4" t="s">
        <v>19</v>
      </c>
      <c r="B1242" s="7" t="s">
        <v>75</v>
      </c>
      <c r="C1242" s="2" t="s">
        <v>1540</v>
      </c>
      <c r="D1242" s="7" t="s">
        <v>1109</v>
      </c>
      <c r="E1242" s="4" t="s">
        <v>823</v>
      </c>
      <c r="F1242" s="2"/>
      <c r="G1242" s="2" t="s">
        <v>1399</v>
      </c>
      <c r="H1242" s="2" t="s">
        <v>1400</v>
      </c>
      <c r="I1242" s="4" t="s">
        <v>60</v>
      </c>
      <c r="J1242" s="112">
        <f>IF($H1242&lt;&gt;"Y",0,ROUND(MIN(Dashboard!$R$24,IF(IFERROR(VLOOKUP($B1242,Dashboard!$Q$28:$S$60,2,FALSE),0)&gt;0,IFERROR(VLOOKUP($B1242,Dashboard!$Q$28:$S$60,2,FALSE),0),$Z1242*IF($U1242&lt;&gt;"",ROUND((Dashboard!$R$4/$U1242)*VLOOKUP($I1242,Dashboard!$Q$9:$R$13,2,FALSE)*IF(ISNUMBER(SEARCH("Duals",$B1242)),2,IF(ISNUMBER(SEARCH("Triples",$B1242)),3,IF(ISNUMBER(SEARCH("Quads",$B1242)),4,1))),2),ROUND(VLOOKUP($I1242,Dashboard!$Q$15:$R$20,2,FALSE)*IF($E1242="Red",Dashboard!$R$6,IF($E1242="Gold",Dashboard!$R$7,Dashboard!$R$5))*IF(ISNUMBER(SEARCH("Duals",$B1242)),2,IF(ISNUMBER(SEARCH("Triples",$B1242)),3,IF(ISNUMBER(SEARCH("Quads",$B1242)),4,1))),2))*IF(IFERROR(VLOOKUP($B1242,Dashboard!$Q$28:$S$60,3,FALSE),0)&gt;0,VLOOKUP($B1242,Dashboard!$Q$28:$S$60,3,FALSE),1))),0))</f>
        <v>2</v>
      </c>
      <c r="K1242" s="2" t="str">
        <f>IF('Base S2'!D42="","",'Base S2'!D42)</f>
        <v>h</v>
      </c>
      <c r="L1242" s="2">
        <f t="shared" si="247"/>
        <v>1</v>
      </c>
      <c r="M1242" s="2">
        <f t="shared" si="248"/>
        <v>0</v>
      </c>
      <c r="N1242" s="2">
        <f t="shared" si="249"/>
        <v>1</v>
      </c>
      <c r="O1242" s="2">
        <f t="shared" si="250"/>
        <v>0</v>
      </c>
      <c r="P1242" s="112">
        <f t="shared" si="251"/>
        <v>2</v>
      </c>
      <c r="Q1242" s="112">
        <f t="shared" si="252"/>
        <v>0</v>
      </c>
      <c r="R1242" s="53"/>
      <c r="S1242" s="53" t="str">
        <f t="shared" si="253"/>
        <v>Base S2|Red Parallel - Season 2|141|Red</v>
      </c>
      <c r="T1242" s="57" t="str">
        <f>IF($S1242="","",IFERROR(VLOOKUP($S1242,'Pop Estimates (Non-#d)'!$N$2:$O$500,2,FALSE),""))</f>
        <v/>
      </c>
      <c r="U1242" s="57" t="str">
        <f t="shared" si="254"/>
        <v/>
      </c>
      <c r="V1242" s="53" t="str">
        <f t="shared" si="255"/>
        <v/>
      </c>
      <c r="W1242" s="53" t="str">
        <f t="shared" si="256"/>
        <v/>
      </c>
      <c r="X1242" s="53" t="str">
        <f t="shared" si="257"/>
        <v/>
      </c>
      <c r="Y1242" s="57" t="str">
        <f>IF($X1242="","",IFERROR(VLOOKUP($X1242,'Char Popularity'!$A$2:$C$500,2,FALSE),""))</f>
        <v/>
      </c>
      <c r="Z1242" s="56">
        <f>IF($X1242="",1,IFERROR(VLOOKUP($X1242,'Char Popularity'!$A$2:$C$500,3,FALSE),1))</f>
        <v>1</v>
      </c>
      <c r="AA1242" s="62">
        <f>IF($H1242&lt;&gt;"Y",0,(IF($F1242&lt;&gt;"",ROUND(Dashboard!$R$4/$F1242,1),IF(AND($I1242="Base",$E1242="Base"),Dashboard!$R$5,IF(AND($I1242="Base",$E1242="Red"),Dashboard!$R$6,IF(AND($I1242="Base",$E1242="Gold"),Dashboard!$R$7,VLOOKUP($I1242,Dashboard!$Q$16:$R$21,2,FALSE)))))*VLOOKUP($I1242,Dashboard!$Q$9:$R$13,2,FALSE)*IF(AND($I1242="Auto",$F1242="",OR($B1242="Autographs Duals",$B1242="Autographs Triples",$B1242="Autographs Quads",$B1242="Autographs Quads (Inscribed)")),IF($B1242="Autographs Duals",2,IF($B1242="Autographs Triples",3,4)),1)))</f>
        <v>2</v>
      </c>
      <c r="AB1242" s="62">
        <f t="shared" si="258"/>
        <v>2</v>
      </c>
      <c r="AC1242" s="62">
        <f t="shared" si="259"/>
        <v>0</v>
      </c>
    </row>
    <row r="1243" spans="1:29" ht="28.7" customHeight="1" x14ac:dyDescent="0.25">
      <c r="A1243" s="4" t="s">
        <v>19</v>
      </c>
      <c r="B1243" s="7" t="s">
        <v>75</v>
      </c>
      <c r="C1243" s="2" t="s">
        <v>1541</v>
      </c>
      <c r="D1243" s="7" t="s">
        <v>1110</v>
      </c>
      <c r="E1243" s="4" t="s">
        <v>823</v>
      </c>
      <c r="F1243" s="2"/>
      <c r="G1243" s="2" t="s">
        <v>1399</v>
      </c>
      <c r="H1243" s="2" t="s">
        <v>1400</v>
      </c>
      <c r="I1243" s="4" t="s">
        <v>60</v>
      </c>
      <c r="J1243" s="112">
        <f>IF($H1243&lt;&gt;"Y",0,ROUND(MIN(Dashboard!$R$24,IF(IFERROR(VLOOKUP($B1243,Dashboard!$Q$28:$S$60,2,FALSE),0)&gt;0,IFERROR(VLOOKUP($B1243,Dashboard!$Q$28:$S$60,2,FALSE),0),$Z1243*IF($U1243&lt;&gt;"",ROUND((Dashboard!$R$4/$U1243)*VLOOKUP($I1243,Dashboard!$Q$9:$R$13,2,FALSE)*IF(ISNUMBER(SEARCH("Duals",$B1243)),2,IF(ISNUMBER(SEARCH("Triples",$B1243)),3,IF(ISNUMBER(SEARCH("Quads",$B1243)),4,1))),2),ROUND(VLOOKUP($I1243,Dashboard!$Q$15:$R$20,2,FALSE)*IF($E1243="Red",Dashboard!$R$6,IF($E1243="Gold",Dashboard!$R$7,Dashboard!$R$5))*IF(ISNUMBER(SEARCH("Duals",$B1243)),2,IF(ISNUMBER(SEARCH("Triples",$B1243)),3,IF(ISNUMBER(SEARCH("Quads",$B1243)),4,1))),2))*IF(IFERROR(VLOOKUP($B1243,Dashboard!$Q$28:$S$60,3,FALSE),0)&gt;0,VLOOKUP($B1243,Dashboard!$Q$28:$S$60,3,FALSE),1))),0))</f>
        <v>2</v>
      </c>
      <c r="K1243" s="2" t="str">
        <f>IF('Base S2'!D43="","",'Base S2'!D43)</f>
        <v>h</v>
      </c>
      <c r="L1243" s="2">
        <f t="shared" si="247"/>
        <v>1</v>
      </c>
      <c r="M1243" s="2">
        <f t="shared" si="248"/>
        <v>0</v>
      </c>
      <c r="N1243" s="2">
        <f t="shared" si="249"/>
        <v>1</v>
      </c>
      <c r="O1243" s="2">
        <f t="shared" si="250"/>
        <v>0</v>
      </c>
      <c r="P1243" s="112">
        <f t="shared" si="251"/>
        <v>2</v>
      </c>
      <c r="Q1243" s="112">
        <f t="shared" si="252"/>
        <v>0</v>
      </c>
      <c r="R1243" s="53"/>
      <c r="S1243" s="53" t="str">
        <f t="shared" si="253"/>
        <v>Base S2|Red Parallel - Season 2|142|Red</v>
      </c>
      <c r="T1243" s="57" t="str">
        <f>IF($S1243="","",IFERROR(VLOOKUP($S1243,'Pop Estimates (Non-#d)'!$N$2:$O$500,2,FALSE),""))</f>
        <v/>
      </c>
      <c r="U1243" s="57" t="str">
        <f t="shared" si="254"/>
        <v/>
      </c>
      <c r="V1243" s="53" t="str">
        <f t="shared" si="255"/>
        <v/>
      </c>
      <c r="W1243" s="53" t="str">
        <f t="shared" si="256"/>
        <v/>
      </c>
      <c r="X1243" s="53" t="str">
        <f t="shared" si="257"/>
        <v/>
      </c>
      <c r="Y1243" s="57" t="str">
        <f>IF($X1243="","",IFERROR(VLOOKUP($X1243,'Char Popularity'!$A$2:$C$500,2,FALSE),""))</f>
        <v/>
      </c>
      <c r="Z1243" s="56">
        <f>IF($X1243="",1,IFERROR(VLOOKUP($X1243,'Char Popularity'!$A$2:$C$500,3,FALSE),1))</f>
        <v>1</v>
      </c>
      <c r="AA1243" s="62">
        <f>IF($H1243&lt;&gt;"Y",0,(IF($F1243&lt;&gt;"",ROUND(Dashboard!$R$4/$F1243,1),IF(AND($I1243="Base",$E1243="Base"),Dashboard!$R$5,IF(AND($I1243="Base",$E1243="Red"),Dashboard!$R$6,IF(AND($I1243="Base",$E1243="Gold"),Dashboard!$R$7,VLOOKUP($I1243,Dashboard!$Q$16:$R$21,2,FALSE)))))*VLOOKUP($I1243,Dashboard!$Q$9:$R$13,2,FALSE)*IF(AND($I1243="Auto",$F1243="",OR($B1243="Autographs Duals",$B1243="Autographs Triples",$B1243="Autographs Quads",$B1243="Autographs Quads (Inscribed)")),IF($B1243="Autographs Duals",2,IF($B1243="Autographs Triples",3,4)),1)))</f>
        <v>2</v>
      </c>
      <c r="AB1243" s="62">
        <f t="shared" si="258"/>
        <v>2</v>
      </c>
      <c r="AC1243" s="62">
        <f t="shared" si="259"/>
        <v>0</v>
      </c>
    </row>
    <row r="1244" spans="1:29" ht="28.7" customHeight="1" x14ac:dyDescent="0.25">
      <c r="A1244" s="4" t="s">
        <v>19</v>
      </c>
      <c r="B1244" s="7" t="s">
        <v>75</v>
      </c>
      <c r="C1244" s="2" t="s">
        <v>1542</v>
      </c>
      <c r="D1244" s="7" t="s">
        <v>1111</v>
      </c>
      <c r="E1244" s="4" t="s">
        <v>823</v>
      </c>
      <c r="F1244" s="2"/>
      <c r="G1244" s="2" t="s">
        <v>1399</v>
      </c>
      <c r="H1244" s="2" t="s">
        <v>1400</v>
      </c>
      <c r="I1244" s="4" t="s">
        <v>60</v>
      </c>
      <c r="J1244" s="112">
        <f>IF($H1244&lt;&gt;"Y",0,ROUND(MIN(Dashboard!$R$24,IF(IFERROR(VLOOKUP($B1244,Dashboard!$Q$28:$S$60,2,FALSE),0)&gt;0,IFERROR(VLOOKUP($B1244,Dashboard!$Q$28:$S$60,2,FALSE),0),$Z1244*IF($U1244&lt;&gt;"",ROUND((Dashboard!$R$4/$U1244)*VLOOKUP($I1244,Dashboard!$Q$9:$R$13,2,FALSE)*IF(ISNUMBER(SEARCH("Duals",$B1244)),2,IF(ISNUMBER(SEARCH("Triples",$B1244)),3,IF(ISNUMBER(SEARCH("Quads",$B1244)),4,1))),2),ROUND(VLOOKUP($I1244,Dashboard!$Q$15:$R$20,2,FALSE)*IF($E1244="Red",Dashboard!$R$6,IF($E1244="Gold",Dashboard!$R$7,Dashboard!$R$5))*IF(ISNUMBER(SEARCH("Duals",$B1244)),2,IF(ISNUMBER(SEARCH("Triples",$B1244)),3,IF(ISNUMBER(SEARCH("Quads",$B1244)),4,1))),2))*IF(IFERROR(VLOOKUP($B1244,Dashboard!$Q$28:$S$60,3,FALSE),0)&gt;0,VLOOKUP($B1244,Dashboard!$Q$28:$S$60,3,FALSE),1))),0))</f>
        <v>2</v>
      </c>
      <c r="K1244" s="2" t="str">
        <f>IF('Base S2'!D44="","",'Base S2'!D44)</f>
        <v>h</v>
      </c>
      <c r="L1244" s="2">
        <f t="shared" si="247"/>
        <v>1</v>
      </c>
      <c r="M1244" s="2">
        <f t="shared" si="248"/>
        <v>0</v>
      </c>
      <c r="N1244" s="2">
        <f t="shared" si="249"/>
        <v>1</v>
      </c>
      <c r="O1244" s="2">
        <f t="shared" si="250"/>
        <v>0</v>
      </c>
      <c r="P1244" s="112">
        <f t="shared" si="251"/>
        <v>2</v>
      </c>
      <c r="Q1244" s="112">
        <f t="shared" si="252"/>
        <v>0</v>
      </c>
      <c r="R1244" s="53"/>
      <c r="S1244" s="53" t="str">
        <f t="shared" si="253"/>
        <v>Base S2|Red Parallel - Season 2|143|Red</v>
      </c>
      <c r="T1244" s="57" t="str">
        <f>IF($S1244="","",IFERROR(VLOOKUP($S1244,'Pop Estimates (Non-#d)'!$N$2:$O$500,2,FALSE),""))</f>
        <v/>
      </c>
      <c r="U1244" s="57" t="str">
        <f t="shared" si="254"/>
        <v/>
      </c>
      <c r="V1244" s="53" t="str">
        <f t="shared" si="255"/>
        <v/>
      </c>
      <c r="W1244" s="53" t="str">
        <f t="shared" si="256"/>
        <v/>
      </c>
      <c r="X1244" s="53" t="str">
        <f t="shared" si="257"/>
        <v/>
      </c>
      <c r="Y1244" s="57" t="str">
        <f>IF($X1244="","",IFERROR(VLOOKUP($X1244,'Char Popularity'!$A$2:$C$500,2,FALSE),""))</f>
        <v/>
      </c>
      <c r="Z1244" s="56">
        <f>IF($X1244="",1,IFERROR(VLOOKUP($X1244,'Char Popularity'!$A$2:$C$500,3,FALSE),1))</f>
        <v>1</v>
      </c>
      <c r="AA1244" s="62">
        <f>IF($H1244&lt;&gt;"Y",0,(IF($F1244&lt;&gt;"",ROUND(Dashboard!$R$4/$F1244,1),IF(AND($I1244="Base",$E1244="Base"),Dashboard!$R$5,IF(AND($I1244="Base",$E1244="Red"),Dashboard!$R$6,IF(AND($I1244="Base",$E1244="Gold"),Dashboard!$R$7,VLOOKUP($I1244,Dashboard!$Q$16:$R$21,2,FALSE)))))*VLOOKUP($I1244,Dashboard!$Q$9:$R$13,2,FALSE)*IF(AND($I1244="Auto",$F1244="",OR($B1244="Autographs Duals",$B1244="Autographs Triples",$B1244="Autographs Quads",$B1244="Autographs Quads (Inscribed)")),IF($B1244="Autographs Duals",2,IF($B1244="Autographs Triples",3,4)),1)))</f>
        <v>2</v>
      </c>
      <c r="AB1244" s="62">
        <f t="shared" si="258"/>
        <v>2</v>
      </c>
      <c r="AC1244" s="62">
        <f t="shared" si="259"/>
        <v>0</v>
      </c>
    </row>
    <row r="1245" spans="1:29" ht="28.7" customHeight="1" x14ac:dyDescent="0.25">
      <c r="A1245" s="4" t="s">
        <v>19</v>
      </c>
      <c r="B1245" s="7" t="s">
        <v>75</v>
      </c>
      <c r="C1245" s="2" t="s">
        <v>1543</v>
      </c>
      <c r="D1245" s="7" t="s">
        <v>1113</v>
      </c>
      <c r="E1245" s="4" t="s">
        <v>823</v>
      </c>
      <c r="F1245" s="2"/>
      <c r="G1245" s="2" t="s">
        <v>1399</v>
      </c>
      <c r="H1245" s="2" t="s">
        <v>1400</v>
      </c>
      <c r="I1245" s="4" t="s">
        <v>60</v>
      </c>
      <c r="J1245" s="112">
        <f>IF($H1245&lt;&gt;"Y",0,ROUND(MIN(Dashboard!$R$24,IF(IFERROR(VLOOKUP($B1245,Dashboard!$Q$28:$S$60,2,FALSE),0)&gt;0,IFERROR(VLOOKUP($B1245,Dashboard!$Q$28:$S$60,2,FALSE),0),$Z1245*IF($U1245&lt;&gt;"",ROUND((Dashboard!$R$4/$U1245)*VLOOKUP($I1245,Dashboard!$Q$9:$R$13,2,FALSE)*IF(ISNUMBER(SEARCH("Duals",$B1245)),2,IF(ISNUMBER(SEARCH("Triples",$B1245)),3,IF(ISNUMBER(SEARCH("Quads",$B1245)),4,1))),2),ROUND(VLOOKUP($I1245,Dashboard!$Q$15:$R$20,2,FALSE)*IF($E1245="Red",Dashboard!$R$6,IF($E1245="Gold",Dashboard!$R$7,Dashboard!$R$5))*IF(ISNUMBER(SEARCH("Duals",$B1245)),2,IF(ISNUMBER(SEARCH("Triples",$B1245)),3,IF(ISNUMBER(SEARCH("Quads",$B1245)),4,1))),2))*IF(IFERROR(VLOOKUP($B1245,Dashboard!$Q$28:$S$60,3,FALSE),0)&gt;0,VLOOKUP($B1245,Dashboard!$Q$28:$S$60,3,FALSE),1))),0))</f>
        <v>2</v>
      </c>
      <c r="K1245" s="2" t="str">
        <f>IF('Base S2'!D45="","",'Base S2'!D45)</f>
        <v>h</v>
      </c>
      <c r="L1245" s="2">
        <f t="shared" si="247"/>
        <v>1</v>
      </c>
      <c r="M1245" s="2">
        <f t="shared" si="248"/>
        <v>0</v>
      </c>
      <c r="N1245" s="2">
        <f t="shared" si="249"/>
        <v>1</v>
      </c>
      <c r="O1245" s="2">
        <f t="shared" si="250"/>
        <v>0</v>
      </c>
      <c r="P1245" s="112">
        <f t="shared" si="251"/>
        <v>2</v>
      </c>
      <c r="Q1245" s="112">
        <f t="shared" si="252"/>
        <v>0</v>
      </c>
      <c r="R1245" s="53"/>
      <c r="S1245" s="53" t="str">
        <f t="shared" si="253"/>
        <v>Base S2|Red Parallel - Season 2|144|Red</v>
      </c>
      <c r="T1245" s="57" t="str">
        <f>IF($S1245="","",IFERROR(VLOOKUP($S1245,'Pop Estimates (Non-#d)'!$N$2:$O$500,2,FALSE),""))</f>
        <v/>
      </c>
      <c r="U1245" s="57" t="str">
        <f t="shared" si="254"/>
        <v/>
      </c>
      <c r="V1245" s="53" t="str">
        <f t="shared" si="255"/>
        <v/>
      </c>
      <c r="W1245" s="53" t="str">
        <f t="shared" si="256"/>
        <v/>
      </c>
      <c r="X1245" s="53" t="str">
        <f t="shared" si="257"/>
        <v/>
      </c>
      <c r="Y1245" s="57" t="str">
        <f>IF($X1245="","",IFERROR(VLOOKUP($X1245,'Char Popularity'!$A$2:$C$500,2,FALSE),""))</f>
        <v/>
      </c>
      <c r="Z1245" s="56">
        <f>IF($X1245="",1,IFERROR(VLOOKUP($X1245,'Char Popularity'!$A$2:$C$500,3,FALSE),1))</f>
        <v>1</v>
      </c>
      <c r="AA1245" s="62">
        <f>IF($H1245&lt;&gt;"Y",0,(IF($F1245&lt;&gt;"",ROUND(Dashboard!$R$4/$F1245,1),IF(AND($I1245="Base",$E1245="Base"),Dashboard!$R$5,IF(AND($I1245="Base",$E1245="Red"),Dashboard!$R$6,IF(AND($I1245="Base",$E1245="Gold"),Dashboard!$R$7,VLOOKUP($I1245,Dashboard!$Q$16:$R$21,2,FALSE)))))*VLOOKUP($I1245,Dashboard!$Q$9:$R$13,2,FALSE)*IF(AND($I1245="Auto",$F1245="",OR($B1245="Autographs Duals",$B1245="Autographs Triples",$B1245="Autographs Quads",$B1245="Autographs Quads (Inscribed)")),IF($B1245="Autographs Duals",2,IF($B1245="Autographs Triples",3,4)),1)))</f>
        <v>2</v>
      </c>
      <c r="AB1245" s="62">
        <f t="shared" si="258"/>
        <v>2</v>
      </c>
      <c r="AC1245" s="62">
        <f t="shared" si="259"/>
        <v>0</v>
      </c>
    </row>
    <row r="1246" spans="1:29" ht="28.7" customHeight="1" x14ac:dyDescent="0.25">
      <c r="A1246" s="4" t="s">
        <v>19</v>
      </c>
      <c r="B1246" s="7" t="s">
        <v>75</v>
      </c>
      <c r="C1246" s="2" t="s">
        <v>1544</v>
      </c>
      <c r="D1246" s="7" t="s">
        <v>1114</v>
      </c>
      <c r="E1246" s="4" t="s">
        <v>823</v>
      </c>
      <c r="F1246" s="2"/>
      <c r="G1246" s="2" t="s">
        <v>1399</v>
      </c>
      <c r="H1246" s="2" t="s">
        <v>1400</v>
      </c>
      <c r="I1246" s="4" t="s">
        <v>60</v>
      </c>
      <c r="J1246" s="112">
        <f>IF($H1246&lt;&gt;"Y",0,ROUND(MIN(Dashboard!$R$24,IF(IFERROR(VLOOKUP($B1246,Dashboard!$Q$28:$S$60,2,FALSE),0)&gt;0,IFERROR(VLOOKUP($B1246,Dashboard!$Q$28:$S$60,2,FALSE),0),$Z1246*IF($U1246&lt;&gt;"",ROUND((Dashboard!$R$4/$U1246)*VLOOKUP($I1246,Dashboard!$Q$9:$R$13,2,FALSE)*IF(ISNUMBER(SEARCH("Duals",$B1246)),2,IF(ISNUMBER(SEARCH("Triples",$B1246)),3,IF(ISNUMBER(SEARCH("Quads",$B1246)),4,1))),2),ROUND(VLOOKUP($I1246,Dashboard!$Q$15:$R$20,2,FALSE)*IF($E1246="Red",Dashboard!$R$6,IF($E1246="Gold",Dashboard!$R$7,Dashboard!$R$5))*IF(ISNUMBER(SEARCH("Duals",$B1246)),2,IF(ISNUMBER(SEARCH("Triples",$B1246)),3,IF(ISNUMBER(SEARCH("Quads",$B1246)),4,1))),2))*IF(IFERROR(VLOOKUP($B1246,Dashboard!$Q$28:$S$60,3,FALSE),0)&gt;0,VLOOKUP($B1246,Dashboard!$Q$28:$S$60,3,FALSE),1))),0))</f>
        <v>2</v>
      </c>
      <c r="K1246" s="2" t="str">
        <f>IF('Base S2'!D46="","",'Base S2'!D46)</f>
        <v>h</v>
      </c>
      <c r="L1246" s="2">
        <f t="shared" si="247"/>
        <v>1</v>
      </c>
      <c r="M1246" s="2">
        <f t="shared" si="248"/>
        <v>0</v>
      </c>
      <c r="N1246" s="2">
        <f t="shared" si="249"/>
        <v>1</v>
      </c>
      <c r="O1246" s="2">
        <f t="shared" si="250"/>
        <v>0</v>
      </c>
      <c r="P1246" s="112">
        <f t="shared" si="251"/>
        <v>2</v>
      </c>
      <c r="Q1246" s="112">
        <f t="shared" si="252"/>
        <v>0</v>
      </c>
      <c r="R1246" s="53"/>
      <c r="S1246" s="53" t="str">
        <f t="shared" si="253"/>
        <v>Base S2|Red Parallel - Season 2|145|Red</v>
      </c>
      <c r="T1246" s="57" t="str">
        <f>IF($S1246="","",IFERROR(VLOOKUP($S1246,'Pop Estimates (Non-#d)'!$N$2:$O$500,2,FALSE),""))</f>
        <v/>
      </c>
      <c r="U1246" s="57" t="str">
        <f t="shared" si="254"/>
        <v/>
      </c>
      <c r="V1246" s="53" t="str">
        <f t="shared" si="255"/>
        <v/>
      </c>
      <c r="W1246" s="53" t="str">
        <f t="shared" si="256"/>
        <v/>
      </c>
      <c r="X1246" s="53" t="str">
        <f t="shared" si="257"/>
        <v/>
      </c>
      <c r="Y1246" s="57" t="str">
        <f>IF($X1246="","",IFERROR(VLOOKUP($X1246,'Char Popularity'!$A$2:$C$500,2,FALSE),""))</f>
        <v/>
      </c>
      <c r="Z1246" s="56">
        <f>IF($X1246="",1,IFERROR(VLOOKUP($X1246,'Char Popularity'!$A$2:$C$500,3,FALSE),1))</f>
        <v>1</v>
      </c>
      <c r="AA1246" s="62">
        <f>IF($H1246&lt;&gt;"Y",0,(IF($F1246&lt;&gt;"",ROUND(Dashboard!$R$4/$F1246,1),IF(AND($I1246="Base",$E1246="Base"),Dashboard!$R$5,IF(AND($I1246="Base",$E1246="Red"),Dashboard!$R$6,IF(AND($I1246="Base",$E1246="Gold"),Dashboard!$R$7,VLOOKUP($I1246,Dashboard!$Q$16:$R$21,2,FALSE)))))*VLOOKUP($I1246,Dashboard!$Q$9:$R$13,2,FALSE)*IF(AND($I1246="Auto",$F1246="",OR($B1246="Autographs Duals",$B1246="Autographs Triples",$B1246="Autographs Quads",$B1246="Autographs Quads (Inscribed)")),IF($B1246="Autographs Duals",2,IF($B1246="Autographs Triples",3,4)),1)))</f>
        <v>2</v>
      </c>
      <c r="AB1246" s="62">
        <f t="shared" si="258"/>
        <v>2</v>
      </c>
      <c r="AC1246" s="62">
        <f t="shared" si="259"/>
        <v>0</v>
      </c>
    </row>
    <row r="1247" spans="1:29" ht="28.7" customHeight="1" x14ac:dyDescent="0.25">
      <c r="A1247" s="4" t="s">
        <v>19</v>
      </c>
      <c r="B1247" s="7" t="s">
        <v>75</v>
      </c>
      <c r="C1247" s="2" t="s">
        <v>1545</v>
      </c>
      <c r="D1247" s="7" t="s">
        <v>1116</v>
      </c>
      <c r="E1247" s="4" t="s">
        <v>823</v>
      </c>
      <c r="F1247" s="2"/>
      <c r="G1247" s="2" t="s">
        <v>1399</v>
      </c>
      <c r="H1247" s="2" t="s">
        <v>1400</v>
      </c>
      <c r="I1247" s="4" t="s">
        <v>60</v>
      </c>
      <c r="J1247" s="112">
        <f>IF($H1247&lt;&gt;"Y",0,ROUND(MIN(Dashboard!$R$24,IF(IFERROR(VLOOKUP($B1247,Dashboard!$Q$28:$S$60,2,FALSE),0)&gt;0,IFERROR(VLOOKUP($B1247,Dashboard!$Q$28:$S$60,2,FALSE),0),$Z1247*IF($U1247&lt;&gt;"",ROUND((Dashboard!$R$4/$U1247)*VLOOKUP($I1247,Dashboard!$Q$9:$R$13,2,FALSE)*IF(ISNUMBER(SEARCH("Duals",$B1247)),2,IF(ISNUMBER(SEARCH("Triples",$B1247)),3,IF(ISNUMBER(SEARCH("Quads",$B1247)),4,1))),2),ROUND(VLOOKUP($I1247,Dashboard!$Q$15:$R$20,2,FALSE)*IF($E1247="Red",Dashboard!$R$6,IF($E1247="Gold",Dashboard!$R$7,Dashboard!$R$5))*IF(ISNUMBER(SEARCH("Duals",$B1247)),2,IF(ISNUMBER(SEARCH("Triples",$B1247)),3,IF(ISNUMBER(SEARCH("Quads",$B1247)),4,1))),2))*IF(IFERROR(VLOOKUP($B1247,Dashboard!$Q$28:$S$60,3,FALSE),0)&gt;0,VLOOKUP($B1247,Dashboard!$Q$28:$S$60,3,FALSE),1))),0))</f>
        <v>2</v>
      </c>
      <c r="K1247" s="2" t="str">
        <f>IF('Base S2'!D47="","",'Base S2'!D47)</f>
        <v>h</v>
      </c>
      <c r="L1247" s="2">
        <f t="shared" si="247"/>
        <v>1</v>
      </c>
      <c r="M1247" s="2">
        <f t="shared" si="248"/>
        <v>0</v>
      </c>
      <c r="N1247" s="2">
        <f t="shared" si="249"/>
        <v>1</v>
      </c>
      <c r="O1247" s="2">
        <f t="shared" si="250"/>
        <v>0</v>
      </c>
      <c r="P1247" s="112">
        <f t="shared" si="251"/>
        <v>2</v>
      </c>
      <c r="Q1247" s="112">
        <f t="shared" si="252"/>
        <v>0</v>
      </c>
      <c r="R1247" s="53"/>
      <c r="S1247" s="53" t="str">
        <f t="shared" si="253"/>
        <v>Base S2|Red Parallel - Season 2|146|Red</v>
      </c>
      <c r="T1247" s="57" t="str">
        <f>IF($S1247="","",IFERROR(VLOOKUP($S1247,'Pop Estimates (Non-#d)'!$N$2:$O$500,2,FALSE),""))</f>
        <v/>
      </c>
      <c r="U1247" s="57" t="str">
        <f t="shared" si="254"/>
        <v/>
      </c>
      <c r="V1247" s="53" t="str">
        <f t="shared" si="255"/>
        <v/>
      </c>
      <c r="W1247" s="53" t="str">
        <f t="shared" si="256"/>
        <v/>
      </c>
      <c r="X1247" s="53" t="str">
        <f t="shared" si="257"/>
        <v/>
      </c>
      <c r="Y1247" s="57" t="str">
        <f>IF($X1247="","",IFERROR(VLOOKUP($X1247,'Char Popularity'!$A$2:$C$500,2,FALSE),""))</f>
        <v/>
      </c>
      <c r="Z1247" s="56">
        <f>IF($X1247="",1,IFERROR(VLOOKUP($X1247,'Char Popularity'!$A$2:$C$500,3,FALSE),1))</f>
        <v>1</v>
      </c>
      <c r="AA1247" s="62">
        <f>IF($H1247&lt;&gt;"Y",0,(IF($F1247&lt;&gt;"",ROUND(Dashboard!$R$4/$F1247,1),IF(AND($I1247="Base",$E1247="Base"),Dashboard!$R$5,IF(AND($I1247="Base",$E1247="Red"),Dashboard!$R$6,IF(AND($I1247="Base",$E1247="Gold"),Dashboard!$R$7,VLOOKUP($I1247,Dashboard!$Q$16:$R$21,2,FALSE)))))*VLOOKUP($I1247,Dashboard!$Q$9:$R$13,2,FALSE)*IF(AND($I1247="Auto",$F1247="",OR($B1247="Autographs Duals",$B1247="Autographs Triples",$B1247="Autographs Quads",$B1247="Autographs Quads (Inscribed)")),IF($B1247="Autographs Duals",2,IF($B1247="Autographs Triples",3,4)),1)))</f>
        <v>2</v>
      </c>
      <c r="AB1247" s="62">
        <f t="shared" si="258"/>
        <v>2</v>
      </c>
      <c r="AC1247" s="62">
        <f t="shared" si="259"/>
        <v>0</v>
      </c>
    </row>
    <row r="1248" spans="1:29" ht="28.7" customHeight="1" x14ac:dyDescent="0.25">
      <c r="A1248" s="4" t="s">
        <v>19</v>
      </c>
      <c r="B1248" s="7" t="s">
        <v>75</v>
      </c>
      <c r="C1248" s="2" t="s">
        <v>1546</v>
      </c>
      <c r="D1248" s="7" t="s">
        <v>1118</v>
      </c>
      <c r="E1248" s="4" t="s">
        <v>823</v>
      </c>
      <c r="F1248" s="2"/>
      <c r="G1248" s="2" t="s">
        <v>1399</v>
      </c>
      <c r="H1248" s="2" t="s">
        <v>1400</v>
      </c>
      <c r="I1248" s="4" t="s">
        <v>60</v>
      </c>
      <c r="J1248" s="112">
        <f>IF($H1248&lt;&gt;"Y",0,ROUND(MIN(Dashboard!$R$24,IF(IFERROR(VLOOKUP($B1248,Dashboard!$Q$28:$S$60,2,FALSE),0)&gt;0,IFERROR(VLOOKUP($B1248,Dashboard!$Q$28:$S$60,2,FALSE),0),$Z1248*IF($U1248&lt;&gt;"",ROUND((Dashboard!$R$4/$U1248)*VLOOKUP($I1248,Dashboard!$Q$9:$R$13,2,FALSE)*IF(ISNUMBER(SEARCH("Duals",$B1248)),2,IF(ISNUMBER(SEARCH("Triples",$B1248)),3,IF(ISNUMBER(SEARCH("Quads",$B1248)),4,1))),2),ROUND(VLOOKUP($I1248,Dashboard!$Q$15:$R$20,2,FALSE)*IF($E1248="Red",Dashboard!$R$6,IF($E1248="Gold",Dashboard!$R$7,Dashboard!$R$5))*IF(ISNUMBER(SEARCH("Duals",$B1248)),2,IF(ISNUMBER(SEARCH("Triples",$B1248)),3,IF(ISNUMBER(SEARCH("Quads",$B1248)),4,1))),2))*IF(IFERROR(VLOOKUP($B1248,Dashboard!$Q$28:$S$60,3,FALSE),0)&gt;0,VLOOKUP($B1248,Dashboard!$Q$28:$S$60,3,FALSE),1))),0))</f>
        <v>2</v>
      </c>
      <c r="K1248" s="2" t="str">
        <f>IF('Base S2'!D48="","",'Base S2'!D48)</f>
        <v>h</v>
      </c>
      <c r="L1248" s="2">
        <f t="shared" si="247"/>
        <v>1</v>
      </c>
      <c r="M1248" s="2">
        <f t="shared" si="248"/>
        <v>0</v>
      </c>
      <c r="N1248" s="2">
        <f t="shared" si="249"/>
        <v>1</v>
      </c>
      <c r="O1248" s="2">
        <f t="shared" si="250"/>
        <v>0</v>
      </c>
      <c r="P1248" s="112">
        <f t="shared" si="251"/>
        <v>2</v>
      </c>
      <c r="Q1248" s="112">
        <f t="shared" si="252"/>
        <v>0</v>
      </c>
      <c r="R1248" s="53"/>
      <c r="S1248" s="53" t="str">
        <f t="shared" si="253"/>
        <v>Base S2|Red Parallel - Season 2|147|Red</v>
      </c>
      <c r="T1248" s="57" t="str">
        <f>IF($S1248="","",IFERROR(VLOOKUP($S1248,'Pop Estimates (Non-#d)'!$N$2:$O$500,2,FALSE),""))</f>
        <v/>
      </c>
      <c r="U1248" s="57" t="str">
        <f t="shared" si="254"/>
        <v/>
      </c>
      <c r="V1248" s="53" t="str">
        <f t="shared" si="255"/>
        <v/>
      </c>
      <c r="W1248" s="53" t="str">
        <f t="shared" si="256"/>
        <v/>
      </c>
      <c r="X1248" s="53" t="str">
        <f t="shared" si="257"/>
        <v/>
      </c>
      <c r="Y1248" s="57" t="str">
        <f>IF($X1248="","",IFERROR(VLOOKUP($X1248,'Char Popularity'!$A$2:$C$500,2,FALSE),""))</f>
        <v/>
      </c>
      <c r="Z1248" s="56">
        <f>IF($X1248="",1,IFERROR(VLOOKUP($X1248,'Char Popularity'!$A$2:$C$500,3,FALSE),1))</f>
        <v>1</v>
      </c>
      <c r="AA1248" s="62">
        <f>IF($H1248&lt;&gt;"Y",0,(IF($F1248&lt;&gt;"",ROUND(Dashboard!$R$4/$F1248,1),IF(AND($I1248="Base",$E1248="Base"),Dashboard!$R$5,IF(AND($I1248="Base",$E1248="Red"),Dashboard!$R$6,IF(AND($I1248="Base",$E1248="Gold"),Dashboard!$R$7,VLOOKUP($I1248,Dashboard!$Q$16:$R$21,2,FALSE)))))*VLOOKUP($I1248,Dashboard!$Q$9:$R$13,2,FALSE)*IF(AND($I1248="Auto",$F1248="",OR($B1248="Autographs Duals",$B1248="Autographs Triples",$B1248="Autographs Quads",$B1248="Autographs Quads (Inscribed)")),IF($B1248="Autographs Duals",2,IF($B1248="Autographs Triples",3,4)),1)))</f>
        <v>2</v>
      </c>
      <c r="AB1248" s="62">
        <f t="shared" si="258"/>
        <v>2</v>
      </c>
      <c r="AC1248" s="62">
        <f t="shared" si="259"/>
        <v>0</v>
      </c>
    </row>
    <row r="1249" spans="1:29" ht="28.7" customHeight="1" x14ac:dyDescent="0.25">
      <c r="A1249" s="4" t="s">
        <v>19</v>
      </c>
      <c r="B1249" s="7" t="s">
        <v>75</v>
      </c>
      <c r="C1249" s="2" t="s">
        <v>1547</v>
      </c>
      <c r="D1249" s="7" t="s">
        <v>1120</v>
      </c>
      <c r="E1249" s="4" t="s">
        <v>823</v>
      </c>
      <c r="F1249" s="2"/>
      <c r="G1249" s="2" t="s">
        <v>1399</v>
      </c>
      <c r="H1249" s="2" t="s">
        <v>1400</v>
      </c>
      <c r="I1249" s="4" t="s">
        <v>60</v>
      </c>
      <c r="J1249" s="112">
        <f>IF($H1249&lt;&gt;"Y",0,ROUND(MIN(Dashboard!$R$24,IF(IFERROR(VLOOKUP($B1249,Dashboard!$Q$28:$S$60,2,FALSE),0)&gt;0,IFERROR(VLOOKUP($B1249,Dashboard!$Q$28:$S$60,2,FALSE),0),$Z1249*IF($U1249&lt;&gt;"",ROUND((Dashboard!$R$4/$U1249)*VLOOKUP($I1249,Dashboard!$Q$9:$R$13,2,FALSE)*IF(ISNUMBER(SEARCH("Duals",$B1249)),2,IF(ISNUMBER(SEARCH("Triples",$B1249)),3,IF(ISNUMBER(SEARCH("Quads",$B1249)),4,1))),2),ROUND(VLOOKUP($I1249,Dashboard!$Q$15:$R$20,2,FALSE)*IF($E1249="Red",Dashboard!$R$6,IF($E1249="Gold",Dashboard!$R$7,Dashboard!$R$5))*IF(ISNUMBER(SEARCH("Duals",$B1249)),2,IF(ISNUMBER(SEARCH("Triples",$B1249)),3,IF(ISNUMBER(SEARCH("Quads",$B1249)),4,1))),2))*IF(IFERROR(VLOOKUP($B1249,Dashboard!$Q$28:$S$60,3,FALSE),0)&gt;0,VLOOKUP($B1249,Dashboard!$Q$28:$S$60,3,FALSE),1))),0))</f>
        <v>2</v>
      </c>
      <c r="K1249" s="2" t="str">
        <f>IF('Base S2'!D49="","",'Base S2'!D49)</f>
        <v>h</v>
      </c>
      <c r="L1249" s="2">
        <f t="shared" si="247"/>
        <v>1</v>
      </c>
      <c r="M1249" s="2">
        <f t="shared" si="248"/>
        <v>0</v>
      </c>
      <c r="N1249" s="2">
        <f t="shared" si="249"/>
        <v>1</v>
      </c>
      <c r="O1249" s="2">
        <f t="shared" si="250"/>
        <v>0</v>
      </c>
      <c r="P1249" s="112">
        <f t="shared" si="251"/>
        <v>2</v>
      </c>
      <c r="Q1249" s="112">
        <f t="shared" si="252"/>
        <v>0</v>
      </c>
      <c r="R1249" s="53"/>
      <c r="S1249" s="53" t="str">
        <f t="shared" si="253"/>
        <v>Base S2|Red Parallel - Season 2|148|Red</v>
      </c>
      <c r="T1249" s="57" t="str">
        <f>IF($S1249="","",IFERROR(VLOOKUP($S1249,'Pop Estimates (Non-#d)'!$N$2:$O$500,2,FALSE),""))</f>
        <v/>
      </c>
      <c r="U1249" s="57" t="str">
        <f t="shared" si="254"/>
        <v/>
      </c>
      <c r="V1249" s="53" t="str">
        <f t="shared" si="255"/>
        <v/>
      </c>
      <c r="W1249" s="53" t="str">
        <f t="shared" si="256"/>
        <v/>
      </c>
      <c r="X1249" s="53" t="str">
        <f t="shared" si="257"/>
        <v/>
      </c>
      <c r="Y1249" s="57" t="str">
        <f>IF($X1249="","",IFERROR(VLOOKUP($X1249,'Char Popularity'!$A$2:$C$500,2,FALSE),""))</f>
        <v/>
      </c>
      <c r="Z1249" s="56">
        <f>IF($X1249="",1,IFERROR(VLOOKUP($X1249,'Char Popularity'!$A$2:$C$500,3,FALSE),1))</f>
        <v>1</v>
      </c>
      <c r="AA1249" s="62">
        <f>IF($H1249&lt;&gt;"Y",0,(IF($F1249&lt;&gt;"",ROUND(Dashboard!$R$4/$F1249,1),IF(AND($I1249="Base",$E1249="Base"),Dashboard!$R$5,IF(AND($I1249="Base",$E1249="Red"),Dashboard!$R$6,IF(AND($I1249="Base",$E1249="Gold"),Dashboard!$R$7,VLOOKUP($I1249,Dashboard!$Q$16:$R$21,2,FALSE)))))*VLOOKUP($I1249,Dashboard!$Q$9:$R$13,2,FALSE)*IF(AND($I1249="Auto",$F1249="",OR($B1249="Autographs Duals",$B1249="Autographs Triples",$B1249="Autographs Quads",$B1249="Autographs Quads (Inscribed)")),IF($B1249="Autographs Duals",2,IF($B1249="Autographs Triples",3,4)),1)))</f>
        <v>2</v>
      </c>
      <c r="AB1249" s="62">
        <f t="shared" si="258"/>
        <v>2</v>
      </c>
      <c r="AC1249" s="62">
        <f t="shared" si="259"/>
        <v>0</v>
      </c>
    </row>
    <row r="1250" spans="1:29" ht="28.7" customHeight="1" x14ac:dyDescent="0.25">
      <c r="A1250" s="4" t="s">
        <v>19</v>
      </c>
      <c r="B1250" s="7" t="s">
        <v>75</v>
      </c>
      <c r="C1250" s="2" t="s">
        <v>1548</v>
      </c>
      <c r="D1250" s="7" t="s">
        <v>1122</v>
      </c>
      <c r="E1250" s="4" t="s">
        <v>823</v>
      </c>
      <c r="F1250" s="2"/>
      <c r="G1250" s="2" t="s">
        <v>1399</v>
      </c>
      <c r="H1250" s="2" t="s">
        <v>1400</v>
      </c>
      <c r="I1250" s="4" t="s">
        <v>60</v>
      </c>
      <c r="J1250" s="112">
        <f>IF($H1250&lt;&gt;"Y",0,ROUND(MIN(Dashboard!$R$24,IF(IFERROR(VLOOKUP($B1250,Dashboard!$Q$28:$S$60,2,FALSE),0)&gt;0,IFERROR(VLOOKUP($B1250,Dashboard!$Q$28:$S$60,2,FALSE),0),$Z1250*IF($U1250&lt;&gt;"",ROUND((Dashboard!$R$4/$U1250)*VLOOKUP($I1250,Dashboard!$Q$9:$R$13,2,FALSE)*IF(ISNUMBER(SEARCH("Duals",$B1250)),2,IF(ISNUMBER(SEARCH("Triples",$B1250)),3,IF(ISNUMBER(SEARCH("Quads",$B1250)),4,1))),2),ROUND(VLOOKUP($I1250,Dashboard!$Q$15:$R$20,2,FALSE)*IF($E1250="Red",Dashboard!$R$6,IF($E1250="Gold",Dashboard!$R$7,Dashboard!$R$5))*IF(ISNUMBER(SEARCH("Duals",$B1250)),2,IF(ISNUMBER(SEARCH("Triples",$B1250)),3,IF(ISNUMBER(SEARCH("Quads",$B1250)),4,1))),2))*IF(IFERROR(VLOOKUP($B1250,Dashboard!$Q$28:$S$60,3,FALSE),0)&gt;0,VLOOKUP($B1250,Dashboard!$Q$28:$S$60,3,FALSE),1))),0))</f>
        <v>2</v>
      </c>
      <c r="K1250" s="2" t="str">
        <f>IF('Base S2'!D50="","",'Base S2'!D50)</f>
        <v>h</v>
      </c>
      <c r="L1250" s="2">
        <f t="shared" si="247"/>
        <v>1</v>
      </c>
      <c r="M1250" s="2">
        <f t="shared" si="248"/>
        <v>0</v>
      </c>
      <c r="N1250" s="2">
        <f t="shared" si="249"/>
        <v>1</v>
      </c>
      <c r="O1250" s="2">
        <f t="shared" si="250"/>
        <v>0</v>
      </c>
      <c r="P1250" s="112">
        <f t="shared" si="251"/>
        <v>2</v>
      </c>
      <c r="Q1250" s="112">
        <f t="shared" si="252"/>
        <v>0</v>
      </c>
      <c r="R1250" s="53"/>
      <c r="S1250" s="53" t="str">
        <f t="shared" si="253"/>
        <v>Base S2|Red Parallel - Season 2|149|Red</v>
      </c>
      <c r="T1250" s="57" t="str">
        <f>IF($S1250="","",IFERROR(VLOOKUP($S1250,'Pop Estimates (Non-#d)'!$N$2:$O$500,2,FALSE),""))</f>
        <v/>
      </c>
      <c r="U1250" s="57" t="str">
        <f t="shared" si="254"/>
        <v/>
      </c>
      <c r="V1250" s="53" t="str">
        <f t="shared" si="255"/>
        <v/>
      </c>
      <c r="W1250" s="53" t="str">
        <f t="shared" si="256"/>
        <v/>
      </c>
      <c r="X1250" s="53" t="str">
        <f t="shared" si="257"/>
        <v/>
      </c>
      <c r="Y1250" s="57" t="str">
        <f>IF($X1250="","",IFERROR(VLOOKUP($X1250,'Char Popularity'!$A$2:$C$500,2,FALSE),""))</f>
        <v/>
      </c>
      <c r="Z1250" s="56">
        <f>IF($X1250="",1,IFERROR(VLOOKUP($X1250,'Char Popularity'!$A$2:$C$500,3,FALSE),1))</f>
        <v>1</v>
      </c>
      <c r="AA1250" s="62">
        <f>IF($H1250&lt;&gt;"Y",0,(IF($F1250&lt;&gt;"",ROUND(Dashboard!$R$4/$F1250,1),IF(AND($I1250="Base",$E1250="Base"),Dashboard!$R$5,IF(AND($I1250="Base",$E1250="Red"),Dashboard!$R$6,IF(AND($I1250="Base",$E1250="Gold"),Dashboard!$R$7,VLOOKUP($I1250,Dashboard!$Q$16:$R$21,2,FALSE)))))*VLOOKUP($I1250,Dashboard!$Q$9:$R$13,2,FALSE)*IF(AND($I1250="Auto",$F1250="",OR($B1250="Autographs Duals",$B1250="Autographs Triples",$B1250="Autographs Quads",$B1250="Autographs Quads (Inscribed)")),IF($B1250="Autographs Duals",2,IF($B1250="Autographs Triples",3,4)),1)))</f>
        <v>2</v>
      </c>
      <c r="AB1250" s="62">
        <f t="shared" si="258"/>
        <v>2</v>
      </c>
      <c r="AC1250" s="62">
        <f t="shared" si="259"/>
        <v>0</v>
      </c>
    </row>
    <row r="1251" spans="1:29" ht="28.7" customHeight="1" x14ac:dyDescent="0.25">
      <c r="A1251" s="4" t="s">
        <v>19</v>
      </c>
      <c r="B1251" s="7" t="s">
        <v>75</v>
      </c>
      <c r="C1251" s="2" t="s">
        <v>1549</v>
      </c>
      <c r="D1251" s="7" t="s">
        <v>1123</v>
      </c>
      <c r="E1251" s="4" t="s">
        <v>823</v>
      </c>
      <c r="F1251" s="2"/>
      <c r="G1251" s="2" t="s">
        <v>1399</v>
      </c>
      <c r="H1251" s="2" t="s">
        <v>1400</v>
      </c>
      <c r="I1251" s="4" t="s">
        <v>60</v>
      </c>
      <c r="J1251" s="112">
        <f>IF($H1251&lt;&gt;"Y",0,ROUND(MIN(Dashboard!$R$24,IF(IFERROR(VLOOKUP($B1251,Dashboard!$Q$28:$S$60,2,FALSE),0)&gt;0,IFERROR(VLOOKUP($B1251,Dashboard!$Q$28:$S$60,2,FALSE),0),$Z1251*IF($U1251&lt;&gt;"",ROUND((Dashboard!$R$4/$U1251)*VLOOKUP($I1251,Dashboard!$Q$9:$R$13,2,FALSE)*IF(ISNUMBER(SEARCH("Duals",$B1251)),2,IF(ISNUMBER(SEARCH("Triples",$B1251)),3,IF(ISNUMBER(SEARCH("Quads",$B1251)),4,1))),2),ROUND(VLOOKUP($I1251,Dashboard!$Q$15:$R$20,2,FALSE)*IF($E1251="Red",Dashboard!$R$6,IF($E1251="Gold",Dashboard!$R$7,Dashboard!$R$5))*IF(ISNUMBER(SEARCH("Duals",$B1251)),2,IF(ISNUMBER(SEARCH("Triples",$B1251)),3,IF(ISNUMBER(SEARCH("Quads",$B1251)),4,1))),2))*IF(IFERROR(VLOOKUP($B1251,Dashboard!$Q$28:$S$60,3,FALSE),0)&gt;0,VLOOKUP($B1251,Dashboard!$Q$28:$S$60,3,FALSE),1))),0))</f>
        <v>2</v>
      </c>
      <c r="K1251" s="2" t="str">
        <f>IF('Base S2'!D51="","",'Base S2'!D51)</f>
        <v>h</v>
      </c>
      <c r="L1251" s="2">
        <f t="shared" si="247"/>
        <v>1</v>
      </c>
      <c r="M1251" s="2">
        <f t="shared" si="248"/>
        <v>0</v>
      </c>
      <c r="N1251" s="2">
        <f t="shared" si="249"/>
        <v>1</v>
      </c>
      <c r="O1251" s="2">
        <f t="shared" si="250"/>
        <v>0</v>
      </c>
      <c r="P1251" s="112">
        <f t="shared" si="251"/>
        <v>2</v>
      </c>
      <c r="Q1251" s="112">
        <f t="shared" si="252"/>
        <v>0</v>
      </c>
      <c r="R1251" s="53"/>
      <c r="S1251" s="53" t="str">
        <f t="shared" si="253"/>
        <v>Base S2|Red Parallel - Season 2|150|Red</v>
      </c>
      <c r="T1251" s="57" t="str">
        <f>IF($S1251="","",IFERROR(VLOOKUP($S1251,'Pop Estimates (Non-#d)'!$N$2:$O$500,2,FALSE),""))</f>
        <v/>
      </c>
      <c r="U1251" s="57" t="str">
        <f t="shared" si="254"/>
        <v/>
      </c>
      <c r="V1251" s="53" t="str">
        <f t="shared" si="255"/>
        <v/>
      </c>
      <c r="W1251" s="53" t="str">
        <f t="shared" si="256"/>
        <v/>
      </c>
      <c r="X1251" s="53" t="str">
        <f t="shared" si="257"/>
        <v/>
      </c>
      <c r="Y1251" s="57" t="str">
        <f>IF($X1251="","",IFERROR(VLOOKUP($X1251,'Char Popularity'!$A$2:$C$500,2,FALSE),""))</f>
        <v/>
      </c>
      <c r="Z1251" s="56">
        <f>IF($X1251="",1,IFERROR(VLOOKUP($X1251,'Char Popularity'!$A$2:$C$500,3,FALSE),1))</f>
        <v>1</v>
      </c>
      <c r="AA1251" s="62">
        <f>IF($H1251&lt;&gt;"Y",0,(IF($F1251&lt;&gt;"",ROUND(Dashboard!$R$4/$F1251,1),IF(AND($I1251="Base",$E1251="Base"),Dashboard!$R$5,IF(AND($I1251="Base",$E1251="Red"),Dashboard!$R$6,IF(AND($I1251="Base",$E1251="Gold"),Dashboard!$R$7,VLOOKUP($I1251,Dashboard!$Q$16:$R$21,2,FALSE)))))*VLOOKUP($I1251,Dashboard!$Q$9:$R$13,2,FALSE)*IF(AND($I1251="Auto",$F1251="",OR($B1251="Autographs Duals",$B1251="Autographs Triples",$B1251="Autographs Quads",$B1251="Autographs Quads (Inscribed)")),IF($B1251="Autographs Duals",2,IF($B1251="Autographs Triples",3,4)),1)))</f>
        <v>2</v>
      </c>
      <c r="AB1251" s="62">
        <f t="shared" si="258"/>
        <v>2</v>
      </c>
      <c r="AC1251" s="62">
        <f t="shared" si="259"/>
        <v>0</v>
      </c>
    </row>
    <row r="1252" spans="1:29" ht="28.7" customHeight="1" x14ac:dyDescent="0.25">
      <c r="A1252" s="4" t="s">
        <v>19</v>
      </c>
      <c r="B1252" s="7" t="s">
        <v>75</v>
      </c>
      <c r="C1252" s="2" t="s">
        <v>1550</v>
      </c>
      <c r="D1252" s="7" t="s">
        <v>1125</v>
      </c>
      <c r="E1252" s="4" t="s">
        <v>823</v>
      </c>
      <c r="F1252" s="2"/>
      <c r="G1252" s="2" t="s">
        <v>1399</v>
      </c>
      <c r="H1252" s="2" t="s">
        <v>1400</v>
      </c>
      <c r="I1252" s="4" t="s">
        <v>60</v>
      </c>
      <c r="J1252" s="112">
        <f>IF($H1252&lt;&gt;"Y",0,ROUND(MIN(Dashboard!$R$24,IF(IFERROR(VLOOKUP($B1252,Dashboard!$Q$28:$S$60,2,FALSE),0)&gt;0,IFERROR(VLOOKUP($B1252,Dashboard!$Q$28:$S$60,2,FALSE),0),$Z1252*IF($U1252&lt;&gt;"",ROUND((Dashboard!$R$4/$U1252)*VLOOKUP($I1252,Dashboard!$Q$9:$R$13,2,FALSE)*IF(ISNUMBER(SEARCH("Duals",$B1252)),2,IF(ISNUMBER(SEARCH("Triples",$B1252)),3,IF(ISNUMBER(SEARCH("Quads",$B1252)),4,1))),2),ROUND(VLOOKUP($I1252,Dashboard!$Q$15:$R$20,2,FALSE)*IF($E1252="Red",Dashboard!$R$6,IF($E1252="Gold",Dashboard!$R$7,Dashboard!$R$5))*IF(ISNUMBER(SEARCH("Duals",$B1252)),2,IF(ISNUMBER(SEARCH("Triples",$B1252)),3,IF(ISNUMBER(SEARCH("Quads",$B1252)),4,1))),2))*IF(IFERROR(VLOOKUP($B1252,Dashboard!$Q$28:$S$60,3,FALSE),0)&gt;0,VLOOKUP($B1252,Dashboard!$Q$28:$S$60,3,FALSE),1))),0))</f>
        <v>2</v>
      </c>
      <c r="K1252" s="2" t="str">
        <f>IF('Base S2'!D52="","",'Base S2'!D52)</f>
        <v>h</v>
      </c>
      <c r="L1252" s="2">
        <f t="shared" si="247"/>
        <v>1</v>
      </c>
      <c r="M1252" s="2">
        <f t="shared" si="248"/>
        <v>0</v>
      </c>
      <c r="N1252" s="2">
        <f t="shared" si="249"/>
        <v>1</v>
      </c>
      <c r="O1252" s="2">
        <f t="shared" si="250"/>
        <v>0</v>
      </c>
      <c r="P1252" s="112">
        <f t="shared" si="251"/>
        <v>2</v>
      </c>
      <c r="Q1252" s="112">
        <f t="shared" si="252"/>
        <v>0</v>
      </c>
      <c r="R1252" s="53"/>
      <c r="S1252" s="53" t="str">
        <f t="shared" si="253"/>
        <v>Base S2|Red Parallel - Season 2|151|Red</v>
      </c>
      <c r="T1252" s="57" t="str">
        <f>IF($S1252="","",IFERROR(VLOOKUP($S1252,'Pop Estimates (Non-#d)'!$N$2:$O$500,2,FALSE),""))</f>
        <v/>
      </c>
      <c r="U1252" s="57" t="str">
        <f t="shared" si="254"/>
        <v/>
      </c>
      <c r="V1252" s="53" t="str">
        <f t="shared" si="255"/>
        <v/>
      </c>
      <c r="W1252" s="53" t="str">
        <f t="shared" si="256"/>
        <v/>
      </c>
      <c r="X1252" s="53" t="str">
        <f t="shared" si="257"/>
        <v/>
      </c>
      <c r="Y1252" s="57" t="str">
        <f>IF($X1252="","",IFERROR(VLOOKUP($X1252,'Char Popularity'!$A$2:$C$500,2,FALSE),""))</f>
        <v/>
      </c>
      <c r="Z1252" s="56">
        <f>IF($X1252="",1,IFERROR(VLOOKUP($X1252,'Char Popularity'!$A$2:$C$500,3,FALSE),1))</f>
        <v>1</v>
      </c>
      <c r="AA1252" s="62">
        <f>IF($H1252&lt;&gt;"Y",0,(IF($F1252&lt;&gt;"",ROUND(Dashboard!$R$4/$F1252,1),IF(AND($I1252="Base",$E1252="Base"),Dashboard!$R$5,IF(AND($I1252="Base",$E1252="Red"),Dashboard!$R$6,IF(AND($I1252="Base",$E1252="Gold"),Dashboard!$R$7,VLOOKUP($I1252,Dashboard!$Q$16:$R$21,2,FALSE)))))*VLOOKUP($I1252,Dashboard!$Q$9:$R$13,2,FALSE)*IF(AND($I1252="Auto",$F1252="",OR($B1252="Autographs Duals",$B1252="Autographs Triples",$B1252="Autographs Quads",$B1252="Autographs Quads (Inscribed)")),IF($B1252="Autographs Duals",2,IF($B1252="Autographs Triples",3,4)),1)))</f>
        <v>2</v>
      </c>
      <c r="AB1252" s="62">
        <f t="shared" si="258"/>
        <v>2</v>
      </c>
      <c r="AC1252" s="62">
        <f t="shared" si="259"/>
        <v>0</v>
      </c>
    </row>
    <row r="1253" spans="1:29" ht="28.7" customHeight="1" x14ac:dyDescent="0.25">
      <c r="A1253" s="4" t="s">
        <v>19</v>
      </c>
      <c r="B1253" s="7" t="s">
        <v>75</v>
      </c>
      <c r="C1253" s="2" t="s">
        <v>1551</v>
      </c>
      <c r="D1253" s="7" t="s">
        <v>1126</v>
      </c>
      <c r="E1253" s="4" t="s">
        <v>823</v>
      </c>
      <c r="F1253" s="2"/>
      <c r="G1253" s="2" t="s">
        <v>1399</v>
      </c>
      <c r="H1253" s="2" t="s">
        <v>1400</v>
      </c>
      <c r="I1253" s="4" t="s">
        <v>60</v>
      </c>
      <c r="J1253" s="112">
        <f>IF($H1253&lt;&gt;"Y",0,ROUND(MIN(Dashboard!$R$24,IF(IFERROR(VLOOKUP($B1253,Dashboard!$Q$28:$S$60,2,FALSE),0)&gt;0,IFERROR(VLOOKUP($B1253,Dashboard!$Q$28:$S$60,2,FALSE),0),$Z1253*IF($U1253&lt;&gt;"",ROUND((Dashboard!$R$4/$U1253)*VLOOKUP($I1253,Dashboard!$Q$9:$R$13,2,FALSE)*IF(ISNUMBER(SEARCH("Duals",$B1253)),2,IF(ISNUMBER(SEARCH("Triples",$B1253)),3,IF(ISNUMBER(SEARCH("Quads",$B1253)),4,1))),2),ROUND(VLOOKUP($I1253,Dashboard!$Q$15:$R$20,2,FALSE)*IF($E1253="Red",Dashboard!$R$6,IF($E1253="Gold",Dashboard!$R$7,Dashboard!$R$5))*IF(ISNUMBER(SEARCH("Duals",$B1253)),2,IF(ISNUMBER(SEARCH("Triples",$B1253)),3,IF(ISNUMBER(SEARCH("Quads",$B1253)),4,1))),2))*IF(IFERROR(VLOOKUP($B1253,Dashboard!$Q$28:$S$60,3,FALSE),0)&gt;0,VLOOKUP($B1253,Dashboard!$Q$28:$S$60,3,FALSE),1))),0))</f>
        <v>2</v>
      </c>
      <c r="K1253" s="2" t="str">
        <f>IF('Base S2'!D53="","",'Base S2'!D53)</f>
        <v>h</v>
      </c>
      <c r="L1253" s="2">
        <f t="shared" si="247"/>
        <v>1</v>
      </c>
      <c r="M1253" s="2">
        <f t="shared" si="248"/>
        <v>0</v>
      </c>
      <c r="N1253" s="2">
        <f t="shared" si="249"/>
        <v>1</v>
      </c>
      <c r="O1253" s="2">
        <f t="shared" si="250"/>
        <v>0</v>
      </c>
      <c r="P1253" s="112">
        <f t="shared" si="251"/>
        <v>2</v>
      </c>
      <c r="Q1253" s="112">
        <f t="shared" si="252"/>
        <v>0</v>
      </c>
      <c r="R1253" s="53"/>
      <c r="S1253" s="53" t="str">
        <f t="shared" si="253"/>
        <v>Base S2|Red Parallel - Season 2|152|Red</v>
      </c>
      <c r="T1253" s="57" t="str">
        <f>IF($S1253="","",IFERROR(VLOOKUP($S1253,'Pop Estimates (Non-#d)'!$N$2:$O$500,2,FALSE),""))</f>
        <v/>
      </c>
      <c r="U1253" s="57" t="str">
        <f t="shared" si="254"/>
        <v/>
      </c>
      <c r="V1253" s="53" t="str">
        <f t="shared" si="255"/>
        <v/>
      </c>
      <c r="W1253" s="53" t="str">
        <f t="shared" si="256"/>
        <v/>
      </c>
      <c r="X1253" s="53" t="str">
        <f t="shared" si="257"/>
        <v/>
      </c>
      <c r="Y1253" s="57" t="str">
        <f>IF($X1253="","",IFERROR(VLOOKUP($X1253,'Char Popularity'!$A$2:$C$500,2,FALSE),""))</f>
        <v/>
      </c>
      <c r="Z1253" s="56">
        <f>IF($X1253="",1,IFERROR(VLOOKUP($X1253,'Char Popularity'!$A$2:$C$500,3,FALSE),1))</f>
        <v>1</v>
      </c>
      <c r="AA1253" s="62">
        <f>IF($H1253&lt;&gt;"Y",0,(IF($F1253&lt;&gt;"",ROUND(Dashboard!$R$4/$F1253,1),IF(AND($I1253="Base",$E1253="Base"),Dashboard!$R$5,IF(AND($I1253="Base",$E1253="Red"),Dashboard!$R$6,IF(AND($I1253="Base",$E1253="Gold"),Dashboard!$R$7,VLOOKUP($I1253,Dashboard!$Q$16:$R$21,2,FALSE)))))*VLOOKUP($I1253,Dashboard!$Q$9:$R$13,2,FALSE)*IF(AND($I1253="Auto",$F1253="",OR($B1253="Autographs Duals",$B1253="Autographs Triples",$B1253="Autographs Quads",$B1253="Autographs Quads (Inscribed)")),IF($B1253="Autographs Duals",2,IF($B1253="Autographs Triples",3,4)),1)))</f>
        <v>2</v>
      </c>
      <c r="AB1253" s="62">
        <f t="shared" si="258"/>
        <v>2</v>
      </c>
      <c r="AC1253" s="62">
        <f t="shared" si="259"/>
        <v>0</v>
      </c>
    </row>
    <row r="1254" spans="1:29" ht="28.7" customHeight="1" x14ac:dyDescent="0.25">
      <c r="A1254" s="4" t="s">
        <v>19</v>
      </c>
      <c r="B1254" s="7" t="s">
        <v>75</v>
      </c>
      <c r="C1254" s="2" t="s">
        <v>1552</v>
      </c>
      <c r="D1254" s="7" t="s">
        <v>335</v>
      </c>
      <c r="E1254" s="4" t="s">
        <v>823</v>
      </c>
      <c r="F1254" s="2"/>
      <c r="G1254" s="2" t="s">
        <v>1399</v>
      </c>
      <c r="H1254" s="2" t="s">
        <v>1400</v>
      </c>
      <c r="I1254" s="4" t="s">
        <v>60</v>
      </c>
      <c r="J1254" s="112">
        <f>IF($H1254&lt;&gt;"Y",0,ROUND(MIN(Dashboard!$R$24,IF(IFERROR(VLOOKUP($B1254,Dashboard!$Q$28:$S$60,2,FALSE),0)&gt;0,IFERROR(VLOOKUP($B1254,Dashboard!$Q$28:$S$60,2,FALSE),0),$Z1254*IF($U1254&lt;&gt;"",ROUND((Dashboard!$R$4/$U1254)*VLOOKUP($I1254,Dashboard!$Q$9:$R$13,2,FALSE)*IF(ISNUMBER(SEARCH("Duals",$B1254)),2,IF(ISNUMBER(SEARCH("Triples",$B1254)),3,IF(ISNUMBER(SEARCH("Quads",$B1254)),4,1))),2),ROUND(VLOOKUP($I1254,Dashboard!$Q$15:$R$20,2,FALSE)*IF($E1254="Red",Dashboard!$R$6,IF($E1254="Gold",Dashboard!$R$7,Dashboard!$R$5))*IF(ISNUMBER(SEARCH("Duals",$B1254)),2,IF(ISNUMBER(SEARCH("Triples",$B1254)),3,IF(ISNUMBER(SEARCH("Quads",$B1254)),4,1))),2))*IF(IFERROR(VLOOKUP($B1254,Dashboard!$Q$28:$S$60,3,FALSE),0)&gt;0,VLOOKUP($B1254,Dashboard!$Q$28:$S$60,3,FALSE),1))),0))</f>
        <v>2</v>
      </c>
      <c r="K1254" s="2" t="str">
        <f>IF('Base S2'!D54="","",'Base S2'!D54)</f>
        <v>h</v>
      </c>
      <c r="L1254" s="2">
        <f t="shared" si="247"/>
        <v>1</v>
      </c>
      <c r="M1254" s="2">
        <f t="shared" si="248"/>
        <v>0</v>
      </c>
      <c r="N1254" s="2">
        <f t="shared" si="249"/>
        <v>1</v>
      </c>
      <c r="O1254" s="2">
        <f t="shared" si="250"/>
        <v>0</v>
      </c>
      <c r="P1254" s="112">
        <f t="shared" si="251"/>
        <v>2</v>
      </c>
      <c r="Q1254" s="112">
        <f t="shared" si="252"/>
        <v>0</v>
      </c>
      <c r="R1254" s="53"/>
      <c r="S1254" s="53" t="str">
        <f t="shared" si="253"/>
        <v>Base S2|Red Parallel - Season 2|153|Red</v>
      </c>
      <c r="T1254" s="57" t="str">
        <f>IF($S1254="","",IFERROR(VLOOKUP($S1254,'Pop Estimates (Non-#d)'!$N$2:$O$500,2,FALSE),""))</f>
        <v/>
      </c>
      <c r="U1254" s="57" t="str">
        <f t="shared" si="254"/>
        <v/>
      </c>
      <c r="V1254" s="53" t="str">
        <f t="shared" si="255"/>
        <v/>
      </c>
      <c r="W1254" s="53" t="str">
        <f t="shared" si="256"/>
        <v/>
      </c>
      <c r="X1254" s="53" t="str">
        <f t="shared" si="257"/>
        <v/>
      </c>
      <c r="Y1254" s="57" t="str">
        <f>IF($X1254="","",IFERROR(VLOOKUP($X1254,'Char Popularity'!$A$2:$C$500,2,FALSE),""))</f>
        <v/>
      </c>
      <c r="Z1254" s="56">
        <f>IF($X1254="",1,IFERROR(VLOOKUP($X1254,'Char Popularity'!$A$2:$C$500,3,FALSE),1))</f>
        <v>1</v>
      </c>
      <c r="AA1254" s="62">
        <f>IF($H1254&lt;&gt;"Y",0,(IF($F1254&lt;&gt;"",ROUND(Dashboard!$R$4/$F1254,1),IF(AND($I1254="Base",$E1254="Base"),Dashboard!$R$5,IF(AND($I1254="Base",$E1254="Red"),Dashboard!$R$6,IF(AND($I1254="Base",$E1254="Gold"),Dashboard!$R$7,VLOOKUP($I1254,Dashboard!$Q$16:$R$21,2,FALSE)))))*VLOOKUP($I1254,Dashboard!$Q$9:$R$13,2,FALSE)*IF(AND($I1254="Auto",$F1254="",OR($B1254="Autographs Duals",$B1254="Autographs Triples",$B1254="Autographs Quads",$B1254="Autographs Quads (Inscribed)")),IF($B1254="Autographs Duals",2,IF($B1254="Autographs Triples",3,4)),1)))</f>
        <v>2</v>
      </c>
      <c r="AB1254" s="62">
        <f t="shared" si="258"/>
        <v>2</v>
      </c>
      <c r="AC1254" s="62">
        <f t="shared" si="259"/>
        <v>0</v>
      </c>
    </row>
    <row r="1255" spans="1:29" ht="28.7" customHeight="1" x14ac:dyDescent="0.25">
      <c r="A1255" s="4" t="s">
        <v>19</v>
      </c>
      <c r="B1255" s="7" t="s">
        <v>75</v>
      </c>
      <c r="C1255" s="2" t="s">
        <v>1553</v>
      </c>
      <c r="D1255" s="7" t="s">
        <v>1128</v>
      </c>
      <c r="E1255" s="4" t="s">
        <v>823</v>
      </c>
      <c r="F1255" s="2"/>
      <c r="G1255" s="2" t="s">
        <v>1399</v>
      </c>
      <c r="H1255" s="2" t="s">
        <v>1400</v>
      </c>
      <c r="I1255" s="4" t="s">
        <v>60</v>
      </c>
      <c r="J1255" s="112">
        <f>IF($H1255&lt;&gt;"Y",0,ROUND(MIN(Dashboard!$R$24,IF(IFERROR(VLOOKUP($B1255,Dashboard!$Q$28:$S$60,2,FALSE),0)&gt;0,IFERROR(VLOOKUP($B1255,Dashboard!$Q$28:$S$60,2,FALSE),0),$Z1255*IF($U1255&lt;&gt;"",ROUND((Dashboard!$R$4/$U1255)*VLOOKUP($I1255,Dashboard!$Q$9:$R$13,2,FALSE)*IF(ISNUMBER(SEARCH("Duals",$B1255)),2,IF(ISNUMBER(SEARCH("Triples",$B1255)),3,IF(ISNUMBER(SEARCH("Quads",$B1255)),4,1))),2),ROUND(VLOOKUP($I1255,Dashboard!$Q$15:$R$20,2,FALSE)*IF($E1255="Red",Dashboard!$R$6,IF($E1255="Gold",Dashboard!$R$7,Dashboard!$R$5))*IF(ISNUMBER(SEARCH("Duals",$B1255)),2,IF(ISNUMBER(SEARCH("Triples",$B1255)),3,IF(ISNUMBER(SEARCH("Quads",$B1255)),4,1))),2))*IF(IFERROR(VLOOKUP($B1255,Dashboard!$Q$28:$S$60,3,FALSE),0)&gt;0,VLOOKUP($B1255,Dashboard!$Q$28:$S$60,3,FALSE),1))),0))</f>
        <v>2</v>
      </c>
      <c r="K1255" s="2" t="str">
        <f>IF('Base S2'!D55="","",'Base S2'!D55)</f>
        <v>h</v>
      </c>
      <c r="L1255" s="2">
        <f t="shared" si="247"/>
        <v>1</v>
      </c>
      <c r="M1255" s="2">
        <f t="shared" si="248"/>
        <v>0</v>
      </c>
      <c r="N1255" s="2">
        <f t="shared" si="249"/>
        <v>1</v>
      </c>
      <c r="O1255" s="2">
        <f t="shared" si="250"/>
        <v>0</v>
      </c>
      <c r="P1255" s="112">
        <f t="shared" si="251"/>
        <v>2</v>
      </c>
      <c r="Q1255" s="112">
        <f t="shared" si="252"/>
        <v>0</v>
      </c>
      <c r="R1255" s="53"/>
      <c r="S1255" s="53" t="str">
        <f t="shared" si="253"/>
        <v>Base S2|Red Parallel - Season 2|154|Red</v>
      </c>
      <c r="T1255" s="57" t="str">
        <f>IF($S1255="","",IFERROR(VLOOKUP($S1255,'Pop Estimates (Non-#d)'!$N$2:$O$500,2,FALSE),""))</f>
        <v/>
      </c>
      <c r="U1255" s="57" t="str">
        <f t="shared" si="254"/>
        <v/>
      </c>
      <c r="V1255" s="53" t="str">
        <f t="shared" si="255"/>
        <v/>
      </c>
      <c r="W1255" s="53" t="str">
        <f t="shared" si="256"/>
        <v/>
      </c>
      <c r="X1255" s="53" t="str">
        <f t="shared" si="257"/>
        <v/>
      </c>
      <c r="Y1255" s="57" t="str">
        <f>IF($X1255="","",IFERROR(VLOOKUP($X1255,'Char Popularity'!$A$2:$C$500,2,FALSE),""))</f>
        <v/>
      </c>
      <c r="Z1255" s="56">
        <f>IF($X1255="",1,IFERROR(VLOOKUP($X1255,'Char Popularity'!$A$2:$C$500,3,FALSE),1))</f>
        <v>1</v>
      </c>
      <c r="AA1255" s="62">
        <f>IF($H1255&lt;&gt;"Y",0,(IF($F1255&lt;&gt;"",ROUND(Dashboard!$R$4/$F1255,1),IF(AND($I1255="Base",$E1255="Base"),Dashboard!$R$5,IF(AND($I1255="Base",$E1255="Red"),Dashboard!$R$6,IF(AND($I1255="Base",$E1255="Gold"),Dashboard!$R$7,VLOOKUP($I1255,Dashboard!$Q$16:$R$21,2,FALSE)))))*VLOOKUP($I1255,Dashboard!$Q$9:$R$13,2,FALSE)*IF(AND($I1255="Auto",$F1255="",OR($B1255="Autographs Duals",$B1255="Autographs Triples",$B1255="Autographs Quads",$B1255="Autographs Quads (Inscribed)")),IF($B1255="Autographs Duals",2,IF($B1255="Autographs Triples",3,4)),1)))</f>
        <v>2</v>
      </c>
      <c r="AB1255" s="62">
        <f t="shared" si="258"/>
        <v>2</v>
      </c>
      <c r="AC1255" s="62">
        <f t="shared" si="259"/>
        <v>0</v>
      </c>
    </row>
    <row r="1256" spans="1:29" ht="28.7" customHeight="1" x14ac:dyDescent="0.25">
      <c r="A1256" s="4" t="s">
        <v>19</v>
      </c>
      <c r="B1256" s="7" t="s">
        <v>75</v>
      </c>
      <c r="C1256" s="2" t="s">
        <v>1554</v>
      </c>
      <c r="D1256" s="7" t="s">
        <v>1130</v>
      </c>
      <c r="E1256" s="4" t="s">
        <v>823</v>
      </c>
      <c r="F1256" s="2"/>
      <c r="G1256" s="2" t="s">
        <v>1399</v>
      </c>
      <c r="H1256" s="2" t="s">
        <v>1400</v>
      </c>
      <c r="I1256" s="4" t="s">
        <v>60</v>
      </c>
      <c r="J1256" s="112">
        <f>IF($H1256&lt;&gt;"Y",0,ROUND(MIN(Dashboard!$R$24,IF(IFERROR(VLOOKUP($B1256,Dashboard!$Q$28:$S$60,2,FALSE),0)&gt;0,IFERROR(VLOOKUP($B1256,Dashboard!$Q$28:$S$60,2,FALSE),0),$Z1256*IF($U1256&lt;&gt;"",ROUND((Dashboard!$R$4/$U1256)*VLOOKUP($I1256,Dashboard!$Q$9:$R$13,2,FALSE)*IF(ISNUMBER(SEARCH("Duals",$B1256)),2,IF(ISNUMBER(SEARCH("Triples",$B1256)),3,IF(ISNUMBER(SEARCH("Quads",$B1256)),4,1))),2),ROUND(VLOOKUP($I1256,Dashboard!$Q$15:$R$20,2,FALSE)*IF($E1256="Red",Dashboard!$R$6,IF($E1256="Gold",Dashboard!$R$7,Dashboard!$R$5))*IF(ISNUMBER(SEARCH("Duals",$B1256)),2,IF(ISNUMBER(SEARCH("Triples",$B1256)),3,IF(ISNUMBER(SEARCH("Quads",$B1256)),4,1))),2))*IF(IFERROR(VLOOKUP($B1256,Dashboard!$Q$28:$S$60,3,FALSE),0)&gt;0,VLOOKUP($B1256,Dashboard!$Q$28:$S$60,3,FALSE),1))),0))</f>
        <v>2</v>
      </c>
      <c r="K1256" s="2" t="str">
        <f>IF('Base S2'!D56="","",'Base S2'!D56)</f>
        <v>h</v>
      </c>
      <c r="L1256" s="2">
        <f t="shared" si="247"/>
        <v>1</v>
      </c>
      <c r="M1256" s="2">
        <f t="shared" si="248"/>
        <v>0</v>
      </c>
      <c r="N1256" s="2">
        <f t="shared" si="249"/>
        <v>1</v>
      </c>
      <c r="O1256" s="2">
        <f t="shared" si="250"/>
        <v>0</v>
      </c>
      <c r="P1256" s="112">
        <f t="shared" si="251"/>
        <v>2</v>
      </c>
      <c r="Q1256" s="112">
        <f t="shared" si="252"/>
        <v>0</v>
      </c>
      <c r="R1256" s="53"/>
      <c r="S1256" s="53" t="str">
        <f t="shared" si="253"/>
        <v>Base S2|Red Parallel - Season 2|155|Red</v>
      </c>
      <c r="T1256" s="57" t="str">
        <f>IF($S1256="","",IFERROR(VLOOKUP($S1256,'Pop Estimates (Non-#d)'!$N$2:$O$500,2,FALSE),""))</f>
        <v/>
      </c>
      <c r="U1256" s="57" t="str">
        <f t="shared" si="254"/>
        <v/>
      </c>
      <c r="V1256" s="53" t="str">
        <f t="shared" si="255"/>
        <v/>
      </c>
      <c r="W1256" s="53" t="str">
        <f t="shared" si="256"/>
        <v/>
      </c>
      <c r="X1256" s="53" t="str">
        <f t="shared" si="257"/>
        <v/>
      </c>
      <c r="Y1256" s="57" t="str">
        <f>IF($X1256="","",IFERROR(VLOOKUP($X1256,'Char Popularity'!$A$2:$C$500,2,FALSE),""))</f>
        <v/>
      </c>
      <c r="Z1256" s="56">
        <f>IF($X1256="",1,IFERROR(VLOOKUP($X1256,'Char Popularity'!$A$2:$C$500,3,FALSE),1))</f>
        <v>1</v>
      </c>
      <c r="AA1256" s="62">
        <f>IF($H1256&lt;&gt;"Y",0,(IF($F1256&lt;&gt;"",ROUND(Dashboard!$R$4/$F1256,1),IF(AND($I1256="Base",$E1256="Base"),Dashboard!$R$5,IF(AND($I1256="Base",$E1256="Red"),Dashboard!$R$6,IF(AND($I1256="Base",$E1256="Gold"),Dashboard!$R$7,VLOOKUP($I1256,Dashboard!$Q$16:$R$21,2,FALSE)))))*VLOOKUP($I1256,Dashboard!$Q$9:$R$13,2,FALSE)*IF(AND($I1256="Auto",$F1256="",OR($B1256="Autographs Duals",$B1256="Autographs Triples",$B1256="Autographs Quads",$B1256="Autographs Quads (Inscribed)")),IF($B1256="Autographs Duals",2,IF($B1256="Autographs Triples",3,4)),1)))</f>
        <v>2</v>
      </c>
      <c r="AB1256" s="62">
        <f t="shared" si="258"/>
        <v>2</v>
      </c>
      <c r="AC1256" s="62">
        <f t="shared" si="259"/>
        <v>0</v>
      </c>
    </row>
    <row r="1257" spans="1:29" ht="28.7" customHeight="1" x14ac:dyDescent="0.25">
      <c r="A1257" s="4" t="s">
        <v>19</v>
      </c>
      <c r="B1257" s="7" t="s">
        <v>75</v>
      </c>
      <c r="C1257" s="2" t="s">
        <v>1555</v>
      </c>
      <c r="D1257" s="7" t="s">
        <v>1132</v>
      </c>
      <c r="E1257" s="4" t="s">
        <v>823</v>
      </c>
      <c r="F1257" s="2"/>
      <c r="G1257" s="2" t="s">
        <v>1399</v>
      </c>
      <c r="H1257" s="2" t="s">
        <v>1400</v>
      </c>
      <c r="I1257" s="4" t="s">
        <v>60</v>
      </c>
      <c r="J1257" s="112">
        <f>IF($H1257&lt;&gt;"Y",0,ROUND(MIN(Dashboard!$R$24,IF(IFERROR(VLOOKUP($B1257,Dashboard!$Q$28:$S$60,2,FALSE),0)&gt;0,IFERROR(VLOOKUP($B1257,Dashboard!$Q$28:$S$60,2,FALSE),0),$Z1257*IF($U1257&lt;&gt;"",ROUND((Dashboard!$R$4/$U1257)*VLOOKUP($I1257,Dashboard!$Q$9:$R$13,2,FALSE)*IF(ISNUMBER(SEARCH("Duals",$B1257)),2,IF(ISNUMBER(SEARCH("Triples",$B1257)),3,IF(ISNUMBER(SEARCH("Quads",$B1257)),4,1))),2),ROUND(VLOOKUP($I1257,Dashboard!$Q$15:$R$20,2,FALSE)*IF($E1257="Red",Dashboard!$R$6,IF($E1257="Gold",Dashboard!$R$7,Dashboard!$R$5))*IF(ISNUMBER(SEARCH("Duals",$B1257)),2,IF(ISNUMBER(SEARCH("Triples",$B1257)),3,IF(ISNUMBER(SEARCH("Quads",$B1257)),4,1))),2))*IF(IFERROR(VLOOKUP($B1257,Dashboard!$Q$28:$S$60,3,FALSE),0)&gt;0,VLOOKUP($B1257,Dashboard!$Q$28:$S$60,3,FALSE),1))),0))</f>
        <v>2</v>
      </c>
      <c r="K1257" s="2" t="str">
        <f>IF('Base S2'!D57="","",'Base S2'!D57)</f>
        <v>h</v>
      </c>
      <c r="L1257" s="2">
        <f t="shared" si="247"/>
        <v>1</v>
      </c>
      <c r="M1257" s="2">
        <f t="shared" si="248"/>
        <v>0</v>
      </c>
      <c r="N1257" s="2">
        <f t="shared" si="249"/>
        <v>1</v>
      </c>
      <c r="O1257" s="2">
        <f t="shared" si="250"/>
        <v>0</v>
      </c>
      <c r="P1257" s="112">
        <f t="shared" si="251"/>
        <v>2</v>
      </c>
      <c r="Q1257" s="112">
        <f t="shared" si="252"/>
        <v>0</v>
      </c>
      <c r="R1257" s="53"/>
      <c r="S1257" s="53" t="str">
        <f t="shared" si="253"/>
        <v>Base S2|Red Parallel - Season 2|156|Red</v>
      </c>
      <c r="T1257" s="57" t="str">
        <f>IF($S1257="","",IFERROR(VLOOKUP($S1257,'Pop Estimates (Non-#d)'!$N$2:$O$500,2,FALSE),""))</f>
        <v/>
      </c>
      <c r="U1257" s="57" t="str">
        <f t="shared" si="254"/>
        <v/>
      </c>
      <c r="V1257" s="53" t="str">
        <f t="shared" si="255"/>
        <v/>
      </c>
      <c r="W1257" s="53" t="str">
        <f t="shared" si="256"/>
        <v/>
      </c>
      <c r="X1257" s="53" t="str">
        <f t="shared" si="257"/>
        <v/>
      </c>
      <c r="Y1257" s="57" t="str">
        <f>IF($X1257="","",IFERROR(VLOOKUP($X1257,'Char Popularity'!$A$2:$C$500,2,FALSE),""))</f>
        <v/>
      </c>
      <c r="Z1257" s="56">
        <f>IF($X1257="",1,IFERROR(VLOOKUP($X1257,'Char Popularity'!$A$2:$C$500,3,FALSE),1))</f>
        <v>1</v>
      </c>
      <c r="AA1257" s="62">
        <f>IF($H1257&lt;&gt;"Y",0,(IF($F1257&lt;&gt;"",ROUND(Dashboard!$R$4/$F1257,1),IF(AND($I1257="Base",$E1257="Base"),Dashboard!$R$5,IF(AND($I1257="Base",$E1257="Red"),Dashboard!$R$6,IF(AND($I1257="Base",$E1257="Gold"),Dashboard!$R$7,VLOOKUP($I1257,Dashboard!$Q$16:$R$21,2,FALSE)))))*VLOOKUP($I1257,Dashboard!$Q$9:$R$13,2,FALSE)*IF(AND($I1257="Auto",$F1257="",OR($B1257="Autographs Duals",$B1257="Autographs Triples",$B1257="Autographs Quads",$B1257="Autographs Quads (Inscribed)")),IF($B1257="Autographs Duals",2,IF($B1257="Autographs Triples",3,4)),1)))</f>
        <v>2</v>
      </c>
      <c r="AB1257" s="62">
        <f t="shared" si="258"/>
        <v>2</v>
      </c>
      <c r="AC1257" s="62">
        <f t="shared" si="259"/>
        <v>0</v>
      </c>
    </row>
    <row r="1258" spans="1:29" ht="28.7" customHeight="1" x14ac:dyDescent="0.25">
      <c r="A1258" s="4" t="s">
        <v>19</v>
      </c>
      <c r="B1258" s="7" t="s">
        <v>75</v>
      </c>
      <c r="C1258" s="2" t="s">
        <v>1556</v>
      </c>
      <c r="D1258" s="7" t="s">
        <v>1134</v>
      </c>
      <c r="E1258" s="4" t="s">
        <v>823</v>
      </c>
      <c r="F1258" s="2"/>
      <c r="G1258" s="2" t="s">
        <v>1399</v>
      </c>
      <c r="H1258" s="2" t="s">
        <v>1400</v>
      </c>
      <c r="I1258" s="4" t="s">
        <v>60</v>
      </c>
      <c r="J1258" s="112">
        <f>IF($H1258&lt;&gt;"Y",0,ROUND(MIN(Dashboard!$R$24,IF(IFERROR(VLOOKUP($B1258,Dashboard!$Q$28:$S$60,2,FALSE),0)&gt;0,IFERROR(VLOOKUP($B1258,Dashboard!$Q$28:$S$60,2,FALSE),0),$Z1258*IF($U1258&lt;&gt;"",ROUND((Dashboard!$R$4/$U1258)*VLOOKUP($I1258,Dashboard!$Q$9:$R$13,2,FALSE)*IF(ISNUMBER(SEARCH("Duals",$B1258)),2,IF(ISNUMBER(SEARCH("Triples",$B1258)),3,IF(ISNUMBER(SEARCH("Quads",$B1258)),4,1))),2),ROUND(VLOOKUP($I1258,Dashboard!$Q$15:$R$20,2,FALSE)*IF($E1258="Red",Dashboard!$R$6,IF($E1258="Gold",Dashboard!$R$7,Dashboard!$R$5))*IF(ISNUMBER(SEARCH("Duals",$B1258)),2,IF(ISNUMBER(SEARCH("Triples",$B1258)),3,IF(ISNUMBER(SEARCH("Quads",$B1258)),4,1))),2))*IF(IFERROR(VLOOKUP($B1258,Dashboard!$Q$28:$S$60,3,FALSE),0)&gt;0,VLOOKUP($B1258,Dashboard!$Q$28:$S$60,3,FALSE),1))),0))</f>
        <v>2</v>
      </c>
      <c r="K1258" s="2" t="str">
        <f>IF('Base S2'!D58="","",'Base S2'!D58)</f>
        <v>h</v>
      </c>
      <c r="L1258" s="2">
        <f t="shared" si="247"/>
        <v>1</v>
      </c>
      <c r="M1258" s="2">
        <f t="shared" si="248"/>
        <v>0</v>
      </c>
      <c r="N1258" s="2">
        <f t="shared" si="249"/>
        <v>1</v>
      </c>
      <c r="O1258" s="2">
        <f t="shared" si="250"/>
        <v>0</v>
      </c>
      <c r="P1258" s="112">
        <f t="shared" si="251"/>
        <v>2</v>
      </c>
      <c r="Q1258" s="112">
        <f t="shared" si="252"/>
        <v>0</v>
      </c>
      <c r="R1258" s="53"/>
      <c r="S1258" s="53" t="str">
        <f t="shared" si="253"/>
        <v>Base S2|Red Parallel - Season 2|157|Red</v>
      </c>
      <c r="T1258" s="57" t="str">
        <f>IF($S1258="","",IFERROR(VLOOKUP($S1258,'Pop Estimates (Non-#d)'!$N$2:$O$500,2,FALSE),""))</f>
        <v/>
      </c>
      <c r="U1258" s="57" t="str">
        <f t="shared" si="254"/>
        <v/>
      </c>
      <c r="V1258" s="53" t="str">
        <f t="shared" si="255"/>
        <v/>
      </c>
      <c r="W1258" s="53" t="str">
        <f t="shared" si="256"/>
        <v/>
      </c>
      <c r="X1258" s="53" t="str">
        <f t="shared" si="257"/>
        <v/>
      </c>
      <c r="Y1258" s="57" t="str">
        <f>IF($X1258="","",IFERROR(VLOOKUP($X1258,'Char Popularity'!$A$2:$C$500,2,FALSE),""))</f>
        <v/>
      </c>
      <c r="Z1258" s="56">
        <f>IF($X1258="",1,IFERROR(VLOOKUP($X1258,'Char Popularity'!$A$2:$C$500,3,FALSE),1))</f>
        <v>1</v>
      </c>
      <c r="AA1258" s="62">
        <f>IF($H1258&lt;&gt;"Y",0,(IF($F1258&lt;&gt;"",ROUND(Dashboard!$R$4/$F1258,1),IF(AND($I1258="Base",$E1258="Base"),Dashboard!$R$5,IF(AND($I1258="Base",$E1258="Red"),Dashboard!$R$6,IF(AND($I1258="Base",$E1258="Gold"),Dashboard!$R$7,VLOOKUP($I1258,Dashboard!$Q$16:$R$21,2,FALSE)))))*VLOOKUP($I1258,Dashboard!$Q$9:$R$13,2,FALSE)*IF(AND($I1258="Auto",$F1258="",OR($B1258="Autographs Duals",$B1258="Autographs Triples",$B1258="Autographs Quads",$B1258="Autographs Quads (Inscribed)")),IF($B1258="Autographs Duals",2,IF($B1258="Autographs Triples",3,4)),1)))</f>
        <v>2</v>
      </c>
      <c r="AB1258" s="62">
        <f t="shared" si="258"/>
        <v>2</v>
      </c>
      <c r="AC1258" s="62">
        <f t="shared" si="259"/>
        <v>0</v>
      </c>
    </row>
    <row r="1259" spans="1:29" ht="28.7" customHeight="1" x14ac:dyDescent="0.25">
      <c r="A1259" s="4" t="s">
        <v>19</v>
      </c>
      <c r="B1259" s="7" t="s">
        <v>75</v>
      </c>
      <c r="C1259" s="2" t="s">
        <v>1557</v>
      </c>
      <c r="D1259" s="7" t="s">
        <v>1136</v>
      </c>
      <c r="E1259" s="4" t="s">
        <v>823</v>
      </c>
      <c r="F1259" s="2"/>
      <c r="G1259" s="2" t="s">
        <v>1399</v>
      </c>
      <c r="H1259" s="2" t="s">
        <v>1400</v>
      </c>
      <c r="I1259" s="4" t="s">
        <v>60</v>
      </c>
      <c r="J1259" s="112">
        <f>IF($H1259&lt;&gt;"Y",0,ROUND(MIN(Dashboard!$R$24,IF(IFERROR(VLOOKUP($B1259,Dashboard!$Q$28:$S$60,2,FALSE),0)&gt;0,IFERROR(VLOOKUP($B1259,Dashboard!$Q$28:$S$60,2,FALSE),0),$Z1259*IF($U1259&lt;&gt;"",ROUND((Dashboard!$R$4/$U1259)*VLOOKUP($I1259,Dashboard!$Q$9:$R$13,2,FALSE)*IF(ISNUMBER(SEARCH("Duals",$B1259)),2,IF(ISNUMBER(SEARCH("Triples",$B1259)),3,IF(ISNUMBER(SEARCH("Quads",$B1259)),4,1))),2),ROUND(VLOOKUP($I1259,Dashboard!$Q$15:$R$20,2,FALSE)*IF($E1259="Red",Dashboard!$R$6,IF($E1259="Gold",Dashboard!$R$7,Dashboard!$R$5))*IF(ISNUMBER(SEARCH("Duals",$B1259)),2,IF(ISNUMBER(SEARCH("Triples",$B1259)),3,IF(ISNUMBER(SEARCH("Quads",$B1259)),4,1))),2))*IF(IFERROR(VLOOKUP($B1259,Dashboard!$Q$28:$S$60,3,FALSE),0)&gt;0,VLOOKUP($B1259,Dashboard!$Q$28:$S$60,3,FALSE),1))),0))</f>
        <v>2</v>
      </c>
      <c r="K1259" s="2" t="str">
        <f>IF('Base S2'!D59="","",'Base S2'!D59)</f>
        <v>h</v>
      </c>
      <c r="L1259" s="2">
        <f t="shared" si="247"/>
        <v>1</v>
      </c>
      <c r="M1259" s="2">
        <f t="shared" si="248"/>
        <v>0</v>
      </c>
      <c r="N1259" s="2">
        <f t="shared" si="249"/>
        <v>1</v>
      </c>
      <c r="O1259" s="2">
        <f t="shared" si="250"/>
        <v>0</v>
      </c>
      <c r="P1259" s="112">
        <f t="shared" si="251"/>
        <v>2</v>
      </c>
      <c r="Q1259" s="112">
        <f t="shared" si="252"/>
        <v>0</v>
      </c>
      <c r="R1259" s="53"/>
      <c r="S1259" s="53" t="str">
        <f t="shared" si="253"/>
        <v>Base S2|Red Parallel - Season 2|158|Red</v>
      </c>
      <c r="T1259" s="57" t="str">
        <f>IF($S1259="","",IFERROR(VLOOKUP($S1259,'Pop Estimates (Non-#d)'!$N$2:$O$500,2,FALSE),""))</f>
        <v/>
      </c>
      <c r="U1259" s="57" t="str">
        <f t="shared" si="254"/>
        <v/>
      </c>
      <c r="V1259" s="53" t="str">
        <f t="shared" si="255"/>
        <v/>
      </c>
      <c r="W1259" s="53" t="str">
        <f t="shared" si="256"/>
        <v/>
      </c>
      <c r="X1259" s="53" t="str">
        <f t="shared" si="257"/>
        <v/>
      </c>
      <c r="Y1259" s="57" t="str">
        <f>IF($X1259="","",IFERROR(VLOOKUP($X1259,'Char Popularity'!$A$2:$C$500,2,FALSE),""))</f>
        <v/>
      </c>
      <c r="Z1259" s="56">
        <f>IF($X1259="",1,IFERROR(VLOOKUP($X1259,'Char Popularity'!$A$2:$C$500,3,FALSE),1))</f>
        <v>1</v>
      </c>
      <c r="AA1259" s="62">
        <f>IF($H1259&lt;&gt;"Y",0,(IF($F1259&lt;&gt;"",ROUND(Dashboard!$R$4/$F1259,1),IF(AND($I1259="Base",$E1259="Base"),Dashboard!$R$5,IF(AND($I1259="Base",$E1259="Red"),Dashboard!$R$6,IF(AND($I1259="Base",$E1259="Gold"),Dashboard!$R$7,VLOOKUP($I1259,Dashboard!$Q$16:$R$21,2,FALSE)))))*VLOOKUP($I1259,Dashboard!$Q$9:$R$13,2,FALSE)*IF(AND($I1259="Auto",$F1259="",OR($B1259="Autographs Duals",$B1259="Autographs Triples",$B1259="Autographs Quads",$B1259="Autographs Quads (Inscribed)")),IF($B1259="Autographs Duals",2,IF($B1259="Autographs Triples",3,4)),1)))</f>
        <v>2</v>
      </c>
      <c r="AB1259" s="62">
        <f t="shared" si="258"/>
        <v>2</v>
      </c>
      <c r="AC1259" s="62">
        <f t="shared" si="259"/>
        <v>0</v>
      </c>
    </row>
    <row r="1260" spans="1:29" ht="28.7" customHeight="1" x14ac:dyDescent="0.25">
      <c r="A1260" s="4" t="s">
        <v>19</v>
      </c>
      <c r="B1260" s="7" t="s">
        <v>75</v>
      </c>
      <c r="C1260" s="2" t="s">
        <v>1558</v>
      </c>
      <c r="D1260" s="7" t="s">
        <v>1137</v>
      </c>
      <c r="E1260" s="4" t="s">
        <v>823</v>
      </c>
      <c r="F1260" s="2"/>
      <c r="G1260" s="2" t="s">
        <v>1399</v>
      </c>
      <c r="H1260" s="2" t="s">
        <v>1400</v>
      </c>
      <c r="I1260" s="4" t="s">
        <v>60</v>
      </c>
      <c r="J1260" s="112">
        <f>IF($H1260&lt;&gt;"Y",0,ROUND(MIN(Dashboard!$R$24,IF(IFERROR(VLOOKUP($B1260,Dashboard!$Q$28:$S$60,2,FALSE),0)&gt;0,IFERROR(VLOOKUP($B1260,Dashboard!$Q$28:$S$60,2,FALSE),0),$Z1260*IF($U1260&lt;&gt;"",ROUND((Dashboard!$R$4/$U1260)*VLOOKUP($I1260,Dashboard!$Q$9:$R$13,2,FALSE)*IF(ISNUMBER(SEARCH("Duals",$B1260)),2,IF(ISNUMBER(SEARCH("Triples",$B1260)),3,IF(ISNUMBER(SEARCH("Quads",$B1260)),4,1))),2),ROUND(VLOOKUP($I1260,Dashboard!$Q$15:$R$20,2,FALSE)*IF($E1260="Red",Dashboard!$R$6,IF($E1260="Gold",Dashboard!$R$7,Dashboard!$R$5))*IF(ISNUMBER(SEARCH("Duals",$B1260)),2,IF(ISNUMBER(SEARCH("Triples",$B1260)),3,IF(ISNUMBER(SEARCH("Quads",$B1260)),4,1))),2))*IF(IFERROR(VLOOKUP($B1260,Dashboard!$Q$28:$S$60,3,FALSE),0)&gt;0,VLOOKUP($B1260,Dashboard!$Q$28:$S$60,3,FALSE),1))),0))</f>
        <v>2</v>
      </c>
      <c r="K1260" s="2" t="str">
        <f>IF('Base S2'!D60="","",'Base S2'!D60)</f>
        <v>h</v>
      </c>
      <c r="L1260" s="2">
        <f t="shared" si="247"/>
        <v>1</v>
      </c>
      <c r="M1260" s="2">
        <f t="shared" si="248"/>
        <v>0</v>
      </c>
      <c r="N1260" s="2">
        <f t="shared" si="249"/>
        <v>1</v>
      </c>
      <c r="O1260" s="2">
        <f t="shared" si="250"/>
        <v>0</v>
      </c>
      <c r="P1260" s="112">
        <f t="shared" si="251"/>
        <v>2</v>
      </c>
      <c r="Q1260" s="112">
        <f t="shared" si="252"/>
        <v>0</v>
      </c>
      <c r="R1260" s="53"/>
      <c r="S1260" s="53" t="str">
        <f t="shared" si="253"/>
        <v>Base S2|Red Parallel - Season 2|159|Red</v>
      </c>
      <c r="T1260" s="57" t="str">
        <f>IF($S1260="","",IFERROR(VLOOKUP($S1260,'Pop Estimates (Non-#d)'!$N$2:$O$500,2,FALSE),""))</f>
        <v/>
      </c>
      <c r="U1260" s="57" t="str">
        <f t="shared" si="254"/>
        <v/>
      </c>
      <c r="V1260" s="53" t="str">
        <f t="shared" si="255"/>
        <v/>
      </c>
      <c r="W1260" s="53" t="str">
        <f t="shared" si="256"/>
        <v/>
      </c>
      <c r="X1260" s="53" t="str">
        <f t="shared" si="257"/>
        <v/>
      </c>
      <c r="Y1260" s="57" t="str">
        <f>IF($X1260="","",IFERROR(VLOOKUP($X1260,'Char Popularity'!$A$2:$C$500,2,FALSE),""))</f>
        <v/>
      </c>
      <c r="Z1260" s="56">
        <f>IF($X1260="",1,IFERROR(VLOOKUP($X1260,'Char Popularity'!$A$2:$C$500,3,FALSE),1))</f>
        <v>1</v>
      </c>
      <c r="AA1260" s="62">
        <f>IF($H1260&lt;&gt;"Y",0,(IF($F1260&lt;&gt;"",ROUND(Dashboard!$R$4/$F1260,1),IF(AND($I1260="Base",$E1260="Base"),Dashboard!$R$5,IF(AND($I1260="Base",$E1260="Red"),Dashboard!$R$6,IF(AND($I1260="Base",$E1260="Gold"),Dashboard!$R$7,VLOOKUP($I1260,Dashboard!$Q$16:$R$21,2,FALSE)))))*VLOOKUP($I1260,Dashboard!$Q$9:$R$13,2,FALSE)*IF(AND($I1260="Auto",$F1260="",OR($B1260="Autographs Duals",$B1260="Autographs Triples",$B1260="Autographs Quads",$B1260="Autographs Quads (Inscribed)")),IF($B1260="Autographs Duals",2,IF($B1260="Autographs Triples",3,4)),1)))</f>
        <v>2</v>
      </c>
      <c r="AB1260" s="62">
        <f t="shared" si="258"/>
        <v>2</v>
      </c>
      <c r="AC1260" s="62">
        <f t="shared" si="259"/>
        <v>0</v>
      </c>
    </row>
    <row r="1261" spans="1:29" ht="28.7" customHeight="1" x14ac:dyDescent="0.25">
      <c r="A1261" s="4" t="s">
        <v>19</v>
      </c>
      <c r="B1261" s="7" t="s">
        <v>75</v>
      </c>
      <c r="C1261" s="2" t="s">
        <v>1559</v>
      </c>
      <c r="D1261" s="7" t="s">
        <v>1139</v>
      </c>
      <c r="E1261" s="4" t="s">
        <v>823</v>
      </c>
      <c r="F1261" s="2"/>
      <c r="G1261" s="2" t="s">
        <v>1399</v>
      </c>
      <c r="H1261" s="2" t="s">
        <v>1400</v>
      </c>
      <c r="I1261" s="4" t="s">
        <v>60</v>
      </c>
      <c r="J1261" s="112">
        <f>IF($H1261&lt;&gt;"Y",0,ROUND(MIN(Dashboard!$R$24,IF(IFERROR(VLOOKUP($B1261,Dashboard!$Q$28:$S$60,2,FALSE),0)&gt;0,IFERROR(VLOOKUP($B1261,Dashboard!$Q$28:$S$60,2,FALSE),0),$Z1261*IF($U1261&lt;&gt;"",ROUND((Dashboard!$R$4/$U1261)*VLOOKUP($I1261,Dashboard!$Q$9:$R$13,2,FALSE)*IF(ISNUMBER(SEARCH("Duals",$B1261)),2,IF(ISNUMBER(SEARCH("Triples",$B1261)),3,IF(ISNUMBER(SEARCH("Quads",$B1261)),4,1))),2),ROUND(VLOOKUP($I1261,Dashboard!$Q$15:$R$20,2,FALSE)*IF($E1261="Red",Dashboard!$R$6,IF($E1261="Gold",Dashboard!$R$7,Dashboard!$R$5))*IF(ISNUMBER(SEARCH("Duals",$B1261)),2,IF(ISNUMBER(SEARCH("Triples",$B1261)),3,IF(ISNUMBER(SEARCH("Quads",$B1261)),4,1))),2))*IF(IFERROR(VLOOKUP($B1261,Dashboard!$Q$28:$S$60,3,FALSE),0)&gt;0,VLOOKUP($B1261,Dashboard!$Q$28:$S$60,3,FALSE),1))),0))</f>
        <v>2</v>
      </c>
      <c r="K1261" s="2" t="str">
        <f>IF('Base S2'!D61="","",'Base S2'!D61)</f>
        <v>h</v>
      </c>
      <c r="L1261" s="2">
        <f t="shared" si="247"/>
        <v>1</v>
      </c>
      <c r="M1261" s="2">
        <f t="shared" si="248"/>
        <v>0</v>
      </c>
      <c r="N1261" s="2">
        <f t="shared" si="249"/>
        <v>1</v>
      </c>
      <c r="O1261" s="2">
        <f t="shared" si="250"/>
        <v>0</v>
      </c>
      <c r="P1261" s="112">
        <f t="shared" si="251"/>
        <v>2</v>
      </c>
      <c r="Q1261" s="112">
        <f t="shared" si="252"/>
        <v>0</v>
      </c>
      <c r="R1261" s="53"/>
      <c r="S1261" s="53" t="str">
        <f t="shared" si="253"/>
        <v>Base S2|Red Parallel - Season 2|160|Red</v>
      </c>
      <c r="T1261" s="57" t="str">
        <f>IF($S1261="","",IFERROR(VLOOKUP($S1261,'Pop Estimates (Non-#d)'!$N$2:$O$500,2,FALSE),""))</f>
        <v/>
      </c>
      <c r="U1261" s="57" t="str">
        <f t="shared" si="254"/>
        <v/>
      </c>
      <c r="V1261" s="53" t="str">
        <f t="shared" si="255"/>
        <v/>
      </c>
      <c r="W1261" s="53" t="str">
        <f t="shared" si="256"/>
        <v/>
      </c>
      <c r="X1261" s="53" t="str">
        <f t="shared" si="257"/>
        <v/>
      </c>
      <c r="Y1261" s="57" t="str">
        <f>IF($X1261="","",IFERROR(VLOOKUP($X1261,'Char Popularity'!$A$2:$C$500,2,FALSE),""))</f>
        <v/>
      </c>
      <c r="Z1261" s="56">
        <f>IF($X1261="",1,IFERROR(VLOOKUP($X1261,'Char Popularity'!$A$2:$C$500,3,FALSE),1))</f>
        <v>1</v>
      </c>
      <c r="AA1261" s="62">
        <f>IF($H1261&lt;&gt;"Y",0,(IF($F1261&lt;&gt;"",ROUND(Dashboard!$R$4/$F1261,1),IF(AND($I1261="Base",$E1261="Base"),Dashboard!$R$5,IF(AND($I1261="Base",$E1261="Red"),Dashboard!$R$6,IF(AND($I1261="Base",$E1261="Gold"),Dashboard!$R$7,VLOOKUP($I1261,Dashboard!$Q$16:$R$21,2,FALSE)))))*VLOOKUP($I1261,Dashboard!$Q$9:$R$13,2,FALSE)*IF(AND($I1261="Auto",$F1261="",OR($B1261="Autographs Duals",$B1261="Autographs Triples",$B1261="Autographs Quads",$B1261="Autographs Quads (Inscribed)")),IF($B1261="Autographs Duals",2,IF($B1261="Autographs Triples",3,4)),1)))</f>
        <v>2</v>
      </c>
      <c r="AB1261" s="62">
        <f t="shared" si="258"/>
        <v>2</v>
      </c>
      <c r="AC1261" s="62">
        <f t="shared" si="259"/>
        <v>0</v>
      </c>
    </row>
    <row r="1262" spans="1:29" ht="28.7" customHeight="1" x14ac:dyDescent="0.25">
      <c r="A1262" s="4" t="s">
        <v>19</v>
      </c>
      <c r="B1262" s="7" t="s">
        <v>75</v>
      </c>
      <c r="C1262" s="2" t="s">
        <v>1560</v>
      </c>
      <c r="D1262" s="7" t="s">
        <v>1140</v>
      </c>
      <c r="E1262" s="4" t="s">
        <v>823</v>
      </c>
      <c r="F1262" s="2"/>
      <c r="G1262" s="2" t="s">
        <v>1399</v>
      </c>
      <c r="H1262" s="2" t="s">
        <v>1400</v>
      </c>
      <c r="I1262" s="4" t="s">
        <v>60</v>
      </c>
      <c r="J1262" s="112">
        <f>IF($H1262&lt;&gt;"Y",0,ROUND(MIN(Dashboard!$R$24,IF(IFERROR(VLOOKUP($B1262,Dashboard!$Q$28:$S$60,2,FALSE),0)&gt;0,IFERROR(VLOOKUP($B1262,Dashboard!$Q$28:$S$60,2,FALSE),0),$Z1262*IF($U1262&lt;&gt;"",ROUND((Dashboard!$R$4/$U1262)*VLOOKUP($I1262,Dashboard!$Q$9:$R$13,2,FALSE)*IF(ISNUMBER(SEARCH("Duals",$B1262)),2,IF(ISNUMBER(SEARCH("Triples",$B1262)),3,IF(ISNUMBER(SEARCH("Quads",$B1262)),4,1))),2),ROUND(VLOOKUP($I1262,Dashboard!$Q$15:$R$20,2,FALSE)*IF($E1262="Red",Dashboard!$R$6,IF($E1262="Gold",Dashboard!$R$7,Dashboard!$R$5))*IF(ISNUMBER(SEARCH("Duals",$B1262)),2,IF(ISNUMBER(SEARCH("Triples",$B1262)),3,IF(ISNUMBER(SEARCH("Quads",$B1262)),4,1))),2))*IF(IFERROR(VLOOKUP($B1262,Dashboard!$Q$28:$S$60,3,FALSE),0)&gt;0,VLOOKUP($B1262,Dashboard!$Q$28:$S$60,3,FALSE),1))),0))</f>
        <v>2</v>
      </c>
      <c r="K1262" s="2" t="str">
        <f>IF('Base S2'!D62="","",'Base S2'!D62)</f>
        <v>h</v>
      </c>
      <c r="L1262" s="2">
        <f t="shared" si="247"/>
        <v>1</v>
      </c>
      <c r="M1262" s="2">
        <f t="shared" si="248"/>
        <v>0</v>
      </c>
      <c r="N1262" s="2">
        <f t="shared" si="249"/>
        <v>1</v>
      </c>
      <c r="O1262" s="2">
        <f t="shared" si="250"/>
        <v>0</v>
      </c>
      <c r="P1262" s="112">
        <f t="shared" si="251"/>
        <v>2</v>
      </c>
      <c r="Q1262" s="112">
        <f t="shared" si="252"/>
        <v>0</v>
      </c>
      <c r="R1262" s="53"/>
      <c r="S1262" s="53" t="str">
        <f t="shared" si="253"/>
        <v>Base S2|Red Parallel - Season 2|161|Red</v>
      </c>
      <c r="T1262" s="57" t="str">
        <f>IF($S1262="","",IFERROR(VLOOKUP($S1262,'Pop Estimates (Non-#d)'!$N$2:$O$500,2,FALSE),""))</f>
        <v/>
      </c>
      <c r="U1262" s="57" t="str">
        <f t="shared" si="254"/>
        <v/>
      </c>
      <c r="V1262" s="53" t="str">
        <f t="shared" si="255"/>
        <v/>
      </c>
      <c r="W1262" s="53" t="str">
        <f t="shared" si="256"/>
        <v/>
      </c>
      <c r="X1262" s="53" t="str">
        <f t="shared" si="257"/>
        <v/>
      </c>
      <c r="Y1262" s="57" t="str">
        <f>IF($X1262="","",IFERROR(VLOOKUP($X1262,'Char Popularity'!$A$2:$C$500,2,FALSE),""))</f>
        <v/>
      </c>
      <c r="Z1262" s="56">
        <f>IF($X1262="",1,IFERROR(VLOOKUP($X1262,'Char Popularity'!$A$2:$C$500,3,FALSE),1))</f>
        <v>1</v>
      </c>
      <c r="AA1262" s="62">
        <f>IF($H1262&lt;&gt;"Y",0,(IF($F1262&lt;&gt;"",ROUND(Dashboard!$R$4/$F1262,1),IF(AND($I1262="Base",$E1262="Base"),Dashboard!$R$5,IF(AND($I1262="Base",$E1262="Red"),Dashboard!$R$6,IF(AND($I1262="Base",$E1262="Gold"),Dashboard!$R$7,VLOOKUP($I1262,Dashboard!$Q$16:$R$21,2,FALSE)))))*VLOOKUP($I1262,Dashboard!$Q$9:$R$13,2,FALSE)*IF(AND($I1262="Auto",$F1262="",OR($B1262="Autographs Duals",$B1262="Autographs Triples",$B1262="Autographs Quads",$B1262="Autographs Quads (Inscribed)")),IF($B1262="Autographs Duals",2,IF($B1262="Autographs Triples",3,4)),1)))</f>
        <v>2</v>
      </c>
      <c r="AB1262" s="62">
        <f t="shared" si="258"/>
        <v>2</v>
      </c>
      <c r="AC1262" s="62">
        <f t="shared" si="259"/>
        <v>0</v>
      </c>
    </row>
    <row r="1263" spans="1:29" ht="28.7" customHeight="1" x14ac:dyDescent="0.25">
      <c r="A1263" s="4" t="s">
        <v>19</v>
      </c>
      <c r="B1263" s="7" t="s">
        <v>75</v>
      </c>
      <c r="C1263" s="2" t="s">
        <v>1561</v>
      </c>
      <c r="D1263" s="7" t="s">
        <v>1142</v>
      </c>
      <c r="E1263" s="4" t="s">
        <v>823</v>
      </c>
      <c r="F1263" s="2"/>
      <c r="G1263" s="2" t="s">
        <v>1399</v>
      </c>
      <c r="H1263" s="2" t="s">
        <v>1400</v>
      </c>
      <c r="I1263" s="4" t="s">
        <v>60</v>
      </c>
      <c r="J1263" s="112">
        <f>IF($H1263&lt;&gt;"Y",0,ROUND(MIN(Dashboard!$R$24,IF(IFERROR(VLOOKUP($B1263,Dashboard!$Q$28:$S$60,2,FALSE),0)&gt;0,IFERROR(VLOOKUP($B1263,Dashboard!$Q$28:$S$60,2,FALSE),0),$Z1263*IF($U1263&lt;&gt;"",ROUND((Dashboard!$R$4/$U1263)*VLOOKUP($I1263,Dashboard!$Q$9:$R$13,2,FALSE)*IF(ISNUMBER(SEARCH("Duals",$B1263)),2,IF(ISNUMBER(SEARCH("Triples",$B1263)),3,IF(ISNUMBER(SEARCH("Quads",$B1263)),4,1))),2),ROUND(VLOOKUP($I1263,Dashboard!$Q$15:$R$20,2,FALSE)*IF($E1263="Red",Dashboard!$R$6,IF($E1263="Gold",Dashboard!$R$7,Dashboard!$R$5))*IF(ISNUMBER(SEARCH("Duals",$B1263)),2,IF(ISNUMBER(SEARCH("Triples",$B1263)),3,IF(ISNUMBER(SEARCH("Quads",$B1263)),4,1))),2))*IF(IFERROR(VLOOKUP($B1263,Dashboard!$Q$28:$S$60,3,FALSE),0)&gt;0,VLOOKUP($B1263,Dashboard!$Q$28:$S$60,3,FALSE),1))),0))</f>
        <v>2</v>
      </c>
      <c r="K1263" s="2" t="str">
        <f>IF('Base S2'!D63="","",'Base S2'!D63)</f>
        <v>h</v>
      </c>
      <c r="L1263" s="2">
        <f t="shared" si="247"/>
        <v>1</v>
      </c>
      <c r="M1263" s="2">
        <f t="shared" si="248"/>
        <v>0</v>
      </c>
      <c r="N1263" s="2">
        <f t="shared" si="249"/>
        <v>1</v>
      </c>
      <c r="O1263" s="2">
        <f t="shared" si="250"/>
        <v>0</v>
      </c>
      <c r="P1263" s="112">
        <f t="shared" si="251"/>
        <v>2</v>
      </c>
      <c r="Q1263" s="112">
        <f t="shared" si="252"/>
        <v>0</v>
      </c>
      <c r="R1263" s="53"/>
      <c r="S1263" s="53" t="str">
        <f t="shared" si="253"/>
        <v>Base S2|Red Parallel - Season 2|162|Red</v>
      </c>
      <c r="T1263" s="57" t="str">
        <f>IF($S1263="","",IFERROR(VLOOKUP($S1263,'Pop Estimates (Non-#d)'!$N$2:$O$500,2,FALSE),""))</f>
        <v/>
      </c>
      <c r="U1263" s="57" t="str">
        <f t="shared" si="254"/>
        <v/>
      </c>
      <c r="V1263" s="53" t="str">
        <f t="shared" si="255"/>
        <v/>
      </c>
      <c r="W1263" s="53" t="str">
        <f t="shared" si="256"/>
        <v/>
      </c>
      <c r="X1263" s="53" t="str">
        <f t="shared" si="257"/>
        <v/>
      </c>
      <c r="Y1263" s="57" t="str">
        <f>IF($X1263="","",IFERROR(VLOOKUP($X1263,'Char Popularity'!$A$2:$C$500,2,FALSE),""))</f>
        <v/>
      </c>
      <c r="Z1263" s="56">
        <f>IF($X1263="",1,IFERROR(VLOOKUP($X1263,'Char Popularity'!$A$2:$C$500,3,FALSE),1))</f>
        <v>1</v>
      </c>
      <c r="AA1263" s="62">
        <f>IF($H1263&lt;&gt;"Y",0,(IF($F1263&lt;&gt;"",ROUND(Dashboard!$R$4/$F1263,1),IF(AND($I1263="Base",$E1263="Base"),Dashboard!$R$5,IF(AND($I1263="Base",$E1263="Red"),Dashboard!$R$6,IF(AND($I1263="Base",$E1263="Gold"),Dashboard!$R$7,VLOOKUP($I1263,Dashboard!$Q$16:$R$21,2,FALSE)))))*VLOOKUP($I1263,Dashboard!$Q$9:$R$13,2,FALSE)*IF(AND($I1263="Auto",$F1263="",OR($B1263="Autographs Duals",$B1263="Autographs Triples",$B1263="Autographs Quads",$B1263="Autographs Quads (Inscribed)")),IF($B1263="Autographs Duals",2,IF($B1263="Autographs Triples",3,4)),1)))</f>
        <v>2</v>
      </c>
      <c r="AB1263" s="62">
        <f t="shared" si="258"/>
        <v>2</v>
      </c>
      <c r="AC1263" s="62">
        <f t="shared" si="259"/>
        <v>0</v>
      </c>
    </row>
    <row r="1264" spans="1:29" ht="28.7" customHeight="1" x14ac:dyDescent="0.25">
      <c r="A1264" s="4" t="s">
        <v>19</v>
      </c>
      <c r="B1264" s="7" t="s">
        <v>75</v>
      </c>
      <c r="C1264" s="2" t="s">
        <v>1562</v>
      </c>
      <c r="D1264" s="7" t="s">
        <v>1143</v>
      </c>
      <c r="E1264" s="4" t="s">
        <v>823</v>
      </c>
      <c r="F1264" s="2"/>
      <c r="G1264" s="2" t="s">
        <v>1399</v>
      </c>
      <c r="H1264" s="2" t="s">
        <v>1400</v>
      </c>
      <c r="I1264" s="4" t="s">
        <v>60</v>
      </c>
      <c r="J1264" s="112">
        <f>IF($H1264&lt;&gt;"Y",0,ROUND(MIN(Dashboard!$R$24,IF(IFERROR(VLOOKUP($B1264,Dashboard!$Q$28:$S$60,2,FALSE),0)&gt;0,IFERROR(VLOOKUP($B1264,Dashboard!$Q$28:$S$60,2,FALSE),0),$Z1264*IF($U1264&lt;&gt;"",ROUND((Dashboard!$R$4/$U1264)*VLOOKUP($I1264,Dashboard!$Q$9:$R$13,2,FALSE)*IF(ISNUMBER(SEARCH("Duals",$B1264)),2,IF(ISNUMBER(SEARCH("Triples",$B1264)),3,IF(ISNUMBER(SEARCH("Quads",$B1264)),4,1))),2),ROUND(VLOOKUP($I1264,Dashboard!$Q$15:$R$20,2,FALSE)*IF($E1264="Red",Dashboard!$R$6,IF($E1264="Gold",Dashboard!$R$7,Dashboard!$R$5))*IF(ISNUMBER(SEARCH("Duals",$B1264)),2,IF(ISNUMBER(SEARCH("Triples",$B1264)),3,IF(ISNUMBER(SEARCH("Quads",$B1264)),4,1))),2))*IF(IFERROR(VLOOKUP($B1264,Dashboard!$Q$28:$S$60,3,FALSE),0)&gt;0,VLOOKUP($B1264,Dashboard!$Q$28:$S$60,3,FALSE),1))),0))</f>
        <v>2</v>
      </c>
      <c r="K1264" s="2" t="str">
        <f>IF('Base S2'!D64="","",'Base S2'!D64)</f>
        <v>h</v>
      </c>
      <c r="L1264" s="2">
        <f t="shared" si="247"/>
        <v>1</v>
      </c>
      <c r="M1264" s="2">
        <f t="shared" si="248"/>
        <v>0</v>
      </c>
      <c r="N1264" s="2">
        <f t="shared" si="249"/>
        <v>1</v>
      </c>
      <c r="O1264" s="2">
        <f t="shared" si="250"/>
        <v>0</v>
      </c>
      <c r="P1264" s="112">
        <f t="shared" si="251"/>
        <v>2</v>
      </c>
      <c r="Q1264" s="112">
        <f t="shared" si="252"/>
        <v>0</v>
      </c>
      <c r="R1264" s="53"/>
      <c r="S1264" s="53" t="str">
        <f t="shared" si="253"/>
        <v>Base S2|Red Parallel - Season 2|163|Red</v>
      </c>
      <c r="T1264" s="57" t="str">
        <f>IF($S1264="","",IFERROR(VLOOKUP($S1264,'Pop Estimates (Non-#d)'!$N$2:$O$500,2,FALSE),""))</f>
        <v/>
      </c>
      <c r="U1264" s="57" t="str">
        <f t="shared" si="254"/>
        <v/>
      </c>
      <c r="V1264" s="53" t="str">
        <f t="shared" si="255"/>
        <v/>
      </c>
      <c r="W1264" s="53" t="str">
        <f t="shared" si="256"/>
        <v/>
      </c>
      <c r="X1264" s="53" t="str">
        <f t="shared" si="257"/>
        <v/>
      </c>
      <c r="Y1264" s="57" t="str">
        <f>IF($X1264="","",IFERROR(VLOOKUP($X1264,'Char Popularity'!$A$2:$C$500,2,FALSE),""))</f>
        <v/>
      </c>
      <c r="Z1264" s="56">
        <f>IF($X1264="",1,IFERROR(VLOOKUP($X1264,'Char Popularity'!$A$2:$C$500,3,FALSE),1))</f>
        <v>1</v>
      </c>
      <c r="AA1264" s="62">
        <f>IF($H1264&lt;&gt;"Y",0,(IF($F1264&lt;&gt;"",ROUND(Dashboard!$R$4/$F1264,1),IF(AND($I1264="Base",$E1264="Base"),Dashboard!$R$5,IF(AND($I1264="Base",$E1264="Red"),Dashboard!$R$6,IF(AND($I1264="Base",$E1264="Gold"),Dashboard!$R$7,VLOOKUP($I1264,Dashboard!$Q$16:$R$21,2,FALSE)))))*VLOOKUP($I1264,Dashboard!$Q$9:$R$13,2,FALSE)*IF(AND($I1264="Auto",$F1264="",OR($B1264="Autographs Duals",$B1264="Autographs Triples",$B1264="Autographs Quads",$B1264="Autographs Quads (Inscribed)")),IF($B1264="Autographs Duals",2,IF($B1264="Autographs Triples",3,4)),1)))</f>
        <v>2</v>
      </c>
      <c r="AB1264" s="62">
        <f t="shared" si="258"/>
        <v>2</v>
      </c>
      <c r="AC1264" s="62">
        <f t="shared" si="259"/>
        <v>0</v>
      </c>
    </row>
    <row r="1265" spans="1:29" ht="28.7" customHeight="1" x14ac:dyDescent="0.25">
      <c r="A1265" s="4" t="s">
        <v>19</v>
      </c>
      <c r="B1265" s="7" t="s">
        <v>75</v>
      </c>
      <c r="C1265" s="2" t="s">
        <v>1563</v>
      </c>
      <c r="D1265" s="7" t="s">
        <v>1145</v>
      </c>
      <c r="E1265" s="4" t="s">
        <v>823</v>
      </c>
      <c r="F1265" s="2"/>
      <c r="G1265" s="2" t="s">
        <v>1399</v>
      </c>
      <c r="H1265" s="2" t="s">
        <v>1400</v>
      </c>
      <c r="I1265" s="4" t="s">
        <v>60</v>
      </c>
      <c r="J1265" s="112">
        <f>IF($H1265&lt;&gt;"Y",0,ROUND(MIN(Dashboard!$R$24,IF(IFERROR(VLOOKUP($B1265,Dashboard!$Q$28:$S$60,2,FALSE),0)&gt;0,IFERROR(VLOOKUP($B1265,Dashboard!$Q$28:$S$60,2,FALSE),0),$Z1265*IF($U1265&lt;&gt;"",ROUND((Dashboard!$R$4/$U1265)*VLOOKUP($I1265,Dashboard!$Q$9:$R$13,2,FALSE)*IF(ISNUMBER(SEARCH("Duals",$B1265)),2,IF(ISNUMBER(SEARCH("Triples",$B1265)),3,IF(ISNUMBER(SEARCH("Quads",$B1265)),4,1))),2),ROUND(VLOOKUP($I1265,Dashboard!$Q$15:$R$20,2,FALSE)*IF($E1265="Red",Dashboard!$R$6,IF($E1265="Gold",Dashboard!$R$7,Dashboard!$R$5))*IF(ISNUMBER(SEARCH("Duals",$B1265)),2,IF(ISNUMBER(SEARCH("Triples",$B1265)),3,IF(ISNUMBER(SEARCH("Quads",$B1265)),4,1))),2))*IF(IFERROR(VLOOKUP($B1265,Dashboard!$Q$28:$S$60,3,FALSE),0)&gt;0,VLOOKUP($B1265,Dashboard!$Q$28:$S$60,3,FALSE),1))),0))</f>
        <v>2</v>
      </c>
      <c r="K1265" s="2" t="str">
        <f>IF('Base S2'!D65="","",'Base S2'!D65)</f>
        <v>h</v>
      </c>
      <c r="L1265" s="2">
        <f t="shared" si="247"/>
        <v>1</v>
      </c>
      <c r="M1265" s="2">
        <f t="shared" si="248"/>
        <v>0</v>
      </c>
      <c r="N1265" s="2">
        <f t="shared" si="249"/>
        <v>1</v>
      </c>
      <c r="O1265" s="2">
        <f t="shared" si="250"/>
        <v>0</v>
      </c>
      <c r="P1265" s="112">
        <f t="shared" si="251"/>
        <v>2</v>
      </c>
      <c r="Q1265" s="112">
        <f t="shared" si="252"/>
        <v>0</v>
      </c>
      <c r="R1265" s="53"/>
      <c r="S1265" s="53" t="str">
        <f t="shared" si="253"/>
        <v>Base S2|Red Parallel - Season 2|164|Red</v>
      </c>
      <c r="T1265" s="57" t="str">
        <f>IF($S1265="","",IFERROR(VLOOKUP($S1265,'Pop Estimates (Non-#d)'!$N$2:$O$500,2,FALSE),""))</f>
        <v/>
      </c>
      <c r="U1265" s="57" t="str">
        <f t="shared" si="254"/>
        <v/>
      </c>
      <c r="V1265" s="53" t="str">
        <f t="shared" si="255"/>
        <v/>
      </c>
      <c r="W1265" s="53" t="str">
        <f t="shared" si="256"/>
        <v/>
      </c>
      <c r="X1265" s="53" t="str">
        <f t="shared" si="257"/>
        <v/>
      </c>
      <c r="Y1265" s="57" t="str">
        <f>IF($X1265="","",IFERROR(VLOOKUP($X1265,'Char Popularity'!$A$2:$C$500,2,FALSE),""))</f>
        <v/>
      </c>
      <c r="Z1265" s="56">
        <f>IF($X1265="",1,IFERROR(VLOOKUP($X1265,'Char Popularity'!$A$2:$C$500,3,FALSE),1))</f>
        <v>1</v>
      </c>
      <c r="AA1265" s="62">
        <f>IF($H1265&lt;&gt;"Y",0,(IF($F1265&lt;&gt;"",ROUND(Dashboard!$R$4/$F1265,1),IF(AND($I1265="Base",$E1265="Base"),Dashboard!$R$5,IF(AND($I1265="Base",$E1265="Red"),Dashboard!$R$6,IF(AND($I1265="Base",$E1265="Gold"),Dashboard!$R$7,VLOOKUP($I1265,Dashboard!$Q$16:$R$21,2,FALSE)))))*VLOOKUP($I1265,Dashboard!$Q$9:$R$13,2,FALSE)*IF(AND($I1265="Auto",$F1265="",OR($B1265="Autographs Duals",$B1265="Autographs Triples",$B1265="Autographs Quads",$B1265="Autographs Quads (Inscribed)")),IF($B1265="Autographs Duals",2,IF($B1265="Autographs Triples",3,4)),1)))</f>
        <v>2</v>
      </c>
      <c r="AB1265" s="62">
        <f t="shared" si="258"/>
        <v>2</v>
      </c>
      <c r="AC1265" s="62">
        <f t="shared" si="259"/>
        <v>0</v>
      </c>
    </row>
    <row r="1266" spans="1:29" ht="28.7" customHeight="1" x14ac:dyDescent="0.25">
      <c r="A1266" s="4" t="s">
        <v>19</v>
      </c>
      <c r="B1266" s="7" t="s">
        <v>75</v>
      </c>
      <c r="C1266" s="2" t="s">
        <v>1564</v>
      </c>
      <c r="D1266" s="7" t="s">
        <v>1147</v>
      </c>
      <c r="E1266" s="4" t="s">
        <v>823</v>
      </c>
      <c r="F1266" s="2"/>
      <c r="G1266" s="2" t="s">
        <v>1399</v>
      </c>
      <c r="H1266" s="2" t="s">
        <v>1400</v>
      </c>
      <c r="I1266" s="4" t="s">
        <v>60</v>
      </c>
      <c r="J1266" s="112">
        <f>IF($H1266&lt;&gt;"Y",0,ROUND(MIN(Dashboard!$R$24,IF(IFERROR(VLOOKUP($B1266,Dashboard!$Q$28:$S$60,2,FALSE),0)&gt;0,IFERROR(VLOOKUP($B1266,Dashboard!$Q$28:$S$60,2,FALSE),0),$Z1266*IF($U1266&lt;&gt;"",ROUND((Dashboard!$R$4/$U1266)*VLOOKUP($I1266,Dashboard!$Q$9:$R$13,2,FALSE)*IF(ISNUMBER(SEARCH("Duals",$B1266)),2,IF(ISNUMBER(SEARCH("Triples",$B1266)),3,IF(ISNUMBER(SEARCH("Quads",$B1266)),4,1))),2),ROUND(VLOOKUP($I1266,Dashboard!$Q$15:$R$20,2,FALSE)*IF($E1266="Red",Dashboard!$R$6,IF($E1266="Gold",Dashboard!$R$7,Dashboard!$R$5))*IF(ISNUMBER(SEARCH("Duals",$B1266)),2,IF(ISNUMBER(SEARCH("Triples",$B1266)),3,IF(ISNUMBER(SEARCH("Quads",$B1266)),4,1))),2))*IF(IFERROR(VLOOKUP($B1266,Dashboard!$Q$28:$S$60,3,FALSE),0)&gt;0,VLOOKUP($B1266,Dashboard!$Q$28:$S$60,3,FALSE),1))),0))</f>
        <v>2</v>
      </c>
      <c r="K1266" s="2" t="str">
        <f>IF('Base S2'!D66="","",'Base S2'!D66)</f>
        <v>h</v>
      </c>
      <c r="L1266" s="2">
        <f t="shared" si="247"/>
        <v>1</v>
      </c>
      <c r="M1266" s="2">
        <f t="shared" si="248"/>
        <v>0</v>
      </c>
      <c r="N1266" s="2">
        <f t="shared" si="249"/>
        <v>1</v>
      </c>
      <c r="O1266" s="2">
        <f t="shared" si="250"/>
        <v>0</v>
      </c>
      <c r="P1266" s="112">
        <f t="shared" si="251"/>
        <v>2</v>
      </c>
      <c r="Q1266" s="112">
        <f t="shared" si="252"/>
        <v>0</v>
      </c>
      <c r="R1266" s="53"/>
      <c r="S1266" s="53" t="str">
        <f t="shared" si="253"/>
        <v>Base S2|Red Parallel - Season 2|165|Red</v>
      </c>
      <c r="T1266" s="57" t="str">
        <f>IF($S1266="","",IFERROR(VLOOKUP($S1266,'Pop Estimates (Non-#d)'!$N$2:$O$500,2,FALSE),""))</f>
        <v/>
      </c>
      <c r="U1266" s="57" t="str">
        <f t="shared" si="254"/>
        <v/>
      </c>
      <c r="V1266" s="53" t="str">
        <f t="shared" si="255"/>
        <v/>
      </c>
      <c r="W1266" s="53" t="str">
        <f t="shared" si="256"/>
        <v/>
      </c>
      <c r="X1266" s="53" t="str">
        <f t="shared" si="257"/>
        <v/>
      </c>
      <c r="Y1266" s="57" t="str">
        <f>IF($X1266="","",IFERROR(VLOOKUP($X1266,'Char Popularity'!$A$2:$C$500,2,FALSE),""))</f>
        <v/>
      </c>
      <c r="Z1266" s="56">
        <f>IF($X1266="",1,IFERROR(VLOOKUP($X1266,'Char Popularity'!$A$2:$C$500,3,FALSE),1))</f>
        <v>1</v>
      </c>
      <c r="AA1266" s="62">
        <f>IF($H1266&lt;&gt;"Y",0,(IF($F1266&lt;&gt;"",ROUND(Dashboard!$R$4/$F1266,1),IF(AND($I1266="Base",$E1266="Base"),Dashboard!$R$5,IF(AND($I1266="Base",$E1266="Red"),Dashboard!$R$6,IF(AND($I1266="Base",$E1266="Gold"),Dashboard!$R$7,VLOOKUP($I1266,Dashboard!$Q$16:$R$21,2,FALSE)))))*VLOOKUP($I1266,Dashboard!$Q$9:$R$13,2,FALSE)*IF(AND($I1266="Auto",$F1266="",OR($B1266="Autographs Duals",$B1266="Autographs Triples",$B1266="Autographs Quads",$B1266="Autographs Quads (Inscribed)")),IF($B1266="Autographs Duals",2,IF($B1266="Autographs Triples",3,4)),1)))</f>
        <v>2</v>
      </c>
      <c r="AB1266" s="62">
        <f t="shared" si="258"/>
        <v>2</v>
      </c>
      <c r="AC1266" s="62">
        <f t="shared" si="259"/>
        <v>0</v>
      </c>
    </row>
    <row r="1267" spans="1:29" ht="28.7" customHeight="1" x14ac:dyDescent="0.25">
      <c r="A1267" s="4" t="s">
        <v>19</v>
      </c>
      <c r="B1267" s="7" t="s">
        <v>75</v>
      </c>
      <c r="C1267" s="2" t="s">
        <v>1565</v>
      </c>
      <c r="D1267" s="7" t="s">
        <v>1148</v>
      </c>
      <c r="E1267" s="4" t="s">
        <v>823</v>
      </c>
      <c r="F1267" s="2"/>
      <c r="G1267" s="2" t="s">
        <v>1399</v>
      </c>
      <c r="H1267" s="2" t="s">
        <v>1400</v>
      </c>
      <c r="I1267" s="4" t="s">
        <v>60</v>
      </c>
      <c r="J1267" s="112">
        <f>IF($H1267&lt;&gt;"Y",0,ROUND(MIN(Dashboard!$R$24,IF(IFERROR(VLOOKUP($B1267,Dashboard!$Q$28:$S$60,2,FALSE),0)&gt;0,IFERROR(VLOOKUP($B1267,Dashboard!$Q$28:$S$60,2,FALSE),0),$Z1267*IF($U1267&lt;&gt;"",ROUND((Dashboard!$R$4/$U1267)*VLOOKUP($I1267,Dashboard!$Q$9:$R$13,2,FALSE)*IF(ISNUMBER(SEARCH("Duals",$B1267)),2,IF(ISNUMBER(SEARCH("Triples",$B1267)),3,IF(ISNUMBER(SEARCH("Quads",$B1267)),4,1))),2),ROUND(VLOOKUP($I1267,Dashboard!$Q$15:$R$20,2,FALSE)*IF($E1267="Red",Dashboard!$R$6,IF($E1267="Gold",Dashboard!$R$7,Dashboard!$R$5))*IF(ISNUMBER(SEARCH("Duals",$B1267)),2,IF(ISNUMBER(SEARCH("Triples",$B1267)),3,IF(ISNUMBER(SEARCH("Quads",$B1267)),4,1))),2))*IF(IFERROR(VLOOKUP($B1267,Dashboard!$Q$28:$S$60,3,FALSE),0)&gt;0,VLOOKUP($B1267,Dashboard!$Q$28:$S$60,3,FALSE),1))),0))</f>
        <v>2</v>
      </c>
      <c r="K1267" s="2" t="str">
        <f>IF('Base S2'!D67="","",'Base S2'!D67)</f>
        <v>h</v>
      </c>
      <c r="L1267" s="2">
        <f t="shared" si="247"/>
        <v>1</v>
      </c>
      <c r="M1267" s="2">
        <f t="shared" si="248"/>
        <v>0</v>
      </c>
      <c r="N1267" s="2">
        <f t="shared" si="249"/>
        <v>1</v>
      </c>
      <c r="O1267" s="2">
        <f t="shared" si="250"/>
        <v>0</v>
      </c>
      <c r="P1267" s="112">
        <f t="shared" si="251"/>
        <v>2</v>
      </c>
      <c r="Q1267" s="112">
        <f t="shared" si="252"/>
        <v>0</v>
      </c>
      <c r="R1267" s="53"/>
      <c r="S1267" s="53" t="str">
        <f t="shared" si="253"/>
        <v>Base S2|Red Parallel - Season 2|166|Red</v>
      </c>
      <c r="T1267" s="57" t="str">
        <f>IF($S1267="","",IFERROR(VLOOKUP($S1267,'Pop Estimates (Non-#d)'!$N$2:$O$500,2,FALSE),""))</f>
        <v/>
      </c>
      <c r="U1267" s="57" t="str">
        <f t="shared" si="254"/>
        <v/>
      </c>
      <c r="V1267" s="53" t="str">
        <f t="shared" si="255"/>
        <v/>
      </c>
      <c r="W1267" s="53" t="str">
        <f t="shared" si="256"/>
        <v/>
      </c>
      <c r="X1267" s="53" t="str">
        <f t="shared" si="257"/>
        <v/>
      </c>
      <c r="Y1267" s="57" t="str">
        <f>IF($X1267="","",IFERROR(VLOOKUP($X1267,'Char Popularity'!$A$2:$C$500,2,FALSE),""))</f>
        <v/>
      </c>
      <c r="Z1267" s="56">
        <f>IF($X1267="",1,IFERROR(VLOOKUP($X1267,'Char Popularity'!$A$2:$C$500,3,FALSE),1))</f>
        <v>1</v>
      </c>
      <c r="AA1267" s="62">
        <f>IF($H1267&lt;&gt;"Y",0,(IF($F1267&lt;&gt;"",ROUND(Dashboard!$R$4/$F1267,1),IF(AND($I1267="Base",$E1267="Base"),Dashboard!$R$5,IF(AND($I1267="Base",$E1267="Red"),Dashboard!$R$6,IF(AND($I1267="Base",$E1267="Gold"),Dashboard!$R$7,VLOOKUP($I1267,Dashboard!$Q$16:$R$21,2,FALSE)))))*VLOOKUP($I1267,Dashboard!$Q$9:$R$13,2,FALSE)*IF(AND($I1267="Auto",$F1267="",OR($B1267="Autographs Duals",$B1267="Autographs Triples",$B1267="Autographs Quads",$B1267="Autographs Quads (Inscribed)")),IF($B1267="Autographs Duals",2,IF($B1267="Autographs Triples",3,4)),1)))</f>
        <v>2</v>
      </c>
      <c r="AB1267" s="62">
        <f t="shared" si="258"/>
        <v>2</v>
      </c>
      <c r="AC1267" s="62">
        <f t="shared" si="259"/>
        <v>0</v>
      </c>
    </row>
    <row r="1268" spans="1:29" ht="28.7" customHeight="1" x14ac:dyDescent="0.25">
      <c r="A1268" s="4" t="s">
        <v>19</v>
      </c>
      <c r="B1268" s="7" t="s">
        <v>75</v>
      </c>
      <c r="C1268" s="2" t="s">
        <v>1566</v>
      </c>
      <c r="D1268" s="7" t="s">
        <v>1150</v>
      </c>
      <c r="E1268" s="4" t="s">
        <v>823</v>
      </c>
      <c r="F1268" s="2"/>
      <c r="G1268" s="2" t="s">
        <v>1399</v>
      </c>
      <c r="H1268" s="2" t="s">
        <v>1400</v>
      </c>
      <c r="I1268" s="4" t="s">
        <v>60</v>
      </c>
      <c r="J1268" s="112">
        <f>IF($H1268&lt;&gt;"Y",0,ROUND(MIN(Dashboard!$R$24,IF(IFERROR(VLOOKUP($B1268,Dashboard!$Q$28:$S$60,2,FALSE),0)&gt;0,IFERROR(VLOOKUP($B1268,Dashboard!$Q$28:$S$60,2,FALSE),0),$Z1268*IF($U1268&lt;&gt;"",ROUND((Dashboard!$R$4/$U1268)*VLOOKUP($I1268,Dashboard!$Q$9:$R$13,2,FALSE)*IF(ISNUMBER(SEARCH("Duals",$B1268)),2,IF(ISNUMBER(SEARCH("Triples",$B1268)),3,IF(ISNUMBER(SEARCH("Quads",$B1268)),4,1))),2),ROUND(VLOOKUP($I1268,Dashboard!$Q$15:$R$20,2,FALSE)*IF($E1268="Red",Dashboard!$R$6,IF($E1268="Gold",Dashboard!$R$7,Dashboard!$R$5))*IF(ISNUMBER(SEARCH("Duals",$B1268)),2,IF(ISNUMBER(SEARCH("Triples",$B1268)),3,IF(ISNUMBER(SEARCH("Quads",$B1268)),4,1))),2))*IF(IFERROR(VLOOKUP($B1268,Dashboard!$Q$28:$S$60,3,FALSE),0)&gt;0,VLOOKUP($B1268,Dashboard!$Q$28:$S$60,3,FALSE),1))),0))</f>
        <v>2</v>
      </c>
      <c r="K1268" s="2" t="str">
        <f>IF('Base S2'!D68="","",'Base S2'!D68)</f>
        <v>h</v>
      </c>
      <c r="L1268" s="2">
        <f t="shared" si="247"/>
        <v>1</v>
      </c>
      <c r="M1268" s="2">
        <f t="shared" si="248"/>
        <v>0</v>
      </c>
      <c r="N1268" s="2">
        <f t="shared" si="249"/>
        <v>1</v>
      </c>
      <c r="O1268" s="2">
        <f t="shared" si="250"/>
        <v>0</v>
      </c>
      <c r="P1268" s="112">
        <f t="shared" si="251"/>
        <v>2</v>
      </c>
      <c r="Q1268" s="112">
        <f t="shared" si="252"/>
        <v>0</v>
      </c>
      <c r="R1268" s="53"/>
      <c r="S1268" s="53" t="str">
        <f t="shared" si="253"/>
        <v>Base S2|Red Parallel - Season 2|167|Red</v>
      </c>
      <c r="T1268" s="57" t="str">
        <f>IF($S1268="","",IFERROR(VLOOKUP($S1268,'Pop Estimates (Non-#d)'!$N$2:$O$500,2,FALSE),""))</f>
        <v/>
      </c>
      <c r="U1268" s="57" t="str">
        <f t="shared" si="254"/>
        <v/>
      </c>
      <c r="V1268" s="53" t="str">
        <f t="shared" si="255"/>
        <v/>
      </c>
      <c r="W1268" s="53" t="str">
        <f t="shared" si="256"/>
        <v/>
      </c>
      <c r="X1268" s="53" t="str">
        <f t="shared" si="257"/>
        <v/>
      </c>
      <c r="Y1268" s="57" t="str">
        <f>IF($X1268="","",IFERROR(VLOOKUP($X1268,'Char Popularity'!$A$2:$C$500,2,FALSE),""))</f>
        <v/>
      </c>
      <c r="Z1268" s="56">
        <f>IF($X1268="",1,IFERROR(VLOOKUP($X1268,'Char Popularity'!$A$2:$C$500,3,FALSE),1))</f>
        <v>1</v>
      </c>
      <c r="AA1268" s="62">
        <f>IF($H1268&lt;&gt;"Y",0,(IF($F1268&lt;&gt;"",ROUND(Dashboard!$R$4/$F1268,1),IF(AND($I1268="Base",$E1268="Base"),Dashboard!$R$5,IF(AND($I1268="Base",$E1268="Red"),Dashboard!$R$6,IF(AND($I1268="Base",$E1268="Gold"),Dashboard!$R$7,VLOOKUP($I1268,Dashboard!$Q$16:$R$21,2,FALSE)))))*VLOOKUP($I1268,Dashboard!$Q$9:$R$13,2,FALSE)*IF(AND($I1268="Auto",$F1268="",OR($B1268="Autographs Duals",$B1268="Autographs Triples",$B1268="Autographs Quads",$B1268="Autographs Quads (Inscribed)")),IF($B1268="Autographs Duals",2,IF($B1268="Autographs Triples",3,4)),1)))</f>
        <v>2</v>
      </c>
      <c r="AB1268" s="62">
        <f t="shared" si="258"/>
        <v>2</v>
      </c>
      <c r="AC1268" s="62">
        <f t="shared" si="259"/>
        <v>0</v>
      </c>
    </row>
    <row r="1269" spans="1:29" ht="28.7" customHeight="1" x14ac:dyDescent="0.25">
      <c r="A1269" s="4" t="s">
        <v>19</v>
      </c>
      <c r="B1269" s="7" t="s">
        <v>75</v>
      </c>
      <c r="C1269" s="2" t="s">
        <v>1567</v>
      </c>
      <c r="D1269" s="7" t="s">
        <v>1151</v>
      </c>
      <c r="E1269" s="4" t="s">
        <v>823</v>
      </c>
      <c r="F1269" s="2"/>
      <c r="G1269" s="2" t="s">
        <v>1399</v>
      </c>
      <c r="H1269" s="2" t="s">
        <v>1400</v>
      </c>
      <c r="I1269" s="4" t="s">
        <v>60</v>
      </c>
      <c r="J1269" s="112">
        <f>IF($H1269&lt;&gt;"Y",0,ROUND(MIN(Dashboard!$R$24,IF(IFERROR(VLOOKUP($B1269,Dashboard!$Q$28:$S$60,2,FALSE),0)&gt;0,IFERROR(VLOOKUP($B1269,Dashboard!$Q$28:$S$60,2,FALSE),0),$Z1269*IF($U1269&lt;&gt;"",ROUND((Dashboard!$R$4/$U1269)*VLOOKUP($I1269,Dashboard!$Q$9:$R$13,2,FALSE)*IF(ISNUMBER(SEARCH("Duals",$B1269)),2,IF(ISNUMBER(SEARCH("Triples",$B1269)),3,IF(ISNUMBER(SEARCH("Quads",$B1269)),4,1))),2),ROUND(VLOOKUP($I1269,Dashboard!$Q$15:$R$20,2,FALSE)*IF($E1269="Red",Dashboard!$R$6,IF($E1269="Gold",Dashboard!$R$7,Dashboard!$R$5))*IF(ISNUMBER(SEARCH("Duals",$B1269)),2,IF(ISNUMBER(SEARCH("Triples",$B1269)),3,IF(ISNUMBER(SEARCH("Quads",$B1269)),4,1))),2))*IF(IFERROR(VLOOKUP($B1269,Dashboard!$Q$28:$S$60,3,FALSE),0)&gt;0,VLOOKUP($B1269,Dashboard!$Q$28:$S$60,3,FALSE),1))),0))</f>
        <v>2</v>
      </c>
      <c r="K1269" s="2" t="str">
        <f>IF('Base S2'!D69="","",'Base S2'!D69)</f>
        <v>h</v>
      </c>
      <c r="L1269" s="2">
        <f t="shared" si="247"/>
        <v>1</v>
      </c>
      <c r="M1269" s="2">
        <f t="shared" si="248"/>
        <v>0</v>
      </c>
      <c r="N1269" s="2">
        <f t="shared" si="249"/>
        <v>1</v>
      </c>
      <c r="O1269" s="2">
        <f t="shared" si="250"/>
        <v>0</v>
      </c>
      <c r="P1269" s="112">
        <f t="shared" si="251"/>
        <v>2</v>
      </c>
      <c r="Q1269" s="112">
        <f t="shared" si="252"/>
        <v>0</v>
      </c>
      <c r="R1269" s="53"/>
      <c r="S1269" s="53" t="str">
        <f t="shared" si="253"/>
        <v>Base S2|Red Parallel - Season 2|168|Red</v>
      </c>
      <c r="T1269" s="57" t="str">
        <f>IF($S1269="","",IFERROR(VLOOKUP($S1269,'Pop Estimates (Non-#d)'!$N$2:$O$500,2,FALSE),""))</f>
        <v/>
      </c>
      <c r="U1269" s="57" t="str">
        <f t="shared" si="254"/>
        <v/>
      </c>
      <c r="V1269" s="53" t="str">
        <f t="shared" si="255"/>
        <v/>
      </c>
      <c r="W1269" s="53" t="str">
        <f t="shared" si="256"/>
        <v/>
      </c>
      <c r="X1269" s="53" t="str">
        <f t="shared" si="257"/>
        <v/>
      </c>
      <c r="Y1269" s="57" t="str">
        <f>IF($X1269="","",IFERROR(VLOOKUP($X1269,'Char Popularity'!$A$2:$C$500,2,FALSE),""))</f>
        <v/>
      </c>
      <c r="Z1269" s="56">
        <f>IF($X1269="",1,IFERROR(VLOOKUP($X1269,'Char Popularity'!$A$2:$C$500,3,FALSE),1))</f>
        <v>1</v>
      </c>
      <c r="AA1269" s="62">
        <f>IF($H1269&lt;&gt;"Y",0,(IF($F1269&lt;&gt;"",ROUND(Dashboard!$R$4/$F1269,1),IF(AND($I1269="Base",$E1269="Base"),Dashboard!$R$5,IF(AND($I1269="Base",$E1269="Red"),Dashboard!$R$6,IF(AND($I1269="Base",$E1269="Gold"),Dashboard!$R$7,VLOOKUP($I1269,Dashboard!$Q$16:$R$21,2,FALSE)))))*VLOOKUP($I1269,Dashboard!$Q$9:$R$13,2,FALSE)*IF(AND($I1269="Auto",$F1269="",OR($B1269="Autographs Duals",$B1269="Autographs Triples",$B1269="Autographs Quads",$B1269="Autographs Quads (Inscribed)")),IF($B1269="Autographs Duals",2,IF($B1269="Autographs Triples",3,4)),1)))</f>
        <v>2</v>
      </c>
      <c r="AB1269" s="62">
        <f t="shared" si="258"/>
        <v>2</v>
      </c>
      <c r="AC1269" s="62">
        <f t="shared" si="259"/>
        <v>0</v>
      </c>
    </row>
    <row r="1270" spans="1:29" ht="28.7" customHeight="1" x14ac:dyDescent="0.25">
      <c r="A1270" s="4" t="s">
        <v>19</v>
      </c>
      <c r="B1270" s="7" t="s">
        <v>75</v>
      </c>
      <c r="C1270" s="2" t="s">
        <v>1568</v>
      </c>
      <c r="D1270" s="7" t="s">
        <v>1153</v>
      </c>
      <c r="E1270" s="4" t="s">
        <v>823</v>
      </c>
      <c r="F1270" s="2"/>
      <c r="G1270" s="2" t="s">
        <v>1399</v>
      </c>
      <c r="H1270" s="2" t="s">
        <v>1400</v>
      </c>
      <c r="I1270" s="4" t="s">
        <v>60</v>
      </c>
      <c r="J1270" s="112">
        <f>IF($H1270&lt;&gt;"Y",0,ROUND(MIN(Dashboard!$R$24,IF(IFERROR(VLOOKUP($B1270,Dashboard!$Q$28:$S$60,2,FALSE),0)&gt;0,IFERROR(VLOOKUP($B1270,Dashboard!$Q$28:$S$60,2,FALSE),0),$Z1270*IF($U1270&lt;&gt;"",ROUND((Dashboard!$R$4/$U1270)*VLOOKUP($I1270,Dashboard!$Q$9:$R$13,2,FALSE)*IF(ISNUMBER(SEARCH("Duals",$B1270)),2,IF(ISNUMBER(SEARCH("Triples",$B1270)),3,IF(ISNUMBER(SEARCH("Quads",$B1270)),4,1))),2),ROUND(VLOOKUP($I1270,Dashboard!$Q$15:$R$20,2,FALSE)*IF($E1270="Red",Dashboard!$R$6,IF($E1270="Gold",Dashboard!$R$7,Dashboard!$R$5))*IF(ISNUMBER(SEARCH("Duals",$B1270)),2,IF(ISNUMBER(SEARCH("Triples",$B1270)),3,IF(ISNUMBER(SEARCH("Quads",$B1270)),4,1))),2))*IF(IFERROR(VLOOKUP($B1270,Dashboard!$Q$28:$S$60,3,FALSE),0)&gt;0,VLOOKUP($B1270,Dashboard!$Q$28:$S$60,3,FALSE),1))),0))</f>
        <v>2</v>
      </c>
      <c r="K1270" s="2" t="str">
        <f>IF('Base S2'!D70="","",'Base S2'!D70)</f>
        <v>h</v>
      </c>
      <c r="L1270" s="2">
        <f t="shared" si="247"/>
        <v>1</v>
      </c>
      <c r="M1270" s="2">
        <f t="shared" si="248"/>
        <v>0</v>
      </c>
      <c r="N1270" s="2">
        <f t="shared" si="249"/>
        <v>1</v>
      </c>
      <c r="O1270" s="2">
        <f t="shared" si="250"/>
        <v>0</v>
      </c>
      <c r="P1270" s="112">
        <f t="shared" si="251"/>
        <v>2</v>
      </c>
      <c r="Q1270" s="112">
        <f t="shared" si="252"/>
        <v>0</v>
      </c>
      <c r="R1270" s="53"/>
      <c r="S1270" s="53" t="str">
        <f t="shared" si="253"/>
        <v>Base S2|Red Parallel - Season 2|169|Red</v>
      </c>
      <c r="T1270" s="57" t="str">
        <f>IF($S1270="","",IFERROR(VLOOKUP($S1270,'Pop Estimates (Non-#d)'!$N$2:$O$500,2,FALSE),""))</f>
        <v/>
      </c>
      <c r="U1270" s="57" t="str">
        <f t="shared" si="254"/>
        <v/>
      </c>
      <c r="V1270" s="53" t="str">
        <f t="shared" si="255"/>
        <v/>
      </c>
      <c r="W1270" s="53" t="str">
        <f t="shared" si="256"/>
        <v/>
      </c>
      <c r="X1270" s="53" t="str">
        <f t="shared" si="257"/>
        <v/>
      </c>
      <c r="Y1270" s="57" t="str">
        <f>IF($X1270="","",IFERROR(VLOOKUP($X1270,'Char Popularity'!$A$2:$C$500,2,FALSE),""))</f>
        <v/>
      </c>
      <c r="Z1270" s="56">
        <f>IF($X1270="",1,IFERROR(VLOOKUP($X1270,'Char Popularity'!$A$2:$C$500,3,FALSE),1))</f>
        <v>1</v>
      </c>
      <c r="AA1270" s="62">
        <f>IF($H1270&lt;&gt;"Y",0,(IF($F1270&lt;&gt;"",ROUND(Dashboard!$R$4/$F1270,1),IF(AND($I1270="Base",$E1270="Base"),Dashboard!$R$5,IF(AND($I1270="Base",$E1270="Red"),Dashboard!$R$6,IF(AND($I1270="Base",$E1270="Gold"),Dashboard!$R$7,VLOOKUP($I1270,Dashboard!$Q$16:$R$21,2,FALSE)))))*VLOOKUP($I1270,Dashboard!$Q$9:$R$13,2,FALSE)*IF(AND($I1270="Auto",$F1270="",OR($B1270="Autographs Duals",$B1270="Autographs Triples",$B1270="Autographs Quads",$B1270="Autographs Quads (Inscribed)")),IF($B1270="Autographs Duals",2,IF($B1270="Autographs Triples",3,4)),1)))</f>
        <v>2</v>
      </c>
      <c r="AB1270" s="62">
        <f t="shared" si="258"/>
        <v>2</v>
      </c>
      <c r="AC1270" s="62">
        <f t="shared" si="259"/>
        <v>0</v>
      </c>
    </row>
    <row r="1271" spans="1:29" ht="28.7" customHeight="1" x14ac:dyDescent="0.25">
      <c r="A1271" s="4" t="s">
        <v>19</v>
      </c>
      <c r="B1271" s="7" t="s">
        <v>75</v>
      </c>
      <c r="C1271" s="2" t="s">
        <v>1569</v>
      </c>
      <c r="D1271" s="7" t="s">
        <v>1154</v>
      </c>
      <c r="E1271" s="4" t="s">
        <v>823</v>
      </c>
      <c r="F1271" s="2"/>
      <c r="G1271" s="2" t="s">
        <v>1399</v>
      </c>
      <c r="H1271" s="2" t="s">
        <v>1400</v>
      </c>
      <c r="I1271" s="4" t="s">
        <v>60</v>
      </c>
      <c r="J1271" s="112">
        <f>IF($H1271&lt;&gt;"Y",0,ROUND(MIN(Dashboard!$R$24,IF(IFERROR(VLOOKUP($B1271,Dashboard!$Q$28:$S$60,2,FALSE),0)&gt;0,IFERROR(VLOOKUP($B1271,Dashboard!$Q$28:$S$60,2,FALSE),0),$Z1271*IF($U1271&lt;&gt;"",ROUND((Dashboard!$R$4/$U1271)*VLOOKUP($I1271,Dashboard!$Q$9:$R$13,2,FALSE)*IF(ISNUMBER(SEARCH("Duals",$B1271)),2,IF(ISNUMBER(SEARCH("Triples",$B1271)),3,IF(ISNUMBER(SEARCH("Quads",$B1271)),4,1))),2),ROUND(VLOOKUP($I1271,Dashboard!$Q$15:$R$20,2,FALSE)*IF($E1271="Red",Dashboard!$R$6,IF($E1271="Gold",Dashboard!$R$7,Dashboard!$R$5))*IF(ISNUMBER(SEARCH("Duals",$B1271)),2,IF(ISNUMBER(SEARCH("Triples",$B1271)),3,IF(ISNUMBER(SEARCH("Quads",$B1271)),4,1))),2))*IF(IFERROR(VLOOKUP($B1271,Dashboard!$Q$28:$S$60,3,FALSE),0)&gt;0,VLOOKUP($B1271,Dashboard!$Q$28:$S$60,3,FALSE),1))),0))</f>
        <v>2</v>
      </c>
      <c r="K1271" s="2" t="str">
        <f>IF('Base S2'!D71="","",'Base S2'!D71)</f>
        <v>h</v>
      </c>
      <c r="L1271" s="2">
        <f t="shared" si="247"/>
        <v>1</v>
      </c>
      <c r="M1271" s="2">
        <f t="shared" si="248"/>
        <v>0</v>
      </c>
      <c r="N1271" s="2">
        <f t="shared" si="249"/>
        <v>1</v>
      </c>
      <c r="O1271" s="2">
        <f t="shared" si="250"/>
        <v>0</v>
      </c>
      <c r="P1271" s="112">
        <f t="shared" si="251"/>
        <v>2</v>
      </c>
      <c r="Q1271" s="112">
        <f t="shared" si="252"/>
        <v>0</v>
      </c>
      <c r="R1271" s="53"/>
      <c r="S1271" s="53" t="str">
        <f t="shared" si="253"/>
        <v>Base S2|Red Parallel - Season 2|170|Red</v>
      </c>
      <c r="T1271" s="57" t="str">
        <f>IF($S1271="","",IFERROR(VLOOKUP($S1271,'Pop Estimates (Non-#d)'!$N$2:$O$500,2,FALSE),""))</f>
        <v/>
      </c>
      <c r="U1271" s="57" t="str">
        <f t="shared" si="254"/>
        <v/>
      </c>
      <c r="V1271" s="53" t="str">
        <f t="shared" si="255"/>
        <v/>
      </c>
      <c r="W1271" s="53" t="str">
        <f t="shared" si="256"/>
        <v/>
      </c>
      <c r="X1271" s="53" t="str">
        <f t="shared" si="257"/>
        <v/>
      </c>
      <c r="Y1271" s="57" t="str">
        <f>IF($X1271="","",IFERROR(VLOOKUP($X1271,'Char Popularity'!$A$2:$C$500,2,FALSE),""))</f>
        <v/>
      </c>
      <c r="Z1271" s="56">
        <f>IF($X1271="",1,IFERROR(VLOOKUP($X1271,'Char Popularity'!$A$2:$C$500,3,FALSE),1))</f>
        <v>1</v>
      </c>
      <c r="AA1271" s="62">
        <f>IF($H1271&lt;&gt;"Y",0,(IF($F1271&lt;&gt;"",ROUND(Dashboard!$R$4/$F1271,1),IF(AND($I1271="Base",$E1271="Base"),Dashboard!$R$5,IF(AND($I1271="Base",$E1271="Red"),Dashboard!$R$6,IF(AND($I1271="Base",$E1271="Gold"),Dashboard!$R$7,VLOOKUP($I1271,Dashboard!$Q$16:$R$21,2,FALSE)))))*VLOOKUP($I1271,Dashboard!$Q$9:$R$13,2,FALSE)*IF(AND($I1271="Auto",$F1271="",OR($B1271="Autographs Duals",$B1271="Autographs Triples",$B1271="Autographs Quads",$B1271="Autographs Quads (Inscribed)")),IF($B1271="Autographs Duals",2,IF($B1271="Autographs Triples",3,4)),1)))</f>
        <v>2</v>
      </c>
      <c r="AB1271" s="62">
        <f t="shared" si="258"/>
        <v>2</v>
      </c>
      <c r="AC1271" s="62">
        <f t="shared" si="259"/>
        <v>0</v>
      </c>
    </row>
    <row r="1272" spans="1:29" ht="28.7" customHeight="1" x14ac:dyDescent="0.25">
      <c r="A1272" s="4" t="s">
        <v>19</v>
      </c>
      <c r="B1272" s="7" t="s">
        <v>75</v>
      </c>
      <c r="C1272" s="2" t="s">
        <v>1570</v>
      </c>
      <c r="D1272" s="7" t="s">
        <v>1158</v>
      </c>
      <c r="E1272" s="4" t="s">
        <v>823</v>
      </c>
      <c r="F1272" s="2"/>
      <c r="G1272" s="2" t="s">
        <v>1399</v>
      </c>
      <c r="H1272" s="2" t="s">
        <v>1400</v>
      </c>
      <c r="I1272" s="4" t="s">
        <v>60</v>
      </c>
      <c r="J1272" s="112">
        <f>IF($H1272&lt;&gt;"Y",0,ROUND(MIN(Dashboard!$R$24,IF(IFERROR(VLOOKUP($B1272,Dashboard!$Q$28:$S$60,2,FALSE),0)&gt;0,IFERROR(VLOOKUP($B1272,Dashboard!$Q$28:$S$60,2,FALSE),0),$Z1272*IF($U1272&lt;&gt;"",ROUND((Dashboard!$R$4/$U1272)*VLOOKUP($I1272,Dashboard!$Q$9:$R$13,2,FALSE)*IF(ISNUMBER(SEARCH("Duals",$B1272)),2,IF(ISNUMBER(SEARCH("Triples",$B1272)),3,IF(ISNUMBER(SEARCH("Quads",$B1272)),4,1))),2),ROUND(VLOOKUP($I1272,Dashboard!$Q$15:$R$20,2,FALSE)*IF($E1272="Red",Dashboard!$R$6,IF($E1272="Gold",Dashboard!$R$7,Dashboard!$R$5))*IF(ISNUMBER(SEARCH("Duals",$B1272)),2,IF(ISNUMBER(SEARCH("Triples",$B1272)),3,IF(ISNUMBER(SEARCH("Quads",$B1272)),4,1))),2))*IF(IFERROR(VLOOKUP($B1272,Dashboard!$Q$28:$S$60,3,FALSE),0)&gt;0,VLOOKUP($B1272,Dashboard!$Q$28:$S$60,3,FALSE),1))),0))</f>
        <v>2</v>
      </c>
      <c r="K1272" s="2" t="str">
        <f>IF('Base S2'!D72="","",'Base S2'!D72)</f>
        <v>h</v>
      </c>
      <c r="L1272" s="2">
        <f t="shared" si="247"/>
        <v>1</v>
      </c>
      <c r="M1272" s="2">
        <f t="shared" si="248"/>
        <v>0</v>
      </c>
      <c r="N1272" s="2">
        <f t="shared" si="249"/>
        <v>1</v>
      </c>
      <c r="O1272" s="2">
        <f t="shared" si="250"/>
        <v>0</v>
      </c>
      <c r="P1272" s="112">
        <f t="shared" si="251"/>
        <v>2</v>
      </c>
      <c r="Q1272" s="112">
        <f t="shared" si="252"/>
        <v>0</v>
      </c>
      <c r="R1272" s="53"/>
      <c r="S1272" s="53" t="str">
        <f t="shared" si="253"/>
        <v>Base S2|Red Parallel - Season 2|171|Red</v>
      </c>
      <c r="T1272" s="57" t="str">
        <f>IF($S1272="","",IFERROR(VLOOKUP($S1272,'Pop Estimates (Non-#d)'!$N$2:$O$500,2,FALSE),""))</f>
        <v/>
      </c>
      <c r="U1272" s="57" t="str">
        <f t="shared" si="254"/>
        <v/>
      </c>
      <c r="V1272" s="53" t="str">
        <f t="shared" si="255"/>
        <v/>
      </c>
      <c r="W1272" s="53" t="str">
        <f t="shared" si="256"/>
        <v/>
      </c>
      <c r="X1272" s="53" t="str">
        <f t="shared" si="257"/>
        <v/>
      </c>
      <c r="Y1272" s="57" t="str">
        <f>IF($X1272="","",IFERROR(VLOOKUP($X1272,'Char Popularity'!$A$2:$C$500,2,FALSE),""))</f>
        <v/>
      </c>
      <c r="Z1272" s="56">
        <f>IF($X1272="",1,IFERROR(VLOOKUP($X1272,'Char Popularity'!$A$2:$C$500,3,FALSE),1))</f>
        <v>1</v>
      </c>
      <c r="AA1272" s="62">
        <f>IF($H1272&lt;&gt;"Y",0,(IF($F1272&lt;&gt;"",ROUND(Dashboard!$R$4/$F1272,1),IF(AND($I1272="Base",$E1272="Base"),Dashboard!$R$5,IF(AND($I1272="Base",$E1272="Red"),Dashboard!$R$6,IF(AND($I1272="Base",$E1272="Gold"),Dashboard!$R$7,VLOOKUP($I1272,Dashboard!$Q$16:$R$21,2,FALSE)))))*VLOOKUP($I1272,Dashboard!$Q$9:$R$13,2,FALSE)*IF(AND($I1272="Auto",$F1272="",OR($B1272="Autographs Duals",$B1272="Autographs Triples",$B1272="Autographs Quads",$B1272="Autographs Quads (Inscribed)")),IF($B1272="Autographs Duals",2,IF($B1272="Autographs Triples",3,4)),1)))</f>
        <v>2</v>
      </c>
      <c r="AB1272" s="62">
        <f t="shared" si="258"/>
        <v>2</v>
      </c>
      <c r="AC1272" s="62">
        <f t="shared" si="259"/>
        <v>0</v>
      </c>
    </row>
    <row r="1273" spans="1:29" ht="28.7" customHeight="1" x14ac:dyDescent="0.25">
      <c r="A1273" s="4" t="s">
        <v>19</v>
      </c>
      <c r="B1273" s="7" t="s">
        <v>75</v>
      </c>
      <c r="C1273" s="2" t="s">
        <v>1571</v>
      </c>
      <c r="D1273" s="7" t="s">
        <v>1160</v>
      </c>
      <c r="E1273" s="4" t="s">
        <v>823</v>
      </c>
      <c r="F1273" s="2"/>
      <c r="G1273" s="2" t="s">
        <v>1399</v>
      </c>
      <c r="H1273" s="2" t="s">
        <v>1400</v>
      </c>
      <c r="I1273" s="4" t="s">
        <v>60</v>
      </c>
      <c r="J1273" s="112">
        <f>IF($H1273&lt;&gt;"Y",0,ROUND(MIN(Dashboard!$R$24,IF(IFERROR(VLOOKUP($B1273,Dashboard!$Q$28:$S$60,2,FALSE),0)&gt;0,IFERROR(VLOOKUP($B1273,Dashboard!$Q$28:$S$60,2,FALSE),0),$Z1273*IF($U1273&lt;&gt;"",ROUND((Dashboard!$R$4/$U1273)*VLOOKUP($I1273,Dashboard!$Q$9:$R$13,2,FALSE)*IF(ISNUMBER(SEARCH("Duals",$B1273)),2,IF(ISNUMBER(SEARCH("Triples",$B1273)),3,IF(ISNUMBER(SEARCH("Quads",$B1273)),4,1))),2),ROUND(VLOOKUP($I1273,Dashboard!$Q$15:$R$20,2,FALSE)*IF($E1273="Red",Dashboard!$R$6,IF($E1273="Gold",Dashboard!$R$7,Dashboard!$R$5))*IF(ISNUMBER(SEARCH("Duals",$B1273)),2,IF(ISNUMBER(SEARCH("Triples",$B1273)),3,IF(ISNUMBER(SEARCH("Quads",$B1273)),4,1))),2))*IF(IFERROR(VLOOKUP($B1273,Dashboard!$Q$28:$S$60,3,FALSE),0)&gt;0,VLOOKUP($B1273,Dashboard!$Q$28:$S$60,3,FALSE),1))),0))</f>
        <v>2</v>
      </c>
      <c r="K1273" s="2" t="str">
        <f>IF('Base S2'!D73="","",'Base S2'!D73)</f>
        <v>h</v>
      </c>
      <c r="L1273" s="2">
        <f t="shared" si="247"/>
        <v>1</v>
      </c>
      <c r="M1273" s="2">
        <f t="shared" si="248"/>
        <v>0</v>
      </c>
      <c r="N1273" s="2">
        <f t="shared" si="249"/>
        <v>1</v>
      </c>
      <c r="O1273" s="2">
        <f t="shared" si="250"/>
        <v>0</v>
      </c>
      <c r="P1273" s="112">
        <f t="shared" si="251"/>
        <v>2</v>
      </c>
      <c r="Q1273" s="112">
        <f t="shared" si="252"/>
        <v>0</v>
      </c>
      <c r="R1273" s="53"/>
      <c r="S1273" s="53" t="str">
        <f t="shared" si="253"/>
        <v>Base S2|Red Parallel - Season 2|172|Red</v>
      </c>
      <c r="T1273" s="57" t="str">
        <f>IF($S1273="","",IFERROR(VLOOKUP($S1273,'Pop Estimates (Non-#d)'!$N$2:$O$500,2,FALSE),""))</f>
        <v/>
      </c>
      <c r="U1273" s="57" t="str">
        <f t="shared" si="254"/>
        <v/>
      </c>
      <c r="V1273" s="53" t="str">
        <f t="shared" si="255"/>
        <v/>
      </c>
      <c r="W1273" s="53" t="str">
        <f t="shared" si="256"/>
        <v/>
      </c>
      <c r="X1273" s="53" t="str">
        <f t="shared" si="257"/>
        <v/>
      </c>
      <c r="Y1273" s="57" t="str">
        <f>IF($X1273="","",IFERROR(VLOOKUP($X1273,'Char Popularity'!$A$2:$C$500,2,FALSE),""))</f>
        <v/>
      </c>
      <c r="Z1273" s="56">
        <f>IF($X1273="",1,IFERROR(VLOOKUP($X1273,'Char Popularity'!$A$2:$C$500,3,FALSE),1))</f>
        <v>1</v>
      </c>
      <c r="AA1273" s="62">
        <f>IF($H1273&lt;&gt;"Y",0,(IF($F1273&lt;&gt;"",ROUND(Dashboard!$R$4/$F1273,1),IF(AND($I1273="Base",$E1273="Base"),Dashboard!$R$5,IF(AND($I1273="Base",$E1273="Red"),Dashboard!$R$6,IF(AND($I1273="Base",$E1273="Gold"),Dashboard!$R$7,VLOOKUP($I1273,Dashboard!$Q$16:$R$21,2,FALSE)))))*VLOOKUP($I1273,Dashboard!$Q$9:$R$13,2,FALSE)*IF(AND($I1273="Auto",$F1273="",OR($B1273="Autographs Duals",$B1273="Autographs Triples",$B1273="Autographs Quads",$B1273="Autographs Quads (Inscribed)")),IF($B1273="Autographs Duals",2,IF($B1273="Autographs Triples",3,4)),1)))</f>
        <v>2</v>
      </c>
      <c r="AB1273" s="62">
        <f t="shared" si="258"/>
        <v>2</v>
      </c>
      <c r="AC1273" s="62">
        <f t="shared" si="259"/>
        <v>0</v>
      </c>
    </row>
    <row r="1274" spans="1:29" ht="28.7" customHeight="1" x14ac:dyDescent="0.25">
      <c r="A1274" s="4" t="s">
        <v>19</v>
      </c>
      <c r="B1274" s="7" t="s">
        <v>75</v>
      </c>
      <c r="C1274" s="2" t="s">
        <v>1572</v>
      </c>
      <c r="D1274" s="7" t="s">
        <v>1161</v>
      </c>
      <c r="E1274" s="4" t="s">
        <v>823</v>
      </c>
      <c r="F1274" s="2"/>
      <c r="G1274" s="2" t="s">
        <v>1399</v>
      </c>
      <c r="H1274" s="2" t="s">
        <v>1400</v>
      </c>
      <c r="I1274" s="4" t="s">
        <v>60</v>
      </c>
      <c r="J1274" s="112">
        <f>IF($H1274&lt;&gt;"Y",0,ROUND(MIN(Dashboard!$R$24,IF(IFERROR(VLOOKUP($B1274,Dashboard!$Q$28:$S$60,2,FALSE),0)&gt;0,IFERROR(VLOOKUP($B1274,Dashboard!$Q$28:$S$60,2,FALSE),0),$Z1274*IF($U1274&lt;&gt;"",ROUND((Dashboard!$R$4/$U1274)*VLOOKUP($I1274,Dashboard!$Q$9:$R$13,2,FALSE)*IF(ISNUMBER(SEARCH("Duals",$B1274)),2,IF(ISNUMBER(SEARCH("Triples",$B1274)),3,IF(ISNUMBER(SEARCH("Quads",$B1274)),4,1))),2),ROUND(VLOOKUP($I1274,Dashboard!$Q$15:$R$20,2,FALSE)*IF($E1274="Red",Dashboard!$R$6,IF($E1274="Gold",Dashboard!$R$7,Dashboard!$R$5))*IF(ISNUMBER(SEARCH("Duals",$B1274)),2,IF(ISNUMBER(SEARCH("Triples",$B1274)),3,IF(ISNUMBER(SEARCH("Quads",$B1274)),4,1))),2))*IF(IFERROR(VLOOKUP($B1274,Dashboard!$Q$28:$S$60,3,FALSE),0)&gt;0,VLOOKUP($B1274,Dashboard!$Q$28:$S$60,3,FALSE),1))),0))</f>
        <v>2</v>
      </c>
      <c r="K1274" s="2" t="str">
        <f>IF('Base S2'!D74="","",'Base S2'!D74)</f>
        <v>h</v>
      </c>
      <c r="L1274" s="2">
        <f t="shared" si="247"/>
        <v>1</v>
      </c>
      <c r="M1274" s="2">
        <f t="shared" si="248"/>
        <v>0</v>
      </c>
      <c r="N1274" s="2">
        <f t="shared" si="249"/>
        <v>1</v>
      </c>
      <c r="O1274" s="2">
        <f t="shared" si="250"/>
        <v>0</v>
      </c>
      <c r="P1274" s="112">
        <f t="shared" si="251"/>
        <v>2</v>
      </c>
      <c r="Q1274" s="112">
        <f t="shared" si="252"/>
        <v>0</v>
      </c>
      <c r="R1274" s="53"/>
      <c r="S1274" s="53" t="str">
        <f t="shared" si="253"/>
        <v>Base S2|Red Parallel - Season 2|173|Red</v>
      </c>
      <c r="T1274" s="57" t="str">
        <f>IF($S1274="","",IFERROR(VLOOKUP($S1274,'Pop Estimates (Non-#d)'!$N$2:$O$500,2,FALSE),""))</f>
        <v/>
      </c>
      <c r="U1274" s="57" t="str">
        <f t="shared" si="254"/>
        <v/>
      </c>
      <c r="V1274" s="53" t="str">
        <f t="shared" si="255"/>
        <v/>
      </c>
      <c r="W1274" s="53" t="str">
        <f t="shared" si="256"/>
        <v/>
      </c>
      <c r="X1274" s="53" t="str">
        <f t="shared" si="257"/>
        <v/>
      </c>
      <c r="Y1274" s="57" t="str">
        <f>IF($X1274="","",IFERROR(VLOOKUP($X1274,'Char Popularity'!$A$2:$C$500,2,FALSE),""))</f>
        <v/>
      </c>
      <c r="Z1274" s="56">
        <f>IF($X1274="",1,IFERROR(VLOOKUP($X1274,'Char Popularity'!$A$2:$C$500,3,FALSE),1))</f>
        <v>1</v>
      </c>
      <c r="AA1274" s="62">
        <f>IF($H1274&lt;&gt;"Y",0,(IF($F1274&lt;&gt;"",ROUND(Dashboard!$R$4/$F1274,1),IF(AND($I1274="Base",$E1274="Base"),Dashboard!$R$5,IF(AND($I1274="Base",$E1274="Red"),Dashboard!$R$6,IF(AND($I1274="Base",$E1274="Gold"),Dashboard!$R$7,VLOOKUP($I1274,Dashboard!$Q$16:$R$21,2,FALSE)))))*VLOOKUP($I1274,Dashboard!$Q$9:$R$13,2,FALSE)*IF(AND($I1274="Auto",$F1274="",OR($B1274="Autographs Duals",$B1274="Autographs Triples",$B1274="Autographs Quads",$B1274="Autographs Quads (Inscribed)")),IF($B1274="Autographs Duals",2,IF($B1274="Autographs Triples",3,4)),1)))</f>
        <v>2</v>
      </c>
      <c r="AB1274" s="62">
        <f t="shared" si="258"/>
        <v>2</v>
      </c>
      <c r="AC1274" s="62">
        <f t="shared" si="259"/>
        <v>0</v>
      </c>
    </row>
    <row r="1275" spans="1:29" ht="28.7" customHeight="1" x14ac:dyDescent="0.25">
      <c r="A1275" s="4" t="s">
        <v>19</v>
      </c>
      <c r="B1275" s="7" t="s">
        <v>75</v>
      </c>
      <c r="C1275" s="2" t="s">
        <v>1573</v>
      </c>
      <c r="D1275" s="7" t="s">
        <v>1164</v>
      </c>
      <c r="E1275" s="4" t="s">
        <v>823</v>
      </c>
      <c r="F1275" s="2"/>
      <c r="G1275" s="2" t="s">
        <v>1399</v>
      </c>
      <c r="H1275" s="2" t="s">
        <v>1400</v>
      </c>
      <c r="I1275" s="4" t="s">
        <v>60</v>
      </c>
      <c r="J1275" s="112">
        <f>IF($H1275&lt;&gt;"Y",0,ROUND(MIN(Dashboard!$R$24,IF(IFERROR(VLOOKUP($B1275,Dashboard!$Q$28:$S$60,2,FALSE),0)&gt;0,IFERROR(VLOOKUP($B1275,Dashboard!$Q$28:$S$60,2,FALSE),0),$Z1275*IF($U1275&lt;&gt;"",ROUND((Dashboard!$R$4/$U1275)*VLOOKUP($I1275,Dashboard!$Q$9:$R$13,2,FALSE)*IF(ISNUMBER(SEARCH("Duals",$B1275)),2,IF(ISNUMBER(SEARCH("Triples",$B1275)),3,IF(ISNUMBER(SEARCH("Quads",$B1275)),4,1))),2),ROUND(VLOOKUP($I1275,Dashboard!$Q$15:$R$20,2,FALSE)*IF($E1275="Red",Dashboard!$R$6,IF($E1275="Gold",Dashboard!$R$7,Dashboard!$R$5))*IF(ISNUMBER(SEARCH("Duals",$B1275)),2,IF(ISNUMBER(SEARCH("Triples",$B1275)),3,IF(ISNUMBER(SEARCH("Quads",$B1275)),4,1))),2))*IF(IFERROR(VLOOKUP($B1275,Dashboard!$Q$28:$S$60,3,FALSE),0)&gt;0,VLOOKUP($B1275,Dashboard!$Q$28:$S$60,3,FALSE),1))),0))</f>
        <v>2</v>
      </c>
      <c r="K1275" s="2" t="str">
        <f>IF('Base S2'!D75="","",'Base S2'!D75)</f>
        <v>h</v>
      </c>
      <c r="L1275" s="2">
        <f t="shared" si="247"/>
        <v>1</v>
      </c>
      <c r="M1275" s="2">
        <f t="shared" si="248"/>
        <v>0</v>
      </c>
      <c r="N1275" s="2">
        <f t="shared" si="249"/>
        <v>1</v>
      </c>
      <c r="O1275" s="2">
        <f t="shared" si="250"/>
        <v>0</v>
      </c>
      <c r="P1275" s="112">
        <f t="shared" si="251"/>
        <v>2</v>
      </c>
      <c r="Q1275" s="112">
        <f t="shared" si="252"/>
        <v>0</v>
      </c>
      <c r="R1275" s="53"/>
      <c r="S1275" s="53" t="str">
        <f t="shared" si="253"/>
        <v>Base S2|Red Parallel - Season 2|174|Red</v>
      </c>
      <c r="T1275" s="57" t="str">
        <f>IF($S1275="","",IFERROR(VLOOKUP($S1275,'Pop Estimates (Non-#d)'!$N$2:$O$500,2,FALSE),""))</f>
        <v/>
      </c>
      <c r="U1275" s="57" t="str">
        <f t="shared" si="254"/>
        <v/>
      </c>
      <c r="V1275" s="53" t="str">
        <f t="shared" si="255"/>
        <v/>
      </c>
      <c r="W1275" s="53" t="str">
        <f t="shared" si="256"/>
        <v/>
      </c>
      <c r="X1275" s="53" t="str">
        <f t="shared" si="257"/>
        <v/>
      </c>
      <c r="Y1275" s="57" t="str">
        <f>IF($X1275="","",IFERROR(VLOOKUP($X1275,'Char Popularity'!$A$2:$C$500,2,FALSE),""))</f>
        <v/>
      </c>
      <c r="Z1275" s="56">
        <f>IF($X1275="",1,IFERROR(VLOOKUP($X1275,'Char Popularity'!$A$2:$C$500,3,FALSE),1))</f>
        <v>1</v>
      </c>
      <c r="AA1275" s="62">
        <f>IF($H1275&lt;&gt;"Y",0,(IF($F1275&lt;&gt;"",ROUND(Dashboard!$R$4/$F1275,1),IF(AND($I1275="Base",$E1275="Base"),Dashboard!$R$5,IF(AND($I1275="Base",$E1275="Red"),Dashboard!$R$6,IF(AND($I1275="Base",$E1275="Gold"),Dashboard!$R$7,VLOOKUP($I1275,Dashboard!$Q$16:$R$21,2,FALSE)))))*VLOOKUP($I1275,Dashboard!$Q$9:$R$13,2,FALSE)*IF(AND($I1275="Auto",$F1275="",OR($B1275="Autographs Duals",$B1275="Autographs Triples",$B1275="Autographs Quads",$B1275="Autographs Quads (Inscribed)")),IF($B1275="Autographs Duals",2,IF($B1275="Autographs Triples",3,4)),1)))</f>
        <v>2</v>
      </c>
      <c r="AB1275" s="62">
        <f t="shared" si="258"/>
        <v>2</v>
      </c>
      <c r="AC1275" s="62">
        <f t="shared" si="259"/>
        <v>0</v>
      </c>
    </row>
    <row r="1276" spans="1:29" ht="28.7" customHeight="1" x14ac:dyDescent="0.25">
      <c r="A1276" s="4" t="s">
        <v>19</v>
      </c>
      <c r="B1276" s="7" t="s">
        <v>75</v>
      </c>
      <c r="C1276" s="2" t="s">
        <v>1574</v>
      </c>
      <c r="D1276" s="7" t="s">
        <v>1165</v>
      </c>
      <c r="E1276" s="4" t="s">
        <v>823</v>
      </c>
      <c r="F1276" s="2"/>
      <c r="G1276" s="2" t="s">
        <v>1399</v>
      </c>
      <c r="H1276" s="2" t="s">
        <v>1400</v>
      </c>
      <c r="I1276" s="4" t="s">
        <v>60</v>
      </c>
      <c r="J1276" s="112">
        <f>IF($H1276&lt;&gt;"Y",0,ROUND(MIN(Dashboard!$R$24,IF(IFERROR(VLOOKUP($B1276,Dashboard!$Q$28:$S$60,2,FALSE),0)&gt;0,IFERROR(VLOOKUP($B1276,Dashboard!$Q$28:$S$60,2,FALSE),0),$Z1276*IF($U1276&lt;&gt;"",ROUND((Dashboard!$R$4/$U1276)*VLOOKUP($I1276,Dashboard!$Q$9:$R$13,2,FALSE)*IF(ISNUMBER(SEARCH("Duals",$B1276)),2,IF(ISNUMBER(SEARCH("Triples",$B1276)),3,IF(ISNUMBER(SEARCH("Quads",$B1276)),4,1))),2),ROUND(VLOOKUP($I1276,Dashboard!$Q$15:$R$20,2,FALSE)*IF($E1276="Red",Dashboard!$R$6,IF($E1276="Gold",Dashboard!$R$7,Dashboard!$R$5))*IF(ISNUMBER(SEARCH("Duals",$B1276)),2,IF(ISNUMBER(SEARCH("Triples",$B1276)),3,IF(ISNUMBER(SEARCH("Quads",$B1276)),4,1))),2))*IF(IFERROR(VLOOKUP($B1276,Dashboard!$Q$28:$S$60,3,FALSE),0)&gt;0,VLOOKUP($B1276,Dashboard!$Q$28:$S$60,3,FALSE),1))),0))</f>
        <v>2</v>
      </c>
      <c r="K1276" s="2" t="str">
        <f>IF('Base S2'!D76="","",'Base S2'!D76)</f>
        <v>h</v>
      </c>
      <c r="L1276" s="2">
        <f t="shared" si="247"/>
        <v>1</v>
      </c>
      <c r="M1276" s="2">
        <f t="shared" si="248"/>
        <v>0</v>
      </c>
      <c r="N1276" s="2">
        <f t="shared" si="249"/>
        <v>1</v>
      </c>
      <c r="O1276" s="2">
        <f t="shared" si="250"/>
        <v>0</v>
      </c>
      <c r="P1276" s="112">
        <f t="shared" si="251"/>
        <v>2</v>
      </c>
      <c r="Q1276" s="112">
        <f t="shared" si="252"/>
        <v>0</v>
      </c>
      <c r="R1276" s="53"/>
      <c r="S1276" s="53" t="str">
        <f t="shared" si="253"/>
        <v>Base S2|Red Parallel - Season 2|175|Red</v>
      </c>
      <c r="T1276" s="57" t="str">
        <f>IF($S1276="","",IFERROR(VLOOKUP($S1276,'Pop Estimates (Non-#d)'!$N$2:$O$500,2,FALSE),""))</f>
        <v/>
      </c>
      <c r="U1276" s="57" t="str">
        <f t="shared" si="254"/>
        <v/>
      </c>
      <c r="V1276" s="53" t="str">
        <f t="shared" si="255"/>
        <v/>
      </c>
      <c r="W1276" s="53" t="str">
        <f t="shared" si="256"/>
        <v/>
      </c>
      <c r="X1276" s="53" t="str">
        <f t="shared" si="257"/>
        <v/>
      </c>
      <c r="Y1276" s="57" t="str">
        <f>IF($X1276="","",IFERROR(VLOOKUP($X1276,'Char Popularity'!$A$2:$C$500,2,FALSE),""))</f>
        <v/>
      </c>
      <c r="Z1276" s="56">
        <f>IF($X1276="",1,IFERROR(VLOOKUP($X1276,'Char Popularity'!$A$2:$C$500,3,FALSE),1))</f>
        <v>1</v>
      </c>
      <c r="AA1276" s="62">
        <f>IF($H1276&lt;&gt;"Y",0,(IF($F1276&lt;&gt;"",ROUND(Dashboard!$R$4/$F1276,1),IF(AND($I1276="Base",$E1276="Base"),Dashboard!$R$5,IF(AND($I1276="Base",$E1276="Red"),Dashboard!$R$6,IF(AND($I1276="Base",$E1276="Gold"),Dashboard!$R$7,VLOOKUP($I1276,Dashboard!$Q$16:$R$21,2,FALSE)))))*VLOOKUP($I1276,Dashboard!$Q$9:$R$13,2,FALSE)*IF(AND($I1276="Auto",$F1276="",OR($B1276="Autographs Duals",$B1276="Autographs Triples",$B1276="Autographs Quads",$B1276="Autographs Quads (Inscribed)")),IF($B1276="Autographs Duals",2,IF($B1276="Autographs Triples",3,4)),1)))</f>
        <v>2</v>
      </c>
      <c r="AB1276" s="62">
        <f t="shared" si="258"/>
        <v>2</v>
      </c>
      <c r="AC1276" s="62">
        <f t="shared" si="259"/>
        <v>0</v>
      </c>
    </row>
    <row r="1277" spans="1:29" ht="28.7" customHeight="1" x14ac:dyDescent="0.25">
      <c r="A1277" s="4" t="s">
        <v>19</v>
      </c>
      <c r="B1277" s="7" t="s">
        <v>75</v>
      </c>
      <c r="C1277" s="2" t="s">
        <v>1575</v>
      </c>
      <c r="D1277" s="7" t="s">
        <v>1167</v>
      </c>
      <c r="E1277" s="4" t="s">
        <v>823</v>
      </c>
      <c r="F1277" s="2"/>
      <c r="G1277" s="2" t="s">
        <v>1399</v>
      </c>
      <c r="H1277" s="2" t="s">
        <v>1400</v>
      </c>
      <c r="I1277" s="4" t="s">
        <v>60</v>
      </c>
      <c r="J1277" s="112">
        <f>IF($H1277&lt;&gt;"Y",0,ROUND(MIN(Dashboard!$R$24,IF(IFERROR(VLOOKUP($B1277,Dashboard!$Q$28:$S$60,2,FALSE),0)&gt;0,IFERROR(VLOOKUP($B1277,Dashboard!$Q$28:$S$60,2,FALSE),0),$Z1277*IF($U1277&lt;&gt;"",ROUND((Dashboard!$R$4/$U1277)*VLOOKUP($I1277,Dashboard!$Q$9:$R$13,2,FALSE)*IF(ISNUMBER(SEARCH("Duals",$B1277)),2,IF(ISNUMBER(SEARCH("Triples",$B1277)),3,IF(ISNUMBER(SEARCH("Quads",$B1277)),4,1))),2),ROUND(VLOOKUP($I1277,Dashboard!$Q$15:$R$20,2,FALSE)*IF($E1277="Red",Dashboard!$R$6,IF($E1277="Gold",Dashboard!$R$7,Dashboard!$R$5))*IF(ISNUMBER(SEARCH("Duals",$B1277)),2,IF(ISNUMBER(SEARCH("Triples",$B1277)),3,IF(ISNUMBER(SEARCH("Quads",$B1277)),4,1))),2))*IF(IFERROR(VLOOKUP($B1277,Dashboard!$Q$28:$S$60,3,FALSE),0)&gt;0,VLOOKUP($B1277,Dashboard!$Q$28:$S$60,3,FALSE),1))),0))</f>
        <v>2</v>
      </c>
      <c r="K1277" s="2" t="str">
        <f>IF('Base S2'!D77="","",'Base S2'!D77)</f>
        <v>h</v>
      </c>
      <c r="L1277" s="2">
        <f t="shared" si="247"/>
        <v>1</v>
      </c>
      <c r="M1277" s="2">
        <f t="shared" si="248"/>
        <v>0</v>
      </c>
      <c r="N1277" s="2">
        <f t="shared" si="249"/>
        <v>1</v>
      </c>
      <c r="O1277" s="2">
        <f t="shared" si="250"/>
        <v>0</v>
      </c>
      <c r="P1277" s="112">
        <f t="shared" si="251"/>
        <v>2</v>
      </c>
      <c r="Q1277" s="112">
        <f t="shared" si="252"/>
        <v>0</v>
      </c>
      <c r="R1277" s="53"/>
      <c r="S1277" s="53" t="str">
        <f t="shared" si="253"/>
        <v>Base S2|Red Parallel - Season 2|176|Red</v>
      </c>
      <c r="T1277" s="57" t="str">
        <f>IF($S1277="","",IFERROR(VLOOKUP($S1277,'Pop Estimates (Non-#d)'!$N$2:$O$500,2,FALSE),""))</f>
        <v/>
      </c>
      <c r="U1277" s="57" t="str">
        <f t="shared" si="254"/>
        <v/>
      </c>
      <c r="V1277" s="53" t="str">
        <f t="shared" si="255"/>
        <v/>
      </c>
      <c r="W1277" s="53" t="str">
        <f t="shared" si="256"/>
        <v/>
      </c>
      <c r="X1277" s="53" t="str">
        <f t="shared" si="257"/>
        <v/>
      </c>
      <c r="Y1277" s="57" t="str">
        <f>IF($X1277="","",IFERROR(VLOOKUP($X1277,'Char Popularity'!$A$2:$C$500,2,FALSE),""))</f>
        <v/>
      </c>
      <c r="Z1277" s="56">
        <f>IF($X1277="",1,IFERROR(VLOOKUP($X1277,'Char Popularity'!$A$2:$C$500,3,FALSE),1))</f>
        <v>1</v>
      </c>
      <c r="AA1277" s="62">
        <f>IF($H1277&lt;&gt;"Y",0,(IF($F1277&lt;&gt;"",ROUND(Dashboard!$R$4/$F1277,1),IF(AND($I1277="Base",$E1277="Base"),Dashboard!$R$5,IF(AND($I1277="Base",$E1277="Red"),Dashboard!$R$6,IF(AND($I1277="Base",$E1277="Gold"),Dashboard!$R$7,VLOOKUP($I1277,Dashboard!$Q$16:$R$21,2,FALSE)))))*VLOOKUP($I1277,Dashboard!$Q$9:$R$13,2,FALSE)*IF(AND($I1277="Auto",$F1277="",OR($B1277="Autographs Duals",$B1277="Autographs Triples",$B1277="Autographs Quads",$B1277="Autographs Quads (Inscribed)")),IF($B1277="Autographs Duals",2,IF($B1277="Autographs Triples",3,4)),1)))</f>
        <v>2</v>
      </c>
      <c r="AB1277" s="62">
        <f t="shared" si="258"/>
        <v>2</v>
      </c>
      <c r="AC1277" s="62">
        <f t="shared" si="259"/>
        <v>0</v>
      </c>
    </row>
    <row r="1278" spans="1:29" ht="28.7" customHeight="1" x14ac:dyDescent="0.25">
      <c r="A1278" s="4" t="s">
        <v>19</v>
      </c>
      <c r="B1278" s="7" t="s">
        <v>75</v>
      </c>
      <c r="C1278" s="2" t="s">
        <v>1576</v>
      </c>
      <c r="D1278" s="7" t="s">
        <v>1168</v>
      </c>
      <c r="E1278" s="4" t="s">
        <v>823</v>
      </c>
      <c r="F1278" s="2"/>
      <c r="G1278" s="2" t="s">
        <v>1399</v>
      </c>
      <c r="H1278" s="2" t="s">
        <v>1400</v>
      </c>
      <c r="I1278" s="4" t="s">
        <v>60</v>
      </c>
      <c r="J1278" s="112">
        <f>IF($H1278&lt;&gt;"Y",0,ROUND(MIN(Dashboard!$R$24,IF(IFERROR(VLOOKUP($B1278,Dashboard!$Q$28:$S$60,2,FALSE),0)&gt;0,IFERROR(VLOOKUP($B1278,Dashboard!$Q$28:$S$60,2,FALSE),0),$Z1278*IF($U1278&lt;&gt;"",ROUND((Dashboard!$R$4/$U1278)*VLOOKUP($I1278,Dashboard!$Q$9:$R$13,2,FALSE)*IF(ISNUMBER(SEARCH("Duals",$B1278)),2,IF(ISNUMBER(SEARCH("Triples",$B1278)),3,IF(ISNUMBER(SEARCH("Quads",$B1278)),4,1))),2),ROUND(VLOOKUP($I1278,Dashboard!$Q$15:$R$20,2,FALSE)*IF($E1278="Red",Dashboard!$R$6,IF($E1278="Gold",Dashboard!$R$7,Dashboard!$R$5))*IF(ISNUMBER(SEARCH("Duals",$B1278)),2,IF(ISNUMBER(SEARCH("Triples",$B1278)),3,IF(ISNUMBER(SEARCH("Quads",$B1278)),4,1))),2))*IF(IFERROR(VLOOKUP($B1278,Dashboard!$Q$28:$S$60,3,FALSE),0)&gt;0,VLOOKUP($B1278,Dashboard!$Q$28:$S$60,3,FALSE),1))),0))</f>
        <v>2</v>
      </c>
      <c r="K1278" s="2" t="str">
        <f>IF('Base S2'!D78="","",'Base S2'!D78)</f>
        <v>h</v>
      </c>
      <c r="L1278" s="2">
        <f t="shared" si="247"/>
        <v>1</v>
      </c>
      <c r="M1278" s="2">
        <f t="shared" si="248"/>
        <v>0</v>
      </c>
      <c r="N1278" s="2">
        <f t="shared" si="249"/>
        <v>1</v>
      </c>
      <c r="O1278" s="2">
        <f t="shared" si="250"/>
        <v>0</v>
      </c>
      <c r="P1278" s="112">
        <f t="shared" si="251"/>
        <v>2</v>
      </c>
      <c r="Q1278" s="112">
        <f t="shared" si="252"/>
        <v>0</v>
      </c>
      <c r="R1278" s="53"/>
      <c r="S1278" s="53" t="str">
        <f t="shared" si="253"/>
        <v>Base S2|Red Parallel - Season 2|177|Red</v>
      </c>
      <c r="T1278" s="57" t="str">
        <f>IF($S1278="","",IFERROR(VLOOKUP($S1278,'Pop Estimates (Non-#d)'!$N$2:$O$500,2,FALSE),""))</f>
        <v/>
      </c>
      <c r="U1278" s="57" t="str">
        <f t="shared" si="254"/>
        <v/>
      </c>
      <c r="V1278" s="53" t="str">
        <f t="shared" si="255"/>
        <v/>
      </c>
      <c r="W1278" s="53" t="str">
        <f t="shared" si="256"/>
        <v/>
      </c>
      <c r="X1278" s="53" t="str">
        <f t="shared" si="257"/>
        <v/>
      </c>
      <c r="Y1278" s="57" t="str">
        <f>IF($X1278="","",IFERROR(VLOOKUP($X1278,'Char Popularity'!$A$2:$C$500,2,FALSE),""))</f>
        <v/>
      </c>
      <c r="Z1278" s="56">
        <f>IF($X1278="",1,IFERROR(VLOOKUP($X1278,'Char Popularity'!$A$2:$C$500,3,FALSE),1))</f>
        <v>1</v>
      </c>
      <c r="AA1278" s="62">
        <f>IF($H1278&lt;&gt;"Y",0,(IF($F1278&lt;&gt;"",ROUND(Dashboard!$R$4/$F1278,1),IF(AND($I1278="Base",$E1278="Base"),Dashboard!$R$5,IF(AND($I1278="Base",$E1278="Red"),Dashboard!$R$6,IF(AND($I1278="Base",$E1278="Gold"),Dashboard!$R$7,VLOOKUP($I1278,Dashboard!$Q$16:$R$21,2,FALSE)))))*VLOOKUP($I1278,Dashboard!$Q$9:$R$13,2,FALSE)*IF(AND($I1278="Auto",$F1278="",OR($B1278="Autographs Duals",$B1278="Autographs Triples",$B1278="Autographs Quads",$B1278="Autographs Quads (Inscribed)")),IF($B1278="Autographs Duals",2,IF($B1278="Autographs Triples",3,4)),1)))</f>
        <v>2</v>
      </c>
      <c r="AB1278" s="62">
        <f t="shared" si="258"/>
        <v>2</v>
      </c>
      <c r="AC1278" s="62">
        <f t="shared" si="259"/>
        <v>0</v>
      </c>
    </row>
    <row r="1279" spans="1:29" ht="28.7" customHeight="1" x14ac:dyDescent="0.25">
      <c r="A1279" s="4" t="s">
        <v>19</v>
      </c>
      <c r="B1279" s="7" t="s">
        <v>75</v>
      </c>
      <c r="C1279" s="2" t="s">
        <v>1577</v>
      </c>
      <c r="D1279" s="7" t="s">
        <v>1169</v>
      </c>
      <c r="E1279" s="4" t="s">
        <v>823</v>
      </c>
      <c r="F1279" s="2"/>
      <c r="G1279" s="2" t="s">
        <v>1399</v>
      </c>
      <c r="H1279" s="2" t="s">
        <v>1400</v>
      </c>
      <c r="I1279" s="4" t="s">
        <v>60</v>
      </c>
      <c r="J1279" s="112">
        <f>IF($H1279&lt;&gt;"Y",0,ROUND(MIN(Dashboard!$R$24,IF(IFERROR(VLOOKUP($B1279,Dashboard!$Q$28:$S$60,2,FALSE),0)&gt;0,IFERROR(VLOOKUP($B1279,Dashboard!$Q$28:$S$60,2,FALSE),0),$Z1279*IF($U1279&lt;&gt;"",ROUND((Dashboard!$R$4/$U1279)*VLOOKUP($I1279,Dashboard!$Q$9:$R$13,2,FALSE)*IF(ISNUMBER(SEARCH("Duals",$B1279)),2,IF(ISNUMBER(SEARCH("Triples",$B1279)),3,IF(ISNUMBER(SEARCH("Quads",$B1279)),4,1))),2),ROUND(VLOOKUP($I1279,Dashboard!$Q$15:$R$20,2,FALSE)*IF($E1279="Red",Dashboard!$R$6,IF($E1279="Gold",Dashboard!$R$7,Dashboard!$R$5))*IF(ISNUMBER(SEARCH("Duals",$B1279)),2,IF(ISNUMBER(SEARCH("Triples",$B1279)),3,IF(ISNUMBER(SEARCH("Quads",$B1279)),4,1))),2))*IF(IFERROR(VLOOKUP($B1279,Dashboard!$Q$28:$S$60,3,FALSE),0)&gt;0,VLOOKUP($B1279,Dashboard!$Q$28:$S$60,3,FALSE),1))),0))</f>
        <v>2</v>
      </c>
      <c r="K1279" s="2" t="str">
        <f>IF('Base S2'!D79="","",'Base S2'!D79)</f>
        <v>h</v>
      </c>
      <c r="L1279" s="2">
        <f t="shared" si="247"/>
        <v>1</v>
      </c>
      <c r="M1279" s="2">
        <f t="shared" si="248"/>
        <v>0</v>
      </c>
      <c r="N1279" s="2">
        <f t="shared" si="249"/>
        <v>1</v>
      </c>
      <c r="O1279" s="2">
        <f t="shared" si="250"/>
        <v>0</v>
      </c>
      <c r="P1279" s="112">
        <f t="shared" si="251"/>
        <v>2</v>
      </c>
      <c r="Q1279" s="112">
        <f t="shared" si="252"/>
        <v>0</v>
      </c>
      <c r="R1279" s="53"/>
      <c r="S1279" s="53" t="str">
        <f t="shared" si="253"/>
        <v>Base S2|Red Parallel - Season 2|178|Red</v>
      </c>
      <c r="T1279" s="57" t="str">
        <f>IF($S1279="","",IFERROR(VLOOKUP($S1279,'Pop Estimates (Non-#d)'!$N$2:$O$500,2,FALSE),""))</f>
        <v/>
      </c>
      <c r="U1279" s="57" t="str">
        <f t="shared" si="254"/>
        <v/>
      </c>
      <c r="V1279" s="53" t="str">
        <f t="shared" si="255"/>
        <v/>
      </c>
      <c r="W1279" s="53" t="str">
        <f t="shared" si="256"/>
        <v/>
      </c>
      <c r="X1279" s="53" t="str">
        <f t="shared" si="257"/>
        <v/>
      </c>
      <c r="Y1279" s="57" t="str">
        <f>IF($X1279="","",IFERROR(VLOOKUP($X1279,'Char Popularity'!$A$2:$C$500,2,FALSE),""))</f>
        <v/>
      </c>
      <c r="Z1279" s="56">
        <f>IF($X1279="",1,IFERROR(VLOOKUP($X1279,'Char Popularity'!$A$2:$C$500,3,FALSE),1))</f>
        <v>1</v>
      </c>
      <c r="AA1279" s="62">
        <f>IF($H1279&lt;&gt;"Y",0,(IF($F1279&lt;&gt;"",ROUND(Dashboard!$R$4/$F1279,1),IF(AND($I1279="Base",$E1279="Base"),Dashboard!$R$5,IF(AND($I1279="Base",$E1279="Red"),Dashboard!$R$6,IF(AND($I1279="Base",$E1279="Gold"),Dashboard!$R$7,VLOOKUP($I1279,Dashboard!$Q$16:$R$21,2,FALSE)))))*VLOOKUP($I1279,Dashboard!$Q$9:$R$13,2,FALSE)*IF(AND($I1279="Auto",$F1279="",OR($B1279="Autographs Duals",$B1279="Autographs Triples",$B1279="Autographs Quads",$B1279="Autographs Quads (Inscribed)")),IF($B1279="Autographs Duals",2,IF($B1279="Autographs Triples",3,4)),1)))</f>
        <v>2</v>
      </c>
      <c r="AB1279" s="62">
        <f t="shared" si="258"/>
        <v>2</v>
      </c>
      <c r="AC1279" s="62">
        <f t="shared" si="259"/>
        <v>0</v>
      </c>
    </row>
    <row r="1280" spans="1:29" ht="28.7" customHeight="1" x14ac:dyDescent="0.25">
      <c r="A1280" s="4" t="s">
        <v>19</v>
      </c>
      <c r="B1280" s="7" t="s">
        <v>75</v>
      </c>
      <c r="C1280" s="2" t="s">
        <v>1578</v>
      </c>
      <c r="D1280" s="7" t="s">
        <v>1170</v>
      </c>
      <c r="E1280" s="4" t="s">
        <v>823</v>
      </c>
      <c r="F1280" s="2"/>
      <c r="G1280" s="2" t="s">
        <v>1399</v>
      </c>
      <c r="H1280" s="2" t="s">
        <v>1400</v>
      </c>
      <c r="I1280" s="4" t="s">
        <v>60</v>
      </c>
      <c r="J1280" s="112">
        <f>IF($H1280&lt;&gt;"Y",0,ROUND(MIN(Dashboard!$R$24,IF(IFERROR(VLOOKUP($B1280,Dashboard!$Q$28:$S$60,2,FALSE),0)&gt;0,IFERROR(VLOOKUP($B1280,Dashboard!$Q$28:$S$60,2,FALSE),0),$Z1280*IF($U1280&lt;&gt;"",ROUND((Dashboard!$R$4/$U1280)*VLOOKUP($I1280,Dashboard!$Q$9:$R$13,2,FALSE)*IF(ISNUMBER(SEARCH("Duals",$B1280)),2,IF(ISNUMBER(SEARCH("Triples",$B1280)),3,IF(ISNUMBER(SEARCH("Quads",$B1280)),4,1))),2),ROUND(VLOOKUP($I1280,Dashboard!$Q$15:$R$20,2,FALSE)*IF($E1280="Red",Dashboard!$R$6,IF($E1280="Gold",Dashboard!$R$7,Dashboard!$R$5))*IF(ISNUMBER(SEARCH("Duals",$B1280)),2,IF(ISNUMBER(SEARCH("Triples",$B1280)),3,IF(ISNUMBER(SEARCH("Quads",$B1280)),4,1))),2))*IF(IFERROR(VLOOKUP($B1280,Dashboard!$Q$28:$S$60,3,FALSE),0)&gt;0,VLOOKUP($B1280,Dashboard!$Q$28:$S$60,3,FALSE),1))),0))</f>
        <v>2</v>
      </c>
      <c r="K1280" s="2" t="str">
        <f>IF('Base S2'!D80="","",'Base S2'!D80)</f>
        <v>h</v>
      </c>
      <c r="L1280" s="2">
        <f t="shared" si="247"/>
        <v>1</v>
      </c>
      <c r="M1280" s="2">
        <f t="shared" si="248"/>
        <v>0</v>
      </c>
      <c r="N1280" s="2">
        <f t="shared" si="249"/>
        <v>1</v>
      </c>
      <c r="O1280" s="2">
        <f t="shared" si="250"/>
        <v>0</v>
      </c>
      <c r="P1280" s="112">
        <f t="shared" si="251"/>
        <v>2</v>
      </c>
      <c r="Q1280" s="112">
        <f t="shared" si="252"/>
        <v>0</v>
      </c>
      <c r="R1280" s="53"/>
      <c r="S1280" s="53" t="str">
        <f t="shared" si="253"/>
        <v>Base S2|Red Parallel - Season 2|179|Red</v>
      </c>
      <c r="T1280" s="57" t="str">
        <f>IF($S1280="","",IFERROR(VLOOKUP($S1280,'Pop Estimates (Non-#d)'!$N$2:$O$500,2,FALSE),""))</f>
        <v/>
      </c>
      <c r="U1280" s="57" t="str">
        <f t="shared" si="254"/>
        <v/>
      </c>
      <c r="V1280" s="53" t="str">
        <f t="shared" si="255"/>
        <v/>
      </c>
      <c r="W1280" s="53" t="str">
        <f t="shared" si="256"/>
        <v/>
      </c>
      <c r="X1280" s="53" t="str">
        <f t="shared" si="257"/>
        <v/>
      </c>
      <c r="Y1280" s="57" t="str">
        <f>IF($X1280="","",IFERROR(VLOOKUP($X1280,'Char Popularity'!$A$2:$C$500,2,FALSE),""))</f>
        <v/>
      </c>
      <c r="Z1280" s="56">
        <f>IF($X1280="",1,IFERROR(VLOOKUP($X1280,'Char Popularity'!$A$2:$C$500,3,FALSE),1))</f>
        <v>1</v>
      </c>
      <c r="AA1280" s="62">
        <f>IF($H1280&lt;&gt;"Y",0,(IF($F1280&lt;&gt;"",ROUND(Dashboard!$R$4/$F1280,1),IF(AND($I1280="Base",$E1280="Base"),Dashboard!$R$5,IF(AND($I1280="Base",$E1280="Red"),Dashboard!$R$6,IF(AND($I1280="Base",$E1280="Gold"),Dashboard!$R$7,VLOOKUP($I1280,Dashboard!$Q$16:$R$21,2,FALSE)))))*VLOOKUP($I1280,Dashboard!$Q$9:$R$13,2,FALSE)*IF(AND($I1280="Auto",$F1280="",OR($B1280="Autographs Duals",$B1280="Autographs Triples",$B1280="Autographs Quads",$B1280="Autographs Quads (Inscribed)")),IF($B1280="Autographs Duals",2,IF($B1280="Autographs Triples",3,4)),1)))</f>
        <v>2</v>
      </c>
      <c r="AB1280" s="62">
        <f t="shared" si="258"/>
        <v>2</v>
      </c>
      <c r="AC1280" s="62">
        <f t="shared" si="259"/>
        <v>0</v>
      </c>
    </row>
    <row r="1281" spans="1:29" ht="28.7" customHeight="1" x14ac:dyDescent="0.25">
      <c r="A1281" s="4" t="s">
        <v>19</v>
      </c>
      <c r="B1281" s="7" t="s">
        <v>75</v>
      </c>
      <c r="C1281" s="2" t="s">
        <v>1579</v>
      </c>
      <c r="D1281" s="7" t="s">
        <v>1172</v>
      </c>
      <c r="E1281" s="4" t="s">
        <v>823</v>
      </c>
      <c r="F1281" s="2"/>
      <c r="G1281" s="2" t="s">
        <v>1399</v>
      </c>
      <c r="H1281" s="2" t="s">
        <v>1400</v>
      </c>
      <c r="I1281" s="4" t="s">
        <v>60</v>
      </c>
      <c r="J1281" s="112">
        <f>IF($H1281&lt;&gt;"Y",0,ROUND(MIN(Dashboard!$R$24,IF(IFERROR(VLOOKUP($B1281,Dashboard!$Q$28:$S$60,2,FALSE),0)&gt;0,IFERROR(VLOOKUP($B1281,Dashboard!$Q$28:$S$60,2,FALSE),0),$Z1281*IF($U1281&lt;&gt;"",ROUND((Dashboard!$R$4/$U1281)*VLOOKUP($I1281,Dashboard!$Q$9:$R$13,2,FALSE)*IF(ISNUMBER(SEARCH("Duals",$B1281)),2,IF(ISNUMBER(SEARCH("Triples",$B1281)),3,IF(ISNUMBER(SEARCH("Quads",$B1281)),4,1))),2),ROUND(VLOOKUP($I1281,Dashboard!$Q$15:$R$20,2,FALSE)*IF($E1281="Red",Dashboard!$R$6,IF($E1281="Gold",Dashboard!$R$7,Dashboard!$R$5))*IF(ISNUMBER(SEARCH("Duals",$B1281)),2,IF(ISNUMBER(SEARCH("Triples",$B1281)),3,IF(ISNUMBER(SEARCH("Quads",$B1281)),4,1))),2))*IF(IFERROR(VLOOKUP($B1281,Dashboard!$Q$28:$S$60,3,FALSE),0)&gt;0,VLOOKUP($B1281,Dashboard!$Q$28:$S$60,3,FALSE),1))),0))</f>
        <v>2</v>
      </c>
      <c r="K1281" s="2" t="str">
        <f>IF('Base S2'!D81="","",'Base S2'!D81)</f>
        <v>h</v>
      </c>
      <c r="L1281" s="2">
        <f t="shared" si="247"/>
        <v>1</v>
      </c>
      <c r="M1281" s="2">
        <f t="shared" si="248"/>
        <v>0</v>
      </c>
      <c r="N1281" s="2">
        <f t="shared" si="249"/>
        <v>1</v>
      </c>
      <c r="O1281" s="2">
        <f t="shared" si="250"/>
        <v>0</v>
      </c>
      <c r="P1281" s="112">
        <f t="shared" si="251"/>
        <v>2</v>
      </c>
      <c r="Q1281" s="112">
        <f t="shared" si="252"/>
        <v>0</v>
      </c>
      <c r="R1281" s="53"/>
      <c r="S1281" s="53" t="str">
        <f t="shared" si="253"/>
        <v>Base S2|Red Parallel - Season 2|180|Red</v>
      </c>
      <c r="T1281" s="57" t="str">
        <f>IF($S1281="","",IFERROR(VLOOKUP($S1281,'Pop Estimates (Non-#d)'!$N$2:$O$500,2,FALSE),""))</f>
        <v/>
      </c>
      <c r="U1281" s="57" t="str">
        <f t="shared" si="254"/>
        <v/>
      </c>
      <c r="V1281" s="53" t="str">
        <f t="shared" si="255"/>
        <v/>
      </c>
      <c r="W1281" s="53" t="str">
        <f t="shared" si="256"/>
        <v/>
      </c>
      <c r="X1281" s="53" t="str">
        <f t="shared" si="257"/>
        <v/>
      </c>
      <c r="Y1281" s="57" t="str">
        <f>IF($X1281="","",IFERROR(VLOOKUP($X1281,'Char Popularity'!$A$2:$C$500,2,FALSE),""))</f>
        <v/>
      </c>
      <c r="Z1281" s="56">
        <f>IF($X1281="",1,IFERROR(VLOOKUP($X1281,'Char Popularity'!$A$2:$C$500,3,FALSE),1))</f>
        <v>1</v>
      </c>
      <c r="AA1281" s="62">
        <f>IF($H1281&lt;&gt;"Y",0,(IF($F1281&lt;&gt;"",ROUND(Dashboard!$R$4/$F1281,1),IF(AND($I1281="Base",$E1281="Base"),Dashboard!$R$5,IF(AND($I1281="Base",$E1281="Red"),Dashboard!$R$6,IF(AND($I1281="Base",$E1281="Gold"),Dashboard!$R$7,VLOOKUP($I1281,Dashboard!$Q$16:$R$21,2,FALSE)))))*VLOOKUP($I1281,Dashboard!$Q$9:$R$13,2,FALSE)*IF(AND($I1281="Auto",$F1281="",OR($B1281="Autographs Duals",$B1281="Autographs Triples",$B1281="Autographs Quads",$B1281="Autographs Quads (Inscribed)")),IF($B1281="Autographs Duals",2,IF($B1281="Autographs Triples",3,4)),1)))</f>
        <v>2</v>
      </c>
      <c r="AB1281" s="62">
        <f t="shared" si="258"/>
        <v>2</v>
      </c>
      <c r="AC1281" s="62">
        <f t="shared" si="259"/>
        <v>0</v>
      </c>
    </row>
    <row r="1282" spans="1:29" ht="28.7" customHeight="1" x14ac:dyDescent="0.25">
      <c r="A1282" s="4" t="s">
        <v>19</v>
      </c>
      <c r="B1282" s="7" t="s">
        <v>75</v>
      </c>
      <c r="C1282" s="2" t="s">
        <v>1580</v>
      </c>
      <c r="D1282" s="7" t="s">
        <v>1173</v>
      </c>
      <c r="E1282" s="4" t="s">
        <v>823</v>
      </c>
      <c r="F1282" s="2"/>
      <c r="G1282" s="2" t="s">
        <v>1399</v>
      </c>
      <c r="H1282" s="2" t="s">
        <v>1400</v>
      </c>
      <c r="I1282" s="4" t="s">
        <v>60</v>
      </c>
      <c r="J1282" s="112">
        <f>IF($H1282&lt;&gt;"Y",0,ROUND(MIN(Dashboard!$R$24,IF(IFERROR(VLOOKUP($B1282,Dashboard!$Q$28:$S$60,2,FALSE),0)&gt;0,IFERROR(VLOOKUP($B1282,Dashboard!$Q$28:$S$60,2,FALSE),0),$Z1282*IF($U1282&lt;&gt;"",ROUND((Dashboard!$R$4/$U1282)*VLOOKUP($I1282,Dashboard!$Q$9:$R$13,2,FALSE)*IF(ISNUMBER(SEARCH("Duals",$B1282)),2,IF(ISNUMBER(SEARCH("Triples",$B1282)),3,IF(ISNUMBER(SEARCH("Quads",$B1282)),4,1))),2),ROUND(VLOOKUP($I1282,Dashboard!$Q$15:$R$20,2,FALSE)*IF($E1282="Red",Dashboard!$R$6,IF($E1282="Gold",Dashboard!$R$7,Dashboard!$R$5))*IF(ISNUMBER(SEARCH("Duals",$B1282)),2,IF(ISNUMBER(SEARCH("Triples",$B1282)),3,IF(ISNUMBER(SEARCH("Quads",$B1282)),4,1))),2))*IF(IFERROR(VLOOKUP($B1282,Dashboard!$Q$28:$S$60,3,FALSE),0)&gt;0,VLOOKUP($B1282,Dashboard!$Q$28:$S$60,3,FALSE),1))),0))</f>
        <v>2</v>
      </c>
      <c r="K1282" s="2" t="str">
        <f>IF('Base S2'!D82="","",'Base S2'!D82)</f>
        <v>h</v>
      </c>
      <c r="L1282" s="2">
        <f t="shared" ref="L1282:L1345" si="260">IF(AND($K1282&lt;&gt;"",LEFT($K1282,1)&lt;&gt;"Y"),1,0)</f>
        <v>1</v>
      </c>
      <c r="M1282" s="2">
        <f t="shared" ref="M1282:M1345" si="261">IF(LEFT($K1282,1)="Y",1,0)</f>
        <v>0</v>
      </c>
      <c r="N1282" s="2">
        <f t="shared" ref="N1282:N1345" si="262">$L1282+$M1282</f>
        <v>1</v>
      </c>
      <c r="O1282" s="2">
        <f t="shared" ref="O1282:O1345" si="263">IF($H1282="Y",1-$N1282,0)</f>
        <v>0</v>
      </c>
      <c r="P1282" s="112">
        <f t="shared" ref="P1282:P1345" si="264">IF($L1282=1,$J1282,0)</f>
        <v>2</v>
      </c>
      <c r="Q1282" s="112">
        <f t="shared" ref="Q1282:Q1345" si="265">IF($M1282=1,$J1282,0)</f>
        <v>0</v>
      </c>
      <c r="R1282" s="53"/>
      <c r="S1282" s="53" t="str">
        <f t="shared" ref="S1282:S1345" si="266">IF($A1282="","",$A1282&amp;"|"&amp;$B1282&amp;"|"&amp;$C1282&amp;"|"&amp;$E1282)</f>
        <v>Base S2|Red Parallel - Season 2|181|Red</v>
      </c>
      <c r="T1282" s="57" t="str">
        <f>IF($S1282="","",IFERROR(VLOOKUP($S1282,'Pop Estimates (Non-#d)'!$N$2:$O$500,2,FALSE),""))</f>
        <v/>
      </c>
      <c r="U1282" s="57" t="str">
        <f t="shared" ref="U1282:U1345" si="267">IF($A1282="","",IF($F1282&lt;&gt;"",$F1282,$T1282))</f>
        <v/>
      </c>
      <c r="V1282" s="53" t="str">
        <f t="shared" ref="V1282:V1345" si="268">IF($A1282="","",IF(ISNUMBER(SEARCH(" as ",$D1282)),MID($D1282,SEARCH(" as ",$D1282)+4,255),IF(ISNUMBER(SEARCH("/",$D1282)),LEFT($D1282,FIND("/",$D1282&amp;"/")-1),"")))</f>
        <v/>
      </c>
      <c r="W1282" s="53" t="str">
        <f t="shared" ref="W1282:W1345" si="269">IF($V1282="","",TRIM(IFERROR(MID($V1282,SEARCH("(", $V1282)+1,SEARCH(")",$V1282)-SEARCH("(", $V1282)-1),$V1282)))</f>
        <v/>
      </c>
      <c r="X1282" s="53" t="str">
        <f t="shared" ref="X1282:X1345" si="270">IF($W1282="","",TRIM(LEFT($W1282&amp;"""",FIND("""",$W1282&amp;"""")-1)))</f>
        <v/>
      </c>
      <c r="Y1282" s="57" t="str">
        <f>IF($X1282="","",IFERROR(VLOOKUP($X1282,'Char Popularity'!$A$2:$C$500,2,FALSE),""))</f>
        <v/>
      </c>
      <c r="Z1282" s="56">
        <f>IF($X1282="",1,IFERROR(VLOOKUP($X1282,'Char Popularity'!$A$2:$C$500,3,FALSE),1))</f>
        <v>1</v>
      </c>
      <c r="AA1282" s="62">
        <f>IF($H1282&lt;&gt;"Y",0,(IF($F1282&lt;&gt;"",ROUND(Dashboard!$R$4/$F1282,1),IF(AND($I1282="Base",$E1282="Base"),Dashboard!$R$5,IF(AND($I1282="Base",$E1282="Red"),Dashboard!$R$6,IF(AND($I1282="Base",$E1282="Gold"),Dashboard!$R$7,VLOOKUP($I1282,Dashboard!$Q$16:$R$21,2,FALSE)))))*VLOOKUP($I1282,Dashboard!$Q$9:$R$13,2,FALSE)*IF(AND($I1282="Auto",$F1282="",OR($B1282="Autographs Duals",$B1282="Autographs Triples",$B1282="Autographs Quads",$B1282="Autographs Quads (Inscribed)")),IF($B1282="Autographs Duals",2,IF($B1282="Autographs Triples",3,4)),1)))</f>
        <v>2</v>
      </c>
      <c r="AB1282" s="62">
        <f t="shared" ref="AB1282:AB1345" si="271">IF($L1282=1,$AA1282,0)</f>
        <v>2</v>
      </c>
      <c r="AC1282" s="62">
        <f t="shared" ref="AC1282:AC1345" si="272">IF($M1282=1,$AA1282,0)</f>
        <v>0</v>
      </c>
    </row>
    <row r="1283" spans="1:29" ht="28.7" customHeight="1" x14ac:dyDescent="0.25">
      <c r="A1283" s="4" t="s">
        <v>19</v>
      </c>
      <c r="B1283" s="7" t="s">
        <v>75</v>
      </c>
      <c r="C1283" s="2" t="s">
        <v>1581</v>
      </c>
      <c r="D1283" s="7" t="s">
        <v>1174</v>
      </c>
      <c r="E1283" s="4" t="s">
        <v>823</v>
      </c>
      <c r="F1283" s="2"/>
      <c r="G1283" s="2" t="s">
        <v>1399</v>
      </c>
      <c r="H1283" s="2" t="s">
        <v>1400</v>
      </c>
      <c r="I1283" s="4" t="s">
        <v>60</v>
      </c>
      <c r="J1283" s="112">
        <f>IF($H1283&lt;&gt;"Y",0,ROUND(MIN(Dashboard!$R$24,IF(IFERROR(VLOOKUP($B1283,Dashboard!$Q$28:$S$60,2,FALSE),0)&gt;0,IFERROR(VLOOKUP($B1283,Dashboard!$Q$28:$S$60,2,FALSE),0),$Z1283*IF($U1283&lt;&gt;"",ROUND((Dashboard!$R$4/$U1283)*VLOOKUP($I1283,Dashboard!$Q$9:$R$13,2,FALSE)*IF(ISNUMBER(SEARCH("Duals",$B1283)),2,IF(ISNUMBER(SEARCH("Triples",$B1283)),3,IF(ISNUMBER(SEARCH("Quads",$B1283)),4,1))),2),ROUND(VLOOKUP($I1283,Dashboard!$Q$15:$R$20,2,FALSE)*IF($E1283="Red",Dashboard!$R$6,IF($E1283="Gold",Dashboard!$R$7,Dashboard!$R$5))*IF(ISNUMBER(SEARCH("Duals",$B1283)),2,IF(ISNUMBER(SEARCH("Triples",$B1283)),3,IF(ISNUMBER(SEARCH("Quads",$B1283)),4,1))),2))*IF(IFERROR(VLOOKUP($B1283,Dashboard!$Q$28:$S$60,3,FALSE),0)&gt;0,VLOOKUP($B1283,Dashboard!$Q$28:$S$60,3,FALSE),1))),0))</f>
        <v>2</v>
      </c>
      <c r="K1283" s="2" t="str">
        <f>IF('Base S2'!D83="","",'Base S2'!D83)</f>
        <v>h</v>
      </c>
      <c r="L1283" s="2">
        <f t="shared" si="260"/>
        <v>1</v>
      </c>
      <c r="M1283" s="2">
        <f t="shared" si="261"/>
        <v>0</v>
      </c>
      <c r="N1283" s="2">
        <f t="shared" si="262"/>
        <v>1</v>
      </c>
      <c r="O1283" s="2">
        <f t="shared" si="263"/>
        <v>0</v>
      </c>
      <c r="P1283" s="112">
        <f t="shared" si="264"/>
        <v>2</v>
      </c>
      <c r="Q1283" s="112">
        <f t="shared" si="265"/>
        <v>0</v>
      </c>
      <c r="R1283" s="53"/>
      <c r="S1283" s="53" t="str">
        <f t="shared" si="266"/>
        <v>Base S2|Red Parallel - Season 2|182|Red</v>
      </c>
      <c r="T1283" s="57" t="str">
        <f>IF($S1283="","",IFERROR(VLOOKUP($S1283,'Pop Estimates (Non-#d)'!$N$2:$O$500,2,FALSE),""))</f>
        <v/>
      </c>
      <c r="U1283" s="57" t="str">
        <f t="shared" si="267"/>
        <v/>
      </c>
      <c r="V1283" s="53" t="str">
        <f t="shared" si="268"/>
        <v/>
      </c>
      <c r="W1283" s="53" t="str">
        <f t="shared" si="269"/>
        <v/>
      </c>
      <c r="X1283" s="53" t="str">
        <f t="shared" si="270"/>
        <v/>
      </c>
      <c r="Y1283" s="57" t="str">
        <f>IF($X1283="","",IFERROR(VLOOKUP($X1283,'Char Popularity'!$A$2:$C$500,2,FALSE),""))</f>
        <v/>
      </c>
      <c r="Z1283" s="56">
        <f>IF($X1283="",1,IFERROR(VLOOKUP($X1283,'Char Popularity'!$A$2:$C$500,3,FALSE),1))</f>
        <v>1</v>
      </c>
      <c r="AA1283" s="62">
        <f>IF($H1283&lt;&gt;"Y",0,(IF($F1283&lt;&gt;"",ROUND(Dashboard!$R$4/$F1283,1),IF(AND($I1283="Base",$E1283="Base"),Dashboard!$R$5,IF(AND($I1283="Base",$E1283="Red"),Dashboard!$R$6,IF(AND($I1283="Base",$E1283="Gold"),Dashboard!$R$7,VLOOKUP($I1283,Dashboard!$Q$16:$R$21,2,FALSE)))))*VLOOKUP($I1283,Dashboard!$Q$9:$R$13,2,FALSE)*IF(AND($I1283="Auto",$F1283="",OR($B1283="Autographs Duals",$B1283="Autographs Triples",$B1283="Autographs Quads",$B1283="Autographs Quads (Inscribed)")),IF($B1283="Autographs Duals",2,IF($B1283="Autographs Triples",3,4)),1)))</f>
        <v>2</v>
      </c>
      <c r="AB1283" s="62">
        <f t="shared" si="271"/>
        <v>2</v>
      </c>
      <c r="AC1283" s="62">
        <f t="shared" si="272"/>
        <v>0</v>
      </c>
    </row>
    <row r="1284" spans="1:29" ht="28.7" customHeight="1" x14ac:dyDescent="0.25">
      <c r="A1284" s="4" t="s">
        <v>19</v>
      </c>
      <c r="B1284" s="7" t="s">
        <v>75</v>
      </c>
      <c r="C1284" s="2" t="s">
        <v>1582</v>
      </c>
      <c r="D1284" s="7" t="s">
        <v>1177</v>
      </c>
      <c r="E1284" s="4" t="s">
        <v>823</v>
      </c>
      <c r="F1284" s="2"/>
      <c r="G1284" s="2" t="s">
        <v>1399</v>
      </c>
      <c r="H1284" s="2" t="s">
        <v>1400</v>
      </c>
      <c r="I1284" s="4" t="s">
        <v>60</v>
      </c>
      <c r="J1284" s="112">
        <f>IF($H1284&lt;&gt;"Y",0,ROUND(MIN(Dashboard!$R$24,IF(IFERROR(VLOOKUP($B1284,Dashboard!$Q$28:$S$60,2,FALSE),0)&gt;0,IFERROR(VLOOKUP($B1284,Dashboard!$Q$28:$S$60,2,FALSE),0),$Z1284*IF($U1284&lt;&gt;"",ROUND((Dashboard!$R$4/$U1284)*VLOOKUP($I1284,Dashboard!$Q$9:$R$13,2,FALSE)*IF(ISNUMBER(SEARCH("Duals",$B1284)),2,IF(ISNUMBER(SEARCH("Triples",$B1284)),3,IF(ISNUMBER(SEARCH("Quads",$B1284)),4,1))),2),ROUND(VLOOKUP($I1284,Dashboard!$Q$15:$R$20,2,FALSE)*IF($E1284="Red",Dashboard!$R$6,IF($E1284="Gold",Dashboard!$R$7,Dashboard!$R$5))*IF(ISNUMBER(SEARCH("Duals",$B1284)),2,IF(ISNUMBER(SEARCH("Triples",$B1284)),3,IF(ISNUMBER(SEARCH("Quads",$B1284)),4,1))),2))*IF(IFERROR(VLOOKUP($B1284,Dashboard!$Q$28:$S$60,3,FALSE),0)&gt;0,VLOOKUP($B1284,Dashboard!$Q$28:$S$60,3,FALSE),1))),0))</f>
        <v>2</v>
      </c>
      <c r="K1284" s="2" t="str">
        <f>IF('Base S2'!D84="","",'Base S2'!D84)</f>
        <v>h</v>
      </c>
      <c r="L1284" s="2">
        <f t="shared" si="260"/>
        <v>1</v>
      </c>
      <c r="M1284" s="2">
        <f t="shared" si="261"/>
        <v>0</v>
      </c>
      <c r="N1284" s="2">
        <f t="shared" si="262"/>
        <v>1</v>
      </c>
      <c r="O1284" s="2">
        <f t="shared" si="263"/>
        <v>0</v>
      </c>
      <c r="P1284" s="112">
        <f t="shared" si="264"/>
        <v>2</v>
      </c>
      <c r="Q1284" s="112">
        <f t="shared" si="265"/>
        <v>0</v>
      </c>
      <c r="R1284" s="53"/>
      <c r="S1284" s="53" t="str">
        <f t="shared" si="266"/>
        <v>Base S2|Red Parallel - Season 2|183|Red</v>
      </c>
      <c r="T1284" s="57" t="str">
        <f>IF($S1284="","",IFERROR(VLOOKUP($S1284,'Pop Estimates (Non-#d)'!$N$2:$O$500,2,FALSE),""))</f>
        <v/>
      </c>
      <c r="U1284" s="57" t="str">
        <f t="shared" si="267"/>
        <v/>
      </c>
      <c r="V1284" s="53" t="str">
        <f t="shared" si="268"/>
        <v/>
      </c>
      <c r="W1284" s="53" t="str">
        <f t="shared" si="269"/>
        <v/>
      </c>
      <c r="X1284" s="53" t="str">
        <f t="shared" si="270"/>
        <v/>
      </c>
      <c r="Y1284" s="57" t="str">
        <f>IF($X1284="","",IFERROR(VLOOKUP($X1284,'Char Popularity'!$A$2:$C$500,2,FALSE),""))</f>
        <v/>
      </c>
      <c r="Z1284" s="56">
        <f>IF($X1284="",1,IFERROR(VLOOKUP($X1284,'Char Popularity'!$A$2:$C$500,3,FALSE),1))</f>
        <v>1</v>
      </c>
      <c r="AA1284" s="62">
        <f>IF($H1284&lt;&gt;"Y",0,(IF($F1284&lt;&gt;"",ROUND(Dashboard!$R$4/$F1284,1),IF(AND($I1284="Base",$E1284="Base"),Dashboard!$R$5,IF(AND($I1284="Base",$E1284="Red"),Dashboard!$R$6,IF(AND($I1284="Base",$E1284="Gold"),Dashboard!$R$7,VLOOKUP($I1284,Dashboard!$Q$16:$R$21,2,FALSE)))))*VLOOKUP($I1284,Dashboard!$Q$9:$R$13,2,FALSE)*IF(AND($I1284="Auto",$F1284="",OR($B1284="Autographs Duals",$B1284="Autographs Triples",$B1284="Autographs Quads",$B1284="Autographs Quads (Inscribed)")),IF($B1284="Autographs Duals",2,IF($B1284="Autographs Triples",3,4)),1)))</f>
        <v>2</v>
      </c>
      <c r="AB1284" s="62">
        <f t="shared" si="271"/>
        <v>2</v>
      </c>
      <c r="AC1284" s="62">
        <f t="shared" si="272"/>
        <v>0</v>
      </c>
    </row>
    <row r="1285" spans="1:29" ht="28.7" customHeight="1" x14ac:dyDescent="0.25">
      <c r="A1285" s="4" t="s">
        <v>19</v>
      </c>
      <c r="B1285" s="7" t="s">
        <v>75</v>
      </c>
      <c r="C1285" s="2" t="s">
        <v>1583</v>
      </c>
      <c r="D1285" s="7" t="s">
        <v>1179</v>
      </c>
      <c r="E1285" s="4" t="s">
        <v>823</v>
      </c>
      <c r="F1285" s="2"/>
      <c r="G1285" s="2" t="s">
        <v>1399</v>
      </c>
      <c r="H1285" s="2" t="s">
        <v>1400</v>
      </c>
      <c r="I1285" s="4" t="s">
        <v>60</v>
      </c>
      <c r="J1285" s="112">
        <f>IF($H1285&lt;&gt;"Y",0,ROUND(MIN(Dashboard!$R$24,IF(IFERROR(VLOOKUP($B1285,Dashboard!$Q$28:$S$60,2,FALSE),0)&gt;0,IFERROR(VLOOKUP($B1285,Dashboard!$Q$28:$S$60,2,FALSE),0),$Z1285*IF($U1285&lt;&gt;"",ROUND((Dashboard!$R$4/$U1285)*VLOOKUP($I1285,Dashboard!$Q$9:$R$13,2,FALSE)*IF(ISNUMBER(SEARCH("Duals",$B1285)),2,IF(ISNUMBER(SEARCH("Triples",$B1285)),3,IF(ISNUMBER(SEARCH("Quads",$B1285)),4,1))),2),ROUND(VLOOKUP($I1285,Dashboard!$Q$15:$R$20,2,FALSE)*IF($E1285="Red",Dashboard!$R$6,IF($E1285="Gold",Dashboard!$R$7,Dashboard!$R$5))*IF(ISNUMBER(SEARCH("Duals",$B1285)),2,IF(ISNUMBER(SEARCH("Triples",$B1285)),3,IF(ISNUMBER(SEARCH("Quads",$B1285)),4,1))),2))*IF(IFERROR(VLOOKUP($B1285,Dashboard!$Q$28:$S$60,3,FALSE),0)&gt;0,VLOOKUP($B1285,Dashboard!$Q$28:$S$60,3,FALSE),1))),0))</f>
        <v>2</v>
      </c>
      <c r="K1285" s="2" t="str">
        <f>IF('Base S2'!D85="","",'Base S2'!D85)</f>
        <v>h</v>
      </c>
      <c r="L1285" s="2">
        <f t="shared" si="260"/>
        <v>1</v>
      </c>
      <c r="M1285" s="2">
        <f t="shared" si="261"/>
        <v>0</v>
      </c>
      <c r="N1285" s="2">
        <f t="shared" si="262"/>
        <v>1</v>
      </c>
      <c r="O1285" s="2">
        <f t="shared" si="263"/>
        <v>0</v>
      </c>
      <c r="P1285" s="112">
        <f t="shared" si="264"/>
        <v>2</v>
      </c>
      <c r="Q1285" s="112">
        <f t="shared" si="265"/>
        <v>0</v>
      </c>
      <c r="R1285" s="53"/>
      <c r="S1285" s="53" t="str">
        <f t="shared" si="266"/>
        <v>Base S2|Red Parallel - Season 2|184|Red</v>
      </c>
      <c r="T1285" s="57" t="str">
        <f>IF($S1285="","",IFERROR(VLOOKUP($S1285,'Pop Estimates (Non-#d)'!$N$2:$O$500,2,FALSE),""))</f>
        <v/>
      </c>
      <c r="U1285" s="57" t="str">
        <f t="shared" si="267"/>
        <v/>
      </c>
      <c r="V1285" s="53" t="str">
        <f t="shared" si="268"/>
        <v/>
      </c>
      <c r="W1285" s="53" t="str">
        <f t="shared" si="269"/>
        <v/>
      </c>
      <c r="X1285" s="53" t="str">
        <f t="shared" si="270"/>
        <v/>
      </c>
      <c r="Y1285" s="57" t="str">
        <f>IF($X1285="","",IFERROR(VLOOKUP($X1285,'Char Popularity'!$A$2:$C$500,2,FALSE),""))</f>
        <v/>
      </c>
      <c r="Z1285" s="56">
        <f>IF($X1285="",1,IFERROR(VLOOKUP($X1285,'Char Popularity'!$A$2:$C$500,3,FALSE),1))</f>
        <v>1</v>
      </c>
      <c r="AA1285" s="62">
        <f>IF($H1285&lt;&gt;"Y",0,(IF($F1285&lt;&gt;"",ROUND(Dashboard!$R$4/$F1285,1),IF(AND($I1285="Base",$E1285="Base"),Dashboard!$R$5,IF(AND($I1285="Base",$E1285="Red"),Dashboard!$R$6,IF(AND($I1285="Base",$E1285="Gold"),Dashboard!$R$7,VLOOKUP($I1285,Dashboard!$Q$16:$R$21,2,FALSE)))))*VLOOKUP($I1285,Dashboard!$Q$9:$R$13,2,FALSE)*IF(AND($I1285="Auto",$F1285="",OR($B1285="Autographs Duals",$B1285="Autographs Triples",$B1285="Autographs Quads",$B1285="Autographs Quads (Inscribed)")),IF($B1285="Autographs Duals",2,IF($B1285="Autographs Triples",3,4)),1)))</f>
        <v>2</v>
      </c>
      <c r="AB1285" s="62">
        <f t="shared" si="271"/>
        <v>2</v>
      </c>
      <c r="AC1285" s="62">
        <f t="shared" si="272"/>
        <v>0</v>
      </c>
    </row>
    <row r="1286" spans="1:29" ht="28.7" customHeight="1" x14ac:dyDescent="0.25">
      <c r="A1286" s="4" t="s">
        <v>19</v>
      </c>
      <c r="B1286" s="7" t="s">
        <v>75</v>
      </c>
      <c r="C1286" s="2" t="s">
        <v>1584</v>
      </c>
      <c r="D1286" s="7" t="s">
        <v>1180</v>
      </c>
      <c r="E1286" s="4" t="s">
        <v>823</v>
      </c>
      <c r="F1286" s="2"/>
      <c r="G1286" s="2" t="s">
        <v>1399</v>
      </c>
      <c r="H1286" s="2" t="s">
        <v>1400</v>
      </c>
      <c r="I1286" s="4" t="s">
        <v>60</v>
      </c>
      <c r="J1286" s="112">
        <f>IF($H1286&lt;&gt;"Y",0,ROUND(MIN(Dashboard!$R$24,IF(IFERROR(VLOOKUP($B1286,Dashboard!$Q$28:$S$60,2,FALSE),0)&gt;0,IFERROR(VLOOKUP($B1286,Dashboard!$Q$28:$S$60,2,FALSE),0),$Z1286*IF($U1286&lt;&gt;"",ROUND((Dashboard!$R$4/$U1286)*VLOOKUP($I1286,Dashboard!$Q$9:$R$13,2,FALSE)*IF(ISNUMBER(SEARCH("Duals",$B1286)),2,IF(ISNUMBER(SEARCH("Triples",$B1286)),3,IF(ISNUMBER(SEARCH("Quads",$B1286)),4,1))),2),ROUND(VLOOKUP($I1286,Dashboard!$Q$15:$R$20,2,FALSE)*IF($E1286="Red",Dashboard!$R$6,IF($E1286="Gold",Dashboard!$R$7,Dashboard!$R$5))*IF(ISNUMBER(SEARCH("Duals",$B1286)),2,IF(ISNUMBER(SEARCH("Triples",$B1286)),3,IF(ISNUMBER(SEARCH("Quads",$B1286)),4,1))),2))*IF(IFERROR(VLOOKUP($B1286,Dashboard!$Q$28:$S$60,3,FALSE),0)&gt;0,VLOOKUP($B1286,Dashboard!$Q$28:$S$60,3,FALSE),1))),0))</f>
        <v>2</v>
      </c>
      <c r="K1286" s="2" t="str">
        <f>IF('Base S2'!D86="","",'Base S2'!D86)</f>
        <v>h</v>
      </c>
      <c r="L1286" s="2">
        <f t="shared" si="260"/>
        <v>1</v>
      </c>
      <c r="M1286" s="2">
        <f t="shared" si="261"/>
        <v>0</v>
      </c>
      <c r="N1286" s="2">
        <f t="shared" si="262"/>
        <v>1</v>
      </c>
      <c r="O1286" s="2">
        <f t="shared" si="263"/>
        <v>0</v>
      </c>
      <c r="P1286" s="112">
        <f t="shared" si="264"/>
        <v>2</v>
      </c>
      <c r="Q1286" s="112">
        <f t="shared" si="265"/>
        <v>0</v>
      </c>
      <c r="R1286" s="53"/>
      <c r="S1286" s="53" t="str">
        <f t="shared" si="266"/>
        <v>Base S2|Red Parallel - Season 2|185|Red</v>
      </c>
      <c r="T1286" s="57" t="str">
        <f>IF($S1286="","",IFERROR(VLOOKUP($S1286,'Pop Estimates (Non-#d)'!$N$2:$O$500,2,FALSE),""))</f>
        <v/>
      </c>
      <c r="U1286" s="57" t="str">
        <f t="shared" si="267"/>
        <v/>
      </c>
      <c r="V1286" s="53" t="str">
        <f t="shared" si="268"/>
        <v/>
      </c>
      <c r="W1286" s="53" t="str">
        <f t="shared" si="269"/>
        <v/>
      </c>
      <c r="X1286" s="53" t="str">
        <f t="shared" si="270"/>
        <v/>
      </c>
      <c r="Y1286" s="57" t="str">
        <f>IF($X1286="","",IFERROR(VLOOKUP($X1286,'Char Popularity'!$A$2:$C$500,2,FALSE),""))</f>
        <v/>
      </c>
      <c r="Z1286" s="56">
        <f>IF($X1286="",1,IFERROR(VLOOKUP($X1286,'Char Popularity'!$A$2:$C$500,3,FALSE),1))</f>
        <v>1</v>
      </c>
      <c r="AA1286" s="62">
        <f>IF($H1286&lt;&gt;"Y",0,(IF($F1286&lt;&gt;"",ROUND(Dashboard!$R$4/$F1286,1),IF(AND($I1286="Base",$E1286="Base"),Dashboard!$R$5,IF(AND($I1286="Base",$E1286="Red"),Dashboard!$R$6,IF(AND($I1286="Base",$E1286="Gold"),Dashboard!$R$7,VLOOKUP($I1286,Dashboard!$Q$16:$R$21,2,FALSE)))))*VLOOKUP($I1286,Dashboard!$Q$9:$R$13,2,FALSE)*IF(AND($I1286="Auto",$F1286="",OR($B1286="Autographs Duals",$B1286="Autographs Triples",$B1286="Autographs Quads",$B1286="Autographs Quads (Inscribed)")),IF($B1286="Autographs Duals",2,IF($B1286="Autographs Triples",3,4)),1)))</f>
        <v>2</v>
      </c>
      <c r="AB1286" s="62">
        <f t="shared" si="271"/>
        <v>2</v>
      </c>
      <c r="AC1286" s="62">
        <f t="shared" si="272"/>
        <v>0</v>
      </c>
    </row>
    <row r="1287" spans="1:29" ht="28.7" customHeight="1" x14ac:dyDescent="0.25">
      <c r="A1287" s="4" t="s">
        <v>19</v>
      </c>
      <c r="B1287" s="7" t="s">
        <v>75</v>
      </c>
      <c r="C1287" s="2" t="s">
        <v>1585</v>
      </c>
      <c r="D1287" s="7" t="s">
        <v>1181</v>
      </c>
      <c r="E1287" s="4" t="s">
        <v>823</v>
      </c>
      <c r="F1287" s="2"/>
      <c r="G1287" s="2" t="s">
        <v>1399</v>
      </c>
      <c r="H1287" s="2" t="s">
        <v>1400</v>
      </c>
      <c r="I1287" s="4" t="s">
        <v>60</v>
      </c>
      <c r="J1287" s="112">
        <f>IF($H1287&lt;&gt;"Y",0,ROUND(MIN(Dashboard!$R$24,IF(IFERROR(VLOOKUP($B1287,Dashboard!$Q$28:$S$60,2,FALSE),0)&gt;0,IFERROR(VLOOKUP($B1287,Dashboard!$Q$28:$S$60,2,FALSE),0),$Z1287*IF($U1287&lt;&gt;"",ROUND((Dashboard!$R$4/$U1287)*VLOOKUP($I1287,Dashboard!$Q$9:$R$13,2,FALSE)*IF(ISNUMBER(SEARCH("Duals",$B1287)),2,IF(ISNUMBER(SEARCH("Triples",$B1287)),3,IF(ISNUMBER(SEARCH("Quads",$B1287)),4,1))),2),ROUND(VLOOKUP($I1287,Dashboard!$Q$15:$R$20,2,FALSE)*IF($E1287="Red",Dashboard!$R$6,IF($E1287="Gold",Dashboard!$R$7,Dashboard!$R$5))*IF(ISNUMBER(SEARCH("Duals",$B1287)),2,IF(ISNUMBER(SEARCH("Triples",$B1287)),3,IF(ISNUMBER(SEARCH("Quads",$B1287)),4,1))),2))*IF(IFERROR(VLOOKUP($B1287,Dashboard!$Q$28:$S$60,3,FALSE),0)&gt;0,VLOOKUP($B1287,Dashboard!$Q$28:$S$60,3,FALSE),1))),0))</f>
        <v>2</v>
      </c>
      <c r="K1287" s="2" t="str">
        <f>IF('Base S2'!D87="","",'Base S2'!D87)</f>
        <v>h</v>
      </c>
      <c r="L1287" s="2">
        <f t="shared" si="260"/>
        <v>1</v>
      </c>
      <c r="M1287" s="2">
        <f t="shared" si="261"/>
        <v>0</v>
      </c>
      <c r="N1287" s="2">
        <f t="shared" si="262"/>
        <v>1</v>
      </c>
      <c r="O1287" s="2">
        <f t="shared" si="263"/>
        <v>0</v>
      </c>
      <c r="P1287" s="112">
        <f t="shared" si="264"/>
        <v>2</v>
      </c>
      <c r="Q1287" s="112">
        <f t="shared" si="265"/>
        <v>0</v>
      </c>
      <c r="R1287" s="53"/>
      <c r="S1287" s="53" t="str">
        <f t="shared" si="266"/>
        <v>Base S2|Red Parallel - Season 2|186|Red</v>
      </c>
      <c r="T1287" s="57" t="str">
        <f>IF($S1287="","",IFERROR(VLOOKUP($S1287,'Pop Estimates (Non-#d)'!$N$2:$O$500,2,FALSE),""))</f>
        <v/>
      </c>
      <c r="U1287" s="57" t="str">
        <f t="shared" si="267"/>
        <v/>
      </c>
      <c r="V1287" s="53" t="str">
        <f t="shared" si="268"/>
        <v/>
      </c>
      <c r="W1287" s="53" t="str">
        <f t="shared" si="269"/>
        <v/>
      </c>
      <c r="X1287" s="53" t="str">
        <f t="shared" si="270"/>
        <v/>
      </c>
      <c r="Y1287" s="57" t="str">
        <f>IF($X1287="","",IFERROR(VLOOKUP($X1287,'Char Popularity'!$A$2:$C$500,2,FALSE),""))</f>
        <v/>
      </c>
      <c r="Z1287" s="56">
        <f>IF($X1287="",1,IFERROR(VLOOKUP($X1287,'Char Popularity'!$A$2:$C$500,3,FALSE),1))</f>
        <v>1</v>
      </c>
      <c r="AA1287" s="62">
        <f>IF($H1287&lt;&gt;"Y",0,(IF($F1287&lt;&gt;"",ROUND(Dashboard!$R$4/$F1287,1),IF(AND($I1287="Base",$E1287="Base"),Dashboard!$R$5,IF(AND($I1287="Base",$E1287="Red"),Dashboard!$R$6,IF(AND($I1287="Base",$E1287="Gold"),Dashboard!$R$7,VLOOKUP($I1287,Dashboard!$Q$16:$R$21,2,FALSE)))))*VLOOKUP($I1287,Dashboard!$Q$9:$R$13,2,FALSE)*IF(AND($I1287="Auto",$F1287="",OR($B1287="Autographs Duals",$B1287="Autographs Triples",$B1287="Autographs Quads",$B1287="Autographs Quads (Inscribed)")),IF($B1287="Autographs Duals",2,IF($B1287="Autographs Triples",3,4)),1)))</f>
        <v>2</v>
      </c>
      <c r="AB1287" s="62">
        <f t="shared" si="271"/>
        <v>2</v>
      </c>
      <c r="AC1287" s="62">
        <f t="shared" si="272"/>
        <v>0</v>
      </c>
    </row>
    <row r="1288" spans="1:29" ht="28.7" customHeight="1" x14ac:dyDescent="0.25">
      <c r="A1288" s="4" t="s">
        <v>19</v>
      </c>
      <c r="B1288" s="7" t="s">
        <v>75</v>
      </c>
      <c r="C1288" s="2" t="s">
        <v>1586</v>
      </c>
      <c r="D1288" s="7" t="s">
        <v>1182</v>
      </c>
      <c r="E1288" s="4" t="s">
        <v>823</v>
      </c>
      <c r="F1288" s="2"/>
      <c r="G1288" s="2" t="s">
        <v>1399</v>
      </c>
      <c r="H1288" s="2" t="s">
        <v>1400</v>
      </c>
      <c r="I1288" s="4" t="s">
        <v>60</v>
      </c>
      <c r="J1288" s="112">
        <f>IF($H1288&lt;&gt;"Y",0,ROUND(MIN(Dashboard!$R$24,IF(IFERROR(VLOOKUP($B1288,Dashboard!$Q$28:$S$60,2,FALSE),0)&gt;0,IFERROR(VLOOKUP($B1288,Dashboard!$Q$28:$S$60,2,FALSE),0),$Z1288*IF($U1288&lt;&gt;"",ROUND((Dashboard!$R$4/$U1288)*VLOOKUP($I1288,Dashboard!$Q$9:$R$13,2,FALSE)*IF(ISNUMBER(SEARCH("Duals",$B1288)),2,IF(ISNUMBER(SEARCH("Triples",$B1288)),3,IF(ISNUMBER(SEARCH("Quads",$B1288)),4,1))),2),ROUND(VLOOKUP($I1288,Dashboard!$Q$15:$R$20,2,FALSE)*IF($E1288="Red",Dashboard!$R$6,IF($E1288="Gold",Dashboard!$R$7,Dashboard!$R$5))*IF(ISNUMBER(SEARCH("Duals",$B1288)),2,IF(ISNUMBER(SEARCH("Triples",$B1288)),3,IF(ISNUMBER(SEARCH("Quads",$B1288)),4,1))),2))*IF(IFERROR(VLOOKUP($B1288,Dashboard!$Q$28:$S$60,3,FALSE),0)&gt;0,VLOOKUP($B1288,Dashboard!$Q$28:$S$60,3,FALSE),1))),0))</f>
        <v>2</v>
      </c>
      <c r="K1288" s="2" t="str">
        <f>IF('Base S2'!D88="","",'Base S2'!D88)</f>
        <v>h</v>
      </c>
      <c r="L1288" s="2">
        <f t="shared" si="260"/>
        <v>1</v>
      </c>
      <c r="M1288" s="2">
        <f t="shared" si="261"/>
        <v>0</v>
      </c>
      <c r="N1288" s="2">
        <f t="shared" si="262"/>
        <v>1</v>
      </c>
      <c r="O1288" s="2">
        <f t="shared" si="263"/>
        <v>0</v>
      </c>
      <c r="P1288" s="112">
        <f t="shared" si="264"/>
        <v>2</v>
      </c>
      <c r="Q1288" s="112">
        <f t="shared" si="265"/>
        <v>0</v>
      </c>
      <c r="R1288" s="53"/>
      <c r="S1288" s="53" t="str">
        <f t="shared" si="266"/>
        <v>Base S2|Red Parallel - Season 2|187|Red</v>
      </c>
      <c r="T1288" s="57" t="str">
        <f>IF($S1288="","",IFERROR(VLOOKUP($S1288,'Pop Estimates (Non-#d)'!$N$2:$O$500,2,FALSE),""))</f>
        <v/>
      </c>
      <c r="U1288" s="57" t="str">
        <f t="shared" si="267"/>
        <v/>
      </c>
      <c r="V1288" s="53" t="str">
        <f t="shared" si="268"/>
        <v/>
      </c>
      <c r="W1288" s="53" t="str">
        <f t="shared" si="269"/>
        <v/>
      </c>
      <c r="X1288" s="53" t="str">
        <f t="shared" si="270"/>
        <v/>
      </c>
      <c r="Y1288" s="57" t="str">
        <f>IF($X1288="","",IFERROR(VLOOKUP($X1288,'Char Popularity'!$A$2:$C$500,2,FALSE),""))</f>
        <v/>
      </c>
      <c r="Z1288" s="56">
        <f>IF($X1288="",1,IFERROR(VLOOKUP($X1288,'Char Popularity'!$A$2:$C$500,3,FALSE),1))</f>
        <v>1</v>
      </c>
      <c r="AA1288" s="62">
        <f>IF($H1288&lt;&gt;"Y",0,(IF($F1288&lt;&gt;"",ROUND(Dashboard!$R$4/$F1288,1),IF(AND($I1288="Base",$E1288="Base"),Dashboard!$R$5,IF(AND($I1288="Base",$E1288="Red"),Dashboard!$R$6,IF(AND($I1288="Base",$E1288="Gold"),Dashboard!$R$7,VLOOKUP($I1288,Dashboard!$Q$16:$R$21,2,FALSE)))))*VLOOKUP($I1288,Dashboard!$Q$9:$R$13,2,FALSE)*IF(AND($I1288="Auto",$F1288="",OR($B1288="Autographs Duals",$B1288="Autographs Triples",$B1288="Autographs Quads",$B1288="Autographs Quads (Inscribed)")),IF($B1288="Autographs Duals",2,IF($B1288="Autographs Triples",3,4)),1)))</f>
        <v>2</v>
      </c>
      <c r="AB1288" s="62">
        <f t="shared" si="271"/>
        <v>2</v>
      </c>
      <c r="AC1288" s="62">
        <f t="shared" si="272"/>
        <v>0</v>
      </c>
    </row>
    <row r="1289" spans="1:29" ht="28.7" customHeight="1" x14ac:dyDescent="0.25">
      <c r="A1289" s="4" t="s">
        <v>19</v>
      </c>
      <c r="B1289" s="7" t="s">
        <v>75</v>
      </c>
      <c r="C1289" s="2" t="s">
        <v>1587</v>
      </c>
      <c r="D1289" s="7" t="s">
        <v>1183</v>
      </c>
      <c r="E1289" s="4" t="s">
        <v>823</v>
      </c>
      <c r="F1289" s="2"/>
      <c r="G1289" s="2" t="s">
        <v>1399</v>
      </c>
      <c r="H1289" s="2" t="s">
        <v>1400</v>
      </c>
      <c r="I1289" s="4" t="s">
        <v>60</v>
      </c>
      <c r="J1289" s="112">
        <f>IF($H1289&lt;&gt;"Y",0,ROUND(MIN(Dashboard!$R$24,IF(IFERROR(VLOOKUP($B1289,Dashboard!$Q$28:$S$60,2,FALSE),0)&gt;0,IFERROR(VLOOKUP($B1289,Dashboard!$Q$28:$S$60,2,FALSE),0),$Z1289*IF($U1289&lt;&gt;"",ROUND((Dashboard!$R$4/$U1289)*VLOOKUP($I1289,Dashboard!$Q$9:$R$13,2,FALSE)*IF(ISNUMBER(SEARCH("Duals",$B1289)),2,IF(ISNUMBER(SEARCH("Triples",$B1289)),3,IF(ISNUMBER(SEARCH("Quads",$B1289)),4,1))),2),ROUND(VLOOKUP($I1289,Dashboard!$Q$15:$R$20,2,FALSE)*IF($E1289="Red",Dashboard!$R$6,IF($E1289="Gold",Dashboard!$R$7,Dashboard!$R$5))*IF(ISNUMBER(SEARCH("Duals",$B1289)),2,IF(ISNUMBER(SEARCH("Triples",$B1289)),3,IF(ISNUMBER(SEARCH("Quads",$B1289)),4,1))),2))*IF(IFERROR(VLOOKUP($B1289,Dashboard!$Q$28:$S$60,3,FALSE),0)&gt;0,VLOOKUP($B1289,Dashboard!$Q$28:$S$60,3,FALSE),1))),0))</f>
        <v>2</v>
      </c>
      <c r="K1289" s="2" t="str">
        <f>IF('Base S2'!D89="","",'Base S2'!D89)</f>
        <v>h</v>
      </c>
      <c r="L1289" s="2">
        <f t="shared" si="260"/>
        <v>1</v>
      </c>
      <c r="M1289" s="2">
        <f t="shared" si="261"/>
        <v>0</v>
      </c>
      <c r="N1289" s="2">
        <f t="shared" si="262"/>
        <v>1</v>
      </c>
      <c r="O1289" s="2">
        <f t="shared" si="263"/>
        <v>0</v>
      </c>
      <c r="P1289" s="112">
        <f t="shared" si="264"/>
        <v>2</v>
      </c>
      <c r="Q1289" s="112">
        <f t="shared" si="265"/>
        <v>0</v>
      </c>
      <c r="R1289" s="53"/>
      <c r="S1289" s="53" t="str">
        <f t="shared" si="266"/>
        <v>Base S2|Red Parallel - Season 2|188|Red</v>
      </c>
      <c r="T1289" s="57" t="str">
        <f>IF($S1289="","",IFERROR(VLOOKUP($S1289,'Pop Estimates (Non-#d)'!$N$2:$O$500,2,FALSE),""))</f>
        <v/>
      </c>
      <c r="U1289" s="57" t="str">
        <f t="shared" si="267"/>
        <v/>
      </c>
      <c r="V1289" s="53" t="str">
        <f t="shared" si="268"/>
        <v/>
      </c>
      <c r="W1289" s="53" t="str">
        <f t="shared" si="269"/>
        <v/>
      </c>
      <c r="X1289" s="53" t="str">
        <f t="shared" si="270"/>
        <v/>
      </c>
      <c r="Y1289" s="57" t="str">
        <f>IF($X1289="","",IFERROR(VLOOKUP($X1289,'Char Popularity'!$A$2:$C$500,2,FALSE),""))</f>
        <v/>
      </c>
      <c r="Z1289" s="56">
        <f>IF($X1289="",1,IFERROR(VLOOKUP($X1289,'Char Popularity'!$A$2:$C$500,3,FALSE),1))</f>
        <v>1</v>
      </c>
      <c r="AA1289" s="62">
        <f>IF($H1289&lt;&gt;"Y",0,(IF($F1289&lt;&gt;"",ROUND(Dashboard!$R$4/$F1289,1),IF(AND($I1289="Base",$E1289="Base"),Dashboard!$R$5,IF(AND($I1289="Base",$E1289="Red"),Dashboard!$R$6,IF(AND($I1289="Base",$E1289="Gold"),Dashboard!$R$7,VLOOKUP($I1289,Dashboard!$Q$16:$R$21,2,FALSE)))))*VLOOKUP($I1289,Dashboard!$Q$9:$R$13,2,FALSE)*IF(AND($I1289="Auto",$F1289="",OR($B1289="Autographs Duals",$B1289="Autographs Triples",$B1289="Autographs Quads",$B1289="Autographs Quads (Inscribed)")),IF($B1289="Autographs Duals",2,IF($B1289="Autographs Triples",3,4)),1)))</f>
        <v>2</v>
      </c>
      <c r="AB1289" s="62">
        <f t="shared" si="271"/>
        <v>2</v>
      </c>
      <c r="AC1289" s="62">
        <f t="shared" si="272"/>
        <v>0</v>
      </c>
    </row>
    <row r="1290" spans="1:29" ht="28.7" customHeight="1" x14ac:dyDescent="0.25">
      <c r="A1290" s="4" t="s">
        <v>19</v>
      </c>
      <c r="B1290" s="7" t="s">
        <v>75</v>
      </c>
      <c r="C1290" s="2" t="s">
        <v>1588</v>
      </c>
      <c r="D1290" s="7" t="s">
        <v>1185</v>
      </c>
      <c r="E1290" s="4" t="s">
        <v>823</v>
      </c>
      <c r="F1290" s="2"/>
      <c r="G1290" s="2" t="s">
        <v>1399</v>
      </c>
      <c r="H1290" s="2" t="s">
        <v>1400</v>
      </c>
      <c r="I1290" s="4" t="s">
        <v>60</v>
      </c>
      <c r="J1290" s="112">
        <f>IF($H1290&lt;&gt;"Y",0,ROUND(MIN(Dashboard!$R$24,IF(IFERROR(VLOOKUP($B1290,Dashboard!$Q$28:$S$60,2,FALSE),0)&gt;0,IFERROR(VLOOKUP($B1290,Dashboard!$Q$28:$S$60,2,FALSE),0),$Z1290*IF($U1290&lt;&gt;"",ROUND((Dashboard!$R$4/$U1290)*VLOOKUP($I1290,Dashboard!$Q$9:$R$13,2,FALSE)*IF(ISNUMBER(SEARCH("Duals",$B1290)),2,IF(ISNUMBER(SEARCH("Triples",$B1290)),3,IF(ISNUMBER(SEARCH("Quads",$B1290)),4,1))),2),ROUND(VLOOKUP($I1290,Dashboard!$Q$15:$R$20,2,FALSE)*IF($E1290="Red",Dashboard!$R$6,IF($E1290="Gold",Dashboard!$R$7,Dashboard!$R$5))*IF(ISNUMBER(SEARCH("Duals",$B1290)),2,IF(ISNUMBER(SEARCH("Triples",$B1290)),3,IF(ISNUMBER(SEARCH("Quads",$B1290)),4,1))),2))*IF(IFERROR(VLOOKUP($B1290,Dashboard!$Q$28:$S$60,3,FALSE),0)&gt;0,VLOOKUP($B1290,Dashboard!$Q$28:$S$60,3,FALSE),1))),0))</f>
        <v>2</v>
      </c>
      <c r="K1290" s="2" t="str">
        <f>IF('Base S2'!D90="","",'Base S2'!D90)</f>
        <v>h</v>
      </c>
      <c r="L1290" s="2">
        <f t="shared" si="260"/>
        <v>1</v>
      </c>
      <c r="M1290" s="2">
        <f t="shared" si="261"/>
        <v>0</v>
      </c>
      <c r="N1290" s="2">
        <f t="shared" si="262"/>
        <v>1</v>
      </c>
      <c r="O1290" s="2">
        <f t="shared" si="263"/>
        <v>0</v>
      </c>
      <c r="P1290" s="112">
        <f t="shared" si="264"/>
        <v>2</v>
      </c>
      <c r="Q1290" s="112">
        <f t="shared" si="265"/>
        <v>0</v>
      </c>
      <c r="R1290" s="53"/>
      <c r="S1290" s="53" t="str">
        <f t="shared" si="266"/>
        <v>Base S2|Red Parallel - Season 2|189|Red</v>
      </c>
      <c r="T1290" s="57" t="str">
        <f>IF($S1290="","",IFERROR(VLOOKUP($S1290,'Pop Estimates (Non-#d)'!$N$2:$O$500,2,FALSE),""))</f>
        <v/>
      </c>
      <c r="U1290" s="57" t="str">
        <f t="shared" si="267"/>
        <v/>
      </c>
      <c r="V1290" s="53" t="str">
        <f t="shared" si="268"/>
        <v/>
      </c>
      <c r="W1290" s="53" t="str">
        <f t="shared" si="269"/>
        <v/>
      </c>
      <c r="X1290" s="53" t="str">
        <f t="shared" si="270"/>
        <v/>
      </c>
      <c r="Y1290" s="57" t="str">
        <f>IF($X1290="","",IFERROR(VLOOKUP($X1290,'Char Popularity'!$A$2:$C$500,2,FALSE),""))</f>
        <v/>
      </c>
      <c r="Z1290" s="56">
        <f>IF($X1290="",1,IFERROR(VLOOKUP($X1290,'Char Popularity'!$A$2:$C$500,3,FALSE),1))</f>
        <v>1</v>
      </c>
      <c r="AA1290" s="62">
        <f>IF($H1290&lt;&gt;"Y",0,(IF($F1290&lt;&gt;"",ROUND(Dashboard!$R$4/$F1290,1),IF(AND($I1290="Base",$E1290="Base"),Dashboard!$R$5,IF(AND($I1290="Base",$E1290="Red"),Dashboard!$R$6,IF(AND($I1290="Base",$E1290="Gold"),Dashboard!$R$7,VLOOKUP($I1290,Dashboard!$Q$16:$R$21,2,FALSE)))))*VLOOKUP($I1290,Dashboard!$Q$9:$R$13,2,FALSE)*IF(AND($I1290="Auto",$F1290="",OR($B1290="Autographs Duals",$B1290="Autographs Triples",$B1290="Autographs Quads",$B1290="Autographs Quads (Inscribed)")),IF($B1290="Autographs Duals",2,IF($B1290="Autographs Triples",3,4)),1)))</f>
        <v>2</v>
      </c>
      <c r="AB1290" s="62">
        <f t="shared" si="271"/>
        <v>2</v>
      </c>
      <c r="AC1290" s="62">
        <f t="shared" si="272"/>
        <v>0</v>
      </c>
    </row>
    <row r="1291" spans="1:29" ht="28.7" customHeight="1" x14ac:dyDescent="0.25">
      <c r="A1291" s="4" t="s">
        <v>19</v>
      </c>
      <c r="B1291" s="7" t="s">
        <v>75</v>
      </c>
      <c r="C1291" s="2" t="s">
        <v>1589</v>
      </c>
      <c r="D1291" s="7" t="s">
        <v>1186</v>
      </c>
      <c r="E1291" s="4" t="s">
        <v>823</v>
      </c>
      <c r="F1291" s="2"/>
      <c r="G1291" s="2" t="s">
        <v>1399</v>
      </c>
      <c r="H1291" s="2" t="s">
        <v>1400</v>
      </c>
      <c r="I1291" s="4" t="s">
        <v>60</v>
      </c>
      <c r="J1291" s="112">
        <f>IF($H1291&lt;&gt;"Y",0,ROUND(MIN(Dashboard!$R$24,IF(IFERROR(VLOOKUP($B1291,Dashboard!$Q$28:$S$60,2,FALSE),0)&gt;0,IFERROR(VLOOKUP($B1291,Dashboard!$Q$28:$S$60,2,FALSE),0),$Z1291*IF($U1291&lt;&gt;"",ROUND((Dashboard!$R$4/$U1291)*VLOOKUP($I1291,Dashboard!$Q$9:$R$13,2,FALSE)*IF(ISNUMBER(SEARCH("Duals",$B1291)),2,IF(ISNUMBER(SEARCH("Triples",$B1291)),3,IF(ISNUMBER(SEARCH("Quads",$B1291)),4,1))),2),ROUND(VLOOKUP($I1291,Dashboard!$Q$15:$R$20,2,FALSE)*IF($E1291="Red",Dashboard!$R$6,IF($E1291="Gold",Dashboard!$R$7,Dashboard!$R$5))*IF(ISNUMBER(SEARCH("Duals",$B1291)),2,IF(ISNUMBER(SEARCH("Triples",$B1291)),3,IF(ISNUMBER(SEARCH("Quads",$B1291)),4,1))),2))*IF(IFERROR(VLOOKUP($B1291,Dashboard!$Q$28:$S$60,3,FALSE),0)&gt;0,VLOOKUP($B1291,Dashboard!$Q$28:$S$60,3,FALSE),1))),0))</f>
        <v>2</v>
      </c>
      <c r="K1291" s="2" t="str">
        <f>IF('Base S2'!D91="","",'Base S2'!D91)</f>
        <v>h</v>
      </c>
      <c r="L1291" s="2">
        <f t="shared" si="260"/>
        <v>1</v>
      </c>
      <c r="M1291" s="2">
        <f t="shared" si="261"/>
        <v>0</v>
      </c>
      <c r="N1291" s="2">
        <f t="shared" si="262"/>
        <v>1</v>
      </c>
      <c r="O1291" s="2">
        <f t="shared" si="263"/>
        <v>0</v>
      </c>
      <c r="P1291" s="112">
        <f t="shared" si="264"/>
        <v>2</v>
      </c>
      <c r="Q1291" s="112">
        <f t="shared" si="265"/>
        <v>0</v>
      </c>
      <c r="R1291" s="53"/>
      <c r="S1291" s="53" t="str">
        <f t="shared" si="266"/>
        <v>Base S2|Red Parallel - Season 2|190|Red</v>
      </c>
      <c r="T1291" s="57" t="str">
        <f>IF($S1291="","",IFERROR(VLOOKUP($S1291,'Pop Estimates (Non-#d)'!$N$2:$O$500,2,FALSE),""))</f>
        <v/>
      </c>
      <c r="U1291" s="57" t="str">
        <f t="shared" si="267"/>
        <v/>
      </c>
      <c r="V1291" s="53" t="str">
        <f t="shared" si="268"/>
        <v/>
      </c>
      <c r="W1291" s="53" t="str">
        <f t="shared" si="269"/>
        <v/>
      </c>
      <c r="X1291" s="53" t="str">
        <f t="shared" si="270"/>
        <v/>
      </c>
      <c r="Y1291" s="57" t="str">
        <f>IF($X1291="","",IFERROR(VLOOKUP($X1291,'Char Popularity'!$A$2:$C$500,2,FALSE),""))</f>
        <v/>
      </c>
      <c r="Z1291" s="56">
        <f>IF($X1291="",1,IFERROR(VLOOKUP($X1291,'Char Popularity'!$A$2:$C$500,3,FALSE),1))</f>
        <v>1</v>
      </c>
      <c r="AA1291" s="62">
        <f>IF($H1291&lt;&gt;"Y",0,(IF($F1291&lt;&gt;"",ROUND(Dashboard!$R$4/$F1291,1),IF(AND($I1291="Base",$E1291="Base"),Dashboard!$R$5,IF(AND($I1291="Base",$E1291="Red"),Dashboard!$R$6,IF(AND($I1291="Base",$E1291="Gold"),Dashboard!$R$7,VLOOKUP($I1291,Dashboard!$Q$16:$R$21,2,FALSE)))))*VLOOKUP($I1291,Dashboard!$Q$9:$R$13,2,FALSE)*IF(AND($I1291="Auto",$F1291="",OR($B1291="Autographs Duals",$B1291="Autographs Triples",$B1291="Autographs Quads",$B1291="Autographs Quads (Inscribed)")),IF($B1291="Autographs Duals",2,IF($B1291="Autographs Triples",3,4)),1)))</f>
        <v>2</v>
      </c>
      <c r="AB1291" s="62">
        <f t="shared" si="271"/>
        <v>2</v>
      </c>
      <c r="AC1291" s="62">
        <f t="shared" si="272"/>
        <v>0</v>
      </c>
    </row>
    <row r="1292" spans="1:29" ht="28.7" customHeight="1" x14ac:dyDescent="0.25">
      <c r="A1292" s="4" t="s">
        <v>19</v>
      </c>
      <c r="B1292" s="7" t="s">
        <v>75</v>
      </c>
      <c r="C1292" s="2" t="s">
        <v>1590</v>
      </c>
      <c r="D1292" s="7" t="s">
        <v>1187</v>
      </c>
      <c r="E1292" s="4" t="s">
        <v>823</v>
      </c>
      <c r="F1292" s="2"/>
      <c r="G1292" s="2" t="s">
        <v>1399</v>
      </c>
      <c r="H1292" s="2" t="s">
        <v>1400</v>
      </c>
      <c r="I1292" s="4" t="s">
        <v>60</v>
      </c>
      <c r="J1292" s="112">
        <f>IF($H1292&lt;&gt;"Y",0,ROUND(MIN(Dashboard!$R$24,IF(IFERROR(VLOOKUP($B1292,Dashboard!$Q$28:$S$60,2,FALSE),0)&gt;0,IFERROR(VLOOKUP($B1292,Dashboard!$Q$28:$S$60,2,FALSE),0),$Z1292*IF($U1292&lt;&gt;"",ROUND((Dashboard!$R$4/$U1292)*VLOOKUP($I1292,Dashboard!$Q$9:$R$13,2,FALSE)*IF(ISNUMBER(SEARCH("Duals",$B1292)),2,IF(ISNUMBER(SEARCH("Triples",$B1292)),3,IF(ISNUMBER(SEARCH("Quads",$B1292)),4,1))),2),ROUND(VLOOKUP($I1292,Dashboard!$Q$15:$R$20,2,FALSE)*IF($E1292="Red",Dashboard!$R$6,IF($E1292="Gold",Dashboard!$R$7,Dashboard!$R$5))*IF(ISNUMBER(SEARCH("Duals",$B1292)),2,IF(ISNUMBER(SEARCH("Triples",$B1292)),3,IF(ISNUMBER(SEARCH("Quads",$B1292)),4,1))),2))*IF(IFERROR(VLOOKUP($B1292,Dashboard!$Q$28:$S$60,3,FALSE),0)&gt;0,VLOOKUP($B1292,Dashboard!$Q$28:$S$60,3,FALSE),1))),0))</f>
        <v>2</v>
      </c>
      <c r="K1292" s="2" t="str">
        <f>IF('Base S2'!D92="","",'Base S2'!D92)</f>
        <v>h</v>
      </c>
      <c r="L1292" s="2">
        <f t="shared" si="260"/>
        <v>1</v>
      </c>
      <c r="M1292" s="2">
        <f t="shared" si="261"/>
        <v>0</v>
      </c>
      <c r="N1292" s="2">
        <f t="shared" si="262"/>
        <v>1</v>
      </c>
      <c r="O1292" s="2">
        <f t="shared" si="263"/>
        <v>0</v>
      </c>
      <c r="P1292" s="112">
        <f t="shared" si="264"/>
        <v>2</v>
      </c>
      <c r="Q1292" s="112">
        <f t="shared" si="265"/>
        <v>0</v>
      </c>
      <c r="R1292" s="53"/>
      <c r="S1292" s="53" t="str">
        <f t="shared" si="266"/>
        <v>Base S2|Red Parallel - Season 2|191|Red</v>
      </c>
      <c r="T1292" s="57" t="str">
        <f>IF($S1292="","",IFERROR(VLOOKUP($S1292,'Pop Estimates (Non-#d)'!$N$2:$O$500,2,FALSE),""))</f>
        <v/>
      </c>
      <c r="U1292" s="57" t="str">
        <f t="shared" si="267"/>
        <v/>
      </c>
      <c r="V1292" s="53" t="str">
        <f t="shared" si="268"/>
        <v/>
      </c>
      <c r="W1292" s="53" t="str">
        <f t="shared" si="269"/>
        <v/>
      </c>
      <c r="X1292" s="53" t="str">
        <f t="shared" si="270"/>
        <v/>
      </c>
      <c r="Y1292" s="57" t="str">
        <f>IF($X1292="","",IFERROR(VLOOKUP($X1292,'Char Popularity'!$A$2:$C$500,2,FALSE),""))</f>
        <v/>
      </c>
      <c r="Z1292" s="56">
        <f>IF($X1292="",1,IFERROR(VLOOKUP($X1292,'Char Popularity'!$A$2:$C$500,3,FALSE),1))</f>
        <v>1</v>
      </c>
      <c r="AA1292" s="62">
        <f>IF($H1292&lt;&gt;"Y",0,(IF($F1292&lt;&gt;"",ROUND(Dashboard!$R$4/$F1292,1),IF(AND($I1292="Base",$E1292="Base"),Dashboard!$R$5,IF(AND($I1292="Base",$E1292="Red"),Dashboard!$R$6,IF(AND($I1292="Base",$E1292="Gold"),Dashboard!$R$7,VLOOKUP($I1292,Dashboard!$Q$16:$R$21,2,FALSE)))))*VLOOKUP($I1292,Dashboard!$Q$9:$R$13,2,FALSE)*IF(AND($I1292="Auto",$F1292="",OR($B1292="Autographs Duals",$B1292="Autographs Triples",$B1292="Autographs Quads",$B1292="Autographs Quads (Inscribed)")),IF($B1292="Autographs Duals",2,IF($B1292="Autographs Triples",3,4)),1)))</f>
        <v>2</v>
      </c>
      <c r="AB1292" s="62">
        <f t="shared" si="271"/>
        <v>2</v>
      </c>
      <c r="AC1292" s="62">
        <f t="shared" si="272"/>
        <v>0</v>
      </c>
    </row>
    <row r="1293" spans="1:29" ht="28.7" customHeight="1" x14ac:dyDescent="0.25">
      <c r="A1293" s="4" t="s">
        <v>19</v>
      </c>
      <c r="B1293" s="7" t="s">
        <v>75</v>
      </c>
      <c r="C1293" s="2" t="s">
        <v>1591</v>
      </c>
      <c r="D1293" s="7" t="s">
        <v>1188</v>
      </c>
      <c r="E1293" s="4" t="s">
        <v>823</v>
      </c>
      <c r="F1293" s="2"/>
      <c r="G1293" s="2" t="s">
        <v>1399</v>
      </c>
      <c r="H1293" s="2" t="s">
        <v>1400</v>
      </c>
      <c r="I1293" s="4" t="s">
        <v>60</v>
      </c>
      <c r="J1293" s="112">
        <f>IF($H1293&lt;&gt;"Y",0,ROUND(MIN(Dashboard!$R$24,IF(IFERROR(VLOOKUP($B1293,Dashboard!$Q$28:$S$60,2,FALSE),0)&gt;0,IFERROR(VLOOKUP($B1293,Dashboard!$Q$28:$S$60,2,FALSE),0),$Z1293*IF($U1293&lt;&gt;"",ROUND((Dashboard!$R$4/$U1293)*VLOOKUP($I1293,Dashboard!$Q$9:$R$13,2,FALSE)*IF(ISNUMBER(SEARCH("Duals",$B1293)),2,IF(ISNUMBER(SEARCH("Triples",$B1293)),3,IF(ISNUMBER(SEARCH("Quads",$B1293)),4,1))),2),ROUND(VLOOKUP($I1293,Dashboard!$Q$15:$R$20,2,FALSE)*IF($E1293="Red",Dashboard!$R$6,IF($E1293="Gold",Dashboard!$R$7,Dashboard!$R$5))*IF(ISNUMBER(SEARCH("Duals",$B1293)),2,IF(ISNUMBER(SEARCH("Triples",$B1293)),3,IF(ISNUMBER(SEARCH("Quads",$B1293)),4,1))),2))*IF(IFERROR(VLOOKUP($B1293,Dashboard!$Q$28:$S$60,3,FALSE),0)&gt;0,VLOOKUP($B1293,Dashboard!$Q$28:$S$60,3,FALSE),1))),0))</f>
        <v>2</v>
      </c>
      <c r="K1293" s="2" t="str">
        <f>IF('Base S2'!D93="","",'Base S2'!D93)</f>
        <v>h</v>
      </c>
      <c r="L1293" s="2">
        <f t="shared" si="260"/>
        <v>1</v>
      </c>
      <c r="M1293" s="2">
        <f t="shared" si="261"/>
        <v>0</v>
      </c>
      <c r="N1293" s="2">
        <f t="shared" si="262"/>
        <v>1</v>
      </c>
      <c r="O1293" s="2">
        <f t="shared" si="263"/>
        <v>0</v>
      </c>
      <c r="P1293" s="112">
        <f t="shared" si="264"/>
        <v>2</v>
      </c>
      <c r="Q1293" s="112">
        <f t="shared" si="265"/>
        <v>0</v>
      </c>
      <c r="R1293" s="53"/>
      <c r="S1293" s="53" t="str">
        <f t="shared" si="266"/>
        <v>Base S2|Red Parallel - Season 2|192|Red</v>
      </c>
      <c r="T1293" s="57" t="str">
        <f>IF($S1293="","",IFERROR(VLOOKUP($S1293,'Pop Estimates (Non-#d)'!$N$2:$O$500,2,FALSE),""))</f>
        <v/>
      </c>
      <c r="U1293" s="57" t="str">
        <f t="shared" si="267"/>
        <v/>
      </c>
      <c r="V1293" s="53" t="str">
        <f t="shared" si="268"/>
        <v/>
      </c>
      <c r="W1293" s="53" t="str">
        <f t="shared" si="269"/>
        <v/>
      </c>
      <c r="X1293" s="53" t="str">
        <f t="shared" si="270"/>
        <v/>
      </c>
      <c r="Y1293" s="57" t="str">
        <f>IF($X1293="","",IFERROR(VLOOKUP($X1293,'Char Popularity'!$A$2:$C$500,2,FALSE),""))</f>
        <v/>
      </c>
      <c r="Z1293" s="56">
        <f>IF($X1293="",1,IFERROR(VLOOKUP($X1293,'Char Popularity'!$A$2:$C$500,3,FALSE),1))</f>
        <v>1</v>
      </c>
      <c r="AA1293" s="62">
        <f>IF($H1293&lt;&gt;"Y",0,(IF($F1293&lt;&gt;"",ROUND(Dashboard!$R$4/$F1293,1),IF(AND($I1293="Base",$E1293="Base"),Dashboard!$R$5,IF(AND($I1293="Base",$E1293="Red"),Dashboard!$R$6,IF(AND($I1293="Base",$E1293="Gold"),Dashboard!$R$7,VLOOKUP($I1293,Dashboard!$Q$16:$R$21,2,FALSE)))))*VLOOKUP($I1293,Dashboard!$Q$9:$R$13,2,FALSE)*IF(AND($I1293="Auto",$F1293="",OR($B1293="Autographs Duals",$B1293="Autographs Triples",$B1293="Autographs Quads",$B1293="Autographs Quads (Inscribed)")),IF($B1293="Autographs Duals",2,IF($B1293="Autographs Triples",3,4)),1)))</f>
        <v>2</v>
      </c>
      <c r="AB1293" s="62">
        <f t="shared" si="271"/>
        <v>2</v>
      </c>
      <c r="AC1293" s="62">
        <f t="shared" si="272"/>
        <v>0</v>
      </c>
    </row>
    <row r="1294" spans="1:29" ht="28.7" customHeight="1" x14ac:dyDescent="0.25">
      <c r="A1294" s="4" t="s">
        <v>19</v>
      </c>
      <c r="B1294" s="7" t="s">
        <v>75</v>
      </c>
      <c r="C1294" s="2" t="s">
        <v>1592</v>
      </c>
      <c r="D1294" s="7" t="s">
        <v>1190</v>
      </c>
      <c r="E1294" s="4" t="s">
        <v>823</v>
      </c>
      <c r="F1294" s="2"/>
      <c r="G1294" s="2" t="s">
        <v>1399</v>
      </c>
      <c r="H1294" s="2" t="s">
        <v>1400</v>
      </c>
      <c r="I1294" s="4" t="s">
        <v>60</v>
      </c>
      <c r="J1294" s="112">
        <f>IF($H1294&lt;&gt;"Y",0,ROUND(MIN(Dashboard!$R$24,IF(IFERROR(VLOOKUP($B1294,Dashboard!$Q$28:$S$60,2,FALSE),0)&gt;0,IFERROR(VLOOKUP($B1294,Dashboard!$Q$28:$S$60,2,FALSE),0),$Z1294*IF($U1294&lt;&gt;"",ROUND((Dashboard!$R$4/$U1294)*VLOOKUP($I1294,Dashboard!$Q$9:$R$13,2,FALSE)*IF(ISNUMBER(SEARCH("Duals",$B1294)),2,IF(ISNUMBER(SEARCH("Triples",$B1294)),3,IF(ISNUMBER(SEARCH("Quads",$B1294)),4,1))),2),ROUND(VLOOKUP($I1294,Dashboard!$Q$15:$R$20,2,FALSE)*IF($E1294="Red",Dashboard!$R$6,IF($E1294="Gold",Dashboard!$R$7,Dashboard!$R$5))*IF(ISNUMBER(SEARCH("Duals",$B1294)),2,IF(ISNUMBER(SEARCH("Triples",$B1294)),3,IF(ISNUMBER(SEARCH("Quads",$B1294)),4,1))),2))*IF(IFERROR(VLOOKUP($B1294,Dashboard!$Q$28:$S$60,3,FALSE),0)&gt;0,VLOOKUP($B1294,Dashboard!$Q$28:$S$60,3,FALSE),1))),0))</f>
        <v>2</v>
      </c>
      <c r="K1294" s="2" t="str">
        <f>IF('Base S2'!D94="","",'Base S2'!D94)</f>
        <v>h</v>
      </c>
      <c r="L1294" s="2">
        <f t="shared" si="260"/>
        <v>1</v>
      </c>
      <c r="M1294" s="2">
        <f t="shared" si="261"/>
        <v>0</v>
      </c>
      <c r="N1294" s="2">
        <f t="shared" si="262"/>
        <v>1</v>
      </c>
      <c r="O1294" s="2">
        <f t="shared" si="263"/>
        <v>0</v>
      </c>
      <c r="P1294" s="112">
        <f t="shared" si="264"/>
        <v>2</v>
      </c>
      <c r="Q1294" s="112">
        <f t="shared" si="265"/>
        <v>0</v>
      </c>
      <c r="R1294" s="53"/>
      <c r="S1294" s="53" t="str">
        <f t="shared" si="266"/>
        <v>Base S2|Red Parallel - Season 2|193|Red</v>
      </c>
      <c r="T1294" s="57" t="str">
        <f>IF($S1294="","",IFERROR(VLOOKUP($S1294,'Pop Estimates (Non-#d)'!$N$2:$O$500,2,FALSE),""))</f>
        <v/>
      </c>
      <c r="U1294" s="57" t="str">
        <f t="shared" si="267"/>
        <v/>
      </c>
      <c r="V1294" s="53" t="str">
        <f t="shared" si="268"/>
        <v/>
      </c>
      <c r="W1294" s="53" t="str">
        <f t="shared" si="269"/>
        <v/>
      </c>
      <c r="X1294" s="53" t="str">
        <f t="shared" si="270"/>
        <v/>
      </c>
      <c r="Y1294" s="57" t="str">
        <f>IF($X1294="","",IFERROR(VLOOKUP($X1294,'Char Popularity'!$A$2:$C$500,2,FALSE),""))</f>
        <v/>
      </c>
      <c r="Z1294" s="56">
        <f>IF($X1294="",1,IFERROR(VLOOKUP($X1294,'Char Popularity'!$A$2:$C$500,3,FALSE),1))</f>
        <v>1</v>
      </c>
      <c r="AA1294" s="62">
        <f>IF($H1294&lt;&gt;"Y",0,(IF($F1294&lt;&gt;"",ROUND(Dashboard!$R$4/$F1294,1),IF(AND($I1294="Base",$E1294="Base"),Dashboard!$R$5,IF(AND($I1294="Base",$E1294="Red"),Dashboard!$R$6,IF(AND($I1294="Base",$E1294="Gold"),Dashboard!$R$7,VLOOKUP($I1294,Dashboard!$Q$16:$R$21,2,FALSE)))))*VLOOKUP($I1294,Dashboard!$Q$9:$R$13,2,FALSE)*IF(AND($I1294="Auto",$F1294="",OR($B1294="Autographs Duals",$B1294="Autographs Triples",$B1294="Autographs Quads",$B1294="Autographs Quads (Inscribed)")),IF($B1294="Autographs Duals",2,IF($B1294="Autographs Triples",3,4)),1)))</f>
        <v>2</v>
      </c>
      <c r="AB1294" s="62">
        <f t="shared" si="271"/>
        <v>2</v>
      </c>
      <c r="AC1294" s="62">
        <f t="shared" si="272"/>
        <v>0</v>
      </c>
    </row>
    <row r="1295" spans="1:29" ht="28.7" customHeight="1" x14ac:dyDescent="0.25">
      <c r="A1295" s="4" t="s">
        <v>19</v>
      </c>
      <c r="B1295" s="7" t="s">
        <v>75</v>
      </c>
      <c r="C1295" s="2" t="s">
        <v>1593</v>
      </c>
      <c r="D1295" s="7" t="s">
        <v>1191</v>
      </c>
      <c r="E1295" s="4" t="s">
        <v>823</v>
      </c>
      <c r="F1295" s="2"/>
      <c r="G1295" s="2" t="s">
        <v>1399</v>
      </c>
      <c r="H1295" s="2" t="s">
        <v>1400</v>
      </c>
      <c r="I1295" s="4" t="s">
        <v>60</v>
      </c>
      <c r="J1295" s="112">
        <f>IF($H1295&lt;&gt;"Y",0,ROUND(MIN(Dashboard!$R$24,IF(IFERROR(VLOOKUP($B1295,Dashboard!$Q$28:$S$60,2,FALSE),0)&gt;0,IFERROR(VLOOKUP($B1295,Dashboard!$Q$28:$S$60,2,FALSE),0),$Z1295*IF($U1295&lt;&gt;"",ROUND((Dashboard!$R$4/$U1295)*VLOOKUP($I1295,Dashboard!$Q$9:$R$13,2,FALSE)*IF(ISNUMBER(SEARCH("Duals",$B1295)),2,IF(ISNUMBER(SEARCH("Triples",$B1295)),3,IF(ISNUMBER(SEARCH("Quads",$B1295)),4,1))),2),ROUND(VLOOKUP($I1295,Dashboard!$Q$15:$R$20,2,FALSE)*IF($E1295="Red",Dashboard!$R$6,IF($E1295="Gold",Dashboard!$R$7,Dashboard!$R$5))*IF(ISNUMBER(SEARCH("Duals",$B1295)),2,IF(ISNUMBER(SEARCH("Triples",$B1295)),3,IF(ISNUMBER(SEARCH("Quads",$B1295)),4,1))),2))*IF(IFERROR(VLOOKUP($B1295,Dashboard!$Q$28:$S$60,3,FALSE),0)&gt;0,VLOOKUP($B1295,Dashboard!$Q$28:$S$60,3,FALSE),1))),0))</f>
        <v>2</v>
      </c>
      <c r="K1295" s="2" t="str">
        <f>IF('Base S2'!D95="","",'Base S2'!D95)</f>
        <v>h</v>
      </c>
      <c r="L1295" s="2">
        <f t="shared" si="260"/>
        <v>1</v>
      </c>
      <c r="M1295" s="2">
        <f t="shared" si="261"/>
        <v>0</v>
      </c>
      <c r="N1295" s="2">
        <f t="shared" si="262"/>
        <v>1</v>
      </c>
      <c r="O1295" s="2">
        <f t="shared" si="263"/>
        <v>0</v>
      </c>
      <c r="P1295" s="112">
        <f t="shared" si="264"/>
        <v>2</v>
      </c>
      <c r="Q1295" s="112">
        <f t="shared" si="265"/>
        <v>0</v>
      </c>
      <c r="R1295" s="53"/>
      <c r="S1295" s="53" t="str">
        <f t="shared" si="266"/>
        <v>Base S2|Red Parallel - Season 2|194|Red</v>
      </c>
      <c r="T1295" s="57" t="str">
        <f>IF($S1295="","",IFERROR(VLOOKUP($S1295,'Pop Estimates (Non-#d)'!$N$2:$O$500,2,FALSE),""))</f>
        <v/>
      </c>
      <c r="U1295" s="57" t="str">
        <f t="shared" si="267"/>
        <v/>
      </c>
      <c r="V1295" s="53" t="str">
        <f t="shared" si="268"/>
        <v/>
      </c>
      <c r="W1295" s="53" t="str">
        <f t="shared" si="269"/>
        <v/>
      </c>
      <c r="X1295" s="53" t="str">
        <f t="shared" si="270"/>
        <v/>
      </c>
      <c r="Y1295" s="57" t="str">
        <f>IF($X1295="","",IFERROR(VLOOKUP($X1295,'Char Popularity'!$A$2:$C$500,2,FALSE),""))</f>
        <v/>
      </c>
      <c r="Z1295" s="56">
        <f>IF($X1295="",1,IFERROR(VLOOKUP($X1295,'Char Popularity'!$A$2:$C$500,3,FALSE),1))</f>
        <v>1</v>
      </c>
      <c r="AA1295" s="62">
        <f>IF($H1295&lt;&gt;"Y",0,(IF($F1295&lt;&gt;"",ROUND(Dashboard!$R$4/$F1295,1),IF(AND($I1295="Base",$E1295="Base"),Dashboard!$R$5,IF(AND($I1295="Base",$E1295="Red"),Dashboard!$R$6,IF(AND($I1295="Base",$E1295="Gold"),Dashboard!$R$7,VLOOKUP($I1295,Dashboard!$Q$16:$R$21,2,FALSE)))))*VLOOKUP($I1295,Dashboard!$Q$9:$R$13,2,FALSE)*IF(AND($I1295="Auto",$F1295="",OR($B1295="Autographs Duals",$B1295="Autographs Triples",$B1295="Autographs Quads",$B1295="Autographs Quads (Inscribed)")),IF($B1295="Autographs Duals",2,IF($B1295="Autographs Triples",3,4)),1)))</f>
        <v>2</v>
      </c>
      <c r="AB1295" s="62">
        <f t="shared" si="271"/>
        <v>2</v>
      </c>
      <c r="AC1295" s="62">
        <f t="shared" si="272"/>
        <v>0</v>
      </c>
    </row>
    <row r="1296" spans="1:29" ht="28.7" customHeight="1" x14ac:dyDescent="0.25">
      <c r="A1296" s="4" t="s">
        <v>19</v>
      </c>
      <c r="B1296" s="7" t="s">
        <v>75</v>
      </c>
      <c r="C1296" s="2" t="s">
        <v>1594</v>
      </c>
      <c r="D1296" s="7" t="s">
        <v>1192</v>
      </c>
      <c r="E1296" s="4" t="s">
        <v>823</v>
      </c>
      <c r="F1296" s="2"/>
      <c r="G1296" s="2" t="s">
        <v>1399</v>
      </c>
      <c r="H1296" s="2" t="s">
        <v>1400</v>
      </c>
      <c r="I1296" s="4" t="s">
        <v>60</v>
      </c>
      <c r="J1296" s="112">
        <f>IF($H1296&lt;&gt;"Y",0,ROUND(MIN(Dashboard!$R$24,IF(IFERROR(VLOOKUP($B1296,Dashboard!$Q$28:$S$60,2,FALSE),0)&gt;0,IFERROR(VLOOKUP($B1296,Dashboard!$Q$28:$S$60,2,FALSE),0),$Z1296*IF($U1296&lt;&gt;"",ROUND((Dashboard!$R$4/$U1296)*VLOOKUP($I1296,Dashboard!$Q$9:$R$13,2,FALSE)*IF(ISNUMBER(SEARCH("Duals",$B1296)),2,IF(ISNUMBER(SEARCH("Triples",$B1296)),3,IF(ISNUMBER(SEARCH("Quads",$B1296)),4,1))),2),ROUND(VLOOKUP($I1296,Dashboard!$Q$15:$R$20,2,FALSE)*IF($E1296="Red",Dashboard!$R$6,IF($E1296="Gold",Dashboard!$R$7,Dashboard!$R$5))*IF(ISNUMBER(SEARCH("Duals",$B1296)),2,IF(ISNUMBER(SEARCH("Triples",$B1296)),3,IF(ISNUMBER(SEARCH("Quads",$B1296)),4,1))),2))*IF(IFERROR(VLOOKUP($B1296,Dashboard!$Q$28:$S$60,3,FALSE),0)&gt;0,VLOOKUP($B1296,Dashboard!$Q$28:$S$60,3,FALSE),1))),0))</f>
        <v>2</v>
      </c>
      <c r="K1296" s="2" t="str">
        <f>IF('Base S2'!D96="","",'Base S2'!D96)</f>
        <v>h</v>
      </c>
      <c r="L1296" s="2">
        <f t="shared" si="260"/>
        <v>1</v>
      </c>
      <c r="M1296" s="2">
        <f t="shared" si="261"/>
        <v>0</v>
      </c>
      <c r="N1296" s="2">
        <f t="shared" si="262"/>
        <v>1</v>
      </c>
      <c r="O1296" s="2">
        <f t="shared" si="263"/>
        <v>0</v>
      </c>
      <c r="P1296" s="112">
        <f t="shared" si="264"/>
        <v>2</v>
      </c>
      <c r="Q1296" s="112">
        <f t="shared" si="265"/>
        <v>0</v>
      </c>
      <c r="R1296" s="53"/>
      <c r="S1296" s="53" t="str">
        <f t="shared" si="266"/>
        <v>Base S2|Red Parallel - Season 2|195|Red</v>
      </c>
      <c r="T1296" s="57" t="str">
        <f>IF($S1296="","",IFERROR(VLOOKUP($S1296,'Pop Estimates (Non-#d)'!$N$2:$O$500,2,FALSE),""))</f>
        <v/>
      </c>
      <c r="U1296" s="57" t="str">
        <f t="shared" si="267"/>
        <v/>
      </c>
      <c r="V1296" s="53" t="str">
        <f t="shared" si="268"/>
        <v/>
      </c>
      <c r="W1296" s="53" t="str">
        <f t="shared" si="269"/>
        <v/>
      </c>
      <c r="X1296" s="53" t="str">
        <f t="shared" si="270"/>
        <v/>
      </c>
      <c r="Y1296" s="57" t="str">
        <f>IF($X1296="","",IFERROR(VLOOKUP($X1296,'Char Popularity'!$A$2:$C$500,2,FALSE),""))</f>
        <v/>
      </c>
      <c r="Z1296" s="56">
        <f>IF($X1296="",1,IFERROR(VLOOKUP($X1296,'Char Popularity'!$A$2:$C$500,3,FALSE),1))</f>
        <v>1</v>
      </c>
      <c r="AA1296" s="62">
        <f>IF($H1296&lt;&gt;"Y",0,(IF($F1296&lt;&gt;"",ROUND(Dashboard!$R$4/$F1296,1),IF(AND($I1296="Base",$E1296="Base"),Dashboard!$R$5,IF(AND($I1296="Base",$E1296="Red"),Dashboard!$R$6,IF(AND($I1296="Base",$E1296="Gold"),Dashboard!$R$7,VLOOKUP($I1296,Dashboard!$Q$16:$R$21,2,FALSE)))))*VLOOKUP($I1296,Dashboard!$Q$9:$R$13,2,FALSE)*IF(AND($I1296="Auto",$F1296="",OR($B1296="Autographs Duals",$B1296="Autographs Triples",$B1296="Autographs Quads",$B1296="Autographs Quads (Inscribed)")),IF($B1296="Autographs Duals",2,IF($B1296="Autographs Triples",3,4)),1)))</f>
        <v>2</v>
      </c>
      <c r="AB1296" s="62">
        <f t="shared" si="271"/>
        <v>2</v>
      </c>
      <c r="AC1296" s="62">
        <f t="shared" si="272"/>
        <v>0</v>
      </c>
    </row>
    <row r="1297" spans="1:29" ht="28.7" customHeight="1" x14ac:dyDescent="0.25">
      <c r="A1297" s="4" t="s">
        <v>19</v>
      </c>
      <c r="B1297" s="7" t="s">
        <v>75</v>
      </c>
      <c r="C1297" s="2" t="s">
        <v>1595</v>
      </c>
      <c r="D1297" s="7" t="s">
        <v>1193</v>
      </c>
      <c r="E1297" s="4" t="s">
        <v>823</v>
      </c>
      <c r="F1297" s="2"/>
      <c r="G1297" s="2" t="s">
        <v>1399</v>
      </c>
      <c r="H1297" s="2" t="s">
        <v>1400</v>
      </c>
      <c r="I1297" s="4" t="s">
        <v>60</v>
      </c>
      <c r="J1297" s="112">
        <f>IF($H1297&lt;&gt;"Y",0,ROUND(MIN(Dashboard!$R$24,IF(IFERROR(VLOOKUP($B1297,Dashboard!$Q$28:$S$60,2,FALSE),0)&gt;0,IFERROR(VLOOKUP($B1297,Dashboard!$Q$28:$S$60,2,FALSE),0),$Z1297*IF($U1297&lt;&gt;"",ROUND((Dashboard!$R$4/$U1297)*VLOOKUP($I1297,Dashboard!$Q$9:$R$13,2,FALSE)*IF(ISNUMBER(SEARCH("Duals",$B1297)),2,IF(ISNUMBER(SEARCH("Triples",$B1297)),3,IF(ISNUMBER(SEARCH("Quads",$B1297)),4,1))),2),ROUND(VLOOKUP($I1297,Dashboard!$Q$15:$R$20,2,FALSE)*IF($E1297="Red",Dashboard!$R$6,IF($E1297="Gold",Dashboard!$R$7,Dashboard!$R$5))*IF(ISNUMBER(SEARCH("Duals",$B1297)),2,IF(ISNUMBER(SEARCH("Triples",$B1297)),3,IF(ISNUMBER(SEARCH("Quads",$B1297)),4,1))),2))*IF(IFERROR(VLOOKUP($B1297,Dashboard!$Q$28:$S$60,3,FALSE),0)&gt;0,VLOOKUP($B1297,Dashboard!$Q$28:$S$60,3,FALSE),1))),0))</f>
        <v>2</v>
      </c>
      <c r="K1297" s="2" t="str">
        <f>IF('Base S2'!D97="","",'Base S2'!D97)</f>
        <v>h</v>
      </c>
      <c r="L1297" s="2">
        <f t="shared" si="260"/>
        <v>1</v>
      </c>
      <c r="M1297" s="2">
        <f t="shared" si="261"/>
        <v>0</v>
      </c>
      <c r="N1297" s="2">
        <f t="shared" si="262"/>
        <v>1</v>
      </c>
      <c r="O1297" s="2">
        <f t="shared" si="263"/>
        <v>0</v>
      </c>
      <c r="P1297" s="112">
        <f t="shared" si="264"/>
        <v>2</v>
      </c>
      <c r="Q1297" s="112">
        <f t="shared" si="265"/>
        <v>0</v>
      </c>
      <c r="R1297" s="53"/>
      <c r="S1297" s="53" t="str">
        <f t="shared" si="266"/>
        <v>Base S2|Red Parallel - Season 2|196|Red</v>
      </c>
      <c r="T1297" s="57" t="str">
        <f>IF($S1297="","",IFERROR(VLOOKUP($S1297,'Pop Estimates (Non-#d)'!$N$2:$O$500,2,FALSE),""))</f>
        <v/>
      </c>
      <c r="U1297" s="57" t="str">
        <f t="shared" si="267"/>
        <v/>
      </c>
      <c r="V1297" s="53" t="str">
        <f t="shared" si="268"/>
        <v/>
      </c>
      <c r="W1297" s="53" t="str">
        <f t="shared" si="269"/>
        <v/>
      </c>
      <c r="X1297" s="53" t="str">
        <f t="shared" si="270"/>
        <v/>
      </c>
      <c r="Y1297" s="57" t="str">
        <f>IF($X1297="","",IFERROR(VLOOKUP($X1297,'Char Popularity'!$A$2:$C$500,2,FALSE),""))</f>
        <v/>
      </c>
      <c r="Z1297" s="56">
        <f>IF($X1297="",1,IFERROR(VLOOKUP($X1297,'Char Popularity'!$A$2:$C$500,3,FALSE),1))</f>
        <v>1</v>
      </c>
      <c r="AA1297" s="62">
        <f>IF($H1297&lt;&gt;"Y",0,(IF($F1297&lt;&gt;"",ROUND(Dashboard!$R$4/$F1297,1),IF(AND($I1297="Base",$E1297="Base"),Dashboard!$R$5,IF(AND($I1297="Base",$E1297="Red"),Dashboard!$R$6,IF(AND($I1297="Base",$E1297="Gold"),Dashboard!$R$7,VLOOKUP($I1297,Dashboard!$Q$16:$R$21,2,FALSE)))))*VLOOKUP($I1297,Dashboard!$Q$9:$R$13,2,FALSE)*IF(AND($I1297="Auto",$F1297="",OR($B1297="Autographs Duals",$B1297="Autographs Triples",$B1297="Autographs Quads",$B1297="Autographs Quads (Inscribed)")),IF($B1297="Autographs Duals",2,IF($B1297="Autographs Triples",3,4)),1)))</f>
        <v>2</v>
      </c>
      <c r="AB1297" s="62">
        <f t="shared" si="271"/>
        <v>2</v>
      </c>
      <c r="AC1297" s="62">
        <f t="shared" si="272"/>
        <v>0</v>
      </c>
    </row>
    <row r="1298" spans="1:29" ht="28.7" customHeight="1" x14ac:dyDescent="0.25">
      <c r="A1298" s="4" t="s">
        <v>19</v>
      </c>
      <c r="B1298" s="7" t="s">
        <v>75</v>
      </c>
      <c r="C1298" s="2" t="s">
        <v>1596</v>
      </c>
      <c r="D1298" s="7" t="s">
        <v>1195</v>
      </c>
      <c r="E1298" s="4" t="s">
        <v>823</v>
      </c>
      <c r="F1298" s="2"/>
      <c r="G1298" s="2" t="s">
        <v>1399</v>
      </c>
      <c r="H1298" s="2" t="s">
        <v>1400</v>
      </c>
      <c r="I1298" s="4" t="s">
        <v>60</v>
      </c>
      <c r="J1298" s="112">
        <f>IF($H1298&lt;&gt;"Y",0,ROUND(MIN(Dashboard!$R$24,IF(IFERROR(VLOOKUP($B1298,Dashboard!$Q$28:$S$60,2,FALSE),0)&gt;0,IFERROR(VLOOKUP($B1298,Dashboard!$Q$28:$S$60,2,FALSE),0),$Z1298*IF($U1298&lt;&gt;"",ROUND((Dashboard!$R$4/$U1298)*VLOOKUP($I1298,Dashboard!$Q$9:$R$13,2,FALSE)*IF(ISNUMBER(SEARCH("Duals",$B1298)),2,IF(ISNUMBER(SEARCH("Triples",$B1298)),3,IF(ISNUMBER(SEARCH("Quads",$B1298)),4,1))),2),ROUND(VLOOKUP($I1298,Dashboard!$Q$15:$R$20,2,FALSE)*IF($E1298="Red",Dashboard!$R$6,IF($E1298="Gold",Dashboard!$R$7,Dashboard!$R$5))*IF(ISNUMBER(SEARCH("Duals",$B1298)),2,IF(ISNUMBER(SEARCH("Triples",$B1298)),3,IF(ISNUMBER(SEARCH("Quads",$B1298)),4,1))),2))*IF(IFERROR(VLOOKUP($B1298,Dashboard!$Q$28:$S$60,3,FALSE),0)&gt;0,VLOOKUP($B1298,Dashboard!$Q$28:$S$60,3,FALSE),1))),0))</f>
        <v>2</v>
      </c>
      <c r="K1298" s="2" t="str">
        <f>IF('Base S2'!D98="","",'Base S2'!D98)</f>
        <v>h</v>
      </c>
      <c r="L1298" s="2">
        <f t="shared" si="260"/>
        <v>1</v>
      </c>
      <c r="M1298" s="2">
        <f t="shared" si="261"/>
        <v>0</v>
      </c>
      <c r="N1298" s="2">
        <f t="shared" si="262"/>
        <v>1</v>
      </c>
      <c r="O1298" s="2">
        <f t="shared" si="263"/>
        <v>0</v>
      </c>
      <c r="P1298" s="112">
        <f t="shared" si="264"/>
        <v>2</v>
      </c>
      <c r="Q1298" s="112">
        <f t="shared" si="265"/>
        <v>0</v>
      </c>
      <c r="R1298" s="53"/>
      <c r="S1298" s="53" t="str">
        <f t="shared" si="266"/>
        <v>Base S2|Red Parallel - Season 2|197|Red</v>
      </c>
      <c r="T1298" s="57" t="str">
        <f>IF($S1298="","",IFERROR(VLOOKUP($S1298,'Pop Estimates (Non-#d)'!$N$2:$O$500,2,FALSE),""))</f>
        <v/>
      </c>
      <c r="U1298" s="57" t="str">
        <f t="shared" si="267"/>
        <v/>
      </c>
      <c r="V1298" s="53" t="str">
        <f t="shared" si="268"/>
        <v/>
      </c>
      <c r="W1298" s="53" t="str">
        <f t="shared" si="269"/>
        <v/>
      </c>
      <c r="X1298" s="53" t="str">
        <f t="shared" si="270"/>
        <v/>
      </c>
      <c r="Y1298" s="57" t="str">
        <f>IF($X1298="","",IFERROR(VLOOKUP($X1298,'Char Popularity'!$A$2:$C$500,2,FALSE),""))</f>
        <v/>
      </c>
      <c r="Z1298" s="56">
        <f>IF($X1298="",1,IFERROR(VLOOKUP($X1298,'Char Popularity'!$A$2:$C$500,3,FALSE),1))</f>
        <v>1</v>
      </c>
      <c r="AA1298" s="62">
        <f>IF($H1298&lt;&gt;"Y",0,(IF($F1298&lt;&gt;"",ROUND(Dashboard!$R$4/$F1298,1),IF(AND($I1298="Base",$E1298="Base"),Dashboard!$R$5,IF(AND($I1298="Base",$E1298="Red"),Dashboard!$R$6,IF(AND($I1298="Base",$E1298="Gold"),Dashboard!$R$7,VLOOKUP($I1298,Dashboard!$Q$16:$R$21,2,FALSE)))))*VLOOKUP($I1298,Dashboard!$Q$9:$R$13,2,FALSE)*IF(AND($I1298="Auto",$F1298="",OR($B1298="Autographs Duals",$B1298="Autographs Triples",$B1298="Autographs Quads",$B1298="Autographs Quads (Inscribed)")),IF($B1298="Autographs Duals",2,IF($B1298="Autographs Triples",3,4)),1)))</f>
        <v>2</v>
      </c>
      <c r="AB1298" s="62">
        <f t="shared" si="271"/>
        <v>2</v>
      </c>
      <c r="AC1298" s="62">
        <f t="shared" si="272"/>
        <v>0</v>
      </c>
    </row>
    <row r="1299" spans="1:29" ht="28.7" customHeight="1" x14ac:dyDescent="0.25">
      <c r="A1299" s="4" t="s">
        <v>19</v>
      </c>
      <c r="B1299" s="7" t="s">
        <v>75</v>
      </c>
      <c r="C1299" s="2" t="s">
        <v>1597</v>
      </c>
      <c r="D1299" s="7" t="s">
        <v>1197</v>
      </c>
      <c r="E1299" s="4" t="s">
        <v>823</v>
      </c>
      <c r="F1299" s="2"/>
      <c r="G1299" s="2" t="s">
        <v>1399</v>
      </c>
      <c r="H1299" s="2" t="s">
        <v>1400</v>
      </c>
      <c r="I1299" s="4" t="s">
        <v>60</v>
      </c>
      <c r="J1299" s="112">
        <f>IF($H1299&lt;&gt;"Y",0,ROUND(MIN(Dashboard!$R$24,IF(IFERROR(VLOOKUP($B1299,Dashboard!$Q$28:$S$60,2,FALSE),0)&gt;0,IFERROR(VLOOKUP($B1299,Dashboard!$Q$28:$S$60,2,FALSE),0),$Z1299*IF($U1299&lt;&gt;"",ROUND((Dashboard!$R$4/$U1299)*VLOOKUP($I1299,Dashboard!$Q$9:$R$13,2,FALSE)*IF(ISNUMBER(SEARCH("Duals",$B1299)),2,IF(ISNUMBER(SEARCH("Triples",$B1299)),3,IF(ISNUMBER(SEARCH("Quads",$B1299)),4,1))),2),ROUND(VLOOKUP($I1299,Dashboard!$Q$15:$R$20,2,FALSE)*IF($E1299="Red",Dashboard!$R$6,IF($E1299="Gold",Dashboard!$R$7,Dashboard!$R$5))*IF(ISNUMBER(SEARCH("Duals",$B1299)),2,IF(ISNUMBER(SEARCH("Triples",$B1299)),3,IF(ISNUMBER(SEARCH("Quads",$B1299)),4,1))),2))*IF(IFERROR(VLOOKUP($B1299,Dashboard!$Q$28:$S$60,3,FALSE),0)&gt;0,VLOOKUP($B1299,Dashboard!$Q$28:$S$60,3,FALSE),1))),0))</f>
        <v>2</v>
      </c>
      <c r="K1299" s="2" t="str">
        <f>IF('Base S2'!D99="","",'Base S2'!D99)</f>
        <v>h</v>
      </c>
      <c r="L1299" s="2">
        <f t="shared" si="260"/>
        <v>1</v>
      </c>
      <c r="M1299" s="2">
        <f t="shared" si="261"/>
        <v>0</v>
      </c>
      <c r="N1299" s="2">
        <f t="shared" si="262"/>
        <v>1</v>
      </c>
      <c r="O1299" s="2">
        <f t="shared" si="263"/>
        <v>0</v>
      </c>
      <c r="P1299" s="112">
        <f t="shared" si="264"/>
        <v>2</v>
      </c>
      <c r="Q1299" s="112">
        <f t="shared" si="265"/>
        <v>0</v>
      </c>
      <c r="R1299" s="53"/>
      <c r="S1299" s="53" t="str">
        <f t="shared" si="266"/>
        <v>Base S2|Red Parallel - Season 2|198|Red</v>
      </c>
      <c r="T1299" s="57" t="str">
        <f>IF($S1299="","",IFERROR(VLOOKUP($S1299,'Pop Estimates (Non-#d)'!$N$2:$O$500,2,FALSE),""))</f>
        <v/>
      </c>
      <c r="U1299" s="57" t="str">
        <f t="shared" si="267"/>
        <v/>
      </c>
      <c r="V1299" s="53" t="str">
        <f t="shared" si="268"/>
        <v/>
      </c>
      <c r="W1299" s="53" t="str">
        <f t="shared" si="269"/>
        <v/>
      </c>
      <c r="X1299" s="53" t="str">
        <f t="shared" si="270"/>
        <v/>
      </c>
      <c r="Y1299" s="57" t="str">
        <f>IF($X1299="","",IFERROR(VLOOKUP($X1299,'Char Popularity'!$A$2:$C$500,2,FALSE),""))</f>
        <v/>
      </c>
      <c r="Z1299" s="56">
        <f>IF($X1299="",1,IFERROR(VLOOKUP($X1299,'Char Popularity'!$A$2:$C$500,3,FALSE),1))</f>
        <v>1</v>
      </c>
      <c r="AA1299" s="62">
        <f>IF($H1299&lt;&gt;"Y",0,(IF($F1299&lt;&gt;"",ROUND(Dashboard!$R$4/$F1299,1),IF(AND($I1299="Base",$E1299="Base"),Dashboard!$R$5,IF(AND($I1299="Base",$E1299="Red"),Dashboard!$R$6,IF(AND($I1299="Base",$E1299="Gold"),Dashboard!$R$7,VLOOKUP($I1299,Dashboard!$Q$16:$R$21,2,FALSE)))))*VLOOKUP($I1299,Dashboard!$Q$9:$R$13,2,FALSE)*IF(AND($I1299="Auto",$F1299="",OR($B1299="Autographs Duals",$B1299="Autographs Triples",$B1299="Autographs Quads",$B1299="Autographs Quads (Inscribed)")),IF($B1299="Autographs Duals",2,IF($B1299="Autographs Triples",3,4)),1)))</f>
        <v>2</v>
      </c>
      <c r="AB1299" s="62">
        <f t="shared" si="271"/>
        <v>2</v>
      </c>
      <c r="AC1299" s="62">
        <f t="shared" si="272"/>
        <v>0</v>
      </c>
    </row>
    <row r="1300" spans="1:29" ht="28.7" customHeight="1" x14ac:dyDescent="0.25">
      <c r="A1300" s="4" t="s">
        <v>19</v>
      </c>
      <c r="B1300" s="7" t="s">
        <v>75</v>
      </c>
      <c r="C1300" s="2" t="s">
        <v>1598</v>
      </c>
      <c r="D1300" s="7" t="s">
        <v>1199</v>
      </c>
      <c r="E1300" s="4" t="s">
        <v>823</v>
      </c>
      <c r="F1300" s="2"/>
      <c r="G1300" s="2" t="s">
        <v>1399</v>
      </c>
      <c r="H1300" s="2" t="s">
        <v>1400</v>
      </c>
      <c r="I1300" s="4" t="s">
        <v>60</v>
      </c>
      <c r="J1300" s="112">
        <f>IF($H1300&lt;&gt;"Y",0,ROUND(MIN(Dashboard!$R$24,IF(IFERROR(VLOOKUP($B1300,Dashboard!$Q$28:$S$60,2,FALSE),0)&gt;0,IFERROR(VLOOKUP($B1300,Dashboard!$Q$28:$S$60,2,FALSE),0),$Z1300*IF($U1300&lt;&gt;"",ROUND((Dashboard!$R$4/$U1300)*VLOOKUP($I1300,Dashboard!$Q$9:$R$13,2,FALSE)*IF(ISNUMBER(SEARCH("Duals",$B1300)),2,IF(ISNUMBER(SEARCH("Triples",$B1300)),3,IF(ISNUMBER(SEARCH("Quads",$B1300)),4,1))),2),ROUND(VLOOKUP($I1300,Dashboard!$Q$15:$R$20,2,FALSE)*IF($E1300="Red",Dashboard!$R$6,IF($E1300="Gold",Dashboard!$R$7,Dashboard!$R$5))*IF(ISNUMBER(SEARCH("Duals",$B1300)),2,IF(ISNUMBER(SEARCH("Triples",$B1300)),3,IF(ISNUMBER(SEARCH("Quads",$B1300)),4,1))),2))*IF(IFERROR(VLOOKUP($B1300,Dashboard!$Q$28:$S$60,3,FALSE),0)&gt;0,VLOOKUP($B1300,Dashboard!$Q$28:$S$60,3,FALSE),1))),0))</f>
        <v>2</v>
      </c>
      <c r="K1300" s="2" t="str">
        <f>IF('Base S2'!D100="","",'Base S2'!D100)</f>
        <v>h</v>
      </c>
      <c r="L1300" s="2">
        <f t="shared" si="260"/>
        <v>1</v>
      </c>
      <c r="M1300" s="2">
        <f t="shared" si="261"/>
        <v>0</v>
      </c>
      <c r="N1300" s="2">
        <f t="shared" si="262"/>
        <v>1</v>
      </c>
      <c r="O1300" s="2">
        <f t="shared" si="263"/>
        <v>0</v>
      </c>
      <c r="P1300" s="112">
        <f t="shared" si="264"/>
        <v>2</v>
      </c>
      <c r="Q1300" s="112">
        <f t="shared" si="265"/>
        <v>0</v>
      </c>
      <c r="R1300" s="53"/>
      <c r="S1300" s="53" t="str">
        <f t="shared" si="266"/>
        <v>Base S2|Red Parallel - Season 2|199|Red</v>
      </c>
      <c r="T1300" s="57" t="str">
        <f>IF($S1300="","",IFERROR(VLOOKUP($S1300,'Pop Estimates (Non-#d)'!$N$2:$O$500,2,FALSE),""))</f>
        <v/>
      </c>
      <c r="U1300" s="57" t="str">
        <f t="shared" si="267"/>
        <v/>
      </c>
      <c r="V1300" s="53" t="str">
        <f t="shared" si="268"/>
        <v/>
      </c>
      <c r="W1300" s="53" t="str">
        <f t="shared" si="269"/>
        <v/>
      </c>
      <c r="X1300" s="53" t="str">
        <f t="shared" si="270"/>
        <v/>
      </c>
      <c r="Y1300" s="57" t="str">
        <f>IF($X1300="","",IFERROR(VLOOKUP($X1300,'Char Popularity'!$A$2:$C$500,2,FALSE),""))</f>
        <v/>
      </c>
      <c r="Z1300" s="56">
        <f>IF($X1300="",1,IFERROR(VLOOKUP($X1300,'Char Popularity'!$A$2:$C$500,3,FALSE),1))</f>
        <v>1</v>
      </c>
      <c r="AA1300" s="62">
        <f>IF($H1300&lt;&gt;"Y",0,(IF($F1300&lt;&gt;"",ROUND(Dashboard!$R$4/$F1300,1),IF(AND($I1300="Base",$E1300="Base"),Dashboard!$R$5,IF(AND($I1300="Base",$E1300="Red"),Dashboard!$R$6,IF(AND($I1300="Base",$E1300="Gold"),Dashboard!$R$7,VLOOKUP($I1300,Dashboard!$Q$16:$R$21,2,FALSE)))))*VLOOKUP($I1300,Dashboard!$Q$9:$R$13,2,FALSE)*IF(AND($I1300="Auto",$F1300="",OR($B1300="Autographs Duals",$B1300="Autographs Triples",$B1300="Autographs Quads",$B1300="Autographs Quads (Inscribed)")),IF($B1300="Autographs Duals",2,IF($B1300="Autographs Triples",3,4)),1)))</f>
        <v>2</v>
      </c>
      <c r="AB1300" s="62">
        <f t="shared" si="271"/>
        <v>2</v>
      </c>
      <c r="AC1300" s="62">
        <f t="shared" si="272"/>
        <v>0</v>
      </c>
    </row>
    <row r="1301" spans="1:29" ht="28.7" customHeight="1" x14ac:dyDescent="0.25">
      <c r="A1301" s="4" t="s">
        <v>19</v>
      </c>
      <c r="B1301" s="7" t="s">
        <v>75</v>
      </c>
      <c r="C1301" s="2" t="s">
        <v>1599</v>
      </c>
      <c r="D1301" s="7" t="s">
        <v>1201</v>
      </c>
      <c r="E1301" s="4" t="s">
        <v>823</v>
      </c>
      <c r="F1301" s="2"/>
      <c r="G1301" s="2" t="s">
        <v>1399</v>
      </c>
      <c r="H1301" s="2" t="s">
        <v>1400</v>
      </c>
      <c r="I1301" s="4" t="s">
        <v>60</v>
      </c>
      <c r="J1301" s="112">
        <f>IF($H1301&lt;&gt;"Y",0,ROUND(MIN(Dashboard!$R$24,IF(IFERROR(VLOOKUP($B1301,Dashboard!$Q$28:$S$60,2,FALSE),0)&gt;0,IFERROR(VLOOKUP($B1301,Dashboard!$Q$28:$S$60,2,FALSE),0),$Z1301*IF($U1301&lt;&gt;"",ROUND((Dashboard!$R$4/$U1301)*VLOOKUP($I1301,Dashboard!$Q$9:$R$13,2,FALSE)*IF(ISNUMBER(SEARCH("Duals",$B1301)),2,IF(ISNUMBER(SEARCH("Triples",$B1301)),3,IF(ISNUMBER(SEARCH("Quads",$B1301)),4,1))),2),ROUND(VLOOKUP($I1301,Dashboard!$Q$15:$R$20,2,FALSE)*IF($E1301="Red",Dashboard!$R$6,IF($E1301="Gold",Dashboard!$R$7,Dashboard!$R$5))*IF(ISNUMBER(SEARCH("Duals",$B1301)),2,IF(ISNUMBER(SEARCH("Triples",$B1301)),3,IF(ISNUMBER(SEARCH("Quads",$B1301)),4,1))),2))*IF(IFERROR(VLOOKUP($B1301,Dashboard!$Q$28:$S$60,3,FALSE),0)&gt;0,VLOOKUP($B1301,Dashboard!$Q$28:$S$60,3,FALSE),1))),0))</f>
        <v>2</v>
      </c>
      <c r="K1301" s="2" t="str">
        <f>IF('Base S2'!D101="","",'Base S2'!D101)</f>
        <v>h</v>
      </c>
      <c r="L1301" s="2">
        <f t="shared" si="260"/>
        <v>1</v>
      </c>
      <c r="M1301" s="2">
        <f t="shared" si="261"/>
        <v>0</v>
      </c>
      <c r="N1301" s="2">
        <f t="shared" si="262"/>
        <v>1</v>
      </c>
      <c r="O1301" s="2">
        <f t="shared" si="263"/>
        <v>0</v>
      </c>
      <c r="P1301" s="112">
        <f t="shared" si="264"/>
        <v>2</v>
      </c>
      <c r="Q1301" s="112">
        <f t="shared" si="265"/>
        <v>0</v>
      </c>
      <c r="R1301" s="53"/>
      <c r="S1301" s="53" t="str">
        <f t="shared" si="266"/>
        <v>Base S2|Red Parallel - Season 2|200|Red</v>
      </c>
      <c r="T1301" s="57" t="str">
        <f>IF($S1301="","",IFERROR(VLOOKUP($S1301,'Pop Estimates (Non-#d)'!$N$2:$O$500,2,FALSE),""))</f>
        <v/>
      </c>
      <c r="U1301" s="57" t="str">
        <f t="shared" si="267"/>
        <v/>
      </c>
      <c r="V1301" s="53" t="str">
        <f t="shared" si="268"/>
        <v/>
      </c>
      <c r="W1301" s="53" t="str">
        <f t="shared" si="269"/>
        <v/>
      </c>
      <c r="X1301" s="53" t="str">
        <f t="shared" si="270"/>
        <v/>
      </c>
      <c r="Y1301" s="57" t="str">
        <f>IF($X1301="","",IFERROR(VLOOKUP($X1301,'Char Popularity'!$A$2:$C$500,2,FALSE),""))</f>
        <v/>
      </c>
      <c r="Z1301" s="56">
        <f>IF($X1301="",1,IFERROR(VLOOKUP($X1301,'Char Popularity'!$A$2:$C$500,3,FALSE),1))</f>
        <v>1</v>
      </c>
      <c r="AA1301" s="62">
        <f>IF($H1301&lt;&gt;"Y",0,(IF($F1301&lt;&gt;"",ROUND(Dashboard!$R$4/$F1301,1),IF(AND($I1301="Base",$E1301="Base"),Dashboard!$R$5,IF(AND($I1301="Base",$E1301="Red"),Dashboard!$R$6,IF(AND($I1301="Base",$E1301="Gold"),Dashboard!$R$7,VLOOKUP($I1301,Dashboard!$Q$16:$R$21,2,FALSE)))))*VLOOKUP($I1301,Dashboard!$Q$9:$R$13,2,FALSE)*IF(AND($I1301="Auto",$F1301="",OR($B1301="Autographs Duals",$B1301="Autographs Triples",$B1301="Autographs Quads",$B1301="Autographs Quads (Inscribed)")),IF($B1301="Autographs Duals",2,IF($B1301="Autographs Triples",3,4)),1)))</f>
        <v>2</v>
      </c>
      <c r="AB1301" s="62">
        <f t="shared" si="271"/>
        <v>2</v>
      </c>
      <c r="AC1301" s="62">
        <f t="shared" si="272"/>
        <v>0</v>
      </c>
    </row>
    <row r="1302" spans="1:29" ht="42.95" customHeight="1" x14ac:dyDescent="0.25">
      <c r="A1302" s="4" t="s">
        <v>19</v>
      </c>
      <c r="B1302" s="7" t="s">
        <v>82</v>
      </c>
      <c r="C1302" s="2" t="s">
        <v>1500</v>
      </c>
      <c r="D1302" s="7" t="s">
        <v>1043</v>
      </c>
      <c r="E1302" s="4" t="s">
        <v>689</v>
      </c>
      <c r="F1302" s="2">
        <v>7</v>
      </c>
      <c r="G1302" s="2" t="s">
        <v>1399</v>
      </c>
      <c r="H1302" s="2" t="s">
        <v>1400</v>
      </c>
      <c r="I1302" s="4" t="s">
        <v>60</v>
      </c>
      <c r="J1302" s="112">
        <f>IF($H1302&lt;&gt;"Y",0,ROUND(MIN(Dashboard!$R$24,IF(IFERROR(VLOOKUP($B1302,Dashboard!$Q$28:$S$60,2,FALSE),0)&gt;0,IFERROR(VLOOKUP($B1302,Dashboard!$Q$28:$S$60,2,FALSE),0),$Z1302*IF($U1302&lt;&gt;"",ROUND((Dashboard!$R$4/$U1302)*VLOOKUP($I1302,Dashboard!$Q$9:$R$13,2,FALSE)*IF(ISNUMBER(SEARCH("Duals",$B1302)),2,IF(ISNUMBER(SEARCH("Triples",$B1302)),3,IF(ISNUMBER(SEARCH("Quads",$B1302)),4,1))),2),ROUND(VLOOKUP($I1302,Dashboard!$Q$15:$R$20,2,FALSE)*IF($E1302="Red",Dashboard!$R$6,IF($E1302="Gold",Dashboard!$R$7,Dashboard!$R$5))*IF(ISNUMBER(SEARCH("Duals",$B1302)),2,IF(ISNUMBER(SEARCH("Triples",$B1302)),3,IF(ISNUMBER(SEARCH("Quads",$B1302)),4,1))),2))*IF(IFERROR(VLOOKUP($B1302,Dashboard!$Q$28:$S$60,3,FALSE),0)&gt;0,VLOOKUP($B1302,Dashboard!$Q$28:$S$60,3,FALSE),1))),0))</f>
        <v>143</v>
      </c>
      <c r="K1302" s="2" t="str">
        <f>IF('Base S2'!I2="","",'Base S2'!I2)</f>
        <v/>
      </c>
      <c r="L1302" s="2">
        <f t="shared" si="260"/>
        <v>0</v>
      </c>
      <c r="M1302" s="2">
        <f t="shared" si="261"/>
        <v>0</v>
      </c>
      <c r="N1302" s="2">
        <f t="shared" si="262"/>
        <v>0</v>
      </c>
      <c r="O1302" s="2">
        <f t="shared" si="263"/>
        <v>1</v>
      </c>
      <c r="P1302" s="112">
        <f t="shared" si="264"/>
        <v>0</v>
      </c>
      <c r="Q1302" s="112">
        <f t="shared" si="265"/>
        <v>0</v>
      </c>
      <c r="R1302" s="53"/>
      <c r="S1302" s="53" t="str">
        <f t="shared" si="266"/>
        <v>Base S2|The Seven Parallel - Season 2|101|The Seven</v>
      </c>
      <c r="T1302" s="57" t="str">
        <f>IF($S1302="","",IFERROR(VLOOKUP($S1302,'Pop Estimates (Non-#d)'!$N$2:$O$500,2,FALSE),""))</f>
        <v/>
      </c>
      <c r="U1302" s="57">
        <f t="shared" si="267"/>
        <v>7</v>
      </c>
      <c r="V1302" s="53" t="str">
        <f t="shared" si="268"/>
        <v/>
      </c>
      <c r="W1302" s="53" t="str">
        <f t="shared" si="269"/>
        <v/>
      </c>
      <c r="X1302" s="53" t="str">
        <f t="shared" si="270"/>
        <v/>
      </c>
      <c r="Y1302" s="57" t="str">
        <f>IF($X1302="","",IFERROR(VLOOKUP($X1302,'Char Popularity'!$A$2:$C$500,2,FALSE),""))</f>
        <v/>
      </c>
      <c r="Z1302" s="56">
        <f>IF($X1302="",1,IFERROR(VLOOKUP($X1302,'Char Popularity'!$A$2:$C$500,3,FALSE),1))</f>
        <v>1</v>
      </c>
      <c r="AA1302" s="62">
        <f>IF($H1302&lt;&gt;"Y",0,(IF($F1302&lt;&gt;"",ROUND(Dashboard!$R$4/$F1302,1),IF(AND($I1302="Base",$E1302="Base"),Dashboard!$R$5,IF(AND($I1302="Base",$E1302="Red"),Dashboard!$R$6,IF(AND($I1302="Base",$E1302="Gold"),Dashboard!$R$7,VLOOKUP($I1302,Dashboard!$Q$16:$R$21,2,FALSE)))))*VLOOKUP($I1302,Dashboard!$Q$9:$R$13,2,FALSE)*IF(AND($I1302="Auto",$F1302="",OR($B1302="Autographs Duals",$B1302="Autographs Triples",$B1302="Autographs Quads",$B1302="Autographs Quads (Inscribed)")),IF($B1302="Autographs Duals",2,IF($B1302="Autographs Triples",3,4)),1)))</f>
        <v>142.9</v>
      </c>
      <c r="AB1302" s="62">
        <f t="shared" si="271"/>
        <v>0</v>
      </c>
      <c r="AC1302" s="62">
        <f t="shared" si="272"/>
        <v>0</v>
      </c>
    </row>
    <row r="1303" spans="1:29" ht="42.95" customHeight="1" x14ac:dyDescent="0.25">
      <c r="A1303" s="4" t="s">
        <v>19</v>
      </c>
      <c r="B1303" s="7" t="s">
        <v>82</v>
      </c>
      <c r="C1303" s="2" t="s">
        <v>1501</v>
      </c>
      <c r="D1303" s="7" t="s">
        <v>1045</v>
      </c>
      <c r="E1303" s="4" t="s">
        <v>689</v>
      </c>
      <c r="F1303" s="2">
        <v>7</v>
      </c>
      <c r="G1303" s="2" t="s">
        <v>1399</v>
      </c>
      <c r="H1303" s="2" t="s">
        <v>1400</v>
      </c>
      <c r="I1303" s="4" t="s">
        <v>60</v>
      </c>
      <c r="J1303" s="112">
        <f>IF($H1303&lt;&gt;"Y",0,ROUND(MIN(Dashboard!$R$24,IF(IFERROR(VLOOKUP($B1303,Dashboard!$Q$28:$S$60,2,FALSE),0)&gt;0,IFERROR(VLOOKUP($B1303,Dashboard!$Q$28:$S$60,2,FALSE),0),$Z1303*IF($U1303&lt;&gt;"",ROUND((Dashboard!$R$4/$U1303)*VLOOKUP($I1303,Dashboard!$Q$9:$R$13,2,FALSE)*IF(ISNUMBER(SEARCH("Duals",$B1303)),2,IF(ISNUMBER(SEARCH("Triples",$B1303)),3,IF(ISNUMBER(SEARCH("Quads",$B1303)),4,1))),2),ROUND(VLOOKUP($I1303,Dashboard!$Q$15:$R$20,2,FALSE)*IF($E1303="Red",Dashboard!$R$6,IF($E1303="Gold",Dashboard!$R$7,Dashboard!$R$5))*IF(ISNUMBER(SEARCH("Duals",$B1303)),2,IF(ISNUMBER(SEARCH("Triples",$B1303)),3,IF(ISNUMBER(SEARCH("Quads",$B1303)),4,1))),2))*IF(IFERROR(VLOOKUP($B1303,Dashboard!$Q$28:$S$60,3,FALSE),0)&gt;0,VLOOKUP($B1303,Dashboard!$Q$28:$S$60,3,FALSE),1))),0))</f>
        <v>143</v>
      </c>
      <c r="K1303" s="2" t="str">
        <f>IF('Base S2'!I3="","",'Base S2'!I3)</f>
        <v/>
      </c>
      <c r="L1303" s="2">
        <f t="shared" si="260"/>
        <v>0</v>
      </c>
      <c r="M1303" s="2">
        <f t="shared" si="261"/>
        <v>0</v>
      </c>
      <c r="N1303" s="2">
        <f t="shared" si="262"/>
        <v>0</v>
      </c>
      <c r="O1303" s="2">
        <f t="shared" si="263"/>
        <v>1</v>
      </c>
      <c r="P1303" s="112">
        <f t="shared" si="264"/>
        <v>0</v>
      </c>
      <c r="Q1303" s="112">
        <f t="shared" si="265"/>
        <v>0</v>
      </c>
      <c r="R1303" s="53"/>
      <c r="S1303" s="53" t="str">
        <f t="shared" si="266"/>
        <v>Base S2|The Seven Parallel - Season 2|102|The Seven</v>
      </c>
      <c r="T1303" s="57" t="str">
        <f>IF($S1303="","",IFERROR(VLOOKUP($S1303,'Pop Estimates (Non-#d)'!$N$2:$O$500,2,FALSE),""))</f>
        <v/>
      </c>
      <c r="U1303" s="57">
        <f t="shared" si="267"/>
        <v>7</v>
      </c>
      <c r="V1303" s="53" t="str">
        <f t="shared" si="268"/>
        <v/>
      </c>
      <c r="W1303" s="53" t="str">
        <f t="shared" si="269"/>
        <v/>
      </c>
      <c r="X1303" s="53" t="str">
        <f t="shared" si="270"/>
        <v/>
      </c>
      <c r="Y1303" s="57" t="str">
        <f>IF($X1303="","",IFERROR(VLOOKUP($X1303,'Char Popularity'!$A$2:$C$500,2,FALSE),""))</f>
        <v/>
      </c>
      <c r="Z1303" s="56">
        <f>IF($X1303="",1,IFERROR(VLOOKUP($X1303,'Char Popularity'!$A$2:$C$500,3,FALSE),1))</f>
        <v>1</v>
      </c>
      <c r="AA1303" s="62">
        <f>IF($H1303&lt;&gt;"Y",0,(IF($F1303&lt;&gt;"",ROUND(Dashboard!$R$4/$F1303,1),IF(AND($I1303="Base",$E1303="Base"),Dashboard!$R$5,IF(AND($I1303="Base",$E1303="Red"),Dashboard!$R$6,IF(AND($I1303="Base",$E1303="Gold"),Dashboard!$R$7,VLOOKUP($I1303,Dashboard!$Q$16:$R$21,2,FALSE)))))*VLOOKUP($I1303,Dashboard!$Q$9:$R$13,2,FALSE)*IF(AND($I1303="Auto",$F1303="",OR($B1303="Autographs Duals",$B1303="Autographs Triples",$B1303="Autographs Quads",$B1303="Autographs Quads (Inscribed)")),IF($B1303="Autographs Duals",2,IF($B1303="Autographs Triples",3,4)),1)))</f>
        <v>142.9</v>
      </c>
      <c r="AB1303" s="62">
        <f t="shared" si="271"/>
        <v>0</v>
      </c>
      <c r="AC1303" s="62">
        <f t="shared" si="272"/>
        <v>0</v>
      </c>
    </row>
    <row r="1304" spans="1:29" ht="42.95" customHeight="1" x14ac:dyDescent="0.25">
      <c r="A1304" s="4" t="s">
        <v>19</v>
      </c>
      <c r="B1304" s="7" t="s">
        <v>82</v>
      </c>
      <c r="C1304" s="2" t="s">
        <v>1502</v>
      </c>
      <c r="D1304" s="7" t="s">
        <v>1047</v>
      </c>
      <c r="E1304" s="4" t="s">
        <v>689</v>
      </c>
      <c r="F1304" s="2">
        <v>7</v>
      </c>
      <c r="G1304" s="2" t="s">
        <v>1399</v>
      </c>
      <c r="H1304" s="2" t="s">
        <v>1400</v>
      </c>
      <c r="I1304" s="4" t="s">
        <v>60</v>
      </c>
      <c r="J1304" s="112">
        <f>IF($H1304&lt;&gt;"Y",0,ROUND(MIN(Dashboard!$R$24,IF(IFERROR(VLOOKUP($B1304,Dashboard!$Q$28:$S$60,2,FALSE),0)&gt;0,IFERROR(VLOOKUP($B1304,Dashboard!$Q$28:$S$60,2,FALSE),0),$Z1304*IF($U1304&lt;&gt;"",ROUND((Dashboard!$R$4/$U1304)*VLOOKUP($I1304,Dashboard!$Q$9:$R$13,2,FALSE)*IF(ISNUMBER(SEARCH("Duals",$B1304)),2,IF(ISNUMBER(SEARCH("Triples",$B1304)),3,IF(ISNUMBER(SEARCH("Quads",$B1304)),4,1))),2),ROUND(VLOOKUP($I1304,Dashboard!$Q$15:$R$20,2,FALSE)*IF($E1304="Red",Dashboard!$R$6,IF($E1304="Gold",Dashboard!$R$7,Dashboard!$R$5))*IF(ISNUMBER(SEARCH("Duals",$B1304)),2,IF(ISNUMBER(SEARCH("Triples",$B1304)),3,IF(ISNUMBER(SEARCH("Quads",$B1304)),4,1))),2))*IF(IFERROR(VLOOKUP($B1304,Dashboard!$Q$28:$S$60,3,FALSE),0)&gt;0,VLOOKUP($B1304,Dashboard!$Q$28:$S$60,3,FALSE),1))),0))</f>
        <v>143</v>
      </c>
      <c r="K1304" s="2" t="str">
        <f>IF('Base S2'!I4="","",'Base S2'!I4)</f>
        <v/>
      </c>
      <c r="L1304" s="2">
        <f t="shared" si="260"/>
        <v>0</v>
      </c>
      <c r="M1304" s="2">
        <f t="shared" si="261"/>
        <v>0</v>
      </c>
      <c r="N1304" s="2">
        <f t="shared" si="262"/>
        <v>0</v>
      </c>
      <c r="O1304" s="2">
        <f t="shared" si="263"/>
        <v>1</v>
      </c>
      <c r="P1304" s="112">
        <f t="shared" si="264"/>
        <v>0</v>
      </c>
      <c r="Q1304" s="112">
        <f t="shared" si="265"/>
        <v>0</v>
      </c>
      <c r="R1304" s="53"/>
      <c r="S1304" s="53" t="str">
        <f t="shared" si="266"/>
        <v>Base S2|The Seven Parallel - Season 2|103|The Seven</v>
      </c>
      <c r="T1304" s="57" t="str">
        <f>IF($S1304="","",IFERROR(VLOOKUP($S1304,'Pop Estimates (Non-#d)'!$N$2:$O$500,2,FALSE),""))</f>
        <v/>
      </c>
      <c r="U1304" s="57">
        <f t="shared" si="267"/>
        <v>7</v>
      </c>
      <c r="V1304" s="53" t="str">
        <f t="shared" si="268"/>
        <v/>
      </c>
      <c r="W1304" s="53" t="str">
        <f t="shared" si="269"/>
        <v/>
      </c>
      <c r="X1304" s="53" t="str">
        <f t="shared" si="270"/>
        <v/>
      </c>
      <c r="Y1304" s="57" t="str">
        <f>IF($X1304="","",IFERROR(VLOOKUP($X1304,'Char Popularity'!$A$2:$C$500,2,FALSE),""))</f>
        <v/>
      </c>
      <c r="Z1304" s="56">
        <f>IF($X1304="",1,IFERROR(VLOOKUP($X1304,'Char Popularity'!$A$2:$C$500,3,FALSE),1))</f>
        <v>1</v>
      </c>
      <c r="AA1304" s="62">
        <f>IF($H1304&lt;&gt;"Y",0,(IF($F1304&lt;&gt;"",ROUND(Dashboard!$R$4/$F1304,1),IF(AND($I1304="Base",$E1304="Base"),Dashboard!$R$5,IF(AND($I1304="Base",$E1304="Red"),Dashboard!$R$6,IF(AND($I1304="Base",$E1304="Gold"),Dashboard!$R$7,VLOOKUP($I1304,Dashboard!$Q$16:$R$21,2,FALSE)))))*VLOOKUP($I1304,Dashboard!$Q$9:$R$13,2,FALSE)*IF(AND($I1304="Auto",$F1304="",OR($B1304="Autographs Duals",$B1304="Autographs Triples",$B1304="Autographs Quads",$B1304="Autographs Quads (Inscribed)")),IF($B1304="Autographs Duals",2,IF($B1304="Autographs Triples",3,4)),1)))</f>
        <v>142.9</v>
      </c>
      <c r="AB1304" s="62">
        <f t="shared" si="271"/>
        <v>0</v>
      </c>
      <c r="AC1304" s="62">
        <f t="shared" si="272"/>
        <v>0</v>
      </c>
    </row>
    <row r="1305" spans="1:29" ht="42.95" customHeight="1" x14ac:dyDescent="0.25">
      <c r="A1305" s="4" t="s">
        <v>19</v>
      </c>
      <c r="B1305" s="7" t="s">
        <v>82</v>
      </c>
      <c r="C1305" s="2" t="s">
        <v>1503</v>
      </c>
      <c r="D1305" s="7" t="s">
        <v>1048</v>
      </c>
      <c r="E1305" s="4" t="s">
        <v>689</v>
      </c>
      <c r="F1305" s="2">
        <v>7</v>
      </c>
      <c r="G1305" s="2" t="s">
        <v>1399</v>
      </c>
      <c r="H1305" s="2" t="s">
        <v>1400</v>
      </c>
      <c r="I1305" s="4" t="s">
        <v>60</v>
      </c>
      <c r="J1305" s="112">
        <f>IF($H1305&lt;&gt;"Y",0,ROUND(MIN(Dashboard!$R$24,IF(IFERROR(VLOOKUP($B1305,Dashboard!$Q$28:$S$60,2,FALSE),0)&gt;0,IFERROR(VLOOKUP($B1305,Dashboard!$Q$28:$S$60,2,FALSE),0),$Z1305*IF($U1305&lt;&gt;"",ROUND((Dashboard!$R$4/$U1305)*VLOOKUP($I1305,Dashboard!$Q$9:$R$13,2,FALSE)*IF(ISNUMBER(SEARCH("Duals",$B1305)),2,IF(ISNUMBER(SEARCH("Triples",$B1305)),3,IF(ISNUMBER(SEARCH("Quads",$B1305)),4,1))),2),ROUND(VLOOKUP($I1305,Dashboard!$Q$15:$R$20,2,FALSE)*IF($E1305="Red",Dashboard!$R$6,IF($E1305="Gold",Dashboard!$R$7,Dashboard!$R$5))*IF(ISNUMBER(SEARCH("Duals",$B1305)),2,IF(ISNUMBER(SEARCH("Triples",$B1305)),3,IF(ISNUMBER(SEARCH("Quads",$B1305)),4,1))),2))*IF(IFERROR(VLOOKUP($B1305,Dashboard!$Q$28:$S$60,3,FALSE),0)&gt;0,VLOOKUP($B1305,Dashboard!$Q$28:$S$60,3,FALSE),1))),0))</f>
        <v>143</v>
      </c>
      <c r="K1305" s="2" t="str">
        <f>IF('Base S2'!I5="","",'Base S2'!I5)</f>
        <v/>
      </c>
      <c r="L1305" s="2">
        <f t="shared" si="260"/>
        <v>0</v>
      </c>
      <c r="M1305" s="2">
        <f t="shared" si="261"/>
        <v>0</v>
      </c>
      <c r="N1305" s="2">
        <f t="shared" si="262"/>
        <v>0</v>
      </c>
      <c r="O1305" s="2">
        <f t="shared" si="263"/>
        <v>1</v>
      </c>
      <c r="P1305" s="112">
        <f t="shared" si="264"/>
        <v>0</v>
      </c>
      <c r="Q1305" s="112">
        <f t="shared" si="265"/>
        <v>0</v>
      </c>
      <c r="R1305" s="53"/>
      <c r="S1305" s="53" t="str">
        <f t="shared" si="266"/>
        <v>Base S2|The Seven Parallel - Season 2|104|The Seven</v>
      </c>
      <c r="T1305" s="57" t="str">
        <f>IF($S1305="","",IFERROR(VLOOKUP($S1305,'Pop Estimates (Non-#d)'!$N$2:$O$500,2,FALSE),""))</f>
        <v/>
      </c>
      <c r="U1305" s="57">
        <f t="shared" si="267"/>
        <v>7</v>
      </c>
      <c r="V1305" s="53" t="str">
        <f t="shared" si="268"/>
        <v/>
      </c>
      <c r="W1305" s="53" t="str">
        <f t="shared" si="269"/>
        <v/>
      </c>
      <c r="X1305" s="53" t="str">
        <f t="shared" si="270"/>
        <v/>
      </c>
      <c r="Y1305" s="57" t="str">
        <f>IF($X1305="","",IFERROR(VLOOKUP($X1305,'Char Popularity'!$A$2:$C$500,2,FALSE),""))</f>
        <v/>
      </c>
      <c r="Z1305" s="56">
        <f>IF($X1305="",1,IFERROR(VLOOKUP($X1305,'Char Popularity'!$A$2:$C$500,3,FALSE),1))</f>
        <v>1</v>
      </c>
      <c r="AA1305" s="62">
        <f>IF($H1305&lt;&gt;"Y",0,(IF($F1305&lt;&gt;"",ROUND(Dashboard!$R$4/$F1305,1),IF(AND($I1305="Base",$E1305="Base"),Dashboard!$R$5,IF(AND($I1305="Base",$E1305="Red"),Dashboard!$R$6,IF(AND($I1305="Base",$E1305="Gold"),Dashboard!$R$7,VLOOKUP($I1305,Dashboard!$Q$16:$R$21,2,FALSE)))))*VLOOKUP($I1305,Dashboard!$Q$9:$R$13,2,FALSE)*IF(AND($I1305="Auto",$F1305="",OR($B1305="Autographs Duals",$B1305="Autographs Triples",$B1305="Autographs Quads",$B1305="Autographs Quads (Inscribed)")),IF($B1305="Autographs Duals",2,IF($B1305="Autographs Triples",3,4)),1)))</f>
        <v>142.9</v>
      </c>
      <c r="AB1305" s="62">
        <f t="shared" si="271"/>
        <v>0</v>
      </c>
      <c r="AC1305" s="62">
        <f t="shared" si="272"/>
        <v>0</v>
      </c>
    </row>
    <row r="1306" spans="1:29" ht="42.95" customHeight="1" x14ac:dyDescent="0.25">
      <c r="A1306" s="4" t="s">
        <v>19</v>
      </c>
      <c r="B1306" s="7" t="s">
        <v>82</v>
      </c>
      <c r="C1306" s="2" t="s">
        <v>1504</v>
      </c>
      <c r="D1306" s="7" t="s">
        <v>1049</v>
      </c>
      <c r="E1306" s="4" t="s">
        <v>689</v>
      </c>
      <c r="F1306" s="2">
        <v>7</v>
      </c>
      <c r="G1306" s="2" t="s">
        <v>1399</v>
      </c>
      <c r="H1306" s="2" t="s">
        <v>1400</v>
      </c>
      <c r="I1306" s="4" t="s">
        <v>60</v>
      </c>
      <c r="J1306" s="112">
        <f>IF($H1306&lt;&gt;"Y",0,ROUND(MIN(Dashboard!$R$24,IF(IFERROR(VLOOKUP($B1306,Dashboard!$Q$28:$S$60,2,FALSE),0)&gt;0,IFERROR(VLOOKUP($B1306,Dashboard!$Q$28:$S$60,2,FALSE),0),$Z1306*IF($U1306&lt;&gt;"",ROUND((Dashboard!$R$4/$U1306)*VLOOKUP($I1306,Dashboard!$Q$9:$R$13,2,FALSE)*IF(ISNUMBER(SEARCH("Duals",$B1306)),2,IF(ISNUMBER(SEARCH("Triples",$B1306)),3,IF(ISNUMBER(SEARCH("Quads",$B1306)),4,1))),2),ROUND(VLOOKUP($I1306,Dashboard!$Q$15:$R$20,2,FALSE)*IF($E1306="Red",Dashboard!$R$6,IF($E1306="Gold",Dashboard!$R$7,Dashboard!$R$5))*IF(ISNUMBER(SEARCH("Duals",$B1306)),2,IF(ISNUMBER(SEARCH("Triples",$B1306)),3,IF(ISNUMBER(SEARCH("Quads",$B1306)),4,1))),2))*IF(IFERROR(VLOOKUP($B1306,Dashboard!$Q$28:$S$60,3,FALSE),0)&gt;0,VLOOKUP($B1306,Dashboard!$Q$28:$S$60,3,FALSE),1))),0))</f>
        <v>143</v>
      </c>
      <c r="K1306" s="2" t="str">
        <f>IF('Base S2'!I6="","",'Base S2'!I6)</f>
        <v/>
      </c>
      <c r="L1306" s="2">
        <f t="shared" si="260"/>
        <v>0</v>
      </c>
      <c r="M1306" s="2">
        <f t="shared" si="261"/>
        <v>0</v>
      </c>
      <c r="N1306" s="2">
        <f t="shared" si="262"/>
        <v>0</v>
      </c>
      <c r="O1306" s="2">
        <f t="shared" si="263"/>
        <v>1</v>
      </c>
      <c r="P1306" s="112">
        <f t="shared" si="264"/>
        <v>0</v>
      </c>
      <c r="Q1306" s="112">
        <f t="shared" si="265"/>
        <v>0</v>
      </c>
      <c r="R1306" s="53"/>
      <c r="S1306" s="53" t="str">
        <f t="shared" si="266"/>
        <v>Base S2|The Seven Parallel - Season 2|105|The Seven</v>
      </c>
      <c r="T1306" s="57" t="str">
        <f>IF($S1306="","",IFERROR(VLOOKUP($S1306,'Pop Estimates (Non-#d)'!$N$2:$O$500,2,FALSE),""))</f>
        <v/>
      </c>
      <c r="U1306" s="57">
        <f t="shared" si="267"/>
        <v>7</v>
      </c>
      <c r="V1306" s="53" t="str">
        <f t="shared" si="268"/>
        <v/>
      </c>
      <c r="W1306" s="53" t="str">
        <f t="shared" si="269"/>
        <v/>
      </c>
      <c r="X1306" s="53" t="str">
        <f t="shared" si="270"/>
        <v/>
      </c>
      <c r="Y1306" s="57" t="str">
        <f>IF($X1306="","",IFERROR(VLOOKUP($X1306,'Char Popularity'!$A$2:$C$500,2,FALSE),""))</f>
        <v/>
      </c>
      <c r="Z1306" s="56">
        <f>IF($X1306="",1,IFERROR(VLOOKUP($X1306,'Char Popularity'!$A$2:$C$500,3,FALSE),1))</f>
        <v>1</v>
      </c>
      <c r="AA1306" s="62">
        <f>IF($H1306&lt;&gt;"Y",0,(IF($F1306&lt;&gt;"",ROUND(Dashboard!$R$4/$F1306,1),IF(AND($I1306="Base",$E1306="Base"),Dashboard!$R$5,IF(AND($I1306="Base",$E1306="Red"),Dashboard!$R$6,IF(AND($I1306="Base",$E1306="Gold"),Dashboard!$R$7,VLOOKUP($I1306,Dashboard!$Q$16:$R$21,2,FALSE)))))*VLOOKUP($I1306,Dashboard!$Q$9:$R$13,2,FALSE)*IF(AND($I1306="Auto",$F1306="",OR($B1306="Autographs Duals",$B1306="Autographs Triples",$B1306="Autographs Quads",$B1306="Autographs Quads (Inscribed)")),IF($B1306="Autographs Duals",2,IF($B1306="Autographs Triples",3,4)),1)))</f>
        <v>142.9</v>
      </c>
      <c r="AB1306" s="62">
        <f t="shared" si="271"/>
        <v>0</v>
      </c>
      <c r="AC1306" s="62">
        <f t="shared" si="272"/>
        <v>0</v>
      </c>
    </row>
    <row r="1307" spans="1:29" ht="42.95" customHeight="1" x14ac:dyDescent="0.25">
      <c r="A1307" s="4" t="s">
        <v>19</v>
      </c>
      <c r="B1307" s="7" t="s">
        <v>82</v>
      </c>
      <c r="C1307" s="2" t="s">
        <v>1505</v>
      </c>
      <c r="D1307" s="7" t="s">
        <v>1050</v>
      </c>
      <c r="E1307" s="4" t="s">
        <v>689</v>
      </c>
      <c r="F1307" s="2">
        <v>7</v>
      </c>
      <c r="G1307" s="2" t="s">
        <v>1399</v>
      </c>
      <c r="H1307" s="2" t="s">
        <v>1400</v>
      </c>
      <c r="I1307" s="4" t="s">
        <v>60</v>
      </c>
      <c r="J1307" s="112">
        <f>IF($H1307&lt;&gt;"Y",0,ROUND(MIN(Dashboard!$R$24,IF(IFERROR(VLOOKUP($B1307,Dashboard!$Q$28:$S$60,2,FALSE),0)&gt;0,IFERROR(VLOOKUP($B1307,Dashboard!$Q$28:$S$60,2,FALSE),0),$Z1307*IF($U1307&lt;&gt;"",ROUND((Dashboard!$R$4/$U1307)*VLOOKUP($I1307,Dashboard!$Q$9:$R$13,2,FALSE)*IF(ISNUMBER(SEARCH("Duals",$B1307)),2,IF(ISNUMBER(SEARCH("Triples",$B1307)),3,IF(ISNUMBER(SEARCH("Quads",$B1307)),4,1))),2),ROUND(VLOOKUP($I1307,Dashboard!$Q$15:$R$20,2,FALSE)*IF($E1307="Red",Dashboard!$R$6,IF($E1307="Gold",Dashboard!$R$7,Dashboard!$R$5))*IF(ISNUMBER(SEARCH("Duals",$B1307)),2,IF(ISNUMBER(SEARCH("Triples",$B1307)),3,IF(ISNUMBER(SEARCH("Quads",$B1307)),4,1))),2))*IF(IFERROR(VLOOKUP($B1307,Dashboard!$Q$28:$S$60,3,FALSE),0)&gt;0,VLOOKUP($B1307,Dashboard!$Q$28:$S$60,3,FALSE),1))),0))</f>
        <v>143</v>
      </c>
      <c r="K1307" s="2" t="str">
        <f>IF('Base S2'!I7="","",'Base S2'!I7)</f>
        <v/>
      </c>
      <c r="L1307" s="2">
        <f t="shared" si="260"/>
        <v>0</v>
      </c>
      <c r="M1307" s="2">
        <f t="shared" si="261"/>
        <v>0</v>
      </c>
      <c r="N1307" s="2">
        <f t="shared" si="262"/>
        <v>0</v>
      </c>
      <c r="O1307" s="2">
        <f t="shared" si="263"/>
        <v>1</v>
      </c>
      <c r="P1307" s="112">
        <f t="shared" si="264"/>
        <v>0</v>
      </c>
      <c r="Q1307" s="112">
        <f t="shared" si="265"/>
        <v>0</v>
      </c>
      <c r="R1307" s="53"/>
      <c r="S1307" s="53" t="str">
        <f t="shared" si="266"/>
        <v>Base S2|The Seven Parallel - Season 2|106|The Seven</v>
      </c>
      <c r="T1307" s="57" t="str">
        <f>IF($S1307="","",IFERROR(VLOOKUP($S1307,'Pop Estimates (Non-#d)'!$N$2:$O$500,2,FALSE),""))</f>
        <v/>
      </c>
      <c r="U1307" s="57">
        <f t="shared" si="267"/>
        <v>7</v>
      </c>
      <c r="V1307" s="53" t="str">
        <f t="shared" si="268"/>
        <v/>
      </c>
      <c r="W1307" s="53" t="str">
        <f t="shared" si="269"/>
        <v/>
      </c>
      <c r="X1307" s="53" t="str">
        <f t="shared" si="270"/>
        <v/>
      </c>
      <c r="Y1307" s="57" t="str">
        <f>IF($X1307="","",IFERROR(VLOOKUP($X1307,'Char Popularity'!$A$2:$C$500,2,FALSE),""))</f>
        <v/>
      </c>
      <c r="Z1307" s="56">
        <f>IF($X1307="",1,IFERROR(VLOOKUP($X1307,'Char Popularity'!$A$2:$C$500,3,FALSE),1))</f>
        <v>1</v>
      </c>
      <c r="AA1307" s="62">
        <f>IF($H1307&lt;&gt;"Y",0,(IF($F1307&lt;&gt;"",ROUND(Dashboard!$R$4/$F1307,1),IF(AND($I1307="Base",$E1307="Base"),Dashboard!$R$5,IF(AND($I1307="Base",$E1307="Red"),Dashboard!$R$6,IF(AND($I1307="Base",$E1307="Gold"),Dashboard!$R$7,VLOOKUP($I1307,Dashboard!$Q$16:$R$21,2,FALSE)))))*VLOOKUP($I1307,Dashboard!$Q$9:$R$13,2,FALSE)*IF(AND($I1307="Auto",$F1307="",OR($B1307="Autographs Duals",$B1307="Autographs Triples",$B1307="Autographs Quads",$B1307="Autographs Quads (Inscribed)")),IF($B1307="Autographs Duals",2,IF($B1307="Autographs Triples",3,4)),1)))</f>
        <v>142.9</v>
      </c>
      <c r="AB1307" s="62">
        <f t="shared" si="271"/>
        <v>0</v>
      </c>
      <c r="AC1307" s="62">
        <f t="shared" si="272"/>
        <v>0</v>
      </c>
    </row>
    <row r="1308" spans="1:29" ht="42.95" customHeight="1" x14ac:dyDescent="0.25">
      <c r="A1308" s="4" t="s">
        <v>19</v>
      </c>
      <c r="B1308" s="7" t="s">
        <v>82</v>
      </c>
      <c r="C1308" s="2" t="s">
        <v>1506</v>
      </c>
      <c r="D1308" s="7" t="s">
        <v>1051</v>
      </c>
      <c r="E1308" s="4" t="s">
        <v>689</v>
      </c>
      <c r="F1308" s="2">
        <v>7</v>
      </c>
      <c r="G1308" s="2" t="s">
        <v>1399</v>
      </c>
      <c r="H1308" s="2" t="s">
        <v>1400</v>
      </c>
      <c r="I1308" s="4" t="s">
        <v>60</v>
      </c>
      <c r="J1308" s="112">
        <f>IF($H1308&lt;&gt;"Y",0,ROUND(MIN(Dashboard!$R$24,IF(IFERROR(VLOOKUP($B1308,Dashboard!$Q$28:$S$60,2,FALSE),0)&gt;0,IFERROR(VLOOKUP($B1308,Dashboard!$Q$28:$S$60,2,FALSE),0),$Z1308*IF($U1308&lt;&gt;"",ROUND((Dashboard!$R$4/$U1308)*VLOOKUP($I1308,Dashboard!$Q$9:$R$13,2,FALSE)*IF(ISNUMBER(SEARCH("Duals",$B1308)),2,IF(ISNUMBER(SEARCH("Triples",$B1308)),3,IF(ISNUMBER(SEARCH("Quads",$B1308)),4,1))),2),ROUND(VLOOKUP($I1308,Dashboard!$Q$15:$R$20,2,FALSE)*IF($E1308="Red",Dashboard!$R$6,IF($E1308="Gold",Dashboard!$R$7,Dashboard!$R$5))*IF(ISNUMBER(SEARCH("Duals",$B1308)),2,IF(ISNUMBER(SEARCH("Triples",$B1308)),3,IF(ISNUMBER(SEARCH("Quads",$B1308)),4,1))),2))*IF(IFERROR(VLOOKUP($B1308,Dashboard!$Q$28:$S$60,3,FALSE),0)&gt;0,VLOOKUP($B1308,Dashboard!$Q$28:$S$60,3,FALSE),1))),0))</f>
        <v>143</v>
      </c>
      <c r="K1308" s="2" t="str">
        <f>IF('Base S2'!I8="","",'Base S2'!I8)</f>
        <v/>
      </c>
      <c r="L1308" s="2">
        <f t="shared" si="260"/>
        <v>0</v>
      </c>
      <c r="M1308" s="2">
        <f t="shared" si="261"/>
        <v>0</v>
      </c>
      <c r="N1308" s="2">
        <f t="shared" si="262"/>
        <v>0</v>
      </c>
      <c r="O1308" s="2">
        <f t="shared" si="263"/>
        <v>1</v>
      </c>
      <c r="P1308" s="112">
        <f t="shared" si="264"/>
        <v>0</v>
      </c>
      <c r="Q1308" s="112">
        <f t="shared" si="265"/>
        <v>0</v>
      </c>
      <c r="R1308" s="53"/>
      <c r="S1308" s="53" t="str">
        <f t="shared" si="266"/>
        <v>Base S2|The Seven Parallel - Season 2|107|The Seven</v>
      </c>
      <c r="T1308" s="57" t="str">
        <f>IF($S1308="","",IFERROR(VLOOKUP($S1308,'Pop Estimates (Non-#d)'!$N$2:$O$500,2,FALSE),""))</f>
        <v/>
      </c>
      <c r="U1308" s="57">
        <f t="shared" si="267"/>
        <v>7</v>
      </c>
      <c r="V1308" s="53" t="str">
        <f t="shared" si="268"/>
        <v/>
      </c>
      <c r="W1308" s="53" t="str">
        <f t="shared" si="269"/>
        <v/>
      </c>
      <c r="X1308" s="53" t="str">
        <f t="shared" si="270"/>
        <v/>
      </c>
      <c r="Y1308" s="57" t="str">
        <f>IF($X1308="","",IFERROR(VLOOKUP($X1308,'Char Popularity'!$A$2:$C$500,2,FALSE),""))</f>
        <v/>
      </c>
      <c r="Z1308" s="56">
        <f>IF($X1308="",1,IFERROR(VLOOKUP($X1308,'Char Popularity'!$A$2:$C$500,3,FALSE),1))</f>
        <v>1</v>
      </c>
      <c r="AA1308" s="62">
        <f>IF($H1308&lt;&gt;"Y",0,(IF($F1308&lt;&gt;"",ROUND(Dashboard!$R$4/$F1308,1),IF(AND($I1308="Base",$E1308="Base"),Dashboard!$R$5,IF(AND($I1308="Base",$E1308="Red"),Dashboard!$R$6,IF(AND($I1308="Base",$E1308="Gold"),Dashboard!$R$7,VLOOKUP($I1308,Dashboard!$Q$16:$R$21,2,FALSE)))))*VLOOKUP($I1308,Dashboard!$Q$9:$R$13,2,FALSE)*IF(AND($I1308="Auto",$F1308="",OR($B1308="Autographs Duals",$B1308="Autographs Triples",$B1308="Autographs Quads",$B1308="Autographs Quads (Inscribed)")),IF($B1308="Autographs Duals",2,IF($B1308="Autographs Triples",3,4)),1)))</f>
        <v>142.9</v>
      </c>
      <c r="AB1308" s="62">
        <f t="shared" si="271"/>
        <v>0</v>
      </c>
      <c r="AC1308" s="62">
        <f t="shared" si="272"/>
        <v>0</v>
      </c>
    </row>
    <row r="1309" spans="1:29" ht="42.95" customHeight="1" x14ac:dyDescent="0.25">
      <c r="A1309" s="4" t="s">
        <v>19</v>
      </c>
      <c r="B1309" s="7" t="s">
        <v>82</v>
      </c>
      <c r="C1309" s="2" t="s">
        <v>1507</v>
      </c>
      <c r="D1309" s="7" t="s">
        <v>1053</v>
      </c>
      <c r="E1309" s="4" t="s">
        <v>689</v>
      </c>
      <c r="F1309" s="2">
        <v>7</v>
      </c>
      <c r="G1309" s="2" t="s">
        <v>1399</v>
      </c>
      <c r="H1309" s="2" t="s">
        <v>1400</v>
      </c>
      <c r="I1309" s="4" t="s">
        <v>60</v>
      </c>
      <c r="J1309" s="112">
        <f>IF($H1309&lt;&gt;"Y",0,ROUND(MIN(Dashboard!$R$24,IF(IFERROR(VLOOKUP($B1309,Dashboard!$Q$28:$S$60,2,FALSE),0)&gt;0,IFERROR(VLOOKUP($B1309,Dashboard!$Q$28:$S$60,2,FALSE),0),$Z1309*IF($U1309&lt;&gt;"",ROUND((Dashboard!$R$4/$U1309)*VLOOKUP($I1309,Dashboard!$Q$9:$R$13,2,FALSE)*IF(ISNUMBER(SEARCH("Duals",$B1309)),2,IF(ISNUMBER(SEARCH("Triples",$B1309)),3,IF(ISNUMBER(SEARCH("Quads",$B1309)),4,1))),2),ROUND(VLOOKUP($I1309,Dashboard!$Q$15:$R$20,2,FALSE)*IF($E1309="Red",Dashboard!$R$6,IF($E1309="Gold",Dashboard!$R$7,Dashboard!$R$5))*IF(ISNUMBER(SEARCH("Duals",$B1309)),2,IF(ISNUMBER(SEARCH("Triples",$B1309)),3,IF(ISNUMBER(SEARCH("Quads",$B1309)),4,1))),2))*IF(IFERROR(VLOOKUP($B1309,Dashboard!$Q$28:$S$60,3,FALSE),0)&gt;0,VLOOKUP($B1309,Dashboard!$Q$28:$S$60,3,FALSE),1))),0))</f>
        <v>143</v>
      </c>
      <c r="K1309" s="2" t="str">
        <f>IF('Base S2'!I9="","",'Base S2'!I9)</f>
        <v>C 7/7</v>
      </c>
      <c r="L1309" s="2">
        <f t="shared" si="260"/>
        <v>1</v>
      </c>
      <c r="M1309" s="2">
        <f t="shared" si="261"/>
        <v>0</v>
      </c>
      <c r="N1309" s="2">
        <f t="shared" si="262"/>
        <v>1</v>
      </c>
      <c r="O1309" s="2">
        <f t="shared" si="263"/>
        <v>0</v>
      </c>
      <c r="P1309" s="112">
        <f t="shared" si="264"/>
        <v>143</v>
      </c>
      <c r="Q1309" s="112">
        <f t="shared" si="265"/>
        <v>0</v>
      </c>
      <c r="R1309" s="53"/>
      <c r="S1309" s="53" t="str">
        <f t="shared" si="266"/>
        <v>Base S2|The Seven Parallel - Season 2|108|The Seven</v>
      </c>
      <c r="T1309" s="57" t="str">
        <f>IF($S1309="","",IFERROR(VLOOKUP($S1309,'Pop Estimates (Non-#d)'!$N$2:$O$500,2,FALSE),""))</f>
        <v/>
      </c>
      <c r="U1309" s="57">
        <f t="shared" si="267"/>
        <v>7</v>
      </c>
      <c r="V1309" s="53" t="str">
        <f t="shared" si="268"/>
        <v/>
      </c>
      <c r="W1309" s="53" t="str">
        <f t="shared" si="269"/>
        <v/>
      </c>
      <c r="X1309" s="53" t="str">
        <f t="shared" si="270"/>
        <v/>
      </c>
      <c r="Y1309" s="57" t="str">
        <f>IF($X1309="","",IFERROR(VLOOKUP($X1309,'Char Popularity'!$A$2:$C$500,2,FALSE),""))</f>
        <v/>
      </c>
      <c r="Z1309" s="56">
        <f>IF($X1309="",1,IFERROR(VLOOKUP($X1309,'Char Popularity'!$A$2:$C$500,3,FALSE),1))</f>
        <v>1</v>
      </c>
      <c r="AA1309" s="62">
        <f>IF($H1309&lt;&gt;"Y",0,(IF($F1309&lt;&gt;"",ROUND(Dashboard!$R$4/$F1309,1),IF(AND($I1309="Base",$E1309="Base"),Dashboard!$R$5,IF(AND($I1309="Base",$E1309="Red"),Dashboard!$R$6,IF(AND($I1309="Base",$E1309="Gold"),Dashboard!$R$7,VLOOKUP($I1309,Dashboard!$Q$16:$R$21,2,FALSE)))))*VLOOKUP($I1309,Dashboard!$Q$9:$R$13,2,FALSE)*IF(AND($I1309="Auto",$F1309="",OR($B1309="Autographs Duals",$B1309="Autographs Triples",$B1309="Autographs Quads",$B1309="Autographs Quads (Inscribed)")),IF($B1309="Autographs Duals",2,IF($B1309="Autographs Triples",3,4)),1)))</f>
        <v>142.9</v>
      </c>
      <c r="AB1309" s="62">
        <f t="shared" si="271"/>
        <v>142.9</v>
      </c>
      <c r="AC1309" s="62">
        <f t="shared" si="272"/>
        <v>0</v>
      </c>
    </row>
    <row r="1310" spans="1:29" ht="42.95" customHeight="1" x14ac:dyDescent="0.25">
      <c r="A1310" s="4" t="s">
        <v>19</v>
      </c>
      <c r="B1310" s="7" t="s">
        <v>82</v>
      </c>
      <c r="C1310" s="2" t="s">
        <v>1508</v>
      </c>
      <c r="D1310" s="7" t="s">
        <v>1056</v>
      </c>
      <c r="E1310" s="4" t="s">
        <v>689</v>
      </c>
      <c r="F1310" s="2">
        <v>7</v>
      </c>
      <c r="G1310" s="2" t="s">
        <v>1399</v>
      </c>
      <c r="H1310" s="2" t="s">
        <v>1400</v>
      </c>
      <c r="I1310" s="4" t="s">
        <v>60</v>
      </c>
      <c r="J1310" s="112">
        <f>IF($H1310&lt;&gt;"Y",0,ROUND(MIN(Dashboard!$R$24,IF(IFERROR(VLOOKUP($B1310,Dashboard!$Q$28:$S$60,2,FALSE),0)&gt;0,IFERROR(VLOOKUP($B1310,Dashboard!$Q$28:$S$60,2,FALSE),0),$Z1310*IF($U1310&lt;&gt;"",ROUND((Dashboard!$R$4/$U1310)*VLOOKUP($I1310,Dashboard!$Q$9:$R$13,2,FALSE)*IF(ISNUMBER(SEARCH("Duals",$B1310)),2,IF(ISNUMBER(SEARCH("Triples",$B1310)),3,IF(ISNUMBER(SEARCH("Quads",$B1310)),4,1))),2),ROUND(VLOOKUP($I1310,Dashboard!$Q$15:$R$20,2,FALSE)*IF($E1310="Red",Dashboard!$R$6,IF($E1310="Gold",Dashboard!$R$7,Dashboard!$R$5))*IF(ISNUMBER(SEARCH("Duals",$B1310)),2,IF(ISNUMBER(SEARCH("Triples",$B1310)),3,IF(ISNUMBER(SEARCH("Quads",$B1310)),4,1))),2))*IF(IFERROR(VLOOKUP($B1310,Dashboard!$Q$28:$S$60,3,FALSE),0)&gt;0,VLOOKUP($B1310,Dashboard!$Q$28:$S$60,3,FALSE),1))),0))</f>
        <v>143</v>
      </c>
      <c r="K1310" s="2" t="str">
        <f>IF('Base S2'!I10="","",'Base S2'!I10)</f>
        <v/>
      </c>
      <c r="L1310" s="2">
        <f t="shared" si="260"/>
        <v>0</v>
      </c>
      <c r="M1310" s="2">
        <f t="shared" si="261"/>
        <v>0</v>
      </c>
      <c r="N1310" s="2">
        <f t="shared" si="262"/>
        <v>0</v>
      </c>
      <c r="O1310" s="2">
        <f t="shared" si="263"/>
        <v>1</v>
      </c>
      <c r="P1310" s="112">
        <f t="shared" si="264"/>
        <v>0</v>
      </c>
      <c r="Q1310" s="112">
        <f t="shared" si="265"/>
        <v>0</v>
      </c>
      <c r="R1310" s="53"/>
      <c r="S1310" s="53" t="str">
        <f t="shared" si="266"/>
        <v>Base S2|The Seven Parallel - Season 2|109|The Seven</v>
      </c>
      <c r="T1310" s="57" t="str">
        <f>IF($S1310="","",IFERROR(VLOOKUP($S1310,'Pop Estimates (Non-#d)'!$N$2:$O$500,2,FALSE),""))</f>
        <v/>
      </c>
      <c r="U1310" s="57">
        <f t="shared" si="267"/>
        <v>7</v>
      </c>
      <c r="V1310" s="53" t="str">
        <f t="shared" si="268"/>
        <v/>
      </c>
      <c r="W1310" s="53" t="str">
        <f t="shared" si="269"/>
        <v/>
      </c>
      <c r="X1310" s="53" t="str">
        <f t="shared" si="270"/>
        <v/>
      </c>
      <c r="Y1310" s="57" t="str">
        <f>IF($X1310="","",IFERROR(VLOOKUP($X1310,'Char Popularity'!$A$2:$C$500,2,FALSE),""))</f>
        <v/>
      </c>
      <c r="Z1310" s="56">
        <f>IF($X1310="",1,IFERROR(VLOOKUP($X1310,'Char Popularity'!$A$2:$C$500,3,FALSE),1))</f>
        <v>1</v>
      </c>
      <c r="AA1310" s="62">
        <f>IF($H1310&lt;&gt;"Y",0,(IF($F1310&lt;&gt;"",ROUND(Dashboard!$R$4/$F1310,1),IF(AND($I1310="Base",$E1310="Base"),Dashboard!$R$5,IF(AND($I1310="Base",$E1310="Red"),Dashboard!$R$6,IF(AND($I1310="Base",$E1310="Gold"),Dashboard!$R$7,VLOOKUP($I1310,Dashboard!$Q$16:$R$21,2,FALSE)))))*VLOOKUP($I1310,Dashboard!$Q$9:$R$13,2,FALSE)*IF(AND($I1310="Auto",$F1310="",OR($B1310="Autographs Duals",$B1310="Autographs Triples",$B1310="Autographs Quads",$B1310="Autographs Quads (Inscribed)")),IF($B1310="Autographs Duals",2,IF($B1310="Autographs Triples",3,4)),1)))</f>
        <v>142.9</v>
      </c>
      <c r="AB1310" s="62">
        <f t="shared" si="271"/>
        <v>0</v>
      </c>
      <c r="AC1310" s="62">
        <f t="shared" si="272"/>
        <v>0</v>
      </c>
    </row>
    <row r="1311" spans="1:29" ht="42.95" customHeight="1" x14ac:dyDescent="0.25">
      <c r="A1311" s="4" t="s">
        <v>19</v>
      </c>
      <c r="B1311" s="7" t="s">
        <v>82</v>
      </c>
      <c r="C1311" s="2" t="s">
        <v>1509</v>
      </c>
      <c r="D1311" s="7" t="s">
        <v>1059</v>
      </c>
      <c r="E1311" s="4" t="s">
        <v>689</v>
      </c>
      <c r="F1311" s="2">
        <v>7</v>
      </c>
      <c r="G1311" s="2" t="s">
        <v>1399</v>
      </c>
      <c r="H1311" s="2" t="s">
        <v>1400</v>
      </c>
      <c r="I1311" s="4" t="s">
        <v>60</v>
      </c>
      <c r="J1311" s="112">
        <f>IF($H1311&lt;&gt;"Y",0,ROUND(MIN(Dashboard!$R$24,IF(IFERROR(VLOOKUP($B1311,Dashboard!$Q$28:$S$60,2,FALSE),0)&gt;0,IFERROR(VLOOKUP($B1311,Dashboard!$Q$28:$S$60,2,FALSE),0),$Z1311*IF($U1311&lt;&gt;"",ROUND((Dashboard!$R$4/$U1311)*VLOOKUP($I1311,Dashboard!$Q$9:$R$13,2,FALSE)*IF(ISNUMBER(SEARCH("Duals",$B1311)),2,IF(ISNUMBER(SEARCH("Triples",$B1311)),3,IF(ISNUMBER(SEARCH("Quads",$B1311)),4,1))),2),ROUND(VLOOKUP($I1311,Dashboard!$Q$15:$R$20,2,FALSE)*IF($E1311="Red",Dashboard!$R$6,IF($E1311="Gold",Dashboard!$R$7,Dashboard!$R$5))*IF(ISNUMBER(SEARCH("Duals",$B1311)),2,IF(ISNUMBER(SEARCH("Triples",$B1311)),3,IF(ISNUMBER(SEARCH("Quads",$B1311)),4,1))),2))*IF(IFERROR(VLOOKUP($B1311,Dashboard!$Q$28:$S$60,3,FALSE),0)&gt;0,VLOOKUP($B1311,Dashboard!$Q$28:$S$60,3,FALSE),1))),0))</f>
        <v>143</v>
      </c>
      <c r="K1311" s="2" t="str">
        <f>IF('Base S2'!I11="","",'Base S2'!I11)</f>
        <v/>
      </c>
      <c r="L1311" s="2">
        <f t="shared" si="260"/>
        <v>0</v>
      </c>
      <c r="M1311" s="2">
        <f t="shared" si="261"/>
        <v>0</v>
      </c>
      <c r="N1311" s="2">
        <f t="shared" si="262"/>
        <v>0</v>
      </c>
      <c r="O1311" s="2">
        <f t="shared" si="263"/>
        <v>1</v>
      </c>
      <c r="P1311" s="112">
        <f t="shared" si="264"/>
        <v>0</v>
      </c>
      <c r="Q1311" s="112">
        <f t="shared" si="265"/>
        <v>0</v>
      </c>
      <c r="R1311" s="53"/>
      <c r="S1311" s="53" t="str">
        <f t="shared" si="266"/>
        <v>Base S2|The Seven Parallel - Season 2|110|The Seven</v>
      </c>
      <c r="T1311" s="57" t="str">
        <f>IF($S1311="","",IFERROR(VLOOKUP($S1311,'Pop Estimates (Non-#d)'!$N$2:$O$500,2,FALSE),""))</f>
        <v/>
      </c>
      <c r="U1311" s="57">
        <f t="shared" si="267"/>
        <v>7</v>
      </c>
      <c r="V1311" s="53" t="str">
        <f t="shared" si="268"/>
        <v/>
      </c>
      <c r="W1311" s="53" t="str">
        <f t="shared" si="269"/>
        <v/>
      </c>
      <c r="X1311" s="53" t="str">
        <f t="shared" si="270"/>
        <v/>
      </c>
      <c r="Y1311" s="57" t="str">
        <f>IF($X1311="","",IFERROR(VLOOKUP($X1311,'Char Popularity'!$A$2:$C$500,2,FALSE),""))</f>
        <v/>
      </c>
      <c r="Z1311" s="56">
        <f>IF($X1311="",1,IFERROR(VLOOKUP($X1311,'Char Popularity'!$A$2:$C$500,3,FALSE),1))</f>
        <v>1</v>
      </c>
      <c r="AA1311" s="62">
        <f>IF($H1311&lt;&gt;"Y",0,(IF($F1311&lt;&gt;"",ROUND(Dashboard!$R$4/$F1311,1),IF(AND($I1311="Base",$E1311="Base"),Dashboard!$R$5,IF(AND($I1311="Base",$E1311="Red"),Dashboard!$R$6,IF(AND($I1311="Base",$E1311="Gold"),Dashboard!$R$7,VLOOKUP($I1311,Dashboard!$Q$16:$R$21,2,FALSE)))))*VLOOKUP($I1311,Dashboard!$Q$9:$R$13,2,FALSE)*IF(AND($I1311="Auto",$F1311="",OR($B1311="Autographs Duals",$B1311="Autographs Triples",$B1311="Autographs Quads",$B1311="Autographs Quads (Inscribed)")),IF($B1311="Autographs Duals",2,IF($B1311="Autographs Triples",3,4)),1)))</f>
        <v>142.9</v>
      </c>
      <c r="AB1311" s="62">
        <f t="shared" si="271"/>
        <v>0</v>
      </c>
      <c r="AC1311" s="62">
        <f t="shared" si="272"/>
        <v>0</v>
      </c>
    </row>
    <row r="1312" spans="1:29" ht="42.95" customHeight="1" x14ac:dyDescent="0.25">
      <c r="A1312" s="4" t="s">
        <v>19</v>
      </c>
      <c r="B1312" s="7" t="s">
        <v>82</v>
      </c>
      <c r="C1312" s="2" t="s">
        <v>1510</v>
      </c>
      <c r="D1312" s="7" t="s">
        <v>1061</v>
      </c>
      <c r="E1312" s="4" t="s">
        <v>689</v>
      </c>
      <c r="F1312" s="2">
        <v>7</v>
      </c>
      <c r="G1312" s="2" t="s">
        <v>1399</v>
      </c>
      <c r="H1312" s="2" t="s">
        <v>1400</v>
      </c>
      <c r="I1312" s="4" t="s">
        <v>60</v>
      </c>
      <c r="J1312" s="112">
        <f>IF($H1312&lt;&gt;"Y",0,ROUND(MIN(Dashboard!$R$24,IF(IFERROR(VLOOKUP($B1312,Dashboard!$Q$28:$S$60,2,FALSE),0)&gt;0,IFERROR(VLOOKUP($B1312,Dashboard!$Q$28:$S$60,2,FALSE),0),$Z1312*IF($U1312&lt;&gt;"",ROUND((Dashboard!$R$4/$U1312)*VLOOKUP($I1312,Dashboard!$Q$9:$R$13,2,FALSE)*IF(ISNUMBER(SEARCH("Duals",$B1312)),2,IF(ISNUMBER(SEARCH("Triples",$B1312)),3,IF(ISNUMBER(SEARCH("Quads",$B1312)),4,1))),2),ROUND(VLOOKUP($I1312,Dashboard!$Q$15:$R$20,2,FALSE)*IF($E1312="Red",Dashboard!$R$6,IF($E1312="Gold",Dashboard!$R$7,Dashboard!$R$5))*IF(ISNUMBER(SEARCH("Duals",$B1312)),2,IF(ISNUMBER(SEARCH("Triples",$B1312)),3,IF(ISNUMBER(SEARCH("Quads",$B1312)),4,1))),2))*IF(IFERROR(VLOOKUP($B1312,Dashboard!$Q$28:$S$60,3,FALSE),0)&gt;0,VLOOKUP($B1312,Dashboard!$Q$28:$S$60,3,FALSE),1))),0))</f>
        <v>143</v>
      </c>
      <c r="K1312" s="2" t="str">
        <f>IF('Base S2'!I12="","",'Base S2'!I12)</f>
        <v/>
      </c>
      <c r="L1312" s="2">
        <f t="shared" si="260"/>
        <v>0</v>
      </c>
      <c r="M1312" s="2">
        <f t="shared" si="261"/>
        <v>0</v>
      </c>
      <c r="N1312" s="2">
        <f t="shared" si="262"/>
        <v>0</v>
      </c>
      <c r="O1312" s="2">
        <f t="shared" si="263"/>
        <v>1</v>
      </c>
      <c r="P1312" s="112">
        <f t="shared" si="264"/>
        <v>0</v>
      </c>
      <c r="Q1312" s="112">
        <f t="shared" si="265"/>
        <v>0</v>
      </c>
      <c r="R1312" s="53"/>
      <c r="S1312" s="53" t="str">
        <f t="shared" si="266"/>
        <v>Base S2|The Seven Parallel - Season 2|111|The Seven</v>
      </c>
      <c r="T1312" s="57" t="str">
        <f>IF($S1312="","",IFERROR(VLOOKUP($S1312,'Pop Estimates (Non-#d)'!$N$2:$O$500,2,FALSE),""))</f>
        <v/>
      </c>
      <c r="U1312" s="57">
        <f t="shared" si="267"/>
        <v>7</v>
      </c>
      <c r="V1312" s="53" t="str">
        <f t="shared" si="268"/>
        <v/>
      </c>
      <c r="W1312" s="53" t="str">
        <f t="shared" si="269"/>
        <v/>
      </c>
      <c r="X1312" s="53" t="str">
        <f t="shared" si="270"/>
        <v/>
      </c>
      <c r="Y1312" s="57" t="str">
        <f>IF($X1312="","",IFERROR(VLOOKUP($X1312,'Char Popularity'!$A$2:$C$500,2,FALSE),""))</f>
        <v/>
      </c>
      <c r="Z1312" s="56">
        <f>IF($X1312="",1,IFERROR(VLOOKUP($X1312,'Char Popularity'!$A$2:$C$500,3,FALSE),1))</f>
        <v>1</v>
      </c>
      <c r="AA1312" s="62">
        <f>IF($H1312&lt;&gt;"Y",0,(IF($F1312&lt;&gt;"",ROUND(Dashboard!$R$4/$F1312,1),IF(AND($I1312="Base",$E1312="Base"),Dashboard!$R$5,IF(AND($I1312="Base",$E1312="Red"),Dashboard!$R$6,IF(AND($I1312="Base",$E1312="Gold"),Dashboard!$R$7,VLOOKUP($I1312,Dashboard!$Q$16:$R$21,2,FALSE)))))*VLOOKUP($I1312,Dashboard!$Q$9:$R$13,2,FALSE)*IF(AND($I1312="Auto",$F1312="",OR($B1312="Autographs Duals",$B1312="Autographs Triples",$B1312="Autographs Quads",$B1312="Autographs Quads (Inscribed)")),IF($B1312="Autographs Duals",2,IF($B1312="Autographs Triples",3,4)),1)))</f>
        <v>142.9</v>
      </c>
      <c r="AB1312" s="62">
        <f t="shared" si="271"/>
        <v>0</v>
      </c>
      <c r="AC1312" s="62">
        <f t="shared" si="272"/>
        <v>0</v>
      </c>
    </row>
    <row r="1313" spans="1:29" ht="42.95" customHeight="1" x14ac:dyDescent="0.25">
      <c r="A1313" s="4" t="s">
        <v>19</v>
      </c>
      <c r="B1313" s="7" t="s">
        <v>82</v>
      </c>
      <c r="C1313" s="2" t="s">
        <v>1511</v>
      </c>
      <c r="D1313" s="7" t="s">
        <v>1063</v>
      </c>
      <c r="E1313" s="4" t="s">
        <v>689</v>
      </c>
      <c r="F1313" s="2">
        <v>7</v>
      </c>
      <c r="G1313" s="2" t="s">
        <v>1399</v>
      </c>
      <c r="H1313" s="2" t="s">
        <v>1400</v>
      </c>
      <c r="I1313" s="4" t="s">
        <v>60</v>
      </c>
      <c r="J1313" s="112">
        <f>IF($H1313&lt;&gt;"Y",0,ROUND(MIN(Dashboard!$R$24,IF(IFERROR(VLOOKUP($B1313,Dashboard!$Q$28:$S$60,2,FALSE),0)&gt;0,IFERROR(VLOOKUP($B1313,Dashboard!$Q$28:$S$60,2,FALSE),0),$Z1313*IF($U1313&lt;&gt;"",ROUND((Dashboard!$R$4/$U1313)*VLOOKUP($I1313,Dashboard!$Q$9:$R$13,2,FALSE)*IF(ISNUMBER(SEARCH("Duals",$B1313)),2,IF(ISNUMBER(SEARCH("Triples",$B1313)),3,IF(ISNUMBER(SEARCH("Quads",$B1313)),4,1))),2),ROUND(VLOOKUP($I1313,Dashboard!$Q$15:$R$20,2,FALSE)*IF($E1313="Red",Dashboard!$R$6,IF($E1313="Gold",Dashboard!$R$7,Dashboard!$R$5))*IF(ISNUMBER(SEARCH("Duals",$B1313)),2,IF(ISNUMBER(SEARCH("Triples",$B1313)),3,IF(ISNUMBER(SEARCH("Quads",$B1313)),4,1))),2))*IF(IFERROR(VLOOKUP($B1313,Dashboard!$Q$28:$S$60,3,FALSE),0)&gt;0,VLOOKUP($B1313,Dashboard!$Q$28:$S$60,3,FALSE),1))),0))</f>
        <v>143</v>
      </c>
      <c r="K1313" s="2" t="str">
        <f>IF('Base S2'!I13="","",'Base S2'!I13)</f>
        <v/>
      </c>
      <c r="L1313" s="2">
        <f t="shared" si="260"/>
        <v>0</v>
      </c>
      <c r="M1313" s="2">
        <f t="shared" si="261"/>
        <v>0</v>
      </c>
      <c r="N1313" s="2">
        <f t="shared" si="262"/>
        <v>0</v>
      </c>
      <c r="O1313" s="2">
        <f t="shared" si="263"/>
        <v>1</v>
      </c>
      <c r="P1313" s="112">
        <f t="shared" si="264"/>
        <v>0</v>
      </c>
      <c r="Q1313" s="112">
        <f t="shared" si="265"/>
        <v>0</v>
      </c>
      <c r="R1313" s="53"/>
      <c r="S1313" s="53" t="str">
        <f t="shared" si="266"/>
        <v>Base S2|The Seven Parallel - Season 2|112|The Seven</v>
      </c>
      <c r="T1313" s="57" t="str">
        <f>IF($S1313="","",IFERROR(VLOOKUP($S1313,'Pop Estimates (Non-#d)'!$N$2:$O$500,2,FALSE),""))</f>
        <v/>
      </c>
      <c r="U1313" s="57">
        <f t="shared" si="267"/>
        <v>7</v>
      </c>
      <c r="V1313" s="53" t="str">
        <f t="shared" si="268"/>
        <v/>
      </c>
      <c r="W1313" s="53" t="str">
        <f t="shared" si="269"/>
        <v/>
      </c>
      <c r="X1313" s="53" t="str">
        <f t="shared" si="270"/>
        <v/>
      </c>
      <c r="Y1313" s="57" t="str">
        <f>IF($X1313="","",IFERROR(VLOOKUP($X1313,'Char Popularity'!$A$2:$C$500,2,FALSE),""))</f>
        <v/>
      </c>
      <c r="Z1313" s="56">
        <f>IF($X1313="",1,IFERROR(VLOOKUP($X1313,'Char Popularity'!$A$2:$C$500,3,FALSE),1))</f>
        <v>1</v>
      </c>
      <c r="AA1313" s="62">
        <f>IF($H1313&lt;&gt;"Y",0,(IF($F1313&lt;&gt;"",ROUND(Dashboard!$R$4/$F1313,1),IF(AND($I1313="Base",$E1313="Base"),Dashboard!$R$5,IF(AND($I1313="Base",$E1313="Red"),Dashboard!$R$6,IF(AND($I1313="Base",$E1313="Gold"),Dashboard!$R$7,VLOOKUP($I1313,Dashboard!$Q$16:$R$21,2,FALSE)))))*VLOOKUP($I1313,Dashboard!$Q$9:$R$13,2,FALSE)*IF(AND($I1313="Auto",$F1313="",OR($B1313="Autographs Duals",$B1313="Autographs Triples",$B1313="Autographs Quads",$B1313="Autographs Quads (Inscribed)")),IF($B1313="Autographs Duals",2,IF($B1313="Autographs Triples",3,4)),1)))</f>
        <v>142.9</v>
      </c>
      <c r="AB1313" s="62">
        <f t="shared" si="271"/>
        <v>0</v>
      </c>
      <c r="AC1313" s="62">
        <f t="shared" si="272"/>
        <v>0</v>
      </c>
    </row>
    <row r="1314" spans="1:29" ht="42.95" customHeight="1" x14ac:dyDescent="0.25">
      <c r="A1314" s="4" t="s">
        <v>19</v>
      </c>
      <c r="B1314" s="7" t="s">
        <v>82</v>
      </c>
      <c r="C1314" s="2" t="s">
        <v>1512</v>
      </c>
      <c r="D1314" s="7" t="s">
        <v>1065</v>
      </c>
      <c r="E1314" s="4" t="s">
        <v>689</v>
      </c>
      <c r="F1314" s="2">
        <v>7</v>
      </c>
      <c r="G1314" s="2" t="s">
        <v>1399</v>
      </c>
      <c r="H1314" s="2" t="s">
        <v>1400</v>
      </c>
      <c r="I1314" s="4" t="s">
        <v>60</v>
      </c>
      <c r="J1314" s="112">
        <f>IF($H1314&lt;&gt;"Y",0,ROUND(MIN(Dashboard!$R$24,IF(IFERROR(VLOOKUP($B1314,Dashboard!$Q$28:$S$60,2,FALSE),0)&gt;0,IFERROR(VLOOKUP($B1314,Dashboard!$Q$28:$S$60,2,FALSE),0),$Z1314*IF($U1314&lt;&gt;"",ROUND((Dashboard!$R$4/$U1314)*VLOOKUP($I1314,Dashboard!$Q$9:$R$13,2,FALSE)*IF(ISNUMBER(SEARCH("Duals",$B1314)),2,IF(ISNUMBER(SEARCH("Triples",$B1314)),3,IF(ISNUMBER(SEARCH("Quads",$B1314)),4,1))),2),ROUND(VLOOKUP($I1314,Dashboard!$Q$15:$R$20,2,FALSE)*IF($E1314="Red",Dashboard!$R$6,IF($E1314="Gold",Dashboard!$R$7,Dashboard!$R$5))*IF(ISNUMBER(SEARCH("Duals",$B1314)),2,IF(ISNUMBER(SEARCH("Triples",$B1314)),3,IF(ISNUMBER(SEARCH("Quads",$B1314)),4,1))),2))*IF(IFERROR(VLOOKUP($B1314,Dashboard!$Q$28:$S$60,3,FALSE),0)&gt;0,VLOOKUP($B1314,Dashboard!$Q$28:$S$60,3,FALSE),1))),0))</f>
        <v>143</v>
      </c>
      <c r="K1314" s="2" t="str">
        <f>IF('Base S2'!I14="","",'Base S2'!I14)</f>
        <v/>
      </c>
      <c r="L1314" s="2">
        <f t="shared" si="260"/>
        <v>0</v>
      </c>
      <c r="M1314" s="2">
        <f t="shared" si="261"/>
        <v>0</v>
      </c>
      <c r="N1314" s="2">
        <f t="shared" si="262"/>
        <v>0</v>
      </c>
      <c r="O1314" s="2">
        <f t="shared" si="263"/>
        <v>1</v>
      </c>
      <c r="P1314" s="112">
        <f t="shared" si="264"/>
        <v>0</v>
      </c>
      <c r="Q1314" s="112">
        <f t="shared" si="265"/>
        <v>0</v>
      </c>
      <c r="R1314" s="53"/>
      <c r="S1314" s="53" t="str">
        <f t="shared" si="266"/>
        <v>Base S2|The Seven Parallel - Season 2|113|The Seven</v>
      </c>
      <c r="T1314" s="57" t="str">
        <f>IF($S1314="","",IFERROR(VLOOKUP($S1314,'Pop Estimates (Non-#d)'!$N$2:$O$500,2,FALSE),""))</f>
        <v/>
      </c>
      <c r="U1314" s="57">
        <f t="shared" si="267"/>
        <v>7</v>
      </c>
      <c r="V1314" s="53" t="str">
        <f t="shared" si="268"/>
        <v/>
      </c>
      <c r="W1314" s="53" t="str">
        <f t="shared" si="269"/>
        <v/>
      </c>
      <c r="X1314" s="53" t="str">
        <f t="shared" si="270"/>
        <v/>
      </c>
      <c r="Y1314" s="57" t="str">
        <f>IF($X1314="","",IFERROR(VLOOKUP($X1314,'Char Popularity'!$A$2:$C$500,2,FALSE),""))</f>
        <v/>
      </c>
      <c r="Z1314" s="56">
        <f>IF($X1314="",1,IFERROR(VLOOKUP($X1314,'Char Popularity'!$A$2:$C$500,3,FALSE),1))</f>
        <v>1</v>
      </c>
      <c r="AA1314" s="62">
        <f>IF($H1314&lt;&gt;"Y",0,(IF($F1314&lt;&gt;"",ROUND(Dashboard!$R$4/$F1314,1),IF(AND($I1314="Base",$E1314="Base"),Dashboard!$R$5,IF(AND($I1314="Base",$E1314="Red"),Dashboard!$R$6,IF(AND($I1314="Base",$E1314="Gold"),Dashboard!$R$7,VLOOKUP($I1314,Dashboard!$Q$16:$R$21,2,FALSE)))))*VLOOKUP($I1314,Dashboard!$Q$9:$R$13,2,FALSE)*IF(AND($I1314="Auto",$F1314="",OR($B1314="Autographs Duals",$B1314="Autographs Triples",$B1314="Autographs Quads",$B1314="Autographs Quads (Inscribed)")),IF($B1314="Autographs Duals",2,IF($B1314="Autographs Triples",3,4)),1)))</f>
        <v>142.9</v>
      </c>
      <c r="AB1314" s="62">
        <f t="shared" si="271"/>
        <v>0</v>
      </c>
      <c r="AC1314" s="62">
        <f t="shared" si="272"/>
        <v>0</v>
      </c>
    </row>
    <row r="1315" spans="1:29" ht="42.95" customHeight="1" x14ac:dyDescent="0.25">
      <c r="A1315" s="4" t="s">
        <v>19</v>
      </c>
      <c r="B1315" s="7" t="s">
        <v>82</v>
      </c>
      <c r="C1315" s="2" t="s">
        <v>1513</v>
      </c>
      <c r="D1315" s="7" t="s">
        <v>1067</v>
      </c>
      <c r="E1315" s="4" t="s">
        <v>689</v>
      </c>
      <c r="F1315" s="2">
        <v>7</v>
      </c>
      <c r="G1315" s="2" t="s">
        <v>1399</v>
      </c>
      <c r="H1315" s="2" t="s">
        <v>1400</v>
      </c>
      <c r="I1315" s="4" t="s">
        <v>60</v>
      </c>
      <c r="J1315" s="112">
        <f>IF($H1315&lt;&gt;"Y",0,ROUND(MIN(Dashboard!$R$24,IF(IFERROR(VLOOKUP($B1315,Dashboard!$Q$28:$S$60,2,FALSE),0)&gt;0,IFERROR(VLOOKUP($B1315,Dashboard!$Q$28:$S$60,2,FALSE),0),$Z1315*IF($U1315&lt;&gt;"",ROUND((Dashboard!$R$4/$U1315)*VLOOKUP($I1315,Dashboard!$Q$9:$R$13,2,FALSE)*IF(ISNUMBER(SEARCH("Duals",$B1315)),2,IF(ISNUMBER(SEARCH("Triples",$B1315)),3,IF(ISNUMBER(SEARCH("Quads",$B1315)),4,1))),2),ROUND(VLOOKUP($I1315,Dashboard!$Q$15:$R$20,2,FALSE)*IF($E1315="Red",Dashboard!$R$6,IF($E1315="Gold",Dashboard!$R$7,Dashboard!$R$5))*IF(ISNUMBER(SEARCH("Duals",$B1315)),2,IF(ISNUMBER(SEARCH("Triples",$B1315)),3,IF(ISNUMBER(SEARCH("Quads",$B1315)),4,1))),2))*IF(IFERROR(VLOOKUP($B1315,Dashboard!$Q$28:$S$60,3,FALSE),0)&gt;0,VLOOKUP($B1315,Dashboard!$Q$28:$S$60,3,FALSE),1))),0))</f>
        <v>143</v>
      </c>
      <c r="K1315" s="2" t="str">
        <f>IF('Base S2'!I15="","",'Base S2'!I15)</f>
        <v/>
      </c>
      <c r="L1315" s="2">
        <f t="shared" si="260"/>
        <v>0</v>
      </c>
      <c r="M1315" s="2">
        <f t="shared" si="261"/>
        <v>0</v>
      </c>
      <c r="N1315" s="2">
        <f t="shared" si="262"/>
        <v>0</v>
      </c>
      <c r="O1315" s="2">
        <f t="shared" si="263"/>
        <v>1</v>
      </c>
      <c r="P1315" s="112">
        <f t="shared" si="264"/>
        <v>0</v>
      </c>
      <c r="Q1315" s="112">
        <f t="shared" si="265"/>
        <v>0</v>
      </c>
      <c r="R1315" s="53"/>
      <c r="S1315" s="53" t="str">
        <f t="shared" si="266"/>
        <v>Base S2|The Seven Parallel - Season 2|114|The Seven</v>
      </c>
      <c r="T1315" s="57" t="str">
        <f>IF($S1315="","",IFERROR(VLOOKUP($S1315,'Pop Estimates (Non-#d)'!$N$2:$O$500,2,FALSE),""))</f>
        <v/>
      </c>
      <c r="U1315" s="57">
        <f t="shared" si="267"/>
        <v>7</v>
      </c>
      <c r="V1315" s="53" t="str">
        <f t="shared" si="268"/>
        <v/>
      </c>
      <c r="W1315" s="53" t="str">
        <f t="shared" si="269"/>
        <v/>
      </c>
      <c r="X1315" s="53" t="str">
        <f t="shared" si="270"/>
        <v/>
      </c>
      <c r="Y1315" s="57" t="str">
        <f>IF($X1315="","",IFERROR(VLOOKUP($X1315,'Char Popularity'!$A$2:$C$500,2,FALSE),""))</f>
        <v/>
      </c>
      <c r="Z1315" s="56">
        <f>IF($X1315="",1,IFERROR(VLOOKUP($X1315,'Char Popularity'!$A$2:$C$500,3,FALSE),1))</f>
        <v>1</v>
      </c>
      <c r="AA1315" s="62">
        <f>IF($H1315&lt;&gt;"Y",0,(IF($F1315&lt;&gt;"",ROUND(Dashboard!$R$4/$F1315,1),IF(AND($I1315="Base",$E1315="Base"),Dashboard!$R$5,IF(AND($I1315="Base",$E1315="Red"),Dashboard!$R$6,IF(AND($I1315="Base",$E1315="Gold"),Dashboard!$R$7,VLOOKUP($I1315,Dashboard!$Q$16:$R$21,2,FALSE)))))*VLOOKUP($I1315,Dashboard!$Q$9:$R$13,2,FALSE)*IF(AND($I1315="Auto",$F1315="",OR($B1315="Autographs Duals",$B1315="Autographs Triples",$B1315="Autographs Quads",$B1315="Autographs Quads (Inscribed)")),IF($B1315="Autographs Duals",2,IF($B1315="Autographs Triples",3,4)),1)))</f>
        <v>142.9</v>
      </c>
      <c r="AB1315" s="62">
        <f t="shared" si="271"/>
        <v>0</v>
      </c>
      <c r="AC1315" s="62">
        <f t="shared" si="272"/>
        <v>0</v>
      </c>
    </row>
    <row r="1316" spans="1:29" ht="42.95" customHeight="1" x14ac:dyDescent="0.25">
      <c r="A1316" s="4" t="s">
        <v>19</v>
      </c>
      <c r="B1316" s="7" t="s">
        <v>82</v>
      </c>
      <c r="C1316" s="2" t="s">
        <v>1514</v>
      </c>
      <c r="D1316" s="7" t="s">
        <v>1069</v>
      </c>
      <c r="E1316" s="4" t="s">
        <v>689</v>
      </c>
      <c r="F1316" s="2">
        <v>7</v>
      </c>
      <c r="G1316" s="2" t="s">
        <v>1399</v>
      </c>
      <c r="H1316" s="2" t="s">
        <v>1400</v>
      </c>
      <c r="I1316" s="4" t="s">
        <v>60</v>
      </c>
      <c r="J1316" s="112">
        <f>IF($H1316&lt;&gt;"Y",0,ROUND(MIN(Dashboard!$R$24,IF(IFERROR(VLOOKUP($B1316,Dashboard!$Q$28:$S$60,2,FALSE),0)&gt;0,IFERROR(VLOOKUP($B1316,Dashboard!$Q$28:$S$60,2,FALSE),0),$Z1316*IF($U1316&lt;&gt;"",ROUND((Dashboard!$R$4/$U1316)*VLOOKUP($I1316,Dashboard!$Q$9:$R$13,2,FALSE)*IF(ISNUMBER(SEARCH("Duals",$B1316)),2,IF(ISNUMBER(SEARCH("Triples",$B1316)),3,IF(ISNUMBER(SEARCH("Quads",$B1316)),4,1))),2),ROUND(VLOOKUP($I1316,Dashboard!$Q$15:$R$20,2,FALSE)*IF($E1316="Red",Dashboard!$R$6,IF($E1316="Gold",Dashboard!$R$7,Dashboard!$R$5))*IF(ISNUMBER(SEARCH("Duals",$B1316)),2,IF(ISNUMBER(SEARCH("Triples",$B1316)),3,IF(ISNUMBER(SEARCH("Quads",$B1316)),4,1))),2))*IF(IFERROR(VLOOKUP($B1316,Dashboard!$Q$28:$S$60,3,FALSE),0)&gt;0,VLOOKUP($B1316,Dashboard!$Q$28:$S$60,3,FALSE),1))),0))</f>
        <v>143</v>
      </c>
      <c r="K1316" s="2" t="str">
        <f>IF('Base S2'!I16="","",'Base S2'!I16)</f>
        <v/>
      </c>
      <c r="L1316" s="2">
        <f t="shared" si="260"/>
        <v>0</v>
      </c>
      <c r="M1316" s="2">
        <f t="shared" si="261"/>
        <v>0</v>
      </c>
      <c r="N1316" s="2">
        <f t="shared" si="262"/>
        <v>0</v>
      </c>
      <c r="O1316" s="2">
        <f t="shared" si="263"/>
        <v>1</v>
      </c>
      <c r="P1316" s="112">
        <f t="shared" si="264"/>
        <v>0</v>
      </c>
      <c r="Q1316" s="112">
        <f t="shared" si="265"/>
        <v>0</v>
      </c>
      <c r="R1316" s="53"/>
      <c r="S1316" s="53" t="str">
        <f t="shared" si="266"/>
        <v>Base S2|The Seven Parallel - Season 2|115|The Seven</v>
      </c>
      <c r="T1316" s="57" t="str">
        <f>IF($S1316="","",IFERROR(VLOOKUP($S1316,'Pop Estimates (Non-#d)'!$N$2:$O$500,2,FALSE),""))</f>
        <v/>
      </c>
      <c r="U1316" s="57">
        <f t="shared" si="267"/>
        <v>7</v>
      </c>
      <c r="V1316" s="53" t="str">
        <f t="shared" si="268"/>
        <v/>
      </c>
      <c r="W1316" s="53" t="str">
        <f t="shared" si="269"/>
        <v/>
      </c>
      <c r="X1316" s="53" t="str">
        <f t="shared" si="270"/>
        <v/>
      </c>
      <c r="Y1316" s="57" t="str">
        <f>IF($X1316="","",IFERROR(VLOOKUP($X1316,'Char Popularity'!$A$2:$C$500,2,FALSE),""))</f>
        <v/>
      </c>
      <c r="Z1316" s="56">
        <f>IF($X1316="",1,IFERROR(VLOOKUP($X1316,'Char Popularity'!$A$2:$C$500,3,FALSE),1))</f>
        <v>1</v>
      </c>
      <c r="AA1316" s="62">
        <f>IF($H1316&lt;&gt;"Y",0,(IF($F1316&lt;&gt;"",ROUND(Dashboard!$R$4/$F1316,1),IF(AND($I1316="Base",$E1316="Base"),Dashboard!$R$5,IF(AND($I1316="Base",$E1316="Red"),Dashboard!$R$6,IF(AND($I1316="Base",$E1316="Gold"),Dashboard!$R$7,VLOOKUP($I1316,Dashboard!$Q$16:$R$21,2,FALSE)))))*VLOOKUP($I1316,Dashboard!$Q$9:$R$13,2,FALSE)*IF(AND($I1316="Auto",$F1316="",OR($B1316="Autographs Duals",$B1316="Autographs Triples",$B1316="Autographs Quads",$B1316="Autographs Quads (Inscribed)")),IF($B1316="Autographs Duals",2,IF($B1316="Autographs Triples",3,4)),1)))</f>
        <v>142.9</v>
      </c>
      <c r="AB1316" s="62">
        <f t="shared" si="271"/>
        <v>0</v>
      </c>
      <c r="AC1316" s="62">
        <f t="shared" si="272"/>
        <v>0</v>
      </c>
    </row>
    <row r="1317" spans="1:29" ht="42.95" customHeight="1" x14ac:dyDescent="0.25">
      <c r="A1317" s="4" t="s">
        <v>19</v>
      </c>
      <c r="B1317" s="7" t="s">
        <v>82</v>
      </c>
      <c r="C1317" s="2" t="s">
        <v>1515</v>
      </c>
      <c r="D1317" s="7" t="s">
        <v>1070</v>
      </c>
      <c r="E1317" s="4" t="s">
        <v>689</v>
      </c>
      <c r="F1317" s="2">
        <v>7</v>
      </c>
      <c r="G1317" s="2" t="s">
        <v>1399</v>
      </c>
      <c r="H1317" s="2" t="s">
        <v>1400</v>
      </c>
      <c r="I1317" s="4" t="s">
        <v>60</v>
      </c>
      <c r="J1317" s="112">
        <f>IF($H1317&lt;&gt;"Y",0,ROUND(MIN(Dashboard!$R$24,IF(IFERROR(VLOOKUP($B1317,Dashboard!$Q$28:$S$60,2,FALSE),0)&gt;0,IFERROR(VLOOKUP($B1317,Dashboard!$Q$28:$S$60,2,FALSE),0),$Z1317*IF($U1317&lt;&gt;"",ROUND((Dashboard!$R$4/$U1317)*VLOOKUP($I1317,Dashboard!$Q$9:$R$13,2,FALSE)*IF(ISNUMBER(SEARCH("Duals",$B1317)),2,IF(ISNUMBER(SEARCH("Triples",$B1317)),3,IF(ISNUMBER(SEARCH("Quads",$B1317)),4,1))),2),ROUND(VLOOKUP($I1317,Dashboard!$Q$15:$R$20,2,FALSE)*IF($E1317="Red",Dashboard!$R$6,IF($E1317="Gold",Dashboard!$R$7,Dashboard!$R$5))*IF(ISNUMBER(SEARCH("Duals",$B1317)),2,IF(ISNUMBER(SEARCH("Triples",$B1317)),3,IF(ISNUMBER(SEARCH("Quads",$B1317)),4,1))),2))*IF(IFERROR(VLOOKUP($B1317,Dashboard!$Q$28:$S$60,3,FALSE),0)&gt;0,VLOOKUP($B1317,Dashboard!$Q$28:$S$60,3,FALSE),1))),0))</f>
        <v>143</v>
      </c>
      <c r="K1317" s="2" t="str">
        <f>IF('Base S2'!I17="","",'Base S2'!I17)</f>
        <v>C 1/7</v>
      </c>
      <c r="L1317" s="2">
        <f t="shared" si="260"/>
        <v>1</v>
      </c>
      <c r="M1317" s="2">
        <f t="shared" si="261"/>
        <v>0</v>
      </c>
      <c r="N1317" s="2">
        <f t="shared" si="262"/>
        <v>1</v>
      </c>
      <c r="O1317" s="2">
        <f t="shared" si="263"/>
        <v>0</v>
      </c>
      <c r="P1317" s="112">
        <f t="shared" si="264"/>
        <v>143</v>
      </c>
      <c r="Q1317" s="112">
        <f t="shared" si="265"/>
        <v>0</v>
      </c>
      <c r="R1317" s="53"/>
      <c r="S1317" s="53" t="str">
        <f t="shared" si="266"/>
        <v>Base S2|The Seven Parallel - Season 2|116|The Seven</v>
      </c>
      <c r="T1317" s="57" t="str">
        <f>IF($S1317="","",IFERROR(VLOOKUP($S1317,'Pop Estimates (Non-#d)'!$N$2:$O$500,2,FALSE),""))</f>
        <v/>
      </c>
      <c r="U1317" s="57">
        <f t="shared" si="267"/>
        <v>7</v>
      </c>
      <c r="V1317" s="53" t="str">
        <f t="shared" si="268"/>
        <v/>
      </c>
      <c r="W1317" s="53" t="str">
        <f t="shared" si="269"/>
        <v/>
      </c>
      <c r="X1317" s="53" t="str">
        <f t="shared" si="270"/>
        <v/>
      </c>
      <c r="Y1317" s="57" t="str">
        <f>IF($X1317="","",IFERROR(VLOOKUP($X1317,'Char Popularity'!$A$2:$C$500,2,FALSE),""))</f>
        <v/>
      </c>
      <c r="Z1317" s="56">
        <f>IF($X1317="",1,IFERROR(VLOOKUP($X1317,'Char Popularity'!$A$2:$C$500,3,FALSE),1))</f>
        <v>1</v>
      </c>
      <c r="AA1317" s="62">
        <f>IF($H1317&lt;&gt;"Y",0,(IF($F1317&lt;&gt;"",ROUND(Dashboard!$R$4/$F1317,1),IF(AND($I1317="Base",$E1317="Base"),Dashboard!$R$5,IF(AND($I1317="Base",$E1317="Red"),Dashboard!$R$6,IF(AND($I1317="Base",$E1317="Gold"),Dashboard!$R$7,VLOOKUP($I1317,Dashboard!$Q$16:$R$21,2,FALSE)))))*VLOOKUP($I1317,Dashboard!$Q$9:$R$13,2,FALSE)*IF(AND($I1317="Auto",$F1317="",OR($B1317="Autographs Duals",$B1317="Autographs Triples",$B1317="Autographs Quads",$B1317="Autographs Quads (Inscribed)")),IF($B1317="Autographs Duals",2,IF($B1317="Autographs Triples",3,4)),1)))</f>
        <v>142.9</v>
      </c>
      <c r="AB1317" s="62">
        <f t="shared" si="271"/>
        <v>142.9</v>
      </c>
      <c r="AC1317" s="62">
        <f t="shared" si="272"/>
        <v>0</v>
      </c>
    </row>
    <row r="1318" spans="1:29" ht="42.95" customHeight="1" x14ac:dyDescent="0.25">
      <c r="A1318" s="4" t="s">
        <v>19</v>
      </c>
      <c r="B1318" s="7" t="s">
        <v>82</v>
      </c>
      <c r="C1318" s="2" t="s">
        <v>1516</v>
      </c>
      <c r="D1318" s="7" t="s">
        <v>695</v>
      </c>
      <c r="E1318" s="4" t="s">
        <v>689</v>
      </c>
      <c r="F1318" s="2">
        <v>7</v>
      </c>
      <c r="G1318" s="2" t="s">
        <v>1399</v>
      </c>
      <c r="H1318" s="2" t="s">
        <v>1400</v>
      </c>
      <c r="I1318" s="4" t="s">
        <v>60</v>
      </c>
      <c r="J1318" s="112">
        <f>IF($H1318&lt;&gt;"Y",0,ROUND(MIN(Dashboard!$R$24,IF(IFERROR(VLOOKUP($B1318,Dashboard!$Q$28:$S$60,2,FALSE),0)&gt;0,IFERROR(VLOOKUP($B1318,Dashboard!$Q$28:$S$60,2,FALSE),0),$Z1318*IF($U1318&lt;&gt;"",ROUND((Dashboard!$R$4/$U1318)*VLOOKUP($I1318,Dashboard!$Q$9:$R$13,2,FALSE)*IF(ISNUMBER(SEARCH("Duals",$B1318)),2,IF(ISNUMBER(SEARCH("Triples",$B1318)),3,IF(ISNUMBER(SEARCH("Quads",$B1318)),4,1))),2),ROUND(VLOOKUP($I1318,Dashboard!$Q$15:$R$20,2,FALSE)*IF($E1318="Red",Dashboard!$R$6,IF($E1318="Gold",Dashboard!$R$7,Dashboard!$R$5))*IF(ISNUMBER(SEARCH("Duals",$B1318)),2,IF(ISNUMBER(SEARCH("Triples",$B1318)),3,IF(ISNUMBER(SEARCH("Quads",$B1318)),4,1))),2))*IF(IFERROR(VLOOKUP($B1318,Dashboard!$Q$28:$S$60,3,FALSE),0)&gt;0,VLOOKUP($B1318,Dashboard!$Q$28:$S$60,3,FALSE),1))),0))</f>
        <v>143</v>
      </c>
      <c r="K1318" s="2" t="str">
        <f>IF('Base S2'!I18="","",'Base S2'!I18)</f>
        <v>C 1/7</v>
      </c>
      <c r="L1318" s="2">
        <f t="shared" si="260"/>
        <v>1</v>
      </c>
      <c r="M1318" s="2">
        <f t="shared" si="261"/>
        <v>0</v>
      </c>
      <c r="N1318" s="2">
        <f t="shared" si="262"/>
        <v>1</v>
      </c>
      <c r="O1318" s="2">
        <f t="shared" si="263"/>
        <v>0</v>
      </c>
      <c r="P1318" s="112">
        <f t="shared" si="264"/>
        <v>143</v>
      </c>
      <c r="Q1318" s="112">
        <f t="shared" si="265"/>
        <v>0</v>
      </c>
      <c r="R1318" s="53"/>
      <c r="S1318" s="53" t="str">
        <f t="shared" si="266"/>
        <v>Base S2|The Seven Parallel - Season 2|117|The Seven</v>
      </c>
      <c r="T1318" s="57" t="str">
        <f>IF($S1318="","",IFERROR(VLOOKUP($S1318,'Pop Estimates (Non-#d)'!$N$2:$O$500,2,FALSE),""))</f>
        <v/>
      </c>
      <c r="U1318" s="57">
        <f t="shared" si="267"/>
        <v>7</v>
      </c>
      <c r="V1318" s="53" t="str">
        <f t="shared" si="268"/>
        <v/>
      </c>
      <c r="W1318" s="53" t="str">
        <f t="shared" si="269"/>
        <v/>
      </c>
      <c r="X1318" s="53" t="str">
        <f t="shared" si="270"/>
        <v/>
      </c>
      <c r="Y1318" s="57" t="str">
        <f>IF($X1318="","",IFERROR(VLOOKUP($X1318,'Char Popularity'!$A$2:$C$500,2,FALSE),""))</f>
        <v/>
      </c>
      <c r="Z1318" s="56">
        <f>IF($X1318="",1,IFERROR(VLOOKUP($X1318,'Char Popularity'!$A$2:$C$500,3,FALSE),1))</f>
        <v>1</v>
      </c>
      <c r="AA1318" s="62">
        <f>IF($H1318&lt;&gt;"Y",0,(IF($F1318&lt;&gt;"",ROUND(Dashboard!$R$4/$F1318,1),IF(AND($I1318="Base",$E1318="Base"),Dashboard!$R$5,IF(AND($I1318="Base",$E1318="Red"),Dashboard!$R$6,IF(AND($I1318="Base",$E1318="Gold"),Dashboard!$R$7,VLOOKUP($I1318,Dashboard!$Q$16:$R$21,2,FALSE)))))*VLOOKUP($I1318,Dashboard!$Q$9:$R$13,2,FALSE)*IF(AND($I1318="Auto",$F1318="",OR($B1318="Autographs Duals",$B1318="Autographs Triples",$B1318="Autographs Quads",$B1318="Autographs Quads (Inscribed)")),IF($B1318="Autographs Duals",2,IF($B1318="Autographs Triples",3,4)),1)))</f>
        <v>142.9</v>
      </c>
      <c r="AB1318" s="62">
        <f t="shared" si="271"/>
        <v>142.9</v>
      </c>
      <c r="AC1318" s="62">
        <f t="shared" si="272"/>
        <v>0</v>
      </c>
    </row>
    <row r="1319" spans="1:29" ht="42.95" customHeight="1" x14ac:dyDescent="0.25">
      <c r="A1319" s="4" t="s">
        <v>19</v>
      </c>
      <c r="B1319" s="7" t="s">
        <v>82</v>
      </c>
      <c r="C1319" s="2" t="s">
        <v>1517</v>
      </c>
      <c r="D1319" s="7" t="s">
        <v>1072</v>
      </c>
      <c r="E1319" s="4" t="s">
        <v>689</v>
      </c>
      <c r="F1319" s="2">
        <v>7</v>
      </c>
      <c r="G1319" s="2" t="s">
        <v>1399</v>
      </c>
      <c r="H1319" s="2" t="s">
        <v>1400</v>
      </c>
      <c r="I1319" s="4" t="s">
        <v>60</v>
      </c>
      <c r="J1319" s="112">
        <f>IF($H1319&lt;&gt;"Y",0,ROUND(MIN(Dashboard!$R$24,IF(IFERROR(VLOOKUP($B1319,Dashboard!$Q$28:$S$60,2,FALSE),0)&gt;0,IFERROR(VLOOKUP($B1319,Dashboard!$Q$28:$S$60,2,FALSE),0),$Z1319*IF($U1319&lt;&gt;"",ROUND((Dashboard!$R$4/$U1319)*VLOOKUP($I1319,Dashboard!$Q$9:$R$13,2,FALSE)*IF(ISNUMBER(SEARCH("Duals",$B1319)),2,IF(ISNUMBER(SEARCH("Triples",$B1319)),3,IF(ISNUMBER(SEARCH("Quads",$B1319)),4,1))),2),ROUND(VLOOKUP($I1319,Dashboard!$Q$15:$R$20,2,FALSE)*IF($E1319="Red",Dashboard!$R$6,IF($E1319="Gold",Dashboard!$R$7,Dashboard!$R$5))*IF(ISNUMBER(SEARCH("Duals",$B1319)),2,IF(ISNUMBER(SEARCH("Triples",$B1319)),3,IF(ISNUMBER(SEARCH("Quads",$B1319)),4,1))),2))*IF(IFERROR(VLOOKUP($B1319,Dashboard!$Q$28:$S$60,3,FALSE),0)&gt;0,VLOOKUP($B1319,Dashboard!$Q$28:$S$60,3,FALSE),1))),0))</f>
        <v>143</v>
      </c>
      <c r="K1319" s="2" t="str">
        <f>IF('Base S2'!I19="","",'Base S2'!I19)</f>
        <v/>
      </c>
      <c r="L1319" s="2">
        <f t="shared" si="260"/>
        <v>0</v>
      </c>
      <c r="M1319" s="2">
        <f t="shared" si="261"/>
        <v>0</v>
      </c>
      <c r="N1319" s="2">
        <f t="shared" si="262"/>
        <v>0</v>
      </c>
      <c r="O1319" s="2">
        <f t="shared" si="263"/>
        <v>1</v>
      </c>
      <c r="P1319" s="112">
        <f t="shared" si="264"/>
        <v>0</v>
      </c>
      <c r="Q1319" s="112">
        <f t="shared" si="265"/>
        <v>0</v>
      </c>
      <c r="R1319" s="53"/>
      <c r="S1319" s="53" t="str">
        <f t="shared" si="266"/>
        <v>Base S2|The Seven Parallel - Season 2|118|The Seven</v>
      </c>
      <c r="T1319" s="57" t="str">
        <f>IF($S1319="","",IFERROR(VLOOKUP($S1319,'Pop Estimates (Non-#d)'!$N$2:$O$500,2,FALSE),""))</f>
        <v/>
      </c>
      <c r="U1319" s="57">
        <f t="shared" si="267"/>
        <v>7</v>
      </c>
      <c r="V1319" s="53" t="str">
        <f t="shared" si="268"/>
        <v/>
      </c>
      <c r="W1319" s="53" t="str">
        <f t="shared" si="269"/>
        <v/>
      </c>
      <c r="X1319" s="53" t="str">
        <f t="shared" si="270"/>
        <v/>
      </c>
      <c r="Y1319" s="57" t="str">
        <f>IF($X1319="","",IFERROR(VLOOKUP($X1319,'Char Popularity'!$A$2:$C$500,2,FALSE),""))</f>
        <v/>
      </c>
      <c r="Z1319" s="56">
        <f>IF($X1319="",1,IFERROR(VLOOKUP($X1319,'Char Popularity'!$A$2:$C$500,3,FALSE),1))</f>
        <v>1</v>
      </c>
      <c r="AA1319" s="62">
        <f>IF($H1319&lt;&gt;"Y",0,(IF($F1319&lt;&gt;"",ROUND(Dashboard!$R$4/$F1319,1),IF(AND($I1319="Base",$E1319="Base"),Dashboard!$R$5,IF(AND($I1319="Base",$E1319="Red"),Dashboard!$R$6,IF(AND($I1319="Base",$E1319="Gold"),Dashboard!$R$7,VLOOKUP($I1319,Dashboard!$Q$16:$R$21,2,FALSE)))))*VLOOKUP($I1319,Dashboard!$Q$9:$R$13,2,FALSE)*IF(AND($I1319="Auto",$F1319="",OR($B1319="Autographs Duals",$B1319="Autographs Triples",$B1319="Autographs Quads",$B1319="Autographs Quads (Inscribed)")),IF($B1319="Autographs Duals",2,IF($B1319="Autographs Triples",3,4)),1)))</f>
        <v>142.9</v>
      </c>
      <c r="AB1319" s="62">
        <f t="shared" si="271"/>
        <v>0</v>
      </c>
      <c r="AC1319" s="62">
        <f t="shared" si="272"/>
        <v>0</v>
      </c>
    </row>
    <row r="1320" spans="1:29" ht="42.95" customHeight="1" x14ac:dyDescent="0.25">
      <c r="A1320" s="4" t="s">
        <v>19</v>
      </c>
      <c r="B1320" s="7" t="s">
        <v>82</v>
      </c>
      <c r="C1320" s="2" t="s">
        <v>1518</v>
      </c>
      <c r="D1320" s="7" t="s">
        <v>1073</v>
      </c>
      <c r="E1320" s="4" t="s">
        <v>689</v>
      </c>
      <c r="F1320" s="2">
        <v>7</v>
      </c>
      <c r="G1320" s="2" t="s">
        <v>1399</v>
      </c>
      <c r="H1320" s="2" t="s">
        <v>1400</v>
      </c>
      <c r="I1320" s="4" t="s">
        <v>60</v>
      </c>
      <c r="J1320" s="112">
        <f>IF($H1320&lt;&gt;"Y",0,ROUND(MIN(Dashboard!$R$24,IF(IFERROR(VLOOKUP($B1320,Dashboard!$Q$28:$S$60,2,FALSE),0)&gt;0,IFERROR(VLOOKUP($B1320,Dashboard!$Q$28:$S$60,2,FALSE),0),$Z1320*IF($U1320&lt;&gt;"",ROUND((Dashboard!$R$4/$U1320)*VLOOKUP($I1320,Dashboard!$Q$9:$R$13,2,FALSE)*IF(ISNUMBER(SEARCH("Duals",$B1320)),2,IF(ISNUMBER(SEARCH("Triples",$B1320)),3,IF(ISNUMBER(SEARCH("Quads",$B1320)),4,1))),2),ROUND(VLOOKUP($I1320,Dashboard!$Q$15:$R$20,2,FALSE)*IF($E1320="Red",Dashboard!$R$6,IF($E1320="Gold",Dashboard!$R$7,Dashboard!$R$5))*IF(ISNUMBER(SEARCH("Duals",$B1320)),2,IF(ISNUMBER(SEARCH("Triples",$B1320)),3,IF(ISNUMBER(SEARCH("Quads",$B1320)),4,1))),2))*IF(IFERROR(VLOOKUP($B1320,Dashboard!$Q$28:$S$60,3,FALSE),0)&gt;0,VLOOKUP($B1320,Dashboard!$Q$28:$S$60,3,FALSE),1))),0))</f>
        <v>143</v>
      </c>
      <c r="K1320" s="2" t="str">
        <f>IF('Base S2'!I20="","",'Base S2'!I20)</f>
        <v/>
      </c>
      <c r="L1320" s="2">
        <f t="shared" si="260"/>
        <v>0</v>
      </c>
      <c r="M1320" s="2">
        <f t="shared" si="261"/>
        <v>0</v>
      </c>
      <c r="N1320" s="2">
        <f t="shared" si="262"/>
        <v>0</v>
      </c>
      <c r="O1320" s="2">
        <f t="shared" si="263"/>
        <v>1</v>
      </c>
      <c r="P1320" s="112">
        <f t="shared" si="264"/>
        <v>0</v>
      </c>
      <c r="Q1320" s="112">
        <f t="shared" si="265"/>
        <v>0</v>
      </c>
      <c r="R1320" s="53"/>
      <c r="S1320" s="53" t="str">
        <f t="shared" si="266"/>
        <v>Base S2|The Seven Parallel - Season 2|119|The Seven</v>
      </c>
      <c r="T1320" s="57" t="str">
        <f>IF($S1320="","",IFERROR(VLOOKUP($S1320,'Pop Estimates (Non-#d)'!$N$2:$O$500,2,FALSE),""))</f>
        <v/>
      </c>
      <c r="U1320" s="57">
        <f t="shared" si="267"/>
        <v>7</v>
      </c>
      <c r="V1320" s="53" t="str">
        <f t="shared" si="268"/>
        <v/>
      </c>
      <c r="W1320" s="53" t="str">
        <f t="shared" si="269"/>
        <v/>
      </c>
      <c r="X1320" s="53" t="str">
        <f t="shared" si="270"/>
        <v/>
      </c>
      <c r="Y1320" s="57" t="str">
        <f>IF($X1320="","",IFERROR(VLOOKUP($X1320,'Char Popularity'!$A$2:$C$500,2,FALSE),""))</f>
        <v/>
      </c>
      <c r="Z1320" s="56">
        <f>IF($X1320="",1,IFERROR(VLOOKUP($X1320,'Char Popularity'!$A$2:$C$500,3,FALSE),1))</f>
        <v>1</v>
      </c>
      <c r="AA1320" s="62">
        <f>IF($H1320&lt;&gt;"Y",0,(IF($F1320&lt;&gt;"",ROUND(Dashboard!$R$4/$F1320,1),IF(AND($I1320="Base",$E1320="Base"),Dashboard!$R$5,IF(AND($I1320="Base",$E1320="Red"),Dashboard!$R$6,IF(AND($I1320="Base",$E1320="Gold"),Dashboard!$R$7,VLOOKUP($I1320,Dashboard!$Q$16:$R$21,2,FALSE)))))*VLOOKUP($I1320,Dashboard!$Q$9:$R$13,2,FALSE)*IF(AND($I1320="Auto",$F1320="",OR($B1320="Autographs Duals",$B1320="Autographs Triples",$B1320="Autographs Quads",$B1320="Autographs Quads (Inscribed)")),IF($B1320="Autographs Duals",2,IF($B1320="Autographs Triples",3,4)),1)))</f>
        <v>142.9</v>
      </c>
      <c r="AB1320" s="62">
        <f t="shared" si="271"/>
        <v>0</v>
      </c>
      <c r="AC1320" s="62">
        <f t="shared" si="272"/>
        <v>0</v>
      </c>
    </row>
    <row r="1321" spans="1:29" ht="42.95" customHeight="1" x14ac:dyDescent="0.25">
      <c r="A1321" s="4" t="s">
        <v>19</v>
      </c>
      <c r="B1321" s="7" t="s">
        <v>82</v>
      </c>
      <c r="C1321" s="2" t="s">
        <v>1519</v>
      </c>
      <c r="D1321" s="7" t="s">
        <v>1075</v>
      </c>
      <c r="E1321" s="4" t="s">
        <v>689</v>
      </c>
      <c r="F1321" s="2">
        <v>7</v>
      </c>
      <c r="G1321" s="2" t="s">
        <v>1399</v>
      </c>
      <c r="H1321" s="2" t="s">
        <v>1400</v>
      </c>
      <c r="I1321" s="4" t="s">
        <v>60</v>
      </c>
      <c r="J1321" s="112">
        <f>IF($H1321&lt;&gt;"Y",0,ROUND(MIN(Dashboard!$R$24,IF(IFERROR(VLOOKUP($B1321,Dashboard!$Q$28:$S$60,2,FALSE),0)&gt;0,IFERROR(VLOOKUP($B1321,Dashboard!$Q$28:$S$60,2,FALSE),0),$Z1321*IF($U1321&lt;&gt;"",ROUND((Dashboard!$R$4/$U1321)*VLOOKUP($I1321,Dashboard!$Q$9:$R$13,2,FALSE)*IF(ISNUMBER(SEARCH("Duals",$B1321)),2,IF(ISNUMBER(SEARCH("Triples",$B1321)),3,IF(ISNUMBER(SEARCH("Quads",$B1321)),4,1))),2),ROUND(VLOOKUP($I1321,Dashboard!$Q$15:$R$20,2,FALSE)*IF($E1321="Red",Dashboard!$R$6,IF($E1321="Gold",Dashboard!$R$7,Dashboard!$R$5))*IF(ISNUMBER(SEARCH("Duals",$B1321)),2,IF(ISNUMBER(SEARCH("Triples",$B1321)),3,IF(ISNUMBER(SEARCH("Quads",$B1321)),4,1))),2))*IF(IFERROR(VLOOKUP($B1321,Dashboard!$Q$28:$S$60,3,FALSE),0)&gt;0,VLOOKUP($B1321,Dashboard!$Q$28:$S$60,3,FALSE),1))),0))</f>
        <v>143</v>
      </c>
      <c r="K1321" s="2" t="str">
        <f>IF('Base S2'!I21="","",'Base S2'!I21)</f>
        <v/>
      </c>
      <c r="L1321" s="2">
        <f t="shared" si="260"/>
        <v>0</v>
      </c>
      <c r="M1321" s="2">
        <f t="shared" si="261"/>
        <v>0</v>
      </c>
      <c r="N1321" s="2">
        <f t="shared" si="262"/>
        <v>0</v>
      </c>
      <c r="O1321" s="2">
        <f t="shared" si="263"/>
        <v>1</v>
      </c>
      <c r="P1321" s="112">
        <f t="shared" si="264"/>
        <v>0</v>
      </c>
      <c r="Q1321" s="112">
        <f t="shared" si="265"/>
        <v>0</v>
      </c>
      <c r="R1321" s="53"/>
      <c r="S1321" s="53" t="str">
        <f t="shared" si="266"/>
        <v>Base S2|The Seven Parallel - Season 2|120|The Seven</v>
      </c>
      <c r="T1321" s="57" t="str">
        <f>IF($S1321="","",IFERROR(VLOOKUP($S1321,'Pop Estimates (Non-#d)'!$N$2:$O$500,2,FALSE),""))</f>
        <v/>
      </c>
      <c r="U1321" s="57">
        <f t="shared" si="267"/>
        <v>7</v>
      </c>
      <c r="V1321" s="53" t="str">
        <f t="shared" si="268"/>
        <v/>
      </c>
      <c r="W1321" s="53" t="str">
        <f t="shared" si="269"/>
        <v/>
      </c>
      <c r="X1321" s="53" t="str">
        <f t="shared" si="270"/>
        <v/>
      </c>
      <c r="Y1321" s="57" t="str">
        <f>IF($X1321="","",IFERROR(VLOOKUP($X1321,'Char Popularity'!$A$2:$C$500,2,FALSE),""))</f>
        <v/>
      </c>
      <c r="Z1321" s="56">
        <f>IF($X1321="",1,IFERROR(VLOOKUP($X1321,'Char Popularity'!$A$2:$C$500,3,FALSE),1))</f>
        <v>1</v>
      </c>
      <c r="AA1321" s="62">
        <f>IF($H1321&lt;&gt;"Y",0,(IF($F1321&lt;&gt;"",ROUND(Dashboard!$R$4/$F1321,1),IF(AND($I1321="Base",$E1321="Base"),Dashboard!$R$5,IF(AND($I1321="Base",$E1321="Red"),Dashboard!$R$6,IF(AND($I1321="Base",$E1321="Gold"),Dashboard!$R$7,VLOOKUP($I1321,Dashboard!$Q$16:$R$21,2,FALSE)))))*VLOOKUP($I1321,Dashboard!$Q$9:$R$13,2,FALSE)*IF(AND($I1321="Auto",$F1321="",OR($B1321="Autographs Duals",$B1321="Autographs Triples",$B1321="Autographs Quads",$B1321="Autographs Quads (Inscribed)")),IF($B1321="Autographs Duals",2,IF($B1321="Autographs Triples",3,4)),1)))</f>
        <v>142.9</v>
      </c>
      <c r="AB1321" s="62">
        <f t="shared" si="271"/>
        <v>0</v>
      </c>
      <c r="AC1321" s="62">
        <f t="shared" si="272"/>
        <v>0</v>
      </c>
    </row>
    <row r="1322" spans="1:29" ht="42.95" customHeight="1" x14ac:dyDescent="0.25">
      <c r="A1322" s="4" t="s">
        <v>19</v>
      </c>
      <c r="B1322" s="7" t="s">
        <v>82</v>
      </c>
      <c r="C1322" s="2" t="s">
        <v>1520</v>
      </c>
      <c r="D1322" s="7" t="s">
        <v>1077</v>
      </c>
      <c r="E1322" s="4" t="s">
        <v>689</v>
      </c>
      <c r="F1322" s="2">
        <v>7</v>
      </c>
      <c r="G1322" s="2" t="s">
        <v>1399</v>
      </c>
      <c r="H1322" s="2" t="s">
        <v>1400</v>
      </c>
      <c r="I1322" s="4" t="s">
        <v>60</v>
      </c>
      <c r="J1322" s="112">
        <f>IF($H1322&lt;&gt;"Y",0,ROUND(MIN(Dashboard!$R$24,IF(IFERROR(VLOOKUP($B1322,Dashboard!$Q$28:$S$60,2,FALSE),0)&gt;0,IFERROR(VLOOKUP($B1322,Dashboard!$Q$28:$S$60,2,FALSE),0),$Z1322*IF($U1322&lt;&gt;"",ROUND((Dashboard!$R$4/$U1322)*VLOOKUP($I1322,Dashboard!$Q$9:$R$13,2,FALSE)*IF(ISNUMBER(SEARCH("Duals",$B1322)),2,IF(ISNUMBER(SEARCH("Triples",$B1322)),3,IF(ISNUMBER(SEARCH("Quads",$B1322)),4,1))),2),ROUND(VLOOKUP($I1322,Dashboard!$Q$15:$R$20,2,FALSE)*IF($E1322="Red",Dashboard!$R$6,IF($E1322="Gold",Dashboard!$R$7,Dashboard!$R$5))*IF(ISNUMBER(SEARCH("Duals",$B1322)),2,IF(ISNUMBER(SEARCH("Triples",$B1322)),3,IF(ISNUMBER(SEARCH("Quads",$B1322)),4,1))),2))*IF(IFERROR(VLOOKUP($B1322,Dashboard!$Q$28:$S$60,3,FALSE),0)&gt;0,VLOOKUP($B1322,Dashboard!$Q$28:$S$60,3,FALSE),1))),0))</f>
        <v>143</v>
      </c>
      <c r="K1322" s="2" t="str">
        <f>IF('Base S2'!I22="","",'Base S2'!I22)</f>
        <v/>
      </c>
      <c r="L1322" s="2">
        <f t="shared" si="260"/>
        <v>0</v>
      </c>
      <c r="M1322" s="2">
        <f t="shared" si="261"/>
        <v>0</v>
      </c>
      <c r="N1322" s="2">
        <f t="shared" si="262"/>
        <v>0</v>
      </c>
      <c r="O1322" s="2">
        <f t="shared" si="263"/>
        <v>1</v>
      </c>
      <c r="P1322" s="112">
        <f t="shared" si="264"/>
        <v>0</v>
      </c>
      <c r="Q1322" s="112">
        <f t="shared" si="265"/>
        <v>0</v>
      </c>
      <c r="R1322" s="53"/>
      <c r="S1322" s="53" t="str">
        <f t="shared" si="266"/>
        <v>Base S2|The Seven Parallel - Season 2|121|The Seven</v>
      </c>
      <c r="T1322" s="57" t="str">
        <f>IF($S1322="","",IFERROR(VLOOKUP($S1322,'Pop Estimates (Non-#d)'!$N$2:$O$500,2,FALSE),""))</f>
        <v/>
      </c>
      <c r="U1322" s="57">
        <f t="shared" si="267"/>
        <v>7</v>
      </c>
      <c r="V1322" s="53" t="str">
        <f t="shared" si="268"/>
        <v/>
      </c>
      <c r="W1322" s="53" t="str">
        <f t="shared" si="269"/>
        <v/>
      </c>
      <c r="X1322" s="53" t="str">
        <f t="shared" si="270"/>
        <v/>
      </c>
      <c r="Y1322" s="57" t="str">
        <f>IF($X1322="","",IFERROR(VLOOKUP($X1322,'Char Popularity'!$A$2:$C$500,2,FALSE),""))</f>
        <v/>
      </c>
      <c r="Z1322" s="56">
        <f>IF($X1322="",1,IFERROR(VLOOKUP($X1322,'Char Popularity'!$A$2:$C$500,3,FALSE),1))</f>
        <v>1</v>
      </c>
      <c r="AA1322" s="62">
        <f>IF($H1322&lt;&gt;"Y",0,(IF($F1322&lt;&gt;"",ROUND(Dashboard!$R$4/$F1322,1),IF(AND($I1322="Base",$E1322="Base"),Dashboard!$R$5,IF(AND($I1322="Base",$E1322="Red"),Dashboard!$R$6,IF(AND($I1322="Base",$E1322="Gold"),Dashboard!$R$7,VLOOKUP($I1322,Dashboard!$Q$16:$R$21,2,FALSE)))))*VLOOKUP($I1322,Dashboard!$Q$9:$R$13,2,FALSE)*IF(AND($I1322="Auto",$F1322="",OR($B1322="Autographs Duals",$B1322="Autographs Triples",$B1322="Autographs Quads",$B1322="Autographs Quads (Inscribed)")),IF($B1322="Autographs Duals",2,IF($B1322="Autographs Triples",3,4)),1)))</f>
        <v>142.9</v>
      </c>
      <c r="AB1322" s="62">
        <f t="shared" si="271"/>
        <v>0</v>
      </c>
      <c r="AC1322" s="62">
        <f t="shared" si="272"/>
        <v>0</v>
      </c>
    </row>
    <row r="1323" spans="1:29" ht="42.95" customHeight="1" x14ac:dyDescent="0.25">
      <c r="A1323" s="4" t="s">
        <v>19</v>
      </c>
      <c r="B1323" s="7" t="s">
        <v>82</v>
      </c>
      <c r="C1323" s="2" t="s">
        <v>1521</v>
      </c>
      <c r="D1323" s="7" t="s">
        <v>1079</v>
      </c>
      <c r="E1323" s="4" t="s">
        <v>689</v>
      </c>
      <c r="F1323" s="2">
        <v>7</v>
      </c>
      <c r="G1323" s="2" t="s">
        <v>1399</v>
      </c>
      <c r="H1323" s="2" t="s">
        <v>1400</v>
      </c>
      <c r="I1323" s="4" t="s">
        <v>60</v>
      </c>
      <c r="J1323" s="112">
        <f>IF($H1323&lt;&gt;"Y",0,ROUND(MIN(Dashboard!$R$24,IF(IFERROR(VLOOKUP($B1323,Dashboard!$Q$28:$S$60,2,FALSE),0)&gt;0,IFERROR(VLOOKUP($B1323,Dashboard!$Q$28:$S$60,2,FALSE),0),$Z1323*IF($U1323&lt;&gt;"",ROUND((Dashboard!$R$4/$U1323)*VLOOKUP($I1323,Dashboard!$Q$9:$R$13,2,FALSE)*IF(ISNUMBER(SEARCH("Duals",$B1323)),2,IF(ISNUMBER(SEARCH("Triples",$B1323)),3,IF(ISNUMBER(SEARCH("Quads",$B1323)),4,1))),2),ROUND(VLOOKUP($I1323,Dashboard!$Q$15:$R$20,2,FALSE)*IF($E1323="Red",Dashboard!$R$6,IF($E1323="Gold",Dashboard!$R$7,Dashboard!$R$5))*IF(ISNUMBER(SEARCH("Duals",$B1323)),2,IF(ISNUMBER(SEARCH("Triples",$B1323)),3,IF(ISNUMBER(SEARCH("Quads",$B1323)),4,1))),2))*IF(IFERROR(VLOOKUP($B1323,Dashboard!$Q$28:$S$60,3,FALSE),0)&gt;0,VLOOKUP($B1323,Dashboard!$Q$28:$S$60,3,FALSE),1))),0))</f>
        <v>143</v>
      </c>
      <c r="K1323" s="2" t="str">
        <f>IF('Base S2'!I23="","",'Base S2'!I23)</f>
        <v/>
      </c>
      <c r="L1323" s="2">
        <f t="shared" si="260"/>
        <v>0</v>
      </c>
      <c r="M1323" s="2">
        <f t="shared" si="261"/>
        <v>0</v>
      </c>
      <c r="N1323" s="2">
        <f t="shared" si="262"/>
        <v>0</v>
      </c>
      <c r="O1323" s="2">
        <f t="shared" si="263"/>
        <v>1</v>
      </c>
      <c r="P1323" s="112">
        <f t="shared" si="264"/>
        <v>0</v>
      </c>
      <c r="Q1323" s="112">
        <f t="shared" si="265"/>
        <v>0</v>
      </c>
      <c r="R1323" s="53"/>
      <c r="S1323" s="53" t="str">
        <f t="shared" si="266"/>
        <v>Base S2|The Seven Parallel - Season 2|122|The Seven</v>
      </c>
      <c r="T1323" s="57" t="str">
        <f>IF($S1323="","",IFERROR(VLOOKUP($S1323,'Pop Estimates (Non-#d)'!$N$2:$O$500,2,FALSE),""))</f>
        <v/>
      </c>
      <c r="U1323" s="57">
        <f t="shared" si="267"/>
        <v>7</v>
      </c>
      <c r="V1323" s="53" t="str">
        <f t="shared" si="268"/>
        <v/>
      </c>
      <c r="W1323" s="53" t="str">
        <f t="shared" si="269"/>
        <v/>
      </c>
      <c r="X1323" s="53" t="str">
        <f t="shared" si="270"/>
        <v/>
      </c>
      <c r="Y1323" s="57" t="str">
        <f>IF($X1323="","",IFERROR(VLOOKUP($X1323,'Char Popularity'!$A$2:$C$500,2,FALSE),""))</f>
        <v/>
      </c>
      <c r="Z1323" s="56">
        <f>IF($X1323="",1,IFERROR(VLOOKUP($X1323,'Char Popularity'!$A$2:$C$500,3,FALSE),1))</f>
        <v>1</v>
      </c>
      <c r="AA1323" s="62">
        <f>IF($H1323&lt;&gt;"Y",0,(IF($F1323&lt;&gt;"",ROUND(Dashboard!$R$4/$F1323,1),IF(AND($I1323="Base",$E1323="Base"),Dashboard!$R$5,IF(AND($I1323="Base",$E1323="Red"),Dashboard!$R$6,IF(AND($I1323="Base",$E1323="Gold"),Dashboard!$R$7,VLOOKUP($I1323,Dashboard!$Q$16:$R$21,2,FALSE)))))*VLOOKUP($I1323,Dashboard!$Q$9:$R$13,2,FALSE)*IF(AND($I1323="Auto",$F1323="",OR($B1323="Autographs Duals",$B1323="Autographs Triples",$B1323="Autographs Quads",$B1323="Autographs Quads (Inscribed)")),IF($B1323="Autographs Duals",2,IF($B1323="Autographs Triples",3,4)),1)))</f>
        <v>142.9</v>
      </c>
      <c r="AB1323" s="62">
        <f t="shared" si="271"/>
        <v>0</v>
      </c>
      <c r="AC1323" s="62">
        <f t="shared" si="272"/>
        <v>0</v>
      </c>
    </row>
    <row r="1324" spans="1:29" ht="42.95" customHeight="1" x14ac:dyDescent="0.25">
      <c r="A1324" s="4" t="s">
        <v>19</v>
      </c>
      <c r="B1324" s="7" t="s">
        <v>82</v>
      </c>
      <c r="C1324" s="2" t="s">
        <v>1522</v>
      </c>
      <c r="D1324" s="7" t="s">
        <v>1080</v>
      </c>
      <c r="E1324" s="4" t="s">
        <v>689</v>
      </c>
      <c r="F1324" s="2">
        <v>7</v>
      </c>
      <c r="G1324" s="2" t="s">
        <v>1399</v>
      </c>
      <c r="H1324" s="2" t="s">
        <v>1400</v>
      </c>
      <c r="I1324" s="4" t="s">
        <v>60</v>
      </c>
      <c r="J1324" s="112">
        <f>IF($H1324&lt;&gt;"Y",0,ROUND(MIN(Dashboard!$R$24,IF(IFERROR(VLOOKUP($B1324,Dashboard!$Q$28:$S$60,2,FALSE),0)&gt;0,IFERROR(VLOOKUP($B1324,Dashboard!$Q$28:$S$60,2,FALSE),0),$Z1324*IF($U1324&lt;&gt;"",ROUND((Dashboard!$R$4/$U1324)*VLOOKUP($I1324,Dashboard!$Q$9:$R$13,2,FALSE)*IF(ISNUMBER(SEARCH("Duals",$B1324)),2,IF(ISNUMBER(SEARCH("Triples",$B1324)),3,IF(ISNUMBER(SEARCH("Quads",$B1324)),4,1))),2),ROUND(VLOOKUP($I1324,Dashboard!$Q$15:$R$20,2,FALSE)*IF($E1324="Red",Dashboard!$R$6,IF($E1324="Gold",Dashboard!$R$7,Dashboard!$R$5))*IF(ISNUMBER(SEARCH("Duals",$B1324)),2,IF(ISNUMBER(SEARCH("Triples",$B1324)),3,IF(ISNUMBER(SEARCH("Quads",$B1324)),4,1))),2))*IF(IFERROR(VLOOKUP($B1324,Dashboard!$Q$28:$S$60,3,FALSE),0)&gt;0,VLOOKUP($B1324,Dashboard!$Q$28:$S$60,3,FALSE),1))),0))</f>
        <v>143</v>
      </c>
      <c r="K1324" s="2" t="str">
        <f>IF('Base S2'!I24="","",'Base S2'!I24)</f>
        <v/>
      </c>
      <c r="L1324" s="2">
        <f t="shared" si="260"/>
        <v>0</v>
      </c>
      <c r="M1324" s="2">
        <f t="shared" si="261"/>
        <v>0</v>
      </c>
      <c r="N1324" s="2">
        <f t="shared" si="262"/>
        <v>0</v>
      </c>
      <c r="O1324" s="2">
        <f t="shared" si="263"/>
        <v>1</v>
      </c>
      <c r="P1324" s="112">
        <f t="shared" si="264"/>
        <v>0</v>
      </c>
      <c r="Q1324" s="112">
        <f t="shared" si="265"/>
        <v>0</v>
      </c>
      <c r="R1324" s="53"/>
      <c r="S1324" s="53" t="str">
        <f t="shared" si="266"/>
        <v>Base S2|The Seven Parallel - Season 2|123|The Seven</v>
      </c>
      <c r="T1324" s="57" t="str">
        <f>IF($S1324="","",IFERROR(VLOOKUP($S1324,'Pop Estimates (Non-#d)'!$N$2:$O$500,2,FALSE),""))</f>
        <v/>
      </c>
      <c r="U1324" s="57">
        <f t="shared" si="267"/>
        <v>7</v>
      </c>
      <c r="V1324" s="53" t="str">
        <f t="shared" si="268"/>
        <v/>
      </c>
      <c r="W1324" s="53" t="str">
        <f t="shared" si="269"/>
        <v/>
      </c>
      <c r="X1324" s="53" t="str">
        <f t="shared" si="270"/>
        <v/>
      </c>
      <c r="Y1324" s="57" t="str">
        <f>IF($X1324="","",IFERROR(VLOOKUP($X1324,'Char Popularity'!$A$2:$C$500,2,FALSE),""))</f>
        <v/>
      </c>
      <c r="Z1324" s="56">
        <f>IF($X1324="",1,IFERROR(VLOOKUP($X1324,'Char Popularity'!$A$2:$C$500,3,FALSE),1))</f>
        <v>1</v>
      </c>
      <c r="AA1324" s="62">
        <f>IF($H1324&lt;&gt;"Y",0,(IF($F1324&lt;&gt;"",ROUND(Dashboard!$R$4/$F1324,1),IF(AND($I1324="Base",$E1324="Base"),Dashboard!$R$5,IF(AND($I1324="Base",$E1324="Red"),Dashboard!$R$6,IF(AND($I1324="Base",$E1324="Gold"),Dashboard!$R$7,VLOOKUP($I1324,Dashboard!$Q$16:$R$21,2,FALSE)))))*VLOOKUP($I1324,Dashboard!$Q$9:$R$13,2,FALSE)*IF(AND($I1324="Auto",$F1324="",OR($B1324="Autographs Duals",$B1324="Autographs Triples",$B1324="Autographs Quads",$B1324="Autographs Quads (Inscribed)")),IF($B1324="Autographs Duals",2,IF($B1324="Autographs Triples",3,4)),1)))</f>
        <v>142.9</v>
      </c>
      <c r="AB1324" s="62">
        <f t="shared" si="271"/>
        <v>0</v>
      </c>
      <c r="AC1324" s="62">
        <f t="shared" si="272"/>
        <v>0</v>
      </c>
    </row>
    <row r="1325" spans="1:29" ht="42.95" customHeight="1" x14ac:dyDescent="0.25">
      <c r="A1325" s="4" t="s">
        <v>19</v>
      </c>
      <c r="B1325" s="7" t="s">
        <v>82</v>
      </c>
      <c r="C1325" s="2" t="s">
        <v>1523</v>
      </c>
      <c r="D1325" s="7" t="s">
        <v>1081</v>
      </c>
      <c r="E1325" s="4" t="s">
        <v>689</v>
      </c>
      <c r="F1325" s="2">
        <v>7</v>
      </c>
      <c r="G1325" s="2" t="s">
        <v>1399</v>
      </c>
      <c r="H1325" s="2" t="s">
        <v>1400</v>
      </c>
      <c r="I1325" s="4" t="s">
        <v>60</v>
      </c>
      <c r="J1325" s="112">
        <f>IF($H1325&lt;&gt;"Y",0,ROUND(MIN(Dashboard!$R$24,IF(IFERROR(VLOOKUP($B1325,Dashboard!$Q$28:$S$60,2,FALSE),0)&gt;0,IFERROR(VLOOKUP($B1325,Dashboard!$Q$28:$S$60,2,FALSE),0),$Z1325*IF($U1325&lt;&gt;"",ROUND((Dashboard!$R$4/$U1325)*VLOOKUP($I1325,Dashboard!$Q$9:$R$13,2,FALSE)*IF(ISNUMBER(SEARCH("Duals",$B1325)),2,IF(ISNUMBER(SEARCH("Triples",$B1325)),3,IF(ISNUMBER(SEARCH("Quads",$B1325)),4,1))),2),ROUND(VLOOKUP($I1325,Dashboard!$Q$15:$R$20,2,FALSE)*IF($E1325="Red",Dashboard!$R$6,IF($E1325="Gold",Dashboard!$R$7,Dashboard!$R$5))*IF(ISNUMBER(SEARCH("Duals",$B1325)),2,IF(ISNUMBER(SEARCH("Triples",$B1325)),3,IF(ISNUMBER(SEARCH("Quads",$B1325)),4,1))),2))*IF(IFERROR(VLOOKUP($B1325,Dashboard!$Q$28:$S$60,3,FALSE),0)&gt;0,VLOOKUP($B1325,Dashboard!$Q$28:$S$60,3,FALSE),1))),0))</f>
        <v>143</v>
      </c>
      <c r="K1325" s="2" t="str">
        <f>IF('Base S2'!I25="","",'Base S2'!I25)</f>
        <v/>
      </c>
      <c r="L1325" s="2">
        <f t="shared" si="260"/>
        <v>0</v>
      </c>
      <c r="M1325" s="2">
        <f t="shared" si="261"/>
        <v>0</v>
      </c>
      <c r="N1325" s="2">
        <f t="shared" si="262"/>
        <v>0</v>
      </c>
      <c r="O1325" s="2">
        <f t="shared" si="263"/>
        <v>1</v>
      </c>
      <c r="P1325" s="112">
        <f t="shared" si="264"/>
        <v>0</v>
      </c>
      <c r="Q1325" s="112">
        <f t="shared" si="265"/>
        <v>0</v>
      </c>
      <c r="R1325" s="53"/>
      <c r="S1325" s="53" t="str">
        <f t="shared" si="266"/>
        <v>Base S2|The Seven Parallel - Season 2|124|The Seven</v>
      </c>
      <c r="T1325" s="57" t="str">
        <f>IF($S1325="","",IFERROR(VLOOKUP($S1325,'Pop Estimates (Non-#d)'!$N$2:$O$500,2,FALSE),""))</f>
        <v/>
      </c>
      <c r="U1325" s="57">
        <f t="shared" si="267"/>
        <v>7</v>
      </c>
      <c r="V1325" s="53" t="str">
        <f t="shared" si="268"/>
        <v/>
      </c>
      <c r="W1325" s="53" t="str">
        <f t="shared" si="269"/>
        <v/>
      </c>
      <c r="X1325" s="53" t="str">
        <f t="shared" si="270"/>
        <v/>
      </c>
      <c r="Y1325" s="57" t="str">
        <f>IF($X1325="","",IFERROR(VLOOKUP($X1325,'Char Popularity'!$A$2:$C$500,2,FALSE),""))</f>
        <v/>
      </c>
      <c r="Z1325" s="56">
        <f>IF($X1325="",1,IFERROR(VLOOKUP($X1325,'Char Popularity'!$A$2:$C$500,3,FALSE),1))</f>
        <v>1</v>
      </c>
      <c r="AA1325" s="62">
        <f>IF($H1325&lt;&gt;"Y",0,(IF($F1325&lt;&gt;"",ROUND(Dashboard!$R$4/$F1325,1),IF(AND($I1325="Base",$E1325="Base"),Dashboard!$R$5,IF(AND($I1325="Base",$E1325="Red"),Dashboard!$R$6,IF(AND($I1325="Base",$E1325="Gold"),Dashboard!$R$7,VLOOKUP($I1325,Dashboard!$Q$16:$R$21,2,FALSE)))))*VLOOKUP($I1325,Dashboard!$Q$9:$R$13,2,FALSE)*IF(AND($I1325="Auto",$F1325="",OR($B1325="Autographs Duals",$B1325="Autographs Triples",$B1325="Autographs Quads",$B1325="Autographs Quads (Inscribed)")),IF($B1325="Autographs Duals",2,IF($B1325="Autographs Triples",3,4)),1)))</f>
        <v>142.9</v>
      </c>
      <c r="AB1325" s="62">
        <f t="shared" si="271"/>
        <v>0</v>
      </c>
      <c r="AC1325" s="62">
        <f t="shared" si="272"/>
        <v>0</v>
      </c>
    </row>
    <row r="1326" spans="1:29" ht="42.95" customHeight="1" x14ac:dyDescent="0.25">
      <c r="A1326" s="4" t="s">
        <v>19</v>
      </c>
      <c r="B1326" s="7" t="s">
        <v>82</v>
      </c>
      <c r="C1326" s="2" t="s">
        <v>1524</v>
      </c>
      <c r="D1326" s="7" t="s">
        <v>1082</v>
      </c>
      <c r="E1326" s="4" t="s">
        <v>689</v>
      </c>
      <c r="F1326" s="2">
        <v>7</v>
      </c>
      <c r="G1326" s="2" t="s">
        <v>1399</v>
      </c>
      <c r="H1326" s="2" t="s">
        <v>1400</v>
      </c>
      <c r="I1326" s="4" t="s">
        <v>60</v>
      </c>
      <c r="J1326" s="112">
        <f>IF($H1326&lt;&gt;"Y",0,ROUND(MIN(Dashboard!$R$24,IF(IFERROR(VLOOKUP($B1326,Dashboard!$Q$28:$S$60,2,FALSE),0)&gt;0,IFERROR(VLOOKUP($B1326,Dashboard!$Q$28:$S$60,2,FALSE),0),$Z1326*IF($U1326&lt;&gt;"",ROUND((Dashboard!$R$4/$U1326)*VLOOKUP($I1326,Dashboard!$Q$9:$R$13,2,FALSE)*IF(ISNUMBER(SEARCH("Duals",$B1326)),2,IF(ISNUMBER(SEARCH("Triples",$B1326)),3,IF(ISNUMBER(SEARCH("Quads",$B1326)),4,1))),2),ROUND(VLOOKUP($I1326,Dashboard!$Q$15:$R$20,2,FALSE)*IF($E1326="Red",Dashboard!$R$6,IF($E1326="Gold",Dashboard!$R$7,Dashboard!$R$5))*IF(ISNUMBER(SEARCH("Duals",$B1326)),2,IF(ISNUMBER(SEARCH("Triples",$B1326)),3,IF(ISNUMBER(SEARCH("Quads",$B1326)),4,1))),2))*IF(IFERROR(VLOOKUP($B1326,Dashboard!$Q$28:$S$60,3,FALSE),0)&gt;0,VLOOKUP($B1326,Dashboard!$Q$28:$S$60,3,FALSE),1))),0))</f>
        <v>143</v>
      </c>
      <c r="K1326" s="2" t="str">
        <f>IF('Base S2'!I26="","",'Base S2'!I26)</f>
        <v/>
      </c>
      <c r="L1326" s="2">
        <f t="shared" si="260"/>
        <v>0</v>
      </c>
      <c r="M1326" s="2">
        <f t="shared" si="261"/>
        <v>0</v>
      </c>
      <c r="N1326" s="2">
        <f t="shared" si="262"/>
        <v>0</v>
      </c>
      <c r="O1326" s="2">
        <f t="shared" si="263"/>
        <v>1</v>
      </c>
      <c r="P1326" s="112">
        <f t="shared" si="264"/>
        <v>0</v>
      </c>
      <c r="Q1326" s="112">
        <f t="shared" si="265"/>
        <v>0</v>
      </c>
      <c r="R1326" s="53"/>
      <c r="S1326" s="53" t="str">
        <f t="shared" si="266"/>
        <v>Base S2|The Seven Parallel - Season 2|125|The Seven</v>
      </c>
      <c r="T1326" s="57" t="str">
        <f>IF($S1326="","",IFERROR(VLOOKUP($S1326,'Pop Estimates (Non-#d)'!$N$2:$O$500,2,FALSE),""))</f>
        <v/>
      </c>
      <c r="U1326" s="57">
        <f t="shared" si="267"/>
        <v>7</v>
      </c>
      <c r="V1326" s="53" t="str">
        <f t="shared" si="268"/>
        <v/>
      </c>
      <c r="W1326" s="53" t="str">
        <f t="shared" si="269"/>
        <v/>
      </c>
      <c r="X1326" s="53" t="str">
        <f t="shared" si="270"/>
        <v/>
      </c>
      <c r="Y1326" s="57" t="str">
        <f>IF($X1326="","",IFERROR(VLOOKUP($X1326,'Char Popularity'!$A$2:$C$500,2,FALSE),""))</f>
        <v/>
      </c>
      <c r="Z1326" s="56">
        <f>IF($X1326="",1,IFERROR(VLOOKUP($X1326,'Char Popularity'!$A$2:$C$500,3,FALSE),1))</f>
        <v>1</v>
      </c>
      <c r="AA1326" s="62">
        <f>IF($H1326&lt;&gt;"Y",0,(IF($F1326&lt;&gt;"",ROUND(Dashboard!$R$4/$F1326,1),IF(AND($I1326="Base",$E1326="Base"),Dashboard!$R$5,IF(AND($I1326="Base",$E1326="Red"),Dashboard!$R$6,IF(AND($I1326="Base",$E1326="Gold"),Dashboard!$R$7,VLOOKUP($I1326,Dashboard!$Q$16:$R$21,2,FALSE)))))*VLOOKUP($I1326,Dashboard!$Q$9:$R$13,2,FALSE)*IF(AND($I1326="Auto",$F1326="",OR($B1326="Autographs Duals",$B1326="Autographs Triples",$B1326="Autographs Quads",$B1326="Autographs Quads (Inscribed)")),IF($B1326="Autographs Duals",2,IF($B1326="Autographs Triples",3,4)),1)))</f>
        <v>142.9</v>
      </c>
      <c r="AB1326" s="62">
        <f t="shared" si="271"/>
        <v>0</v>
      </c>
      <c r="AC1326" s="62">
        <f t="shared" si="272"/>
        <v>0</v>
      </c>
    </row>
    <row r="1327" spans="1:29" ht="42.95" customHeight="1" x14ac:dyDescent="0.25">
      <c r="A1327" s="4" t="s">
        <v>19</v>
      </c>
      <c r="B1327" s="7" t="s">
        <v>82</v>
      </c>
      <c r="C1327" s="2" t="s">
        <v>1525</v>
      </c>
      <c r="D1327" s="7" t="s">
        <v>1083</v>
      </c>
      <c r="E1327" s="4" t="s">
        <v>689</v>
      </c>
      <c r="F1327" s="2">
        <v>7</v>
      </c>
      <c r="G1327" s="2" t="s">
        <v>1399</v>
      </c>
      <c r="H1327" s="2" t="s">
        <v>1400</v>
      </c>
      <c r="I1327" s="4" t="s">
        <v>60</v>
      </c>
      <c r="J1327" s="112">
        <f>IF($H1327&lt;&gt;"Y",0,ROUND(MIN(Dashboard!$R$24,IF(IFERROR(VLOOKUP($B1327,Dashboard!$Q$28:$S$60,2,FALSE),0)&gt;0,IFERROR(VLOOKUP($B1327,Dashboard!$Q$28:$S$60,2,FALSE),0),$Z1327*IF($U1327&lt;&gt;"",ROUND((Dashboard!$R$4/$U1327)*VLOOKUP($I1327,Dashboard!$Q$9:$R$13,2,FALSE)*IF(ISNUMBER(SEARCH("Duals",$B1327)),2,IF(ISNUMBER(SEARCH("Triples",$B1327)),3,IF(ISNUMBER(SEARCH("Quads",$B1327)),4,1))),2),ROUND(VLOOKUP($I1327,Dashboard!$Q$15:$R$20,2,FALSE)*IF($E1327="Red",Dashboard!$R$6,IF($E1327="Gold",Dashboard!$R$7,Dashboard!$R$5))*IF(ISNUMBER(SEARCH("Duals",$B1327)),2,IF(ISNUMBER(SEARCH("Triples",$B1327)),3,IF(ISNUMBER(SEARCH("Quads",$B1327)),4,1))),2))*IF(IFERROR(VLOOKUP($B1327,Dashboard!$Q$28:$S$60,3,FALSE),0)&gt;0,VLOOKUP($B1327,Dashboard!$Q$28:$S$60,3,FALSE),1))),0))</f>
        <v>143</v>
      </c>
      <c r="K1327" s="2" t="str">
        <f>IF('Base S2'!I27="","",'Base S2'!I27)</f>
        <v/>
      </c>
      <c r="L1327" s="2">
        <f t="shared" si="260"/>
        <v>0</v>
      </c>
      <c r="M1327" s="2">
        <f t="shared" si="261"/>
        <v>0</v>
      </c>
      <c r="N1327" s="2">
        <f t="shared" si="262"/>
        <v>0</v>
      </c>
      <c r="O1327" s="2">
        <f t="shared" si="263"/>
        <v>1</v>
      </c>
      <c r="P1327" s="112">
        <f t="shared" si="264"/>
        <v>0</v>
      </c>
      <c r="Q1327" s="112">
        <f t="shared" si="265"/>
        <v>0</v>
      </c>
      <c r="R1327" s="53"/>
      <c r="S1327" s="53" t="str">
        <f t="shared" si="266"/>
        <v>Base S2|The Seven Parallel - Season 2|126|The Seven</v>
      </c>
      <c r="T1327" s="57" t="str">
        <f>IF($S1327="","",IFERROR(VLOOKUP($S1327,'Pop Estimates (Non-#d)'!$N$2:$O$500,2,FALSE),""))</f>
        <v/>
      </c>
      <c r="U1327" s="57">
        <f t="shared" si="267"/>
        <v>7</v>
      </c>
      <c r="V1327" s="53" t="str">
        <f t="shared" si="268"/>
        <v/>
      </c>
      <c r="W1327" s="53" t="str">
        <f t="shared" si="269"/>
        <v/>
      </c>
      <c r="X1327" s="53" t="str">
        <f t="shared" si="270"/>
        <v/>
      </c>
      <c r="Y1327" s="57" t="str">
        <f>IF($X1327="","",IFERROR(VLOOKUP($X1327,'Char Popularity'!$A$2:$C$500,2,FALSE),""))</f>
        <v/>
      </c>
      <c r="Z1327" s="56">
        <f>IF($X1327="",1,IFERROR(VLOOKUP($X1327,'Char Popularity'!$A$2:$C$500,3,FALSE),1))</f>
        <v>1</v>
      </c>
      <c r="AA1327" s="62">
        <f>IF($H1327&lt;&gt;"Y",0,(IF($F1327&lt;&gt;"",ROUND(Dashboard!$R$4/$F1327,1),IF(AND($I1327="Base",$E1327="Base"),Dashboard!$R$5,IF(AND($I1327="Base",$E1327="Red"),Dashboard!$R$6,IF(AND($I1327="Base",$E1327="Gold"),Dashboard!$R$7,VLOOKUP($I1327,Dashboard!$Q$16:$R$21,2,FALSE)))))*VLOOKUP($I1327,Dashboard!$Q$9:$R$13,2,FALSE)*IF(AND($I1327="Auto",$F1327="",OR($B1327="Autographs Duals",$B1327="Autographs Triples",$B1327="Autographs Quads",$B1327="Autographs Quads (Inscribed)")),IF($B1327="Autographs Duals",2,IF($B1327="Autographs Triples",3,4)),1)))</f>
        <v>142.9</v>
      </c>
      <c r="AB1327" s="62">
        <f t="shared" si="271"/>
        <v>0</v>
      </c>
      <c r="AC1327" s="62">
        <f t="shared" si="272"/>
        <v>0</v>
      </c>
    </row>
    <row r="1328" spans="1:29" ht="42.95" customHeight="1" x14ac:dyDescent="0.25">
      <c r="A1328" s="4" t="s">
        <v>19</v>
      </c>
      <c r="B1328" s="7" t="s">
        <v>82</v>
      </c>
      <c r="C1328" s="2" t="s">
        <v>1526</v>
      </c>
      <c r="D1328" s="7" t="s">
        <v>1085</v>
      </c>
      <c r="E1328" s="4" t="s">
        <v>689</v>
      </c>
      <c r="F1328" s="2">
        <v>7</v>
      </c>
      <c r="G1328" s="2" t="s">
        <v>1399</v>
      </c>
      <c r="H1328" s="2" t="s">
        <v>1400</v>
      </c>
      <c r="I1328" s="4" t="s">
        <v>60</v>
      </c>
      <c r="J1328" s="112">
        <f>IF($H1328&lt;&gt;"Y",0,ROUND(MIN(Dashboard!$R$24,IF(IFERROR(VLOOKUP($B1328,Dashboard!$Q$28:$S$60,2,FALSE),0)&gt;0,IFERROR(VLOOKUP($B1328,Dashboard!$Q$28:$S$60,2,FALSE),0),$Z1328*IF($U1328&lt;&gt;"",ROUND((Dashboard!$R$4/$U1328)*VLOOKUP($I1328,Dashboard!$Q$9:$R$13,2,FALSE)*IF(ISNUMBER(SEARCH("Duals",$B1328)),2,IF(ISNUMBER(SEARCH("Triples",$B1328)),3,IF(ISNUMBER(SEARCH("Quads",$B1328)),4,1))),2),ROUND(VLOOKUP($I1328,Dashboard!$Q$15:$R$20,2,FALSE)*IF($E1328="Red",Dashboard!$R$6,IF($E1328="Gold",Dashboard!$R$7,Dashboard!$R$5))*IF(ISNUMBER(SEARCH("Duals",$B1328)),2,IF(ISNUMBER(SEARCH("Triples",$B1328)),3,IF(ISNUMBER(SEARCH("Quads",$B1328)),4,1))),2))*IF(IFERROR(VLOOKUP($B1328,Dashboard!$Q$28:$S$60,3,FALSE),0)&gt;0,VLOOKUP($B1328,Dashboard!$Q$28:$S$60,3,FALSE),1))),0))</f>
        <v>143</v>
      </c>
      <c r="K1328" s="2" t="str">
        <f>IF('Base S2'!I28="","",'Base S2'!I28)</f>
        <v/>
      </c>
      <c r="L1328" s="2">
        <f t="shared" si="260"/>
        <v>0</v>
      </c>
      <c r="M1328" s="2">
        <f t="shared" si="261"/>
        <v>0</v>
      </c>
      <c r="N1328" s="2">
        <f t="shared" si="262"/>
        <v>0</v>
      </c>
      <c r="O1328" s="2">
        <f t="shared" si="263"/>
        <v>1</v>
      </c>
      <c r="P1328" s="112">
        <f t="shared" si="264"/>
        <v>0</v>
      </c>
      <c r="Q1328" s="112">
        <f t="shared" si="265"/>
        <v>0</v>
      </c>
      <c r="R1328" s="53"/>
      <c r="S1328" s="53" t="str">
        <f t="shared" si="266"/>
        <v>Base S2|The Seven Parallel - Season 2|127|The Seven</v>
      </c>
      <c r="T1328" s="57" t="str">
        <f>IF($S1328="","",IFERROR(VLOOKUP($S1328,'Pop Estimates (Non-#d)'!$N$2:$O$500,2,FALSE),""))</f>
        <v/>
      </c>
      <c r="U1328" s="57">
        <f t="shared" si="267"/>
        <v>7</v>
      </c>
      <c r="V1328" s="53" t="str">
        <f t="shared" si="268"/>
        <v/>
      </c>
      <c r="W1328" s="53" t="str">
        <f t="shared" si="269"/>
        <v/>
      </c>
      <c r="X1328" s="53" t="str">
        <f t="shared" si="270"/>
        <v/>
      </c>
      <c r="Y1328" s="57" t="str">
        <f>IF($X1328="","",IFERROR(VLOOKUP($X1328,'Char Popularity'!$A$2:$C$500,2,FALSE),""))</f>
        <v/>
      </c>
      <c r="Z1328" s="56">
        <f>IF($X1328="",1,IFERROR(VLOOKUP($X1328,'Char Popularity'!$A$2:$C$500,3,FALSE),1))</f>
        <v>1</v>
      </c>
      <c r="AA1328" s="62">
        <f>IF($H1328&lt;&gt;"Y",0,(IF($F1328&lt;&gt;"",ROUND(Dashboard!$R$4/$F1328,1),IF(AND($I1328="Base",$E1328="Base"),Dashboard!$R$5,IF(AND($I1328="Base",$E1328="Red"),Dashboard!$R$6,IF(AND($I1328="Base",$E1328="Gold"),Dashboard!$R$7,VLOOKUP($I1328,Dashboard!$Q$16:$R$21,2,FALSE)))))*VLOOKUP($I1328,Dashboard!$Q$9:$R$13,2,FALSE)*IF(AND($I1328="Auto",$F1328="",OR($B1328="Autographs Duals",$B1328="Autographs Triples",$B1328="Autographs Quads",$B1328="Autographs Quads (Inscribed)")),IF($B1328="Autographs Duals",2,IF($B1328="Autographs Triples",3,4)),1)))</f>
        <v>142.9</v>
      </c>
      <c r="AB1328" s="62">
        <f t="shared" si="271"/>
        <v>0</v>
      </c>
      <c r="AC1328" s="62">
        <f t="shared" si="272"/>
        <v>0</v>
      </c>
    </row>
    <row r="1329" spans="1:29" ht="42.95" customHeight="1" x14ac:dyDescent="0.25">
      <c r="A1329" s="4" t="s">
        <v>19</v>
      </c>
      <c r="B1329" s="7" t="s">
        <v>82</v>
      </c>
      <c r="C1329" s="2" t="s">
        <v>1527</v>
      </c>
      <c r="D1329" s="7" t="s">
        <v>1086</v>
      </c>
      <c r="E1329" s="4" t="s">
        <v>689</v>
      </c>
      <c r="F1329" s="2">
        <v>7</v>
      </c>
      <c r="G1329" s="2" t="s">
        <v>1399</v>
      </c>
      <c r="H1329" s="2" t="s">
        <v>1400</v>
      </c>
      <c r="I1329" s="4" t="s">
        <v>60</v>
      </c>
      <c r="J1329" s="112">
        <f>IF($H1329&lt;&gt;"Y",0,ROUND(MIN(Dashboard!$R$24,IF(IFERROR(VLOOKUP($B1329,Dashboard!$Q$28:$S$60,2,FALSE),0)&gt;0,IFERROR(VLOOKUP($B1329,Dashboard!$Q$28:$S$60,2,FALSE),0),$Z1329*IF($U1329&lt;&gt;"",ROUND((Dashboard!$R$4/$U1329)*VLOOKUP($I1329,Dashboard!$Q$9:$R$13,2,FALSE)*IF(ISNUMBER(SEARCH("Duals",$B1329)),2,IF(ISNUMBER(SEARCH("Triples",$B1329)),3,IF(ISNUMBER(SEARCH("Quads",$B1329)),4,1))),2),ROUND(VLOOKUP($I1329,Dashboard!$Q$15:$R$20,2,FALSE)*IF($E1329="Red",Dashboard!$R$6,IF($E1329="Gold",Dashboard!$R$7,Dashboard!$R$5))*IF(ISNUMBER(SEARCH("Duals",$B1329)),2,IF(ISNUMBER(SEARCH("Triples",$B1329)),3,IF(ISNUMBER(SEARCH("Quads",$B1329)),4,1))),2))*IF(IFERROR(VLOOKUP($B1329,Dashboard!$Q$28:$S$60,3,FALSE),0)&gt;0,VLOOKUP($B1329,Dashboard!$Q$28:$S$60,3,FALSE),1))),0))</f>
        <v>143</v>
      </c>
      <c r="K1329" s="2" t="str">
        <f>IF('Base S2'!I29="","",'Base S2'!I29)</f>
        <v>V 7/7</v>
      </c>
      <c r="L1329" s="2">
        <f t="shared" si="260"/>
        <v>1</v>
      </c>
      <c r="M1329" s="2">
        <f t="shared" si="261"/>
        <v>0</v>
      </c>
      <c r="N1329" s="2">
        <f t="shared" si="262"/>
        <v>1</v>
      </c>
      <c r="O1329" s="2">
        <f t="shared" si="263"/>
        <v>0</v>
      </c>
      <c r="P1329" s="112">
        <f t="shared" si="264"/>
        <v>143</v>
      </c>
      <c r="Q1329" s="112">
        <f t="shared" si="265"/>
        <v>0</v>
      </c>
      <c r="R1329" s="53"/>
      <c r="S1329" s="53" t="str">
        <f t="shared" si="266"/>
        <v>Base S2|The Seven Parallel - Season 2|128|The Seven</v>
      </c>
      <c r="T1329" s="57" t="str">
        <f>IF($S1329="","",IFERROR(VLOOKUP($S1329,'Pop Estimates (Non-#d)'!$N$2:$O$500,2,FALSE),""))</f>
        <v/>
      </c>
      <c r="U1329" s="57">
        <f t="shared" si="267"/>
        <v>7</v>
      </c>
      <c r="V1329" s="53" t="str">
        <f t="shared" si="268"/>
        <v/>
      </c>
      <c r="W1329" s="53" t="str">
        <f t="shared" si="269"/>
        <v/>
      </c>
      <c r="X1329" s="53" t="str">
        <f t="shared" si="270"/>
        <v/>
      </c>
      <c r="Y1329" s="57" t="str">
        <f>IF($X1329="","",IFERROR(VLOOKUP($X1329,'Char Popularity'!$A$2:$C$500,2,FALSE),""))</f>
        <v/>
      </c>
      <c r="Z1329" s="56">
        <f>IF($X1329="",1,IFERROR(VLOOKUP($X1329,'Char Popularity'!$A$2:$C$500,3,FALSE),1))</f>
        <v>1</v>
      </c>
      <c r="AA1329" s="62">
        <f>IF($H1329&lt;&gt;"Y",0,(IF($F1329&lt;&gt;"",ROUND(Dashboard!$R$4/$F1329,1),IF(AND($I1329="Base",$E1329="Base"),Dashboard!$R$5,IF(AND($I1329="Base",$E1329="Red"),Dashboard!$R$6,IF(AND($I1329="Base",$E1329="Gold"),Dashboard!$R$7,VLOOKUP($I1329,Dashboard!$Q$16:$R$21,2,FALSE)))))*VLOOKUP($I1329,Dashboard!$Q$9:$R$13,2,FALSE)*IF(AND($I1329="Auto",$F1329="",OR($B1329="Autographs Duals",$B1329="Autographs Triples",$B1329="Autographs Quads",$B1329="Autographs Quads (Inscribed)")),IF($B1329="Autographs Duals",2,IF($B1329="Autographs Triples",3,4)),1)))</f>
        <v>142.9</v>
      </c>
      <c r="AB1329" s="62">
        <f t="shared" si="271"/>
        <v>142.9</v>
      </c>
      <c r="AC1329" s="62">
        <f t="shared" si="272"/>
        <v>0</v>
      </c>
    </row>
    <row r="1330" spans="1:29" ht="42.95" customHeight="1" x14ac:dyDescent="0.25">
      <c r="A1330" s="4" t="s">
        <v>19</v>
      </c>
      <c r="B1330" s="7" t="s">
        <v>82</v>
      </c>
      <c r="C1330" s="2" t="s">
        <v>1528</v>
      </c>
      <c r="D1330" s="7" t="s">
        <v>1088</v>
      </c>
      <c r="E1330" s="4" t="s">
        <v>689</v>
      </c>
      <c r="F1330" s="2">
        <v>7</v>
      </c>
      <c r="G1330" s="2" t="s">
        <v>1399</v>
      </c>
      <c r="H1330" s="2" t="s">
        <v>1400</v>
      </c>
      <c r="I1330" s="4" t="s">
        <v>60</v>
      </c>
      <c r="J1330" s="112">
        <f>IF($H1330&lt;&gt;"Y",0,ROUND(MIN(Dashboard!$R$24,IF(IFERROR(VLOOKUP($B1330,Dashboard!$Q$28:$S$60,2,FALSE),0)&gt;0,IFERROR(VLOOKUP($B1330,Dashboard!$Q$28:$S$60,2,FALSE),0),$Z1330*IF($U1330&lt;&gt;"",ROUND((Dashboard!$R$4/$U1330)*VLOOKUP($I1330,Dashboard!$Q$9:$R$13,2,FALSE)*IF(ISNUMBER(SEARCH("Duals",$B1330)),2,IF(ISNUMBER(SEARCH("Triples",$B1330)),3,IF(ISNUMBER(SEARCH("Quads",$B1330)),4,1))),2),ROUND(VLOOKUP($I1330,Dashboard!$Q$15:$R$20,2,FALSE)*IF($E1330="Red",Dashboard!$R$6,IF($E1330="Gold",Dashboard!$R$7,Dashboard!$R$5))*IF(ISNUMBER(SEARCH("Duals",$B1330)),2,IF(ISNUMBER(SEARCH("Triples",$B1330)),3,IF(ISNUMBER(SEARCH("Quads",$B1330)),4,1))),2))*IF(IFERROR(VLOOKUP($B1330,Dashboard!$Q$28:$S$60,3,FALSE),0)&gt;0,VLOOKUP($B1330,Dashboard!$Q$28:$S$60,3,FALSE),1))),0))</f>
        <v>143</v>
      </c>
      <c r="K1330" s="2" t="str">
        <f>IF('Base S2'!I30="","",'Base S2'!I30)</f>
        <v>C 2/7</v>
      </c>
      <c r="L1330" s="2">
        <f t="shared" si="260"/>
        <v>1</v>
      </c>
      <c r="M1330" s="2">
        <f t="shared" si="261"/>
        <v>0</v>
      </c>
      <c r="N1330" s="2">
        <f t="shared" si="262"/>
        <v>1</v>
      </c>
      <c r="O1330" s="2">
        <f t="shared" si="263"/>
        <v>0</v>
      </c>
      <c r="P1330" s="112">
        <f t="shared" si="264"/>
        <v>143</v>
      </c>
      <c r="Q1330" s="112">
        <f t="shared" si="265"/>
        <v>0</v>
      </c>
      <c r="R1330" s="53"/>
      <c r="S1330" s="53" t="str">
        <f t="shared" si="266"/>
        <v>Base S2|The Seven Parallel - Season 2|129|The Seven</v>
      </c>
      <c r="T1330" s="57" t="str">
        <f>IF($S1330="","",IFERROR(VLOOKUP($S1330,'Pop Estimates (Non-#d)'!$N$2:$O$500,2,FALSE),""))</f>
        <v/>
      </c>
      <c r="U1330" s="57">
        <f t="shared" si="267"/>
        <v>7</v>
      </c>
      <c r="V1330" s="53" t="str">
        <f t="shared" si="268"/>
        <v/>
      </c>
      <c r="W1330" s="53" t="str">
        <f t="shared" si="269"/>
        <v/>
      </c>
      <c r="X1330" s="53" t="str">
        <f t="shared" si="270"/>
        <v/>
      </c>
      <c r="Y1330" s="57" t="str">
        <f>IF($X1330="","",IFERROR(VLOOKUP($X1330,'Char Popularity'!$A$2:$C$500,2,FALSE),""))</f>
        <v/>
      </c>
      <c r="Z1330" s="56">
        <f>IF($X1330="",1,IFERROR(VLOOKUP($X1330,'Char Popularity'!$A$2:$C$500,3,FALSE),1))</f>
        <v>1</v>
      </c>
      <c r="AA1330" s="62">
        <f>IF($H1330&lt;&gt;"Y",0,(IF($F1330&lt;&gt;"",ROUND(Dashboard!$R$4/$F1330,1),IF(AND($I1330="Base",$E1330="Base"),Dashboard!$R$5,IF(AND($I1330="Base",$E1330="Red"),Dashboard!$R$6,IF(AND($I1330="Base",$E1330="Gold"),Dashboard!$R$7,VLOOKUP($I1330,Dashboard!$Q$16:$R$21,2,FALSE)))))*VLOOKUP($I1330,Dashboard!$Q$9:$R$13,2,FALSE)*IF(AND($I1330="Auto",$F1330="",OR($B1330="Autographs Duals",$B1330="Autographs Triples",$B1330="Autographs Quads",$B1330="Autographs Quads (Inscribed)")),IF($B1330="Autographs Duals",2,IF($B1330="Autographs Triples",3,4)),1)))</f>
        <v>142.9</v>
      </c>
      <c r="AB1330" s="62">
        <f t="shared" si="271"/>
        <v>142.9</v>
      </c>
      <c r="AC1330" s="62">
        <f t="shared" si="272"/>
        <v>0</v>
      </c>
    </row>
    <row r="1331" spans="1:29" ht="42.95" customHeight="1" x14ac:dyDescent="0.25">
      <c r="A1331" s="4" t="s">
        <v>19</v>
      </c>
      <c r="B1331" s="7" t="s">
        <v>82</v>
      </c>
      <c r="C1331" s="2" t="s">
        <v>1529</v>
      </c>
      <c r="D1331" s="7" t="s">
        <v>1091</v>
      </c>
      <c r="E1331" s="4" t="s">
        <v>689</v>
      </c>
      <c r="F1331" s="2">
        <v>7</v>
      </c>
      <c r="G1331" s="2" t="s">
        <v>1399</v>
      </c>
      <c r="H1331" s="2" t="s">
        <v>1400</v>
      </c>
      <c r="I1331" s="4" t="s">
        <v>60</v>
      </c>
      <c r="J1331" s="112">
        <f>IF($H1331&lt;&gt;"Y",0,ROUND(MIN(Dashboard!$R$24,IF(IFERROR(VLOOKUP($B1331,Dashboard!$Q$28:$S$60,2,FALSE),0)&gt;0,IFERROR(VLOOKUP($B1331,Dashboard!$Q$28:$S$60,2,FALSE),0),$Z1331*IF($U1331&lt;&gt;"",ROUND((Dashboard!$R$4/$U1331)*VLOOKUP($I1331,Dashboard!$Q$9:$R$13,2,FALSE)*IF(ISNUMBER(SEARCH("Duals",$B1331)),2,IF(ISNUMBER(SEARCH("Triples",$B1331)),3,IF(ISNUMBER(SEARCH("Quads",$B1331)),4,1))),2),ROUND(VLOOKUP($I1331,Dashboard!$Q$15:$R$20,2,FALSE)*IF($E1331="Red",Dashboard!$R$6,IF($E1331="Gold",Dashboard!$R$7,Dashboard!$R$5))*IF(ISNUMBER(SEARCH("Duals",$B1331)),2,IF(ISNUMBER(SEARCH("Triples",$B1331)),3,IF(ISNUMBER(SEARCH("Quads",$B1331)),4,1))),2))*IF(IFERROR(VLOOKUP($B1331,Dashboard!$Q$28:$S$60,3,FALSE),0)&gt;0,VLOOKUP($B1331,Dashboard!$Q$28:$S$60,3,FALSE),1))),0))</f>
        <v>143</v>
      </c>
      <c r="K1331" s="2" t="str">
        <f>IF('Base S2'!I31="","",'Base S2'!I31)</f>
        <v>C 6/7</v>
      </c>
      <c r="L1331" s="2">
        <f t="shared" si="260"/>
        <v>1</v>
      </c>
      <c r="M1331" s="2">
        <f t="shared" si="261"/>
        <v>0</v>
      </c>
      <c r="N1331" s="2">
        <f t="shared" si="262"/>
        <v>1</v>
      </c>
      <c r="O1331" s="2">
        <f t="shared" si="263"/>
        <v>0</v>
      </c>
      <c r="P1331" s="112">
        <f t="shared" si="264"/>
        <v>143</v>
      </c>
      <c r="Q1331" s="112">
        <f t="shared" si="265"/>
        <v>0</v>
      </c>
      <c r="R1331" s="53"/>
      <c r="S1331" s="53" t="str">
        <f t="shared" si="266"/>
        <v>Base S2|The Seven Parallel - Season 2|130|The Seven</v>
      </c>
      <c r="T1331" s="57" t="str">
        <f>IF($S1331="","",IFERROR(VLOOKUP($S1331,'Pop Estimates (Non-#d)'!$N$2:$O$500,2,FALSE),""))</f>
        <v/>
      </c>
      <c r="U1331" s="57">
        <f t="shared" si="267"/>
        <v>7</v>
      </c>
      <c r="V1331" s="53" t="str">
        <f t="shared" si="268"/>
        <v/>
      </c>
      <c r="W1331" s="53" t="str">
        <f t="shared" si="269"/>
        <v/>
      </c>
      <c r="X1331" s="53" t="str">
        <f t="shared" si="270"/>
        <v/>
      </c>
      <c r="Y1331" s="57" t="str">
        <f>IF($X1331="","",IFERROR(VLOOKUP($X1331,'Char Popularity'!$A$2:$C$500,2,FALSE),""))</f>
        <v/>
      </c>
      <c r="Z1331" s="56">
        <f>IF($X1331="",1,IFERROR(VLOOKUP($X1331,'Char Popularity'!$A$2:$C$500,3,FALSE),1))</f>
        <v>1</v>
      </c>
      <c r="AA1331" s="62">
        <f>IF($H1331&lt;&gt;"Y",0,(IF($F1331&lt;&gt;"",ROUND(Dashboard!$R$4/$F1331,1),IF(AND($I1331="Base",$E1331="Base"),Dashboard!$R$5,IF(AND($I1331="Base",$E1331="Red"),Dashboard!$R$6,IF(AND($I1331="Base",$E1331="Gold"),Dashboard!$R$7,VLOOKUP($I1331,Dashboard!$Q$16:$R$21,2,FALSE)))))*VLOOKUP($I1331,Dashboard!$Q$9:$R$13,2,FALSE)*IF(AND($I1331="Auto",$F1331="",OR($B1331="Autographs Duals",$B1331="Autographs Triples",$B1331="Autographs Quads",$B1331="Autographs Quads (Inscribed)")),IF($B1331="Autographs Duals",2,IF($B1331="Autographs Triples",3,4)),1)))</f>
        <v>142.9</v>
      </c>
      <c r="AB1331" s="62">
        <f t="shared" si="271"/>
        <v>142.9</v>
      </c>
      <c r="AC1331" s="62">
        <f t="shared" si="272"/>
        <v>0</v>
      </c>
    </row>
    <row r="1332" spans="1:29" ht="42.95" customHeight="1" x14ac:dyDescent="0.25">
      <c r="A1332" s="4" t="s">
        <v>19</v>
      </c>
      <c r="B1332" s="7" t="s">
        <v>82</v>
      </c>
      <c r="C1332" s="2" t="s">
        <v>1530</v>
      </c>
      <c r="D1332" s="7" t="s">
        <v>1093</v>
      </c>
      <c r="E1332" s="4" t="s">
        <v>689</v>
      </c>
      <c r="F1332" s="2">
        <v>7</v>
      </c>
      <c r="G1332" s="2" t="s">
        <v>1399</v>
      </c>
      <c r="H1332" s="2" t="s">
        <v>1400</v>
      </c>
      <c r="I1332" s="4" t="s">
        <v>60</v>
      </c>
      <c r="J1332" s="112">
        <f>IF($H1332&lt;&gt;"Y",0,ROUND(MIN(Dashboard!$R$24,IF(IFERROR(VLOOKUP($B1332,Dashboard!$Q$28:$S$60,2,FALSE),0)&gt;0,IFERROR(VLOOKUP($B1332,Dashboard!$Q$28:$S$60,2,FALSE),0),$Z1332*IF($U1332&lt;&gt;"",ROUND((Dashboard!$R$4/$U1332)*VLOOKUP($I1332,Dashboard!$Q$9:$R$13,2,FALSE)*IF(ISNUMBER(SEARCH("Duals",$B1332)),2,IF(ISNUMBER(SEARCH("Triples",$B1332)),3,IF(ISNUMBER(SEARCH("Quads",$B1332)),4,1))),2),ROUND(VLOOKUP($I1332,Dashboard!$Q$15:$R$20,2,FALSE)*IF($E1332="Red",Dashboard!$R$6,IF($E1332="Gold",Dashboard!$R$7,Dashboard!$R$5))*IF(ISNUMBER(SEARCH("Duals",$B1332)),2,IF(ISNUMBER(SEARCH("Triples",$B1332)),3,IF(ISNUMBER(SEARCH("Quads",$B1332)),4,1))),2))*IF(IFERROR(VLOOKUP($B1332,Dashboard!$Q$28:$S$60,3,FALSE),0)&gt;0,VLOOKUP($B1332,Dashboard!$Q$28:$S$60,3,FALSE),1))),0))</f>
        <v>143</v>
      </c>
      <c r="K1332" s="2" t="str">
        <f>IF('Base S2'!I32="","",'Base S2'!I32)</f>
        <v/>
      </c>
      <c r="L1332" s="2">
        <f t="shared" si="260"/>
        <v>0</v>
      </c>
      <c r="M1332" s="2">
        <f t="shared" si="261"/>
        <v>0</v>
      </c>
      <c r="N1332" s="2">
        <f t="shared" si="262"/>
        <v>0</v>
      </c>
      <c r="O1332" s="2">
        <f t="shared" si="263"/>
        <v>1</v>
      </c>
      <c r="P1332" s="112">
        <f t="shared" si="264"/>
        <v>0</v>
      </c>
      <c r="Q1332" s="112">
        <f t="shared" si="265"/>
        <v>0</v>
      </c>
      <c r="R1332" s="53"/>
      <c r="S1332" s="53" t="str">
        <f t="shared" si="266"/>
        <v>Base S2|The Seven Parallel - Season 2|131|The Seven</v>
      </c>
      <c r="T1332" s="57" t="str">
        <f>IF($S1332="","",IFERROR(VLOOKUP($S1332,'Pop Estimates (Non-#d)'!$N$2:$O$500,2,FALSE),""))</f>
        <v/>
      </c>
      <c r="U1332" s="57">
        <f t="shared" si="267"/>
        <v>7</v>
      </c>
      <c r="V1332" s="53" t="str">
        <f t="shared" si="268"/>
        <v/>
      </c>
      <c r="W1332" s="53" t="str">
        <f t="shared" si="269"/>
        <v/>
      </c>
      <c r="X1332" s="53" t="str">
        <f t="shared" si="270"/>
        <v/>
      </c>
      <c r="Y1332" s="57" t="str">
        <f>IF($X1332="","",IFERROR(VLOOKUP($X1332,'Char Popularity'!$A$2:$C$500,2,FALSE),""))</f>
        <v/>
      </c>
      <c r="Z1332" s="56">
        <f>IF($X1332="",1,IFERROR(VLOOKUP($X1332,'Char Popularity'!$A$2:$C$500,3,FALSE),1))</f>
        <v>1</v>
      </c>
      <c r="AA1332" s="62">
        <f>IF($H1332&lt;&gt;"Y",0,(IF($F1332&lt;&gt;"",ROUND(Dashboard!$R$4/$F1332,1),IF(AND($I1332="Base",$E1332="Base"),Dashboard!$R$5,IF(AND($I1332="Base",$E1332="Red"),Dashboard!$R$6,IF(AND($I1332="Base",$E1332="Gold"),Dashboard!$R$7,VLOOKUP($I1332,Dashboard!$Q$16:$R$21,2,FALSE)))))*VLOOKUP($I1332,Dashboard!$Q$9:$R$13,2,FALSE)*IF(AND($I1332="Auto",$F1332="",OR($B1332="Autographs Duals",$B1332="Autographs Triples",$B1332="Autographs Quads",$B1332="Autographs Quads (Inscribed)")),IF($B1332="Autographs Duals",2,IF($B1332="Autographs Triples",3,4)),1)))</f>
        <v>142.9</v>
      </c>
      <c r="AB1332" s="62">
        <f t="shared" si="271"/>
        <v>0</v>
      </c>
      <c r="AC1332" s="62">
        <f t="shared" si="272"/>
        <v>0</v>
      </c>
    </row>
    <row r="1333" spans="1:29" ht="42.95" customHeight="1" x14ac:dyDescent="0.25">
      <c r="A1333" s="4" t="s">
        <v>19</v>
      </c>
      <c r="B1333" s="7" t="s">
        <v>82</v>
      </c>
      <c r="C1333" s="2" t="s">
        <v>1531</v>
      </c>
      <c r="D1333" s="7" t="s">
        <v>1096</v>
      </c>
      <c r="E1333" s="4" t="s">
        <v>689</v>
      </c>
      <c r="F1333" s="2">
        <v>7</v>
      </c>
      <c r="G1333" s="2" t="s">
        <v>1399</v>
      </c>
      <c r="H1333" s="2" t="s">
        <v>1400</v>
      </c>
      <c r="I1333" s="4" t="s">
        <v>60</v>
      </c>
      <c r="J1333" s="112">
        <f>IF($H1333&lt;&gt;"Y",0,ROUND(MIN(Dashboard!$R$24,IF(IFERROR(VLOOKUP($B1333,Dashboard!$Q$28:$S$60,2,FALSE),0)&gt;0,IFERROR(VLOOKUP($B1333,Dashboard!$Q$28:$S$60,2,FALSE),0),$Z1333*IF($U1333&lt;&gt;"",ROUND((Dashboard!$R$4/$U1333)*VLOOKUP($I1333,Dashboard!$Q$9:$R$13,2,FALSE)*IF(ISNUMBER(SEARCH("Duals",$B1333)),2,IF(ISNUMBER(SEARCH("Triples",$B1333)),3,IF(ISNUMBER(SEARCH("Quads",$B1333)),4,1))),2),ROUND(VLOOKUP($I1333,Dashboard!$Q$15:$R$20,2,FALSE)*IF($E1333="Red",Dashboard!$R$6,IF($E1333="Gold",Dashboard!$R$7,Dashboard!$R$5))*IF(ISNUMBER(SEARCH("Duals",$B1333)),2,IF(ISNUMBER(SEARCH("Triples",$B1333)),3,IF(ISNUMBER(SEARCH("Quads",$B1333)),4,1))),2))*IF(IFERROR(VLOOKUP($B1333,Dashboard!$Q$28:$S$60,3,FALSE),0)&gt;0,VLOOKUP($B1333,Dashboard!$Q$28:$S$60,3,FALSE),1))),0))</f>
        <v>143</v>
      </c>
      <c r="K1333" s="2" t="str">
        <f>IF('Base S2'!I33="","",'Base S2'!I33)</f>
        <v/>
      </c>
      <c r="L1333" s="2">
        <f t="shared" si="260"/>
        <v>0</v>
      </c>
      <c r="M1333" s="2">
        <f t="shared" si="261"/>
        <v>0</v>
      </c>
      <c r="N1333" s="2">
        <f t="shared" si="262"/>
        <v>0</v>
      </c>
      <c r="O1333" s="2">
        <f t="shared" si="263"/>
        <v>1</v>
      </c>
      <c r="P1333" s="112">
        <f t="shared" si="264"/>
        <v>0</v>
      </c>
      <c r="Q1333" s="112">
        <f t="shared" si="265"/>
        <v>0</v>
      </c>
      <c r="R1333" s="53"/>
      <c r="S1333" s="53" t="str">
        <f t="shared" si="266"/>
        <v>Base S2|The Seven Parallel - Season 2|132|The Seven</v>
      </c>
      <c r="T1333" s="57" t="str">
        <f>IF($S1333="","",IFERROR(VLOOKUP($S1333,'Pop Estimates (Non-#d)'!$N$2:$O$500,2,FALSE),""))</f>
        <v/>
      </c>
      <c r="U1333" s="57">
        <f t="shared" si="267"/>
        <v>7</v>
      </c>
      <c r="V1333" s="53" t="str">
        <f t="shared" si="268"/>
        <v/>
      </c>
      <c r="W1333" s="53" t="str">
        <f t="shared" si="269"/>
        <v/>
      </c>
      <c r="X1333" s="53" t="str">
        <f t="shared" si="270"/>
        <v/>
      </c>
      <c r="Y1333" s="57" t="str">
        <f>IF($X1333="","",IFERROR(VLOOKUP($X1333,'Char Popularity'!$A$2:$C$500,2,FALSE),""))</f>
        <v/>
      </c>
      <c r="Z1333" s="56">
        <f>IF($X1333="",1,IFERROR(VLOOKUP($X1333,'Char Popularity'!$A$2:$C$500,3,FALSE),1))</f>
        <v>1</v>
      </c>
      <c r="AA1333" s="62">
        <f>IF($H1333&lt;&gt;"Y",0,(IF($F1333&lt;&gt;"",ROUND(Dashboard!$R$4/$F1333,1),IF(AND($I1333="Base",$E1333="Base"),Dashboard!$R$5,IF(AND($I1333="Base",$E1333="Red"),Dashboard!$R$6,IF(AND($I1333="Base",$E1333="Gold"),Dashboard!$R$7,VLOOKUP($I1333,Dashboard!$Q$16:$R$21,2,FALSE)))))*VLOOKUP($I1333,Dashboard!$Q$9:$R$13,2,FALSE)*IF(AND($I1333="Auto",$F1333="",OR($B1333="Autographs Duals",$B1333="Autographs Triples",$B1333="Autographs Quads",$B1333="Autographs Quads (Inscribed)")),IF($B1333="Autographs Duals",2,IF($B1333="Autographs Triples",3,4)),1)))</f>
        <v>142.9</v>
      </c>
      <c r="AB1333" s="62">
        <f t="shared" si="271"/>
        <v>0</v>
      </c>
      <c r="AC1333" s="62">
        <f t="shared" si="272"/>
        <v>0</v>
      </c>
    </row>
    <row r="1334" spans="1:29" ht="42.95" customHeight="1" x14ac:dyDescent="0.25">
      <c r="A1334" s="4" t="s">
        <v>19</v>
      </c>
      <c r="B1334" s="7" t="s">
        <v>82</v>
      </c>
      <c r="C1334" s="2" t="s">
        <v>1532</v>
      </c>
      <c r="D1334" s="7" t="s">
        <v>1097</v>
      </c>
      <c r="E1334" s="4" t="s">
        <v>689</v>
      </c>
      <c r="F1334" s="2">
        <v>7</v>
      </c>
      <c r="G1334" s="2" t="s">
        <v>1399</v>
      </c>
      <c r="H1334" s="2" t="s">
        <v>1400</v>
      </c>
      <c r="I1334" s="4" t="s">
        <v>60</v>
      </c>
      <c r="J1334" s="112">
        <f>IF($H1334&lt;&gt;"Y",0,ROUND(MIN(Dashboard!$R$24,IF(IFERROR(VLOOKUP($B1334,Dashboard!$Q$28:$S$60,2,FALSE),0)&gt;0,IFERROR(VLOOKUP($B1334,Dashboard!$Q$28:$S$60,2,FALSE),0),$Z1334*IF($U1334&lt;&gt;"",ROUND((Dashboard!$R$4/$U1334)*VLOOKUP($I1334,Dashboard!$Q$9:$R$13,2,FALSE)*IF(ISNUMBER(SEARCH("Duals",$B1334)),2,IF(ISNUMBER(SEARCH("Triples",$B1334)),3,IF(ISNUMBER(SEARCH("Quads",$B1334)),4,1))),2),ROUND(VLOOKUP($I1334,Dashboard!$Q$15:$R$20,2,FALSE)*IF($E1334="Red",Dashboard!$R$6,IF($E1334="Gold",Dashboard!$R$7,Dashboard!$R$5))*IF(ISNUMBER(SEARCH("Duals",$B1334)),2,IF(ISNUMBER(SEARCH("Triples",$B1334)),3,IF(ISNUMBER(SEARCH("Quads",$B1334)),4,1))),2))*IF(IFERROR(VLOOKUP($B1334,Dashboard!$Q$28:$S$60,3,FALSE),0)&gt;0,VLOOKUP($B1334,Dashboard!$Q$28:$S$60,3,FALSE),1))),0))</f>
        <v>143</v>
      </c>
      <c r="K1334" s="2" t="str">
        <f>IF('Base S2'!I34="","",'Base S2'!I34)</f>
        <v/>
      </c>
      <c r="L1334" s="2">
        <f t="shared" si="260"/>
        <v>0</v>
      </c>
      <c r="M1334" s="2">
        <f t="shared" si="261"/>
        <v>0</v>
      </c>
      <c r="N1334" s="2">
        <f t="shared" si="262"/>
        <v>0</v>
      </c>
      <c r="O1334" s="2">
        <f t="shared" si="263"/>
        <v>1</v>
      </c>
      <c r="P1334" s="112">
        <f t="shared" si="264"/>
        <v>0</v>
      </c>
      <c r="Q1334" s="112">
        <f t="shared" si="265"/>
        <v>0</v>
      </c>
      <c r="R1334" s="53"/>
      <c r="S1334" s="53" t="str">
        <f t="shared" si="266"/>
        <v>Base S2|The Seven Parallel - Season 2|133|The Seven</v>
      </c>
      <c r="T1334" s="57" t="str">
        <f>IF($S1334="","",IFERROR(VLOOKUP($S1334,'Pop Estimates (Non-#d)'!$N$2:$O$500,2,FALSE),""))</f>
        <v/>
      </c>
      <c r="U1334" s="57">
        <f t="shared" si="267"/>
        <v>7</v>
      </c>
      <c r="V1334" s="53" t="str">
        <f t="shared" si="268"/>
        <v/>
      </c>
      <c r="W1334" s="53" t="str">
        <f t="shared" si="269"/>
        <v/>
      </c>
      <c r="X1334" s="53" t="str">
        <f t="shared" si="270"/>
        <v/>
      </c>
      <c r="Y1334" s="57" t="str">
        <f>IF($X1334="","",IFERROR(VLOOKUP($X1334,'Char Popularity'!$A$2:$C$500,2,FALSE),""))</f>
        <v/>
      </c>
      <c r="Z1334" s="56">
        <f>IF($X1334="",1,IFERROR(VLOOKUP($X1334,'Char Popularity'!$A$2:$C$500,3,FALSE),1))</f>
        <v>1</v>
      </c>
      <c r="AA1334" s="62">
        <f>IF($H1334&lt;&gt;"Y",0,(IF($F1334&lt;&gt;"",ROUND(Dashboard!$R$4/$F1334,1),IF(AND($I1334="Base",$E1334="Base"),Dashboard!$R$5,IF(AND($I1334="Base",$E1334="Red"),Dashboard!$R$6,IF(AND($I1334="Base",$E1334="Gold"),Dashboard!$R$7,VLOOKUP($I1334,Dashboard!$Q$16:$R$21,2,FALSE)))))*VLOOKUP($I1334,Dashboard!$Q$9:$R$13,2,FALSE)*IF(AND($I1334="Auto",$F1334="",OR($B1334="Autographs Duals",$B1334="Autographs Triples",$B1334="Autographs Quads",$B1334="Autographs Quads (Inscribed)")),IF($B1334="Autographs Duals",2,IF($B1334="Autographs Triples",3,4)),1)))</f>
        <v>142.9</v>
      </c>
      <c r="AB1334" s="62">
        <f t="shared" si="271"/>
        <v>0</v>
      </c>
      <c r="AC1334" s="62">
        <f t="shared" si="272"/>
        <v>0</v>
      </c>
    </row>
    <row r="1335" spans="1:29" ht="42.95" customHeight="1" x14ac:dyDescent="0.25">
      <c r="A1335" s="4" t="s">
        <v>19</v>
      </c>
      <c r="B1335" s="7" t="s">
        <v>82</v>
      </c>
      <c r="C1335" s="2" t="s">
        <v>1533</v>
      </c>
      <c r="D1335" s="7" t="s">
        <v>1099</v>
      </c>
      <c r="E1335" s="4" t="s">
        <v>689</v>
      </c>
      <c r="F1335" s="2">
        <v>7</v>
      </c>
      <c r="G1335" s="2" t="s">
        <v>1399</v>
      </c>
      <c r="H1335" s="2" t="s">
        <v>1400</v>
      </c>
      <c r="I1335" s="4" t="s">
        <v>60</v>
      </c>
      <c r="J1335" s="112">
        <f>IF($H1335&lt;&gt;"Y",0,ROUND(MIN(Dashboard!$R$24,IF(IFERROR(VLOOKUP($B1335,Dashboard!$Q$28:$S$60,2,FALSE),0)&gt;0,IFERROR(VLOOKUP($B1335,Dashboard!$Q$28:$S$60,2,FALSE),0),$Z1335*IF($U1335&lt;&gt;"",ROUND((Dashboard!$R$4/$U1335)*VLOOKUP($I1335,Dashboard!$Q$9:$R$13,2,FALSE)*IF(ISNUMBER(SEARCH("Duals",$B1335)),2,IF(ISNUMBER(SEARCH("Triples",$B1335)),3,IF(ISNUMBER(SEARCH("Quads",$B1335)),4,1))),2),ROUND(VLOOKUP($I1335,Dashboard!$Q$15:$R$20,2,FALSE)*IF($E1335="Red",Dashboard!$R$6,IF($E1335="Gold",Dashboard!$R$7,Dashboard!$R$5))*IF(ISNUMBER(SEARCH("Duals",$B1335)),2,IF(ISNUMBER(SEARCH("Triples",$B1335)),3,IF(ISNUMBER(SEARCH("Quads",$B1335)),4,1))),2))*IF(IFERROR(VLOOKUP($B1335,Dashboard!$Q$28:$S$60,3,FALSE),0)&gt;0,VLOOKUP($B1335,Dashboard!$Q$28:$S$60,3,FALSE),1))),0))</f>
        <v>143</v>
      </c>
      <c r="K1335" s="2" t="str">
        <f>IF('Base S2'!I35="","",'Base S2'!I35)</f>
        <v/>
      </c>
      <c r="L1335" s="2">
        <f t="shared" si="260"/>
        <v>0</v>
      </c>
      <c r="M1335" s="2">
        <f t="shared" si="261"/>
        <v>0</v>
      </c>
      <c r="N1335" s="2">
        <f t="shared" si="262"/>
        <v>0</v>
      </c>
      <c r="O1335" s="2">
        <f t="shared" si="263"/>
        <v>1</v>
      </c>
      <c r="P1335" s="112">
        <f t="shared" si="264"/>
        <v>0</v>
      </c>
      <c r="Q1335" s="112">
        <f t="shared" si="265"/>
        <v>0</v>
      </c>
      <c r="R1335" s="53"/>
      <c r="S1335" s="53" t="str">
        <f t="shared" si="266"/>
        <v>Base S2|The Seven Parallel - Season 2|134|The Seven</v>
      </c>
      <c r="T1335" s="57" t="str">
        <f>IF($S1335="","",IFERROR(VLOOKUP($S1335,'Pop Estimates (Non-#d)'!$N$2:$O$500,2,FALSE),""))</f>
        <v/>
      </c>
      <c r="U1335" s="57">
        <f t="shared" si="267"/>
        <v>7</v>
      </c>
      <c r="V1335" s="53" t="str">
        <f t="shared" si="268"/>
        <v/>
      </c>
      <c r="W1335" s="53" t="str">
        <f t="shared" si="269"/>
        <v/>
      </c>
      <c r="X1335" s="53" t="str">
        <f t="shared" si="270"/>
        <v/>
      </c>
      <c r="Y1335" s="57" t="str">
        <f>IF($X1335="","",IFERROR(VLOOKUP($X1335,'Char Popularity'!$A$2:$C$500,2,FALSE),""))</f>
        <v/>
      </c>
      <c r="Z1335" s="56">
        <f>IF($X1335="",1,IFERROR(VLOOKUP($X1335,'Char Popularity'!$A$2:$C$500,3,FALSE),1))</f>
        <v>1</v>
      </c>
      <c r="AA1335" s="62">
        <f>IF($H1335&lt;&gt;"Y",0,(IF($F1335&lt;&gt;"",ROUND(Dashboard!$R$4/$F1335,1),IF(AND($I1335="Base",$E1335="Base"),Dashboard!$R$5,IF(AND($I1335="Base",$E1335="Red"),Dashboard!$R$6,IF(AND($I1335="Base",$E1335="Gold"),Dashboard!$R$7,VLOOKUP($I1335,Dashboard!$Q$16:$R$21,2,FALSE)))))*VLOOKUP($I1335,Dashboard!$Q$9:$R$13,2,FALSE)*IF(AND($I1335="Auto",$F1335="",OR($B1335="Autographs Duals",$B1335="Autographs Triples",$B1335="Autographs Quads",$B1335="Autographs Quads (Inscribed)")),IF($B1335="Autographs Duals",2,IF($B1335="Autographs Triples",3,4)),1)))</f>
        <v>142.9</v>
      </c>
      <c r="AB1335" s="62">
        <f t="shared" si="271"/>
        <v>0</v>
      </c>
      <c r="AC1335" s="62">
        <f t="shared" si="272"/>
        <v>0</v>
      </c>
    </row>
    <row r="1336" spans="1:29" ht="42.95" customHeight="1" x14ac:dyDescent="0.25">
      <c r="A1336" s="4" t="s">
        <v>19</v>
      </c>
      <c r="B1336" s="7" t="s">
        <v>82</v>
      </c>
      <c r="C1336" s="2" t="s">
        <v>1534</v>
      </c>
      <c r="D1336" s="7" t="s">
        <v>1100</v>
      </c>
      <c r="E1336" s="4" t="s">
        <v>689</v>
      </c>
      <c r="F1336" s="2">
        <v>7</v>
      </c>
      <c r="G1336" s="2" t="s">
        <v>1399</v>
      </c>
      <c r="H1336" s="2" t="s">
        <v>1400</v>
      </c>
      <c r="I1336" s="4" t="s">
        <v>60</v>
      </c>
      <c r="J1336" s="112">
        <f>IF($H1336&lt;&gt;"Y",0,ROUND(MIN(Dashboard!$R$24,IF(IFERROR(VLOOKUP($B1336,Dashboard!$Q$28:$S$60,2,FALSE),0)&gt;0,IFERROR(VLOOKUP($B1336,Dashboard!$Q$28:$S$60,2,FALSE),0),$Z1336*IF($U1336&lt;&gt;"",ROUND((Dashboard!$R$4/$U1336)*VLOOKUP($I1336,Dashboard!$Q$9:$R$13,2,FALSE)*IF(ISNUMBER(SEARCH("Duals",$B1336)),2,IF(ISNUMBER(SEARCH("Triples",$B1336)),3,IF(ISNUMBER(SEARCH("Quads",$B1336)),4,1))),2),ROUND(VLOOKUP($I1336,Dashboard!$Q$15:$R$20,2,FALSE)*IF($E1336="Red",Dashboard!$R$6,IF($E1336="Gold",Dashboard!$R$7,Dashboard!$R$5))*IF(ISNUMBER(SEARCH("Duals",$B1336)),2,IF(ISNUMBER(SEARCH("Triples",$B1336)),3,IF(ISNUMBER(SEARCH("Quads",$B1336)),4,1))),2))*IF(IFERROR(VLOOKUP($B1336,Dashboard!$Q$28:$S$60,3,FALSE),0)&gt;0,VLOOKUP($B1336,Dashboard!$Q$28:$S$60,3,FALSE),1))),0))</f>
        <v>143</v>
      </c>
      <c r="K1336" s="2" t="str">
        <f>IF('Base S2'!I36="","",'Base S2'!I36)</f>
        <v/>
      </c>
      <c r="L1336" s="2">
        <f t="shared" si="260"/>
        <v>0</v>
      </c>
      <c r="M1336" s="2">
        <f t="shared" si="261"/>
        <v>0</v>
      </c>
      <c r="N1336" s="2">
        <f t="shared" si="262"/>
        <v>0</v>
      </c>
      <c r="O1336" s="2">
        <f t="shared" si="263"/>
        <v>1</v>
      </c>
      <c r="P1336" s="112">
        <f t="shared" si="264"/>
        <v>0</v>
      </c>
      <c r="Q1336" s="112">
        <f t="shared" si="265"/>
        <v>0</v>
      </c>
      <c r="R1336" s="53"/>
      <c r="S1336" s="53" t="str">
        <f t="shared" si="266"/>
        <v>Base S2|The Seven Parallel - Season 2|135|The Seven</v>
      </c>
      <c r="T1336" s="57" t="str">
        <f>IF($S1336="","",IFERROR(VLOOKUP($S1336,'Pop Estimates (Non-#d)'!$N$2:$O$500,2,FALSE),""))</f>
        <v/>
      </c>
      <c r="U1336" s="57">
        <f t="shared" si="267"/>
        <v>7</v>
      </c>
      <c r="V1336" s="53" t="str">
        <f t="shared" si="268"/>
        <v/>
      </c>
      <c r="W1336" s="53" t="str">
        <f t="shared" si="269"/>
        <v/>
      </c>
      <c r="X1336" s="53" t="str">
        <f t="shared" si="270"/>
        <v/>
      </c>
      <c r="Y1336" s="57" t="str">
        <f>IF($X1336="","",IFERROR(VLOOKUP($X1336,'Char Popularity'!$A$2:$C$500,2,FALSE),""))</f>
        <v/>
      </c>
      <c r="Z1336" s="56">
        <f>IF($X1336="",1,IFERROR(VLOOKUP($X1336,'Char Popularity'!$A$2:$C$500,3,FALSE),1))</f>
        <v>1</v>
      </c>
      <c r="AA1336" s="62">
        <f>IF($H1336&lt;&gt;"Y",0,(IF($F1336&lt;&gt;"",ROUND(Dashboard!$R$4/$F1336,1),IF(AND($I1336="Base",$E1336="Base"),Dashboard!$R$5,IF(AND($I1336="Base",$E1336="Red"),Dashboard!$R$6,IF(AND($I1336="Base",$E1336="Gold"),Dashboard!$R$7,VLOOKUP($I1336,Dashboard!$Q$16:$R$21,2,FALSE)))))*VLOOKUP($I1336,Dashboard!$Q$9:$R$13,2,FALSE)*IF(AND($I1336="Auto",$F1336="",OR($B1336="Autographs Duals",$B1336="Autographs Triples",$B1336="Autographs Quads",$B1336="Autographs Quads (Inscribed)")),IF($B1336="Autographs Duals",2,IF($B1336="Autographs Triples",3,4)),1)))</f>
        <v>142.9</v>
      </c>
      <c r="AB1336" s="62">
        <f t="shared" si="271"/>
        <v>0</v>
      </c>
      <c r="AC1336" s="62">
        <f t="shared" si="272"/>
        <v>0</v>
      </c>
    </row>
    <row r="1337" spans="1:29" ht="42.95" customHeight="1" x14ac:dyDescent="0.25">
      <c r="A1337" s="4" t="s">
        <v>19</v>
      </c>
      <c r="B1337" s="7" t="s">
        <v>82</v>
      </c>
      <c r="C1337" s="2" t="s">
        <v>1535</v>
      </c>
      <c r="D1337" s="7" t="s">
        <v>1101</v>
      </c>
      <c r="E1337" s="4" t="s">
        <v>689</v>
      </c>
      <c r="F1337" s="2">
        <v>7</v>
      </c>
      <c r="G1337" s="2" t="s">
        <v>1399</v>
      </c>
      <c r="H1337" s="2" t="s">
        <v>1400</v>
      </c>
      <c r="I1337" s="4" t="s">
        <v>60</v>
      </c>
      <c r="J1337" s="112">
        <f>IF($H1337&lt;&gt;"Y",0,ROUND(MIN(Dashboard!$R$24,IF(IFERROR(VLOOKUP($B1337,Dashboard!$Q$28:$S$60,2,FALSE),0)&gt;0,IFERROR(VLOOKUP($B1337,Dashboard!$Q$28:$S$60,2,FALSE),0),$Z1337*IF($U1337&lt;&gt;"",ROUND((Dashboard!$R$4/$U1337)*VLOOKUP($I1337,Dashboard!$Q$9:$R$13,2,FALSE)*IF(ISNUMBER(SEARCH("Duals",$B1337)),2,IF(ISNUMBER(SEARCH("Triples",$B1337)),3,IF(ISNUMBER(SEARCH("Quads",$B1337)),4,1))),2),ROUND(VLOOKUP($I1337,Dashboard!$Q$15:$R$20,2,FALSE)*IF($E1337="Red",Dashboard!$R$6,IF($E1337="Gold",Dashboard!$R$7,Dashboard!$R$5))*IF(ISNUMBER(SEARCH("Duals",$B1337)),2,IF(ISNUMBER(SEARCH("Triples",$B1337)),3,IF(ISNUMBER(SEARCH("Quads",$B1337)),4,1))),2))*IF(IFERROR(VLOOKUP($B1337,Dashboard!$Q$28:$S$60,3,FALSE),0)&gt;0,VLOOKUP($B1337,Dashboard!$Q$28:$S$60,3,FALSE),1))),0))</f>
        <v>143</v>
      </c>
      <c r="K1337" s="2" t="str">
        <f>IF('Base S2'!I37="","",'Base S2'!I37)</f>
        <v/>
      </c>
      <c r="L1337" s="2">
        <f t="shared" si="260"/>
        <v>0</v>
      </c>
      <c r="M1337" s="2">
        <f t="shared" si="261"/>
        <v>0</v>
      </c>
      <c r="N1337" s="2">
        <f t="shared" si="262"/>
        <v>0</v>
      </c>
      <c r="O1337" s="2">
        <f t="shared" si="263"/>
        <v>1</v>
      </c>
      <c r="P1337" s="112">
        <f t="shared" si="264"/>
        <v>0</v>
      </c>
      <c r="Q1337" s="112">
        <f t="shared" si="265"/>
        <v>0</v>
      </c>
      <c r="R1337" s="53"/>
      <c r="S1337" s="53" t="str">
        <f t="shared" si="266"/>
        <v>Base S2|The Seven Parallel - Season 2|136|The Seven</v>
      </c>
      <c r="T1337" s="57" t="str">
        <f>IF($S1337="","",IFERROR(VLOOKUP($S1337,'Pop Estimates (Non-#d)'!$N$2:$O$500,2,FALSE),""))</f>
        <v/>
      </c>
      <c r="U1337" s="57">
        <f t="shared" si="267"/>
        <v>7</v>
      </c>
      <c r="V1337" s="53" t="str">
        <f t="shared" si="268"/>
        <v/>
      </c>
      <c r="W1337" s="53" t="str">
        <f t="shared" si="269"/>
        <v/>
      </c>
      <c r="X1337" s="53" t="str">
        <f t="shared" si="270"/>
        <v/>
      </c>
      <c r="Y1337" s="57" t="str">
        <f>IF($X1337="","",IFERROR(VLOOKUP($X1337,'Char Popularity'!$A$2:$C$500,2,FALSE),""))</f>
        <v/>
      </c>
      <c r="Z1337" s="56">
        <f>IF($X1337="",1,IFERROR(VLOOKUP($X1337,'Char Popularity'!$A$2:$C$500,3,FALSE),1))</f>
        <v>1</v>
      </c>
      <c r="AA1337" s="62">
        <f>IF($H1337&lt;&gt;"Y",0,(IF($F1337&lt;&gt;"",ROUND(Dashboard!$R$4/$F1337,1),IF(AND($I1337="Base",$E1337="Base"),Dashboard!$R$5,IF(AND($I1337="Base",$E1337="Red"),Dashboard!$R$6,IF(AND($I1337="Base",$E1337="Gold"),Dashboard!$R$7,VLOOKUP($I1337,Dashboard!$Q$16:$R$21,2,FALSE)))))*VLOOKUP($I1337,Dashboard!$Q$9:$R$13,2,FALSE)*IF(AND($I1337="Auto",$F1337="",OR($B1337="Autographs Duals",$B1337="Autographs Triples",$B1337="Autographs Quads",$B1337="Autographs Quads (Inscribed)")),IF($B1337="Autographs Duals",2,IF($B1337="Autographs Triples",3,4)),1)))</f>
        <v>142.9</v>
      </c>
      <c r="AB1337" s="62">
        <f t="shared" si="271"/>
        <v>0</v>
      </c>
      <c r="AC1337" s="62">
        <f t="shared" si="272"/>
        <v>0</v>
      </c>
    </row>
    <row r="1338" spans="1:29" ht="42.95" customHeight="1" x14ac:dyDescent="0.25">
      <c r="A1338" s="4" t="s">
        <v>19</v>
      </c>
      <c r="B1338" s="7" t="s">
        <v>82</v>
      </c>
      <c r="C1338" s="2" t="s">
        <v>1536</v>
      </c>
      <c r="D1338" s="7" t="s">
        <v>1103</v>
      </c>
      <c r="E1338" s="4" t="s">
        <v>689</v>
      </c>
      <c r="F1338" s="2">
        <v>7</v>
      </c>
      <c r="G1338" s="2" t="s">
        <v>1399</v>
      </c>
      <c r="H1338" s="2" t="s">
        <v>1400</v>
      </c>
      <c r="I1338" s="4" t="s">
        <v>60</v>
      </c>
      <c r="J1338" s="112">
        <f>IF($H1338&lt;&gt;"Y",0,ROUND(MIN(Dashboard!$R$24,IF(IFERROR(VLOOKUP($B1338,Dashboard!$Q$28:$S$60,2,FALSE),0)&gt;0,IFERROR(VLOOKUP($B1338,Dashboard!$Q$28:$S$60,2,FALSE),0),$Z1338*IF($U1338&lt;&gt;"",ROUND((Dashboard!$R$4/$U1338)*VLOOKUP($I1338,Dashboard!$Q$9:$R$13,2,FALSE)*IF(ISNUMBER(SEARCH("Duals",$B1338)),2,IF(ISNUMBER(SEARCH("Triples",$B1338)),3,IF(ISNUMBER(SEARCH("Quads",$B1338)),4,1))),2),ROUND(VLOOKUP($I1338,Dashboard!$Q$15:$R$20,2,FALSE)*IF($E1338="Red",Dashboard!$R$6,IF($E1338="Gold",Dashboard!$R$7,Dashboard!$R$5))*IF(ISNUMBER(SEARCH("Duals",$B1338)),2,IF(ISNUMBER(SEARCH("Triples",$B1338)),3,IF(ISNUMBER(SEARCH("Quads",$B1338)),4,1))),2))*IF(IFERROR(VLOOKUP($B1338,Dashboard!$Q$28:$S$60,3,FALSE),0)&gt;0,VLOOKUP($B1338,Dashboard!$Q$28:$S$60,3,FALSE),1))),0))</f>
        <v>143</v>
      </c>
      <c r="K1338" s="2" t="str">
        <f>IF('Base S2'!I38="","",'Base S2'!I38)</f>
        <v/>
      </c>
      <c r="L1338" s="2">
        <f t="shared" si="260"/>
        <v>0</v>
      </c>
      <c r="M1338" s="2">
        <f t="shared" si="261"/>
        <v>0</v>
      </c>
      <c r="N1338" s="2">
        <f t="shared" si="262"/>
        <v>0</v>
      </c>
      <c r="O1338" s="2">
        <f t="shared" si="263"/>
        <v>1</v>
      </c>
      <c r="P1338" s="112">
        <f t="shared" si="264"/>
        <v>0</v>
      </c>
      <c r="Q1338" s="112">
        <f t="shared" si="265"/>
        <v>0</v>
      </c>
      <c r="R1338" s="53"/>
      <c r="S1338" s="53" t="str">
        <f t="shared" si="266"/>
        <v>Base S2|The Seven Parallel - Season 2|137|The Seven</v>
      </c>
      <c r="T1338" s="57" t="str">
        <f>IF($S1338="","",IFERROR(VLOOKUP($S1338,'Pop Estimates (Non-#d)'!$N$2:$O$500,2,FALSE),""))</f>
        <v/>
      </c>
      <c r="U1338" s="57">
        <f t="shared" si="267"/>
        <v>7</v>
      </c>
      <c r="V1338" s="53" t="str">
        <f t="shared" si="268"/>
        <v/>
      </c>
      <c r="W1338" s="53" t="str">
        <f t="shared" si="269"/>
        <v/>
      </c>
      <c r="X1338" s="53" t="str">
        <f t="shared" si="270"/>
        <v/>
      </c>
      <c r="Y1338" s="57" t="str">
        <f>IF($X1338="","",IFERROR(VLOOKUP($X1338,'Char Popularity'!$A$2:$C$500,2,FALSE),""))</f>
        <v/>
      </c>
      <c r="Z1338" s="56">
        <f>IF($X1338="",1,IFERROR(VLOOKUP($X1338,'Char Popularity'!$A$2:$C$500,3,FALSE),1))</f>
        <v>1</v>
      </c>
      <c r="AA1338" s="62">
        <f>IF($H1338&lt;&gt;"Y",0,(IF($F1338&lt;&gt;"",ROUND(Dashboard!$R$4/$F1338,1),IF(AND($I1338="Base",$E1338="Base"),Dashboard!$R$5,IF(AND($I1338="Base",$E1338="Red"),Dashboard!$R$6,IF(AND($I1338="Base",$E1338="Gold"),Dashboard!$R$7,VLOOKUP($I1338,Dashboard!$Q$16:$R$21,2,FALSE)))))*VLOOKUP($I1338,Dashboard!$Q$9:$R$13,2,FALSE)*IF(AND($I1338="Auto",$F1338="",OR($B1338="Autographs Duals",$B1338="Autographs Triples",$B1338="Autographs Quads",$B1338="Autographs Quads (Inscribed)")),IF($B1338="Autographs Duals",2,IF($B1338="Autographs Triples",3,4)),1)))</f>
        <v>142.9</v>
      </c>
      <c r="AB1338" s="62">
        <f t="shared" si="271"/>
        <v>0</v>
      </c>
      <c r="AC1338" s="62">
        <f t="shared" si="272"/>
        <v>0</v>
      </c>
    </row>
    <row r="1339" spans="1:29" ht="42.95" customHeight="1" x14ac:dyDescent="0.25">
      <c r="A1339" s="4" t="s">
        <v>19</v>
      </c>
      <c r="B1339" s="7" t="s">
        <v>82</v>
      </c>
      <c r="C1339" s="2" t="s">
        <v>1537</v>
      </c>
      <c r="D1339" s="7" t="s">
        <v>1104</v>
      </c>
      <c r="E1339" s="4" t="s">
        <v>689</v>
      </c>
      <c r="F1339" s="2">
        <v>7</v>
      </c>
      <c r="G1339" s="2" t="s">
        <v>1399</v>
      </c>
      <c r="H1339" s="2" t="s">
        <v>1400</v>
      </c>
      <c r="I1339" s="4" t="s">
        <v>60</v>
      </c>
      <c r="J1339" s="112">
        <f>IF($H1339&lt;&gt;"Y",0,ROUND(MIN(Dashboard!$R$24,IF(IFERROR(VLOOKUP($B1339,Dashboard!$Q$28:$S$60,2,FALSE),0)&gt;0,IFERROR(VLOOKUP($B1339,Dashboard!$Q$28:$S$60,2,FALSE),0),$Z1339*IF($U1339&lt;&gt;"",ROUND((Dashboard!$R$4/$U1339)*VLOOKUP($I1339,Dashboard!$Q$9:$R$13,2,FALSE)*IF(ISNUMBER(SEARCH("Duals",$B1339)),2,IF(ISNUMBER(SEARCH("Triples",$B1339)),3,IF(ISNUMBER(SEARCH("Quads",$B1339)),4,1))),2),ROUND(VLOOKUP($I1339,Dashboard!$Q$15:$R$20,2,FALSE)*IF($E1339="Red",Dashboard!$R$6,IF($E1339="Gold",Dashboard!$R$7,Dashboard!$R$5))*IF(ISNUMBER(SEARCH("Duals",$B1339)),2,IF(ISNUMBER(SEARCH("Triples",$B1339)),3,IF(ISNUMBER(SEARCH("Quads",$B1339)),4,1))),2))*IF(IFERROR(VLOOKUP($B1339,Dashboard!$Q$28:$S$60,3,FALSE),0)&gt;0,VLOOKUP($B1339,Dashboard!$Q$28:$S$60,3,FALSE),1))),0))</f>
        <v>143</v>
      </c>
      <c r="K1339" s="2" t="str">
        <f>IF('Base S2'!I39="","",'Base S2'!I39)</f>
        <v/>
      </c>
      <c r="L1339" s="2">
        <f t="shared" si="260"/>
        <v>0</v>
      </c>
      <c r="M1339" s="2">
        <f t="shared" si="261"/>
        <v>0</v>
      </c>
      <c r="N1339" s="2">
        <f t="shared" si="262"/>
        <v>0</v>
      </c>
      <c r="O1339" s="2">
        <f t="shared" si="263"/>
        <v>1</v>
      </c>
      <c r="P1339" s="112">
        <f t="shared" si="264"/>
        <v>0</v>
      </c>
      <c r="Q1339" s="112">
        <f t="shared" si="265"/>
        <v>0</v>
      </c>
      <c r="R1339" s="53"/>
      <c r="S1339" s="53" t="str">
        <f t="shared" si="266"/>
        <v>Base S2|The Seven Parallel - Season 2|138|The Seven</v>
      </c>
      <c r="T1339" s="57" t="str">
        <f>IF($S1339="","",IFERROR(VLOOKUP($S1339,'Pop Estimates (Non-#d)'!$N$2:$O$500,2,FALSE),""))</f>
        <v/>
      </c>
      <c r="U1339" s="57">
        <f t="shared" si="267"/>
        <v>7</v>
      </c>
      <c r="V1339" s="53" t="str">
        <f t="shared" si="268"/>
        <v/>
      </c>
      <c r="W1339" s="53" t="str">
        <f t="shared" si="269"/>
        <v/>
      </c>
      <c r="X1339" s="53" t="str">
        <f t="shared" si="270"/>
        <v/>
      </c>
      <c r="Y1339" s="57" t="str">
        <f>IF($X1339="","",IFERROR(VLOOKUP($X1339,'Char Popularity'!$A$2:$C$500,2,FALSE),""))</f>
        <v/>
      </c>
      <c r="Z1339" s="56">
        <f>IF($X1339="",1,IFERROR(VLOOKUP($X1339,'Char Popularity'!$A$2:$C$500,3,FALSE),1))</f>
        <v>1</v>
      </c>
      <c r="AA1339" s="62">
        <f>IF($H1339&lt;&gt;"Y",0,(IF($F1339&lt;&gt;"",ROUND(Dashboard!$R$4/$F1339,1),IF(AND($I1339="Base",$E1339="Base"),Dashboard!$R$5,IF(AND($I1339="Base",$E1339="Red"),Dashboard!$R$6,IF(AND($I1339="Base",$E1339="Gold"),Dashboard!$R$7,VLOOKUP($I1339,Dashboard!$Q$16:$R$21,2,FALSE)))))*VLOOKUP($I1339,Dashboard!$Q$9:$R$13,2,FALSE)*IF(AND($I1339="Auto",$F1339="",OR($B1339="Autographs Duals",$B1339="Autographs Triples",$B1339="Autographs Quads",$B1339="Autographs Quads (Inscribed)")),IF($B1339="Autographs Duals",2,IF($B1339="Autographs Triples",3,4)),1)))</f>
        <v>142.9</v>
      </c>
      <c r="AB1339" s="62">
        <f t="shared" si="271"/>
        <v>0</v>
      </c>
      <c r="AC1339" s="62">
        <f t="shared" si="272"/>
        <v>0</v>
      </c>
    </row>
    <row r="1340" spans="1:29" ht="42.95" customHeight="1" x14ac:dyDescent="0.25">
      <c r="A1340" s="4" t="s">
        <v>19</v>
      </c>
      <c r="B1340" s="7" t="s">
        <v>82</v>
      </c>
      <c r="C1340" s="2" t="s">
        <v>1538</v>
      </c>
      <c r="D1340" s="7" t="s">
        <v>1106</v>
      </c>
      <c r="E1340" s="4" t="s">
        <v>689</v>
      </c>
      <c r="F1340" s="2">
        <v>7</v>
      </c>
      <c r="G1340" s="2" t="s">
        <v>1399</v>
      </c>
      <c r="H1340" s="2" t="s">
        <v>1400</v>
      </c>
      <c r="I1340" s="4" t="s">
        <v>60</v>
      </c>
      <c r="J1340" s="112">
        <f>IF($H1340&lt;&gt;"Y",0,ROUND(MIN(Dashboard!$R$24,IF(IFERROR(VLOOKUP($B1340,Dashboard!$Q$28:$S$60,2,FALSE),0)&gt;0,IFERROR(VLOOKUP($B1340,Dashboard!$Q$28:$S$60,2,FALSE),0),$Z1340*IF($U1340&lt;&gt;"",ROUND((Dashboard!$R$4/$U1340)*VLOOKUP($I1340,Dashboard!$Q$9:$R$13,2,FALSE)*IF(ISNUMBER(SEARCH("Duals",$B1340)),2,IF(ISNUMBER(SEARCH("Triples",$B1340)),3,IF(ISNUMBER(SEARCH("Quads",$B1340)),4,1))),2),ROUND(VLOOKUP($I1340,Dashboard!$Q$15:$R$20,2,FALSE)*IF($E1340="Red",Dashboard!$R$6,IF($E1340="Gold",Dashboard!$R$7,Dashboard!$R$5))*IF(ISNUMBER(SEARCH("Duals",$B1340)),2,IF(ISNUMBER(SEARCH("Triples",$B1340)),3,IF(ISNUMBER(SEARCH("Quads",$B1340)),4,1))),2))*IF(IFERROR(VLOOKUP($B1340,Dashboard!$Q$28:$S$60,3,FALSE),0)&gt;0,VLOOKUP($B1340,Dashboard!$Q$28:$S$60,3,FALSE),1))),0))</f>
        <v>143</v>
      </c>
      <c r="K1340" s="2" t="str">
        <f>IF('Base S2'!I40="","",'Base S2'!I40)</f>
        <v/>
      </c>
      <c r="L1340" s="2">
        <f t="shared" si="260"/>
        <v>0</v>
      </c>
      <c r="M1340" s="2">
        <f t="shared" si="261"/>
        <v>0</v>
      </c>
      <c r="N1340" s="2">
        <f t="shared" si="262"/>
        <v>0</v>
      </c>
      <c r="O1340" s="2">
        <f t="shared" si="263"/>
        <v>1</v>
      </c>
      <c r="P1340" s="112">
        <f t="shared" si="264"/>
        <v>0</v>
      </c>
      <c r="Q1340" s="112">
        <f t="shared" si="265"/>
        <v>0</v>
      </c>
      <c r="R1340" s="53"/>
      <c r="S1340" s="53" t="str">
        <f t="shared" si="266"/>
        <v>Base S2|The Seven Parallel - Season 2|139|The Seven</v>
      </c>
      <c r="T1340" s="57" t="str">
        <f>IF($S1340="","",IFERROR(VLOOKUP($S1340,'Pop Estimates (Non-#d)'!$N$2:$O$500,2,FALSE),""))</f>
        <v/>
      </c>
      <c r="U1340" s="57">
        <f t="shared" si="267"/>
        <v>7</v>
      </c>
      <c r="V1340" s="53" t="str">
        <f t="shared" si="268"/>
        <v/>
      </c>
      <c r="W1340" s="53" t="str">
        <f t="shared" si="269"/>
        <v/>
      </c>
      <c r="X1340" s="53" t="str">
        <f t="shared" si="270"/>
        <v/>
      </c>
      <c r="Y1340" s="57" t="str">
        <f>IF($X1340="","",IFERROR(VLOOKUP($X1340,'Char Popularity'!$A$2:$C$500,2,FALSE),""))</f>
        <v/>
      </c>
      <c r="Z1340" s="56">
        <f>IF($X1340="",1,IFERROR(VLOOKUP($X1340,'Char Popularity'!$A$2:$C$500,3,FALSE),1))</f>
        <v>1</v>
      </c>
      <c r="AA1340" s="62">
        <f>IF($H1340&lt;&gt;"Y",0,(IF($F1340&lt;&gt;"",ROUND(Dashboard!$R$4/$F1340,1),IF(AND($I1340="Base",$E1340="Base"),Dashboard!$R$5,IF(AND($I1340="Base",$E1340="Red"),Dashboard!$R$6,IF(AND($I1340="Base",$E1340="Gold"),Dashboard!$R$7,VLOOKUP($I1340,Dashboard!$Q$16:$R$21,2,FALSE)))))*VLOOKUP($I1340,Dashboard!$Q$9:$R$13,2,FALSE)*IF(AND($I1340="Auto",$F1340="",OR($B1340="Autographs Duals",$B1340="Autographs Triples",$B1340="Autographs Quads",$B1340="Autographs Quads (Inscribed)")),IF($B1340="Autographs Duals",2,IF($B1340="Autographs Triples",3,4)),1)))</f>
        <v>142.9</v>
      </c>
      <c r="AB1340" s="62">
        <f t="shared" si="271"/>
        <v>0</v>
      </c>
      <c r="AC1340" s="62">
        <f t="shared" si="272"/>
        <v>0</v>
      </c>
    </row>
    <row r="1341" spans="1:29" ht="42.95" customHeight="1" x14ac:dyDescent="0.25">
      <c r="A1341" s="4" t="s">
        <v>19</v>
      </c>
      <c r="B1341" s="7" t="s">
        <v>82</v>
      </c>
      <c r="C1341" s="2" t="s">
        <v>1539</v>
      </c>
      <c r="D1341" s="7" t="s">
        <v>1108</v>
      </c>
      <c r="E1341" s="4" t="s">
        <v>689</v>
      </c>
      <c r="F1341" s="2">
        <v>7</v>
      </c>
      <c r="G1341" s="2" t="s">
        <v>1399</v>
      </c>
      <c r="H1341" s="2" t="s">
        <v>1400</v>
      </c>
      <c r="I1341" s="4" t="s">
        <v>60</v>
      </c>
      <c r="J1341" s="112">
        <f>IF($H1341&lt;&gt;"Y",0,ROUND(MIN(Dashboard!$R$24,IF(IFERROR(VLOOKUP($B1341,Dashboard!$Q$28:$S$60,2,FALSE),0)&gt;0,IFERROR(VLOOKUP($B1341,Dashboard!$Q$28:$S$60,2,FALSE),0),$Z1341*IF($U1341&lt;&gt;"",ROUND((Dashboard!$R$4/$U1341)*VLOOKUP($I1341,Dashboard!$Q$9:$R$13,2,FALSE)*IF(ISNUMBER(SEARCH("Duals",$B1341)),2,IF(ISNUMBER(SEARCH("Triples",$B1341)),3,IF(ISNUMBER(SEARCH("Quads",$B1341)),4,1))),2),ROUND(VLOOKUP($I1341,Dashboard!$Q$15:$R$20,2,FALSE)*IF($E1341="Red",Dashboard!$R$6,IF($E1341="Gold",Dashboard!$R$7,Dashboard!$R$5))*IF(ISNUMBER(SEARCH("Duals",$B1341)),2,IF(ISNUMBER(SEARCH("Triples",$B1341)),3,IF(ISNUMBER(SEARCH("Quads",$B1341)),4,1))),2))*IF(IFERROR(VLOOKUP($B1341,Dashboard!$Q$28:$S$60,3,FALSE),0)&gt;0,VLOOKUP($B1341,Dashboard!$Q$28:$S$60,3,FALSE),1))),0))</f>
        <v>143</v>
      </c>
      <c r="K1341" s="2" t="str">
        <f>IF('Base S2'!I41="","",'Base S2'!I41)</f>
        <v/>
      </c>
      <c r="L1341" s="2">
        <f t="shared" si="260"/>
        <v>0</v>
      </c>
      <c r="M1341" s="2">
        <f t="shared" si="261"/>
        <v>0</v>
      </c>
      <c r="N1341" s="2">
        <f t="shared" si="262"/>
        <v>0</v>
      </c>
      <c r="O1341" s="2">
        <f t="shared" si="263"/>
        <v>1</v>
      </c>
      <c r="P1341" s="112">
        <f t="shared" si="264"/>
        <v>0</v>
      </c>
      <c r="Q1341" s="112">
        <f t="shared" si="265"/>
        <v>0</v>
      </c>
      <c r="R1341" s="53"/>
      <c r="S1341" s="53" t="str">
        <f t="shared" si="266"/>
        <v>Base S2|The Seven Parallel - Season 2|140|The Seven</v>
      </c>
      <c r="T1341" s="57" t="str">
        <f>IF($S1341="","",IFERROR(VLOOKUP($S1341,'Pop Estimates (Non-#d)'!$N$2:$O$500,2,FALSE),""))</f>
        <v/>
      </c>
      <c r="U1341" s="57">
        <f t="shared" si="267"/>
        <v>7</v>
      </c>
      <c r="V1341" s="53" t="str">
        <f t="shared" si="268"/>
        <v/>
      </c>
      <c r="W1341" s="53" t="str">
        <f t="shared" si="269"/>
        <v/>
      </c>
      <c r="X1341" s="53" t="str">
        <f t="shared" si="270"/>
        <v/>
      </c>
      <c r="Y1341" s="57" t="str">
        <f>IF($X1341="","",IFERROR(VLOOKUP($X1341,'Char Popularity'!$A$2:$C$500,2,FALSE),""))</f>
        <v/>
      </c>
      <c r="Z1341" s="56">
        <f>IF($X1341="",1,IFERROR(VLOOKUP($X1341,'Char Popularity'!$A$2:$C$500,3,FALSE),1))</f>
        <v>1</v>
      </c>
      <c r="AA1341" s="62">
        <f>IF($H1341&lt;&gt;"Y",0,(IF($F1341&lt;&gt;"",ROUND(Dashboard!$R$4/$F1341,1),IF(AND($I1341="Base",$E1341="Base"),Dashboard!$R$5,IF(AND($I1341="Base",$E1341="Red"),Dashboard!$R$6,IF(AND($I1341="Base",$E1341="Gold"),Dashboard!$R$7,VLOOKUP($I1341,Dashboard!$Q$16:$R$21,2,FALSE)))))*VLOOKUP($I1341,Dashboard!$Q$9:$R$13,2,FALSE)*IF(AND($I1341="Auto",$F1341="",OR($B1341="Autographs Duals",$B1341="Autographs Triples",$B1341="Autographs Quads",$B1341="Autographs Quads (Inscribed)")),IF($B1341="Autographs Duals",2,IF($B1341="Autographs Triples",3,4)),1)))</f>
        <v>142.9</v>
      </c>
      <c r="AB1341" s="62">
        <f t="shared" si="271"/>
        <v>0</v>
      </c>
      <c r="AC1341" s="62">
        <f t="shared" si="272"/>
        <v>0</v>
      </c>
    </row>
    <row r="1342" spans="1:29" ht="42.95" customHeight="1" x14ac:dyDescent="0.25">
      <c r="A1342" s="4" t="s">
        <v>19</v>
      </c>
      <c r="B1342" s="7" t="s">
        <v>82</v>
      </c>
      <c r="C1342" s="2" t="s">
        <v>1540</v>
      </c>
      <c r="D1342" s="7" t="s">
        <v>1109</v>
      </c>
      <c r="E1342" s="4" t="s">
        <v>689</v>
      </c>
      <c r="F1342" s="2">
        <v>7</v>
      </c>
      <c r="G1342" s="2" t="s">
        <v>1399</v>
      </c>
      <c r="H1342" s="2" t="s">
        <v>1400</v>
      </c>
      <c r="I1342" s="4" t="s">
        <v>60</v>
      </c>
      <c r="J1342" s="112">
        <f>IF($H1342&lt;&gt;"Y",0,ROUND(MIN(Dashboard!$R$24,IF(IFERROR(VLOOKUP($B1342,Dashboard!$Q$28:$S$60,2,FALSE),0)&gt;0,IFERROR(VLOOKUP($B1342,Dashboard!$Q$28:$S$60,2,FALSE),0),$Z1342*IF($U1342&lt;&gt;"",ROUND((Dashboard!$R$4/$U1342)*VLOOKUP($I1342,Dashboard!$Q$9:$R$13,2,FALSE)*IF(ISNUMBER(SEARCH("Duals",$B1342)),2,IF(ISNUMBER(SEARCH("Triples",$B1342)),3,IF(ISNUMBER(SEARCH("Quads",$B1342)),4,1))),2),ROUND(VLOOKUP($I1342,Dashboard!$Q$15:$R$20,2,FALSE)*IF($E1342="Red",Dashboard!$R$6,IF($E1342="Gold",Dashboard!$R$7,Dashboard!$R$5))*IF(ISNUMBER(SEARCH("Duals",$B1342)),2,IF(ISNUMBER(SEARCH("Triples",$B1342)),3,IF(ISNUMBER(SEARCH("Quads",$B1342)),4,1))),2))*IF(IFERROR(VLOOKUP($B1342,Dashboard!$Q$28:$S$60,3,FALSE),0)&gt;0,VLOOKUP($B1342,Dashboard!$Q$28:$S$60,3,FALSE),1))),0))</f>
        <v>143</v>
      </c>
      <c r="K1342" s="2" t="str">
        <f>IF('Base S2'!I42="","",'Base S2'!I42)</f>
        <v/>
      </c>
      <c r="L1342" s="2">
        <f t="shared" si="260"/>
        <v>0</v>
      </c>
      <c r="M1342" s="2">
        <f t="shared" si="261"/>
        <v>0</v>
      </c>
      <c r="N1342" s="2">
        <f t="shared" si="262"/>
        <v>0</v>
      </c>
      <c r="O1342" s="2">
        <f t="shared" si="263"/>
        <v>1</v>
      </c>
      <c r="P1342" s="112">
        <f t="shared" si="264"/>
        <v>0</v>
      </c>
      <c r="Q1342" s="112">
        <f t="shared" si="265"/>
        <v>0</v>
      </c>
      <c r="R1342" s="53"/>
      <c r="S1342" s="53" t="str">
        <f t="shared" si="266"/>
        <v>Base S2|The Seven Parallel - Season 2|141|The Seven</v>
      </c>
      <c r="T1342" s="57" t="str">
        <f>IF($S1342="","",IFERROR(VLOOKUP($S1342,'Pop Estimates (Non-#d)'!$N$2:$O$500,2,FALSE),""))</f>
        <v/>
      </c>
      <c r="U1342" s="57">
        <f t="shared" si="267"/>
        <v>7</v>
      </c>
      <c r="V1342" s="53" t="str">
        <f t="shared" si="268"/>
        <v/>
      </c>
      <c r="W1342" s="53" t="str">
        <f t="shared" si="269"/>
        <v/>
      </c>
      <c r="X1342" s="53" t="str">
        <f t="shared" si="270"/>
        <v/>
      </c>
      <c r="Y1342" s="57" t="str">
        <f>IF($X1342="","",IFERROR(VLOOKUP($X1342,'Char Popularity'!$A$2:$C$500,2,FALSE),""))</f>
        <v/>
      </c>
      <c r="Z1342" s="56">
        <f>IF($X1342="",1,IFERROR(VLOOKUP($X1342,'Char Popularity'!$A$2:$C$500,3,FALSE),1))</f>
        <v>1</v>
      </c>
      <c r="AA1342" s="62">
        <f>IF($H1342&lt;&gt;"Y",0,(IF($F1342&lt;&gt;"",ROUND(Dashboard!$R$4/$F1342,1),IF(AND($I1342="Base",$E1342="Base"),Dashboard!$R$5,IF(AND($I1342="Base",$E1342="Red"),Dashboard!$R$6,IF(AND($I1342="Base",$E1342="Gold"),Dashboard!$R$7,VLOOKUP($I1342,Dashboard!$Q$16:$R$21,2,FALSE)))))*VLOOKUP($I1342,Dashboard!$Q$9:$R$13,2,FALSE)*IF(AND($I1342="Auto",$F1342="",OR($B1342="Autographs Duals",$B1342="Autographs Triples",$B1342="Autographs Quads",$B1342="Autographs Quads (Inscribed)")),IF($B1342="Autographs Duals",2,IF($B1342="Autographs Triples",3,4)),1)))</f>
        <v>142.9</v>
      </c>
      <c r="AB1342" s="62">
        <f t="shared" si="271"/>
        <v>0</v>
      </c>
      <c r="AC1342" s="62">
        <f t="shared" si="272"/>
        <v>0</v>
      </c>
    </row>
    <row r="1343" spans="1:29" ht="42.95" customHeight="1" x14ac:dyDescent="0.25">
      <c r="A1343" s="4" t="s">
        <v>19</v>
      </c>
      <c r="B1343" s="7" t="s">
        <v>82</v>
      </c>
      <c r="C1343" s="2" t="s">
        <v>1541</v>
      </c>
      <c r="D1343" s="7" t="s">
        <v>1110</v>
      </c>
      <c r="E1343" s="4" t="s">
        <v>689</v>
      </c>
      <c r="F1343" s="2">
        <v>7</v>
      </c>
      <c r="G1343" s="2" t="s">
        <v>1399</v>
      </c>
      <c r="H1343" s="2" t="s">
        <v>1400</v>
      </c>
      <c r="I1343" s="4" t="s">
        <v>60</v>
      </c>
      <c r="J1343" s="112">
        <f>IF($H1343&lt;&gt;"Y",0,ROUND(MIN(Dashboard!$R$24,IF(IFERROR(VLOOKUP($B1343,Dashboard!$Q$28:$S$60,2,FALSE),0)&gt;0,IFERROR(VLOOKUP($B1343,Dashboard!$Q$28:$S$60,2,FALSE),0),$Z1343*IF($U1343&lt;&gt;"",ROUND((Dashboard!$R$4/$U1343)*VLOOKUP($I1343,Dashboard!$Q$9:$R$13,2,FALSE)*IF(ISNUMBER(SEARCH("Duals",$B1343)),2,IF(ISNUMBER(SEARCH("Triples",$B1343)),3,IF(ISNUMBER(SEARCH("Quads",$B1343)),4,1))),2),ROUND(VLOOKUP($I1343,Dashboard!$Q$15:$R$20,2,FALSE)*IF($E1343="Red",Dashboard!$R$6,IF($E1343="Gold",Dashboard!$R$7,Dashboard!$R$5))*IF(ISNUMBER(SEARCH("Duals",$B1343)),2,IF(ISNUMBER(SEARCH("Triples",$B1343)),3,IF(ISNUMBER(SEARCH("Quads",$B1343)),4,1))),2))*IF(IFERROR(VLOOKUP($B1343,Dashboard!$Q$28:$S$60,3,FALSE),0)&gt;0,VLOOKUP($B1343,Dashboard!$Q$28:$S$60,3,FALSE),1))),0))</f>
        <v>143</v>
      </c>
      <c r="K1343" s="2" t="str">
        <f>IF('Base S2'!I43="","",'Base S2'!I43)</f>
        <v/>
      </c>
      <c r="L1343" s="2">
        <f t="shared" si="260"/>
        <v>0</v>
      </c>
      <c r="M1343" s="2">
        <f t="shared" si="261"/>
        <v>0</v>
      </c>
      <c r="N1343" s="2">
        <f t="shared" si="262"/>
        <v>0</v>
      </c>
      <c r="O1343" s="2">
        <f t="shared" si="263"/>
        <v>1</v>
      </c>
      <c r="P1343" s="112">
        <f t="shared" si="264"/>
        <v>0</v>
      </c>
      <c r="Q1343" s="112">
        <f t="shared" si="265"/>
        <v>0</v>
      </c>
      <c r="R1343" s="53"/>
      <c r="S1343" s="53" t="str">
        <f t="shared" si="266"/>
        <v>Base S2|The Seven Parallel - Season 2|142|The Seven</v>
      </c>
      <c r="T1343" s="57" t="str">
        <f>IF($S1343="","",IFERROR(VLOOKUP($S1343,'Pop Estimates (Non-#d)'!$N$2:$O$500,2,FALSE),""))</f>
        <v/>
      </c>
      <c r="U1343" s="57">
        <f t="shared" si="267"/>
        <v>7</v>
      </c>
      <c r="V1343" s="53" t="str">
        <f t="shared" si="268"/>
        <v/>
      </c>
      <c r="W1343" s="53" t="str">
        <f t="shared" si="269"/>
        <v/>
      </c>
      <c r="X1343" s="53" t="str">
        <f t="shared" si="270"/>
        <v/>
      </c>
      <c r="Y1343" s="57" t="str">
        <f>IF($X1343="","",IFERROR(VLOOKUP($X1343,'Char Popularity'!$A$2:$C$500,2,FALSE),""))</f>
        <v/>
      </c>
      <c r="Z1343" s="56">
        <f>IF($X1343="",1,IFERROR(VLOOKUP($X1343,'Char Popularity'!$A$2:$C$500,3,FALSE),1))</f>
        <v>1</v>
      </c>
      <c r="AA1343" s="62">
        <f>IF($H1343&lt;&gt;"Y",0,(IF($F1343&lt;&gt;"",ROUND(Dashboard!$R$4/$F1343,1),IF(AND($I1343="Base",$E1343="Base"),Dashboard!$R$5,IF(AND($I1343="Base",$E1343="Red"),Dashboard!$R$6,IF(AND($I1343="Base",$E1343="Gold"),Dashboard!$R$7,VLOOKUP($I1343,Dashboard!$Q$16:$R$21,2,FALSE)))))*VLOOKUP($I1343,Dashboard!$Q$9:$R$13,2,FALSE)*IF(AND($I1343="Auto",$F1343="",OR($B1343="Autographs Duals",$B1343="Autographs Triples",$B1343="Autographs Quads",$B1343="Autographs Quads (Inscribed)")),IF($B1343="Autographs Duals",2,IF($B1343="Autographs Triples",3,4)),1)))</f>
        <v>142.9</v>
      </c>
      <c r="AB1343" s="62">
        <f t="shared" si="271"/>
        <v>0</v>
      </c>
      <c r="AC1343" s="62">
        <f t="shared" si="272"/>
        <v>0</v>
      </c>
    </row>
    <row r="1344" spans="1:29" ht="42.95" customHeight="1" x14ac:dyDescent="0.25">
      <c r="A1344" s="4" t="s">
        <v>19</v>
      </c>
      <c r="B1344" s="7" t="s">
        <v>82</v>
      </c>
      <c r="C1344" s="2" t="s">
        <v>1542</v>
      </c>
      <c r="D1344" s="7" t="s">
        <v>1111</v>
      </c>
      <c r="E1344" s="4" t="s">
        <v>689</v>
      </c>
      <c r="F1344" s="2">
        <v>7</v>
      </c>
      <c r="G1344" s="2" t="s">
        <v>1399</v>
      </c>
      <c r="H1344" s="2" t="s">
        <v>1400</v>
      </c>
      <c r="I1344" s="4" t="s">
        <v>60</v>
      </c>
      <c r="J1344" s="112">
        <f>IF($H1344&lt;&gt;"Y",0,ROUND(MIN(Dashboard!$R$24,IF(IFERROR(VLOOKUP($B1344,Dashboard!$Q$28:$S$60,2,FALSE),0)&gt;0,IFERROR(VLOOKUP($B1344,Dashboard!$Q$28:$S$60,2,FALSE),0),$Z1344*IF($U1344&lt;&gt;"",ROUND((Dashboard!$R$4/$U1344)*VLOOKUP($I1344,Dashboard!$Q$9:$R$13,2,FALSE)*IF(ISNUMBER(SEARCH("Duals",$B1344)),2,IF(ISNUMBER(SEARCH("Triples",$B1344)),3,IF(ISNUMBER(SEARCH("Quads",$B1344)),4,1))),2),ROUND(VLOOKUP($I1344,Dashboard!$Q$15:$R$20,2,FALSE)*IF($E1344="Red",Dashboard!$R$6,IF($E1344="Gold",Dashboard!$R$7,Dashboard!$R$5))*IF(ISNUMBER(SEARCH("Duals",$B1344)),2,IF(ISNUMBER(SEARCH("Triples",$B1344)),3,IF(ISNUMBER(SEARCH("Quads",$B1344)),4,1))),2))*IF(IFERROR(VLOOKUP($B1344,Dashboard!$Q$28:$S$60,3,FALSE),0)&gt;0,VLOOKUP($B1344,Dashboard!$Q$28:$S$60,3,FALSE),1))),0))</f>
        <v>143</v>
      </c>
      <c r="K1344" s="2" t="str">
        <f>IF('Base S2'!I44="","",'Base S2'!I44)</f>
        <v/>
      </c>
      <c r="L1344" s="2">
        <f t="shared" si="260"/>
        <v>0</v>
      </c>
      <c r="M1344" s="2">
        <f t="shared" si="261"/>
        <v>0</v>
      </c>
      <c r="N1344" s="2">
        <f t="shared" si="262"/>
        <v>0</v>
      </c>
      <c r="O1344" s="2">
        <f t="shared" si="263"/>
        <v>1</v>
      </c>
      <c r="P1344" s="112">
        <f t="shared" si="264"/>
        <v>0</v>
      </c>
      <c r="Q1344" s="112">
        <f t="shared" si="265"/>
        <v>0</v>
      </c>
      <c r="R1344" s="53"/>
      <c r="S1344" s="53" t="str">
        <f t="shared" si="266"/>
        <v>Base S2|The Seven Parallel - Season 2|143|The Seven</v>
      </c>
      <c r="T1344" s="57" t="str">
        <f>IF($S1344="","",IFERROR(VLOOKUP($S1344,'Pop Estimates (Non-#d)'!$N$2:$O$500,2,FALSE),""))</f>
        <v/>
      </c>
      <c r="U1344" s="57">
        <f t="shared" si="267"/>
        <v>7</v>
      </c>
      <c r="V1344" s="53" t="str">
        <f t="shared" si="268"/>
        <v/>
      </c>
      <c r="W1344" s="53" t="str">
        <f t="shared" si="269"/>
        <v/>
      </c>
      <c r="X1344" s="53" t="str">
        <f t="shared" si="270"/>
        <v/>
      </c>
      <c r="Y1344" s="57" t="str">
        <f>IF($X1344="","",IFERROR(VLOOKUP($X1344,'Char Popularity'!$A$2:$C$500,2,FALSE),""))</f>
        <v/>
      </c>
      <c r="Z1344" s="56">
        <f>IF($X1344="",1,IFERROR(VLOOKUP($X1344,'Char Popularity'!$A$2:$C$500,3,FALSE),1))</f>
        <v>1</v>
      </c>
      <c r="AA1344" s="62">
        <f>IF($H1344&lt;&gt;"Y",0,(IF($F1344&lt;&gt;"",ROUND(Dashboard!$R$4/$F1344,1),IF(AND($I1344="Base",$E1344="Base"),Dashboard!$R$5,IF(AND($I1344="Base",$E1344="Red"),Dashboard!$R$6,IF(AND($I1344="Base",$E1344="Gold"),Dashboard!$R$7,VLOOKUP($I1344,Dashboard!$Q$16:$R$21,2,FALSE)))))*VLOOKUP($I1344,Dashboard!$Q$9:$R$13,2,FALSE)*IF(AND($I1344="Auto",$F1344="",OR($B1344="Autographs Duals",$B1344="Autographs Triples",$B1344="Autographs Quads",$B1344="Autographs Quads (Inscribed)")),IF($B1344="Autographs Duals",2,IF($B1344="Autographs Triples",3,4)),1)))</f>
        <v>142.9</v>
      </c>
      <c r="AB1344" s="62">
        <f t="shared" si="271"/>
        <v>0</v>
      </c>
      <c r="AC1344" s="62">
        <f t="shared" si="272"/>
        <v>0</v>
      </c>
    </row>
    <row r="1345" spans="1:29" ht="42.95" customHeight="1" x14ac:dyDescent="0.25">
      <c r="A1345" s="4" t="s">
        <v>19</v>
      </c>
      <c r="B1345" s="7" t="s">
        <v>82</v>
      </c>
      <c r="C1345" s="2" t="s">
        <v>1543</v>
      </c>
      <c r="D1345" s="7" t="s">
        <v>1113</v>
      </c>
      <c r="E1345" s="4" t="s">
        <v>689</v>
      </c>
      <c r="F1345" s="2">
        <v>7</v>
      </c>
      <c r="G1345" s="2" t="s">
        <v>1399</v>
      </c>
      <c r="H1345" s="2" t="s">
        <v>1400</v>
      </c>
      <c r="I1345" s="4" t="s">
        <v>60</v>
      </c>
      <c r="J1345" s="112">
        <f>IF($H1345&lt;&gt;"Y",0,ROUND(MIN(Dashboard!$R$24,IF(IFERROR(VLOOKUP($B1345,Dashboard!$Q$28:$S$60,2,FALSE),0)&gt;0,IFERROR(VLOOKUP($B1345,Dashboard!$Q$28:$S$60,2,FALSE),0),$Z1345*IF($U1345&lt;&gt;"",ROUND((Dashboard!$R$4/$U1345)*VLOOKUP($I1345,Dashboard!$Q$9:$R$13,2,FALSE)*IF(ISNUMBER(SEARCH("Duals",$B1345)),2,IF(ISNUMBER(SEARCH("Triples",$B1345)),3,IF(ISNUMBER(SEARCH("Quads",$B1345)),4,1))),2),ROUND(VLOOKUP($I1345,Dashboard!$Q$15:$R$20,2,FALSE)*IF($E1345="Red",Dashboard!$R$6,IF($E1345="Gold",Dashboard!$R$7,Dashboard!$R$5))*IF(ISNUMBER(SEARCH("Duals",$B1345)),2,IF(ISNUMBER(SEARCH("Triples",$B1345)),3,IF(ISNUMBER(SEARCH("Quads",$B1345)),4,1))),2))*IF(IFERROR(VLOOKUP($B1345,Dashboard!$Q$28:$S$60,3,FALSE),0)&gt;0,VLOOKUP($B1345,Dashboard!$Q$28:$S$60,3,FALSE),1))),0))</f>
        <v>143</v>
      </c>
      <c r="K1345" s="2" t="str">
        <f>IF('Base S2'!I45="","",'Base S2'!I45)</f>
        <v/>
      </c>
      <c r="L1345" s="2">
        <f t="shared" si="260"/>
        <v>0</v>
      </c>
      <c r="M1345" s="2">
        <f t="shared" si="261"/>
        <v>0</v>
      </c>
      <c r="N1345" s="2">
        <f t="shared" si="262"/>
        <v>0</v>
      </c>
      <c r="O1345" s="2">
        <f t="shared" si="263"/>
        <v>1</v>
      </c>
      <c r="P1345" s="112">
        <f t="shared" si="264"/>
        <v>0</v>
      </c>
      <c r="Q1345" s="112">
        <f t="shared" si="265"/>
        <v>0</v>
      </c>
      <c r="R1345" s="53"/>
      <c r="S1345" s="53" t="str">
        <f t="shared" si="266"/>
        <v>Base S2|The Seven Parallel - Season 2|144|The Seven</v>
      </c>
      <c r="T1345" s="57" t="str">
        <f>IF($S1345="","",IFERROR(VLOOKUP($S1345,'Pop Estimates (Non-#d)'!$N$2:$O$500,2,FALSE),""))</f>
        <v/>
      </c>
      <c r="U1345" s="57">
        <f t="shared" si="267"/>
        <v>7</v>
      </c>
      <c r="V1345" s="53" t="str">
        <f t="shared" si="268"/>
        <v/>
      </c>
      <c r="W1345" s="53" t="str">
        <f t="shared" si="269"/>
        <v/>
      </c>
      <c r="X1345" s="53" t="str">
        <f t="shared" si="270"/>
        <v/>
      </c>
      <c r="Y1345" s="57" t="str">
        <f>IF($X1345="","",IFERROR(VLOOKUP($X1345,'Char Popularity'!$A$2:$C$500,2,FALSE),""))</f>
        <v/>
      </c>
      <c r="Z1345" s="56">
        <f>IF($X1345="",1,IFERROR(VLOOKUP($X1345,'Char Popularity'!$A$2:$C$500,3,FALSE),1))</f>
        <v>1</v>
      </c>
      <c r="AA1345" s="62">
        <f>IF($H1345&lt;&gt;"Y",0,(IF($F1345&lt;&gt;"",ROUND(Dashboard!$R$4/$F1345,1),IF(AND($I1345="Base",$E1345="Base"),Dashboard!$R$5,IF(AND($I1345="Base",$E1345="Red"),Dashboard!$R$6,IF(AND($I1345="Base",$E1345="Gold"),Dashboard!$R$7,VLOOKUP($I1345,Dashboard!$Q$16:$R$21,2,FALSE)))))*VLOOKUP($I1345,Dashboard!$Q$9:$R$13,2,FALSE)*IF(AND($I1345="Auto",$F1345="",OR($B1345="Autographs Duals",$B1345="Autographs Triples",$B1345="Autographs Quads",$B1345="Autographs Quads (Inscribed)")),IF($B1345="Autographs Duals",2,IF($B1345="Autographs Triples",3,4)),1)))</f>
        <v>142.9</v>
      </c>
      <c r="AB1345" s="62">
        <f t="shared" si="271"/>
        <v>0</v>
      </c>
      <c r="AC1345" s="62">
        <f t="shared" si="272"/>
        <v>0</v>
      </c>
    </row>
    <row r="1346" spans="1:29" ht="42.95" customHeight="1" x14ac:dyDescent="0.25">
      <c r="A1346" s="4" t="s">
        <v>19</v>
      </c>
      <c r="B1346" s="7" t="s">
        <v>82</v>
      </c>
      <c r="C1346" s="2" t="s">
        <v>1544</v>
      </c>
      <c r="D1346" s="7" t="s">
        <v>1114</v>
      </c>
      <c r="E1346" s="4" t="s">
        <v>689</v>
      </c>
      <c r="F1346" s="2">
        <v>7</v>
      </c>
      <c r="G1346" s="2" t="s">
        <v>1399</v>
      </c>
      <c r="H1346" s="2" t="s">
        <v>1400</v>
      </c>
      <c r="I1346" s="4" t="s">
        <v>60</v>
      </c>
      <c r="J1346" s="112">
        <f>IF($H1346&lt;&gt;"Y",0,ROUND(MIN(Dashboard!$R$24,IF(IFERROR(VLOOKUP($B1346,Dashboard!$Q$28:$S$60,2,FALSE),0)&gt;0,IFERROR(VLOOKUP($B1346,Dashboard!$Q$28:$S$60,2,FALSE),0),$Z1346*IF($U1346&lt;&gt;"",ROUND((Dashboard!$R$4/$U1346)*VLOOKUP($I1346,Dashboard!$Q$9:$R$13,2,FALSE)*IF(ISNUMBER(SEARCH("Duals",$B1346)),2,IF(ISNUMBER(SEARCH("Triples",$B1346)),3,IF(ISNUMBER(SEARCH("Quads",$B1346)),4,1))),2),ROUND(VLOOKUP($I1346,Dashboard!$Q$15:$R$20,2,FALSE)*IF($E1346="Red",Dashboard!$R$6,IF($E1346="Gold",Dashboard!$R$7,Dashboard!$R$5))*IF(ISNUMBER(SEARCH("Duals",$B1346)),2,IF(ISNUMBER(SEARCH("Triples",$B1346)),3,IF(ISNUMBER(SEARCH("Quads",$B1346)),4,1))),2))*IF(IFERROR(VLOOKUP($B1346,Dashboard!$Q$28:$S$60,3,FALSE),0)&gt;0,VLOOKUP($B1346,Dashboard!$Q$28:$S$60,3,FALSE),1))),0))</f>
        <v>143</v>
      </c>
      <c r="K1346" s="2" t="str">
        <f>IF('Base S2'!I46="","",'Base S2'!I46)</f>
        <v/>
      </c>
      <c r="L1346" s="2">
        <f t="shared" ref="L1346:L1409" si="273">IF(AND($K1346&lt;&gt;"",LEFT($K1346,1)&lt;&gt;"Y"),1,0)</f>
        <v>0</v>
      </c>
      <c r="M1346" s="2">
        <f t="shared" ref="M1346:M1409" si="274">IF(LEFT($K1346,1)="Y",1,0)</f>
        <v>0</v>
      </c>
      <c r="N1346" s="2">
        <f t="shared" ref="N1346:N1409" si="275">$L1346+$M1346</f>
        <v>0</v>
      </c>
      <c r="O1346" s="2">
        <f t="shared" ref="O1346:O1409" si="276">IF($H1346="Y",1-$N1346,0)</f>
        <v>1</v>
      </c>
      <c r="P1346" s="112">
        <f t="shared" ref="P1346:P1409" si="277">IF($L1346=1,$J1346,0)</f>
        <v>0</v>
      </c>
      <c r="Q1346" s="112">
        <f t="shared" ref="Q1346:Q1409" si="278">IF($M1346=1,$J1346,0)</f>
        <v>0</v>
      </c>
      <c r="R1346" s="53"/>
      <c r="S1346" s="53" t="str">
        <f t="shared" ref="S1346:S1409" si="279">IF($A1346="","",$A1346&amp;"|"&amp;$B1346&amp;"|"&amp;$C1346&amp;"|"&amp;$E1346)</f>
        <v>Base S2|The Seven Parallel - Season 2|145|The Seven</v>
      </c>
      <c r="T1346" s="57" t="str">
        <f>IF($S1346="","",IFERROR(VLOOKUP($S1346,'Pop Estimates (Non-#d)'!$N$2:$O$500,2,FALSE),""))</f>
        <v/>
      </c>
      <c r="U1346" s="57">
        <f t="shared" ref="U1346:U1409" si="280">IF($A1346="","",IF($F1346&lt;&gt;"",$F1346,$T1346))</f>
        <v>7</v>
      </c>
      <c r="V1346" s="53" t="str">
        <f t="shared" ref="V1346:V1409" si="281">IF($A1346="","",IF(ISNUMBER(SEARCH(" as ",$D1346)),MID($D1346,SEARCH(" as ",$D1346)+4,255),IF(ISNUMBER(SEARCH("/",$D1346)),LEFT($D1346,FIND("/",$D1346&amp;"/")-1),"")))</f>
        <v/>
      </c>
      <c r="W1346" s="53" t="str">
        <f t="shared" ref="W1346:W1409" si="282">IF($V1346="","",TRIM(IFERROR(MID($V1346,SEARCH("(", $V1346)+1,SEARCH(")",$V1346)-SEARCH("(", $V1346)-1),$V1346)))</f>
        <v/>
      </c>
      <c r="X1346" s="53" t="str">
        <f t="shared" ref="X1346:X1409" si="283">IF($W1346="","",TRIM(LEFT($W1346&amp;"""",FIND("""",$W1346&amp;"""")-1)))</f>
        <v/>
      </c>
      <c r="Y1346" s="57" t="str">
        <f>IF($X1346="","",IFERROR(VLOOKUP($X1346,'Char Popularity'!$A$2:$C$500,2,FALSE),""))</f>
        <v/>
      </c>
      <c r="Z1346" s="56">
        <f>IF($X1346="",1,IFERROR(VLOOKUP($X1346,'Char Popularity'!$A$2:$C$500,3,FALSE),1))</f>
        <v>1</v>
      </c>
      <c r="AA1346" s="62">
        <f>IF($H1346&lt;&gt;"Y",0,(IF($F1346&lt;&gt;"",ROUND(Dashboard!$R$4/$F1346,1),IF(AND($I1346="Base",$E1346="Base"),Dashboard!$R$5,IF(AND($I1346="Base",$E1346="Red"),Dashboard!$R$6,IF(AND($I1346="Base",$E1346="Gold"),Dashboard!$R$7,VLOOKUP($I1346,Dashboard!$Q$16:$R$21,2,FALSE)))))*VLOOKUP($I1346,Dashboard!$Q$9:$R$13,2,FALSE)*IF(AND($I1346="Auto",$F1346="",OR($B1346="Autographs Duals",$B1346="Autographs Triples",$B1346="Autographs Quads",$B1346="Autographs Quads (Inscribed)")),IF($B1346="Autographs Duals",2,IF($B1346="Autographs Triples",3,4)),1)))</f>
        <v>142.9</v>
      </c>
      <c r="AB1346" s="62">
        <f t="shared" ref="AB1346:AB1409" si="284">IF($L1346=1,$AA1346,0)</f>
        <v>0</v>
      </c>
      <c r="AC1346" s="62">
        <f t="shared" ref="AC1346:AC1409" si="285">IF($M1346=1,$AA1346,0)</f>
        <v>0</v>
      </c>
    </row>
    <row r="1347" spans="1:29" ht="42.95" customHeight="1" x14ac:dyDescent="0.25">
      <c r="A1347" s="4" t="s">
        <v>19</v>
      </c>
      <c r="B1347" s="7" t="s">
        <v>82</v>
      </c>
      <c r="C1347" s="2" t="s">
        <v>1545</v>
      </c>
      <c r="D1347" s="7" t="s">
        <v>1116</v>
      </c>
      <c r="E1347" s="4" t="s">
        <v>689</v>
      </c>
      <c r="F1347" s="2">
        <v>7</v>
      </c>
      <c r="G1347" s="2" t="s">
        <v>1399</v>
      </c>
      <c r="H1347" s="2" t="s">
        <v>1400</v>
      </c>
      <c r="I1347" s="4" t="s">
        <v>60</v>
      </c>
      <c r="J1347" s="112">
        <f>IF($H1347&lt;&gt;"Y",0,ROUND(MIN(Dashboard!$R$24,IF(IFERROR(VLOOKUP($B1347,Dashboard!$Q$28:$S$60,2,FALSE),0)&gt;0,IFERROR(VLOOKUP($B1347,Dashboard!$Q$28:$S$60,2,FALSE),0),$Z1347*IF($U1347&lt;&gt;"",ROUND((Dashboard!$R$4/$U1347)*VLOOKUP($I1347,Dashboard!$Q$9:$R$13,2,FALSE)*IF(ISNUMBER(SEARCH("Duals",$B1347)),2,IF(ISNUMBER(SEARCH("Triples",$B1347)),3,IF(ISNUMBER(SEARCH("Quads",$B1347)),4,1))),2),ROUND(VLOOKUP($I1347,Dashboard!$Q$15:$R$20,2,FALSE)*IF($E1347="Red",Dashboard!$R$6,IF($E1347="Gold",Dashboard!$R$7,Dashboard!$R$5))*IF(ISNUMBER(SEARCH("Duals",$B1347)),2,IF(ISNUMBER(SEARCH("Triples",$B1347)),3,IF(ISNUMBER(SEARCH("Quads",$B1347)),4,1))),2))*IF(IFERROR(VLOOKUP($B1347,Dashboard!$Q$28:$S$60,3,FALSE),0)&gt;0,VLOOKUP($B1347,Dashboard!$Q$28:$S$60,3,FALSE),1))),0))</f>
        <v>143</v>
      </c>
      <c r="K1347" s="2" t="str">
        <f>IF('Base S2'!I47="","",'Base S2'!I47)</f>
        <v/>
      </c>
      <c r="L1347" s="2">
        <f t="shared" si="273"/>
        <v>0</v>
      </c>
      <c r="M1347" s="2">
        <f t="shared" si="274"/>
        <v>0</v>
      </c>
      <c r="N1347" s="2">
        <f t="shared" si="275"/>
        <v>0</v>
      </c>
      <c r="O1347" s="2">
        <f t="shared" si="276"/>
        <v>1</v>
      </c>
      <c r="P1347" s="112">
        <f t="shared" si="277"/>
        <v>0</v>
      </c>
      <c r="Q1347" s="112">
        <f t="shared" si="278"/>
        <v>0</v>
      </c>
      <c r="R1347" s="53"/>
      <c r="S1347" s="53" t="str">
        <f t="shared" si="279"/>
        <v>Base S2|The Seven Parallel - Season 2|146|The Seven</v>
      </c>
      <c r="T1347" s="57" t="str">
        <f>IF($S1347="","",IFERROR(VLOOKUP($S1347,'Pop Estimates (Non-#d)'!$N$2:$O$500,2,FALSE),""))</f>
        <v/>
      </c>
      <c r="U1347" s="57">
        <f t="shared" si="280"/>
        <v>7</v>
      </c>
      <c r="V1347" s="53" t="str">
        <f t="shared" si="281"/>
        <v/>
      </c>
      <c r="W1347" s="53" t="str">
        <f t="shared" si="282"/>
        <v/>
      </c>
      <c r="X1347" s="53" t="str">
        <f t="shared" si="283"/>
        <v/>
      </c>
      <c r="Y1347" s="57" t="str">
        <f>IF($X1347="","",IFERROR(VLOOKUP($X1347,'Char Popularity'!$A$2:$C$500,2,FALSE),""))</f>
        <v/>
      </c>
      <c r="Z1347" s="56">
        <f>IF($X1347="",1,IFERROR(VLOOKUP($X1347,'Char Popularity'!$A$2:$C$500,3,FALSE),1))</f>
        <v>1</v>
      </c>
      <c r="AA1347" s="62">
        <f>IF($H1347&lt;&gt;"Y",0,(IF($F1347&lt;&gt;"",ROUND(Dashboard!$R$4/$F1347,1),IF(AND($I1347="Base",$E1347="Base"),Dashboard!$R$5,IF(AND($I1347="Base",$E1347="Red"),Dashboard!$R$6,IF(AND($I1347="Base",$E1347="Gold"),Dashboard!$R$7,VLOOKUP($I1347,Dashboard!$Q$16:$R$21,2,FALSE)))))*VLOOKUP($I1347,Dashboard!$Q$9:$R$13,2,FALSE)*IF(AND($I1347="Auto",$F1347="",OR($B1347="Autographs Duals",$B1347="Autographs Triples",$B1347="Autographs Quads",$B1347="Autographs Quads (Inscribed)")),IF($B1347="Autographs Duals",2,IF($B1347="Autographs Triples",3,4)),1)))</f>
        <v>142.9</v>
      </c>
      <c r="AB1347" s="62">
        <f t="shared" si="284"/>
        <v>0</v>
      </c>
      <c r="AC1347" s="62">
        <f t="shared" si="285"/>
        <v>0</v>
      </c>
    </row>
    <row r="1348" spans="1:29" ht="42.95" customHeight="1" x14ac:dyDescent="0.25">
      <c r="A1348" s="4" t="s">
        <v>19</v>
      </c>
      <c r="B1348" s="7" t="s">
        <v>82</v>
      </c>
      <c r="C1348" s="2" t="s">
        <v>1546</v>
      </c>
      <c r="D1348" s="7" t="s">
        <v>1118</v>
      </c>
      <c r="E1348" s="4" t="s">
        <v>689</v>
      </c>
      <c r="F1348" s="2">
        <v>7</v>
      </c>
      <c r="G1348" s="2" t="s">
        <v>1399</v>
      </c>
      <c r="H1348" s="2" t="s">
        <v>1400</v>
      </c>
      <c r="I1348" s="4" t="s">
        <v>60</v>
      </c>
      <c r="J1348" s="112">
        <f>IF($H1348&lt;&gt;"Y",0,ROUND(MIN(Dashboard!$R$24,IF(IFERROR(VLOOKUP($B1348,Dashboard!$Q$28:$S$60,2,FALSE),0)&gt;0,IFERROR(VLOOKUP($B1348,Dashboard!$Q$28:$S$60,2,FALSE),0),$Z1348*IF($U1348&lt;&gt;"",ROUND((Dashboard!$R$4/$U1348)*VLOOKUP($I1348,Dashboard!$Q$9:$R$13,2,FALSE)*IF(ISNUMBER(SEARCH("Duals",$B1348)),2,IF(ISNUMBER(SEARCH("Triples",$B1348)),3,IF(ISNUMBER(SEARCH("Quads",$B1348)),4,1))),2),ROUND(VLOOKUP($I1348,Dashboard!$Q$15:$R$20,2,FALSE)*IF($E1348="Red",Dashboard!$R$6,IF($E1348="Gold",Dashboard!$R$7,Dashboard!$R$5))*IF(ISNUMBER(SEARCH("Duals",$B1348)),2,IF(ISNUMBER(SEARCH("Triples",$B1348)),3,IF(ISNUMBER(SEARCH("Quads",$B1348)),4,1))),2))*IF(IFERROR(VLOOKUP($B1348,Dashboard!$Q$28:$S$60,3,FALSE),0)&gt;0,VLOOKUP($B1348,Dashboard!$Q$28:$S$60,3,FALSE),1))),0))</f>
        <v>143</v>
      </c>
      <c r="K1348" s="2" t="str">
        <f>IF('Base S2'!I48="","",'Base S2'!I48)</f>
        <v/>
      </c>
      <c r="L1348" s="2">
        <f t="shared" si="273"/>
        <v>0</v>
      </c>
      <c r="M1348" s="2">
        <f t="shared" si="274"/>
        <v>0</v>
      </c>
      <c r="N1348" s="2">
        <f t="shared" si="275"/>
        <v>0</v>
      </c>
      <c r="O1348" s="2">
        <f t="shared" si="276"/>
        <v>1</v>
      </c>
      <c r="P1348" s="112">
        <f t="shared" si="277"/>
        <v>0</v>
      </c>
      <c r="Q1348" s="112">
        <f t="shared" si="278"/>
        <v>0</v>
      </c>
      <c r="R1348" s="53"/>
      <c r="S1348" s="53" t="str">
        <f t="shared" si="279"/>
        <v>Base S2|The Seven Parallel - Season 2|147|The Seven</v>
      </c>
      <c r="T1348" s="57" t="str">
        <f>IF($S1348="","",IFERROR(VLOOKUP($S1348,'Pop Estimates (Non-#d)'!$N$2:$O$500,2,FALSE),""))</f>
        <v/>
      </c>
      <c r="U1348" s="57">
        <f t="shared" si="280"/>
        <v>7</v>
      </c>
      <c r="V1348" s="53" t="str">
        <f t="shared" si="281"/>
        <v/>
      </c>
      <c r="W1348" s="53" t="str">
        <f t="shared" si="282"/>
        <v/>
      </c>
      <c r="X1348" s="53" t="str">
        <f t="shared" si="283"/>
        <v/>
      </c>
      <c r="Y1348" s="57" t="str">
        <f>IF($X1348="","",IFERROR(VLOOKUP($X1348,'Char Popularity'!$A$2:$C$500,2,FALSE),""))</f>
        <v/>
      </c>
      <c r="Z1348" s="56">
        <f>IF($X1348="",1,IFERROR(VLOOKUP($X1348,'Char Popularity'!$A$2:$C$500,3,FALSE),1))</f>
        <v>1</v>
      </c>
      <c r="AA1348" s="62">
        <f>IF($H1348&lt;&gt;"Y",0,(IF($F1348&lt;&gt;"",ROUND(Dashboard!$R$4/$F1348,1),IF(AND($I1348="Base",$E1348="Base"),Dashboard!$R$5,IF(AND($I1348="Base",$E1348="Red"),Dashboard!$R$6,IF(AND($I1348="Base",$E1348="Gold"),Dashboard!$R$7,VLOOKUP($I1348,Dashboard!$Q$16:$R$21,2,FALSE)))))*VLOOKUP($I1348,Dashboard!$Q$9:$R$13,2,FALSE)*IF(AND($I1348="Auto",$F1348="",OR($B1348="Autographs Duals",$B1348="Autographs Triples",$B1348="Autographs Quads",$B1348="Autographs Quads (Inscribed)")),IF($B1348="Autographs Duals",2,IF($B1348="Autographs Triples",3,4)),1)))</f>
        <v>142.9</v>
      </c>
      <c r="AB1348" s="62">
        <f t="shared" si="284"/>
        <v>0</v>
      </c>
      <c r="AC1348" s="62">
        <f t="shared" si="285"/>
        <v>0</v>
      </c>
    </row>
    <row r="1349" spans="1:29" ht="42.95" customHeight="1" x14ac:dyDescent="0.25">
      <c r="A1349" s="4" t="s">
        <v>19</v>
      </c>
      <c r="B1349" s="7" t="s">
        <v>82</v>
      </c>
      <c r="C1349" s="2" t="s">
        <v>1547</v>
      </c>
      <c r="D1349" s="7" t="s">
        <v>1120</v>
      </c>
      <c r="E1349" s="4" t="s">
        <v>689</v>
      </c>
      <c r="F1349" s="2">
        <v>7</v>
      </c>
      <c r="G1349" s="2" t="s">
        <v>1399</v>
      </c>
      <c r="H1349" s="2" t="s">
        <v>1400</v>
      </c>
      <c r="I1349" s="4" t="s">
        <v>60</v>
      </c>
      <c r="J1349" s="112">
        <f>IF($H1349&lt;&gt;"Y",0,ROUND(MIN(Dashboard!$R$24,IF(IFERROR(VLOOKUP($B1349,Dashboard!$Q$28:$S$60,2,FALSE),0)&gt;0,IFERROR(VLOOKUP($B1349,Dashboard!$Q$28:$S$60,2,FALSE),0),$Z1349*IF($U1349&lt;&gt;"",ROUND((Dashboard!$R$4/$U1349)*VLOOKUP($I1349,Dashboard!$Q$9:$R$13,2,FALSE)*IF(ISNUMBER(SEARCH("Duals",$B1349)),2,IF(ISNUMBER(SEARCH("Triples",$B1349)),3,IF(ISNUMBER(SEARCH("Quads",$B1349)),4,1))),2),ROUND(VLOOKUP($I1349,Dashboard!$Q$15:$R$20,2,FALSE)*IF($E1349="Red",Dashboard!$R$6,IF($E1349="Gold",Dashboard!$R$7,Dashboard!$R$5))*IF(ISNUMBER(SEARCH("Duals",$B1349)),2,IF(ISNUMBER(SEARCH("Triples",$B1349)),3,IF(ISNUMBER(SEARCH("Quads",$B1349)),4,1))),2))*IF(IFERROR(VLOOKUP($B1349,Dashboard!$Q$28:$S$60,3,FALSE),0)&gt;0,VLOOKUP($B1349,Dashboard!$Q$28:$S$60,3,FALSE),1))),0))</f>
        <v>143</v>
      </c>
      <c r="K1349" s="2" t="str">
        <f>IF('Base S2'!I49="","",'Base S2'!I49)</f>
        <v/>
      </c>
      <c r="L1349" s="2">
        <f t="shared" si="273"/>
        <v>0</v>
      </c>
      <c r="M1349" s="2">
        <f t="shared" si="274"/>
        <v>0</v>
      </c>
      <c r="N1349" s="2">
        <f t="shared" si="275"/>
        <v>0</v>
      </c>
      <c r="O1349" s="2">
        <f t="shared" si="276"/>
        <v>1</v>
      </c>
      <c r="P1349" s="112">
        <f t="shared" si="277"/>
        <v>0</v>
      </c>
      <c r="Q1349" s="112">
        <f t="shared" si="278"/>
        <v>0</v>
      </c>
      <c r="R1349" s="53"/>
      <c r="S1349" s="53" t="str">
        <f t="shared" si="279"/>
        <v>Base S2|The Seven Parallel - Season 2|148|The Seven</v>
      </c>
      <c r="T1349" s="57" t="str">
        <f>IF($S1349="","",IFERROR(VLOOKUP($S1349,'Pop Estimates (Non-#d)'!$N$2:$O$500,2,FALSE),""))</f>
        <v/>
      </c>
      <c r="U1349" s="57">
        <f t="shared" si="280"/>
        <v>7</v>
      </c>
      <c r="V1349" s="53" t="str">
        <f t="shared" si="281"/>
        <v/>
      </c>
      <c r="W1349" s="53" t="str">
        <f t="shared" si="282"/>
        <v/>
      </c>
      <c r="X1349" s="53" t="str">
        <f t="shared" si="283"/>
        <v/>
      </c>
      <c r="Y1349" s="57" t="str">
        <f>IF($X1349="","",IFERROR(VLOOKUP($X1349,'Char Popularity'!$A$2:$C$500,2,FALSE),""))</f>
        <v/>
      </c>
      <c r="Z1349" s="56">
        <f>IF($X1349="",1,IFERROR(VLOOKUP($X1349,'Char Popularity'!$A$2:$C$500,3,FALSE),1))</f>
        <v>1</v>
      </c>
      <c r="AA1349" s="62">
        <f>IF($H1349&lt;&gt;"Y",0,(IF($F1349&lt;&gt;"",ROUND(Dashboard!$R$4/$F1349,1),IF(AND($I1349="Base",$E1349="Base"),Dashboard!$R$5,IF(AND($I1349="Base",$E1349="Red"),Dashboard!$R$6,IF(AND($I1349="Base",$E1349="Gold"),Dashboard!$R$7,VLOOKUP($I1349,Dashboard!$Q$16:$R$21,2,FALSE)))))*VLOOKUP($I1349,Dashboard!$Q$9:$R$13,2,FALSE)*IF(AND($I1349="Auto",$F1349="",OR($B1349="Autographs Duals",$B1349="Autographs Triples",$B1349="Autographs Quads",$B1349="Autographs Quads (Inscribed)")),IF($B1349="Autographs Duals",2,IF($B1349="Autographs Triples",3,4)),1)))</f>
        <v>142.9</v>
      </c>
      <c r="AB1349" s="62">
        <f t="shared" si="284"/>
        <v>0</v>
      </c>
      <c r="AC1349" s="62">
        <f t="shared" si="285"/>
        <v>0</v>
      </c>
    </row>
    <row r="1350" spans="1:29" ht="42.95" customHeight="1" x14ac:dyDescent="0.25">
      <c r="A1350" s="4" t="s">
        <v>19</v>
      </c>
      <c r="B1350" s="7" t="s">
        <v>82</v>
      </c>
      <c r="C1350" s="2" t="s">
        <v>1548</v>
      </c>
      <c r="D1350" s="7" t="s">
        <v>1122</v>
      </c>
      <c r="E1350" s="4" t="s">
        <v>689</v>
      </c>
      <c r="F1350" s="2">
        <v>7</v>
      </c>
      <c r="G1350" s="2" t="s">
        <v>1399</v>
      </c>
      <c r="H1350" s="2" t="s">
        <v>1400</v>
      </c>
      <c r="I1350" s="4" t="s">
        <v>60</v>
      </c>
      <c r="J1350" s="112">
        <f>IF($H1350&lt;&gt;"Y",0,ROUND(MIN(Dashboard!$R$24,IF(IFERROR(VLOOKUP($B1350,Dashboard!$Q$28:$S$60,2,FALSE),0)&gt;0,IFERROR(VLOOKUP($B1350,Dashboard!$Q$28:$S$60,2,FALSE),0),$Z1350*IF($U1350&lt;&gt;"",ROUND((Dashboard!$R$4/$U1350)*VLOOKUP($I1350,Dashboard!$Q$9:$R$13,2,FALSE)*IF(ISNUMBER(SEARCH("Duals",$B1350)),2,IF(ISNUMBER(SEARCH("Triples",$B1350)),3,IF(ISNUMBER(SEARCH("Quads",$B1350)),4,1))),2),ROUND(VLOOKUP($I1350,Dashboard!$Q$15:$R$20,2,FALSE)*IF($E1350="Red",Dashboard!$R$6,IF($E1350="Gold",Dashboard!$R$7,Dashboard!$R$5))*IF(ISNUMBER(SEARCH("Duals",$B1350)),2,IF(ISNUMBER(SEARCH("Triples",$B1350)),3,IF(ISNUMBER(SEARCH("Quads",$B1350)),4,1))),2))*IF(IFERROR(VLOOKUP($B1350,Dashboard!$Q$28:$S$60,3,FALSE),0)&gt;0,VLOOKUP($B1350,Dashboard!$Q$28:$S$60,3,FALSE),1))),0))</f>
        <v>143</v>
      </c>
      <c r="K1350" s="2" t="str">
        <f>IF('Base S2'!I50="","",'Base S2'!I50)</f>
        <v/>
      </c>
      <c r="L1350" s="2">
        <f t="shared" si="273"/>
        <v>0</v>
      </c>
      <c r="M1350" s="2">
        <f t="shared" si="274"/>
        <v>0</v>
      </c>
      <c r="N1350" s="2">
        <f t="shared" si="275"/>
        <v>0</v>
      </c>
      <c r="O1350" s="2">
        <f t="shared" si="276"/>
        <v>1</v>
      </c>
      <c r="P1350" s="112">
        <f t="shared" si="277"/>
        <v>0</v>
      </c>
      <c r="Q1350" s="112">
        <f t="shared" si="278"/>
        <v>0</v>
      </c>
      <c r="R1350" s="53"/>
      <c r="S1350" s="53" t="str">
        <f t="shared" si="279"/>
        <v>Base S2|The Seven Parallel - Season 2|149|The Seven</v>
      </c>
      <c r="T1350" s="57" t="str">
        <f>IF($S1350="","",IFERROR(VLOOKUP($S1350,'Pop Estimates (Non-#d)'!$N$2:$O$500,2,FALSE),""))</f>
        <v/>
      </c>
      <c r="U1350" s="57">
        <f t="shared" si="280"/>
        <v>7</v>
      </c>
      <c r="V1350" s="53" t="str">
        <f t="shared" si="281"/>
        <v/>
      </c>
      <c r="W1350" s="53" t="str">
        <f t="shared" si="282"/>
        <v/>
      </c>
      <c r="X1350" s="53" t="str">
        <f t="shared" si="283"/>
        <v/>
      </c>
      <c r="Y1350" s="57" t="str">
        <f>IF($X1350="","",IFERROR(VLOOKUP($X1350,'Char Popularity'!$A$2:$C$500,2,FALSE),""))</f>
        <v/>
      </c>
      <c r="Z1350" s="56">
        <f>IF($X1350="",1,IFERROR(VLOOKUP($X1350,'Char Popularity'!$A$2:$C$500,3,FALSE),1))</f>
        <v>1</v>
      </c>
      <c r="AA1350" s="62">
        <f>IF($H1350&lt;&gt;"Y",0,(IF($F1350&lt;&gt;"",ROUND(Dashboard!$R$4/$F1350,1),IF(AND($I1350="Base",$E1350="Base"),Dashboard!$R$5,IF(AND($I1350="Base",$E1350="Red"),Dashboard!$R$6,IF(AND($I1350="Base",$E1350="Gold"),Dashboard!$R$7,VLOOKUP($I1350,Dashboard!$Q$16:$R$21,2,FALSE)))))*VLOOKUP($I1350,Dashboard!$Q$9:$R$13,2,FALSE)*IF(AND($I1350="Auto",$F1350="",OR($B1350="Autographs Duals",$B1350="Autographs Triples",$B1350="Autographs Quads",$B1350="Autographs Quads (Inscribed)")),IF($B1350="Autographs Duals",2,IF($B1350="Autographs Triples",3,4)),1)))</f>
        <v>142.9</v>
      </c>
      <c r="AB1350" s="62">
        <f t="shared" si="284"/>
        <v>0</v>
      </c>
      <c r="AC1350" s="62">
        <f t="shared" si="285"/>
        <v>0</v>
      </c>
    </row>
    <row r="1351" spans="1:29" ht="42.95" customHeight="1" x14ac:dyDescent="0.25">
      <c r="A1351" s="4" t="s">
        <v>19</v>
      </c>
      <c r="B1351" s="7" t="s">
        <v>82</v>
      </c>
      <c r="C1351" s="2" t="s">
        <v>1549</v>
      </c>
      <c r="D1351" s="7" t="s">
        <v>1123</v>
      </c>
      <c r="E1351" s="4" t="s">
        <v>689</v>
      </c>
      <c r="F1351" s="2">
        <v>7</v>
      </c>
      <c r="G1351" s="2" t="s">
        <v>1399</v>
      </c>
      <c r="H1351" s="2" t="s">
        <v>1400</v>
      </c>
      <c r="I1351" s="4" t="s">
        <v>60</v>
      </c>
      <c r="J1351" s="112">
        <f>IF($H1351&lt;&gt;"Y",0,ROUND(MIN(Dashboard!$R$24,IF(IFERROR(VLOOKUP($B1351,Dashboard!$Q$28:$S$60,2,FALSE),0)&gt;0,IFERROR(VLOOKUP($B1351,Dashboard!$Q$28:$S$60,2,FALSE),0),$Z1351*IF($U1351&lt;&gt;"",ROUND((Dashboard!$R$4/$U1351)*VLOOKUP($I1351,Dashboard!$Q$9:$R$13,2,FALSE)*IF(ISNUMBER(SEARCH("Duals",$B1351)),2,IF(ISNUMBER(SEARCH("Triples",$B1351)),3,IF(ISNUMBER(SEARCH("Quads",$B1351)),4,1))),2),ROUND(VLOOKUP($I1351,Dashboard!$Q$15:$R$20,2,FALSE)*IF($E1351="Red",Dashboard!$R$6,IF($E1351="Gold",Dashboard!$R$7,Dashboard!$R$5))*IF(ISNUMBER(SEARCH("Duals",$B1351)),2,IF(ISNUMBER(SEARCH("Triples",$B1351)),3,IF(ISNUMBER(SEARCH("Quads",$B1351)),4,1))),2))*IF(IFERROR(VLOOKUP($B1351,Dashboard!$Q$28:$S$60,3,FALSE),0)&gt;0,VLOOKUP($B1351,Dashboard!$Q$28:$S$60,3,FALSE),1))),0))</f>
        <v>143</v>
      </c>
      <c r="K1351" s="2" t="str">
        <f>IF('Base S2'!I51="","",'Base S2'!I51)</f>
        <v/>
      </c>
      <c r="L1351" s="2">
        <f t="shared" si="273"/>
        <v>0</v>
      </c>
      <c r="M1351" s="2">
        <f t="shared" si="274"/>
        <v>0</v>
      </c>
      <c r="N1351" s="2">
        <f t="shared" si="275"/>
        <v>0</v>
      </c>
      <c r="O1351" s="2">
        <f t="shared" si="276"/>
        <v>1</v>
      </c>
      <c r="P1351" s="112">
        <f t="shared" si="277"/>
        <v>0</v>
      </c>
      <c r="Q1351" s="112">
        <f t="shared" si="278"/>
        <v>0</v>
      </c>
      <c r="R1351" s="53"/>
      <c r="S1351" s="53" t="str">
        <f t="shared" si="279"/>
        <v>Base S2|The Seven Parallel - Season 2|150|The Seven</v>
      </c>
      <c r="T1351" s="57" t="str">
        <f>IF($S1351="","",IFERROR(VLOOKUP($S1351,'Pop Estimates (Non-#d)'!$N$2:$O$500,2,FALSE),""))</f>
        <v/>
      </c>
      <c r="U1351" s="57">
        <f t="shared" si="280"/>
        <v>7</v>
      </c>
      <c r="V1351" s="53" t="str">
        <f t="shared" si="281"/>
        <v/>
      </c>
      <c r="W1351" s="53" t="str">
        <f t="shared" si="282"/>
        <v/>
      </c>
      <c r="X1351" s="53" t="str">
        <f t="shared" si="283"/>
        <v/>
      </c>
      <c r="Y1351" s="57" t="str">
        <f>IF($X1351="","",IFERROR(VLOOKUP($X1351,'Char Popularity'!$A$2:$C$500,2,FALSE),""))</f>
        <v/>
      </c>
      <c r="Z1351" s="56">
        <f>IF($X1351="",1,IFERROR(VLOOKUP($X1351,'Char Popularity'!$A$2:$C$500,3,FALSE),1))</f>
        <v>1</v>
      </c>
      <c r="AA1351" s="62">
        <f>IF($H1351&lt;&gt;"Y",0,(IF($F1351&lt;&gt;"",ROUND(Dashboard!$R$4/$F1351,1),IF(AND($I1351="Base",$E1351="Base"),Dashboard!$R$5,IF(AND($I1351="Base",$E1351="Red"),Dashboard!$R$6,IF(AND($I1351="Base",$E1351="Gold"),Dashboard!$R$7,VLOOKUP($I1351,Dashboard!$Q$16:$R$21,2,FALSE)))))*VLOOKUP($I1351,Dashboard!$Q$9:$R$13,2,FALSE)*IF(AND($I1351="Auto",$F1351="",OR($B1351="Autographs Duals",$B1351="Autographs Triples",$B1351="Autographs Quads",$B1351="Autographs Quads (Inscribed)")),IF($B1351="Autographs Duals",2,IF($B1351="Autographs Triples",3,4)),1)))</f>
        <v>142.9</v>
      </c>
      <c r="AB1351" s="62">
        <f t="shared" si="284"/>
        <v>0</v>
      </c>
      <c r="AC1351" s="62">
        <f t="shared" si="285"/>
        <v>0</v>
      </c>
    </row>
    <row r="1352" spans="1:29" ht="42.95" customHeight="1" x14ac:dyDescent="0.25">
      <c r="A1352" s="4" t="s">
        <v>19</v>
      </c>
      <c r="B1352" s="7" t="s">
        <v>82</v>
      </c>
      <c r="C1352" s="2" t="s">
        <v>1550</v>
      </c>
      <c r="D1352" s="7" t="s">
        <v>1125</v>
      </c>
      <c r="E1352" s="4" t="s">
        <v>689</v>
      </c>
      <c r="F1352" s="2">
        <v>7</v>
      </c>
      <c r="G1352" s="2" t="s">
        <v>1399</v>
      </c>
      <c r="H1352" s="2" t="s">
        <v>1400</v>
      </c>
      <c r="I1352" s="4" t="s">
        <v>60</v>
      </c>
      <c r="J1352" s="112">
        <f>IF($H1352&lt;&gt;"Y",0,ROUND(MIN(Dashboard!$R$24,IF(IFERROR(VLOOKUP($B1352,Dashboard!$Q$28:$S$60,2,FALSE),0)&gt;0,IFERROR(VLOOKUP($B1352,Dashboard!$Q$28:$S$60,2,FALSE),0),$Z1352*IF($U1352&lt;&gt;"",ROUND((Dashboard!$R$4/$U1352)*VLOOKUP($I1352,Dashboard!$Q$9:$R$13,2,FALSE)*IF(ISNUMBER(SEARCH("Duals",$B1352)),2,IF(ISNUMBER(SEARCH("Triples",$B1352)),3,IF(ISNUMBER(SEARCH("Quads",$B1352)),4,1))),2),ROUND(VLOOKUP($I1352,Dashboard!$Q$15:$R$20,2,FALSE)*IF($E1352="Red",Dashboard!$R$6,IF($E1352="Gold",Dashboard!$R$7,Dashboard!$R$5))*IF(ISNUMBER(SEARCH("Duals",$B1352)),2,IF(ISNUMBER(SEARCH("Triples",$B1352)),3,IF(ISNUMBER(SEARCH("Quads",$B1352)),4,1))),2))*IF(IFERROR(VLOOKUP($B1352,Dashboard!$Q$28:$S$60,3,FALSE),0)&gt;0,VLOOKUP($B1352,Dashboard!$Q$28:$S$60,3,FALSE),1))),0))</f>
        <v>143</v>
      </c>
      <c r="K1352" s="2" t="str">
        <f>IF('Base S2'!I52="","",'Base S2'!I52)</f>
        <v/>
      </c>
      <c r="L1352" s="2">
        <f t="shared" si="273"/>
        <v>0</v>
      </c>
      <c r="M1352" s="2">
        <f t="shared" si="274"/>
        <v>0</v>
      </c>
      <c r="N1352" s="2">
        <f t="shared" si="275"/>
        <v>0</v>
      </c>
      <c r="O1352" s="2">
        <f t="shared" si="276"/>
        <v>1</v>
      </c>
      <c r="P1352" s="112">
        <f t="shared" si="277"/>
        <v>0</v>
      </c>
      <c r="Q1352" s="112">
        <f t="shared" si="278"/>
        <v>0</v>
      </c>
      <c r="R1352" s="53"/>
      <c r="S1352" s="53" t="str">
        <f t="shared" si="279"/>
        <v>Base S2|The Seven Parallel - Season 2|151|The Seven</v>
      </c>
      <c r="T1352" s="57" t="str">
        <f>IF($S1352="","",IFERROR(VLOOKUP($S1352,'Pop Estimates (Non-#d)'!$N$2:$O$500,2,FALSE),""))</f>
        <v/>
      </c>
      <c r="U1352" s="57">
        <f t="shared" si="280"/>
        <v>7</v>
      </c>
      <c r="V1352" s="53" t="str">
        <f t="shared" si="281"/>
        <v/>
      </c>
      <c r="W1352" s="53" t="str">
        <f t="shared" si="282"/>
        <v/>
      </c>
      <c r="X1352" s="53" t="str">
        <f t="shared" si="283"/>
        <v/>
      </c>
      <c r="Y1352" s="57" t="str">
        <f>IF($X1352="","",IFERROR(VLOOKUP($X1352,'Char Popularity'!$A$2:$C$500,2,FALSE),""))</f>
        <v/>
      </c>
      <c r="Z1352" s="56">
        <f>IF($X1352="",1,IFERROR(VLOOKUP($X1352,'Char Popularity'!$A$2:$C$500,3,FALSE),1))</f>
        <v>1</v>
      </c>
      <c r="AA1352" s="62">
        <f>IF($H1352&lt;&gt;"Y",0,(IF($F1352&lt;&gt;"",ROUND(Dashboard!$R$4/$F1352,1),IF(AND($I1352="Base",$E1352="Base"),Dashboard!$R$5,IF(AND($I1352="Base",$E1352="Red"),Dashboard!$R$6,IF(AND($I1352="Base",$E1352="Gold"),Dashboard!$R$7,VLOOKUP($I1352,Dashboard!$Q$16:$R$21,2,FALSE)))))*VLOOKUP($I1352,Dashboard!$Q$9:$R$13,2,FALSE)*IF(AND($I1352="Auto",$F1352="",OR($B1352="Autographs Duals",$B1352="Autographs Triples",$B1352="Autographs Quads",$B1352="Autographs Quads (Inscribed)")),IF($B1352="Autographs Duals",2,IF($B1352="Autographs Triples",3,4)),1)))</f>
        <v>142.9</v>
      </c>
      <c r="AB1352" s="62">
        <f t="shared" si="284"/>
        <v>0</v>
      </c>
      <c r="AC1352" s="62">
        <f t="shared" si="285"/>
        <v>0</v>
      </c>
    </row>
    <row r="1353" spans="1:29" ht="42.95" customHeight="1" x14ac:dyDescent="0.25">
      <c r="A1353" s="4" t="s">
        <v>19</v>
      </c>
      <c r="B1353" s="7" t="s">
        <v>82</v>
      </c>
      <c r="C1353" s="2" t="s">
        <v>1551</v>
      </c>
      <c r="D1353" s="7" t="s">
        <v>1126</v>
      </c>
      <c r="E1353" s="4" t="s">
        <v>689</v>
      </c>
      <c r="F1353" s="2">
        <v>7</v>
      </c>
      <c r="G1353" s="2" t="s">
        <v>1399</v>
      </c>
      <c r="H1353" s="2" t="s">
        <v>1400</v>
      </c>
      <c r="I1353" s="4" t="s">
        <v>60</v>
      </c>
      <c r="J1353" s="112">
        <f>IF($H1353&lt;&gt;"Y",0,ROUND(MIN(Dashboard!$R$24,IF(IFERROR(VLOOKUP($B1353,Dashboard!$Q$28:$S$60,2,FALSE),0)&gt;0,IFERROR(VLOOKUP($B1353,Dashboard!$Q$28:$S$60,2,FALSE),0),$Z1353*IF($U1353&lt;&gt;"",ROUND((Dashboard!$R$4/$U1353)*VLOOKUP($I1353,Dashboard!$Q$9:$R$13,2,FALSE)*IF(ISNUMBER(SEARCH("Duals",$B1353)),2,IF(ISNUMBER(SEARCH("Triples",$B1353)),3,IF(ISNUMBER(SEARCH("Quads",$B1353)),4,1))),2),ROUND(VLOOKUP($I1353,Dashboard!$Q$15:$R$20,2,FALSE)*IF($E1353="Red",Dashboard!$R$6,IF($E1353="Gold",Dashboard!$R$7,Dashboard!$R$5))*IF(ISNUMBER(SEARCH("Duals",$B1353)),2,IF(ISNUMBER(SEARCH("Triples",$B1353)),3,IF(ISNUMBER(SEARCH("Quads",$B1353)),4,1))),2))*IF(IFERROR(VLOOKUP($B1353,Dashboard!$Q$28:$S$60,3,FALSE),0)&gt;0,VLOOKUP($B1353,Dashboard!$Q$28:$S$60,3,FALSE),1))),0))</f>
        <v>143</v>
      </c>
      <c r="K1353" s="2" t="str">
        <f>IF('Base S2'!I53="","",'Base S2'!I53)</f>
        <v/>
      </c>
      <c r="L1353" s="2">
        <f t="shared" si="273"/>
        <v>0</v>
      </c>
      <c r="M1353" s="2">
        <f t="shared" si="274"/>
        <v>0</v>
      </c>
      <c r="N1353" s="2">
        <f t="shared" si="275"/>
        <v>0</v>
      </c>
      <c r="O1353" s="2">
        <f t="shared" si="276"/>
        <v>1</v>
      </c>
      <c r="P1353" s="112">
        <f t="shared" si="277"/>
        <v>0</v>
      </c>
      <c r="Q1353" s="112">
        <f t="shared" si="278"/>
        <v>0</v>
      </c>
      <c r="R1353" s="53"/>
      <c r="S1353" s="53" t="str">
        <f t="shared" si="279"/>
        <v>Base S2|The Seven Parallel - Season 2|152|The Seven</v>
      </c>
      <c r="T1353" s="57" t="str">
        <f>IF($S1353="","",IFERROR(VLOOKUP($S1353,'Pop Estimates (Non-#d)'!$N$2:$O$500,2,FALSE),""))</f>
        <v/>
      </c>
      <c r="U1353" s="57">
        <f t="shared" si="280"/>
        <v>7</v>
      </c>
      <c r="V1353" s="53" t="str">
        <f t="shared" si="281"/>
        <v/>
      </c>
      <c r="W1353" s="53" t="str">
        <f t="shared" si="282"/>
        <v/>
      </c>
      <c r="X1353" s="53" t="str">
        <f t="shared" si="283"/>
        <v/>
      </c>
      <c r="Y1353" s="57" t="str">
        <f>IF($X1353="","",IFERROR(VLOOKUP($X1353,'Char Popularity'!$A$2:$C$500,2,FALSE),""))</f>
        <v/>
      </c>
      <c r="Z1353" s="56">
        <f>IF($X1353="",1,IFERROR(VLOOKUP($X1353,'Char Popularity'!$A$2:$C$500,3,FALSE),1))</f>
        <v>1</v>
      </c>
      <c r="AA1353" s="62">
        <f>IF($H1353&lt;&gt;"Y",0,(IF($F1353&lt;&gt;"",ROUND(Dashboard!$R$4/$F1353,1),IF(AND($I1353="Base",$E1353="Base"),Dashboard!$R$5,IF(AND($I1353="Base",$E1353="Red"),Dashboard!$R$6,IF(AND($I1353="Base",$E1353="Gold"),Dashboard!$R$7,VLOOKUP($I1353,Dashboard!$Q$16:$R$21,2,FALSE)))))*VLOOKUP($I1353,Dashboard!$Q$9:$R$13,2,FALSE)*IF(AND($I1353="Auto",$F1353="",OR($B1353="Autographs Duals",$B1353="Autographs Triples",$B1353="Autographs Quads",$B1353="Autographs Quads (Inscribed)")),IF($B1353="Autographs Duals",2,IF($B1353="Autographs Triples",3,4)),1)))</f>
        <v>142.9</v>
      </c>
      <c r="AB1353" s="62">
        <f t="shared" si="284"/>
        <v>0</v>
      </c>
      <c r="AC1353" s="62">
        <f t="shared" si="285"/>
        <v>0</v>
      </c>
    </row>
    <row r="1354" spans="1:29" ht="42.95" customHeight="1" x14ac:dyDescent="0.25">
      <c r="A1354" s="4" t="s">
        <v>19</v>
      </c>
      <c r="B1354" s="7" t="s">
        <v>82</v>
      </c>
      <c r="C1354" s="2" t="s">
        <v>1552</v>
      </c>
      <c r="D1354" s="7" t="s">
        <v>335</v>
      </c>
      <c r="E1354" s="4" t="s">
        <v>689</v>
      </c>
      <c r="F1354" s="2">
        <v>7</v>
      </c>
      <c r="G1354" s="2" t="s">
        <v>1399</v>
      </c>
      <c r="H1354" s="2" t="s">
        <v>1400</v>
      </c>
      <c r="I1354" s="4" t="s">
        <v>60</v>
      </c>
      <c r="J1354" s="112">
        <f>IF($H1354&lt;&gt;"Y",0,ROUND(MIN(Dashboard!$R$24,IF(IFERROR(VLOOKUP($B1354,Dashboard!$Q$28:$S$60,2,FALSE),0)&gt;0,IFERROR(VLOOKUP($B1354,Dashboard!$Q$28:$S$60,2,FALSE),0),$Z1354*IF($U1354&lt;&gt;"",ROUND((Dashboard!$R$4/$U1354)*VLOOKUP($I1354,Dashboard!$Q$9:$R$13,2,FALSE)*IF(ISNUMBER(SEARCH("Duals",$B1354)),2,IF(ISNUMBER(SEARCH("Triples",$B1354)),3,IF(ISNUMBER(SEARCH("Quads",$B1354)),4,1))),2),ROUND(VLOOKUP($I1354,Dashboard!$Q$15:$R$20,2,FALSE)*IF($E1354="Red",Dashboard!$R$6,IF($E1354="Gold",Dashboard!$R$7,Dashboard!$R$5))*IF(ISNUMBER(SEARCH("Duals",$B1354)),2,IF(ISNUMBER(SEARCH("Triples",$B1354)),3,IF(ISNUMBER(SEARCH("Quads",$B1354)),4,1))),2))*IF(IFERROR(VLOOKUP($B1354,Dashboard!$Q$28:$S$60,3,FALSE),0)&gt;0,VLOOKUP($B1354,Dashboard!$Q$28:$S$60,3,FALSE),1))),0))</f>
        <v>143</v>
      </c>
      <c r="K1354" s="2" t="str">
        <f>IF('Base S2'!I54="","",'Base S2'!I54)</f>
        <v>C 6/7</v>
      </c>
      <c r="L1354" s="2">
        <f t="shared" si="273"/>
        <v>1</v>
      </c>
      <c r="M1354" s="2">
        <f t="shared" si="274"/>
        <v>0</v>
      </c>
      <c r="N1354" s="2">
        <f t="shared" si="275"/>
        <v>1</v>
      </c>
      <c r="O1354" s="2">
        <f t="shared" si="276"/>
        <v>0</v>
      </c>
      <c r="P1354" s="112">
        <f t="shared" si="277"/>
        <v>143</v>
      </c>
      <c r="Q1354" s="112">
        <f t="shared" si="278"/>
        <v>0</v>
      </c>
      <c r="R1354" s="53"/>
      <c r="S1354" s="53" t="str">
        <f t="shared" si="279"/>
        <v>Base S2|The Seven Parallel - Season 2|153|The Seven</v>
      </c>
      <c r="T1354" s="57" t="str">
        <f>IF($S1354="","",IFERROR(VLOOKUP($S1354,'Pop Estimates (Non-#d)'!$N$2:$O$500,2,FALSE),""))</f>
        <v/>
      </c>
      <c r="U1354" s="57">
        <f t="shared" si="280"/>
        <v>7</v>
      </c>
      <c r="V1354" s="53" t="str">
        <f t="shared" si="281"/>
        <v/>
      </c>
      <c r="W1354" s="53" t="str">
        <f t="shared" si="282"/>
        <v/>
      </c>
      <c r="X1354" s="53" t="str">
        <f t="shared" si="283"/>
        <v/>
      </c>
      <c r="Y1354" s="57" t="str">
        <f>IF($X1354="","",IFERROR(VLOOKUP($X1354,'Char Popularity'!$A$2:$C$500,2,FALSE),""))</f>
        <v/>
      </c>
      <c r="Z1354" s="56">
        <f>IF($X1354="",1,IFERROR(VLOOKUP($X1354,'Char Popularity'!$A$2:$C$500,3,FALSE),1))</f>
        <v>1</v>
      </c>
      <c r="AA1354" s="62">
        <f>IF($H1354&lt;&gt;"Y",0,(IF($F1354&lt;&gt;"",ROUND(Dashboard!$R$4/$F1354,1),IF(AND($I1354="Base",$E1354="Base"),Dashboard!$R$5,IF(AND($I1354="Base",$E1354="Red"),Dashboard!$R$6,IF(AND($I1354="Base",$E1354="Gold"),Dashboard!$R$7,VLOOKUP($I1354,Dashboard!$Q$16:$R$21,2,FALSE)))))*VLOOKUP($I1354,Dashboard!$Q$9:$R$13,2,FALSE)*IF(AND($I1354="Auto",$F1354="",OR($B1354="Autographs Duals",$B1354="Autographs Triples",$B1354="Autographs Quads",$B1354="Autographs Quads (Inscribed)")),IF($B1354="Autographs Duals",2,IF($B1354="Autographs Triples",3,4)),1)))</f>
        <v>142.9</v>
      </c>
      <c r="AB1354" s="62">
        <f t="shared" si="284"/>
        <v>142.9</v>
      </c>
      <c r="AC1354" s="62">
        <f t="shared" si="285"/>
        <v>0</v>
      </c>
    </row>
    <row r="1355" spans="1:29" ht="42.95" customHeight="1" x14ac:dyDescent="0.25">
      <c r="A1355" s="4" t="s">
        <v>19</v>
      </c>
      <c r="B1355" s="7" t="s">
        <v>82</v>
      </c>
      <c r="C1355" s="2" t="s">
        <v>1553</v>
      </c>
      <c r="D1355" s="7" t="s">
        <v>1128</v>
      </c>
      <c r="E1355" s="4" t="s">
        <v>689</v>
      </c>
      <c r="F1355" s="2">
        <v>7</v>
      </c>
      <c r="G1355" s="2" t="s">
        <v>1399</v>
      </c>
      <c r="H1355" s="2" t="s">
        <v>1400</v>
      </c>
      <c r="I1355" s="4" t="s">
        <v>60</v>
      </c>
      <c r="J1355" s="112">
        <f>IF($H1355&lt;&gt;"Y",0,ROUND(MIN(Dashboard!$R$24,IF(IFERROR(VLOOKUP($B1355,Dashboard!$Q$28:$S$60,2,FALSE),0)&gt;0,IFERROR(VLOOKUP($B1355,Dashboard!$Q$28:$S$60,2,FALSE),0),$Z1355*IF($U1355&lt;&gt;"",ROUND((Dashboard!$R$4/$U1355)*VLOOKUP($I1355,Dashboard!$Q$9:$R$13,2,FALSE)*IF(ISNUMBER(SEARCH("Duals",$B1355)),2,IF(ISNUMBER(SEARCH("Triples",$B1355)),3,IF(ISNUMBER(SEARCH("Quads",$B1355)),4,1))),2),ROUND(VLOOKUP($I1355,Dashboard!$Q$15:$R$20,2,FALSE)*IF($E1355="Red",Dashboard!$R$6,IF($E1355="Gold",Dashboard!$R$7,Dashboard!$R$5))*IF(ISNUMBER(SEARCH("Duals",$B1355)),2,IF(ISNUMBER(SEARCH("Triples",$B1355)),3,IF(ISNUMBER(SEARCH("Quads",$B1355)),4,1))),2))*IF(IFERROR(VLOOKUP($B1355,Dashboard!$Q$28:$S$60,3,FALSE),0)&gt;0,VLOOKUP($B1355,Dashboard!$Q$28:$S$60,3,FALSE),1))),0))</f>
        <v>143</v>
      </c>
      <c r="K1355" s="2" t="str">
        <f>IF('Base S2'!I55="","",'Base S2'!I55)</f>
        <v/>
      </c>
      <c r="L1355" s="2">
        <f t="shared" si="273"/>
        <v>0</v>
      </c>
      <c r="M1355" s="2">
        <f t="shared" si="274"/>
        <v>0</v>
      </c>
      <c r="N1355" s="2">
        <f t="shared" si="275"/>
        <v>0</v>
      </c>
      <c r="O1355" s="2">
        <f t="shared" si="276"/>
        <v>1</v>
      </c>
      <c r="P1355" s="112">
        <f t="shared" si="277"/>
        <v>0</v>
      </c>
      <c r="Q1355" s="112">
        <f t="shared" si="278"/>
        <v>0</v>
      </c>
      <c r="R1355" s="53"/>
      <c r="S1355" s="53" t="str">
        <f t="shared" si="279"/>
        <v>Base S2|The Seven Parallel - Season 2|154|The Seven</v>
      </c>
      <c r="T1355" s="57" t="str">
        <f>IF($S1355="","",IFERROR(VLOOKUP($S1355,'Pop Estimates (Non-#d)'!$N$2:$O$500,2,FALSE),""))</f>
        <v/>
      </c>
      <c r="U1355" s="57">
        <f t="shared" si="280"/>
        <v>7</v>
      </c>
      <c r="V1355" s="53" t="str">
        <f t="shared" si="281"/>
        <v/>
      </c>
      <c r="W1355" s="53" t="str">
        <f t="shared" si="282"/>
        <v/>
      </c>
      <c r="X1355" s="53" t="str">
        <f t="shared" si="283"/>
        <v/>
      </c>
      <c r="Y1355" s="57" t="str">
        <f>IF($X1355="","",IFERROR(VLOOKUP($X1355,'Char Popularity'!$A$2:$C$500,2,FALSE),""))</f>
        <v/>
      </c>
      <c r="Z1355" s="56">
        <f>IF($X1355="",1,IFERROR(VLOOKUP($X1355,'Char Popularity'!$A$2:$C$500,3,FALSE),1))</f>
        <v>1</v>
      </c>
      <c r="AA1355" s="62">
        <f>IF($H1355&lt;&gt;"Y",0,(IF($F1355&lt;&gt;"",ROUND(Dashboard!$R$4/$F1355,1),IF(AND($I1355="Base",$E1355="Base"),Dashboard!$R$5,IF(AND($I1355="Base",$E1355="Red"),Dashboard!$R$6,IF(AND($I1355="Base",$E1355="Gold"),Dashboard!$R$7,VLOOKUP($I1355,Dashboard!$Q$16:$R$21,2,FALSE)))))*VLOOKUP($I1355,Dashboard!$Q$9:$R$13,2,FALSE)*IF(AND($I1355="Auto",$F1355="",OR($B1355="Autographs Duals",$B1355="Autographs Triples",$B1355="Autographs Quads",$B1355="Autographs Quads (Inscribed)")),IF($B1355="Autographs Duals",2,IF($B1355="Autographs Triples",3,4)),1)))</f>
        <v>142.9</v>
      </c>
      <c r="AB1355" s="62">
        <f t="shared" si="284"/>
        <v>0</v>
      </c>
      <c r="AC1355" s="62">
        <f t="shared" si="285"/>
        <v>0</v>
      </c>
    </row>
    <row r="1356" spans="1:29" ht="42.95" customHeight="1" x14ac:dyDescent="0.25">
      <c r="A1356" s="4" t="s">
        <v>19</v>
      </c>
      <c r="B1356" s="7" t="s">
        <v>82</v>
      </c>
      <c r="C1356" s="2" t="s">
        <v>1554</v>
      </c>
      <c r="D1356" s="7" t="s">
        <v>1130</v>
      </c>
      <c r="E1356" s="4" t="s">
        <v>689</v>
      </c>
      <c r="F1356" s="2">
        <v>7</v>
      </c>
      <c r="G1356" s="2" t="s">
        <v>1399</v>
      </c>
      <c r="H1356" s="2" t="s">
        <v>1400</v>
      </c>
      <c r="I1356" s="4" t="s">
        <v>60</v>
      </c>
      <c r="J1356" s="112">
        <f>IF($H1356&lt;&gt;"Y",0,ROUND(MIN(Dashboard!$R$24,IF(IFERROR(VLOOKUP($B1356,Dashboard!$Q$28:$S$60,2,FALSE),0)&gt;0,IFERROR(VLOOKUP($B1356,Dashboard!$Q$28:$S$60,2,FALSE),0),$Z1356*IF($U1356&lt;&gt;"",ROUND((Dashboard!$R$4/$U1356)*VLOOKUP($I1356,Dashboard!$Q$9:$R$13,2,FALSE)*IF(ISNUMBER(SEARCH("Duals",$B1356)),2,IF(ISNUMBER(SEARCH("Triples",$B1356)),3,IF(ISNUMBER(SEARCH("Quads",$B1356)),4,1))),2),ROUND(VLOOKUP($I1356,Dashboard!$Q$15:$R$20,2,FALSE)*IF($E1356="Red",Dashboard!$R$6,IF($E1356="Gold",Dashboard!$R$7,Dashboard!$R$5))*IF(ISNUMBER(SEARCH("Duals",$B1356)),2,IF(ISNUMBER(SEARCH("Triples",$B1356)),3,IF(ISNUMBER(SEARCH("Quads",$B1356)),4,1))),2))*IF(IFERROR(VLOOKUP($B1356,Dashboard!$Q$28:$S$60,3,FALSE),0)&gt;0,VLOOKUP($B1356,Dashboard!$Q$28:$S$60,3,FALSE),1))),0))</f>
        <v>143</v>
      </c>
      <c r="K1356" s="2" t="str">
        <f>IF('Base S2'!I56="","",'Base S2'!I56)</f>
        <v/>
      </c>
      <c r="L1356" s="2">
        <f t="shared" si="273"/>
        <v>0</v>
      </c>
      <c r="M1356" s="2">
        <f t="shared" si="274"/>
        <v>0</v>
      </c>
      <c r="N1356" s="2">
        <f t="shared" si="275"/>
        <v>0</v>
      </c>
      <c r="O1356" s="2">
        <f t="shared" si="276"/>
        <v>1</v>
      </c>
      <c r="P1356" s="112">
        <f t="shared" si="277"/>
        <v>0</v>
      </c>
      <c r="Q1356" s="112">
        <f t="shared" si="278"/>
        <v>0</v>
      </c>
      <c r="R1356" s="53"/>
      <c r="S1356" s="53" t="str">
        <f t="shared" si="279"/>
        <v>Base S2|The Seven Parallel - Season 2|155|The Seven</v>
      </c>
      <c r="T1356" s="57" t="str">
        <f>IF($S1356="","",IFERROR(VLOOKUP($S1356,'Pop Estimates (Non-#d)'!$N$2:$O$500,2,FALSE),""))</f>
        <v/>
      </c>
      <c r="U1356" s="57">
        <f t="shared" si="280"/>
        <v>7</v>
      </c>
      <c r="V1356" s="53" t="str">
        <f t="shared" si="281"/>
        <v/>
      </c>
      <c r="W1356" s="53" t="str">
        <f t="shared" si="282"/>
        <v/>
      </c>
      <c r="X1356" s="53" t="str">
        <f t="shared" si="283"/>
        <v/>
      </c>
      <c r="Y1356" s="57" t="str">
        <f>IF($X1356="","",IFERROR(VLOOKUP($X1356,'Char Popularity'!$A$2:$C$500,2,FALSE),""))</f>
        <v/>
      </c>
      <c r="Z1356" s="56">
        <f>IF($X1356="",1,IFERROR(VLOOKUP($X1356,'Char Popularity'!$A$2:$C$500,3,FALSE),1))</f>
        <v>1</v>
      </c>
      <c r="AA1356" s="62">
        <f>IF($H1356&lt;&gt;"Y",0,(IF($F1356&lt;&gt;"",ROUND(Dashboard!$R$4/$F1356,1),IF(AND($I1356="Base",$E1356="Base"),Dashboard!$R$5,IF(AND($I1356="Base",$E1356="Red"),Dashboard!$R$6,IF(AND($I1356="Base",$E1356="Gold"),Dashboard!$R$7,VLOOKUP($I1356,Dashboard!$Q$16:$R$21,2,FALSE)))))*VLOOKUP($I1356,Dashboard!$Q$9:$R$13,2,FALSE)*IF(AND($I1356="Auto",$F1356="",OR($B1356="Autographs Duals",$B1356="Autographs Triples",$B1356="Autographs Quads",$B1356="Autographs Quads (Inscribed)")),IF($B1356="Autographs Duals",2,IF($B1356="Autographs Triples",3,4)),1)))</f>
        <v>142.9</v>
      </c>
      <c r="AB1356" s="62">
        <f t="shared" si="284"/>
        <v>0</v>
      </c>
      <c r="AC1356" s="62">
        <f t="shared" si="285"/>
        <v>0</v>
      </c>
    </row>
    <row r="1357" spans="1:29" ht="42.95" customHeight="1" x14ac:dyDescent="0.25">
      <c r="A1357" s="4" t="s">
        <v>19</v>
      </c>
      <c r="B1357" s="7" t="s">
        <v>82</v>
      </c>
      <c r="C1357" s="2" t="s">
        <v>1555</v>
      </c>
      <c r="D1357" s="7" t="s">
        <v>1132</v>
      </c>
      <c r="E1357" s="4" t="s">
        <v>689</v>
      </c>
      <c r="F1357" s="2">
        <v>7</v>
      </c>
      <c r="G1357" s="2" t="s">
        <v>1399</v>
      </c>
      <c r="H1357" s="2" t="s">
        <v>1400</v>
      </c>
      <c r="I1357" s="4" t="s">
        <v>60</v>
      </c>
      <c r="J1357" s="112">
        <f>IF($H1357&lt;&gt;"Y",0,ROUND(MIN(Dashboard!$R$24,IF(IFERROR(VLOOKUP($B1357,Dashboard!$Q$28:$S$60,2,FALSE),0)&gt;0,IFERROR(VLOOKUP($B1357,Dashboard!$Q$28:$S$60,2,FALSE),0),$Z1357*IF($U1357&lt;&gt;"",ROUND((Dashboard!$R$4/$U1357)*VLOOKUP($I1357,Dashboard!$Q$9:$R$13,2,FALSE)*IF(ISNUMBER(SEARCH("Duals",$B1357)),2,IF(ISNUMBER(SEARCH("Triples",$B1357)),3,IF(ISNUMBER(SEARCH("Quads",$B1357)),4,1))),2),ROUND(VLOOKUP($I1357,Dashboard!$Q$15:$R$20,2,FALSE)*IF($E1357="Red",Dashboard!$R$6,IF($E1357="Gold",Dashboard!$R$7,Dashboard!$R$5))*IF(ISNUMBER(SEARCH("Duals",$B1357)),2,IF(ISNUMBER(SEARCH("Triples",$B1357)),3,IF(ISNUMBER(SEARCH("Quads",$B1357)),4,1))),2))*IF(IFERROR(VLOOKUP($B1357,Dashboard!$Q$28:$S$60,3,FALSE),0)&gt;0,VLOOKUP($B1357,Dashboard!$Q$28:$S$60,3,FALSE),1))),0))</f>
        <v>143</v>
      </c>
      <c r="K1357" s="2" t="str">
        <f>IF('Base S2'!I57="","",'Base S2'!I57)</f>
        <v/>
      </c>
      <c r="L1357" s="2">
        <f t="shared" si="273"/>
        <v>0</v>
      </c>
      <c r="M1357" s="2">
        <f t="shared" si="274"/>
        <v>0</v>
      </c>
      <c r="N1357" s="2">
        <f t="shared" si="275"/>
        <v>0</v>
      </c>
      <c r="O1357" s="2">
        <f t="shared" si="276"/>
        <v>1</v>
      </c>
      <c r="P1357" s="112">
        <f t="shared" si="277"/>
        <v>0</v>
      </c>
      <c r="Q1357" s="112">
        <f t="shared" si="278"/>
        <v>0</v>
      </c>
      <c r="R1357" s="53"/>
      <c r="S1357" s="53" t="str">
        <f t="shared" si="279"/>
        <v>Base S2|The Seven Parallel - Season 2|156|The Seven</v>
      </c>
      <c r="T1357" s="57" t="str">
        <f>IF($S1357="","",IFERROR(VLOOKUP($S1357,'Pop Estimates (Non-#d)'!$N$2:$O$500,2,FALSE),""))</f>
        <v/>
      </c>
      <c r="U1357" s="57">
        <f t="shared" si="280"/>
        <v>7</v>
      </c>
      <c r="V1357" s="53" t="str">
        <f t="shared" si="281"/>
        <v/>
      </c>
      <c r="W1357" s="53" t="str">
        <f t="shared" si="282"/>
        <v/>
      </c>
      <c r="X1357" s="53" t="str">
        <f t="shared" si="283"/>
        <v/>
      </c>
      <c r="Y1357" s="57" t="str">
        <f>IF($X1357="","",IFERROR(VLOOKUP($X1357,'Char Popularity'!$A$2:$C$500,2,FALSE),""))</f>
        <v/>
      </c>
      <c r="Z1357" s="56">
        <f>IF($X1357="",1,IFERROR(VLOOKUP($X1357,'Char Popularity'!$A$2:$C$500,3,FALSE),1))</f>
        <v>1</v>
      </c>
      <c r="AA1357" s="62">
        <f>IF($H1357&lt;&gt;"Y",0,(IF($F1357&lt;&gt;"",ROUND(Dashboard!$R$4/$F1357,1),IF(AND($I1357="Base",$E1357="Base"),Dashboard!$R$5,IF(AND($I1357="Base",$E1357="Red"),Dashboard!$R$6,IF(AND($I1357="Base",$E1357="Gold"),Dashboard!$R$7,VLOOKUP($I1357,Dashboard!$Q$16:$R$21,2,FALSE)))))*VLOOKUP($I1357,Dashboard!$Q$9:$R$13,2,FALSE)*IF(AND($I1357="Auto",$F1357="",OR($B1357="Autographs Duals",$B1357="Autographs Triples",$B1357="Autographs Quads",$B1357="Autographs Quads (Inscribed)")),IF($B1357="Autographs Duals",2,IF($B1357="Autographs Triples",3,4)),1)))</f>
        <v>142.9</v>
      </c>
      <c r="AB1357" s="62">
        <f t="shared" si="284"/>
        <v>0</v>
      </c>
      <c r="AC1357" s="62">
        <f t="shared" si="285"/>
        <v>0</v>
      </c>
    </row>
    <row r="1358" spans="1:29" ht="42.95" customHeight="1" x14ac:dyDescent="0.25">
      <c r="A1358" s="4" t="s">
        <v>19</v>
      </c>
      <c r="B1358" s="7" t="s">
        <v>82</v>
      </c>
      <c r="C1358" s="2" t="s">
        <v>1556</v>
      </c>
      <c r="D1358" s="7" t="s">
        <v>1134</v>
      </c>
      <c r="E1358" s="4" t="s">
        <v>689</v>
      </c>
      <c r="F1358" s="2">
        <v>7</v>
      </c>
      <c r="G1358" s="2" t="s">
        <v>1399</v>
      </c>
      <c r="H1358" s="2" t="s">
        <v>1400</v>
      </c>
      <c r="I1358" s="4" t="s">
        <v>60</v>
      </c>
      <c r="J1358" s="112">
        <f>IF($H1358&lt;&gt;"Y",0,ROUND(MIN(Dashboard!$R$24,IF(IFERROR(VLOOKUP($B1358,Dashboard!$Q$28:$S$60,2,FALSE),0)&gt;0,IFERROR(VLOOKUP($B1358,Dashboard!$Q$28:$S$60,2,FALSE),0),$Z1358*IF($U1358&lt;&gt;"",ROUND((Dashboard!$R$4/$U1358)*VLOOKUP($I1358,Dashboard!$Q$9:$R$13,2,FALSE)*IF(ISNUMBER(SEARCH("Duals",$B1358)),2,IF(ISNUMBER(SEARCH("Triples",$B1358)),3,IF(ISNUMBER(SEARCH("Quads",$B1358)),4,1))),2),ROUND(VLOOKUP($I1358,Dashboard!$Q$15:$R$20,2,FALSE)*IF($E1358="Red",Dashboard!$R$6,IF($E1358="Gold",Dashboard!$R$7,Dashboard!$R$5))*IF(ISNUMBER(SEARCH("Duals",$B1358)),2,IF(ISNUMBER(SEARCH("Triples",$B1358)),3,IF(ISNUMBER(SEARCH("Quads",$B1358)),4,1))),2))*IF(IFERROR(VLOOKUP($B1358,Dashboard!$Q$28:$S$60,3,FALSE),0)&gt;0,VLOOKUP($B1358,Dashboard!$Q$28:$S$60,3,FALSE),1))),0))</f>
        <v>143</v>
      </c>
      <c r="K1358" s="2" t="str">
        <f>IF('Base S2'!I58="","",'Base S2'!I58)</f>
        <v/>
      </c>
      <c r="L1358" s="2">
        <f t="shared" si="273"/>
        <v>0</v>
      </c>
      <c r="M1358" s="2">
        <f t="shared" si="274"/>
        <v>0</v>
      </c>
      <c r="N1358" s="2">
        <f t="shared" si="275"/>
        <v>0</v>
      </c>
      <c r="O1358" s="2">
        <f t="shared" si="276"/>
        <v>1</v>
      </c>
      <c r="P1358" s="112">
        <f t="shared" si="277"/>
        <v>0</v>
      </c>
      <c r="Q1358" s="112">
        <f t="shared" si="278"/>
        <v>0</v>
      </c>
      <c r="R1358" s="53"/>
      <c r="S1358" s="53" t="str">
        <f t="shared" si="279"/>
        <v>Base S2|The Seven Parallel - Season 2|157|The Seven</v>
      </c>
      <c r="T1358" s="57" t="str">
        <f>IF($S1358="","",IFERROR(VLOOKUP($S1358,'Pop Estimates (Non-#d)'!$N$2:$O$500,2,FALSE),""))</f>
        <v/>
      </c>
      <c r="U1358" s="57">
        <f t="shared" si="280"/>
        <v>7</v>
      </c>
      <c r="V1358" s="53" t="str">
        <f t="shared" si="281"/>
        <v/>
      </c>
      <c r="W1358" s="53" t="str">
        <f t="shared" si="282"/>
        <v/>
      </c>
      <c r="X1358" s="53" t="str">
        <f t="shared" si="283"/>
        <v/>
      </c>
      <c r="Y1358" s="57" t="str">
        <f>IF($X1358="","",IFERROR(VLOOKUP($X1358,'Char Popularity'!$A$2:$C$500,2,FALSE),""))</f>
        <v/>
      </c>
      <c r="Z1358" s="56">
        <f>IF($X1358="",1,IFERROR(VLOOKUP($X1358,'Char Popularity'!$A$2:$C$500,3,FALSE),1))</f>
        <v>1</v>
      </c>
      <c r="AA1358" s="62">
        <f>IF($H1358&lt;&gt;"Y",0,(IF($F1358&lt;&gt;"",ROUND(Dashboard!$R$4/$F1358,1),IF(AND($I1358="Base",$E1358="Base"),Dashboard!$R$5,IF(AND($I1358="Base",$E1358="Red"),Dashboard!$R$6,IF(AND($I1358="Base",$E1358="Gold"),Dashboard!$R$7,VLOOKUP($I1358,Dashboard!$Q$16:$R$21,2,FALSE)))))*VLOOKUP($I1358,Dashboard!$Q$9:$R$13,2,FALSE)*IF(AND($I1358="Auto",$F1358="",OR($B1358="Autographs Duals",$B1358="Autographs Triples",$B1358="Autographs Quads",$B1358="Autographs Quads (Inscribed)")),IF($B1358="Autographs Duals",2,IF($B1358="Autographs Triples",3,4)),1)))</f>
        <v>142.9</v>
      </c>
      <c r="AB1358" s="62">
        <f t="shared" si="284"/>
        <v>0</v>
      </c>
      <c r="AC1358" s="62">
        <f t="shared" si="285"/>
        <v>0</v>
      </c>
    </row>
    <row r="1359" spans="1:29" ht="42.95" customHeight="1" x14ac:dyDescent="0.25">
      <c r="A1359" s="4" t="s">
        <v>19</v>
      </c>
      <c r="B1359" s="7" t="s">
        <v>82</v>
      </c>
      <c r="C1359" s="2" t="s">
        <v>1557</v>
      </c>
      <c r="D1359" s="7" t="s">
        <v>1136</v>
      </c>
      <c r="E1359" s="4" t="s">
        <v>689</v>
      </c>
      <c r="F1359" s="2">
        <v>7</v>
      </c>
      <c r="G1359" s="2" t="s">
        <v>1399</v>
      </c>
      <c r="H1359" s="2" t="s">
        <v>1400</v>
      </c>
      <c r="I1359" s="4" t="s">
        <v>60</v>
      </c>
      <c r="J1359" s="112">
        <f>IF($H1359&lt;&gt;"Y",0,ROUND(MIN(Dashboard!$R$24,IF(IFERROR(VLOOKUP($B1359,Dashboard!$Q$28:$S$60,2,FALSE),0)&gt;0,IFERROR(VLOOKUP($B1359,Dashboard!$Q$28:$S$60,2,FALSE),0),$Z1359*IF($U1359&lt;&gt;"",ROUND((Dashboard!$R$4/$U1359)*VLOOKUP($I1359,Dashboard!$Q$9:$R$13,2,FALSE)*IF(ISNUMBER(SEARCH("Duals",$B1359)),2,IF(ISNUMBER(SEARCH("Triples",$B1359)),3,IF(ISNUMBER(SEARCH("Quads",$B1359)),4,1))),2),ROUND(VLOOKUP($I1359,Dashboard!$Q$15:$R$20,2,FALSE)*IF($E1359="Red",Dashboard!$R$6,IF($E1359="Gold",Dashboard!$R$7,Dashboard!$R$5))*IF(ISNUMBER(SEARCH("Duals",$B1359)),2,IF(ISNUMBER(SEARCH("Triples",$B1359)),3,IF(ISNUMBER(SEARCH("Quads",$B1359)),4,1))),2))*IF(IFERROR(VLOOKUP($B1359,Dashboard!$Q$28:$S$60,3,FALSE),0)&gt;0,VLOOKUP($B1359,Dashboard!$Q$28:$S$60,3,FALSE),1))),0))</f>
        <v>143</v>
      </c>
      <c r="K1359" s="2" t="str">
        <f>IF('Base S2'!I59="","",'Base S2'!I59)</f>
        <v/>
      </c>
      <c r="L1359" s="2">
        <f t="shared" si="273"/>
        <v>0</v>
      </c>
      <c r="M1359" s="2">
        <f t="shared" si="274"/>
        <v>0</v>
      </c>
      <c r="N1359" s="2">
        <f t="shared" si="275"/>
        <v>0</v>
      </c>
      <c r="O1359" s="2">
        <f t="shared" si="276"/>
        <v>1</v>
      </c>
      <c r="P1359" s="112">
        <f t="shared" si="277"/>
        <v>0</v>
      </c>
      <c r="Q1359" s="112">
        <f t="shared" si="278"/>
        <v>0</v>
      </c>
      <c r="R1359" s="53"/>
      <c r="S1359" s="53" t="str">
        <f t="shared" si="279"/>
        <v>Base S2|The Seven Parallel - Season 2|158|The Seven</v>
      </c>
      <c r="T1359" s="57" t="str">
        <f>IF($S1359="","",IFERROR(VLOOKUP($S1359,'Pop Estimates (Non-#d)'!$N$2:$O$500,2,FALSE),""))</f>
        <v/>
      </c>
      <c r="U1359" s="57">
        <f t="shared" si="280"/>
        <v>7</v>
      </c>
      <c r="V1359" s="53" t="str">
        <f t="shared" si="281"/>
        <v/>
      </c>
      <c r="W1359" s="53" t="str">
        <f t="shared" si="282"/>
        <v/>
      </c>
      <c r="X1359" s="53" t="str">
        <f t="shared" si="283"/>
        <v/>
      </c>
      <c r="Y1359" s="57" t="str">
        <f>IF($X1359="","",IFERROR(VLOOKUP($X1359,'Char Popularity'!$A$2:$C$500,2,FALSE),""))</f>
        <v/>
      </c>
      <c r="Z1359" s="56">
        <f>IF($X1359="",1,IFERROR(VLOOKUP($X1359,'Char Popularity'!$A$2:$C$500,3,FALSE),1))</f>
        <v>1</v>
      </c>
      <c r="AA1359" s="62">
        <f>IF($H1359&lt;&gt;"Y",0,(IF($F1359&lt;&gt;"",ROUND(Dashboard!$R$4/$F1359,1),IF(AND($I1359="Base",$E1359="Base"),Dashboard!$R$5,IF(AND($I1359="Base",$E1359="Red"),Dashboard!$R$6,IF(AND($I1359="Base",$E1359="Gold"),Dashboard!$R$7,VLOOKUP($I1359,Dashboard!$Q$16:$R$21,2,FALSE)))))*VLOOKUP($I1359,Dashboard!$Q$9:$R$13,2,FALSE)*IF(AND($I1359="Auto",$F1359="",OR($B1359="Autographs Duals",$B1359="Autographs Triples",$B1359="Autographs Quads",$B1359="Autographs Quads (Inscribed)")),IF($B1359="Autographs Duals",2,IF($B1359="Autographs Triples",3,4)),1)))</f>
        <v>142.9</v>
      </c>
      <c r="AB1359" s="62">
        <f t="shared" si="284"/>
        <v>0</v>
      </c>
      <c r="AC1359" s="62">
        <f t="shared" si="285"/>
        <v>0</v>
      </c>
    </row>
    <row r="1360" spans="1:29" ht="42.95" customHeight="1" x14ac:dyDescent="0.25">
      <c r="A1360" s="4" t="s">
        <v>19</v>
      </c>
      <c r="B1360" s="7" t="s">
        <v>82</v>
      </c>
      <c r="C1360" s="2" t="s">
        <v>1558</v>
      </c>
      <c r="D1360" s="7" t="s">
        <v>1137</v>
      </c>
      <c r="E1360" s="4" t="s">
        <v>689</v>
      </c>
      <c r="F1360" s="2">
        <v>7</v>
      </c>
      <c r="G1360" s="2" t="s">
        <v>1399</v>
      </c>
      <c r="H1360" s="2" t="s">
        <v>1400</v>
      </c>
      <c r="I1360" s="4" t="s">
        <v>60</v>
      </c>
      <c r="J1360" s="112">
        <f>IF($H1360&lt;&gt;"Y",0,ROUND(MIN(Dashboard!$R$24,IF(IFERROR(VLOOKUP($B1360,Dashboard!$Q$28:$S$60,2,FALSE),0)&gt;0,IFERROR(VLOOKUP($B1360,Dashboard!$Q$28:$S$60,2,FALSE),0),$Z1360*IF($U1360&lt;&gt;"",ROUND((Dashboard!$R$4/$U1360)*VLOOKUP($I1360,Dashboard!$Q$9:$R$13,2,FALSE)*IF(ISNUMBER(SEARCH("Duals",$B1360)),2,IF(ISNUMBER(SEARCH("Triples",$B1360)),3,IF(ISNUMBER(SEARCH("Quads",$B1360)),4,1))),2),ROUND(VLOOKUP($I1360,Dashboard!$Q$15:$R$20,2,FALSE)*IF($E1360="Red",Dashboard!$R$6,IF($E1360="Gold",Dashboard!$R$7,Dashboard!$R$5))*IF(ISNUMBER(SEARCH("Duals",$B1360)),2,IF(ISNUMBER(SEARCH("Triples",$B1360)),3,IF(ISNUMBER(SEARCH("Quads",$B1360)),4,1))),2))*IF(IFERROR(VLOOKUP($B1360,Dashboard!$Q$28:$S$60,3,FALSE),0)&gt;0,VLOOKUP($B1360,Dashboard!$Q$28:$S$60,3,FALSE),1))),0))</f>
        <v>143</v>
      </c>
      <c r="K1360" s="2" t="str">
        <f>IF('Base S2'!I60="","",'Base S2'!I60)</f>
        <v/>
      </c>
      <c r="L1360" s="2">
        <f t="shared" si="273"/>
        <v>0</v>
      </c>
      <c r="M1360" s="2">
        <f t="shared" si="274"/>
        <v>0</v>
      </c>
      <c r="N1360" s="2">
        <f t="shared" si="275"/>
        <v>0</v>
      </c>
      <c r="O1360" s="2">
        <f t="shared" si="276"/>
        <v>1</v>
      </c>
      <c r="P1360" s="112">
        <f t="shared" si="277"/>
        <v>0</v>
      </c>
      <c r="Q1360" s="112">
        <f t="shared" si="278"/>
        <v>0</v>
      </c>
      <c r="R1360" s="53"/>
      <c r="S1360" s="53" t="str">
        <f t="shared" si="279"/>
        <v>Base S2|The Seven Parallel - Season 2|159|The Seven</v>
      </c>
      <c r="T1360" s="57" t="str">
        <f>IF($S1360="","",IFERROR(VLOOKUP($S1360,'Pop Estimates (Non-#d)'!$N$2:$O$500,2,FALSE),""))</f>
        <v/>
      </c>
      <c r="U1360" s="57">
        <f t="shared" si="280"/>
        <v>7</v>
      </c>
      <c r="V1360" s="53" t="str">
        <f t="shared" si="281"/>
        <v/>
      </c>
      <c r="W1360" s="53" t="str">
        <f t="shared" si="282"/>
        <v/>
      </c>
      <c r="X1360" s="53" t="str">
        <f t="shared" si="283"/>
        <v/>
      </c>
      <c r="Y1360" s="57" t="str">
        <f>IF($X1360="","",IFERROR(VLOOKUP($X1360,'Char Popularity'!$A$2:$C$500,2,FALSE),""))</f>
        <v/>
      </c>
      <c r="Z1360" s="56">
        <f>IF($X1360="",1,IFERROR(VLOOKUP($X1360,'Char Popularity'!$A$2:$C$500,3,FALSE),1))</f>
        <v>1</v>
      </c>
      <c r="AA1360" s="62">
        <f>IF($H1360&lt;&gt;"Y",0,(IF($F1360&lt;&gt;"",ROUND(Dashboard!$R$4/$F1360,1),IF(AND($I1360="Base",$E1360="Base"),Dashboard!$R$5,IF(AND($I1360="Base",$E1360="Red"),Dashboard!$R$6,IF(AND($I1360="Base",$E1360="Gold"),Dashboard!$R$7,VLOOKUP($I1360,Dashboard!$Q$16:$R$21,2,FALSE)))))*VLOOKUP($I1360,Dashboard!$Q$9:$R$13,2,FALSE)*IF(AND($I1360="Auto",$F1360="",OR($B1360="Autographs Duals",$B1360="Autographs Triples",$B1360="Autographs Quads",$B1360="Autographs Quads (Inscribed)")),IF($B1360="Autographs Duals",2,IF($B1360="Autographs Triples",3,4)),1)))</f>
        <v>142.9</v>
      </c>
      <c r="AB1360" s="62">
        <f t="shared" si="284"/>
        <v>0</v>
      </c>
      <c r="AC1360" s="62">
        <f t="shared" si="285"/>
        <v>0</v>
      </c>
    </row>
    <row r="1361" spans="1:29" ht="42.95" customHeight="1" x14ac:dyDescent="0.25">
      <c r="A1361" s="4" t="s">
        <v>19</v>
      </c>
      <c r="B1361" s="7" t="s">
        <v>82</v>
      </c>
      <c r="C1361" s="2" t="s">
        <v>1559</v>
      </c>
      <c r="D1361" s="7" t="s">
        <v>1139</v>
      </c>
      <c r="E1361" s="4" t="s">
        <v>689</v>
      </c>
      <c r="F1361" s="2">
        <v>7</v>
      </c>
      <c r="G1361" s="2" t="s">
        <v>1399</v>
      </c>
      <c r="H1361" s="2" t="s">
        <v>1400</v>
      </c>
      <c r="I1361" s="4" t="s">
        <v>60</v>
      </c>
      <c r="J1361" s="112">
        <f>IF($H1361&lt;&gt;"Y",0,ROUND(MIN(Dashboard!$R$24,IF(IFERROR(VLOOKUP($B1361,Dashboard!$Q$28:$S$60,2,FALSE),0)&gt;0,IFERROR(VLOOKUP($B1361,Dashboard!$Q$28:$S$60,2,FALSE),0),$Z1361*IF($U1361&lt;&gt;"",ROUND((Dashboard!$R$4/$U1361)*VLOOKUP($I1361,Dashboard!$Q$9:$R$13,2,FALSE)*IF(ISNUMBER(SEARCH("Duals",$B1361)),2,IF(ISNUMBER(SEARCH("Triples",$B1361)),3,IF(ISNUMBER(SEARCH("Quads",$B1361)),4,1))),2),ROUND(VLOOKUP($I1361,Dashboard!$Q$15:$R$20,2,FALSE)*IF($E1361="Red",Dashboard!$R$6,IF($E1361="Gold",Dashboard!$R$7,Dashboard!$R$5))*IF(ISNUMBER(SEARCH("Duals",$B1361)),2,IF(ISNUMBER(SEARCH("Triples",$B1361)),3,IF(ISNUMBER(SEARCH("Quads",$B1361)),4,1))),2))*IF(IFERROR(VLOOKUP($B1361,Dashboard!$Q$28:$S$60,3,FALSE),0)&gt;0,VLOOKUP($B1361,Dashboard!$Q$28:$S$60,3,FALSE),1))),0))</f>
        <v>143</v>
      </c>
      <c r="K1361" s="2" t="str">
        <f>IF('Base S2'!I61="","",'Base S2'!I61)</f>
        <v/>
      </c>
      <c r="L1361" s="2">
        <f t="shared" si="273"/>
        <v>0</v>
      </c>
      <c r="M1361" s="2">
        <f t="shared" si="274"/>
        <v>0</v>
      </c>
      <c r="N1361" s="2">
        <f t="shared" si="275"/>
        <v>0</v>
      </c>
      <c r="O1361" s="2">
        <f t="shared" si="276"/>
        <v>1</v>
      </c>
      <c r="P1361" s="112">
        <f t="shared" si="277"/>
        <v>0</v>
      </c>
      <c r="Q1361" s="112">
        <f t="shared" si="278"/>
        <v>0</v>
      </c>
      <c r="R1361" s="53"/>
      <c r="S1361" s="53" t="str">
        <f t="shared" si="279"/>
        <v>Base S2|The Seven Parallel - Season 2|160|The Seven</v>
      </c>
      <c r="T1361" s="57" t="str">
        <f>IF($S1361="","",IFERROR(VLOOKUP($S1361,'Pop Estimates (Non-#d)'!$N$2:$O$500,2,FALSE),""))</f>
        <v/>
      </c>
      <c r="U1361" s="57">
        <f t="shared" si="280"/>
        <v>7</v>
      </c>
      <c r="V1361" s="53" t="str">
        <f t="shared" si="281"/>
        <v/>
      </c>
      <c r="W1361" s="53" t="str">
        <f t="shared" si="282"/>
        <v/>
      </c>
      <c r="X1361" s="53" t="str">
        <f t="shared" si="283"/>
        <v/>
      </c>
      <c r="Y1361" s="57" t="str">
        <f>IF($X1361="","",IFERROR(VLOOKUP($X1361,'Char Popularity'!$A$2:$C$500,2,FALSE),""))</f>
        <v/>
      </c>
      <c r="Z1361" s="56">
        <f>IF($X1361="",1,IFERROR(VLOOKUP($X1361,'Char Popularity'!$A$2:$C$500,3,FALSE),1))</f>
        <v>1</v>
      </c>
      <c r="AA1361" s="62">
        <f>IF($H1361&lt;&gt;"Y",0,(IF($F1361&lt;&gt;"",ROUND(Dashboard!$R$4/$F1361,1),IF(AND($I1361="Base",$E1361="Base"),Dashboard!$R$5,IF(AND($I1361="Base",$E1361="Red"),Dashboard!$R$6,IF(AND($I1361="Base",$E1361="Gold"),Dashboard!$R$7,VLOOKUP($I1361,Dashboard!$Q$16:$R$21,2,FALSE)))))*VLOOKUP($I1361,Dashboard!$Q$9:$R$13,2,FALSE)*IF(AND($I1361="Auto",$F1361="",OR($B1361="Autographs Duals",$B1361="Autographs Triples",$B1361="Autographs Quads",$B1361="Autographs Quads (Inscribed)")),IF($B1361="Autographs Duals",2,IF($B1361="Autographs Triples",3,4)),1)))</f>
        <v>142.9</v>
      </c>
      <c r="AB1361" s="62">
        <f t="shared" si="284"/>
        <v>0</v>
      </c>
      <c r="AC1361" s="62">
        <f t="shared" si="285"/>
        <v>0</v>
      </c>
    </row>
    <row r="1362" spans="1:29" ht="42.95" customHeight="1" x14ac:dyDescent="0.25">
      <c r="A1362" s="4" t="s">
        <v>19</v>
      </c>
      <c r="B1362" s="7" t="s">
        <v>82</v>
      </c>
      <c r="C1362" s="2" t="s">
        <v>1560</v>
      </c>
      <c r="D1362" s="7" t="s">
        <v>1140</v>
      </c>
      <c r="E1362" s="4" t="s">
        <v>689</v>
      </c>
      <c r="F1362" s="2">
        <v>7</v>
      </c>
      <c r="G1362" s="2" t="s">
        <v>1399</v>
      </c>
      <c r="H1362" s="2" t="s">
        <v>1400</v>
      </c>
      <c r="I1362" s="4" t="s">
        <v>60</v>
      </c>
      <c r="J1362" s="112">
        <f>IF($H1362&lt;&gt;"Y",0,ROUND(MIN(Dashboard!$R$24,IF(IFERROR(VLOOKUP($B1362,Dashboard!$Q$28:$S$60,2,FALSE),0)&gt;0,IFERROR(VLOOKUP($B1362,Dashboard!$Q$28:$S$60,2,FALSE),0),$Z1362*IF($U1362&lt;&gt;"",ROUND((Dashboard!$R$4/$U1362)*VLOOKUP($I1362,Dashboard!$Q$9:$R$13,2,FALSE)*IF(ISNUMBER(SEARCH("Duals",$B1362)),2,IF(ISNUMBER(SEARCH("Triples",$B1362)),3,IF(ISNUMBER(SEARCH("Quads",$B1362)),4,1))),2),ROUND(VLOOKUP($I1362,Dashboard!$Q$15:$R$20,2,FALSE)*IF($E1362="Red",Dashboard!$R$6,IF($E1362="Gold",Dashboard!$R$7,Dashboard!$R$5))*IF(ISNUMBER(SEARCH("Duals",$B1362)),2,IF(ISNUMBER(SEARCH("Triples",$B1362)),3,IF(ISNUMBER(SEARCH("Quads",$B1362)),4,1))),2))*IF(IFERROR(VLOOKUP($B1362,Dashboard!$Q$28:$S$60,3,FALSE),0)&gt;0,VLOOKUP($B1362,Dashboard!$Q$28:$S$60,3,FALSE),1))),0))</f>
        <v>143</v>
      </c>
      <c r="K1362" s="2" t="str">
        <f>IF('Base S2'!I62="","",'Base S2'!I62)</f>
        <v/>
      </c>
      <c r="L1362" s="2">
        <f t="shared" si="273"/>
        <v>0</v>
      </c>
      <c r="M1362" s="2">
        <f t="shared" si="274"/>
        <v>0</v>
      </c>
      <c r="N1362" s="2">
        <f t="shared" si="275"/>
        <v>0</v>
      </c>
      <c r="O1362" s="2">
        <f t="shared" si="276"/>
        <v>1</v>
      </c>
      <c r="P1362" s="112">
        <f t="shared" si="277"/>
        <v>0</v>
      </c>
      <c r="Q1362" s="112">
        <f t="shared" si="278"/>
        <v>0</v>
      </c>
      <c r="R1362" s="53"/>
      <c r="S1362" s="53" t="str">
        <f t="shared" si="279"/>
        <v>Base S2|The Seven Parallel - Season 2|161|The Seven</v>
      </c>
      <c r="T1362" s="57" t="str">
        <f>IF($S1362="","",IFERROR(VLOOKUP($S1362,'Pop Estimates (Non-#d)'!$N$2:$O$500,2,FALSE),""))</f>
        <v/>
      </c>
      <c r="U1362" s="57">
        <f t="shared" si="280"/>
        <v>7</v>
      </c>
      <c r="V1362" s="53" t="str">
        <f t="shared" si="281"/>
        <v/>
      </c>
      <c r="W1362" s="53" t="str">
        <f t="shared" si="282"/>
        <v/>
      </c>
      <c r="X1362" s="53" t="str">
        <f t="shared" si="283"/>
        <v/>
      </c>
      <c r="Y1362" s="57" t="str">
        <f>IF($X1362="","",IFERROR(VLOOKUP($X1362,'Char Popularity'!$A$2:$C$500,2,FALSE),""))</f>
        <v/>
      </c>
      <c r="Z1362" s="56">
        <f>IF($X1362="",1,IFERROR(VLOOKUP($X1362,'Char Popularity'!$A$2:$C$500,3,FALSE),1))</f>
        <v>1</v>
      </c>
      <c r="AA1362" s="62">
        <f>IF($H1362&lt;&gt;"Y",0,(IF($F1362&lt;&gt;"",ROUND(Dashboard!$R$4/$F1362,1),IF(AND($I1362="Base",$E1362="Base"),Dashboard!$R$5,IF(AND($I1362="Base",$E1362="Red"),Dashboard!$R$6,IF(AND($I1362="Base",$E1362="Gold"),Dashboard!$R$7,VLOOKUP($I1362,Dashboard!$Q$16:$R$21,2,FALSE)))))*VLOOKUP($I1362,Dashboard!$Q$9:$R$13,2,FALSE)*IF(AND($I1362="Auto",$F1362="",OR($B1362="Autographs Duals",$B1362="Autographs Triples",$B1362="Autographs Quads",$B1362="Autographs Quads (Inscribed)")),IF($B1362="Autographs Duals",2,IF($B1362="Autographs Triples",3,4)),1)))</f>
        <v>142.9</v>
      </c>
      <c r="AB1362" s="62">
        <f t="shared" si="284"/>
        <v>0</v>
      </c>
      <c r="AC1362" s="62">
        <f t="shared" si="285"/>
        <v>0</v>
      </c>
    </row>
    <row r="1363" spans="1:29" ht="42.95" customHeight="1" x14ac:dyDescent="0.25">
      <c r="A1363" s="4" t="s">
        <v>19</v>
      </c>
      <c r="B1363" s="7" t="s">
        <v>82</v>
      </c>
      <c r="C1363" s="2" t="s">
        <v>1561</v>
      </c>
      <c r="D1363" s="7" t="s">
        <v>1142</v>
      </c>
      <c r="E1363" s="4" t="s">
        <v>689</v>
      </c>
      <c r="F1363" s="2">
        <v>7</v>
      </c>
      <c r="G1363" s="2" t="s">
        <v>1399</v>
      </c>
      <c r="H1363" s="2" t="s">
        <v>1400</v>
      </c>
      <c r="I1363" s="4" t="s">
        <v>60</v>
      </c>
      <c r="J1363" s="112">
        <f>IF($H1363&lt;&gt;"Y",0,ROUND(MIN(Dashboard!$R$24,IF(IFERROR(VLOOKUP($B1363,Dashboard!$Q$28:$S$60,2,FALSE),0)&gt;0,IFERROR(VLOOKUP($B1363,Dashboard!$Q$28:$S$60,2,FALSE),0),$Z1363*IF($U1363&lt;&gt;"",ROUND((Dashboard!$R$4/$U1363)*VLOOKUP($I1363,Dashboard!$Q$9:$R$13,2,FALSE)*IF(ISNUMBER(SEARCH("Duals",$B1363)),2,IF(ISNUMBER(SEARCH("Triples",$B1363)),3,IF(ISNUMBER(SEARCH("Quads",$B1363)),4,1))),2),ROUND(VLOOKUP($I1363,Dashboard!$Q$15:$R$20,2,FALSE)*IF($E1363="Red",Dashboard!$R$6,IF($E1363="Gold",Dashboard!$R$7,Dashboard!$R$5))*IF(ISNUMBER(SEARCH("Duals",$B1363)),2,IF(ISNUMBER(SEARCH("Triples",$B1363)),3,IF(ISNUMBER(SEARCH("Quads",$B1363)),4,1))),2))*IF(IFERROR(VLOOKUP($B1363,Dashboard!$Q$28:$S$60,3,FALSE),0)&gt;0,VLOOKUP($B1363,Dashboard!$Q$28:$S$60,3,FALSE),1))),0))</f>
        <v>143</v>
      </c>
      <c r="K1363" s="2" t="str">
        <f>IF('Base S2'!I63="","",'Base S2'!I63)</f>
        <v/>
      </c>
      <c r="L1363" s="2">
        <f t="shared" si="273"/>
        <v>0</v>
      </c>
      <c r="M1363" s="2">
        <f t="shared" si="274"/>
        <v>0</v>
      </c>
      <c r="N1363" s="2">
        <f t="shared" si="275"/>
        <v>0</v>
      </c>
      <c r="O1363" s="2">
        <f t="shared" si="276"/>
        <v>1</v>
      </c>
      <c r="P1363" s="112">
        <f t="shared" si="277"/>
        <v>0</v>
      </c>
      <c r="Q1363" s="112">
        <f t="shared" si="278"/>
        <v>0</v>
      </c>
      <c r="R1363" s="53"/>
      <c r="S1363" s="53" t="str">
        <f t="shared" si="279"/>
        <v>Base S2|The Seven Parallel - Season 2|162|The Seven</v>
      </c>
      <c r="T1363" s="57" t="str">
        <f>IF($S1363="","",IFERROR(VLOOKUP($S1363,'Pop Estimates (Non-#d)'!$N$2:$O$500,2,FALSE),""))</f>
        <v/>
      </c>
      <c r="U1363" s="57">
        <f t="shared" si="280"/>
        <v>7</v>
      </c>
      <c r="V1363" s="53" t="str">
        <f t="shared" si="281"/>
        <v/>
      </c>
      <c r="W1363" s="53" t="str">
        <f t="shared" si="282"/>
        <v/>
      </c>
      <c r="X1363" s="53" t="str">
        <f t="shared" si="283"/>
        <v/>
      </c>
      <c r="Y1363" s="57" t="str">
        <f>IF($X1363="","",IFERROR(VLOOKUP($X1363,'Char Popularity'!$A$2:$C$500,2,FALSE),""))</f>
        <v/>
      </c>
      <c r="Z1363" s="56">
        <f>IF($X1363="",1,IFERROR(VLOOKUP($X1363,'Char Popularity'!$A$2:$C$500,3,FALSE),1))</f>
        <v>1</v>
      </c>
      <c r="AA1363" s="62">
        <f>IF($H1363&lt;&gt;"Y",0,(IF($F1363&lt;&gt;"",ROUND(Dashboard!$R$4/$F1363,1),IF(AND($I1363="Base",$E1363="Base"),Dashboard!$R$5,IF(AND($I1363="Base",$E1363="Red"),Dashboard!$R$6,IF(AND($I1363="Base",$E1363="Gold"),Dashboard!$R$7,VLOOKUP($I1363,Dashboard!$Q$16:$R$21,2,FALSE)))))*VLOOKUP($I1363,Dashboard!$Q$9:$R$13,2,FALSE)*IF(AND($I1363="Auto",$F1363="",OR($B1363="Autographs Duals",$B1363="Autographs Triples",$B1363="Autographs Quads",$B1363="Autographs Quads (Inscribed)")),IF($B1363="Autographs Duals",2,IF($B1363="Autographs Triples",3,4)),1)))</f>
        <v>142.9</v>
      </c>
      <c r="AB1363" s="62">
        <f t="shared" si="284"/>
        <v>0</v>
      </c>
      <c r="AC1363" s="62">
        <f t="shared" si="285"/>
        <v>0</v>
      </c>
    </row>
    <row r="1364" spans="1:29" ht="42.95" customHeight="1" x14ac:dyDescent="0.25">
      <c r="A1364" s="4" t="s">
        <v>19</v>
      </c>
      <c r="B1364" s="7" t="s">
        <v>82</v>
      </c>
      <c r="C1364" s="2" t="s">
        <v>1562</v>
      </c>
      <c r="D1364" s="7" t="s">
        <v>1143</v>
      </c>
      <c r="E1364" s="4" t="s">
        <v>689</v>
      </c>
      <c r="F1364" s="2">
        <v>7</v>
      </c>
      <c r="G1364" s="2" t="s">
        <v>1399</v>
      </c>
      <c r="H1364" s="2" t="s">
        <v>1400</v>
      </c>
      <c r="I1364" s="4" t="s">
        <v>60</v>
      </c>
      <c r="J1364" s="112">
        <f>IF($H1364&lt;&gt;"Y",0,ROUND(MIN(Dashboard!$R$24,IF(IFERROR(VLOOKUP($B1364,Dashboard!$Q$28:$S$60,2,FALSE),0)&gt;0,IFERROR(VLOOKUP($B1364,Dashboard!$Q$28:$S$60,2,FALSE),0),$Z1364*IF($U1364&lt;&gt;"",ROUND((Dashboard!$R$4/$U1364)*VLOOKUP($I1364,Dashboard!$Q$9:$R$13,2,FALSE)*IF(ISNUMBER(SEARCH("Duals",$B1364)),2,IF(ISNUMBER(SEARCH("Triples",$B1364)),3,IF(ISNUMBER(SEARCH("Quads",$B1364)),4,1))),2),ROUND(VLOOKUP($I1364,Dashboard!$Q$15:$R$20,2,FALSE)*IF($E1364="Red",Dashboard!$R$6,IF($E1364="Gold",Dashboard!$R$7,Dashboard!$R$5))*IF(ISNUMBER(SEARCH("Duals",$B1364)),2,IF(ISNUMBER(SEARCH("Triples",$B1364)),3,IF(ISNUMBER(SEARCH("Quads",$B1364)),4,1))),2))*IF(IFERROR(VLOOKUP($B1364,Dashboard!$Q$28:$S$60,3,FALSE),0)&gt;0,VLOOKUP($B1364,Dashboard!$Q$28:$S$60,3,FALSE),1))),0))</f>
        <v>143</v>
      </c>
      <c r="K1364" s="2" t="str">
        <f>IF('Base S2'!I64="","",'Base S2'!I64)</f>
        <v>V 5/7</v>
      </c>
      <c r="L1364" s="2">
        <f t="shared" si="273"/>
        <v>1</v>
      </c>
      <c r="M1364" s="2">
        <f t="shared" si="274"/>
        <v>0</v>
      </c>
      <c r="N1364" s="2">
        <f t="shared" si="275"/>
        <v>1</v>
      </c>
      <c r="O1364" s="2">
        <f t="shared" si="276"/>
        <v>0</v>
      </c>
      <c r="P1364" s="112">
        <f t="shared" si="277"/>
        <v>143</v>
      </c>
      <c r="Q1364" s="112">
        <f t="shared" si="278"/>
        <v>0</v>
      </c>
      <c r="R1364" s="53"/>
      <c r="S1364" s="53" t="str">
        <f t="shared" si="279"/>
        <v>Base S2|The Seven Parallel - Season 2|163|The Seven</v>
      </c>
      <c r="T1364" s="57" t="str">
        <f>IF($S1364="","",IFERROR(VLOOKUP($S1364,'Pop Estimates (Non-#d)'!$N$2:$O$500,2,FALSE),""))</f>
        <v/>
      </c>
      <c r="U1364" s="57">
        <f t="shared" si="280"/>
        <v>7</v>
      </c>
      <c r="V1364" s="53" t="str">
        <f t="shared" si="281"/>
        <v/>
      </c>
      <c r="W1364" s="53" t="str">
        <f t="shared" si="282"/>
        <v/>
      </c>
      <c r="X1364" s="53" t="str">
        <f t="shared" si="283"/>
        <v/>
      </c>
      <c r="Y1364" s="57" t="str">
        <f>IF($X1364="","",IFERROR(VLOOKUP($X1364,'Char Popularity'!$A$2:$C$500,2,FALSE),""))</f>
        <v/>
      </c>
      <c r="Z1364" s="56">
        <f>IF($X1364="",1,IFERROR(VLOOKUP($X1364,'Char Popularity'!$A$2:$C$500,3,FALSE),1))</f>
        <v>1</v>
      </c>
      <c r="AA1364" s="62">
        <f>IF($H1364&lt;&gt;"Y",0,(IF($F1364&lt;&gt;"",ROUND(Dashboard!$R$4/$F1364,1),IF(AND($I1364="Base",$E1364="Base"),Dashboard!$R$5,IF(AND($I1364="Base",$E1364="Red"),Dashboard!$R$6,IF(AND($I1364="Base",$E1364="Gold"),Dashboard!$R$7,VLOOKUP($I1364,Dashboard!$Q$16:$R$21,2,FALSE)))))*VLOOKUP($I1364,Dashboard!$Q$9:$R$13,2,FALSE)*IF(AND($I1364="Auto",$F1364="",OR($B1364="Autographs Duals",$B1364="Autographs Triples",$B1364="Autographs Quads",$B1364="Autographs Quads (Inscribed)")),IF($B1364="Autographs Duals",2,IF($B1364="Autographs Triples",3,4)),1)))</f>
        <v>142.9</v>
      </c>
      <c r="AB1364" s="62">
        <f t="shared" si="284"/>
        <v>142.9</v>
      </c>
      <c r="AC1364" s="62">
        <f t="shared" si="285"/>
        <v>0</v>
      </c>
    </row>
    <row r="1365" spans="1:29" ht="42.95" customHeight="1" x14ac:dyDescent="0.25">
      <c r="A1365" s="4" t="s">
        <v>19</v>
      </c>
      <c r="B1365" s="7" t="s">
        <v>82</v>
      </c>
      <c r="C1365" s="2" t="s">
        <v>1563</v>
      </c>
      <c r="D1365" s="7" t="s">
        <v>1145</v>
      </c>
      <c r="E1365" s="4" t="s">
        <v>689</v>
      </c>
      <c r="F1365" s="2">
        <v>7</v>
      </c>
      <c r="G1365" s="2" t="s">
        <v>1399</v>
      </c>
      <c r="H1365" s="2" t="s">
        <v>1400</v>
      </c>
      <c r="I1365" s="4" t="s">
        <v>60</v>
      </c>
      <c r="J1365" s="112">
        <f>IF($H1365&lt;&gt;"Y",0,ROUND(MIN(Dashboard!$R$24,IF(IFERROR(VLOOKUP($B1365,Dashboard!$Q$28:$S$60,2,FALSE),0)&gt;0,IFERROR(VLOOKUP($B1365,Dashboard!$Q$28:$S$60,2,FALSE),0),$Z1365*IF($U1365&lt;&gt;"",ROUND((Dashboard!$R$4/$U1365)*VLOOKUP($I1365,Dashboard!$Q$9:$R$13,2,FALSE)*IF(ISNUMBER(SEARCH("Duals",$B1365)),2,IF(ISNUMBER(SEARCH("Triples",$B1365)),3,IF(ISNUMBER(SEARCH("Quads",$B1365)),4,1))),2),ROUND(VLOOKUP($I1365,Dashboard!$Q$15:$R$20,2,FALSE)*IF($E1365="Red",Dashboard!$R$6,IF($E1365="Gold",Dashboard!$R$7,Dashboard!$R$5))*IF(ISNUMBER(SEARCH("Duals",$B1365)),2,IF(ISNUMBER(SEARCH("Triples",$B1365)),3,IF(ISNUMBER(SEARCH("Quads",$B1365)),4,1))),2))*IF(IFERROR(VLOOKUP($B1365,Dashboard!$Q$28:$S$60,3,FALSE),0)&gt;0,VLOOKUP($B1365,Dashboard!$Q$28:$S$60,3,FALSE),1))),0))</f>
        <v>143</v>
      </c>
      <c r="K1365" s="2" t="str">
        <f>IF('Base S2'!I65="","",'Base S2'!I65)</f>
        <v/>
      </c>
      <c r="L1365" s="2">
        <f t="shared" si="273"/>
        <v>0</v>
      </c>
      <c r="M1365" s="2">
        <f t="shared" si="274"/>
        <v>0</v>
      </c>
      <c r="N1365" s="2">
        <f t="shared" si="275"/>
        <v>0</v>
      </c>
      <c r="O1365" s="2">
        <f t="shared" si="276"/>
        <v>1</v>
      </c>
      <c r="P1365" s="112">
        <f t="shared" si="277"/>
        <v>0</v>
      </c>
      <c r="Q1365" s="112">
        <f t="shared" si="278"/>
        <v>0</v>
      </c>
      <c r="R1365" s="53"/>
      <c r="S1365" s="53" t="str">
        <f t="shared" si="279"/>
        <v>Base S2|The Seven Parallel - Season 2|164|The Seven</v>
      </c>
      <c r="T1365" s="57" t="str">
        <f>IF($S1365="","",IFERROR(VLOOKUP($S1365,'Pop Estimates (Non-#d)'!$N$2:$O$500,2,FALSE),""))</f>
        <v/>
      </c>
      <c r="U1365" s="57">
        <f t="shared" si="280"/>
        <v>7</v>
      </c>
      <c r="V1365" s="53" t="str">
        <f t="shared" si="281"/>
        <v/>
      </c>
      <c r="W1365" s="53" t="str">
        <f t="shared" si="282"/>
        <v/>
      </c>
      <c r="X1365" s="53" t="str">
        <f t="shared" si="283"/>
        <v/>
      </c>
      <c r="Y1365" s="57" t="str">
        <f>IF($X1365="","",IFERROR(VLOOKUP($X1365,'Char Popularity'!$A$2:$C$500,2,FALSE),""))</f>
        <v/>
      </c>
      <c r="Z1365" s="56">
        <f>IF($X1365="",1,IFERROR(VLOOKUP($X1365,'Char Popularity'!$A$2:$C$500,3,FALSE),1))</f>
        <v>1</v>
      </c>
      <c r="AA1365" s="62">
        <f>IF($H1365&lt;&gt;"Y",0,(IF($F1365&lt;&gt;"",ROUND(Dashboard!$R$4/$F1365,1),IF(AND($I1365="Base",$E1365="Base"),Dashboard!$R$5,IF(AND($I1365="Base",$E1365="Red"),Dashboard!$R$6,IF(AND($I1365="Base",$E1365="Gold"),Dashboard!$R$7,VLOOKUP($I1365,Dashboard!$Q$16:$R$21,2,FALSE)))))*VLOOKUP($I1365,Dashboard!$Q$9:$R$13,2,FALSE)*IF(AND($I1365="Auto",$F1365="",OR($B1365="Autographs Duals",$B1365="Autographs Triples",$B1365="Autographs Quads",$B1365="Autographs Quads (Inscribed)")),IF($B1365="Autographs Duals",2,IF($B1365="Autographs Triples",3,4)),1)))</f>
        <v>142.9</v>
      </c>
      <c r="AB1365" s="62">
        <f t="shared" si="284"/>
        <v>0</v>
      </c>
      <c r="AC1365" s="62">
        <f t="shared" si="285"/>
        <v>0</v>
      </c>
    </row>
    <row r="1366" spans="1:29" ht="42.95" customHeight="1" x14ac:dyDescent="0.25">
      <c r="A1366" s="4" t="s">
        <v>19</v>
      </c>
      <c r="B1366" s="7" t="s">
        <v>82</v>
      </c>
      <c r="C1366" s="2" t="s">
        <v>1564</v>
      </c>
      <c r="D1366" s="7" t="s">
        <v>1147</v>
      </c>
      <c r="E1366" s="4" t="s">
        <v>689</v>
      </c>
      <c r="F1366" s="2">
        <v>7</v>
      </c>
      <c r="G1366" s="2" t="s">
        <v>1399</v>
      </c>
      <c r="H1366" s="2" t="s">
        <v>1400</v>
      </c>
      <c r="I1366" s="4" t="s">
        <v>60</v>
      </c>
      <c r="J1366" s="112">
        <f>IF($H1366&lt;&gt;"Y",0,ROUND(MIN(Dashboard!$R$24,IF(IFERROR(VLOOKUP($B1366,Dashboard!$Q$28:$S$60,2,FALSE),0)&gt;0,IFERROR(VLOOKUP($B1366,Dashboard!$Q$28:$S$60,2,FALSE),0),$Z1366*IF($U1366&lt;&gt;"",ROUND((Dashboard!$R$4/$U1366)*VLOOKUP($I1366,Dashboard!$Q$9:$R$13,2,FALSE)*IF(ISNUMBER(SEARCH("Duals",$B1366)),2,IF(ISNUMBER(SEARCH("Triples",$B1366)),3,IF(ISNUMBER(SEARCH("Quads",$B1366)),4,1))),2),ROUND(VLOOKUP($I1366,Dashboard!$Q$15:$R$20,2,FALSE)*IF($E1366="Red",Dashboard!$R$6,IF($E1366="Gold",Dashboard!$R$7,Dashboard!$R$5))*IF(ISNUMBER(SEARCH("Duals",$B1366)),2,IF(ISNUMBER(SEARCH("Triples",$B1366)),3,IF(ISNUMBER(SEARCH("Quads",$B1366)),4,1))),2))*IF(IFERROR(VLOOKUP($B1366,Dashboard!$Q$28:$S$60,3,FALSE),0)&gt;0,VLOOKUP($B1366,Dashboard!$Q$28:$S$60,3,FALSE),1))),0))</f>
        <v>143</v>
      </c>
      <c r="K1366" s="2" t="str">
        <f>IF('Base S2'!I66="","",'Base S2'!I66)</f>
        <v/>
      </c>
      <c r="L1366" s="2">
        <f t="shared" si="273"/>
        <v>0</v>
      </c>
      <c r="M1366" s="2">
        <f t="shared" si="274"/>
        <v>0</v>
      </c>
      <c r="N1366" s="2">
        <f t="shared" si="275"/>
        <v>0</v>
      </c>
      <c r="O1366" s="2">
        <f t="shared" si="276"/>
        <v>1</v>
      </c>
      <c r="P1366" s="112">
        <f t="shared" si="277"/>
        <v>0</v>
      </c>
      <c r="Q1366" s="112">
        <f t="shared" si="278"/>
        <v>0</v>
      </c>
      <c r="R1366" s="53"/>
      <c r="S1366" s="53" t="str">
        <f t="shared" si="279"/>
        <v>Base S2|The Seven Parallel - Season 2|165|The Seven</v>
      </c>
      <c r="T1366" s="57" t="str">
        <f>IF($S1366="","",IFERROR(VLOOKUP($S1366,'Pop Estimates (Non-#d)'!$N$2:$O$500,2,FALSE),""))</f>
        <v/>
      </c>
      <c r="U1366" s="57">
        <f t="shared" si="280"/>
        <v>7</v>
      </c>
      <c r="V1366" s="53" t="str">
        <f t="shared" si="281"/>
        <v/>
      </c>
      <c r="W1366" s="53" t="str">
        <f t="shared" si="282"/>
        <v/>
      </c>
      <c r="X1366" s="53" t="str">
        <f t="shared" si="283"/>
        <v/>
      </c>
      <c r="Y1366" s="57" t="str">
        <f>IF($X1366="","",IFERROR(VLOOKUP($X1366,'Char Popularity'!$A$2:$C$500,2,FALSE),""))</f>
        <v/>
      </c>
      <c r="Z1366" s="56">
        <f>IF($X1366="",1,IFERROR(VLOOKUP($X1366,'Char Popularity'!$A$2:$C$500,3,FALSE),1))</f>
        <v>1</v>
      </c>
      <c r="AA1366" s="62">
        <f>IF($H1366&lt;&gt;"Y",0,(IF($F1366&lt;&gt;"",ROUND(Dashboard!$R$4/$F1366,1),IF(AND($I1366="Base",$E1366="Base"),Dashboard!$R$5,IF(AND($I1366="Base",$E1366="Red"),Dashboard!$R$6,IF(AND($I1366="Base",$E1366="Gold"),Dashboard!$R$7,VLOOKUP($I1366,Dashboard!$Q$16:$R$21,2,FALSE)))))*VLOOKUP($I1366,Dashboard!$Q$9:$R$13,2,FALSE)*IF(AND($I1366="Auto",$F1366="",OR($B1366="Autographs Duals",$B1366="Autographs Triples",$B1366="Autographs Quads",$B1366="Autographs Quads (Inscribed)")),IF($B1366="Autographs Duals",2,IF($B1366="Autographs Triples",3,4)),1)))</f>
        <v>142.9</v>
      </c>
      <c r="AB1366" s="62">
        <f t="shared" si="284"/>
        <v>0</v>
      </c>
      <c r="AC1366" s="62">
        <f t="shared" si="285"/>
        <v>0</v>
      </c>
    </row>
    <row r="1367" spans="1:29" ht="42.95" customHeight="1" x14ac:dyDescent="0.25">
      <c r="A1367" s="4" t="s">
        <v>19</v>
      </c>
      <c r="B1367" s="7" t="s">
        <v>82</v>
      </c>
      <c r="C1367" s="2" t="s">
        <v>1565</v>
      </c>
      <c r="D1367" s="7" t="s">
        <v>1148</v>
      </c>
      <c r="E1367" s="4" t="s">
        <v>689</v>
      </c>
      <c r="F1367" s="2">
        <v>7</v>
      </c>
      <c r="G1367" s="2" t="s">
        <v>1399</v>
      </c>
      <c r="H1367" s="2" t="s">
        <v>1400</v>
      </c>
      <c r="I1367" s="4" t="s">
        <v>60</v>
      </c>
      <c r="J1367" s="112">
        <f>IF($H1367&lt;&gt;"Y",0,ROUND(MIN(Dashboard!$R$24,IF(IFERROR(VLOOKUP($B1367,Dashboard!$Q$28:$S$60,2,FALSE),0)&gt;0,IFERROR(VLOOKUP($B1367,Dashboard!$Q$28:$S$60,2,FALSE),0),$Z1367*IF($U1367&lt;&gt;"",ROUND((Dashboard!$R$4/$U1367)*VLOOKUP($I1367,Dashboard!$Q$9:$R$13,2,FALSE)*IF(ISNUMBER(SEARCH("Duals",$B1367)),2,IF(ISNUMBER(SEARCH("Triples",$B1367)),3,IF(ISNUMBER(SEARCH("Quads",$B1367)),4,1))),2),ROUND(VLOOKUP($I1367,Dashboard!$Q$15:$R$20,2,FALSE)*IF($E1367="Red",Dashboard!$R$6,IF($E1367="Gold",Dashboard!$R$7,Dashboard!$R$5))*IF(ISNUMBER(SEARCH("Duals",$B1367)),2,IF(ISNUMBER(SEARCH("Triples",$B1367)),3,IF(ISNUMBER(SEARCH("Quads",$B1367)),4,1))),2))*IF(IFERROR(VLOOKUP($B1367,Dashboard!$Q$28:$S$60,3,FALSE),0)&gt;0,VLOOKUP($B1367,Dashboard!$Q$28:$S$60,3,FALSE),1))),0))</f>
        <v>143</v>
      </c>
      <c r="K1367" s="2" t="str">
        <f>IF('Base S2'!I67="","",'Base S2'!I67)</f>
        <v>C 2/7</v>
      </c>
      <c r="L1367" s="2">
        <f t="shared" si="273"/>
        <v>1</v>
      </c>
      <c r="M1367" s="2">
        <f t="shared" si="274"/>
        <v>0</v>
      </c>
      <c r="N1367" s="2">
        <f t="shared" si="275"/>
        <v>1</v>
      </c>
      <c r="O1367" s="2">
        <f t="shared" si="276"/>
        <v>0</v>
      </c>
      <c r="P1367" s="112">
        <f t="shared" si="277"/>
        <v>143</v>
      </c>
      <c r="Q1367" s="112">
        <f t="shared" si="278"/>
        <v>0</v>
      </c>
      <c r="R1367" s="53"/>
      <c r="S1367" s="53" t="str">
        <f t="shared" si="279"/>
        <v>Base S2|The Seven Parallel - Season 2|166|The Seven</v>
      </c>
      <c r="T1367" s="57" t="str">
        <f>IF($S1367="","",IFERROR(VLOOKUP($S1367,'Pop Estimates (Non-#d)'!$N$2:$O$500,2,FALSE),""))</f>
        <v/>
      </c>
      <c r="U1367" s="57">
        <f t="shared" si="280"/>
        <v>7</v>
      </c>
      <c r="V1367" s="53" t="str">
        <f t="shared" si="281"/>
        <v/>
      </c>
      <c r="W1367" s="53" t="str">
        <f t="shared" si="282"/>
        <v/>
      </c>
      <c r="X1367" s="53" t="str">
        <f t="shared" si="283"/>
        <v/>
      </c>
      <c r="Y1367" s="57" t="str">
        <f>IF($X1367="","",IFERROR(VLOOKUP($X1367,'Char Popularity'!$A$2:$C$500,2,FALSE),""))</f>
        <v/>
      </c>
      <c r="Z1367" s="56">
        <f>IF($X1367="",1,IFERROR(VLOOKUP($X1367,'Char Popularity'!$A$2:$C$500,3,FALSE),1))</f>
        <v>1</v>
      </c>
      <c r="AA1367" s="62">
        <f>IF($H1367&lt;&gt;"Y",0,(IF($F1367&lt;&gt;"",ROUND(Dashboard!$R$4/$F1367,1),IF(AND($I1367="Base",$E1367="Base"),Dashboard!$R$5,IF(AND($I1367="Base",$E1367="Red"),Dashboard!$R$6,IF(AND($I1367="Base",$E1367="Gold"),Dashboard!$R$7,VLOOKUP($I1367,Dashboard!$Q$16:$R$21,2,FALSE)))))*VLOOKUP($I1367,Dashboard!$Q$9:$R$13,2,FALSE)*IF(AND($I1367="Auto",$F1367="",OR($B1367="Autographs Duals",$B1367="Autographs Triples",$B1367="Autographs Quads",$B1367="Autographs Quads (Inscribed)")),IF($B1367="Autographs Duals",2,IF($B1367="Autographs Triples",3,4)),1)))</f>
        <v>142.9</v>
      </c>
      <c r="AB1367" s="62">
        <f t="shared" si="284"/>
        <v>142.9</v>
      </c>
      <c r="AC1367" s="62">
        <f t="shared" si="285"/>
        <v>0</v>
      </c>
    </row>
    <row r="1368" spans="1:29" ht="42.95" customHeight="1" x14ac:dyDescent="0.25">
      <c r="A1368" s="4" t="s">
        <v>19</v>
      </c>
      <c r="B1368" s="7" t="s">
        <v>82</v>
      </c>
      <c r="C1368" s="2" t="s">
        <v>1566</v>
      </c>
      <c r="D1368" s="7" t="s">
        <v>1150</v>
      </c>
      <c r="E1368" s="4" t="s">
        <v>689</v>
      </c>
      <c r="F1368" s="2">
        <v>7</v>
      </c>
      <c r="G1368" s="2" t="s">
        <v>1399</v>
      </c>
      <c r="H1368" s="2" t="s">
        <v>1400</v>
      </c>
      <c r="I1368" s="4" t="s">
        <v>60</v>
      </c>
      <c r="J1368" s="112">
        <f>IF($H1368&lt;&gt;"Y",0,ROUND(MIN(Dashboard!$R$24,IF(IFERROR(VLOOKUP($B1368,Dashboard!$Q$28:$S$60,2,FALSE),0)&gt;0,IFERROR(VLOOKUP($B1368,Dashboard!$Q$28:$S$60,2,FALSE),0),$Z1368*IF($U1368&lt;&gt;"",ROUND((Dashboard!$R$4/$U1368)*VLOOKUP($I1368,Dashboard!$Q$9:$R$13,2,FALSE)*IF(ISNUMBER(SEARCH("Duals",$B1368)),2,IF(ISNUMBER(SEARCH("Triples",$B1368)),3,IF(ISNUMBER(SEARCH("Quads",$B1368)),4,1))),2),ROUND(VLOOKUP($I1368,Dashboard!$Q$15:$R$20,2,FALSE)*IF($E1368="Red",Dashboard!$R$6,IF($E1368="Gold",Dashboard!$R$7,Dashboard!$R$5))*IF(ISNUMBER(SEARCH("Duals",$B1368)),2,IF(ISNUMBER(SEARCH("Triples",$B1368)),3,IF(ISNUMBER(SEARCH("Quads",$B1368)),4,1))),2))*IF(IFERROR(VLOOKUP($B1368,Dashboard!$Q$28:$S$60,3,FALSE),0)&gt;0,VLOOKUP($B1368,Dashboard!$Q$28:$S$60,3,FALSE),1))),0))</f>
        <v>143</v>
      </c>
      <c r="K1368" s="2" t="str">
        <f>IF('Base S2'!I68="","",'Base S2'!I68)</f>
        <v/>
      </c>
      <c r="L1368" s="2">
        <f t="shared" si="273"/>
        <v>0</v>
      </c>
      <c r="M1368" s="2">
        <f t="shared" si="274"/>
        <v>0</v>
      </c>
      <c r="N1368" s="2">
        <f t="shared" si="275"/>
        <v>0</v>
      </c>
      <c r="O1368" s="2">
        <f t="shared" si="276"/>
        <v>1</v>
      </c>
      <c r="P1368" s="112">
        <f t="shared" si="277"/>
        <v>0</v>
      </c>
      <c r="Q1368" s="112">
        <f t="shared" si="278"/>
        <v>0</v>
      </c>
      <c r="R1368" s="53"/>
      <c r="S1368" s="53" t="str">
        <f t="shared" si="279"/>
        <v>Base S2|The Seven Parallel - Season 2|167|The Seven</v>
      </c>
      <c r="T1368" s="57" t="str">
        <f>IF($S1368="","",IFERROR(VLOOKUP($S1368,'Pop Estimates (Non-#d)'!$N$2:$O$500,2,FALSE),""))</f>
        <v/>
      </c>
      <c r="U1368" s="57">
        <f t="shared" si="280"/>
        <v>7</v>
      </c>
      <c r="V1368" s="53" t="str">
        <f t="shared" si="281"/>
        <v/>
      </c>
      <c r="W1368" s="53" t="str">
        <f t="shared" si="282"/>
        <v/>
      </c>
      <c r="X1368" s="53" t="str">
        <f t="shared" si="283"/>
        <v/>
      </c>
      <c r="Y1368" s="57" t="str">
        <f>IF($X1368="","",IFERROR(VLOOKUP($X1368,'Char Popularity'!$A$2:$C$500,2,FALSE),""))</f>
        <v/>
      </c>
      <c r="Z1368" s="56">
        <f>IF($X1368="",1,IFERROR(VLOOKUP($X1368,'Char Popularity'!$A$2:$C$500,3,FALSE),1))</f>
        <v>1</v>
      </c>
      <c r="AA1368" s="62">
        <f>IF($H1368&lt;&gt;"Y",0,(IF($F1368&lt;&gt;"",ROUND(Dashboard!$R$4/$F1368,1),IF(AND($I1368="Base",$E1368="Base"),Dashboard!$R$5,IF(AND($I1368="Base",$E1368="Red"),Dashboard!$R$6,IF(AND($I1368="Base",$E1368="Gold"),Dashboard!$R$7,VLOOKUP($I1368,Dashboard!$Q$16:$R$21,2,FALSE)))))*VLOOKUP($I1368,Dashboard!$Q$9:$R$13,2,FALSE)*IF(AND($I1368="Auto",$F1368="",OR($B1368="Autographs Duals",$B1368="Autographs Triples",$B1368="Autographs Quads",$B1368="Autographs Quads (Inscribed)")),IF($B1368="Autographs Duals",2,IF($B1368="Autographs Triples",3,4)),1)))</f>
        <v>142.9</v>
      </c>
      <c r="AB1368" s="62">
        <f t="shared" si="284"/>
        <v>0</v>
      </c>
      <c r="AC1368" s="62">
        <f t="shared" si="285"/>
        <v>0</v>
      </c>
    </row>
    <row r="1369" spans="1:29" ht="42.95" customHeight="1" x14ac:dyDescent="0.25">
      <c r="A1369" s="4" t="s">
        <v>19</v>
      </c>
      <c r="B1369" s="7" t="s">
        <v>82</v>
      </c>
      <c r="C1369" s="2" t="s">
        <v>1567</v>
      </c>
      <c r="D1369" s="7" t="s">
        <v>1151</v>
      </c>
      <c r="E1369" s="4" t="s">
        <v>689</v>
      </c>
      <c r="F1369" s="2">
        <v>7</v>
      </c>
      <c r="G1369" s="2" t="s">
        <v>1399</v>
      </c>
      <c r="H1369" s="2" t="s">
        <v>1400</v>
      </c>
      <c r="I1369" s="4" t="s">
        <v>60</v>
      </c>
      <c r="J1369" s="112">
        <f>IF($H1369&lt;&gt;"Y",0,ROUND(MIN(Dashboard!$R$24,IF(IFERROR(VLOOKUP($B1369,Dashboard!$Q$28:$S$60,2,FALSE),0)&gt;0,IFERROR(VLOOKUP($B1369,Dashboard!$Q$28:$S$60,2,FALSE),0),$Z1369*IF($U1369&lt;&gt;"",ROUND((Dashboard!$R$4/$U1369)*VLOOKUP($I1369,Dashboard!$Q$9:$R$13,2,FALSE)*IF(ISNUMBER(SEARCH("Duals",$B1369)),2,IF(ISNUMBER(SEARCH("Triples",$B1369)),3,IF(ISNUMBER(SEARCH("Quads",$B1369)),4,1))),2),ROUND(VLOOKUP($I1369,Dashboard!$Q$15:$R$20,2,FALSE)*IF($E1369="Red",Dashboard!$R$6,IF($E1369="Gold",Dashboard!$R$7,Dashboard!$R$5))*IF(ISNUMBER(SEARCH("Duals",$B1369)),2,IF(ISNUMBER(SEARCH("Triples",$B1369)),3,IF(ISNUMBER(SEARCH("Quads",$B1369)),4,1))),2))*IF(IFERROR(VLOOKUP($B1369,Dashboard!$Q$28:$S$60,3,FALSE),0)&gt;0,VLOOKUP($B1369,Dashboard!$Q$28:$S$60,3,FALSE),1))),0))</f>
        <v>143</v>
      </c>
      <c r="K1369" s="2" t="str">
        <f>IF('Base S2'!I69="","",'Base S2'!I69)</f>
        <v/>
      </c>
      <c r="L1369" s="2">
        <f t="shared" si="273"/>
        <v>0</v>
      </c>
      <c r="M1369" s="2">
        <f t="shared" si="274"/>
        <v>0</v>
      </c>
      <c r="N1369" s="2">
        <f t="shared" si="275"/>
        <v>0</v>
      </c>
      <c r="O1369" s="2">
        <f t="shared" si="276"/>
        <v>1</v>
      </c>
      <c r="P1369" s="112">
        <f t="shared" si="277"/>
        <v>0</v>
      </c>
      <c r="Q1369" s="112">
        <f t="shared" si="278"/>
        <v>0</v>
      </c>
      <c r="R1369" s="53"/>
      <c r="S1369" s="53" t="str">
        <f t="shared" si="279"/>
        <v>Base S2|The Seven Parallel - Season 2|168|The Seven</v>
      </c>
      <c r="T1369" s="57" t="str">
        <f>IF($S1369="","",IFERROR(VLOOKUP($S1369,'Pop Estimates (Non-#d)'!$N$2:$O$500,2,FALSE),""))</f>
        <v/>
      </c>
      <c r="U1369" s="57">
        <f t="shared" si="280"/>
        <v>7</v>
      </c>
      <c r="V1369" s="53" t="str">
        <f t="shared" si="281"/>
        <v/>
      </c>
      <c r="W1369" s="53" t="str">
        <f t="shared" si="282"/>
        <v/>
      </c>
      <c r="X1369" s="53" t="str">
        <f t="shared" si="283"/>
        <v/>
      </c>
      <c r="Y1369" s="57" t="str">
        <f>IF($X1369="","",IFERROR(VLOOKUP($X1369,'Char Popularity'!$A$2:$C$500,2,FALSE),""))</f>
        <v/>
      </c>
      <c r="Z1369" s="56">
        <f>IF($X1369="",1,IFERROR(VLOOKUP($X1369,'Char Popularity'!$A$2:$C$500,3,FALSE),1))</f>
        <v>1</v>
      </c>
      <c r="AA1369" s="62">
        <f>IF($H1369&lt;&gt;"Y",0,(IF($F1369&lt;&gt;"",ROUND(Dashboard!$R$4/$F1369,1),IF(AND($I1369="Base",$E1369="Base"),Dashboard!$R$5,IF(AND($I1369="Base",$E1369="Red"),Dashboard!$R$6,IF(AND($I1369="Base",$E1369="Gold"),Dashboard!$R$7,VLOOKUP($I1369,Dashboard!$Q$16:$R$21,2,FALSE)))))*VLOOKUP($I1369,Dashboard!$Q$9:$R$13,2,FALSE)*IF(AND($I1369="Auto",$F1369="",OR($B1369="Autographs Duals",$B1369="Autographs Triples",$B1369="Autographs Quads",$B1369="Autographs Quads (Inscribed)")),IF($B1369="Autographs Duals",2,IF($B1369="Autographs Triples",3,4)),1)))</f>
        <v>142.9</v>
      </c>
      <c r="AB1369" s="62">
        <f t="shared" si="284"/>
        <v>0</v>
      </c>
      <c r="AC1369" s="62">
        <f t="shared" si="285"/>
        <v>0</v>
      </c>
    </row>
    <row r="1370" spans="1:29" ht="42.95" customHeight="1" x14ac:dyDescent="0.25">
      <c r="A1370" s="4" t="s">
        <v>19</v>
      </c>
      <c r="B1370" s="7" t="s">
        <v>82</v>
      </c>
      <c r="C1370" s="2" t="s">
        <v>1568</v>
      </c>
      <c r="D1370" s="7" t="s">
        <v>1153</v>
      </c>
      <c r="E1370" s="4" t="s">
        <v>689</v>
      </c>
      <c r="F1370" s="2">
        <v>7</v>
      </c>
      <c r="G1370" s="2" t="s">
        <v>1399</v>
      </c>
      <c r="H1370" s="2" t="s">
        <v>1400</v>
      </c>
      <c r="I1370" s="4" t="s">
        <v>60</v>
      </c>
      <c r="J1370" s="112">
        <f>IF($H1370&lt;&gt;"Y",0,ROUND(MIN(Dashboard!$R$24,IF(IFERROR(VLOOKUP($B1370,Dashboard!$Q$28:$S$60,2,FALSE),0)&gt;0,IFERROR(VLOOKUP($B1370,Dashboard!$Q$28:$S$60,2,FALSE),0),$Z1370*IF($U1370&lt;&gt;"",ROUND((Dashboard!$R$4/$U1370)*VLOOKUP($I1370,Dashboard!$Q$9:$R$13,2,FALSE)*IF(ISNUMBER(SEARCH("Duals",$B1370)),2,IF(ISNUMBER(SEARCH("Triples",$B1370)),3,IF(ISNUMBER(SEARCH("Quads",$B1370)),4,1))),2),ROUND(VLOOKUP($I1370,Dashboard!$Q$15:$R$20,2,FALSE)*IF($E1370="Red",Dashboard!$R$6,IF($E1370="Gold",Dashboard!$R$7,Dashboard!$R$5))*IF(ISNUMBER(SEARCH("Duals",$B1370)),2,IF(ISNUMBER(SEARCH("Triples",$B1370)),3,IF(ISNUMBER(SEARCH("Quads",$B1370)),4,1))),2))*IF(IFERROR(VLOOKUP($B1370,Dashboard!$Q$28:$S$60,3,FALSE),0)&gt;0,VLOOKUP($B1370,Dashboard!$Q$28:$S$60,3,FALSE),1))),0))</f>
        <v>143</v>
      </c>
      <c r="K1370" s="2" t="str">
        <f>IF('Base S2'!I70="","",'Base S2'!I70)</f>
        <v/>
      </c>
      <c r="L1370" s="2">
        <f t="shared" si="273"/>
        <v>0</v>
      </c>
      <c r="M1370" s="2">
        <f t="shared" si="274"/>
        <v>0</v>
      </c>
      <c r="N1370" s="2">
        <f t="shared" si="275"/>
        <v>0</v>
      </c>
      <c r="O1370" s="2">
        <f t="shared" si="276"/>
        <v>1</v>
      </c>
      <c r="P1370" s="112">
        <f t="shared" si="277"/>
        <v>0</v>
      </c>
      <c r="Q1370" s="112">
        <f t="shared" si="278"/>
        <v>0</v>
      </c>
      <c r="R1370" s="53"/>
      <c r="S1370" s="53" t="str">
        <f t="shared" si="279"/>
        <v>Base S2|The Seven Parallel - Season 2|169|The Seven</v>
      </c>
      <c r="T1370" s="57" t="str">
        <f>IF($S1370="","",IFERROR(VLOOKUP($S1370,'Pop Estimates (Non-#d)'!$N$2:$O$500,2,FALSE),""))</f>
        <v/>
      </c>
      <c r="U1370" s="57">
        <f t="shared" si="280"/>
        <v>7</v>
      </c>
      <c r="V1370" s="53" t="str">
        <f t="shared" si="281"/>
        <v/>
      </c>
      <c r="W1370" s="53" t="str">
        <f t="shared" si="282"/>
        <v/>
      </c>
      <c r="X1370" s="53" t="str">
        <f t="shared" si="283"/>
        <v/>
      </c>
      <c r="Y1370" s="57" t="str">
        <f>IF($X1370="","",IFERROR(VLOOKUP($X1370,'Char Popularity'!$A$2:$C$500,2,FALSE),""))</f>
        <v/>
      </c>
      <c r="Z1370" s="56">
        <f>IF($X1370="",1,IFERROR(VLOOKUP($X1370,'Char Popularity'!$A$2:$C$500,3,FALSE),1))</f>
        <v>1</v>
      </c>
      <c r="AA1370" s="62">
        <f>IF($H1370&lt;&gt;"Y",0,(IF($F1370&lt;&gt;"",ROUND(Dashboard!$R$4/$F1370,1),IF(AND($I1370="Base",$E1370="Base"),Dashboard!$R$5,IF(AND($I1370="Base",$E1370="Red"),Dashboard!$R$6,IF(AND($I1370="Base",$E1370="Gold"),Dashboard!$R$7,VLOOKUP($I1370,Dashboard!$Q$16:$R$21,2,FALSE)))))*VLOOKUP($I1370,Dashboard!$Q$9:$R$13,2,FALSE)*IF(AND($I1370="Auto",$F1370="",OR($B1370="Autographs Duals",$B1370="Autographs Triples",$B1370="Autographs Quads",$B1370="Autographs Quads (Inscribed)")),IF($B1370="Autographs Duals",2,IF($B1370="Autographs Triples",3,4)),1)))</f>
        <v>142.9</v>
      </c>
      <c r="AB1370" s="62">
        <f t="shared" si="284"/>
        <v>0</v>
      </c>
      <c r="AC1370" s="62">
        <f t="shared" si="285"/>
        <v>0</v>
      </c>
    </row>
    <row r="1371" spans="1:29" ht="42.95" customHeight="1" x14ac:dyDescent="0.25">
      <c r="A1371" s="4" t="s">
        <v>19</v>
      </c>
      <c r="B1371" s="7" t="s">
        <v>82</v>
      </c>
      <c r="C1371" s="2" t="s">
        <v>1569</v>
      </c>
      <c r="D1371" s="7" t="s">
        <v>1154</v>
      </c>
      <c r="E1371" s="4" t="s">
        <v>689</v>
      </c>
      <c r="F1371" s="2">
        <v>7</v>
      </c>
      <c r="G1371" s="2" t="s">
        <v>1399</v>
      </c>
      <c r="H1371" s="2" t="s">
        <v>1400</v>
      </c>
      <c r="I1371" s="4" t="s">
        <v>60</v>
      </c>
      <c r="J1371" s="112">
        <f>IF($H1371&lt;&gt;"Y",0,ROUND(MIN(Dashboard!$R$24,IF(IFERROR(VLOOKUP($B1371,Dashboard!$Q$28:$S$60,2,FALSE),0)&gt;0,IFERROR(VLOOKUP($B1371,Dashboard!$Q$28:$S$60,2,FALSE),0),$Z1371*IF($U1371&lt;&gt;"",ROUND((Dashboard!$R$4/$U1371)*VLOOKUP($I1371,Dashboard!$Q$9:$R$13,2,FALSE)*IF(ISNUMBER(SEARCH("Duals",$B1371)),2,IF(ISNUMBER(SEARCH("Triples",$B1371)),3,IF(ISNUMBER(SEARCH("Quads",$B1371)),4,1))),2),ROUND(VLOOKUP($I1371,Dashboard!$Q$15:$R$20,2,FALSE)*IF($E1371="Red",Dashboard!$R$6,IF($E1371="Gold",Dashboard!$R$7,Dashboard!$R$5))*IF(ISNUMBER(SEARCH("Duals",$B1371)),2,IF(ISNUMBER(SEARCH("Triples",$B1371)),3,IF(ISNUMBER(SEARCH("Quads",$B1371)),4,1))),2))*IF(IFERROR(VLOOKUP($B1371,Dashboard!$Q$28:$S$60,3,FALSE),0)&gt;0,VLOOKUP($B1371,Dashboard!$Q$28:$S$60,3,FALSE),1))),0))</f>
        <v>143</v>
      </c>
      <c r="K1371" s="2" t="str">
        <f>IF('Base S2'!I71="","",'Base S2'!I71)</f>
        <v>V 6/7</v>
      </c>
      <c r="L1371" s="2">
        <f t="shared" si="273"/>
        <v>1</v>
      </c>
      <c r="M1371" s="2">
        <f t="shared" si="274"/>
        <v>0</v>
      </c>
      <c r="N1371" s="2">
        <f t="shared" si="275"/>
        <v>1</v>
      </c>
      <c r="O1371" s="2">
        <f t="shared" si="276"/>
        <v>0</v>
      </c>
      <c r="P1371" s="112">
        <f t="shared" si="277"/>
        <v>143</v>
      </c>
      <c r="Q1371" s="112">
        <f t="shared" si="278"/>
        <v>0</v>
      </c>
      <c r="R1371" s="53"/>
      <c r="S1371" s="53" t="str">
        <f t="shared" si="279"/>
        <v>Base S2|The Seven Parallel - Season 2|170|The Seven</v>
      </c>
      <c r="T1371" s="57" t="str">
        <f>IF($S1371="","",IFERROR(VLOOKUP($S1371,'Pop Estimates (Non-#d)'!$N$2:$O$500,2,FALSE),""))</f>
        <v/>
      </c>
      <c r="U1371" s="57">
        <f t="shared" si="280"/>
        <v>7</v>
      </c>
      <c r="V1371" s="53" t="str">
        <f t="shared" si="281"/>
        <v/>
      </c>
      <c r="W1371" s="53" t="str">
        <f t="shared" si="282"/>
        <v/>
      </c>
      <c r="X1371" s="53" t="str">
        <f t="shared" si="283"/>
        <v/>
      </c>
      <c r="Y1371" s="57" t="str">
        <f>IF($X1371="","",IFERROR(VLOOKUP($X1371,'Char Popularity'!$A$2:$C$500,2,FALSE),""))</f>
        <v/>
      </c>
      <c r="Z1371" s="56">
        <f>IF($X1371="",1,IFERROR(VLOOKUP($X1371,'Char Popularity'!$A$2:$C$500,3,FALSE),1))</f>
        <v>1</v>
      </c>
      <c r="AA1371" s="62">
        <f>IF($H1371&lt;&gt;"Y",0,(IF($F1371&lt;&gt;"",ROUND(Dashboard!$R$4/$F1371,1),IF(AND($I1371="Base",$E1371="Base"),Dashboard!$R$5,IF(AND($I1371="Base",$E1371="Red"),Dashboard!$R$6,IF(AND($I1371="Base",$E1371="Gold"),Dashboard!$R$7,VLOOKUP($I1371,Dashboard!$Q$16:$R$21,2,FALSE)))))*VLOOKUP($I1371,Dashboard!$Q$9:$R$13,2,FALSE)*IF(AND($I1371="Auto",$F1371="",OR($B1371="Autographs Duals",$B1371="Autographs Triples",$B1371="Autographs Quads",$B1371="Autographs Quads (Inscribed)")),IF($B1371="Autographs Duals",2,IF($B1371="Autographs Triples",3,4)),1)))</f>
        <v>142.9</v>
      </c>
      <c r="AB1371" s="62">
        <f t="shared" si="284"/>
        <v>142.9</v>
      </c>
      <c r="AC1371" s="62">
        <f t="shared" si="285"/>
        <v>0</v>
      </c>
    </row>
    <row r="1372" spans="1:29" ht="42.95" customHeight="1" x14ac:dyDescent="0.25">
      <c r="A1372" s="4" t="s">
        <v>19</v>
      </c>
      <c r="B1372" s="7" t="s">
        <v>82</v>
      </c>
      <c r="C1372" s="2" t="s">
        <v>1570</v>
      </c>
      <c r="D1372" s="7" t="s">
        <v>1158</v>
      </c>
      <c r="E1372" s="4" t="s">
        <v>689</v>
      </c>
      <c r="F1372" s="2">
        <v>7</v>
      </c>
      <c r="G1372" s="2" t="s">
        <v>1399</v>
      </c>
      <c r="H1372" s="2" t="s">
        <v>1400</v>
      </c>
      <c r="I1372" s="4" t="s">
        <v>60</v>
      </c>
      <c r="J1372" s="112">
        <f>IF($H1372&lt;&gt;"Y",0,ROUND(MIN(Dashboard!$R$24,IF(IFERROR(VLOOKUP($B1372,Dashboard!$Q$28:$S$60,2,FALSE),0)&gt;0,IFERROR(VLOOKUP($B1372,Dashboard!$Q$28:$S$60,2,FALSE),0),$Z1372*IF($U1372&lt;&gt;"",ROUND((Dashboard!$R$4/$U1372)*VLOOKUP($I1372,Dashboard!$Q$9:$R$13,2,FALSE)*IF(ISNUMBER(SEARCH("Duals",$B1372)),2,IF(ISNUMBER(SEARCH("Triples",$B1372)),3,IF(ISNUMBER(SEARCH("Quads",$B1372)),4,1))),2),ROUND(VLOOKUP($I1372,Dashboard!$Q$15:$R$20,2,FALSE)*IF($E1372="Red",Dashboard!$R$6,IF($E1372="Gold",Dashboard!$R$7,Dashboard!$R$5))*IF(ISNUMBER(SEARCH("Duals",$B1372)),2,IF(ISNUMBER(SEARCH("Triples",$B1372)),3,IF(ISNUMBER(SEARCH("Quads",$B1372)),4,1))),2))*IF(IFERROR(VLOOKUP($B1372,Dashboard!$Q$28:$S$60,3,FALSE),0)&gt;0,VLOOKUP($B1372,Dashboard!$Q$28:$S$60,3,FALSE),1))),0))</f>
        <v>143</v>
      </c>
      <c r="K1372" s="2" t="str">
        <f>IF('Base S2'!I72="","",'Base S2'!I72)</f>
        <v/>
      </c>
      <c r="L1372" s="2">
        <f t="shared" si="273"/>
        <v>0</v>
      </c>
      <c r="M1372" s="2">
        <f t="shared" si="274"/>
        <v>0</v>
      </c>
      <c r="N1372" s="2">
        <f t="shared" si="275"/>
        <v>0</v>
      </c>
      <c r="O1372" s="2">
        <f t="shared" si="276"/>
        <v>1</v>
      </c>
      <c r="P1372" s="112">
        <f t="shared" si="277"/>
        <v>0</v>
      </c>
      <c r="Q1372" s="112">
        <f t="shared" si="278"/>
        <v>0</v>
      </c>
      <c r="R1372" s="53"/>
      <c r="S1372" s="53" t="str">
        <f t="shared" si="279"/>
        <v>Base S2|The Seven Parallel - Season 2|171|The Seven</v>
      </c>
      <c r="T1372" s="57" t="str">
        <f>IF($S1372="","",IFERROR(VLOOKUP($S1372,'Pop Estimates (Non-#d)'!$N$2:$O$500,2,FALSE),""))</f>
        <v/>
      </c>
      <c r="U1372" s="57">
        <f t="shared" si="280"/>
        <v>7</v>
      </c>
      <c r="V1372" s="53" t="str">
        <f t="shared" si="281"/>
        <v/>
      </c>
      <c r="W1372" s="53" t="str">
        <f t="shared" si="282"/>
        <v/>
      </c>
      <c r="X1372" s="53" t="str">
        <f t="shared" si="283"/>
        <v/>
      </c>
      <c r="Y1372" s="57" t="str">
        <f>IF($X1372="","",IFERROR(VLOOKUP($X1372,'Char Popularity'!$A$2:$C$500,2,FALSE),""))</f>
        <v/>
      </c>
      <c r="Z1372" s="56">
        <f>IF($X1372="",1,IFERROR(VLOOKUP($X1372,'Char Popularity'!$A$2:$C$500,3,FALSE),1))</f>
        <v>1</v>
      </c>
      <c r="AA1372" s="62">
        <f>IF($H1372&lt;&gt;"Y",0,(IF($F1372&lt;&gt;"",ROUND(Dashboard!$R$4/$F1372,1),IF(AND($I1372="Base",$E1372="Base"),Dashboard!$R$5,IF(AND($I1372="Base",$E1372="Red"),Dashboard!$R$6,IF(AND($I1372="Base",$E1372="Gold"),Dashboard!$R$7,VLOOKUP($I1372,Dashboard!$Q$16:$R$21,2,FALSE)))))*VLOOKUP($I1372,Dashboard!$Q$9:$R$13,2,FALSE)*IF(AND($I1372="Auto",$F1372="",OR($B1372="Autographs Duals",$B1372="Autographs Triples",$B1372="Autographs Quads",$B1372="Autographs Quads (Inscribed)")),IF($B1372="Autographs Duals",2,IF($B1372="Autographs Triples",3,4)),1)))</f>
        <v>142.9</v>
      </c>
      <c r="AB1372" s="62">
        <f t="shared" si="284"/>
        <v>0</v>
      </c>
      <c r="AC1372" s="62">
        <f t="shared" si="285"/>
        <v>0</v>
      </c>
    </row>
    <row r="1373" spans="1:29" ht="42.95" customHeight="1" x14ac:dyDescent="0.25">
      <c r="A1373" s="4" t="s">
        <v>19</v>
      </c>
      <c r="B1373" s="7" t="s">
        <v>82</v>
      </c>
      <c r="C1373" s="2" t="s">
        <v>1571</v>
      </c>
      <c r="D1373" s="7" t="s">
        <v>1160</v>
      </c>
      <c r="E1373" s="4" t="s">
        <v>689</v>
      </c>
      <c r="F1373" s="2">
        <v>7</v>
      </c>
      <c r="G1373" s="2" t="s">
        <v>1399</v>
      </c>
      <c r="H1373" s="2" t="s">
        <v>1400</v>
      </c>
      <c r="I1373" s="4" t="s">
        <v>60</v>
      </c>
      <c r="J1373" s="112">
        <f>IF($H1373&lt;&gt;"Y",0,ROUND(MIN(Dashboard!$R$24,IF(IFERROR(VLOOKUP($B1373,Dashboard!$Q$28:$S$60,2,FALSE),0)&gt;0,IFERROR(VLOOKUP($B1373,Dashboard!$Q$28:$S$60,2,FALSE),0),$Z1373*IF($U1373&lt;&gt;"",ROUND((Dashboard!$R$4/$U1373)*VLOOKUP($I1373,Dashboard!$Q$9:$R$13,2,FALSE)*IF(ISNUMBER(SEARCH("Duals",$B1373)),2,IF(ISNUMBER(SEARCH("Triples",$B1373)),3,IF(ISNUMBER(SEARCH("Quads",$B1373)),4,1))),2),ROUND(VLOOKUP($I1373,Dashboard!$Q$15:$R$20,2,FALSE)*IF($E1373="Red",Dashboard!$R$6,IF($E1373="Gold",Dashboard!$R$7,Dashboard!$R$5))*IF(ISNUMBER(SEARCH("Duals",$B1373)),2,IF(ISNUMBER(SEARCH("Triples",$B1373)),3,IF(ISNUMBER(SEARCH("Quads",$B1373)),4,1))),2))*IF(IFERROR(VLOOKUP($B1373,Dashboard!$Q$28:$S$60,3,FALSE),0)&gt;0,VLOOKUP($B1373,Dashboard!$Q$28:$S$60,3,FALSE),1))),0))</f>
        <v>143</v>
      </c>
      <c r="K1373" s="2" t="str">
        <f>IF('Base S2'!I73="","",'Base S2'!I73)</f>
        <v/>
      </c>
      <c r="L1373" s="2">
        <f t="shared" si="273"/>
        <v>0</v>
      </c>
      <c r="M1373" s="2">
        <f t="shared" si="274"/>
        <v>0</v>
      </c>
      <c r="N1373" s="2">
        <f t="shared" si="275"/>
        <v>0</v>
      </c>
      <c r="O1373" s="2">
        <f t="shared" si="276"/>
        <v>1</v>
      </c>
      <c r="P1373" s="112">
        <f t="shared" si="277"/>
        <v>0</v>
      </c>
      <c r="Q1373" s="112">
        <f t="shared" si="278"/>
        <v>0</v>
      </c>
      <c r="R1373" s="53"/>
      <c r="S1373" s="53" t="str">
        <f t="shared" si="279"/>
        <v>Base S2|The Seven Parallel - Season 2|172|The Seven</v>
      </c>
      <c r="T1373" s="57" t="str">
        <f>IF($S1373="","",IFERROR(VLOOKUP($S1373,'Pop Estimates (Non-#d)'!$N$2:$O$500,2,FALSE),""))</f>
        <v/>
      </c>
      <c r="U1373" s="57">
        <f t="shared" si="280"/>
        <v>7</v>
      </c>
      <c r="V1373" s="53" t="str">
        <f t="shared" si="281"/>
        <v/>
      </c>
      <c r="W1373" s="53" t="str">
        <f t="shared" si="282"/>
        <v/>
      </c>
      <c r="X1373" s="53" t="str">
        <f t="shared" si="283"/>
        <v/>
      </c>
      <c r="Y1373" s="57" t="str">
        <f>IF($X1373="","",IFERROR(VLOOKUP($X1373,'Char Popularity'!$A$2:$C$500,2,FALSE),""))</f>
        <v/>
      </c>
      <c r="Z1373" s="56">
        <f>IF($X1373="",1,IFERROR(VLOOKUP($X1373,'Char Popularity'!$A$2:$C$500,3,FALSE),1))</f>
        <v>1</v>
      </c>
      <c r="AA1373" s="62">
        <f>IF($H1373&lt;&gt;"Y",0,(IF($F1373&lt;&gt;"",ROUND(Dashboard!$R$4/$F1373,1),IF(AND($I1373="Base",$E1373="Base"),Dashboard!$R$5,IF(AND($I1373="Base",$E1373="Red"),Dashboard!$R$6,IF(AND($I1373="Base",$E1373="Gold"),Dashboard!$R$7,VLOOKUP($I1373,Dashboard!$Q$16:$R$21,2,FALSE)))))*VLOOKUP($I1373,Dashboard!$Q$9:$R$13,2,FALSE)*IF(AND($I1373="Auto",$F1373="",OR($B1373="Autographs Duals",$B1373="Autographs Triples",$B1373="Autographs Quads",$B1373="Autographs Quads (Inscribed)")),IF($B1373="Autographs Duals",2,IF($B1373="Autographs Triples",3,4)),1)))</f>
        <v>142.9</v>
      </c>
      <c r="AB1373" s="62">
        <f t="shared" si="284"/>
        <v>0</v>
      </c>
      <c r="AC1373" s="62">
        <f t="shared" si="285"/>
        <v>0</v>
      </c>
    </row>
    <row r="1374" spans="1:29" ht="42.95" customHeight="1" x14ac:dyDescent="0.25">
      <c r="A1374" s="4" t="s">
        <v>19</v>
      </c>
      <c r="B1374" s="7" t="s">
        <v>82</v>
      </c>
      <c r="C1374" s="2" t="s">
        <v>1572</v>
      </c>
      <c r="D1374" s="7" t="s">
        <v>1161</v>
      </c>
      <c r="E1374" s="4" t="s">
        <v>689</v>
      </c>
      <c r="F1374" s="2">
        <v>7</v>
      </c>
      <c r="G1374" s="2" t="s">
        <v>1399</v>
      </c>
      <c r="H1374" s="2" t="s">
        <v>1400</v>
      </c>
      <c r="I1374" s="4" t="s">
        <v>60</v>
      </c>
      <c r="J1374" s="112">
        <f>IF($H1374&lt;&gt;"Y",0,ROUND(MIN(Dashboard!$R$24,IF(IFERROR(VLOOKUP($B1374,Dashboard!$Q$28:$S$60,2,FALSE),0)&gt;0,IFERROR(VLOOKUP($B1374,Dashboard!$Q$28:$S$60,2,FALSE),0),$Z1374*IF($U1374&lt;&gt;"",ROUND((Dashboard!$R$4/$U1374)*VLOOKUP($I1374,Dashboard!$Q$9:$R$13,2,FALSE)*IF(ISNUMBER(SEARCH("Duals",$B1374)),2,IF(ISNUMBER(SEARCH("Triples",$B1374)),3,IF(ISNUMBER(SEARCH("Quads",$B1374)),4,1))),2),ROUND(VLOOKUP($I1374,Dashboard!$Q$15:$R$20,2,FALSE)*IF($E1374="Red",Dashboard!$R$6,IF($E1374="Gold",Dashboard!$R$7,Dashboard!$R$5))*IF(ISNUMBER(SEARCH("Duals",$B1374)),2,IF(ISNUMBER(SEARCH("Triples",$B1374)),3,IF(ISNUMBER(SEARCH("Quads",$B1374)),4,1))),2))*IF(IFERROR(VLOOKUP($B1374,Dashboard!$Q$28:$S$60,3,FALSE),0)&gt;0,VLOOKUP($B1374,Dashboard!$Q$28:$S$60,3,FALSE),1))),0))</f>
        <v>143</v>
      </c>
      <c r="K1374" s="2" t="str">
        <f>IF('Base S2'!I74="","",'Base S2'!I74)</f>
        <v/>
      </c>
      <c r="L1374" s="2">
        <f t="shared" si="273"/>
        <v>0</v>
      </c>
      <c r="M1374" s="2">
        <f t="shared" si="274"/>
        <v>0</v>
      </c>
      <c r="N1374" s="2">
        <f t="shared" si="275"/>
        <v>0</v>
      </c>
      <c r="O1374" s="2">
        <f t="shared" si="276"/>
        <v>1</v>
      </c>
      <c r="P1374" s="112">
        <f t="shared" si="277"/>
        <v>0</v>
      </c>
      <c r="Q1374" s="112">
        <f t="shared" si="278"/>
        <v>0</v>
      </c>
      <c r="R1374" s="53"/>
      <c r="S1374" s="53" t="str">
        <f t="shared" si="279"/>
        <v>Base S2|The Seven Parallel - Season 2|173|The Seven</v>
      </c>
      <c r="T1374" s="57" t="str">
        <f>IF($S1374="","",IFERROR(VLOOKUP($S1374,'Pop Estimates (Non-#d)'!$N$2:$O$500,2,FALSE),""))</f>
        <v/>
      </c>
      <c r="U1374" s="57">
        <f t="shared" si="280"/>
        <v>7</v>
      </c>
      <c r="V1374" s="53" t="str">
        <f t="shared" si="281"/>
        <v/>
      </c>
      <c r="W1374" s="53" t="str">
        <f t="shared" si="282"/>
        <v/>
      </c>
      <c r="X1374" s="53" t="str">
        <f t="shared" si="283"/>
        <v/>
      </c>
      <c r="Y1374" s="57" t="str">
        <f>IF($X1374="","",IFERROR(VLOOKUP($X1374,'Char Popularity'!$A$2:$C$500,2,FALSE),""))</f>
        <v/>
      </c>
      <c r="Z1374" s="56">
        <f>IF($X1374="",1,IFERROR(VLOOKUP($X1374,'Char Popularity'!$A$2:$C$500,3,FALSE),1))</f>
        <v>1</v>
      </c>
      <c r="AA1374" s="62">
        <f>IF($H1374&lt;&gt;"Y",0,(IF($F1374&lt;&gt;"",ROUND(Dashboard!$R$4/$F1374,1),IF(AND($I1374="Base",$E1374="Base"),Dashboard!$R$5,IF(AND($I1374="Base",$E1374="Red"),Dashboard!$R$6,IF(AND($I1374="Base",$E1374="Gold"),Dashboard!$R$7,VLOOKUP($I1374,Dashboard!$Q$16:$R$21,2,FALSE)))))*VLOOKUP($I1374,Dashboard!$Q$9:$R$13,2,FALSE)*IF(AND($I1374="Auto",$F1374="",OR($B1374="Autographs Duals",$B1374="Autographs Triples",$B1374="Autographs Quads",$B1374="Autographs Quads (Inscribed)")),IF($B1374="Autographs Duals",2,IF($B1374="Autographs Triples",3,4)),1)))</f>
        <v>142.9</v>
      </c>
      <c r="AB1374" s="62">
        <f t="shared" si="284"/>
        <v>0</v>
      </c>
      <c r="AC1374" s="62">
        <f t="shared" si="285"/>
        <v>0</v>
      </c>
    </row>
    <row r="1375" spans="1:29" ht="42.95" customHeight="1" x14ac:dyDescent="0.25">
      <c r="A1375" s="4" t="s">
        <v>19</v>
      </c>
      <c r="B1375" s="7" t="s">
        <v>82</v>
      </c>
      <c r="C1375" s="2" t="s">
        <v>1573</v>
      </c>
      <c r="D1375" s="7" t="s">
        <v>1164</v>
      </c>
      <c r="E1375" s="4" t="s">
        <v>689</v>
      </c>
      <c r="F1375" s="2">
        <v>7</v>
      </c>
      <c r="G1375" s="2" t="s">
        <v>1399</v>
      </c>
      <c r="H1375" s="2" t="s">
        <v>1400</v>
      </c>
      <c r="I1375" s="4" t="s">
        <v>60</v>
      </c>
      <c r="J1375" s="112">
        <f>IF($H1375&lt;&gt;"Y",0,ROUND(MIN(Dashboard!$R$24,IF(IFERROR(VLOOKUP($B1375,Dashboard!$Q$28:$S$60,2,FALSE),0)&gt;0,IFERROR(VLOOKUP($B1375,Dashboard!$Q$28:$S$60,2,FALSE),0),$Z1375*IF($U1375&lt;&gt;"",ROUND((Dashboard!$R$4/$U1375)*VLOOKUP($I1375,Dashboard!$Q$9:$R$13,2,FALSE)*IF(ISNUMBER(SEARCH("Duals",$B1375)),2,IF(ISNUMBER(SEARCH("Triples",$B1375)),3,IF(ISNUMBER(SEARCH("Quads",$B1375)),4,1))),2),ROUND(VLOOKUP($I1375,Dashboard!$Q$15:$R$20,2,FALSE)*IF($E1375="Red",Dashboard!$R$6,IF($E1375="Gold",Dashboard!$R$7,Dashboard!$R$5))*IF(ISNUMBER(SEARCH("Duals",$B1375)),2,IF(ISNUMBER(SEARCH("Triples",$B1375)),3,IF(ISNUMBER(SEARCH("Quads",$B1375)),4,1))),2))*IF(IFERROR(VLOOKUP($B1375,Dashboard!$Q$28:$S$60,3,FALSE),0)&gt;0,VLOOKUP($B1375,Dashboard!$Q$28:$S$60,3,FALSE),1))),0))</f>
        <v>143</v>
      </c>
      <c r="K1375" s="2" t="str">
        <f>IF('Base S2'!I75="","",'Base S2'!I75)</f>
        <v/>
      </c>
      <c r="L1375" s="2">
        <f t="shared" si="273"/>
        <v>0</v>
      </c>
      <c r="M1375" s="2">
        <f t="shared" si="274"/>
        <v>0</v>
      </c>
      <c r="N1375" s="2">
        <f t="shared" si="275"/>
        <v>0</v>
      </c>
      <c r="O1375" s="2">
        <f t="shared" si="276"/>
        <v>1</v>
      </c>
      <c r="P1375" s="112">
        <f t="shared" si="277"/>
        <v>0</v>
      </c>
      <c r="Q1375" s="112">
        <f t="shared" si="278"/>
        <v>0</v>
      </c>
      <c r="R1375" s="53"/>
      <c r="S1375" s="53" t="str">
        <f t="shared" si="279"/>
        <v>Base S2|The Seven Parallel - Season 2|174|The Seven</v>
      </c>
      <c r="T1375" s="57" t="str">
        <f>IF($S1375="","",IFERROR(VLOOKUP($S1375,'Pop Estimates (Non-#d)'!$N$2:$O$500,2,FALSE),""))</f>
        <v/>
      </c>
      <c r="U1375" s="57">
        <f t="shared" si="280"/>
        <v>7</v>
      </c>
      <c r="V1375" s="53" t="str">
        <f t="shared" si="281"/>
        <v/>
      </c>
      <c r="W1375" s="53" t="str">
        <f t="shared" si="282"/>
        <v/>
      </c>
      <c r="X1375" s="53" t="str">
        <f t="shared" si="283"/>
        <v/>
      </c>
      <c r="Y1375" s="57" t="str">
        <f>IF($X1375="","",IFERROR(VLOOKUP($X1375,'Char Popularity'!$A$2:$C$500,2,FALSE),""))</f>
        <v/>
      </c>
      <c r="Z1375" s="56">
        <f>IF($X1375="",1,IFERROR(VLOOKUP($X1375,'Char Popularity'!$A$2:$C$500,3,FALSE),1))</f>
        <v>1</v>
      </c>
      <c r="AA1375" s="62">
        <f>IF($H1375&lt;&gt;"Y",0,(IF($F1375&lt;&gt;"",ROUND(Dashboard!$R$4/$F1375,1),IF(AND($I1375="Base",$E1375="Base"),Dashboard!$R$5,IF(AND($I1375="Base",$E1375="Red"),Dashboard!$R$6,IF(AND($I1375="Base",$E1375="Gold"),Dashboard!$R$7,VLOOKUP($I1375,Dashboard!$Q$16:$R$21,2,FALSE)))))*VLOOKUP($I1375,Dashboard!$Q$9:$R$13,2,FALSE)*IF(AND($I1375="Auto",$F1375="",OR($B1375="Autographs Duals",$B1375="Autographs Triples",$B1375="Autographs Quads",$B1375="Autographs Quads (Inscribed)")),IF($B1375="Autographs Duals",2,IF($B1375="Autographs Triples",3,4)),1)))</f>
        <v>142.9</v>
      </c>
      <c r="AB1375" s="62">
        <f t="shared" si="284"/>
        <v>0</v>
      </c>
      <c r="AC1375" s="62">
        <f t="shared" si="285"/>
        <v>0</v>
      </c>
    </row>
    <row r="1376" spans="1:29" ht="42.95" customHeight="1" x14ac:dyDescent="0.25">
      <c r="A1376" s="4" t="s">
        <v>19</v>
      </c>
      <c r="B1376" s="7" t="s">
        <v>82</v>
      </c>
      <c r="C1376" s="2" t="s">
        <v>1574</v>
      </c>
      <c r="D1376" s="7" t="s">
        <v>1165</v>
      </c>
      <c r="E1376" s="4" t="s">
        <v>689</v>
      </c>
      <c r="F1376" s="2">
        <v>7</v>
      </c>
      <c r="G1376" s="2" t="s">
        <v>1399</v>
      </c>
      <c r="H1376" s="2" t="s">
        <v>1400</v>
      </c>
      <c r="I1376" s="4" t="s">
        <v>60</v>
      </c>
      <c r="J1376" s="112">
        <f>IF($H1376&lt;&gt;"Y",0,ROUND(MIN(Dashboard!$R$24,IF(IFERROR(VLOOKUP($B1376,Dashboard!$Q$28:$S$60,2,FALSE),0)&gt;0,IFERROR(VLOOKUP($B1376,Dashboard!$Q$28:$S$60,2,FALSE),0),$Z1376*IF($U1376&lt;&gt;"",ROUND((Dashboard!$R$4/$U1376)*VLOOKUP($I1376,Dashboard!$Q$9:$R$13,2,FALSE)*IF(ISNUMBER(SEARCH("Duals",$B1376)),2,IF(ISNUMBER(SEARCH("Triples",$B1376)),3,IF(ISNUMBER(SEARCH("Quads",$B1376)),4,1))),2),ROUND(VLOOKUP($I1376,Dashboard!$Q$15:$R$20,2,FALSE)*IF($E1376="Red",Dashboard!$R$6,IF($E1376="Gold",Dashboard!$R$7,Dashboard!$R$5))*IF(ISNUMBER(SEARCH("Duals",$B1376)),2,IF(ISNUMBER(SEARCH("Triples",$B1376)),3,IF(ISNUMBER(SEARCH("Quads",$B1376)),4,1))),2))*IF(IFERROR(VLOOKUP($B1376,Dashboard!$Q$28:$S$60,3,FALSE),0)&gt;0,VLOOKUP($B1376,Dashboard!$Q$28:$S$60,3,FALSE),1))),0))</f>
        <v>143</v>
      </c>
      <c r="K1376" s="2" t="str">
        <f>IF('Base S2'!I76="","",'Base S2'!I76)</f>
        <v/>
      </c>
      <c r="L1376" s="2">
        <f t="shared" si="273"/>
        <v>0</v>
      </c>
      <c r="M1376" s="2">
        <f t="shared" si="274"/>
        <v>0</v>
      </c>
      <c r="N1376" s="2">
        <f t="shared" si="275"/>
        <v>0</v>
      </c>
      <c r="O1376" s="2">
        <f t="shared" si="276"/>
        <v>1</v>
      </c>
      <c r="P1376" s="112">
        <f t="shared" si="277"/>
        <v>0</v>
      </c>
      <c r="Q1376" s="112">
        <f t="shared" si="278"/>
        <v>0</v>
      </c>
      <c r="R1376" s="53"/>
      <c r="S1376" s="53" t="str">
        <f t="shared" si="279"/>
        <v>Base S2|The Seven Parallel - Season 2|175|The Seven</v>
      </c>
      <c r="T1376" s="57" t="str">
        <f>IF($S1376="","",IFERROR(VLOOKUP($S1376,'Pop Estimates (Non-#d)'!$N$2:$O$500,2,FALSE),""))</f>
        <v/>
      </c>
      <c r="U1376" s="57">
        <f t="shared" si="280"/>
        <v>7</v>
      </c>
      <c r="V1376" s="53" t="str">
        <f t="shared" si="281"/>
        <v/>
      </c>
      <c r="W1376" s="53" t="str">
        <f t="shared" si="282"/>
        <v/>
      </c>
      <c r="X1376" s="53" t="str">
        <f t="shared" si="283"/>
        <v/>
      </c>
      <c r="Y1376" s="57" t="str">
        <f>IF($X1376="","",IFERROR(VLOOKUP($X1376,'Char Popularity'!$A$2:$C$500,2,FALSE),""))</f>
        <v/>
      </c>
      <c r="Z1376" s="56">
        <f>IF($X1376="",1,IFERROR(VLOOKUP($X1376,'Char Popularity'!$A$2:$C$500,3,FALSE),1))</f>
        <v>1</v>
      </c>
      <c r="AA1376" s="62">
        <f>IF($H1376&lt;&gt;"Y",0,(IF($F1376&lt;&gt;"",ROUND(Dashboard!$R$4/$F1376,1),IF(AND($I1376="Base",$E1376="Base"),Dashboard!$R$5,IF(AND($I1376="Base",$E1376="Red"),Dashboard!$R$6,IF(AND($I1376="Base",$E1376="Gold"),Dashboard!$R$7,VLOOKUP($I1376,Dashboard!$Q$16:$R$21,2,FALSE)))))*VLOOKUP($I1376,Dashboard!$Q$9:$R$13,2,FALSE)*IF(AND($I1376="Auto",$F1376="",OR($B1376="Autographs Duals",$B1376="Autographs Triples",$B1376="Autographs Quads",$B1376="Autographs Quads (Inscribed)")),IF($B1376="Autographs Duals",2,IF($B1376="Autographs Triples",3,4)),1)))</f>
        <v>142.9</v>
      </c>
      <c r="AB1376" s="62">
        <f t="shared" si="284"/>
        <v>0</v>
      </c>
      <c r="AC1376" s="62">
        <f t="shared" si="285"/>
        <v>0</v>
      </c>
    </row>
    <row r="1377" spans="1:29" ht="42.95" customHeight="1" x14ac:dyDescent="0.25">
      <c r="A1377" s="4" t="s">
        <v>19</v>
      </c>
      <c r="B1377" s="7" t="s">
        <v>82</v>
      </c>
      <c r="C1377" s="2" t="s">
        <v>1575</v>
      </c>
      <c r="D1377" s="7" t="s">
        <v>1167</v>
      </c>
      <c r="E1377" s="4" t="s">
        <v>689</v>
      </c>
      <c r="F1377" s="2">
        <v>7</v>
      </c>
      <c r="G1377" s="2" t="s">
        <v>1399</v>
      </c>
      <c r="H1377" s="2" t="s">
        <v>1400</v>
      </c>
      <c r="I1377" s="4" t="s">
        <v>60</v>
      </c>
      <c r="J1377" s="112">
        <f>IF($H1377&lt;&gt;"Y",0,ROUND(MIN(Dashboard!$R$24,IF(IFERROR(VLOOKUP($B1377,Dashboard!$Q$28:$S$60,2,FALSE),0)&gt;0,IFERROR(VLOOKUP($B1377,Dashboard!$Q$28:$S$60,2,FALSE),0),$Z1377*IF($U1377&lt;&gt;"",ROUND((Dashboard!$R$4/$U1377)*VLOOKUP($I1377,Dashboard!$Q$9:$R$13,2,FALSE)*IF(ISNUMBER(SEARCH("Duals",$B1377)),2,IF(ISNUMBER(SEARCH("Triples",$B1377)),3,IF(ISNUMBER(SEARCH("Quads",$B1377)),4,1))),2),ROUND(VLOOKUP($I1377,Dashboard!$Q$15:$R$20,2,FALSE)*IF($E1377="Red",Dashboard!$R$6,IF($E1377="Gold",Dashboard!$R$7,Dashboard!$R$5))*IF(ISNUMBER(SEARCH("Duals",$B1377)),2,IF(ISNUMBER(SEARCH("Triples",$B1377)),3,IF(ISNUMBER(SEARCH("Quads",$B1377)),4,1))),2))*IF(IFERROR(VLOOKUP($B1377,Dashboard!$Q$28:$S$60,3,FALSE),0)&gt;0,VLOOKUP($B1377,Dashboard!$Q$28:$S$60,3,FALSE),1))),0))</f>
        <v>143</v>
      </c>
      <c r="K1377" s="2" t="str">
        <f>IF('Base S2'!I77="","",'Base S2'!I77)</f>
        <v/>
      </c>
      <c r="L1377" s="2">
        <f t="shared" si="273"/>
        <v>0</v>
      </c>
      <c r="M1377" s="2">
        <f t="shared" si="274"/>
        <v>0</v>
      </c>
      <c r="N1377" s="2">
        <f t="shared" si="275"/>
        <v>0</v>
      </c>
      <c r="O1377" s="2">
        <f t="shared" si="276"/>
        <v>1</v>
      </c>
      <c r="P1377" s="112">
        <f t="shared" si="277"/>
        <v>0</v>
      </c>
      <c r="Q1377" s="112">
        <f t="shared" si="278"/>
        <v>0</v>
      </c>
      <c r="R1377" s="53"/>
      <c r="S1377" s="53" t="str">
        <f t="shared" si="279"/>
        <v>Base S2|The Seven Parallel - Season 2|176|The Seven</v>
      </c>
      <c r="T1377" s="57" t="str">
        <f>IF($S1377="","",IFERROR(VLOOKUP($S1377,'Pop Estimates (Non-#d)'!$N$2:$O$500,2,FALSE),""))</f>
        <v/>
      </c>
      <c r="U1377" s="57">
        <f t="shared" si="280"/>
        <v>7</v>
      </c>
      <c r="V1377" s="53" t="str">
        <f t="shared" si="281"/>
        <v/>
      </c>
      <c r="W1377" s="53" t="str">
        <f t="shared" si="282"/>
        <v/>
      </c>
      <c r="X1377" s="53" t="str">
        <f t="shared" si="283"/>
        <v/>
      </c>
      <c r="Y1377" s="57" t="str">
        <f>IF($X1377="","",IFERROR(VLOOKUP($X1377,'Char Popularity'!$A$2:$C$500,2,FALSE),""))</f>
        <v/>
      </c>
      <c r="Z1377" s="56">
        <f>IF($X1377="",1,IFERROR(VLOOKUP($X1377,'Char Popularity'!$A$2:$C$500,3,FALSE),1))</f>
        <v>1</v>
      </c>
      <c r="AA1377" s="62">
        <f>IF($H1377&lt;&gt;"Y",0,(IF($F1377&lt;&gt;"",ROUND(Dashboard!$R$4/$F1377,1),IF(AND($I1377="Base",$E1377="Base"),Dashboard!$R$5,IF(AND($I1377="Base",$E1377="Red"),Dashboard!$R$6,IF(AND($I1377="Base",$E1377="Gold"),Dashboard!$R$7,VLOOKUP($I1377,Dashboard!$Q$16:$R$21,2,FALSE)))))*VLOOKUP($I1377,Dashboard!$Q$9:$R$13,2,FALSE)*IF(AND($I1377="Auto",$F1377="",OR($B1377="Autographs Duals",$B1377="Autographs Triples",$B1377="Autographs Quads",$B1377="Autographs Quads (Inscribed)")),IF($B1377="Autographs Duals",2,IF($B1377="Autographs Triples",3,4)),1)))</f>
        <v>142.9</v>
      </c>
      <c r="AB1377" s="62">
        <f t="shared" si="284"/>
        <v>0</v>
      </c>
      <c r="AC1377" s="62">
        <f t="shared" si="285"/>
        <v>0</v>
      </c>
    </row>
    <row r="1378" spans="1:29" ht="42.95" customHeight="1" x14ac:dyDescent="0.25">
      <c r="A1378" s="4" t="s">
        <v>19</v>
      </c>
      <c r="B1378" s="7" t="s">
        <v>82</v>
      </c>
      <c r="C1378" s="2" t="s">
        <v>1576</v>
      </c>
      <c r="D1378" s="7" t="s">
        <v>1168</v>
      </c>
      <c r="E1378" s="4" t="s">
        <v>689</v>
      </c>
      <c r="F1378" s="2">
        <v>7</v>
      </c>
      <c r="G1378" s="2" t="s">
        <v>1399</v>
      </c>
      <c r="H1378" s="2" t="s">
        <v>1400</v>
      </c>
      <c r="I1378" s="4" t="s">
        <v>60</v>
      </c>
      <c r="J1378" s="112">
        <f>IF($H1378&lt;&gt;"Y",0,ROUND(MIN(Dashboard!$R$24,IF(IFERROR(VLOOKUP($B1378,Dashboard!$Q$28:$S$60,2,FALSE),0)&gt;0,IFERROR(VLOOKUP($B1378,Dashboard!$Q$28:$S$60,2,FALSE),0),$Z1378*IF($U1378&lt;&gt;"",ROUND((Dashboard!$R$4/$U1378)*VLOOKUP($I1378,Dashboard!$Q$9:$R$13,2,FALSE)*IF(ISNUMBER(SEARCH("Duals",$B1378)),2,IF(ISNUMBER(SEARCH("Triples",$B1378)),3,IF(ISNUMBER(SEARCH("Quads",$B1378)),4,1))),2),ROUND(VLOOKUP($I1378,Dashboard!$Q$15:$R$20,2,FALSE)*IF($E1378="Red",Dashboard!$R$6,IF($E1378="Gold",Dashboard!$R$7,Dashboard!$R$5))*IF(ISNUMBER(SEARCH("Duals",$B1378)),2,IF(ISNUMBER(SEARCH("Triples",$B1378)),3,IF(ISNUMBER(SEARCH("Quads",$B1378)),4,1))),2))*IF(IFERROR(VLOOKUP($B1378,Dashboard!$Q$28:$S$60,3,FALSE),0)&gt;0,VLOOKUP($B1378,Dashboard!$Q$28:$S$60,3,FALSE),1))),0))</f>
        <v>143</v>
      </c>
      <c r="K1378" s="2" t="str">
        <f>IF('Base S2'!I78="","",'Base S2'!I78)</f>
        <v>C 7/7</v>
      </c>
      <c r="L1378" s="2">
        <f t="shared" si="273"/>
        <v>1</v>
      </c>
      <c r="M1378" s="2">
        <f t="shared" si="274"/>
        <v>0</v>
      </c>
      <c r="N1378" s="2">
        <f t="shared" si="275"/>
        <v>1</v>
      </c>
      <c r="O1378" s="2">
        <f t="shared" si="276"/>
        <v>0</v>
      </c>
      <c r="P1378" s="112">
        <f t="shared" si="277"/>
        <v>143</v>
      </c>
      <c r="Q1378" s="112">
        <f t="shared" si="278"/>
        <v>0</v>
      </c>
      <c r="R1378" s="53"/>
      <c r="S1378" s="53" t="str">
        <f t="shared" si="279"/>
        <v>Base S2|The Seven Parallel - Season 2|177|The Seven</v>
      </c>
      <c r="T1378" s="57" t="str">
        <f>IF($S1378="","",IFERROR(VLOOKUP($S1378,'Pop Estimates (Non-#d)'!$N$2:$O$500,2,FALSE),""))</f>
        <v/>
      </c>
      <c r="U1378" s="57">
        <f t="shared" si="280"/>
        <v>7</v>
      </c>
      <c r="V1378" s="53" t="str">
        <f t="shared" si="281"/>
        <v/>
      </c>
      <c r="W1378" s="53" t="str">
        <f t="shared" si="282"/>
        <v/>
      </c>
      <c r="X1378" s="53" t="str">
        <f t="shared" si="283"/>
        <v/>
      </c>
      <c r="Y1378" s="57" t="str">
        <f>IF($X1378="","",IFERROR(VLOOKUP($X1378,'Char Popularity'!$A$2:$C$500,2,FALSE),""))</f>
        <v/>
      </c>
      <c r="Z1378" s="56">
        <f>IF($X1378="",1,IFERROR(VLOOKUP($X1378,'Char Popularity'!$A$2:$C$500,3,FALSE),1))</f>
        <v>1</v>
      </c>
      <c r="AA1378" s="62">
        <f>IF($H1378&lt;&gt;"Y",0,(IF($F1378&lt;&gt;"",ROUND(Dashboard!$R$4/$F1378,1),IF(AND($I1378="Base",$E1378="Base"),Dashboard!$R$5,IF(AND($I1378="Base",$E1378="Red"),Dashboard!$R$6,IF(AND($I1378="Base",$E1378="Gold"),Dashboard!$R$7,VLOOKUP($I1378,Dashboard!$Q$16:$R$21,2,FALSE)))))*VLOOKUP($I1378,Dashboard!$Q$9:$R$13,2,FALSE)*IF(AND($I1378="Auto",$F1378="",OR($B1378="Autographs Duals",$B1378="Autographs Triples",$B1378="Autographs Quads",$B1378="Autographs Quads (Inscribed)")),IF($B1378="Autographs Duals",2,IF($B1378="Autographs Triples",3,4)),1)))</f>
        <v>142.9</v>
      </c>
      <c r="AB1378" s="62">
        <f t="shared" si="284"/>
        <v>142.9</v>
      </c>
      <c r="AC1378" s="62">
        <f t="shared" si="285"/>
        <v>0</v>
      </c>
    </row>
    <row r="1379" spans="1:29" ht="42.95" customHeight="1" x14ac:dyDescent="0.25">
      <c r="A1379" s="4" t="s">
        <v>19</v>
      </c>
      <c r="B1379" s="7" t="s">
        <v>82</v>
      </c>
      <c r="C1379" s="2" t="s">
        <v>1577</v>
      </c>
      <c r="D1379" s="7" t="s">
        <v>1169</v>
      </c>
      <c r="E1379" s="4" t="s">
        <v>689</v>
      </c>
      <c r="F1379" s="2">
        <v>7</v>
      </c>
      <c r="G1379" s="2" t="s">
        <v>1399</v>
      </c>
      <c r="H1379" s="2" t="s">
        <v>1400</v>
      </c>
      <c r="I1379" s="4" t="s">
        <v>60</v>
      </c>
      <c r="J1379" s="112">
        <f>IF($H1379&lt;&gt;"Y",0,ROUND(MIN(Dashboard!$R$24,IF(IFERROR(VLOOKUP($B1379,Dashboard!$Q$28:$S$60,2,FALSE),0)&gt;0,IFERROR(VLOOKUP($B1379,Dashboard!$Q$28:$S$60,2,FALSE),0),$Z1379*IF($U1379&lt;&gt;"",ROUND((Dashboard!$R$4/$U1379)*VLOOKUP($I1379,Dashboard!$Q$9:$R$13,2,FALSE)*IF(ISNUMBER(SEARCH("Duals",$B1379)),2,IF(ISNUMBER(SEARCH("Triples",$B1379)),3,IF(ISNUMBER(SEARCH("Quads",$B1379)),4,1))),2),ROUND(VLOOKUP($I1379,Dashboard!$Q$15:$R$20,2,FALSE)*IF($E1379="Red",Dashboard!$R$6,IF($E1379="Gold",Dashboard!$R$7,Dashboard!$R$5))*IF(ISNUMBER(SEARCH("Duals",$B1379)),2,IF(ISNUMBER(SEARCH("Triples",$B1379)),3,IF(ISNUMBER(SEARCH("Quads",$B1379)),4,1))),2))*IF(IFERROR(VLOOKUP($B1379,Dashboard!$Q$28:$S$60,3,FALSE),0)&gt;0,VLOOKUP($B1379,Dashboard!$Q$28:$S$60,3,FALSE),1))),0))</f>
        <v>143</v>
      </c>
      <c r="K1379" s="2" t="str">
        <f>IF('Base S2'!I79="","",'Base S2'!I79)</f>
        <v/>
      </c>
      <c r="L1379" s="2">
        <f t="shared" si="273"/>
        <v>0</v>
      </c>
      <c r="M1379" s="2">
        <f t="shared" si="274"/>
        <v>0</v>
      </c>
      <c r="N1379" s="2">
        <f t="shared" si="275"/>
        <v>0</v>
      </c>
      <c r="O1379" s="2">
        <f t="shared" si="276"/>
        <v>1</v>
      </c>
      <c r="P1379" s="112">
        <f t="shared" si="277"/>
        <v>0</v>
      </c>
      <c r="Q1379" s="112">
        <f t="shared" si="278"/>
        <v>0</v>
      </c>
      <c r="R1379" s="53"/>
      <c r="S1379" s="53" t="str">
        <f t="shared" si="279"/>
        <v>Base S2|The Seven Parallel - Season 2|178|The Seven</v>
      </c>
      <c r="T1379" s="57" t="str">
        <f>IF($S1379="","",IFERROR(VLOOKUP($S1379,'Pop Estimates (Non-#d)'!$N$2:$O$500,2,FALSE),""))</f>
        <v/>
      </c>
      <c r="U1379" s="57">
        <f t="shared" si="280"/>
        <v>7</v>
      </c>
      <c r="V1379" s="53" t="str">
        <f t="shared" si="281"/>
        <v/>
      </c>
      <c r="W1379" s="53" t="str">
        <f t="shared" si="282"/>
        <v/>
      </c>
      <c r="X1379" s="53" t="str">
        <f t="shared" si="283"/>
        <v/>
      </c>
      <c r="Y1379" s="57" t="str">
        <f>IF($X1379="","",IFERROR(VLOOKUP($X1379,'Char Popularity'!$A$2:$C$500,2,FALSE),""))</f>
        <v/>
      </c>
      <c r="Z1379" s="56">
        <f>IF($X1379="",1,IFERROR(VLOOKUP($X1379,'Char Popularity'!$A$2:$C$500,3,FALSE),1))</f>
        <v>1</v>
      </c>
      <c r="AA1379" s="62">
        <f>IF($H1379&lt;&gt;"Y",0,(IF($F1379&lt;&gt;"",ROUND(Dashboard!$R$4/$F1379,1),IF(AND($I1379="Base",$E1379="Base"),Dashboard!$R$5,IF(AND($I1379="Base",$E1379="Red"),Dashboard!$R$6,IF(AND($I1379="Base",$E1379="Gold"),Dashboard!$R$7,VLOOKUP($I1379,Dashboard!$Q$16:$R$21,2,FALSE)))))*VLOOKUP($I1379,Dashboard!$Q$9:$R$13,2,FALSE)*IF(AND($I1379="Auto",$F1379="",OR($B1379="Autographs Duals",$B1379="Autographs Triples",$B1379="Autographs Quads",$B1379="Autographs Quads (Inscribed)")),IF($B1379="Autographs Duals",2,IF($B1379="Autographs Triples",3,4)),1)))</f>
        <v>142.9</v>
      </c>
      <c r="AB1379" s="62">
        <f t="shared" si="284"/>
        <v>0</v>
      </c>
      <c r="AC1379" s="62">
        <f t="shared" si="285"/>
        <v>0</v>
      </c>
    </row>
    <row r="1380" spans="1:29" ht="42.95" customHeight="1" x14ac:dyDescent="0.25">
      <c r="A1380" s="4" t="s">
        <v>19</v>
      </c>
      <c r="B1380" s="7" t="s">
        <v>82</v>
      </c>
      <c r="C1380" s="2" t="s">
        <v>1578</v>
      </c>
      <c r="D1380" s="7" t="s">
        <v>1170</v>
      </c>
      <c r="E1380" s="4" t="s">
        <v>689</v>
      </c>
      <c r="F1380" s="2">
        <v>7</v>
      </c>
      <c r="G1380" s="2" t="s">
        <v>1399</v>
      </c>
      <c r="H1380" s="2" t="s">
        <v>1400</v>
      </c>
      <c r="I1380" s="4" t="s">
        <v>60</v>
      </c>
      <c r="J1380" s="112">
        <f>IF($H1380&lt;&gt;"Y",0,ROUND(MIN(Dashboard!$R$24,IF(IFERROR(VLOOKUP($B1380,Dashboard!$Q$28:$S$60,2,FALSE),0)&gt;0,IFERROR(VLOOKUP($B1380,Dashboard!$Q$28:$S$60,2,FALSE),0),$Z1380*IF($U1380&lt;&gt;"",ROUND((Dashboard!$R$4/$U1380)*VLOOKUP($I1380,Dashboard!$Q$9:$R$13,2,FALSE)*IF(ISNUMBER(SEARCH("Duals",$B1380)),2,IF(ISNUMBER(SEARCH("Triples",$B1380)),3,IF(ISNUMBER(SEARCH("Quads",$B1380)),4,1))),2),ROUND(VLOOKUP($I1380,Dashboard!$Q$15:$R$20,2,FALSE)*IF($E1380="Red",Dashboard!$R$6,IF($E1380="Gold",Dashboard!$R$7,Dashboard!$R$5))*IF(ISNUMBER(SEARCH("Duals",$B1380)),2,IF(ISNUMBER(SEARCH("Triples",$B1380)),3,IF(ISNUMBER(SEARCH("Quads",$B1380)),4,1))),2))*IF(IFERROR(VLOOKUP($B1380,Dashboard!$Q$28:$S$60,3,FALSE),0)&gt;0,VLOOKUP($B1380,Dashboard!$Q$28:$S$60,3,FALSE),1))),0))</f>
        <v>143</v>
      </c>
      <c r="K1380" s="2" t="str">
        <f>IF('Base S2'!I80="","",'Base S2'!I80)</f>
        <v/>
      </c>
      <c r="L1380" s="2">
        <f t="shared" si="273"/>
        <v>0</v>
      </c>
      <c r="M1380" s="2">
        <f t="shared" si="274"/>
        <v>0</v>
      </c>
      <c r="N1380" s="2">
        <f t="shared" si="275"/>
        <v>0</v>
      </c>
      <c r="O1380" s="2">
        <f t="shared" si="276"/>
        <v>1</v>
      </c>
      <c r="P1380" s="112">
        <f t="shared" si="277"/>
        <v>0</v>
      </c>
      <c r="Q1380" s="112">
        <f t="shared" si="278"/>
        <v>0</v>
      </c>
      <c r="R1380" s="53"/>
      <c r="S1380" s="53" t="str">
        <f t="shared" si="279"/>
        <v>Base S2|The Seven Parallel - Season 2|179|The Seven</v>
      </c>
      <c r="T1380" s="57" t="str">
        <f>IF($S1380="","",IFERROR(VLOOKUP($S1380,'Pop Estimates (Non-#d)'!$N$2:$O$500,2,FALSE),""))</f>
        <v/>
      </c>
      <c r="U1380" s="57">
        <f t="shared" si="280"/>
        <v>7</v>
      </c>
      <c r="V1380" s="53" t="str">
        <f t="shared" si="281"/>
        <v/>
      </c>
      <c r="W1380" s="53" t="str">
        <f t="shared" si="282"/>
        <v/>
      </c>
      <c r="X1380" s="53" t="str">
        <f t="shared" si="283"/>
        <v/>
      </c>
      <c r="Y1380" s="57" t="str">
        <f>IF($X1380="","",IFERROR(VLOOKUP($X1380,'Char Popularity'!$A$2:$C$500,2,FALSE),""))</f>
        <v/>
      </c>
      <c r="Z1380" s="56">
        <f>IF($X1380="",1,IFERROR(VLOOKUP($X1380,'Char Popularity'!$A$2:$C$500,3,FALSE),1))</f>
        <v>1</v>
      </c>
      <c r="AA1380" s="62">
        <f>IF($H1380&lt;&gt;"Y",0,(IF($F1380&lt;&gt;"",ROUND(Dashboard!$R$4/$F1380,1),IF(AND($I1380="Base",$E1380="Base"),Dashboard!$R$5,IF(AND($I1380="Base",$E1380="Red"),Dashboard!$R$6,IF(AND($I1380="Base",$E1380="Gold"),Dashboard!$R$7,VLOOKUP($I1380,Dashboard!$Q$16:$R$21,2,FALSE)))))*VLOOKUP($I1380,Dashboard!$Q$9:$R$13,2,FALSE)*IF(AND($I1380="Auto",$F1380="",OR($B1380="Autographs Duals",$B1380="Autographs Triples",$B1380="Autographs Quads",$B1380="Autographs Quads (Inscribed)")),IF($B1380="Autographs Duals",2,IF($B1380="Autographs Triples",3,4)),1)))</f>
        <v>142.9</v>
      </c>
      <c r="AB1380" s="62">
        <f t="shared" si="284"/>
        <v>0</v>
      </c>
      <c r="AC1380" s="62">
        <f t="shared" si="285"/>
        <v>0</v>
      </c>
    </row>
    <row r="1381" spans="1:29" ht="42.95" customHeight="1" x14ac:dyDescent="0.25">
      <c r="A1381" s="4" t="s">
        <v>19</v>
      </c>
      <c r="B1381" s="7" t="s">
        <v>82</v>
      </c>
      <c r="C1381" s="2" t="s">
        <v>1579</v>
      </c>
      <c r="D1381" s="7" t="s">
        <v>1172</v>
      </c>
      <c r="E1381" s="4" t="s">
        <v>689</v>
      </c>
      <c r="F1381" s="2">
        <v>7</v>
      </c>
      <c r="G1381" s="2" t="s">
        <v>1399</v>
      </c>
      <c r="H1381" s="2" t="s">
        <v>1400</v>
      </c>
      <c r="I1381" s="4" t="s">
        <v>60</v>
      </c>
      <c r="J1381" s="112">
        <f>IF($H1381&lt;&gt;"Y",0,ROUND(MIN(Dashboard!$R$24,IF(IFERROR(VLOOKUP($B1381,Dashboard!$Q$28:$S$60,2,FALSE),0)&gt;0,IFERROR(VLOOKUP($B1381,Dashboard!$Q$28:$S$60,2,FALSE),0),$Z1381*IF($U1381&lt;&gt;"",ROUND((Dashboard!$R$4/$U1381)*VLOOKUP($I1381,Dashboard!$Q$9:$R$13,2,FALSE)*IF(ISNUMBER(SEARCH("Duals",$B1381)),2,IF(ISNUMBER(SEARCH("Triples",$B1381)),3,IF(ISNUMBER(SEARCH("Quads",$B1381)),4,1))),2),ROUND(VLOOKUP($I1381,Dashboard!$Q$15:$R$20,2,FALSE)*IF($E1381="Red",Dashboard!$R$6,IF($E1381="Gold",Dashboard!$R$7,Dashboard!$R$5))*IF(ISNUMBER(SEARCH("Duals",$B1381)),2,IF(ISNUMBER(SEARCH("Triples",$B1381)),3,IF(ISNUMBER(SEARCH("Quads",$B1381)),4,1))),2))*IF(IFERROR(VLOOKUP($B1381,Dashboard!$Q$28:$S$60,3,FALSE),0)&gt;0,VLOOKUP($B1381,Dashboard!$Q$28:$S$60,3,FALSE),1))),0))</f>
        <v>143</v>
      </c>
      <c r="K1381" s="2" t="str">
        <f>IF('Base S2'!I81="","",'Base S2'!I81)</f>
        <v/>
      </c>
      <c r="L1381" s="2">
        <f t="shared" si="273"/>
        <v>0</v>
      </c>
      <c r="M1381" s="2">
        <f t="shared" si="274"/>
        <v>0</v>
      </c>
      <c r="N1381" s="2">
        <f t="shared" si="275"/>
        <v>0</v>
      </c>
      <c r="O1381" s="2">
        <f t="shared" si="276"/>
        <v>1</v>
      </c>
      <c r="P1381" s="112">
        <f t="shared" si="277"/>
        <v>0</v>
      </c>
      <c r="Q1381" s="112">
        <f t="shared" si="278"/>
        <v>0</v>
      </c>
      <c r="R1381" s="53"/>
      <c r="S1381" s="53" t="str">
        <f t="shared" si="279"/>
        <v>Base S2|The Seven Parallel - Season 2|180|The Seven</v>
      </c>
      <c r="T1381" s="57" t="str">
        <f>IF($S1381="","",IFERROR(VLOOKUP($S1381,'Pop Estimates (Non-#d)'!$N$2:$O$500,2,FALSE),""))</f>
        <v/>
      </c>
      <c r="U1381" s="57">
        <f t="shared" si="280"/>
        <v>7</v>
      </c>
      <c r="V1381" s="53" t="str">
        <f t="shared" si="281"/>
        <v/>
      </c>
      <c r="W1381" s="53" t="str">
        <f t="shared" si="282"/>
        <v/>
      </c>
      <c r="X1381" s="53" t="str">
        <f t="shared" si="283"/>
        <v/>
      </c>
      <c r="Y1381" s="57" t="str">
        <f>IF($X1381="","",IFERROR(VLOOKUP($X1381,'Char Popularity'!$A$2:$C$500,2,FALSE),""))</f>
        <v/>
      </c>
      <c r="Z1381" s="56">
        <f>IF($X1381="",1,IFERROR(VLOOKUP($X1381,'Char Popularity'!$A$2:$C$500,3,FALSE),1))</f>
        <v>1</v>
      </c>
      <c r="AA1381" s="62">
        <f>IF($H1381&lt;&gt;"Y",0,(IF($F1381&lt;&gt;"",ROUND(Dashboard!$R$4/$F1381,1),IF(AND($I1381="Base",$E1381="Base"),Dashboard!$R$5,IF(AND($I1381="Base",$E1381="Red"),Dashboard!$R$6,IF(AND($I1381="Base",$E1381="Gold"),Dashboard!$R$7,VLOOKUP($I1381,Dashboard!$Q$16:$R$21,2,FALSE)))))*VLOOKUP($I1381,Dashboard!$Q$9:$R$13,2,FALSE)*IF(AND($I1381="Auto",$F1381="",OR($B1381="Autographs Duals",$B1381="Autographs Triples",$B1381="Autographs Quads",$B1381="Autographs Quads (Inscribed)")),IF($B1381="Autographs Duals",2,IF($B1381="Autographs Triples",3,4)),1)))</f>
        <v>142.9</v>
      </c>
      <c r="AB1381" s="62">
        <f t="shared" si="284"/>
        <v>0</v>
      </c>
      <c r="AC1381" s="62">
        <f t="shared" si="285"/>
        <v>0</v>
      </c>
    </row>
    <row r="1382" spans="1:29" ht="42.95" customHeight="1" x14ac:dyDescent="0.25">
      <c r="A1382" s="4" t="s">
        <v>19</v>
      </c>
      <c r="B1382" s="7" t="s">
        <v>82</v>
      </c>
      <c r="C1382" s="2" t="s">
        <v>1580</v>
      </c>
      <c r="D1382" s="7" t="s">
        <v>1173</v>
      </c>
      <c r="E1382" s="4" t="s">
        <v>689</v>
      </c>
      <c r="F1382" s="2">
        <v>7</v>
      </c>
      <c r="G1382" s="2" t="s">
        <v>1399</v>
      </c>
      <c r="H1382" s="2" t="s">
        <v>1400</v>
      </c>
      <c r="I1382" s="4" t="s">
        <v>60</v>
      </c>
      <c r="J1382" s="112">
        <f>IF($H1382&lt;&gt;"Y",0,ROUND(MIN(Dashboard!$R$24,IF(IFERROR(VLOOKUP($B1382,Dashboard!$Q$28:$S$60,2,FALSE),0)&gt;0,IFERROR(VLOOKUP($B1382,Dashboard!$Q$28:$S$60,2,FALSE),0),$Z1382*IF($U1382&lt;&gt;"",ROUND((Dashboard!$R$4/$U1382)*VLOOKUP($I1382,Dashboard!$Q$9:$R$13,2,FALSE)*IF(ISNUMBER(SEARCH("Duals",$B1382)),2,IF(ISNUMBER(SEARCH("Triples",$B1382)),3,IF(ISNUMBER(SEARCH("Quads",$B1382)),4,1))),2),ROUND(VLOOKUP($I1382,Dashboard!$Q$15:$R$20,2,FALSE)*IF($E1382="Red",Dashboard!$R$6,IF($E1382="Gold",Dashboard!$R$7,Dashboard!$R$5))*IF(ISNUMBER(SEARCH("Duals",$B1382)),2,IF(ISNUMBER(SEARCH("Triples",$B1382)),3,IF(ISNUMBER(SEARCH("Quads",$B1382)),4,1))),2))*IF(IFERROR(VLOOKUP($B1382,Dashboard!$Q$28:$S$60,3,FALSE),0)&gt;0,VLOOKUP($B1382,Dashboard!$Q$28:$S$60,3,FALSE),1))),0))</f>
        <v>143</v>
      </c>
      <c r="K1382" s="2" t="str">
        <f>IF('Base S2'!I82="","",'Base S2'!I82)</f>
        <v/>
      </c>
      <c r="L1382" s="2">
        <f t="shared" si="273"/>
        <v>0</v>
      </c>
      <c r="M1382" s="2">
        <f t="shared" si="274"/>
        <v>0</v>
      </c>
      <c r="N1382" s="2">
        <f t="shared" si="275"/>
        <v>0</v>
      </c>
      <c r="O1382" s="2">
        <f t="shared" si="276"/>
        <v>1</v>
      </c>
      <c r="P1382" s="112">
        <f t="shared" si="277"/>
        <v>0</v>
      </c>
      <c r="Q1382" s="112">
        <f t="shared" si="278"/>
        <v>0</v>
      </c>
      <c r="R1382" s="53"/>
      <c r="S1382" s="53" t="str">
        <f t="shared" si="279"/>
        <v>Base S2|The Seven Parallel - Season 2|181|The Seven</v>
      </c>
      <c r="T1382" s="57" t="str">
        <f>IF($S1382="","",IFERROR(VLOOKUP($S1382,'Pop Estimates (Non-#d)'!$N$2:$O$500,2,FALSE),""))</f>
        <v/>
      </c>
      <c r="U1382" s="57">
        <f t="shared" si="280"/>
        <v>7</v>
      </c>
      <c r="V1382" s="53" t="str">
        <f t="shared" si="281"/>
        <v/>
      </c>
      <c r="W1382" s="53" t="str">
        <f t="shared" si="282"/>
        <v/>
      </c>
      <c r="X1382" s="53" t="str">
        <f t="shared" si="283"/>
        <v/>
      </c>
      <c r="Y1382" s="57" t="str">
        <f>IF($X1382="","",IFERROR(VLOOKUP($X1382,'Char Popularity'!$A$2:$C$500,2,FALSE),""))</f>
        <v/>
      </c>
      <c r="Z1382" s="56">
        <f>IF($X1382="",1,IFERROR(VLOOKUP($X1382,'Char Popularity'!$A$2:$C$500,3,FALSE),1))</f>
        <v>1</v>
      </c>
      <c r="AA1382" s="62">
        <f>IF($H1382&lt;&gt;"Y",0,(IF($F1382&lt;&gt;"",ROUND(Dashboard!$R$4/$F1382,1),IF(AND($I1382="Base",$E1382="Base"),Dashboard!$R$5,IF(AND($I1382="Base",$E1382="Red"),Dashboard!$R$6,IF(AND($I1382="Base",$E1382="Gold"),Dashboard!$R$7,VLOOKUP($I1382,Dashboard!$Q$16:$R$21,2,FALSE)))))*VLOOKUP($I1382,Dashboard!$Q$9:$R$13,2,FALSE)*IF(AND($I1382="Auto",$F1382="",OR($B1382="Autographs Duals",$B1382="Autographs Triples",$B1382="Autographs Quads",$B1382="Autographs Quads (Inscribed)")),IF($B1382="Autographs Duals",2,IF($B1382="Autographs Triples",3,4)),1)))</f>
        <v>142.9</v>
      </c>
      <c r="AB1382" s="62">
        <f t="shared" si="284"/>
        <v>0</v>
      </c>
      <c r="AC1382" s="62">
        <f t="shared" si="285"/>
        <v>0</v>
      </c>
    </row>
    <row r="1383" spans="1:29" ht="42.95" customHeight="1" x14ac:dyDescent="0.25">
      <c r="A1383" s="4" t="s">
        <v>19</v>
      </c>
      <c r="B1383" s="7" t="s">
        <v>82</v>
      </c>
      <c r="C1383" s="2" t="s">
        <v>1581</v>
      </c>
      <c r="D1383" s="7" t="s">
        <v>1174</v>
      </c>
      <c r="E1383" s="4" t="s">
        <v>689</v>
      </c>
      <c r="F1383" s="2">
        <v>7</v>
      </c>
      <c r="G1383" s="2" t="s">
        <v>1399</v>
      </c>
      <c r="H1383" s="2" t="s">
        <v>1400</v>
      </c>
      <c r="I1383" s="4" t="s">
        <v>60</v>
      </c>
      <c r="J1383" s="112">
        <f>IF($H1383&lt;&gt;"Y",0,ROUND(MIN(Dashboard!$R$24,IF(IFERROR(VLOOKUP($B1383,Dashboard!$Q$28:$S$60,2,FALSE),0)&gt;0,IFERROR(VLOOKUP($B1383,Dashboard!$Q$28:$S$60,2,FALSE),0),$Z1383*IF($U1383&lt;&gt;"",ROUND((Dashboard!$R$4/$U1383)*VLOOKUP($I1383,Dashboard!$Q$9:$R$13,2,FALSE)*IF(ISNUMBER(SEARCH("Duals",$B1383)),2,IF(ISNUMBER(SEARCH("Triples",$B1383)),3,IF(ISNUMBER(SEARCH("Quads",$B1383)),4,1))),2),ROUND(VLOOKUP($I1383,Dashboard!$Q$15:$R$20,2,FALSE)*IF($E1383="Red",Dashboard!$R$6,IF($E1383="Gold",Dashboard!$R$7,Dashboard!$R$5))*IF(ISNUMBER(SEARCH("Duals",$B1383)),2,IF(ISNUMBER(SEARCH("Triples",$B1383)),3,IF(ISNUMBER(SEARCH("Quads",$B1383)),4,1))),2))*IF(IFERROR(VLOOKUP($B1383,Dashboard!$Q$28:$S$60,3,FALSE),0)&gt;0,VLOOKUP($B1383,Dashboard!$Q$28:$S$60,3,FALSE),1))),0))</f>
        <v>143</v>
      </c>
      <c r="K1383" s="2" t="str">
        <f>IF('Base S2'!I83="","",'Base S2'!I83)</f>
        <v/>
      </c>
      <c r="L1383" s="2">
        <f t="shared" si="273"/>
        <v>0</v>
      </c>
      <c r="M1383" s="2">
        <f t="shared" si="274"/>
        <v>0</v>
      </c>
      <c r="N1383" s="2">
        <f t="shared" si="275"/>
        <v>0</v>
      </c>
      <c r="O1383" s="2">
        <f t="shared" si="276"/>
        <v>1</v>
      </c>
      <c r="P1383" s="112">
        <f t="shared" si="277"/>
        <v>0</v>
      </c>
      <c r="Q1383" s="112">
        <f t="shared" si="278"/>
        <v>0</v>
      </c>
      <c r="R1383" s="53"/>
      <c r="S1383" s="53" t="str">
        <f t="shared" si="279"/>
        <v>Base S2|The Seven Parallel - Season 2|182|The Seven</v>
      </c>
      <c r="T1383" s="57" t="str">
        <f>IF($S1383="","",IFERROR(VLOOKUP($S1383,'Pop Estimates (Non-#d)'!$N$2:$O$500,2,FALSE),""))</f>
        <v/>
      </c>
      <c r="U1383" s="57">
        <f t="shared" si="280"/>
        <v>7</v>
      </c>
      <c r="V1383" s="53" t="str">
        <f t="shared" si="281"/>
        <v/>
      </c>
      <c r="W1383" s="53" t="str">
        <f t="shared" si="282"/>
        <v/>
      </c>
      <c r="X1383" s="53" t="str">
        <f t="shared" si="283"/>
        <v/>
      </c>
      <c r="Y1383" s="57" t="str">
        <f>IF($X1383="","",IFERROR(VLOOKUP($X1383,'Char Popularity'!$A$2:$C$500,2,FALSE),""))</f>
        <v/>
      </c>
      <c r="Z1383" s="56">
        <f>IF($X1383="",1,IFERROR(VLOOKUP($X1383,'Char Popularity'!$A$2:$C$500,3,FALSE),1))</f>
        <v>1</v>
      </c>
      <c r="AA1383" s="62">
        <f>IF($H1383&lt;&gt;"Y",0,(IF($F1383&lt;&gt;"",ROUND(Dashboard!$R$4/$F1383,1),IF(AND($I1383="Base",$E1383="Base"),Dashboard!$R$5,IF(AND($I1383="Base",$E1383="Red"),Dashboard!$R$6,IF(AND($I1383="Base",$E1383="Gold"),Dashboard!$R$7,VLOOKUP($I1383,Dashboard!$Q$16:$R$21,2,FALSE)))))*VLOOKUP($I1383,Dashboard!$Q$9:$R$13,2,FALSE)*IF(AND($I1383="Auto",$F1383="",OR($B1383="Autographs Duals",$B1383="Autographs Triples",$B1383="Autographs Quads",$B1383="Autographs Quads (Inscribed)")),IF($B1383="Autographs Duals",2,IF($B1383="Autographs Triples",3,4)),1)))</f>
        <v>142.9</v>
      </c>
      <c r="AB1383" s="62">
        <f t="shared" si="284"/>
        <v>0</v>
      </c>
      <c r="AC1383" s="62">
        <f t="shared" si="285"/>
        <v>0</v>
      </c>
    </row>
    <row r="1384" spans="1:29" ht="42.95" customHeight="1" x14ac:dyDescent="0.25">
      <c r="A1384" s="4" t="s">
        <v>19</v>
      </c>
      <c r="B1384" s="7" t="s">
        <v>82</v>
      </c>
      <c r="C1384" s="2" t="s">
        <v>1582</v>
      </c>
      <c r="D1384" s="7" t="s">
        <v>1177</v>
      </c>
      <c r="E1384" s="4" t="s">
        <v>689</v>
      </c>
      <c r="F1384" s="2">
        <v>7</v>
      </c>
      <c r="G1384" s="2" t="s">
        <v>1399</v>
      </c>
      <c r="H1384" s="2" t="s">
        <v>1400</v>
      </c>
      <c r="I1384" s="4" t="s">
        <v>60</v>
      </c>
      <c r="J1384" s="112">
        <f>IF($H1384&lt;&gt;"Y",0,ROUND(MIN(Dashboard!$R$24,IF(IFERROR(VLOOKUP($B1384,Dashboard!$Q$28:$S$60,2,FALSE),0)&gt;0,IFERROR(VLOOKUP($B1384,Dashboard!$Q$28:$S$60,2,FALSE),0),$Z1384*IF($U1384&lt;&gt;"",ROUND((Dashboard!$R$4/$U1384)*VLOOKUP($I1384,Dashboard!$Q$9:$R$13,2,FALSE)*IF(ISNUMBER(SEARCH("Duals",$B1384)),2,IF(ISNUMBER(SEARCH("Triples",$B1384)),3,IF(ISNUMBER(SEARCH("Quads",$B1384)),4,1))),2),ROUND(VLOOKUP($I1384,Dashboard!$Q$15:$R$20,2,FALSE)*IF($E1384="Red",Dashboard!$R$6,IF($E1384="Gold",Dashboard!$R$7,Dashboard!$R$5))*IF(ISNUMBER(SEARCH("Duals",$B1384)),2,IF(ISNUMBER(SEARCH("Triples",$B1384)),3,IF(ISNUMBER(SEARCH("Quads",$B1384)),4,1))),2))*IF(IFERROR(VLOOKUP($B1384,Dashboard!$Q$28:$S$60,3,FALSE),0)&gt;0,VLOOKUP($B1384,Dashboard!$Q$28:$S$60,3,FALSE),1))),0))</f>
        <v>143</v>
      </c>
      <c r="K1384" s="2" t="str">
        <f>IF('Base S2'!I84="","",'Base S2'!I84)</f>
        <v/>
      </c>
      <c r="L1384" s="2">
        <f t="shared" si="273"/>
        <v>0</v>
      </c>
      <c r="M1384" s="2">
        <f t="shared" si="274"/>
        <v>0</v>
      </c>
      <c r="N1384" s="2">
        <f t="shared" si="275"/>
        <v>0</v>
      </c>
      <c r="O1384" s="2">
        <f t="shared" si="276"/>
        <v>1</v>
      </c>
      <c r="P1384" s="112">
        <f t="shared" si="277"/>
        <v>0</v>
      </c>
      <c r="Q1384" s="112">
        <f t="shared" si="278"/>
        <v>0</v>
      </c>
      <c r="R1384" s="53"/>
      <c r="S1384" s="53" t="str">
        <f t="shared" si="279"/>
        <v>Base S2|The Seven Parallel - Season 2|183|The Seven</v>
      </c>
      <c r="T1384" s="57" t="str">
        <f>IF($S1384="","",IFERROR(VLOOKUP($S1384,'Pop Estimates (Non-#d)'!$N$2:$O$500,2,FALSE),""))</f>
        <v/>
      </c>
      <c r="U1384" s="57">
        <f t="shared" si="280"/>
        <v>7</v>
      </c>
      <c r="V1384" s="53" t="str">
        <f t="shared" si="281"/>
        <v/>
      </c>
      <c r="W1384" s="53" t="str">
        <f t="shared" si="282"/>
        <v/>
      </c>
      <c r="X1384" s="53" t="str">
        <f t="shared" si="283"/>
        <v/>
      </c>
      <c r="Y1384" s="57" t="str">
        <f>IF($X1384="","",IFERROR(VLOOKUP($X1384,'Char Popularity'!$A$2:$C$500,2,FALSE),""))</f>
        <v/>
      </c>
      <c r="Z1384" s="56">
        <f>IF($X1384="",1,IFERROR(VLOOKUP($X1384,'Char Popularity'!$A$2:$C$500,3,FALSE),1))</f>
        <v>1</v>
      </c>
      <c r="AA1384" s="62">
        <f>IF($H1384&lt;&gt;"Y",0,(IF($F1384&lt;&gt;"",ROUND(Dashboard!$R$4/$F1384,1),IF(AND($I1384="Base",$E1384="Base"),Dashboard!$R$5,IF(AND($I1384="Base",$E1384="Red"),Dashboard!$R$6,IF(AND($I1384="Base",$E1384="Gold"),Dashboard!$R$7,VLOOKUP($I1384,Dashboard!$Q$16:$R$21,2,FALSE)))))*VLOOKUP($I1384,Dashboard!$Q$9:$R$13,2,FALSE)*IF(AND($I1384="Auto",$F1384="",OR($B1384="Autographs Duals",$B1384="Autographs Triples",$B1384="Autographs Quads",$B1384="Autographs Quads (Inscribed)")),IF($B1384="Autographs Duals",2,IF($B1384="Autographs Triples",3,4)),1)))</f>
        <v>142.9</v>
      </c>
      <c r="AB1384" s="62">
        <f t="shared" si="284"/>
        <v>0</v>
      </c>
      <c r="AC1384" s="62">
        <f t="shared" si="285"/>
        <v>0</v>
      </c>
    </row>
    <row r="1385" spans="1:29" ht="42.95" customHeight="1" x14ac:dyDescent="0.25">
      <c r="A1385" s="4" t="s">
        <v>19</v>
      </c>
      <c r="B1385" s="7" t="s">
        <v>82</v>
      </c>
      <c r="C1385" s="2" t="s">
        <v>1583</v>
      </c>
      <c r="D1385" s="7" t="s">
        <v>1179</v>
      </c>
      <c r="E1385" s="4" t="s">
        <v>689</v>
      </c>
      <c r="F1385" s="2">
        <v>7</v>
      </c>
      <c r="G1385" s="2" t="s">
        <v>1399</v>
      </c>
      <c r="H1385" s="2" t="s">
        <v>1400</v>
      </c>
      <c r="I1385" s="4" t="s">
        <v>60</v>
      </c>
      <c r="J1385" s="112">
        <f>IF($H1385&lt;&gt;"Y",0,ROUND(MIN(Dashboard!$R$24,IF(IFERROR(VLOOKUP($B1385,Dashboard!$Q$28:$S$60,2,FALSE),0)&gt;0,IFERROR(VLOOKUP($B1385,Dashboard!$Q$28:$S$60,2,FALSE),0),$Z1385*IF($U1385&lt;&gt;"",ROUND((Dashboard!$R$4/$U1385)*VLOOKUP($I1385,Dashboard!$Q$9:$R$13,2,FALSE)*IF(ISNUMBER(SEARCH("Duals",$B1385)),2,IF(ISNUMBER(SEARCH("Triples",$B1385)),3,IF(ISNUMBER(SEARCH("Quads",$B1385)),4,1))),2),ROUND(VLOOKUP($I1385,Dashboard!$Q$15:$R$20,2,FALSE)*IF($E1385="Red",Dashboard!$R$6,IF($E1385="Gold",Dashboard!$R$7,Dashboard!$R$5))*IF(ISNUMBER(SEARCH("Duals",$B1385)),2,IF(ISNUMBER(SEARCH("Triples",$B1385)),3,IF(ISNUMBER(SEARCH("Quads",$B1385)),4,1))),2))*IF(IFERROR(VLOOKUP($B1385,Dashboard!$Q$28:$S$60,3,FALSE),0)&gt;0,VLOOKUP($B1385,Dashboard!$Q$28:$S$60,3,FALSE),1))),0))</f>
        <v>143</v>
      </c>
      <c r="K1385" s="2" t="str">
        <f>IF('Base S2'!I85="","",'Base S2'!I85)</f>
        <v/>
      </c>
      <c r="L1385" s="2">
        <f t="shared" si="273"/>
        <v>0</v>
      </c>
      <c r="M1385" s="2">
        <f t="shared" si="274"/>
        <v>0</v>
      </c>
      <c r="N1385" s="2">
        <f t="shared" si="275"/>
        <v>0</v>
      </c>
      <c r="O1385" s="2">
        <f t="shared" si="276"/>
        <v>1</v>
      </c>
      <c r="P1385" s="112">
        <f t="shared" si="277"/>
        <v>0</v>
      </c>
      <c r="Q1385" s="112">
        <f t="shared" si="278"/>
        <v>0</v>
      </c>
      <c r="R1385" s="53"/>
      <c r="S1385" s="53" t="str">
        <f t="shared" si="279"/>
        <v>Base S2|The Seven Parallel - Season 2|184|The Seven</v>
      </c>
      <c r="T1385" s="57" t="str">
        <f>IF($S1385="","",IFERROR(VLOOKUP($S1385,'Pop Estimates (Non-#d)'!$N$2:$O$500,2,FALSE),""))</f>
        <v/>
      </c>
      <c r="U1385" s="57">
        <f t="shared" si="280"/>
        <v>7</v>
      </c>
      <c r="V1385" s="53" t="str">
        <f t="shared" si="281"/>
        <v/>
      </c>
      <c r="W1385" s="53" t="str">
        <f t="shared" si="282"/>
        <v/>
      </c>
      <c r="X1385" s="53" t="str">
        <f t="shared" si="283"/>
        <v/>
      </c>
      <c r="Y1385" s="57" t="str">
        <f>IF($X1385="","",IFERROR(VLOOKUP($X1385,'Char Popularity'!$A$2:$C$500,2,FALSE),""))</f>
        <v/>
      </c>
      <c r="Z1385" s="56">
        <f>IF($X1385="",1,IFERROR(VLOOKUP($X1385,'Char Popularity'!$A$2:$C$500,3,FALSE),1))</f>
        <v>1</v>
      </c>
      <c r="AA1385" s="62">
        <f>IF($H1385&lt;&gt;"Y",0,(IF($F1385&lt;&gt;"",ROUND(Dashboard!$R$4/$F1385,1),IF(AND($I1385="Base",$E1385="Base"),Dashboard!$R$5,IF(AND($I1385="Base",$E1385="Red"),Dashboard!$R$6,IF(AND($I1385="Base",$E1385="Gold"),Dashboard!$R$7,VLOOKUP($I1385,Dashboard!$Q$16:$R$21,2,FALSE)))))*VLOOKUP($I1385,Dashboard!$Q$9:$R$13,2,FALSE)*IF(AND($I1385="Auto",$F1385="",OR($B1385="Autographs Duals",$B1385="Autographs Triples",$B1385="Autographs Quads",$B1385="Autographs Quads (Inscribed)")),IF($B1385="Autographs Duals",2,IF($B1385="Autographs Triples",3,4)),1)))</f>
        <v>142.9</v>
      </c>
      <c r="AB1385" s="62">
        <f t="shared" si="284"/>
        <v>0</v>
      </c>
      <c r="AC1385" s="62">
        <f t="shared" si="285"/>
        <v>0</v>
      </c>
    </row>
    <row r="1386" spans="1:29" ht="42.95" customHeight="1" x14ac:dyDescent="0.25">
      <c r="A1386" s="4" t="s">
        <v>19</v>
      </c>
      <c r="B1386" s="7" t="s">
        <v>82</v>
      </c>
      <c r="C1386" s="2" t="s">
        <v>1584</v>
      </c>
      <c r="D1386" s="7" t="s">
        <v>1180</v>
      </c>
      <c r="E1386" s="4" t="s">
        <v>689</v>
      </c>
      <c r="F1386" s="2">
        <v>7</v>
      </c>
      <c r="G1386" s="2" t="s">
        <v>1399</v>
      </c>
      <c r="H1386" s="2" t="s">
        <v>1400</v>
      </c>
      <c r="I1386" s="4" t="s">
        <v>60</v>
      </c>
      <c r="J1386" s="112">
        <f>IF($H1386&lt;&gt;"Y",0,ROUND(MIN(Dashboard!$R$24,IF(IFERROR(VLOOKUP($B1386,Dashboard!$Q$28:$S$60,2,FALSE),0)&gt;0,IFERROR(VLOOKUP($B1386,Dashboard!$Q$28:$S$60,2,FALSE),0),$Z1386*IF($U1386&lt;&gt;"",ROUND((Dashboard!$R$4/$U1386)*VLOOKUP($I1386,Dashboard!$Q$9:$R$13,2,FALSE)*IF(ISNUMBER(SEARCH("Duals",$B1386)),2,IF(ISNUMBER(SEARCH("Triples",$B1386)),3,IF(ISNUMBER(SEARCH("Quads",$B1386)),4,1))),2),ROUND(VLOOKUP($I1386,Dashboard!$Q$15:$R$20,2,FALSE)*IF($E1386="Red",Dashboard!$R$6,IF($E1386="Gold",Dashboard!$R$7,Dashboard!$R$5))*IF(ISNUMBER(SEARCH("Duals",$B1386)),2,IF(ISNUMBER(SEARCH("Triples",$B1386)),3,IF(ISNUMBER(SEARCH("Quads",$B1386)),4,1))),2))*IF(IFERROR(VLOOKUP($B1386,Dashboard!$Q$28:$S$60,3,FALSE),0)&gt;0,VLOOKUP($B1386,Dashboard!$Q$28:$S$60,3,FALSE),1))),0))</f>
        <v>143</v>
      </c>
      <c r="K1386" s="2" t="str">
        <f>IF('Base S2'!I86="","",'Base S2'!I86)</f>
        <v/>
      </c>
      <c r="L1386" s="2">
        <f t="shared" si="273"/>
        <v>0</v>
      </c>
      <c r="M1386" s="2">
        <f t="shared" si="274"/>
        <v>0</v>
      </c>
      <c r="N1386" s="2">
        <f t="shared" si="275"/>
        <v>0</v>
      </c>
      <c r="O1386" s="2">
        <f t="shared" si="276"/>
        <v>1</v>
      </c>
      <c r="P1386" s="112">
        <f t="shared" si="277"/>
        <v>0</v>
      </c>
      <c r="Q1386" s="112">
        <f t="shared" si="278"/>
        <v>0</v>
      </c>
      <c r="R1386" s="53"/>
      <c r="S1386" s="53" t="str">
        <f t="shared" si="279"/>
        <v>Base S2|The Seven Parallel - Season 2|185|The Seven</v>
      </c>
      <c r="T1386" s="57" t="str">
        <f>IF($S1386="","",IFERROR(VLOOKUP($S1386,'Pop Estimates (Non-#d)'!$N$2:$O$500,2,FALSE),""))</f>
        <v/>
      </c>
      <c r="U1386" s="57">
        <f t="shared" si="280"/>
        <v>7</v>
      </c>
      <c r="V1386" s="53" t="str">
        <f t="shared" si="281"/>
        <v/>
      </c>
      <c r="W1386" s="53" t="str">
        <f t="shared" si="282"/>
        <v/>
      </c>
      <c r="X1386" s="53" t="str">
        <f t="shared" si="283"/>
        <v/>
      </c>
      <c r="Y1386" s="57" t="str">
        <f>IF($X1386="","",IFERROR(VLOOKUP($X1386,'Char Popularity'!$A$2:$C$500,2,FALSE),""))</f>
        <v/>
      </c>
      <c r="Z1386" s="56">
        <f>IF($X1386="",1,IFERROR(VLOOKUP($X1386,'Char Popularity'!$A$2:$C$500,3,FALSE),1))</f>
        <v>1</v>
      </c>
      <c r="AA1386" s="62">
        <f>IF($H1386&lt;&gt;"Y",0,(IF($F1386&lt;&gt;"",ROUND(Dashboard!$R$4/$F1386,1),IF(AND($I1386="Base",$E1386="Base"),Dashboard!$R$5,IF(AND($I1386="Base",$E1386="Red"),Dashboard!$R$6,IF(AND($I1386="Base",$E1386="Gold"),Dashboard!$R$7,VLOOKUP($I1386,Dashboard!$Q$16:$R$21,2,FALSE)))))*VLOOKUP($I1386,Dashboard!$Q$9:$R$13,2,FALSE)*IF(AND($I1386="Auto",$F1386="",OR($B1386="Autographs Duals",$B1386="Autographs Triples",$B1386="Autographs Quads",$B1386="Autographs Quads (Inscribed)")),IF($B1386="Autographs Duals",2,IF($B1386="Autographs Triples",3,4)),1)))</f>
        <v>142.9</v>
      </c>
      <c r="AB1386" s="62">
        <f t="shared" si="284"/>
        <v>0</v>
      </c>
      <c r="AC1386" s="62">
        <f t="shared" si="285"/>
        <v>0</v>
      </c>
    </row>
    <row r="1387" spans="1:29" ht="42.95" customHeight="1" x14ac:dyDescent="0.25">
      <c r="A1387" s="4" t="s">
        <v>19</v>
      </c>
      <c r="B1387" s="7" t="s">
        <v>82</v>
      </c>
      <c r="C1387" s="2" t="s">
        <v>1585</v>
      </c>
      <c r="D1387" s="7" t="s">
        <v>1181</v>
      </c>
      <c r="E1387" s="4" t="s">
        <v>689</v>
      </c>
      <c r="F1387" s="2">
        <v>7</v>
      </c>
      <c r="G1387" s="2" t="s">
        <v>1399</v>
      </c>
      <c r="H1387" s="2" t="s">
        <v>1400</v>
      </c>
      <c r="I1387" s="4" t="s">
        <v>60</v>
      </c>
      <c r="J1387" s="112">
        <f>IF($H1387&lt;&gt;"Y",0,ROUND(MIN(Dashboard!$R$24,IF(IFERROR(VLOOKUP($B1387,Dashboard!$Q$28:$S$60,2,FALSE),0)&gt;0,IFERROR(VLOOKUP($B1387,Dashboard!$Q$28:$S$60,2,FALSE),0),$Z1387*IF($U1387&lt;&gt;"",ROUND((Dashboard!$R$4/$U1387)*VLOOKUP($I1387,Dashboard!$Q$9:$R$13,2,FALSE)*IF(ISNUMBER(SEARCH("Duals",$B1387)),2,IF(ISNUMBER(SEARCH("Triples",$B1387)),3,IF(ISNUMBER(SEARCH("Quads",$B1387)),4,1))),2),ROUND(VLOOKUP($I1387,Dashboard!$Q$15:$R$20,2,FALSE)*IF($E1387="Red",Dashboard!$R$6,IF($E1387="Gold",Dashboard!$R$7,Dashboard!$R$5))*IF(ISNUMBER(SEARCH("Duals",$B1387)),2,IF(ISNUMBER(SEARCH("Triples",$B1387)),3,IF(ISNUMBER(SEARCH("Quads",$B1387)),4,1))),2))*IF(IFERROR(VLOOKUP($B1387,Dashboard!$Q$28:$S$60,3,FALSE),0)&gt;0,VLOOKUP($B1387,Dashboard!$Q$28:$S$60,3,FALSE),1))),0))</f>
        <v>143</v>
      </c>
      <c r="K1387" s="2" t="str">
        <f>IF('Base S2'!I87="","",'Base S2'!I87)</f>
        <v>C 6/7</v>
      </c>
      <c r="L1387" s="2">
        <f t="shared" si="273"/>
        <v>1</v>
      </c>
      <c r="M1387" s="2">
        <f t="shared" si="274"/>
        <v>0</v>
      </c>
      <c r="N1387" s="2">
        <f t="shared" si="275"/>
        <v>1</v>
      </c>
      <c r="O1387" s="2">
        <f t="shared" si="276"/>
        <v>0</v>
      </c>
      <c r="P1387" s="112">
        <f t="shared" si="277"/>
        <v>143</v>
      </c>
      <c r="Q1387" s="112">
        <f t="shared" si="278"/>
        <v>0</v>
      </c>
      <c r="R1387" s="53"/>
      <c r="S1387" s="53" t="str">
        <f t="shared" si="279"/>
        <v>Base S2|The Seven Parallel - Season 2|186|The Seven</v>
      </c>
      <c r="T1387" s="57" t="str">
        <f>IF($S1387="","",IFERROR(VLOOKUP($S1387,'Pop Estimates (Non-#d)'!$N$2:$O$500,2,FALSE),""))</f>
        <v/>
      </c>
      <c r="U1387" s="57">
        <f t="shared" si="280"/>
        <v>7</v>
      </c>
      <c r="V1387" s="53" t="str">
        <f t="shared" si="281"/>
        <v/>
      </c>
      <c r="W1387" s="53" t="str">
        <f t="shared" si="282"/>
        <v/>
      </c>
      <c r="X1387" s="53" t="str">
        <f t="shared" si="283"/>
        <v/>
      </c>
      <c r="Y1387" s="57" t="str">
        <f>IF($X1387="","",IFERROR(VLOOKUP($X1387,'Char Popularity'!$A$2:$C$500,2,FALSE),""))</f>
        <v/>
      </c>
      <c r="Z1387" s="56">
        <f>IF($X1387="",1,IFERROR(VLOOKUP($X1387,'Char Popularity'!$A$2:$C$500,3,FALSE),1))</f>
        <v>1</v>
      </c>
      <c r="AA1387" s="62">
        <f>IF($H1387&lt;&gt;"Y",0,(IF($F1387&lt;&gt;"",ROUND(Dashboard!$R$4/$F1387,1),IF(AND($I1387="Base",$E1387="Base"),Dashboard!$R$5,IF(AND($I1387="Base",$E1387="Red"),Dashboard!$R$6,IF(AND($I1387="Base",$E1387="Gold"),Dashboard!$R$7,VLOOKUP($I1387,Dashboard!$Q$16:$R$21,2,FALSE)))))*VLOOKUP($I1387,Dashboard!$Q$9:$R$13,2,FALSE)*IF(AND($I1387="Auto",$F1387="",OR($B1387="Autographs Duals",$B1387="Autographs Triples",$B1387="Autographs Quads",$B1387="Autographs Quads (Inscribed)")),IF($B1387="Autographs Duals",2,IF($B1387="Autographs Triples",3,4)),1)))</f>
        <v>142.9</v>
      </c>
      <c r="AB1387" s="62">
        <f t="shared" si="284"/>
        <v>142.9</v>
      </c>
      <c r="AC1387" s="62">
        <f t="shared" si="285"/>
        <v>0</v>
      </c>
    </row>
    <row r="1388" spans="1:29" ht="42.95" customHeight="1" x14ac:dyDescent="0.25">
      <c r="A1388" s="4" t="s">
        <v>19</v>
      </c>
      <c r="B1388" s="7" t="s">
        <v>82</v>
      </c>
      <c r="C1388" s="2" t="s">
        <v>1586</v>
      </c>
      <c r="D1388" s="7" t="s">
        <v>1182</v>
      </c>
      <c r="E1388" s="4" t="s">
        <v>689</v>
      </c>
      <c r="F1388" s="2">
        <v>7</v>
      </c>
      <c r="G1388" s="2" t="s">
        <v>1399</v>
      </c>
      <c r="H1388" s="2" t="s">
        <v>1400</v>
      </c>
      <c r="I1388" s="4" t="s">
        <v>60</v>
      </c>
      <c r="J1388" s="112">
        <f>IF($H1388&lt;&gt;"Y",0,ROUND(MIN(Dashboard!$R$24,IF(IFERROR(VLOOKUP($B1388,Dashboard!$Q$28:$S$60,2,FALSE),0)&gt;0,IFERROR(VLOOKUP($B1388,Dashboard!$Q$28:$S$60,2,FALSE),0),$Z1388*IF($U1388&lt;&gt;"",ROUND((Dashboard!$R$4/$U1388)*VLOOKUP($I1388,Dashboard!$Q$9:$R$13,2,FALSE)*IF(ISNUMBER(SEARCH("Duals",$B1388)),2,IF(ISNUMBER(SEARCH("Triples",$B1388)),3,IF(ISNUMBER(SEARCH("Quads",$B1388)),4,1))),2),ROUND(VLOOKUP($I1388,Dashboard!$Q$15:$R$20,2,FALSE)*IF($E1388="Red",Dashboard!$R$6,IF($E1388="Gold",Dashboard!$R$7,Dashboard!$R$5))*IF(ISNUMBER(SEARCH("Duals",$B1388)),2,IF(ISNUMBER(SEARCH("Triples",$B1388)),3,IF(ISNUMBER(SEARCH("Quads",$B1388)),4,1))),2))*IF(IFERROR(VLOOKUP($B1388,Dashboard!$Q$28:$S$60,3,FALSE),0)&gt;0,VLOOKUP($B1388,Dashboard!$Q$28:$S$60,3,FALSE),1))),0))</f>
        <v>143</v>
      </c>
      <c r="K1388" s="2" t="str">
        <f>IF('Base S2'!I88="","",'Base S2'!I88)</f>
        <v/>
      </c>
      <c r="L1388" s="2">
        <f t="shared" si="273"/>
        <v>0</v>
      </c>
      <c r="M1388" s="2">
        <f t="shared" si="274"/>
        <v>0</v>
      </c>
      <c r="N1388" s="2">
        <f t="shared" si="275"/>
        <v>0</v>
      </c>
      <c r="O1388" s="2">
        <f t="shared" si="276"/>
        <v>1</v>
      </c>
      <c r="P1388" s="112">
        <f t="shared" si="277"/>
        <v>0</v>
      </c>
      <c r="Q1388" s="112">
        <f t="shared" si="278"/>
        <v>0</v>
      </c>
      <c r="R1388" s="53"/>
      <c r="S1388" s="53" t="str">
        <f t="shared" si="279"/>
        <v>Base S2|The Seven Parallel - Season 2|187|The Seven</v>
      </c>
      <c r="T1388" s="57" t="str">
        <f>IF($S1388="","",IFERROR(VLOOKUP($S1388,'Pop Estimates (Non-#d)'!$N$2:$O$500,2,FALSE),""))</f>
        <v/>
      </c>
      <c r="U1388" s="57">
        <f t="shared" si="280"/>
        <v>7</v>
      </c>
      <c r="V1388" s="53" t="str">
        <f t="shared" si="281"/>
        <v/>
      </c>
      <c r="W1388" s="53" t="str">
        <f t="shared" si="282"/>
        <v/>
      </c>
      <c r="X1388" s="53" t="str">
        <f t="shared" si="283"/>
        <v/>
      </c>
      <c r="Y1388" s="57" t="str">
        <f>IF($X1388="","",IFERROR(VLOOKUP($X1388,'Char Popularity'!$A$2:$C$500,2,FALSE),""))</f>
        <v/>
      </c>
      <c r="Z1388" s="56">
        <f>IF($X1388="",1,IFERROR(VLOOKUP($X1388,'Char Popularity'!$A$2:$C$500,3,FALSE),1))</f>
        <v>1</v>
      </c>
      <c r="AA1388" s="62">
        <f>IF($H1388&lt;&gt;"Y",0,(IF($F1388&lt;&gt;"",ROUND(Dashboard!$R$4/$F1388,1),IF(AND($I1388="Base",$E1388="Base"),Dashboard!$R$5,IF(AND($I1388="Base",$E1388="Red"),Dashboard!$R$6,IF(AND($I1388="Base",$E1388="Gold"),Dashboard!$R$7,VLOOKUP($I1388,Dashboard!$Q$16:$R$21,2,FALSE)))))*VLOOKUP($I1388,Dashboard!$Q$9:$R$13,2,FALSE)*IF(AND($I1388="Auto",$F1388="",OR($B1388="Autographs Duals",$B1388="Autographs Triples",$B1388="Autographs Quads",$B1388="Autographs Quads (Inscribed)")),IF($B1388="Autographs Duals",2,IF($B1388="Autographs Triples",3,4)),1)))</f>
        <v>142.9</v>
      </c>
      <c r="AB1388" s="62">
        <f t="shared" si="284"/>
        <v>0</v>
      </c>
      <c r="AC1388" s="62">
        <f t="shared" si="285"/>
        <v>0</v>
      </c>
    </row>
    <row r="1389" spans="1:29" ht="42.95" customHeight="1" x14ac:dyDescent="0.25">
      <c r="A1389" s="4" t="s">
        <v>19</v>
      </c>
      <c r="B1389" s="7" t="s">
        <v>82</v>
      </c>
      <c r="C1389" s="2" t="s">
        <v>1587</v>
      </c>
      <c r="D1389" s="7" t="s">
        <v>1183</v>
      </c>
      <c r="E1389" s="4" t="s">
        <v>689</v>
      </c>
      <c r="F1389" s="2">
        <v>7</v>
      </c>
      <c r="G1389" s="2" t="s">
        <v>1399</v>
      </c>
      <c r="H1389" s="2" t="s">
        <v>1400</v>
      </c>
      <c r="I1389" s="4" t="s">
        <v>60</v>
      </c>
      <c r="J1389" s="112">
        <f>IF($H1389&lt;&gt;"Y",0,ROUND(MIN(Dashboard!$R$24,IF(IFERROR(VLOOKUP($B1389,Dashboard!$Q$28:$S$60,2,FALSE),0)&gt;0,IFERROR(VLOOKUP($B1389,Dashboard!$Q$28:$S$60,2,FALSE),0),$Z1389*IF($U1389&lt;&gt;"",ROUND((Dashboard!$R$4/$U1389)*VLOOKUP($I1389,Dashboard!$Q$9:$R$13,2,FALSE)*IF(ISNUMBER(SEARCH("Duals",$B1389)),2,IF(ISNUMBER(SEARCH("Triples",$B1389)),3,IF(ISNUMBER(SEARCH("Quads",$B1389)),4,1))),2),ROUND(VLOOKUP($I1389,Dashboard!$Q$15:$R$20,2,FALSE)*IF($E1389="Red",Dashboard!$R$6,IF($E1389="Gold",Dashboard!$R$7,Dashboard!$R$5))*IF(ISNUMBER(SEARCH("Duals",$B1389)),2,IF(ISNUMBER(SEARCH("Triples",$B1389)),3,IF(ISNUMBER(SEARCH("Quads",$B1389)),4,1))),2))*IF(IFERROR(VLOOKUP($B1389,Dashboard!$Q$28:$S$60,3,FALSE),0)&gt;0,VLOOKUP($B1389,Dashboard!$Q$28:$S$60,3,FALSE),1))),0))</f>
        <v>143</v>
      </c>
      <c r="K1389" s="2" t="str">
        <f>IF('Base S2'!I89="","",'Base S2'!I89)</f>
        <v/>
      </c>
      <c r="L1389" s="2">
        <f t="shared" si="273"/>
        <v>0</v>
      </c>
      <c r="M1389" s="2">
        <f t="shared" si="274"/>
        <v>0</v>
      </c>
      <c r="N1389" s="2">
        <f t="shared" si="275"/>
        <v>0</v>
      </c>
      <c r="O1389" s="2">
        <f t="shared" si="276"/>
        <v>1</v>
      </c>
      <c r="P1389" s="112">
        <f t="shared" si="277"/>
        <v>0</v>
      </c>
      <c r="Q1389" s="112">
        <f t="shared" si="278"/>
        <v>0</v>
      </c>
      <c r="R1389" s="53"/>
      <c r="S1389" s="53" t="str">
        <f t="shared" si="279"/>
        <v>Base S2|The Seven Parallel - Season 2|188|The Seven</v>
      </c>
      <c r="T1389" s="57" t="str">
        <f>IF($S1389="","",IFERROR(VLOOKUP($S1389,'Pop Estimates (Non-#d)'!$N$2:$O$500,2,FALSE),""))</f>
        <v/>
      </c>
      <c r="U1389" s="57">
        <f t="shared" si="280"/>
        <v>7</v>
      </c>
      <c r="V1389" s="53" t="str">
        <f t="shared" si="281"/>
        <v/>
      </c>
      <c r="W1389" s="53" t="str">
        <f t="shared" si="282"/>
        <v/>
      </c>
      <c r="X1389" s="53" t="str">
        <f t="shared" si="283"/>
        <v/>
      </c>
      <c r="Y1389" s="57" t="str">
        <f>IF($X1389="","",IFERROR(VLOOKUP($X1389,'Char Popularity'!$A$2:$C$500,2,FALSE),""))</f>
        <v/>
      </c>
      <c r="Z1389" s="56">
        <f>IF($X1389="",1,IFERROR(VLOOKUP($X1389,'Char Popularity'!$A$2:$C$500,3,FALSE),1))</f>
        <v>1</v>
      </c>
      <c r="AA1389" s="62">
        <f>IF($H1389&lt;&gt;"Y",0,(IF($F1389&lt;&gt;"",ROUND(Dashboard!$R$4/$F1389,1),IF(AND($I1389="Base",$E1389="Base"),Dashboard!$R$5,IF(AND($I1389="Base",$E1389="Red"),Dashboard!$R$6,IF(AND($I1389="Base",$E1389="Gold"),Dashboard!$R$7,VLOOKUP($I1389,Dashboard!$Q$16:$R$21,2,FALSE)))))*VLOOKUP($I1389,Dashboard!$Q$9:$R$13,2,FALSE)*IF(AND($I1389="Auto",$F1389="",OR($B1389="Autographs Duals",$B1389="Autographs Triples",$B1389="Autographs Quads",$B1389="Autographs Quads (Inscribed)")),IF($B1389="Autographs Duals",2,IF($B1389="Autographs Triples",3,4)),1)))</f>
        <v>142.9</v>
      </c>
      <c r="AB1389" s="62">
        <f t="shared" si="284"/>
        <v>0</v>
      </c>
      <c r="AC1389" s="62">
        <f t="shared" si="285"/>
        <v>0</v>
      </c>
    </row>
    <row r="1390" spans="1:29" ht="42.95" customHeight="1" x14ac:dyDescent="0.25">
      <c r="A1390" s="4" t="s">
        <v>19</v>
      </c>
      <c r="B1390" s="7" t="s">
        <v>82</v>
      </c>
      <c r="C1390" s="2" t="s">
        <v>1588</v>
      </c>
      <c r="D1390" s="7" t="s">
        <v>1185</v>
      </c>
      <c r="E1390" s="4" t="s">
        <v>689</v>
      </c>
      <c r="F1390" s="2">
        <v>7</v>
      </c>
      <c r="G1390" s="2" t="s">
        <v>1399</v>
      </c>
      <c r="H1390" s="2" t="s">
        <v>1400</v>
      </c>
      <c r="I1390" s="4" t="s">
        <v>60</v>
      </c>
      <c r="J1390" s="112">
        <f>IF($H1390&lt;&gt;"Y",0,ROUND(MIN(Dashboard!$R$24,IF(IFERROR(VLOOKUP($B1390,Dashboard!$Q$28:$S$60,2,FALSE),0)&gt;0,IFERROR(VLOOKUP($B1390,Dashboard!$Q$28:$S$60,2,FALSE),0),$Z1390*IF($U1390&lt;&gt;"",ROUND((Dashboard!$R$4/$U1390)*VLOOKUP($I1390,Dashboard!$Q$9:$R$13,2,FALSE)*IF(ISNUMBER(SEARCH("Duals",$B1390)),2,IF(ISNUMBER(SEARCH("Triples",$B1390)),3,IF(ISNUMBER(SEARCH("Quads",$B1390)),4,1))),2),ROUND(VLOOKUP($I1390,Dashboard!$Q$15:$R$20,2,FALSE)*IF($E1390="Red",Dashboard!$R$6,IF($E1390="Gold",Dashboard!$R$7,Dashboard!$R$5))*IF(ISNUMBER(SEARCH("Duals",$B1390)),2,IF(ISNUMBER(SEARCH("Triples",$B1390)),3,IF(ISNUMBER(SEARCH("Quads",$B1390)),4,1))),2))*IF(IFERROR(VLOOKUP($B1390,Dashboard!$Q$28:$S$60,3,FALSE),0)&gt;0,VLOOKUP($B1390,Dashboard!$Q$28:$S$60,3,FALSE),1))),0))</f>
        <v>143</v>
      </c>
      <c r="K1390" s="2" t="str">
        <f>IF('Base S2'!I90="","",'Base S2'!I90)</f>
        <v/>
      </c>
      <c r="L1390" s="2">
        <f t="shared" si="273"/>
        <v>0</v>
      </c>
      <c r="M1390" s="2">
        <f t="shared" si="274"/>
        <v>0</v>
      </c>
      <c r="N1390" s="2">
        <f t="shared" si="275"/>
        <v>0</v>
      </c>
      <c r="O1390" s="2">
        <f t="shared" si="276"/>
        <v>1</v>
      </c>
      <c r="P1390" s="112">
        <f t="shared" si="277"/>
        <v>0</v>
      </c>
      <c r="Q1390" s="112">
        <f t="shared" si="278"/>
        <v>0</v>
      </c>
      <c r="R1390" s="53"/>
      <c r="S1390" s="53" t="str">
        <f t="shared" si="279"/>
        <v>Base S2|The Seven Parallel - Season 2|189|The Seven</v>
      </c>
      <c r="T1390" s="57" t="str">
        <f>IF($S1390="","",IFERROR(VLOOKUP($S1390,'Pop Estimates (Non-#d)'!$N$2:$O$500,2,FALSE),""))</f>
        <v/>
      </c>
      <c r="U1390" s="57">
        <f t="shared" si="280"/>
        <v>7</v>
      </c>
      <c r="V1390" s="53" t="str">
        <f t="shared" si="281"/>
        <v/>
      </c>
      <c r="W1390" s="53" t="str">
        <f t="shared" si="282"/>
        <v/>
      </c>
      <c r="X1390" s="53" t="str">
        <f t="shared" si="283"/>
        <v/>
      </c>
      <c r="Y1390" s="57" t="str">
        <f>IF($X1390="","",IFERROR(VLOOKUP($X1390,'Char Popularity'!$A$2:$C$500,2,FALSE),""))</f>
        <v/>
      </c>
      <c r="Z1390" s="56">
        <f>IF($X1390="",1,IFERROR(VLOOKUP($X1390,'Char Popularity'!$A$2:$C$500,3,FALSE),1))</f>
        <v>1</v>
      </c>
      <c r="AA1390" s="62">
        <f>IF($H1390&lt;&gt;"Y",0,(IF($F1390&lt;&gt;"",ROUND(Dashboard!$R$4/$F1390,1),IF(AND($I1390="Base",$E1390="Base"),Dashboard!$R$5,IF(AND($I1390="Base",$E1390="Red"),Dashboard!$R$6,IF(AND($I1390="Base",$E1390="Gold"),Dashboard!$R$7,VLOOKUP($I1390,Dashboard!$Q$16:$R$21,2,FALSE)))))*VLOOKUP($I1390,Dashboard!$Q$9:$R$13,2,FALSE)*IF(AND($I1390="Auto",$F1390="",OR($B1390="Autographs Duals",$B1390="Autographs Triples",$B1390="Autographs Quads",$B1390="Autographs Quads (Inscribed)")),IF($B1390="Autographs Duals",2,IF($B1390="Autographs Triples",3,4)),1)))</f>
        <v>142.9</v>
      </c>
      <c r="AB1390" s="62">
        <f t="shared" si="284"/>
        <v>0</v>
      </c>
      <c r="AC1390" s="62">
        <f t="shared" si="285"/>
        <v>0</v>
      </c>
    </row>
    <row r="1391" spans="1:29" ht="42.95" customHeight="1" x14ac:dyDescent="0.25">
      <c r="A1391" s="4" t="s">
        <v>19</v>
      </c>
      <c r="B1391" s="7" t="s">
        <v>82</v>
      </c>
      <c r="C1391" s="2" t="s">
        <v>1589</v>
      </c>
      <c r="D1391" s="7" t="s">
        <v>1186</v>
      </c>
      <c r="E1391" s="4" t="s">
        <v>689</v>
      </c>
      <c r="F1391" s="2">
        <v>7</v>
      </c>
      <c r="G1391" s="2" t="s">
        <v>1399</v>
      </c>
      <c r="H1391" s="2" t="s">
        <v>1400</v>
      </c>
      <c r="I1391" s="4" t="s">
        <v>60</v>
      </c>
      <c r="J1391" s="112">
        <f>IF($H1391&lt;&gt;"Y",0,ROUND(MIN(Dashboard!$R$24,IF(IFERROR(VLOOKUP($B1391,Dashboard!$Q$28:$S$60,2,FALSE),0)&gt;0,IFERROR(VLOOKUP($B1391,Dashboard!$Q$28:$S$60,2,FALSE),0),$Z1391*IF($U1391&lt;&gt;"",ROUND((Dashboard!$R$4/$U1391)*VLOOKUP($I1391,Dashboard!$Q$9:$R$13,2,FALSE)*IF(ISNUMBER(SEARCH("Duals",$B1391)),2,IF(ISNUMBER(SEARCH("Triples",$B1391)),3,IF(ISNUMBER(SEARCH("Quads",$B1391)),4,1))),2),ROUND(VLOOKUP($I1391,Dashboard!$Q$15:$R$20,2,FALSE)*IF($E1391="Red",Dashboard!$R$6,IF($E1391="Gold",Dashboard!$R$7,Dashboard!$R$5))*IF(ISNUMBER(SEARCH("Duals",$B1391)),2,IF(ISNUMBER(SEARCH("Triples",$B1391)),3,IF(ISNUMBER(SEARCH("Quads",$B1391)),4,1))),2))*IF(IFERROR(VLOOKUP($B1391,Dashboard!$Q$28:$S$60,3,FALSE),0)&gt;0,VLOOKUP($B1391,Dashboard!$Q$28:$S$60,3,FALSE),1))),0))</f>
        <v>143</v>
      </c>
      <c r="K1391" s="2" t="str">
        <f>IF('Base S2'!I91="","",'Base S2'!I91)</f>
        <v/>
      </c>
      <c r="L1391" s="2">
        <f t="shared" si="273"/>
        <v>0</v>
      </c>
      <c r="M1391" s="2">
        <f t="shared" si="274"/>
        <v>0</v>
      </c>
      <c r="N1391" s="2">
        <f t="shared" si="275"/>
        <v>0</v>
      </c>
      <c r="O1391" s="2">
        <f t="shared" si="276"/>
        <v>1</v>
      </c>
      <c r="P1391" s="112">
        <f t="shared" si="277"/>
        <v>0</v>
      </c>
      <c r="Q1391" s="112">
        <f t="shared" si="278"/>
        <v>0</v>
      </c>
      <c r="R1391" s="53"/>
      <c r="S1391" s="53" t="str">
        <f t="shared" si="279"/>
        <v>Base S2|The Seven Parallel - Season 2|190|The Seven</v>
      </c>
      <c r="T1391" s="57" t="str">
        <f>IF($S1391="","",IFERROR(VLOOKUP($S1391,'Pop Estimates (Non-#d)'!$N$2:$O$500,2,FALSE),""))</f>
        <v/>
      </c>
      <c r="U1391" s="57">
        <f t="shared" si="280"/>
        <v>7</v>
      </c>
      <c r="V1391" s="53" t="str">
        <f t="shared" si="281"/>
        <v/>
      </c>
      <c r="W1391" s="53" t="str">
        <f t="shared" si="282"/>
        <v/>
      </c>
      <c r="X1391" s="53" t="str">
        <f t="shared" si="283"/>
        <v/>
      </c>
      <c r="Y1391" s="57" t="str">
        <f>IF($X1391="","",IFERROR(VLOOKUP($X1391,'Char Popularity'!$A$2:$C$500,2,FALSE),""))</f>
        <v/>
      </c>
      <c r="Z1391" s="56">
        <f>IF($X1391="",1,IFERROR(VLOOKUP($X1391,'Char Popularity'!$A$2:$C$500,3,FALSE),1))</f>
        <v>1</v>
      </c>
      <c r="AA1391" s="62">
        <f>IF($H1391&lt;&gt;"Y",0,(IF($F1391&lt;&gt;"",ROUND(Dashboard!$R$4/$F1391,1),IF(AND($I1391="Base",$E1391="Base"),Dashboard!$R$5,IF(AND($I1391="Base",$E1391="Red"),Dashboard!$R$6,IF(AND($I1391="Base",$E1391="Gold"),Dashboard!$R$7,VLOOKUP($I1391,Dashboard!$Q$16:$R$21,2,FALSE)))))*VLOOKUP($I1391,Dashboard!$Q$9:$R$13,2,FALSE)*IF(AND($I1391="Auto",$F1391="",OR($B1391="Autographs Duals",$B1391="Autographs Triples",$B1391="Autographs Quads",$B1391="Autographs Quads (Inscribed)")),IF($B1391="Autographs Duals",2,IF($B1391="Autographs Triples",3,4)),1)))</f>
        <v>142.9</v>
      </c>
      <c r="AB1391" s="62">
        <f t="shared" si="284"/>
        <v>0</v>
      </c>
      <c r="AC1391" s="62">
        <f t="shared" si="285"/>
        <v>0</v>
      </c>
    </row>
    <row r="1392" spans="1:29" ht="42.95" customHeight="1" x14ac:dyDescent="0.25">
      <c r="A1392" s="4" t="s">
        <v>19</v>
      </c>
      <c r="B1392" s="7" t="s">
        <v>82</v>
      </c>
      <c r="C1392" s="2" t="s">
        <v>1590</v>
      </c>
      <c r="D1392" s="7" t="s">
        <v>1187</v>
      </c>
      <c r="E1392" s="4" t="s">
        <v>689</v>
      </c>
      <c r="F1392" s="2">
        <v>7</v>
      </c>
      <c r="G1392" s="2" t="s">
        <v>1399</v>
      </c>
      <c r="H1392" s="2" t="s">
        <v>1400</v>
      </c>
      <c r="I1392" s="4" t="s">
        <v>60</v>
      </c>
      <c r="J1392" s="112">
        <f>IF($H1392&lt;&gt;"Y",0,ROUND(MIN(Dashboard!$R$24,IF(IFERROR(VLOOKUP($B1392,Dashboard!$Q$28:$S$60,2,FALSE),0)&gt;0,IFERROR(VLOOKUP($B1392,Dashboard!$Q$28:$S$60,2,FALSE),0),$Z1392*IF($U1392&lt;&gt;"",ROUND((Dashboard!$R$4/$U1392)*VLOOKUP($I1392,Dashboard!$Q$9:$R$13,2,FALSE)*IF(ISNUMBER(SEARCH("Duals",$B1392)),2,IF(ISNUMBER(SEARCH("Triples",$B1392)),3,IF(ISNUMBER(SEARCH("Quads",$B1392)),4,1))),2),ROUND(VLOOKUP($I1392,Dashboard!$Q$15:$R$20,2,FALSE)*IF($E1392="Red",Dashboard!$R$6,IF($E1392="Gold",Dashboard!$R$7,Dashboard!$R$5))*IF(ISNUMBER(SEARCH("Duals",$B1392)),2,IF(ISNUMBER(SEARCH("Triples",$B1392)),3,IF(ISNUMBER(SEARCH("Quads",$B1392)),4,1))),2))*IF(IFERROR(VLOOKUP($B1392,Dashboard!$Q$28:$S$60,3,FALSE),0)&gt;0,VLOOKUP($B1392,Dashboard!$Q$28:$S$60,3,FALSE),1))),0))</f>
        <v>143</v>
      </c>
      <c r="K1392" s="2" t="str">
        <f>IF('Base S2'!I92="","",'Base S2'!I92)</f>
        <v>C 2/7</v>
      </c>
      <c r="L1392" s="2">
        <f t="shared" si="273"/>
        <v>1</v>
      </c>
      <c r="M1392" s="2">
        <f t="shared" si="274"/>
        <v>0</v>
      </c>
      <c r="N1392" s="2">
        <f t="shared" si="275"/>
        <v>1</v>
      </c>
      <c r="O1392" s="2">
        <f t="shared" si="276"/>
        <v>0</v>
      </c>
      <c r="P1392" s="112">
        <f t="shared" si="277"/>
        <v>143</v>
      </c>
      <c r="Q1392" s="112">
        <f t="shared" si="278"/>
        <v>0</v>
      </c>
      <c r="R1392" s="53"/>
      <c r="S1392" s="53" t="str">
        <f t="shared" si="279"/>
        <v>Base S2|The Seven Parallel - Season 2|191|The Seven</v>
      </c>
      <c r="T1392" s="57" t="str">
        <f>IF($S1392="","",IFERROR(VLOOKUP($S1392,'Pop Estimates (Non-#d)'!$N$2:$O$500,2,FALSE),""))</f>
        <v/>
      </c>
      <c r="U1392" s="57">
        <f t="shared" si="280"/>
        <v>7</v>
      </c>
      <c r="V1392" s="53" t="str">
        <f t="shared" si="281"/>
        <v/>
      </c>
      <c r="W1392" s="53" t="str">
        <f t="shared" si="282"/>
        <v/>
      </c>
      <c r="X1392" s="53" t="str">
        <f t="shared" si="283"/>
        <v/>
      </c>
      <c r="Y1392" s="57" t="str">
        <f>IF($X1392="","",IFERROR(VLOOKUP($X1392,'Char Popularity'!$A$2:$C$500,2,FALSE),""))</f>
        <v/>
      </c>
      <c r="Z1392" s="56">
        <f>IF($X1392="",1,IFERROR(VLOOKUP($X1392,'Char Popularity'!$A$2:$C$500,3,FALSE),1))</f>
        <v>1</v>
      </c>
      <c r="AA1392" s="62">
        <f>IF($H1392&lt;&gt;"Y",0,(IF($F1392&lt;&gt;"",ROUND(Dashboard!$R$4/$F1392,1),IF(AND($I1392="Base",$E1392="Base"),Dashboard!$R$5,IF(AND($I1392="Base",$E1392="Red"),Dashboard!$R$6,IF(AND($I1392="Base",$E1392="Gold"),Dashboard!$R$7,VLOOKUP($I1392,Dashboard!$Q$16:$R$21,2,FALSE)))))*VLOOKUP($I1392,Dashboard!$Q$9:$R$13,2,FALSE)*IF(AND($I1392="Auto",$F1392="",OR($B1392="Autographs Duals",$B1392="Autographs Triples",$B1392="Autographs Quads",$B1392="Autographs Quads (Inscribed)")),IF($B1392="Autographs Duals",2,IF($B1392="Autographs Triples",3,4)),1)))</f>
        <v>142.9</v>
      </c>
      <c r="AB1392" s="62">
        <f t="shared" si="284"/>
        <v>142.9</v>
      </c>
      <c r="AC1392" s="62">
        <f t="shared" si="285"/>
        <v>0</v>
      </c>
    </row>
    <row r="1393" spans="1:29" ht="42.95" customHeight="1" x14ac:dyDescent="0.25">
      <c r="A1393" s="4" t="s">
        <v>19</v>
      </c>
      <c r="B1393" s="7" t="s">
        <v>82</v>
      </c>
      <c r="C1393" s="2" t="s">
        <v>1591</v>
      </c>
      <c r="D1393" s="7" t="s">
        <v>1188</v>
      </c>
      <c r="E1393" s="4" t="s">
        <v>689</v>
      </c>
      <c r="F1393" s="2">
        <v>7</v>
      </c>
      <c r="G1393" s="2" t="s">
        <v>1399</v>
      </c>
      <c r="H1393" s="2" t="s">
        <v>1400</v>
      </c>
      <c r="I1393" s="4" t="s">
        <v>60</v>
      </c>
      <c r="J1393" s="112">
        <f>IF($H1393&lt;&gt;"Y",0,ROUND(MIN(Dashboard!$R$24,IF(IFERROR(VLOOKUP($B1393,Dashboard!$Q$28:$S$60,2,FALSE),0)&gt;0,IFERROR(VLOOKUP($B1393,Dashboard!$Q$28:$S$60,2,FALSE),0),$Z1393*IF($U1393&lt;&gt;"",ROUND((Dashboard!$R$4/$U1393)*VLOOKUP($I1393,Dashboard!$Q$9:$R$13,2,FALSE)*IF(ISNUMBER(SEARCH("Duals",$B1393)),2,IF(ISNUMBER(SEARCH("Triples",$B1393)),3,IF(ISNUMBER(SEARCH("Quads",$B1393)),4,1))),2),ROUND(VLOOKUP($I1393,Dashboard!$Q$15:$R$20,2,FALSE)*IF($E1393="Red",Dashboard!$R$6,IF($E1393="Gold",Dashboard!$R$7,Dashboard!$R$5))*IF(ISNUMBER(SEARCH("Duals",$B1393)),2,IF(ISNUMBER(SEARCH("Triples",$B1393)),3,IF(ISNUMBER(SEARCH("Quads",$B1393)),4,1))),2))*IF(IFERROR(VLOOKUP($B1393,Dashboard!$Q$28:$S$60,3,FALSE),0)&gt;0,VLOOKUP($B1393,Dashboard!$Q$28:$S$60,3,FALSE),1))),0))</f>
        <v>143</v>
      </c>
      <c r="K1393" s="2" t="str">
        <f>IF('Base S2'!I93="","",'Base S2'!I93)</f>
        <v/>
      </c>
      <c r="L1393" s="2">
        <f t="shared" si="273"/>
        <v>0</v>
      </c>
      <c r="M1393" s="2">
        <f t="shared" si="274"/>
        <v>0</v>
      </c>
      <c r="N1393" s="2">
        <f t="shared" si="275"/>
        <v>0</v>
      </c>
      <c r="O1393" s="2">
        <f t="shared" si="276"/>
        <v>1</v>
      </c>
      <c r="P1393" s="112">
        <f t="shared" si="277"/>
        <v>0</v>
      </c>
      <c r="Q1393" s="112">
        <f t="shared" si="278"/>
        <v>0</v>
      </c>
      <c r="R1393" s="53"/>
      <c r="S1393" s="53" t="str">
        <f t="shared" si="279"/>
        <v>Base S2|The Seven Parallel - Season 2|192|The Seven</v>
      </c>
      <c r="T1393" s="57" t="str">
        <f>IF($S1393="","",IFERROR(VLOOKUP($S1393,'Pop Estimates (Non-#d)'!$N$2:$O$500,2,FALSE),""))</f>
        <v/>
      </c>
      <c r="U1393" s="57">
        <f t="shared" si="280"/>
        <v>7</v>
      </c>
      <c r="V1393" s="53" t="str">
        <f t="shared" si="281"/>
        <v/>
      </c>
      <c r="W1393" s="53" t="str">
        <f t="shared" si="282"/>
        <v/>
      </c>
      <c r="X1393" s="53" t="str">
        <f t="shared" si="283"/>
        <v/>
      </c>
      <c r="Y1393" s="57" t="str">
        <f>IF($X1393="","",IFERROR(VLOOKUP($X1393,'Char Popularity'!$A$2:$C$500,2,FALSE),""))</f>
        <v/>
      </c>
      <c r="Z1393" s="56">
        <f>IF($X1393="",1,IFERROR(VLOOKUP($X1393,'Char Popularity'!$A$2:$C$500,3,FALSE),1))</f>
        <v>1</v>
      </c>
      <c r="AA1393" s="62">
        <f>IF($H1393&lt;&gt;"Y",0,(IF($F1393&lt;&gt;"",ROUND(Dashboard!$R$4/$F1393,1),IF(AND($I1393="Base",$E1393="Base"),Dashboard!$R$5,IF(AND($I1393="Base",$E1393="Red"),Dashboard!$R$6,IF(AND($I1393="Base",$E1393="Gold"),Dashboard!$R$7,VLOOKUP($I1393,Dashboard!$Q$16:$R$21,2,FALSE)))))*VLOOKUP($I1393,Dashboard!$Q$9:$R$13,2,FALSE)*IF(AND($I1393="Auto",$F1393="",OR($B1393="Autographs Duals",$B1393="Autographs Triples",$B1393="Autographs Quads",$B1393="Autographs Quads (Inscribed)")),IF($B1393="Autographs Duals",2,IF($B1393="Autographs Triples",3,4)),1)))</f>
        <v>142.9</v>
      </c>
      <c r="AB1393" s="62">
        <f t="shared" si="284"/>
        <v>0</v>
      </c>
      <c r="AC1393" s="62">
        <f t="shared" si="285"/>
        <v>0</v>
      </c>
    </row>
    <row r="1394" spans="1:29" ht="42.95" customHeight="1" x14ac:dyDescent="0.25">
      <c r="A1394" s="4" t="s">
        <v>19</v>
      </c>
      <c r="B1394" s="7" t="s">
        <v>82</v>
      </c>
      <c r="C1394" s="2" t="s">
        <v>1592</v>
      </c>
      <c r="D1394" s="7" t="s">
        <v>1190</v>
      </c>
      <c r="E1394" s="4" t="s">
        <v>689</v>
      </c>
      <c r="F1394" s="2">
        <v>7</v>
      </c>
      <c r="G1394" s="2" t="s">
        <v>1399</v>
      </c>
      <c r="H1394" s="2" t="s">
        <v>1400</v>
      </c>
      <c r="I1394" s="4" t="s">
        <v>60</v>
      </c>
      <c r="J1394" s="112">
        <f>IF($H1394&lt;&gt;"Y",0,ROUND(MIN(Dashboard!$R$24,IF(IFERROR(VLOOKUP($B1394,Dashboard!$Q$28:$S$60,2,FALSE),0)&gt;0,IFERROR(VLOOKUP($B1394,Dashboard!$Q$28:$S$60,2,FALSE),0),$Z1394*IF($U1394&lt;&gt;"",ROUND((Dashboard!$R$4/$U1394)*VLOOKUP($I1394,Dashboard!$Q$9:$R$13,2,FALSE)*IF(ISNUMBER(SEARCH("Duals",$B1394)),2,IF(ISNUMBER(SEARCH("Triples",$B1394)),3,IF(ISNUMBER(SEARCH("Quads",$B1394)),4,1))),2),ROUND(VLOOKUP($I1394,Dashboard!$Q$15:$R$20,2,FALSE)*IF($E1394="Red",Dashboard!$R$6,IF($E1394="Gold",Dashboard!$R$7,Dashboard!$R$5))*IF(ISNUMBER(SEARCH("Duals",$B1394)),2,IF(ISNUMBER(SEARCH("Triples",$B1394)),3,IF(ISNUMBER(SEARCH("Quads",$B1394)),4,1))),2))*IF(IFERROR(VLOOKUP($B1394,Dashboard!$Q$28:$S$60,3,FALSE),0)&gt;0,VLOOKUP($B1394,Dashboard!$Q$28:$S$60,3,FALSE),1))),0))</f>
        <v>143</v>
      </c>
      <c r="K1394" s="2" t="str">
        <f>IF('Base S2'!I94="","",'Base S2'!I94)</f>
        <v/>
      </c>
      <c r="L1394" s="2">
        <f t="shared" si="273"/>
        <v>0</v>
      </c>
      <c r="M1394" s="2">
        <f t="shared" si="274"/>
        <v>0</v>
      </c>
      <c r="N1394" s="2">
        <f t="shared" si="275"/>
        <v>0</v>
      </c>
      <c r="O1394" s="2">
        <f t="shared" si="276"/>
        <v>1</v>
      </c>
      <c r="P1394" s="112">
        <f t="shared" si="277"/>
        <v>0</v>
      </c>
      <c r="Q1394" s="112">
        <f t="shared" si="278"/>
        <v>0</v>
      </c>
      <c r="R1394" s="53"/>
      <c r="S1394" s="53" t="str">
        <f t="shared" si="279"/>
        <v>Base S2|The Seven Parallel - Season 2|193|The Seven</v>
      </c>
      <c r="T1394" s="57" t="str">
        <f>IF($S1394="","",IFERROR(VLOOKUP($S1394,'Pop Estimates (Non-#d)'!$N$2:$O$500,2,FALSE),""))</f>
        <v/>
      </c>
      <c r="U1394" s="57">
        <f t="shared" si="280"/>
        <v>7</v>
      </c>
      <c r="V1394" s="53" t="str">
        <f t="shared" si="281"/>
        <v/>
      </c>
      <c r="W1394" s="53" t="str">
        <f t="shared" si="282"/>
        <v/>
      </c>
      <c r="X1394" s="53" t="str">
        <f t="shared" si="283"/>
        <v/>
      </c>
      <c r="Y1394" s="57" t="str">
        <f>IF($X1394="","",IFERROR(VLOOKUP($X1394,'Char Popularity'!$A$2:$C$500,2,FALSE),""))</f>
        <v/>
      </c>
      <c r="Z1394" s="56">
        <f>IF($X1394="",1,IFERROR(VLOOKUP($X1394,'Char Popularity'!$A$2:$C$500,3,FALSE),1))</f>
        <v>1</v>
      </c>
      <c r="AA1394" s="62">
        <f>IF($H1394&lt;&gt;"Y",0,(IF($F1394&lt;&gt;"",ROUND(Dashboard!$R$4/$F1394,1),IF(AND($I1394="Base",$E1394="Base"),Dashboard!$R$5,IF(AND($I1394="Base",$E1394="Red"),Dashboard!$R$6,IF(AND($I1394="Base",$E1394="Gold"),Dashboard!$R$7,VLOOKUP($I1394,Dashboard!$Q$16:$R$21,2,FALSE)))))*VLOOKUP($I1394,Dashboard!$Q$9:$R$13,2,FALSE)*IF(AND($I1394="Auto",$F1394="",OR($B1394="Autographs Duals",$B1394="Autographs Triples",$B1394="Autographs Quads",$B1394="Autographs Quads (Inscribed)")),IF($B1394="Autographs Duals",2,IF($B1394="Autographs Triples",3,4)),1)))</f>
        <v>142.9</v>
      </c>
      <c r="AB1394" s="62">
        <f t="shared" si="284"/>
        <v>0</v>
      </c>
      <c r="AC1394" s="62">
        <f t="shared" si="285"/>
        <v>0</v>
      </c>
    </row>
    <row r="1395" spans="1:29" ht="42.95" customHeight="1" x14ac:dyDescent="0.25">
      <c r="A1395" s="4" t="s">
        <v>19</v>
      </c>
      <c r="B1395" s="7" t="s">
        <v>82</v>
      </c>
      <c r="C1395" s="2" t="s">
        <v>1593</v>
      </c>
      <c r="D1395" s="7" t="s">
        <v>1191</v>
      </c>
      <c r="E1395" s="4" t="s">
        <v>689</v>
      </c>
      <c r="F1395" s="2">
        <v>7</v>
      </c>
      <c r="G1395" s="2" t="s">
        <v>1399</v>
      </c>
      <c r="H1395" s="2" t="s">
        <v>1400</v>
      </c>
      <c r="I1395" s="4" t="s">
        <v>60</v>
      </c>
      <c r="J1395" s="112">
        <f>IF($H1395&lt;&gt;"Y",0,ROUND(MIN(Dashboard!$R$24,IF(IFERROR(VLOOKUP($B1395,Dashboard!$Q$28:$S$60,2,FALSE),0)&gt;0,IFERROR(VLOOKUP($B1395,Dashboard!$Q$28:$S$60,2,FALSE),0),$Z1395*IF($U1395&lt;&gt;"",ROUND((Dashboard!$R$4/$U1395)*VLOOKUP($I1395,Dashboard!$Q$9:$R$13,2,FALSE)*IF(ISNUMBER(SEARCH("Duals",$B1395)),2,IF(ISNUMBER(SEARCH("Triples",$B1395)),3,IF(ISNUMBER(SEARCH("Quads",$B1395)),4,1))),2),ROUND(VLOOKUP($I1395,Dashboard!$Q$15:$R$20,2,FALSE)*IF($E1395="Red",Dashboard!$R$6,IF($E1395="Gold",Dashboard!$R$7,Dashboard!$R$5))*IF(ISNUMBER(SEARCH("Duals",$B1395)),2,IF(ISNUMBER(SEARCH("Triples",$B1395)),3,IF(ISNUMBER(SEARCH("Quads",$B1395)),4,1))),2))*IF(IFERROR(VLOOKUP($B1395,Dashboard!$Q$28:$S$60,3,FALSE),0)&gt;0,VLOOKUP($B1395,Dashboard!$Q$28:$S$60,3,FALSE),1))),0))</f>
        <v>143</v>
      </c>
      <c r="K1395" s="2" t="str">
        <f>IF('Base S2'!I95="","",'Base S2'!I95)</f>
        <v/>
      </c>
      <c r="L1395" s="2">
        <f t="shared" si="273"/>
        <v>0</v>
      </c>
      <c r="M1395" s="2">
        <f t="shared" si="274"/>
        <v>0</v>
      </c>
      <c r="N1395" s="2">
        <f t="shared" si="275"/>
        <v>0</v>
      </c>
      <c r="O1395" s="2">
        <f t="shared" si="276"/>
        <v>1</v>
      </c>
      <c r="P1395" s="112">
        <f t="shared" si="277"/>
        <v>0</v>
      </c>
      <c r="Q1395" s="112">
        <f t="shared" si="278"/>
        <v>0</v>
      </c>
      <c r="R1395" s="53"/>
      <c r="S1395" s="53" t="str">
        <f t="shared" si="279"/>
        <v>Base S2|The Seven Parallel - Season 2|194|The Seven</v>
      </c>
      <c r="T1395" s="57" t="str">
        <f>IF($S1395="","",IFERROR(VLOOKUP($S1395,'Pop Estimates (Non-#d)'!$N$2:$O$500,2,FALSE),""))</f>
        <v/>
      </c>
      <c r="U1395" s="57">
        <f t="shared" si="280"/>
        <v>7</v>
      </c>
      <c r="V1395" s="53" t="str">
        <f t="shared" si="281"/>
        <v/>
      </c>
      <c r="W1395" s="53" t="str">
        <f t="shared" si="282"/>
        <v/>
      </c>
      <c r="X1395" s="53" t="str">
        <f t="shared" si="283"/>
        <v/>
      </c>
      <c r="Y1395" s="57" t="str">
        <f>IF($X1395="","",IFERROR(VLOOKUP($X1395,'Char Popularity'!$A$2:$C$500,2,FALSE),""))</f>
        <v/>
      </c>
      <c r="Z1395" s="56">
        <f>IF($X1395="",1,IFERROR(VLOOKUP($X1395,'Char Popularity'!$A$2:$C$500,3,FALSE),1))</f>
        <v>1</v>
      </c>
      <c r="AA1395" s="62">
        <f>IF($H1395&lt;&gt;"Y",0,(IF($F1395&lt;&gt;"",ROUND(Dashboard!$R$4/$F1395,1),IF(AND($I1395="Base",$E1395="Base"),Dashboard!$R$5,IF(AND($I1395="Base",$E1395="Red"),Dashboard!$R$6,IF(AND($I1395="Base",$E1395="Gold"),Dashboard!$R$7,VLOOKUP($I1395,Dashboard!$Q$16:$R$21,2,FALSE)))))*VLOOKUP($I1395,Dashboard!$Q$9:$R$13,2,FALSE)*IF(AND($I1395="Auto",$F1395="",OR($B1395="Autographs Duals",$B1395="Autographs Triples",$B1395="Autographs Quads",$B1395="Autographs Quads (Inscribed)")),IF($B1395="Autographs Duals",2,IF($B1395="Autographs Triples",3,4)),1)))</f>
        <v>142.9</v>
      </c>
      <c r="AB1395" s="62">
        <f t="shared" si="284"/>
        <v>0</v>
      </c>
      <c r="AC1395" s="62">
        <f t="shared" si="285"/>
        <v>0</v>
      </c>
    </row>
    <row r="1396" spans="1:29" ht="42.95" customHeight="1" x14ac:dyDescent="0.25">
      <c r="A1396" s="4" t="s">
        <v>19</v>
      </c>
      <c r="B1396" s="7" t="s">
        <v>82</v>
      </c>
      <c r="C1396" s="2" t="s">
        <v>1594</v>
      </c>
      <c r="D1396" s="7" t="s">
        <v>1192</v>
      </c>
      <c r="E1396" s="4" t="s">
        <v>689</v>
      </c>
      <c r="F1396" s="2">
        <v>7</v>
      </c>
      <c r="G1396" s="2" t="s">
        <v>1399</v>
      </c>
      <c r="H1396" s="2" t="s">
        <v>1400</v>
      </c>
      <c r="I1396" s="4" t="s">
        <v>60</v>
      </c>
      <c r="J1396" s="112">
        <f>IF($H1396&lt;&gt;"Y",0,ROUND(MIN(Dashboard!$R$24,IF(IFERROR(VLOOKUP($B1396,Dashboard!$Q$28:$S$60,2,FALSE),0)&gt;0,IFERROR(VLOOKUP($B1396,Dashboard!$Q$28:$S$60,2,FALSE),0),$Z1396*IF($U1396&lt;&gt;"",ROUND((Dashboard!$R$4/$U1396)*VLOOKUP($I1396,Dashboard!$Q$9:$R$13,2,FALSE)*IF(ISNUMBER(SEARCH("Duals",$B1396)),2,IF(ISNUMBER(SEARCH("Triples",$B1396)),3,IF(ISNUMBER(SEARCH("Quads",$B1396)),4,1))),2),ROUND(VLOOKUP($I1396,Dashboard!$Q$15:$R$20,2,FALSE)*IF($E1396="Red",Dashboard!$R$6,IF($E1396="Gold",Dashboard!$R$7,Dashboard!$R$5))*IF(ISNUMBER(SEARCH("Duals",$B1396)),2,IF(ISNUMBER(SEARCH("Triples",$B1396)),3,IF(ISNUMBER(SEARCH("Quads",$B1396)),4,1))),2))*IF(IFERROR(VLOOKUP($B1396,Dashboard!$Q$28:$S$60,3,FALSE),0)&gt;0,VLOOKUP($B1396,Dashboard!$Q$28:$S$60,3,FALSE),1))),0))</f>
        <v>143</v>
      </c>
      <c r="K1396" s="2" t="str">
        <f>IF('Base S2'!I96="","",'Base S2'!I96)</f>
        <v/>
      </c>
      <c r="L1396" s="2">
        <f t="shared" si="273"/>
        <v>0</v>
      </c>
      <c r="M1396" s="2">
        <f t="shared" si="274"/>
        <v>0</v>
      </c>
      <c r="N1396" s="2">
        <f t="shared" si="275"/>
        <v>0</v>
      </c>
      <c r="O1396" s="2">
        <f t="shared" si="276"/>
        <v>1</v>
      </c>
      <c r="P1396" s="112">
        <f t="shared" si="277"/>
        <v>0</v>
      </c>
      <c r="Q1396" s="112">
        <f t="shared" si="278"/>
        <v>0</v>
      </c>
      <c r="R1396" s="53"/>
      <c r="S1396" s="53" t="str">
        <f t="shared" si="279"/>
        <v>Base S2|The Seven Parallel - Season 2|195|The Seven</v>
      </c>
      <c r="T1396" s="57" t="str">
        <f>IF($S1396="","",IFERROR(VLOOKUP($S1396,'Pop Estimates (Non-#d)'!$N$2:$O$500,2,FALSE),""))</f>
        <v/>
      </c>
      <c r="U1396" s="57">
        <f t="shared" si="280"/>
        <v>7</v>
      </c>
      <c r="V1396" s="53" t="str">
        <f t="shared" si="281"/>
        <v/>
      </c>
      <c r="W1396" s="53" t="str">
        <f t="shared" si="282"/>
        <v/>
      </c>
      <c r="X1396" s="53" t="str">
        <f t="shared" si="283"/>
        <v/>
      </c>
      <c r="Y1396" s="57" t="str">
        <f>IF($X1396="","",IFERROR(VLOOKUP($X1396,'Char Popularity'!$A$2:$C$500,2,FALSE),""))</f>
        <v/>
      </c>
      <c r="Z1396" s="56">
        <f>IF($X1396="",1,IFERROR(VLOOKUP($X1396,'Char Popularity'!$A$2:$C$500,3,FALSE),1))</f>
        <v>1</v>
      </c>
      <c r="AA1396" s="62">
        <f>IF($H1396&lt;&gt;"Y",0,(IF($F1396&lt;&gt;"",ROUND(Dashboard!$R$4/$F1396,1),IF(AND($I1396="Base",$E1396="Base"),Dashboard!$R$5,IF(AND($I1396="Base",$E1396="Red"),Dashboard!$R$6,IF(AND($I1396="Base",$E1396="Gold"),Dashboard!$R$7,VLOOKUP($I1396,Dashboard!$Q$16:$R$21,2,FALSE)))))*VLOOKUP($I1396,Dashboard!$Q$9:$R$13,2,FALSE)*IF(AND($I1396="Auto",$F1396="",OR($B1396="Autographs Duals",$B1396="Autographs Triples",$B1396="Autographs Quads",$B1396="Autographs Quads (Inscribed)")),IF($B1396="Autographs Duals",2,IF($B1396="Autographs Triples",3,4)),1)))</f>
        <v>142.9</v>
      </c>
      <c r="AB1396" s="62">
        <f t="shared" si="284"/>
        <v>0</v>
      </c>
      <c r="AC1396" s="62">
        <f t="shared" si="285"/>
        <v>0</v>
      </c>
    </row>
    <row r="1397" spans="1:29" ht="42.95" customHeight="1" x14ac:dyDescent="0.25">
      <c r="A1397" s="4" t="s">
        <v>19</v>
      </c>
      <c r="B1397" s="7" t="s">
        <v>82</v>
      </c>
      <c r="C1397" s="2" t="s">
        <v>1595</v>
      </c>
      <c r="D1397" s="7" t="s">
        <v>1193</v>
      </c>
      <c r="E1397" s="4" t="s">
        <v>689</v>
      </c>
      <c r="F1397" s="2">
        <v>7</v>
      </c>
      <c r="G1397" s="2" t="s">
        <v>1399</v>
      </c>
      <c r="H1397" s="2" t="s">
        <v>1400</v>
      </c>
      <c r="I1397" s="4" t="s">
        <v>60</v>
      </c>
      <c r="J1397" s="112">
        <f>IF($H1397&lt;&gt;"Y",0,ROUND(MIN(Dashboard!$R$24,IF(IFERROR(VLOOKUP($B1397,Dashboard!$Q$28:$S$60,2,FALSE),0)&gt;0,IFERROR(VLOOKUP($B1397,Dashboard!$Q$28:$S$60,2,FALSE),0),$Z1397*IF($U1397&lt;&gt;"",ROUND((Dashboard!$R$4/$U1397)*VLOOKUP($I1397,Dashboard!$Q$9:$R$13,2,FALSE)*IF(ISNUMBER(SEARCH("Duals",$B1397)),2,IF(ISNUMBER(SEARCH("Triples",$B1397)),3,IF(ISNUMBER(SEARCH("Quads",$B1397)),4,1))),2),ROUND(VLOOKUP($I1397,Dashboard!$Q$15:$R$20,2,FALSE)*IF($E1397="Red",Dashboard!$R$6,IF($E1397="Gold",Dashboard!$R$7,Dashboard!$R$5))*IF(ISNUMBER(SEARCH("Duals",$B1397)),2,IF(ISNUMBER(SEARCH("Triples",$B1397)),3,IF(ISNUMBER(SEARCH("Quads",$B1397)),4,1))),2))*IF(IFERROR(VLOOKUP($B1397,Dashboard!$Q$28:$S$60,3,FALSE),0)&gt;0,VLOOKUP($B1397,Dashboard!$Q$28:$S$60,3,FALSE),1))),0))</f>
        <v>143</v>
      </c>
      <c r="K1397" s="2" t="str">
        <f>IF('Base S2'!I97="","",'Base S2'!I97)</f>
        <v/>
      </c>
      <c r="L1397" s="2">
        <f t="shared" si="273"/>
        <v>0</v>
      </c>
      <c r="M1397" s="2">
        <f t="shared" si="274"/>
        <v>0</v>
      </c>
      <c r="N1397" s="2">
        <f t="shared" si="275"/>
        <v>0</v>
      </c>
      <c r="O1397" s="2">
        <f t="shared" si="276"/>
        <v>1</v>
      </c>
      <c r="P1397" s="112">
        <f t="shared" si="277"/>
        <v>0</v>
      </c>
      <c r="Q1397" s="112">
        <f t="shared" si="278"/>
        <v>0</v>
      </c>
      <c r="R1397" s="53"/>
      <c r="S1397" s="53" t="str">
        <f t="shared" si="279"/>
        <v>Base S2|The Seven Parallel - Season 2|196|The Seven</v>
      </c>
      <c r="T1397" s="57" t="str">
        <f>IF($S1397="","",IFERROR(VLOOKUP($S1397,'Pop Estimates (Non-#d)'!$N$2:$O$500,2,FALSE),""))</f>
        <v/>
      </c>
      <c r="U1397" s="57">
        <f t="shared" si="280"/>
        <v>7</v>
      </c>
      <c r="V1397" s="53" t="str">
        <f t="shared" si="281"/>
        <v/>
      </c>
      <c r="W1397" s="53" t="str">
        <f t="shared" si="282"/>
        <v/>
      </c>
      <c r="X1397" s="53" t="str">
        <f t="shared" si="283"/>
        <v/>
      </c>
      <c r="Y1397" s="57" t="str">
        <f>IF($X1397="","",IFERROR(VLOOKUP($X1397,'Char Popularity'!$A$2:$C$500,2,FALSE),""))</f>
        <v/>
      </c>
      <c r="Z1397" s="56">
        <f>IF($X1397="",1,IFERROR(VLOOKUP($X1397,'Char Popularity'!$A$2:$C$500,3,FALSE),1))</f>
        <v>1</v>
      </c>
      <c r="AA1397" s="62">
        <f>IF($H1397&lt;&gt;"Y",0,(IF($F1397&lt;&gt;"",ROUND(Dashboard!$R$4/$F1397,1),IF(AND($I1397="Base",$E1397="Base"),Dashboard!$R$5,IF(AND($I1397="Base",$E1397="Red"),Dashboard!$R$6,IF(AND($I1397="Base",$E1397="Gold"),Dashboard!$R$7,VLOOKUP($I1397,Dashboard!$Q$16:$R$21,2,FALSE)))))*VLOOKUP($I1397,Dashboard!$Q$9:$R$13,2,FALSE)*IF(AND($I1397="Auto",$F1397="",OR($B1397="Autographs Duals",$B1397="Autographs Triples",$B1397="Autographs Quads",$B1397="Autographs Quads (Inscribed)")),IF($B1397="Autographs Duals",2,IF($B1397="Autographs Triples",3,4)),1)))</f>
        <v>142.9</v>
      </c>
      <c r="AB1397" s="62">
        <f t="shared" si="284"/>
        <v>0</v>
      </c>
      <c r="AC1397" s="62">
        <f t="shared" si="285"/>
        <v>0</v>
      </c>
    </row>
    <row r="1398" spans="1:29" ht="42.95" customHeight="1" x14ac:dyDescent="0.25">
      <c r="A1398" s="4" t="s">
        <v>19</v>
      </c>
      <c r="B1398" s="7" t="s">
        <v>82</v>
      </c>
      <c r="C1398" s="2" t="s">
        <v>1596</v>
      </c>
      <c r="D1398" s="7" t="s">
        <v>1195</v>
      </c>
      <c r="E1398" s="4" t="s">
        <v>689</v>
      </c>
      <c r="F1398" s="2">
        <v>7</v>
      </c>
      <c r="G1398" s="2" t="s">
        <v>1399</v>
      </c>
      <c r="H1398" s="2" t="s">
        <v>1400</v>
      </c>
      <c r="I1398" s="4" t="s">
        <v>60</v>
      </c>
      <c r="J1398" s="112">
        <f>IF($H1398&lt;&gt;"Y",0,ROUND(MIN(Dashboard!$R$24,IF(IFERROR(VLOOKUP($B1398,Dashboard!$Q$28:$S$60,2,FALSE),0)&gt;0,IFERROR(VLOOKUP($B1398,Dashboard!$Q$28:$S$60,2,FALSE),0),$Z1398*IF($U1398&lt;&gt;"",ROUND((Dashboard!$R$4/$U1398)*VLOOKUP($I1398,Dashboard!$Q$9:$R$13,2,FALSE)*IF(ISNUMBER(SEARCH("Duals",$B1398)),2,IF(ISNUMBER(SEARCH("Triples",$B1398)),3,IF(ISNUMBER(SEARCH("Quads",$B1398)),4,1))),2),ROUND(VLOOKUP($I1398,Dashboard!$Q$15:$R$20,2,FALSE)*IF($E1398="Red",Dashboard!$R$6,IF($E1398="Gold",Dashboard!$R$7,Dashboard!$R$5))*IF(ISNUMBER(SEARCH("Duals",$B1398)),2,IF(ISNUMBER(SEARCH("Triples",$B1398)),3,IF(ISNUMBER(SEARCH("Quads",$B1398)),4,1))),2))*IF(IFERROR(VLOOKUP($B1398,Dashboard!$Q$28:$S$60,3,FALSE),0)&gt;0,VLOOKUP($B1398,Dashboard!$Q$28:$S$60,3,FALSE),1))),0))</f>
        <v>143</v>
      </c>
      <c r="K1398" s="2" t="str">
        <f>IF('Base S2'!I98="","",'Base S2'!I98)</f>
        <v/>
      </c>
      <c r="L1398" s="2">
        <f t="shared" si="273"/>
        <v>0</v>
      </c>
      <c r="M1398" s="2">
        <f t="shared" si="274"/>
        <v>0</v>
      </c>
      <c r="N1398" s="2">
        <f t="shared" si="275"/>
        <v>0</v>
      </c>
      <c r="O1398" s="2">
        <f t="shared" si="276"/>
        <v>1</v>
      </c>
      <c r="P1398" s="112">
        <f t="shared" si="277"/>
        <v>0</v>
      </c>
      <c r="Q1398" s="112">
        <f t="shared" si="278"/>
        <v>0</v>
      </c>
      <c r="R1398" s="53"/>
      <c r="S1398" s="53" t="str">
        <f t="shared" si="279"/>
        <v>Base S2|The Seven Parallel - Season 2|197|The Seven</v>
      </c>
      <c r="T1398" s="57" t="str">
        <f>IF($S1398="","",IFERROR(VLOOKUP($S1398,'Pop Estimates (Non-#d)'!$N$2:$O$500,2,FALSE),""))</f>
        <v/>
      </c>
      <c r="U1398" s="57">
        <f t="shared" si="280"/>
        <v>7</v>
      </c>
      <c r="V1398" s="53" t="str">
        <f t="shared" si="281"/>
        <v/>
      </c>
      <c r="W1398" s="53" t="str">
        <f t="shared" si="282"/>
        <v/>
      </c>
      <c r="X1398" s="53" t="str">
        <f t="shared" si="283"/>
        <v/>
      </c>
      <c r="Y1398" s="57" t="str">
        <f>IF($X1398="","",IFERROR(VLOOKUP($X1398,'Char Popularity'!$A$2:$C$500,2,FALSE),""))</f>
        <v/>
      </c>
      <c r="Z1398" s="56">
        <f>IF($X1398="",1,IFERROR(VLOOKUP($X1398,'Char Popularity'!$A$2:$C$500,3,FALSE),1))</f>
        <v>1</v>
      </c>
      <c r="AA1398" s="62">
        <f>IF($H1398&lt;&gt;"Y",0,(IF($F1398&lt;&gt;"",ROUND(Dashboard!$R$4/$F1398,1),IF(AND($I1398="Base",$E1398="Base"),Dashboard!$R$5,IF(AND($I1398="Base",$E1398="Red"),Dashboard!$R$6,IF(AND($I1398="Base",$E1398="Gold"),Dashboard!$R$7,VLOOKUP($I1398,Dashboard!$Q$16:$R$21,2,FALSE)))))*VLOOKUP($I1398,Dashboard!$Q$9:$R$13,2,FALSE)*IF(AND($I1398="Auto",$F1398="",OR($B1398="Autographs Duals",$B1398="Autographs Triples",$B1398="Autographs Quads",$B1398="Autographs Quads (Inscribed)")),IF($B1398="Autographs Duals",2,IF($B1398="Autographs Triples",3,4)),1)))</f>
        <v>142.9</v>
      </c>
      <c r="AB1398" s="62">
        <f t="shared" si="284"/>
        <v>0</v>
      </c>
      <c r="AC1398" s="62">
        <f t="shared" si="285"/>
        <v>0</v>
      </c>
    </row>
    <row r="1399" spans="1:29" ht="42.95" customHeight="1" x14ac:dyDescent="0.25">
      <c r="A1399" s="4" t="s">
        <v>19</v>
      </c>
      <c r="B1399" s="7" t="s">
        <v>82</v>
      </c>
      <c r="C1399" s="2" t="s">
        <v>1597</v>
      </c>
      <c r="D1399" s="7" t="s">
        <v>1197</v>
      </c>
      <c r="E1399" s="4" t="s">
        <v>689</v>
      </c>
      <c r="F1399" s="2">
        <v>7</v>
      </c>
      <c r="G1399" s="2" t="s">
        <v>1399</v>
      </c>
      <c r="H1399" s="2" t="s">
        <v>1400</v>
      </c>
      <c r="I1399" s="4" t="s">
        <v>60</v>
      </c>
      <c r="J1399" s="112">
        <f>IF($H1399&lt;&gt;"Y",0,ROUND(MIN(Dashboard!$R$24,IF(IFERROR(VLOOKUP($B1399,Dashboard!$Q$28:$S$60,2,FALSE),0)&gt;0,IFERROR(VLOOKUP($B1399,Dashboard!$Q$28:$S$60,2,FALSE),0),$Z1399*IF($U1399&lt;&gt;"",ROUND((Dashboard!$R$4/$U1399)*VLOOKUP($I1399,Dashboard!$Q$9:$R$13,2,FALSE)*IF(ISNUMBER(SEARCH("Duals",$B1399)),2,IF(ISNUMBER(SEARCH("Triples",$B1399)),3,IF(ISNUMBER(SEARCH("Quads",$B1399)),4,1))),2),ROUND(VLOOKUP($I1399,Dashboard!$Q$15:$R$20,2,FALSE)*IF($E1399="Red",Dashboard!$R$6,IF($E1399="Gold",Dashboard!$R$7,Dashboard!$R$5))*IF(ISNUMBER(SEARCH("Duals",$B1399)),2,IF(ISNUMBER(SEARCH("Triples",$B1399)),3,IF(ISNUMBER(SEARCH("Quads",$B1399)),4,1))),2))*IF(IFERROR(VLOOKUP($B1399,Dashboard!$Q$28:$S$60,3,FALSE),0)&gt;0,VLOOKUP($B1399,Dashboard!$Q$28:$S$60,3,FALSE),1))),0))</f>
        <v>143</v>
      </c>
      <c r="K1399" s="2" t="str">
        <f>IF('Base S2'!I99="","",'Base S2'!I99)</f>
        <v/>
      </c>
      <c r="L1399" s="2">
        <f t="shared" si="273"/>
        <v>0</v>
      </c>
      <c r="M1399" s="2">
        <f t="shared" si="274"/>
        <v>0</v>
      </c>
      <c r="N1399" s="2">
        <f t="shared" si="275"/>
        <v>0</v>
      </c>
      <c r="O1399" s="2">
        <f t="shared" si="276"/>
        <v>1</v>
      </c>
      <c r="P1399" s="112">
        <f t="shared" si="277"/>
        <v>0</v>
      </c>
      <c r="Q1399" s="112">
        <f t="shared" si="278"/>
        <v>0</v>
      </c>
      <c r="R1399" s="53"/>
      <c r="S1399" s="53" t="str">
        <f t="shared" si="279"/>
        <v>Base S2|The Seven Parallel - Season 2|198|The Seven</v>
      </c>
      <c r="T1399" s="57" t="str">
        <f>IF($S1399="","",IFERROR(VLOOKUP($S1399,'Pop Estimates (Non-#d)'!$N$2:$O$500,2,FALSE),""))</f>
        <v/>
      </c>
      <c r="U1399" s="57">
        <f t="shared" si="280"/>
        <v>7</v>
      </c>
      <c r="V1399" s="53" t="str">
        <f t="shared" si="281"/>
        <v/>
      </c>
      <c r="W1399" s="53" t="str">
        <f t="shared" si="282"/>
        <v/>
      </c>
      <c r="X1399" s="53" t="str">
        <f t="shared" si="283"/>
        <v/>
      </c>
      <c r="Y1399" s="57" t="str">
        <f>IF($X1399="","",IFERROR(VLOOKUP($X1399,'Char Popularity'!$A$2:$C$500,2,FALSE),""))</f>
        <v/>
      </c>
      <c r="Z1399" s="56">
        <f>IF($X1399="",1,IFERROR(VLOOKUP($X1399,'Char Popularity'!$A$2:$C$500,3,FALSE),1))</f>
        <v>1</v>
      </c>
      <c r="AA1399" s="62">
        <f>IF($H1399&lt;&gt;"Y",0,(IF($F1399&lt;&gt;"",ROUND(Dashboard!$R$4/$F1399,1),IF(AND($I1399="Base",$E1399="Base"),Dashboard!$R$5,IF(AND($I1399="Base",$E1399="Red"),Dashboard!$R$6,IF(AND($I1399="Base",$E1399="Gold"),Dashboard!$R$7,VLOOKUP($I1399,Dashboard!$Q$16:$R$21,2,FALSE)))))*VLOOKUP($I1399,Dashboard!$Q$9:$R$13,2,FALSE)*IF(AND($I1399="Auto",$F1399="",OR($B1399="Autographs Duals",$B1399="Autographs Triples",$B1399="Autographs Quads",$B1399="Autographs Quads (Inscribed)")),IF($B1399="Autographs Duals",2,IF($B1399="Autographs Triples",3,4)),1)))</f>
        <v>142.9</v>
      </c>
      <c r="AB1399" s="62">
        <f t="shared" si="284"/>
        <v>0</v>
      </c>
      <c r="AC1399" s="62">
        <f t="shared" si="285"/>
        <v>0</v>
      </c>
    </row>
    <row r="1400" spans="1:29" ht="42.95" customHeight="1" x14ac:dyDescent="0.25">
      <c r="A1400" s="4" t="s">
        <v>19</v>
      </c>
      <c r="B1400" s="7" t="s">
        <v>82</v>
      </c>
      <c r="C1400" s="2" t="s">
        <v>1598</v>
      </c>
      <c r="D1400" s="7" t="s">
        <v>1199</v>
      </c>
      <c r="E1400" s="4" t="s">
        <v>689</v>
      </c>
      <c r="F1400" s="2">
        <v>7</v>
      </c>
      <c r="G1400" s="2" t="s">
        <v>1399</v>
      </c>
      <c r="H1400" s="2" t="s">
        <v>1400</v>
      </c>
      <c r="I1400" s="4" t="s">
        <v>60</v>
      </c>
      <c r="J1400" s="112">
        <f>IF($H1400&lt;&gt;"Y",0,ROUND(MIN(Dashboard!$R$24,IF(IFERROR(VLOOKUP($B1400,Dashboard!$Q$28:$S$60,2,FALSE),0)&gt;0,IFERROR(VLOOKUP($B1400,Dashboard!$Q$28:$S$60,2,FALSE),0),$Z1400*IF($U1400&lt;&gt;"",ROUND((Dashboard!$R$4/$U1400)*VLOOKUP($I1400,Dashboard!$Q$9:$R$13,2,FALSE)*IF(ISNUMBER(SEARCH("Duals",$B1400)),2,IF(ISNUMBER(SEARCH("Triples",$B1400)),3,IF(ISNUMBER(SEARCH("Quads",$B1400)),4,1))),2),ROUND(VLOOKUP($I1400,Dashboard!$Q$15:$R$20,2,FALSE)*IF($E1400="Red",Dashboard!$R$6,IF($E1400="Gold",Dashboard!$R$7,Dashboard!$R$5))*IF(ISNUMBER(SEARCH("Duals",$B1400)),2,IF(ISNUMBER(SEARCH("Triples",$B1400)),3,IF(ISNUMBER(SEARCH("Quads",$B1400)),4,1))),2))*IF(IFERROR(VLOOKUP($B1400,Dashboard!$Q$28:$S$60,3,FALSE),0)&gt;0,VLOOKUP($B1400,Dashboard!$Q$28:$S$60,3,FALSE),1))),0))</f>
        <v>143</v>
      </c>
      <c r="K1400" s="2" t="str">
        <f>IF('Base S2'!I100="","",'Base S2'!I100)</f>
        <v>V 5/7</v>
      </c>
      <c r="L1400" s="2">
        <f t="shared" si="273"/>
        <v>1</v>
      </c>
      <c r="M1400" s="2">
        <f t="shared" si="274"/>
        <v>0</v>
      </c>
      <c r="N1400" s="2">
        <f t="shared" si="275"/>
        <v>1</v>
      </c>
      <c r="O1400" s="2">
        <f t="shared" si="276"/>
        <v>0</v>
      </c>
      <c r="P1400" s="112">
        <f t="shared" si="277"/>
        <v>143</v>
      </c>
      <c r="Q1400" s="112">
        <f t="shared" si="278"/>
        <v>0</v>
      </c>
      <c r="R1400" s="53"/>
      <c r="S1400" s="53" t="str">
        <f t="shared" si="279"/>
        <v>Base S2|The Seven Parallel - Season 2|199|The Seven</v>
      </c>
      <c r="T1400" s="57" t="str">
        <f>IF($S1400="","",IFERROR(VLOOKUP($S1400,'Pop Estimates (Non-#d)'!$N$2:$O$500,2,FALSE),""))</f>
        <v/>
      </c>
      <c r="U1400" s="57">
        <f t="shared" si="280"/>
        <v>7</v>
      </c>
      <c r="V1400" s="53" t="str">
        <f t="shared" si="281"/>
        <v/>
      </c>
      <c r="W1400" s="53" t="str">
        <f t="shared" si="282"/>
        <v/>
      </c>
      <c r="X1400" s="53" t="str">
        <f t="shared" si="283"/>
        <v/>
      </c>
      <c r="Y1400" s="57" t="str">
        <f>IF($X1400="","",IFERROR(VLOOKUP($X1400,'Char Popularity'!$A$2:$C$500,2,FALSE),""))</f>
        <v/>
      </c>
      <c r="Z1400" s="56">
        <f>IF($X1400="",1,IFERROR(VLOOKUP($X1400,'Char Popularity'!$A$2:$C$500,3,FALSE),1))</f>
        <v>1</v>
      </c>
      <c r="AA1400" s="62">
        <f>IF($H1400&lt;&gt;"Y",0,(IF($F1400&lt;&gt;"",ROUND(Dashboard!$R$4/$F1400,1),IF(AND($I1400="Base",$E1400="Base"),Dashboard!$R$5,IF(AND($I1400="Base",$E1400="Red"),Dashboard!$R$6,IF(AND($I1400="Base",$E1400="Gold"),Dashboard!$R$7,VLOOKUP($I1400,Dashboard!$Q$16:$R$21,2,FALSE)))))*VLOOKUP($I1400,Dashboard!$Q$9:$R$13,2,FALSE)*IF(AND($I1400="Auto",$F1400="",OR($B1400="Autographs Duals",$B1400="Autographs Triples",$B1400="Autographs Quads",$B1400="Autographs Quads (Inscribed)")),IF($B1400="Autographs Duals",2,IF($B1400="Autographs Triples",3,4)),1)))</f>
        <v>142.9</v>
      </c>
      <c r="AB1400" s="62">
        <f t="shared" si="284"/>
        <v>142.9</v>
      </c>
      <c r="AC1400" s="62">
        <f t="shared" si="285"/>
        <v>0</v>
      </c>
    </row>
    <row r="1401" spans="1:29" ht="42.95" customHeight="1" x14ac:dyDescent="0.25">
      <c r="A1401" s="4" t="s">
        <v>19</v>
      </c>
      <c r="B1401" s="7" t="s">
        <v>82</v>
      </c>
      <c r="C1401" s="2" t="s">
        <v>1599</v>
      </c>
      <c r="D1401" s="7" t="s">
        <v>1201</v>
      </c>
      <c r="E1401" s="4" t="s">
        <v>689</v>
      </c>
      <c r="F1401" s="2">
        <v>7</v>
      </c>
      <c r="G1401" s="2" t="s">
        <v>1399</v>
      </c>
      <c r="H1401" s="2" t="s">
        <v>1400</v>
      </c>
      <c r="I1401" s="4" t="s">
        <v>60</v>
      </c>
      <c r="J1401" s="112">
        <f>IF($H1401&lt;&gt;"Y",0,ROUND(MIN(Dashboard!$R$24,IF(IFERROR(VLOOKUP($B1401,Dashboard!$Q$28:$S$60,2,FALSE),0)&gt;0,IFERROR(VLOOKUP($B1401,Dashboard!$Q$28:$S$60,2,FALSE),0),$Z1401*IF($U1401&lt;&gt;"",ROUND((Dashboard!$R$4/$U1401)*VLOOKUP($I1401,Dashboard!$Q$9:$R$13,2,FALSE)*IF(ISNUMBER(SEARCH("Duals",$B1401)),2,IF(ISNUMBER(SEARCH("Triples",$B1401)),3,IF(ISNUMBER(SEARCH("Quads",$B1401)),4,1))),2),ROUND(VLOOKUP($I1401,Dashboard!$Q$15:$R$20,2,FALSE)*IF($E1401="Red",Dashboard!$R$6,IF($E1401="Gold",Dashboard!$R$7,Dashboard!$R$5))*IF(ISNUMBER(SEARCH("Duals",$B1401)),2,IF(ISNUMBER(SEARCH("Triples",$B1401)),3,IF(ISNUMBER(SEARCH("Quads",$B1401)),4,1))),2))*IF(IFERROR(VLOOKUP($B1401,Dashboard!$Q$28:$S$60,3,FALSE),0)&gt;0,VLOOKUP($B1401,Dashboard!$Q$28:$S$60,3,FALSE),1))),0))</f>
        <v>143</v>
      </c>
      <c r="K1401" s="2" t="str">
        <f>IF('Base S2'!I101="","",'Base S2'!I101)</f>
        <v/>
      </c>
      <c r="L1401" s="2">
        <f t="shared" si="273"/>
        <v>0</v>
      </c>
      <c r="M1401" s="2">
        <f t="shared" si="274"/>
        <v>0</v>
      </c>
      <c r="N1401" s="2">
        <f t="shared" si="275"/>
        <v>0</v>
      </c>
      <c r="O1401" s="2">
        <f t="shared" si="276"/>
        <v>1</v>
      </c>
      <c r="P1401" s="112">
        <f t="shared" si="277"/>
        <v>0</v>
      </c>
      <c r="Q1401" s="112">
        <f t="shared" si="278"/>
        <v>0</v>
      </c>
      <c r="R1401" s="53"/>
      <c r="S1401" s="53" t="str">
        <f t="shared" si="279"/>
        <v>Base S2|The Seven Parallel - Season 2|200|The Seven</v>
      </c>
      <c r="T1401" s="57" t="str">
        <f>IF($S1401="","",IFERROR(VLOOKUP($S1401,'Pop Estimates (Non-#d)'!$N$2:$O$500,2,FALSE),""))</f>
        <v/>
      </c>
      <c r="U1401" s="57">
        <f t="shared" si="280"/>
        <v>7</v>
      </c>
      <c r="V1401" s="53" t="str">
        <f t="shared" si="281"/>
        <v/>
      </c>
      <c r="W1401" s="53" t="str">
        <f t="shared" si="282"/>
        <v/>
      </c>
      <c r="X1401" s="53" t="str">
        <f t="shared" si="283"/>
        <v/>
      </c>
      <c r="Y1401" s="57" t="str">
        <f>IF($X1401="","",IFERROR(VLOOKUP($X1401,'Char Popularity'!$A$2:$C$500,2,FALSE),""))</f>
        <v/>
      </c>
      <c r="Z1401" s="56">
        <f>IF($X1401="",1,IFERROR(VLOOKUP($X1401,'Char Popularity'!$A$2:$C$500,3,FALSE),1))</f>
        <v>1</v>
      </c>
      <c r="AA1401" s="62">
        <f>IF($H1401&lt;&gt;"Y",0,(IF($F1401&lt;&gt;"",ROUND(Dashboard!$R$4/$F1401,1),IF(AND($I1401="Base",$E1401="Base"),Dashboard!$R$5,IF(AND($I1401="Base",$E1401="Red"),Dashboard!$R$6,IF(AND($I1401="Base",$E1401="Gold"),Dashboard!$R$7,VLOOKUP($I1401,Dashboard!$Q$16:$R$21,2,FALSE)))))*VLOOKUP($I1401,Dashboard!$Q$9:$R$13,2,FALSE)*IF(AND($I1401="Auto",$F1401="",OR($B1401="Autographs Duals",$B1401="Autographs Triples",$B1401="Autographs Quads",$B1401="Autographs Quads (Inscribed)")),IF($B1401="Autographs Duals",2,IF($B1401="Autographs Triples",3,4)),1)))</f>
        <v>142.9</v>
      </c>
      <c r="AB1401" s="62">
        <f t="shared" si="284"/>
        <v>0</v>
      </c>
      <c r="AC1401" s="62">
        <f t="shared" si="285"/>
        <v>0</v>
      </c>
    </row>
    <row r="1402" spans="1:29" ht="28.7" customHeight="1" x14ac:dyDescent="0.25">
      <c r="A1402" s="4" t="s">
        <v>21</v>
      </c>
      <c r="B1402" s="7" t="s">
        <v>21</v>
      </c>
      <c r="C1402" s="2" t="s">
        <v>409</v>
      </c>
      <c r="D1402" s="7" t="s">
        <v>263</v>
      </c>
      <c r="E1402" s="4" t="s">
        <v>60</v>
      </c>
      <c r="F1402" s="2"/>
      <c r="G1402" s="2" t="s">
        <v>1399</v>
      </c>
      <c r="H1402" s="2" t="s">
        <v>1400</v>
      </c>
      <c r="I1402" s="4" t="s">
        <v>60</v>
      </c>
      <c r="J1402" s="112">
        <f>IF($H1402&lt;&gt;"Y",0,ROUND(MIN(Dashboard!$R$24,IF(IFERROR(VLOOKUP($B1402,Dashboard!$Q$28:$S$60,2,FALSE),0)&gt;0,IFERROR(VLOOKUP($B1402,Dashboard!$Q$28:$S$60,2,FALSE),0),$Z1402*IF($U1402&lt;&gt;"",ROUND((Dashboard!$R$4/$U1402)*VLOOKUP($I1402,Dashboard!$Q$9:$R$13,2,FALSE)*IF(ISNUMBER(SEARCH("Duals",$B1402)),2,IF(ISNUMBER(SEARCH("Triples",$B1402)),3,IF(ISNUMBER(SEARCH("Quads",$B1402)),4,1))),2),ROUND(VLOOKUP($I1402,Dashboard!$Q$15:$R$20,2,FALSE)*IF($E1402="Red",Dashboard!$R$6,IF($E1402="Gold",Dashboard!$R$7,Dashboard!$R$5))*IF(ISNUMBER(SEARCH("Duals",$B1402)),2,IF(ISNUMBER(SEARCH("Triples",$B1402)),3,IF(ISNUMBER(SEARCH("Quads",$B1402)),4,1))),2))*IF(IFERROR(VLOOKUP($B1402,Dashboard!$Q$28:$S$60,3,FALSE),0)&gt;0,VLOOKUP($B1402,Dashboard!$Q$28:$S$60,3,FALSE),1))),0))</f>
        <v>1</v>
      </c>
      <c r="K1402" s="2" t="str">
        <f>IF(Characters!C2="","",Characters!C2)</f>
        <v>h</v>
      </c>
      <c r="L1402" s="2">
        <f t="shared" si="273"/>
        <v>1</v>
      </c>
      <c r="M1402" s="2">
        <f t="shared" si="274"/>
        <v>0</v>
      </c>
      <c r="N1402" s="2">
        <f t="shared" si="275"/>
        <v>1</v>
      </c>
      <c r="O1402" s="2">
        <f t="shared" si="276"/>
        <v>0</v>
      </c>
      <c r="P1402" s="112">
        <f t="shared" si="277"/>
        <v>1</v>
      </c>
      <c r="Q1402" s="112">
        <f t="shared" si="278"/>
        <v>0</v>
      </c>
      <c r="R1402" s="53"/>
      <c r="S1402" s="53" t="str">
        <f t="shared" si="279"/>
        <v>Characters|Characters|C-1|Base</v>
      </c>
      <c r="T1402" s="57" t="str">
        <f>IF($S1402="","",IFERROR(VLOOKUP($S1402,'Pop Estimates (Non-#d)'!$N$2:$O$500,2,FALSE),""))</f>
        <v/>
      </c>
      <c r="U1402" s="57" t="str">
        <f t="shared" si="280"/>
        <v/>
      </c>
      <c r="V1402" s="53" t="str">
        <f t="shared" si="281"/>
        <v>Hughie Campbell</v>
      </c>
      <c r="W1402" s="53" t="str">
        <f t="shared" si="282"/>
        <v>Hughie Campbell</v>
      </c>
      <c r="X1402" s="53" t="str">
        <f t="shared" si="283"/>
        <v>Hughie Campbell</v>
      </c>
      <c r="Y1402" s="57">
        <f>IF($X1402="","",IFERROR(VLOOKUP($X1402,'Char Popularity'!$A$2:$C$500,2,FALSE),""))</f>
        <v>5</v>
      </c>
      <c r="Z1402" s="56">
        <f>IF($X1402="",1,IFERROR(VLOOKUP($X1402,'Char Popularity'!$A$2:$C$500,3,FALSE),1))</f>
        <v>1.2</v>
      </c>
      <c r="AA1402" s="62">
        <f>IF($H1402&lt;&gt;"Y",0,(IF($F1402&lt;&gt;"",ROUND(Dashboard!$R$4/$F1402,1),IF(AND($I1402="Base",$E1402="Base"),Dashboard!$R$5,IF(AND($I1402="Base",$E1402="Red"),Dashboard!$R$6,IF(AND($I1402="Base",$E1402="Gold"),Dashboard!$R$7,VLOOKUP($I1402,Dashboard!$Q$16:$R$21,2,FALSE)))))*VLOOKUP($I1402,Dashboard!$Q$9:$R$13,2,FALSE)*IF(AND($I1402="Auto",$F1402="",OR($B1402="Autographs Duals",$B1402="Autographs Triples",$B1402="Autographs Quads",$B1402="Autographs Quads (Inscribed)")),IF($B1402="Autographs Duals",2,IF($B1402="Autographs Triples",3,4)),1)))</f>
        <v>1</v>
      </c>
      <c r="AB1402" s="62">
        <f t="shared" si="284"/>
        <v>1</v>
      </c>
      <c r="AC1402" s="62">
        <f t="shared" si="285"/>
        <v>0</v>
      </c>
    </row>
    <row r="1403" spans="1:29" ht="28.7" customHeight="1" x14ac:dyDescent="0.25">
      <c r="A1403" s="4" t="s">
        <v>21</v>
      </c>
      <c r="B1403" s="7" t="s">
        <v>21</v>
      </c>
      <c r="C1403" s="2" t="s">
        <v>419</v>
      </c>
      <c r="D1403" s="7" t="s">
        <v>222</v>
      </c>
      <c r="E1403" s="4" t="s">
        <v>60</v>
      </c>
      <c r="F1403" s="2"/>
      <c r="G1403" s="2" t="s">
        <v>1399</v>
      </c>
      <c r="H1403" s="2" t="s">
        <v>1400</v>
      </c>
      <c r="I1403" s="4" t="s">
        <v>60</v>
      </c>
      <c r="J1403" s="112">
        <f>IF($H1403&lt;&gt;"Y",0,ROUND(MIN(Dashboard!$R$24,IF(IFERROR(VLOOKUP($B1403,Dashboard!$Q$28:$S$60,2,FALSE),0)&gt;0,IFERROR(VLOOKUP($B1403,Dashboard!$Q$28:$S$60,2,FALSE),0),$Z1403*IF($U1403&lt;&gt;"",ROUND((Dashboard!$R$4/$U1403)*VLOOKUP($I1403,Dashboard!$Q$9:$R$13,2,FALSE)*IF(ISNUMBER(SEARCH("Duals",$B1403)),2,IF(ISNUMBER(SEARCH("Triples",$B1403)),3,IF(ISNUMBER(SEARCH("Quads",$B1403)),4,1))),2),ROUND(VLOOKUP($I1403,Dashboard!$Q$15:$R$20,2,FALSE)*IF($E1403="Red",Dashboard!$R$6,IF($E1403="Gold",Dashboard!$R$7,Dashboard!$R$5))*IF(ISNUMBER(SEARCH("Duals",$B1403)),2,IF(ISNUMBER(SEARCH("Triples",$B1403)),3,IF(ISNUMBER(SEARCH("Quads",$B1403)),4,1))),2))*IF(IFERROR(VLOOKUP($B1403,Dashboard!$Q$28:$S$60,3,FALSE),0)&gt;0,VLOOKUP($B1403,Dashboard!$Q$28:$S$60,3,FALSE),1))),0))</f>
        <v>1</v>
      </c>
      <c r="K1403" s="2" t="str">
        <f>IF(Characters!C3="","",Characters!C3)</f>
        <v>h</v>
      </c>
      <c r="L1403" s="2">
        <f t="shared" si="273"/>
        <v>1</v>
      </c>
      <c r="M1403" s="2">
        <f t="shared" si="274"/>
        <v>0</v>
      </c>
      <c r="N1403" s="2">
        <f t="shared" si="275"/>
        <v>1</v>
      </c>
      <c r="O1403" s="2">
        <f t="shared" si="276"/>
        <v>0</v>
      </c>
      <c r="P1403" s="112">
        <f t="shared" si="277"/>
        <v>1</v>
      </c>
      <c r="Q1403" s="112">
        <f t="shared" si="278"/>
        <v>0</v>
      </c>
      <c r="R1403" s="53"/>
      <c r="S1403" s="53" t="str">
        <f t="shared" si="279"/>
        <v>Characters|Characters|C-2|Base</v>
      </c>
      <c r="T1403" s="57" t="str">
        <f>IF($S1403="","",IFERROR(VLOOKUP($S1403,'Pop Estimates (Non-#d)'!$N$2:$O$500,2,FALSE),""))</f>
        <v/>
      </c>
      <c r="U1403" s="57" t="str">
        <f t="shared" si="280"/>
        <v/>
      </c>
      <c r="V1403" s="53" t="str">
        <f t="shared" si="281"/>
        <v>Homelander</v>
      </c>
      <c r="W1403" s="53" t="str">
        <f t="shared" si="282"/>
        <v>Homelander</v>
      </c>
      <c r="X1403" s="53" t="str">
        <f t="shared" si="283"/>
        <v>Homelander</v>
      </c>
      <c r="Y1403" s="57">
        <f>IF($X1403="","",IFERROR(VLOOKUP($X1403,'Char Popularity'!$A$2:$C$500,2,FALSE),""))</f>
        <v>5</v>
      </c>
      <c r="Z1403" s="56">
        <f>IF($X1403="",1,IFERROR(VLOOKUP($X1403,'Char Popularity'!$A$2:$C$500,3,FALSE),1))</f>
        <v>1.2</v>
      </c>
      <c r="AA1403" s="62">
        <f>IF($H1403&lt;&gt;"Y",0,(IF($F1403&lt;&gt;"",ROUND(Dashboard!$R$4/$F1403,1),IF(AND($I1403="Base",$E1403="Base"),Dashboard!$R$5,IF(AND($I1403="Base",$E1403="Red"),Dashboard!$R$6,IF(AND($I1403="Base",$E1403="Gold"),Dashboard!$R$7,VLOOKUP($I1403,Dashboard!$Q$16:$R$21,2,FALSE)))))*VLOOKUP($I1403,Dashboard!$Q$9:$R$13,2,FALSE)*IF(AND($I1403="Auto",$F1403="",OR($B1403="Autographs Duals",$B1403="Autographs Triples",$B1403="Autographs Quads",$B1403="Autographs Quads (Inscribed)")),IF($B1403="Autographs Duals",2,IF($B1403="Autographs Triples",3,4)),1)))</f>
        <v>1</v>
      </c>
      <c r="AB1403" s="62">
        <f t="shared" si="284"/>
        <v>1</v>
      </c>
      <c r="AC1403" s="62">
        <f t="shared" si="285"/>
        <v>0</v>
      </c>
    </row>
    <row r="1404" spans="1:29" ht="28.7" customHeight="1" x14ac:dyDescent="0.25">
      <c r="A1404" s="4" t="s">
        <v>21</v>
      </c>
      <c r="B1404" s="7" t="s">
        <v>21</v>
      </c>
      <c r="C1404" s="2" t="s">
        <v>425</v>
      </c>
      <c r="D1404" s="7" t="s">
        <v>274</v>
      </c>
      <c r="E1404" s="4" t="s">
        <v>60</v>
      </c>
      <c r="F1404" s="2"/>
      <c r="G1404" s="2" t="s">
        <v>1399</v>
      </c>
      <c r="H1404" s="2" t="s">
        <v>1400</v>
      </c>
      <c r="I1404" s="4" t="s">
        <v>60</v>
      </c>
      <c r="J1404" s="112">
        <f>IF($H1404&lt;&gt;"Y",0,ROUND(MIN(Dashboard!$R$24,IF(IFERROR(VLOOKUP($B1404,Dashboard!$Q$28:$S$60,2,FALSE),0)&gt;0,IFERROR(VLOOKUP($B1404,Dashboard!$Q$28:$S$60,2,FALSE),0),$Z1404*IF($U1404&lt;&gt;"",ROUND((Dashboard!$R$4/$U1404)*VLOOKUP($I1404,Dashboard!$Q$9:$R$13,2,FALSE)*IF(ISNUMBER(SEARCH("Duals",$B1404)),2,IF(ISNUMBER(SEARCH("Triples",$B1404)),3,IF(ISNUMBER(SEARCH("Quads",$B1404)),4,1))),2),ROUND(VLOOKUP($I1404,Dashboard!$Q$15:$R$20,2,FALSE)*IF($E1404="Red",Dashboard!$R$6,IF($E1404="Gold",Dashboard!$R$7,Dashboard!$R$5))*IF(ISNUMBER(SEARCH("Duals",$B1404)),2,IF(ISNUMBER(SEARCH("Triples",$B1404)),3,IF(ISNUMBER(SEARCH("Quads",$B1404)),4,1))),2))*IF(IFERROR(VLOOKUP($B1404,Dashboard!$Q$28:$S$60,3,FALSE),0)&gt;0,VLOOKUP($B1404,Dashboard!$Q$28:$S$60,3,FALSE),1))),0))</f>
        <v>1</v>
      </c>
      <c r="K1404" s="2" t="str">
        <f>IF(Characters!C4="","",Characters!C4)</f>
        <v>h</v>
      </c>
      <c r="L1404" s="2">
        <f t="shared" si="273"/>
        <v>1</v>
      </c>
      <c r="M1404" s="2">
        <f t="shared" si="274"/>
        <v>0</v>
      </c>
      <c r="N1404" s="2">
        <f t="shared" si="275"/>
        <v>1</v>
      </c>
      <c r="O1404" s="2">
        <f t="shared" si="276"/>
        <v>0</v>
      </c>
      <c r="P1404" s="112">
        <f t="shared" si="277"/>
        <v>1</v>
      </c>
      <c r="Q1404" s="112">
        <f t="shared" si="278"/>
        <v>0</v>
      </c>
      <c r="R1404" s="53"/>
      <c r="S1404" s="53" t="str">
        <f t="shared" si="279"/>
        <v>Characters|Characters|C-3|Base</v>
      </c>
      <c r="T1404" s="57" t="str">
        <f>IF($S1404="","",IFERROR(VLOOKUP($S1404,'Pop Estimates (Non-#d)'!$N$2:$O$500,2,FALSE),""))</f>
        <v/>
      </c>
      <c r="U1404" s="57" t="str">
        <f t="shared" si="280"/>
        <v/>
      </c>
      <c r="V1404" s="53" t="str">
        <f t="shared" si="281"/>
        <v>Billy Butcher</v>
      </c>
      <c r="W1404" s="53" t="str">
        <f t="shared" si="282"/>
        <v>Billy Butcher</v>
      </c>
      <c r="X1404" s="53" t="str">
        <f t="shared" si="283"/>
        <v>Billy Butcher</v>
      </c>
      <c r="Y1404" s="57">
        <f>IF($X1404="","",IFERROR(VLOOKUP($X1404,'Char Popularity'!$A$2:$C$500,2,FALSE),""))</f>
        <v>5</v>
      </c>
      <c r="Z1404" s="56">
        <f>IF($X1404="",1,IFERROR(VLOOKUP($X1404,'Char Popularity'!$A$2:$C$500,3,FALSE),1))</f>
        <v>1.2</v>
      </c>
      <c r="AA1404" s="62">
        <f>IF($H1404&lt;&gt;"Y",0,(IF($F1404&lt;&gt;"",ROUND(Dashboard!$R$4/$F1404,1),IF(AND($I1404="Base",$E1404="Base"),Dashboard!$R$5,IF(AND($I1404="Base",$E1404="Red"),Dashboard!$R$6,IF(AND($I1404="Base",$E1404="Gold"),Dashboard!$R$7,VLOOKUP($I1404,Dashboard!$Q$16:$R$21,2,FALSE)))))*VLOOKUP($I1404,Dashboard!$Q$9:$R$13,2,FALSE)*IF(AND($I1404="Auto",$F1404="",OR($B1404="Autographs Duals",$B1404="Autographs Triples",$B1404="Autographs Quads",$B1404="Autographs Quads (Inscribed)")),IF($B1404="Autographs Duals",2,IF($B1404="Autographs Triples",3,4)),1)))</f>
        <v>1</v>
      </c>
      <c r="AB1404" s="62">
        <f t="shared" si="284"/>
        <v>1</v>
      </c>
      <c r="AC1404" s="62">
        <f t="shared" si="285"/>
        <v>0</v>
      </c>
    </row>
    <row r="1405" spans="1:29" ht="28.7" customHeight="1" x14ac:dyDescent="0.25">
      <c r="A1405" s="4" t="s">
        <v>21</v>
      </c>
      <c r="B1405" s="7" t="s">
        <v>21</v>
      </c>
      <c r="C1405" s="2" t="s">
        <v>428</v>
      </c>
      <c r="D1405" s="7" t="s">
        <v>248</v>
      </c>
      <c r="E1405" s="4" t="s">
        <v>60</v>
      </c>
      <c r="F1405" s="2"/>
      <c r="G1405" s="2" t="s">
        <v>1399</v>
      </c>
      <c r="H1405" s="2" t="s">
        <v>1400</v>
      </c>
      <c r="I1405" s="4" t="s">
        <v>60</v>
      </c>
      <c r="J1405" s="112">
        <f>IF($H1405&lt;&gt;"Y",0,ROUND(MIN(Dashboard!$R$24,IF(IFERROR(VLOOKUP($B1405,Dashboard!$Q$28:$S$60,2,FALSE),0)&gt;0,IFERROR(VLOOKUP($B1405,Dashboard!$Q$28:$S$60,2,FALSE),0),$Z1405*IF($U1405&lt;&gt;"",ROUND((Dashboard!$R$4/$U1405)*VLOOKUP($I1405,Dashboard!$Q$9:$R$13,2,FALSE)*IF(ISNUMBER(SEARCH("Duals",$B1405)),2,IF(ISNUMBER(SEARCH("Triples",$B1405)),3,IF(ISNUMBER(SEARCH("Quads",$B1405)),4,1))),2),ROUND(VLOOKUP($I1405,Dashboard!$Q$15:$R$20,2,FALSE)*IF($E1405="Red",Dashboard!$R$6,IF($E1405="Gold",Dashboard!$R$7,Dashboard!$R$5))*IF(ISNUMBER(SEARCH("Duals",$B1405)),2,IF(ISNUMBER(SEARCH("Triples",$B1405)),3,IF(ISNUMBER(SEARCH("Quads",$B1405)),4,1))),2))*IF(IFERROR(VLOOKUP($B1405,Dashboard!$Q$28:$S$60,3,FALSE),0)&gt;0,VLOOKUP($B1405,Dashboard!$Q$28:$S$60,3,FALSE),1))),0))</f>
        <v>1</v>
      </c>
      <c r="K1405" s="2" t="str">
        <f>IF(Characters!C5="","",Characters!C5)</f>
        <v>h</v>
      </c>
      <c r="L1405" s="2">
        <f t="shared" si="273"/>
        <v>1</v>
      </c>
      <c r="M1405" s="2">
        <f t="shared" si="274"/>
        <v>0</v>
      </c>
      <c r="N1405" s="2">
        <f t="shared" si="275"/>
        <v>1</v>
      </c>
      <c r="O1405" s="2">
        <f t="shared" si="276"/>
        <v>0</v>
      </c>
      <c r="P1405" s="112">
        <f t="shared" si="277"/>
        <v>1</v>
      </c>
      <c r="Q1405" s="112">
        <f t="shared" si="278"/>
        <v>0</v>
      </c>
      <c r="R1405" s="53"/>
      <c r="S1405" s="53" t="str">
        <f t="shared" si="279"/>
        <v>Characters|Characters|C-4|Base</v>
      </c>
      <c r="T1405" s="57" t="str">
        <f>IF($S1405="","",IFERROR(VLOOKUP($S1405,'Pop Estimates (Non-#d)'!$N$2:$O$500,2,FALSE),""))</f>
        <v/>
      </c>
      <c r="U1405" s="57" t="str">
        <f t="shared" si="280"/>
        <v/>
      </c>
      <c r="V1405" s="53" t="str">
        <f t="shared" si="281"/>
        <v>Starlight</v>
      </c>
      <c r="W1405" s="53" t="str">
        <f t="shared" si="282"/>
        <v>Starlight</v>
      </c>
      <c r="X1405" s="53" t="str">
        <f t="shared" si="283"/>
        <v>Starlight</v>
      </c>
      <c r="Y1405" s="57">
        <f>IF($X1405="","",IFERROR(VLOOKUP($X1405,'Char Popularity'!$A$2:$C$500,2,FALSE),""))</f>
        <v>5</v>
      </c>
      <c r="Z1405" s="56">
        <f>IF($X1405="",1,IFERROR(VLOOKUP($X1405,'Char Popularity'!$A$2:$C$500,3,FALSE),1))</f>
        <v>1.2</v>
      </c>
      <c r="AA1405" s="62">
        <f>IF($H1405&lt;&gt;"Y",0,(IF($F1405&lt;&gt;"",ROUND(Dashboard!$R$4/$F1405,1),IF(AND($I1405="Base",$E1405="Base"),Dashboard!$R$5,IF(AND($I1405="Base",$E1405="Red"),Dashboard!$R$6,IF(AND($I1405="Base",$E1405="Gold"),Dashboard!$R$7,VLOOKUP($I1405,Dashboard!$Q$16:$R$21,2,FALSE)))))*VLOOKUP($I1405,Dashboard!$Q$9:$R$13,2,FALSE)*IF(AND($I1405="Auto",$F1405="",OR($B1405="Autographs Duals",$B1405="Autographs Triples",$B1405="Autographs Quads",$B1405="Autographs Quads (Inscribed)")),IF($B1405="Autographs Duals",2,IF($B1405="Autographs Triples",3,4)),1)))</f>
        <v>1</v>
      </c>
      <c r="AB1405" s="62">
        <f t="shared" si="284"/>
        <v>1</v>
      </c>
      <c r="AC1405" s="62">
        <f t="shared" si="285"/>
        <v>0</v>
      </c>
    </row>
    <row r="1406" spans="1:29" ht="28.7" customHeight="1" x14ac:dyDescent="0.25">
      <c r="A1406" s="4" t="s">
        <v>21</v>
      </c>
      <c r="B1406" s="7" t="s">
        <v>21</v>
      </c>
      <c r="C1406" s="2" t="s">
        <v>434</v>
      </c>
      <c r="D1406" s="7" t="s">
        <v>267</v>
      </c>
      <c r="E1406" s="4" t="s">
        <v>60</v>
      </c>
      <c r="F1406" s="2"/>
      <c r="G1406" s="2" t="s">
        <v>1399</v>
      </c>
      <c r="H1406" s="2" t="s">
        <v>1400</v>
      </c>
      <c r="I1406" s="4" t="s">
        <v>60</v>
      </c>
      <c r="J1406" s="112">
        <f>IF($H1406&lt;&gt;"Y",0,ROUND(MIN(Dashboard!$R$24,IF(IFERROR(VLOOKUP($B1406,Dashboard!$Q$28:$S$60,2,FALSE),0)&gt;0,IFERROR(VLOOKUP($B1406,Dashboard!$Q$28:$S$60,2,FALSE),0),$Z1406*IF($U1406&lt;&gt;"",ROUND((Dashboard!$R$4/$U1406)*VLOOKUP($I1406,Dashboard!$Q$9:$R$13,2,FALSE)*IF(ISNUMBER(SEARCH("Duals",$B1406)),2,IF(ISNUMBER(SEARCH("Triples",$B1406)),3,IF(ISNUMBER(SEARCH("Quads",$B1406)),4,1))),2),ROUND(VLOOKUP($I1406,Dashboard!$Q$15:$R$20,2,FALSE)*IF($E1406="Red",Dashboard!$R$6,IF($E1406="Gold",Dashboard!$R$7,Dashboard!$R$5))*IF(ISNUMBER(SEARCH("Duals",$B1406)),2,IF(ISNUMBER(SEARCH("Triples",$B1406)),3,IF(ISNUMBER(SEARCH("Quads",$B1406)),4,1))),2))*IF(IFERROR(VLOOKUP($B1406,Dashboard!$Q$28:$S$60,3,FALSE),0)&gt;0,VLOOKUP($B1406,Dashboard!$Q$28:$S$60,3,FALSE),1))),0))</f>
        <v>1</v>
      </c>
      <c r="K1406" s="2" t="str">
        <f>IF(Characters!C6="","",Characters!C6)</f>
        <v>h</v>
      </c>
      <c r="L1406" s="2">
        <f t="shared" si="273"/>
        <v>1</v>
      </c>
      <c r="M1406" s="2">
        <f t="shared" si="274"/>
        <v>0</v>
      </c>
      <c r="N1406" s="2">
        <f t="shared" si="275"/>
        <v>1</v>
      </c>
      <c r="O1406" s="2">
        <f t="shared" si="276"/>
        <v>0</v>
      </c>
      <c r="P1406" s="112">
        <f t="shared" si="277"/>
        <v>1</v>
      </c>
      <c r="Q1406" s="112">
        <f t="shared" si="278"/>
        <v>0</v>
      </c>
      <c r="R1406" s="53"/>
      <c r="S1406" s="53" t="str">
        <f t="shared" si="279"/>
        <v>Characters|Characters|C-5|Base</v>
      </c>
      <c r="T1406" s="57" t="str">
        <f>IF($S1406="","",IFERROR(VLOOKUP($S1406,'Pop Estimates (Non-#d)'!$N$2:$O$500,2,FALSE),""))</f>
        <v/>
      </c>
      <c r="U1406" s="57" t="str">
        <f t="shared" si="280"/>
        <v/>
      </c>
      <c r="V1406" s="53" t="str">
        <f t="shared" si="281"/>
        <v>A-Train</v>
      </c>
      <c r="W1406" s="53" t="str">
        <f t="shared" si="282"/>
        <v>A-Train</v>
      </c>
      <c r="X1406" s="53" t="str">
        <f t="shared" si="283"/>
        <v>A-Train</v>
      </c>
      <c r="Y1406" s="57">
        <f>IF($X1406="","",IFERROR(VLOOKUP($X1406,'Char Popularity'!$A$2:$C$500,2,FALSE),""))</f>
        <v>4</v>
      </c>
      <c r="Z1406" s="56">
        <f>IF($X1406="",1,IFERROR(VLOOKUP($X1406,'Char Popularity'!$A$2:$C$500,3,FALSE),1))</f>
        <v>1.1000000000000001</v>
      </c>
      <c r="AA1406" s="62">
        <f>IF($H1406&lt;&gt;"Y",0,(IF($F1406&lt;&gt;"",ROUND(Dashboard!$R$4/$F1406,1),IF(AND($I1406="Base",$E1406="Base"),Dashboard!$R$5,IF(AND($I1406="Base",$E1406="Red"),Dashboard!$R$6,IF(AND($I1406="Base",$E1406="Gold"),Dashboard!$R$7,VLOOKUP($I1406,Dashboard!$Q$16:$R$21,2,FALSE)))))*VLOOKUP($I1406,Dashboard!$Q$9:$R$13,2,FALSE)*IF(AND($I1406="Auto",$F1406="",OR($B1406="Autographs Duals",$B1406="Autographs Triples",$B1406="Autographs Quads",$B1406="Autographs Quads (Inscribed)")),IF($B1406="Autographs Duals",2,IF($B1406="Autographs Triples",3,4)),1)))</f>
        <v>1</v>
      </c>
      <c r="AB1406" s="62">
        <f t="shared" si="284"/>
        <v>1</v>
      </c>
      <c r="AC1406" s="62">
        <f t="shared" si="285"/>
        <v>0</v>
      </c>
    </row>
    <row r="1407" spans="1:29" ht="28.7" customHeight="1" x14ac:dyDescent="0.25">
      <c r="A1407" s="4" t="s">
        <v>21</v>
      </c>
      <c r="B1407" s="7" t="s">
        <v>21</v>
      </c>
      <c r="C1407" s="2" t="s">
        <v>435</v>
      </c>
      <c r="D1407" s="7" t="s">
        <v>250</v>
      </c>
      <c r="E1407" s="4" t="s">
        <v>60</v>
      </c>
      <c r="F1407" s="2"/>
      <c r="G1407" s="2" t="s">
        <v>1399</v>
      </c>
      <c r="H1407" s="2" t="s">
        <v>1400</v>
      </c>
      <c r="I1407" s="4" t="s">
        <v>60</v>
      </c>
      <c r="J1407" s="112">
        <f>IF($H1407&lt;&gt;"Y",0,ROUND(MIN(Dashboard!$R$24,IF(IFERROR(VLOOKUP($B1407,Dashboard!$Q$28:$S$60,2,FALSE),0)&gt;0,IFERROR(VLOOKUP($B1407,Dashboard!$Q$28:$S$60,2,FALSE),0),$Z1407*IF($U1407&lt;&gt;"",ROUND((Dashboard!$R$4/$U1407)*VLOOKUP($I1407,Dashboard!$Q$9:$R$13,2,FALSE)*IF(ISNUMBER(SEARCH("Duals",$B1407)),2,IF(ISNUMBER(SEARCH("Triples",$B1407)),3,IF(ISNUMBER(SEARCH("Quads",$B1407)),4,1))),2),ROUND(VLOOKUP($I1407,Dashboard!$Q$15:$R$20,2,FALSE)*IF($E1407="Red",Dashboard!$R$6,IF($E1407="Gold",Dashboard!$R$7,Dashboard!$R$5))*IF(ISNUMBER(SEARCH("Duals",$B1407)),2,IF(ISNUMBER(SEARCH("Triples",$B1407)),3,IF(ISNUMBER(SEARCH("Quads",$B1407)),4,1))),2))*IF(IFERROR(VLOOKUP($B1407,Dashboard!$Q$28:$S$60,3,FALSE),0)&gt;0,VLOOKUP($B1407,Dashboard!$Q$28:$S$60,3,FALSE),1))),0))</f>
        <v>1</v>
      </c>
      <c r="K1407" s="2" t="str">
        <f>IF(Characters!C7="","",Characters!C7)</f>
        <v>h</v>
      </c>
      <c r="L1407" s="2">
        <f t="shared" si="273"/>
        <v>1</v>
      </c>
      <c r="M1407" s="2">
        <f t="shared" si="274"/>
        <v>0</v>
      </c>
      <c r="N1407" s="2">
        <f t="shared" si="275"/>
        <v>1</v>
      </c>
      <c r="O1407" s="2">
        <f t="shared" si="276"/>
        <v>0</v>
      </c>
      <c r="P1407" s="112">
        <f t="shared" si="277"/>
        <v>1</v>
      </c>
      <c r="Q1407" s="112">
        <f t="shared" si="278"/>
        <v>0</v>
      </c>
      <c r="R1407" s="53"/>
      <c r="S1407" s="53" t="str">
        <f t="shared" si="279"/>
        <v>Characters|Characters|C-6|Base</v>
      </c>
      <c r="T1407" s="57" t="str">
        <f>IF($S1407="","",IFERROR(VLOOKUP($S1407,'Pop Estimates (Non-#d)'!$N$2:$O$500,2,FALSE),""))</f>
        <v/>
      </c>
      <c r="U1407" s="57" t="str">
        <f t="shared" si="280"/>
        <v/>
      </c>
      <c r="V1407" s="53" t="str">
        <f t="shared" si="281"/>
        <v>Madelyn Stillwell</v>
      </c>
      <c r="W1407" s="53" t="str">
        <f t="shared" si="282"/>
        <v>Madelyn Stillwell</v>
      </c>
      <c r="X1407" s="53" t="str">
        <f t="shared" si="283"/>
        <v>Madelyn Stillwell</v>
      </c>
      <c r="Y1407" s="57">
        <f>IF($X1407="","",IFERROR(VLOOKUP($X1407,'Char Popularity'!$A$2:$C$500,2,FALSE),""))</f>
        <v>3</v>
      </c>
      <c r="Z1407" s="56">
        <f>IF($X1407="",1,IFERROR(VLOOKUP($X1407,'Char Popularity'!$A$2:$C$500,3,FALSE),1))</f>
        <v>1</v>
      </c>
      <c r="AA1407" s="62">
        <f>IF($H1407&lt;&gt;"Y",0,(IF($F1407&lt;&gt;"",ROUND(Dashboard!$R$4/$F1407,1),IF(AND($I1407="Base",$E1407="Base"),Dashboard!$R$5,IF(AND($I1407="Base",$E1407="Red"),Dashboard!$R$6,IF(AND($I1407="Base",$E1407="Gold"),Dashboard!$R$7,VLOOKUP($I1407,Dashboard!$Q$16:$R$21,2,FALSE)))))*VLOOKUP($I1407,Dashboard!$Q$9:$R$13,2,FALSE)*IF(AND($I1407="Auto",$F1407="",OR($B1407="Autographs Duals",$B1407="Autographs Triples",$B1407="Autographs Quads",$B1407="Autographs Quads (Inscribed)")),IF($B1407="Autographs Duals",2,IF($B1407="Autographs Triples",3,4)),1)))</f>
        <v>1</v>
      </c>
      <c r="AB1407" s="62">
        <f t="shared" si="284"/>
        <v>1</v>
      </c>
      <c r="AC1407" s="62">
        <f t="shared" si="285"/>
        <v>0</v>
      </c>
    </row>
    <row r="1408" spans="1:29" ht="28.7" customHeight="1" x14ac:dyDescent="0.25">
      <c r="A1408" s="4" t="s">
        <v>21</v>
      </c>
      <c r="B1408" s="7" t="s">
        <v>21</v>
      </c>
      <c r="C1408" s="2" t="s">
        <v>436</v>
      </c>
      <c r="D1408" s="7" t="s">
        <v>230</v>
      </c>
      <c r="E1408" s="4" t="s">
        <v>60</v>
      </c>
      <c r="F1408" s="2"/>
      <c r="G1408" s="2" t="s">
        <v>1399</v>
      </c>
      <c r="H1408" s="2" t="s">
        <v>1400</v>
      </c>
      <c r="I1408" s="4" t="s">
        <v>60</v>
      </c>
      <c r="J1408" s="112">
        <f>IF($H1408&lt;&gt;"Y",0,ROUND(MIN(Dashboard!$R$24,IF(IFERROR(VLOOKUP($B1408,Dashboard!$Q$28:$S$60,2,FALSE),0)&gt;0,IFERROR(VLOOKUP($B1408,Dashboard!$Q$28:$S$60,2,FALSE),0),$Z1408*IF($U1408&lt;&gt;"",ROUND((Dashboard!$R$4/$U1408)*VLOOKUP($I1408,Dashboard!$Q$9:$R$13,2,FALSE)*IF(ISNUMBER(SEARCH("Duals",$B1408)),2,IF(ISNUMBER(SEARCH("Triples",$B1408)),3,IF(ISNUMBER(SEARCH("Quads",$B1408)),4,1))),2),ROUND(VLOOKUP($I1408,Dashboard!$Q$15:$R$20,2,FALSE)*IF($E1408="Red",Dashboard!$R$6,IF($E1408="Gold",Dashboard!$R$7,Dashboard!$R$5))*IF(ISNUMBER(SEARCH("Duals",$B1408)),2,IF(ISNUMBER(SEARCH("Triples",$B1408)),3,IF(ISNUMBER(SEARCH("Quads",$B1408)),4,1))),2))*IF(IFERROR(VLOOKUP($B1408,Dashboard!$Q$28:$S$60,3,FALSE),0)&gt;0,VLOOKUP($B1408,Dashboard!$Q$28:$S$60,3,FALSE),1))),0))</f>
        <v>1</v>
      </c>
      <c r="K1408" s="2" t="str">
        <f>IF(Characters!C8="","",Characters!C8)</f>
        <v>h</v>
      </c>
      <c r="L1408" s="2">
        <f t="shared" si="273"/>
        <v>1</v>
      </c>
      <c r="M1408" s="2">
        <f t="shared" si="274"/>
        <v>0</v>
      </c>
      <c r="N1408" s="2">
        <f t="shared" si="275"/>
        <v>1</v>
      </c>
      <c r="O1408" s="2">
        <f t="shared" si="276"/>
        <v>0</v>
      </c>
      <c r="P1408" s="112">
        <f t="shared" si="277"/>
        <v>1</v>
      </c>
      <c r="Q1408" s="112">
        <f t="shared" si="278"/>
        <v>0</v>
      </c>
      <c r="R1408" s="53"/>
      <c r="S1408" s="53" t="str">
        <f t="shared" si="279"/>
        <v>Characters|Characters|C-7|Base</v>
      </c>
      <c r="T1408" s="57" t="str">
        <f>IF($S1408="","",IFERROR(VLOOKUP($S1408,'Pop Estimates (Non-#d)'!$N$2:$O$500,2,FALSE),""))</f>
        <v/>
      </c>
      <c r="U1408" s="57" t="str">
        <f t="shared" si="280"/>
        <v/>
      </c>
      <c r="V1408" s="53" t="str">
        <f t="shared" si="281"/>
        <v>The Deep</v>
      </c>
      <c r="W1408" s="53" t="str">
        <f t="shared" si="282"/>
        <v>The Deep</v>
      </c>
      <c r="X1408" s="53" t="str">
        <f t="shared" si="283"/>
        <v>The Deep</v>
      </c>
      <c r="Y1408" s="57">
        <f>IF($X1408="","",IFERROR(VLOOKUP($X1408,'Char Popularity'!$A$2:$C$500,2,FALSE),""))</f>
        <v>4</v>
      </c>
      <c r="Z1408" s="56">
        <f>IF($X1408="",1,IFERROR(VLOOKUP($X1408,'Char Popularity'!$A$2:$C$500,3,FALSE),1))</f>
        <v>1.1000000000000001</v>
      </c>
      <c r="AA1408" s="62">
        <f>IF($H1408&lt;&gt;"Y",0,(IF($F1408&lt;&gt;"",ROUND(Dashboard!$R$4/$F1408,1),IF(AND($I1408="Base",$E1408="Base"),Dashboard!$R$5,IF(AND($I1408="Base",$E1408="Red"),Dashboard!$R$6,IF(AND($I1408="Base",$E1408="Gold"),Dashboard!$R$7,VLOOKUP($I1408,Dashboard!$Q$16:$R$21,2,FALSE)))))*VLOOKUP($I1408,Dashboard!$Q$9:$R$13,2,FALSE)*IF(AND($I1408="Auto",$F1408="",OR($B1408="Autographs Duals",$B1408="Autographs Triples",$B1408="Autographs Quads",$B1408="Autographs Quads (Inscribed)")),IF($B1408="Autographs Duals",2,IF($B1408="Autographs Triples",3,4)),1)))</f>
        <v>1</v>
      </c>
      <c r="AB1408" s="62">
        <f t="shared" si="284"/>
        <v>1</v>
      </c>
      <c r="AC1408" s="62">
        <f t="shared" si="285"/>
        <v>0</v>
      </c>
    </row>
    <row r="1409" spans="1:29" ht="28.7" customHeight="1" x14ac:dyDescent="0.25">
      <c r="A1409" s="4" t="s">
        <v>21</v>
      </c>
      <c r="B1409" s="7" t="s">
        <v>21</v>
      </c>
      <c r="C1409" s="2" t="s">
        <v>437</v>
      </c>
      <c r="D1409" s="7" t="s">
        <v>276</v>
      </c>
      <c r="E1409" s="4" t="s">
        <v>60</v>
      </c>
      <c r="F1409" s="2"/>
      <c r="G1409" s="2" t="s">
        <v>1399</v>
      </c>
      <c r="H1409" s="2" t="s">
        <v>1400</v>
      </c>
      <c r="I1409" s="4" t="s">
        <v>60</v>
      </c>
      <c r="J1409" s="112">
        <f>IF($H1409&lt;&gt;"Y",0,ROUND(MIN(Dashboard!$R$24,IF(IFERROR(VLOOKUP($B1409,Dashboard!$Q$28:$S$60,2,FALSE),0)&gt;0,IFERROR(VLOOKUP($B1409,Dashboard!$Q$28:$S$60,2,FALSE),0),$Z1409*IF($U1409&lt;&gt;"",ROUND((Dashboard!$R$4/$U1409)*VLOOKUP($I1409,Dashboard!$Q$9:$R$13,2,FALSE)*IF(ISNUMBER(SEARCH("Duals",$B1409)),2,IF(ISNUMBER(SEARCH("Triples",$B1409)),3,IF(ISNUMBER(SEARCH("Quads",$B1409)),4,1))),2),ROUND(VLOOKUP($I1409,Dashboard!$Q$15:$R$20,2,FALSE)*IF($E1409="Red",Dashboard!$R$6,IF($E1409="Gold",Dashboard!$R$7,Dashboard!$R$5))*IF(ISNUMBER(SEARCH("Duals",$B1409)),2,IF(ISNUMBER(SEARCH("Triples",$B1409)),3,IF(ISNUMBER(SEARCH("Quads",$B1409)),4,1))),2))*IF(IFERROR(VLOOKUP($B1409,Dashboard!$Q$28:$S$60,3,FALSE),0)&gt;0,VLOOKUP($B1409,Dashboard!$Q$28:$S$60,3,FALSE),1))),0))</f>
        <v>1</v>
      </c>
      <c r="K1409" s="2" t="str">
        <f>IF(Characters!C9="","",Characters!C9)</f>
        <v>h</v>
      </c>
      <c r="L1409" s="2">
        <f t="shared" si="273"/>
        <v>1</v>
      </c>
      <c r="M1409" s="2">
        <f t="shared" si="274"/>
        <v>0</v>
      </c>
      <c r="N1409" s="2">
        <f t="shared" si="275"/>
        <v>1</v>
      </c>
      <c r="O1409" s="2">
        <f t="shared" si="276"/>
        <v>0</v>
      </c>
      <c r="P1409" s="112">
        <f t="shared" si="277"/>
        <v>1</v>
      </c>
      <c r="Q1409" s="112">
        <f t="shared" si="278"/>
        <v>0</v>
      </c>
      <c r="R1409" s="53"/>
      <c r="S1409" s="53" t="str">
        <f t="shared" si="279"/>
        <v>Characters|Characters|C-8|Base</v>
      </c>
      <c r="T1409" s="57" t="str">
        <f>IF($S1409="","",IFERROR(VLOOKUP($S1409,'Pop Estimates (Non-#d)'!$N$2:$O$500,2,FALSE),""))</f>
        <v/>
      </c>
      <c r="U1409" s="57" t="str">
        <f t="shared" si="280"/>
        <v/>
      </c>
      <c r="V1409" s="53" t="str">
        <f t="shared" si="281"/>
        <v>Mother's Milk</v>
      </c>
      <c r="W1409" s="53" t="str">
        <f t="shared" si="282"/>
        <v>Mother's Milk</v>
      </c>
      <c r="X1409" s="53" t="str">
        <f t="shared" si="283"/>
        <v>Mother's Milk</v>
      </c>
      <c r="Y1409" s="57">
        <f>IF($X1409="","",IFERROR(VLOOKUP($X1409,'Char Popularity'!$A$2:$C$500,2,FALSE),""))</f>
        <v>4</v>
      </c>
      <c r="Z1409" s="56">
        <f>IF($X1409="",1,IFERROR(VLOOKUP($X1409,'Char Popularity'!$A$2:$C$500,3,FALSE),1))</f>
        <v>1.1000000000000001</v>
      </c>
      <c r="AA1409" s="62">
        <f>IF($H1409&lt;&gt;"Y",0,(IF($F1409&lt;&gt;"",ROUND(Dashboard!$R$4/$F1409,1),IF(AND($I1409="Base",$E1409="Base"),Dashboard!$R$5,IF(AND($I1409="Base",$E1409="Red"),Dashboard!$R$6,IF(AND($I1409="Base",$E1409="Gold"),Dashboard!$R$7,VLOOKUP($I1409,Dashboard!$Q$16:$R$21,2,FALSE)))))*VLOOKUP($I1409,Dashboard!$Q$9:$R$13,2,FALSE)*IF(AND($I1409="Auto",$F1409="",OR($B1409="Autographs Duals",$B1409="Autographs Triples",$B1409="Autographs Quads",$B1409="Autographs Quads (Inscribed)")),IF($B1409="Autographs Duals",2,IF($B1409="Autographs Triples",3,4)),1)))</f>
        <v>1</v>
      </c>
      <c r="AB1409" s="62">
        <f t="shared" si="284"/>
        <v>1</v>
      </c>
      <c r="AC1409" s="62">
        <f t="shared" si="285"/>
        <v>0</v>
      </c>
    </row>
    <row r="1410" spans="1:29" ht="28.7" customHeight="1" x14ac:dyDescent="0.25">
      <c r="A1410" s="4" t="s">
        <v>21</v>
      </c>
      <c r="B1410" s="7" t="s">
        <v>21</v>
      </c>
      <c r="C1410" s="2" t="s">
        <v>438</v>
      </c>
      <c r="D1410" s="7" t="s">
        <v>244</v>
      </c>
      <c r="E1410" s="4" t="s">
        <v>60</v>
      </c>
      <c r="F1410" s="2"/>
      <c r="G1410" s="2" t="s">
        <v>1399</v>
      </c>
      <c r="H1410" s="2" t="s">
        <v>1400</v>
      </c>
      <c r="I1410" s="4" t="s">
        <v>60</v>
      </c>
      <c r="J1410" s="112">
        <f>IF($H1410&lt;&gt;"Y",0,ROUND(MIN(Dashboard!$R$24,IF(IFERROR(VLOOKUP($B1410,Dashboard!$Q$28:$S$60,2,FALSE),0)&gt;0,IFERROR(VLOOKUP($B1410,Dashboard!$Q$28:$S$60,2,FALSE),0),$Z1410*IF($U1410&lt;&gt;"",ROUND((Dashboard!$R$4/$U1410)*VLOOKUP($I1410,Dashboard!$Q$9:$R$13,2,FALSE)*IF(ISNUMBER(SEARCH("Duals",$B1410)),2,IF(ISNUMBER(SEARCH("Triples",$B1410)),3,IF(ISNUMBER(SEARCH("Quads",$B1410)),4,1))),2),ROUND(VLOOKUP($I1410,Dashboard!$Q$15:$R$20,2,FALSE)*IF($E1410="Red",Dashboard!$R$6,IF($E1410="Gold",Dashboard!$R$7,Dashboard!$R$5))*IF(ISNUMBER(SEARCH("Duals",$B1410)),2,IF(ISNUMBER(SEARCH("Triples",$B1410)),3,IF(ISNUMBER(SEARCH("Quads",$B1410)),4,1))),2))*IF(IFERROR(VLOOKUP($B1410,Dashboard!$Q$28:$S$60,3,FALSE),0)&gt;0,VLOOKUP($B1410,Dashboard!$Q$28:$S$60,3,FALSE),1))),0))</f>
        <v>1</v>
      </c>
      <c r="K1410" s="2" t="str">
        <f>IF(Characters!C10="","",Characters!C10)</f>
        <v>h</v>
      </c>
      <c r="L1410" s="2">
        <f t="shared" ref="L1410:L1473" si="286">IF(AND($K1410&lt;&gt;"",LEFT($K1410,1)&lt;&gt;"Y"),1,0)</f>
        <v>1</v>
      </c>
      <c r="M1410" s="2">
        <f t="shared" ref="M1410:M1473" si="287">IF(LEFT($K1410,1)="Y",1,0)</f>
        <v>0</v>
      </c>
      <c r="N1410" s="2">
        <f t="shared" ref="N1410:N1473" si="288">$L1410+$M1410</f>
        <v>1</v>
      </c>
      <c r="O1410" s="2">
        <f t="shared" ref="O1410:O1473" si="289">IF($H1410="Y",1-$N1410,0)</f>
        <v>0</v>
      </c>
      <c r="P1410" s="112">
        <f t="shared" ref="P1410:P1473" si="290">IF($L1410=1,$J1410,0)</f>
        <v>1</v>
      </c>
      <c r="Q1410" s="112">
        <f t="shared" ref="Q1410:Q1473" si="291">IF($M1410=1,$J1410,0)</f>
        <v>0</v>
      </c>
      <c r="R1410" s="53"/>
      <c r="S1410" s="53" t="str">
        <f t="shared" ref="S1410:S1473" si="292">IF($A1410="","",$A1410&amp;"|"&amp;$B1410&amp;"|"&amp;$C1410&amp;"|"&amp;$E1410)</f>
        <v>Characters|Characters|C-9|Base</v>
      </c>
      <c r="T1410" s="57" t="str">
        <f>IF($S1410="","",IFERROR(VLOOKUP($S1410,'Pop Estimates (Non-#d)'!$N$2:$O$500,2,FALSE),""))</f>
        <v/>
      </c>
      <c r="U1410" s="57" t="str">
        <f t="shared" ref="U1410:U1473" si="293">IF($A1410="","",IF($F1410&lt;&gt;"",$F1410,$T1410))</f>
        <v/>
      </c>
      <c r="V1410" s="53" t="str">
        <f t="shared" ref="V1410:V1473" si="294">IF($A1410="","",IF(ISNUMBER(SEARCH(" as ",$D1410)),MID($D1410,SEARCH(" as ",$D1410)+4,255),IF(ISNUMBER(SEARCH("/",$D1410)),LEFT($D1410,FIND("/",$D1410&amp;"/")-1),"")))</f>
        <v>Queen Maeve</v>
      </c>
      <c r="W1410" s="53" t="str">
        <f t="shared" ref="W1410:W1473" si="295">IF($V1410="","",TRIM(IFERROR(MID($V1410,SEARCH("(", $V1410)+1,SEARCH(")",$V1410)-SEARCH("(", $V1410)-1),$V1410)))</f>
        <v>Queen Maeve</v>
      </c>
      <c r="X1410" s="53" t="str">
        <f t="shared" ref="X1410:X1473" si="296">IF($W1410="","",TRIM(LEFT($W1410&amp;"""",FIND("""",$W1410&amp;"""")-1)))</f>
        <v>Queen Maeve</v>
      </c>
      <c r="Y1410" s="57">
        <f>IF($X1410="","",IFERROR(VLOOKUP($X1410,'Char Popularity'!$A$2:$C$500,2,FALSE),""))</f>
        <v>4</v>
      </c>
      <c r="Z1410" s="56">
        <f>IF($X1410="",1,IFERROR(VLOOKUP($X1410,'Char Popularity'!$A$2:$C$500,3,FALSE),1))</f>
        <v>1.1000000000000001</v>
      </c>
      <c r="AA1410" s="62">
        <f>IF($H1410&lt;&gt;"Y",0,(IF($F1410&lt;&gt;"",ROUND(Dashboard!$R$4/$F1410,1),IF(AND($I1410="Base",$E1410="Base"),Dashboard!$R$5,IF(AND($I1410="Base",$E1410="Red"),Dashboard!$R$6,IF(AND($I1410="Base",$E1410="Gold"),Dashboard!$R$7,VLOOKUP($I1410,Dashboard!$Q$16:$R$21,2,FALSE)))))*VLOOKUP($I1410,Dashboard!$Q$9:$R$13,2,FALSE)*IF(AND($I1410="Auto",$F1410="",OR($B1410="Autographs Duals",$B1410="Autographs Triples",$B1410="Autographs Quads",$B1410="Autographs Quads (Inscribed)")),IF($B1410="Autographs Duals",2,IF($B1410="Autographs Triples",3,4)),1)))</f>
        <v>1</v>
      </c>
      <c r="AB1410" s="62">
        <f t="shared" ref="AB1410:AB1473" si="297">IF($L1410=1,$AA1410,0)</f>
        <v>1</v>
      </c>
      <c r="AC1410" s="62">
        <f t="shared" ref="AC1410:AC1473" si="298">IF($M1410=1,$AA1410,0)</f>
        <v>0</v>
      </c>
    </row>
    <row r="1411" spans="1:29" ht="28.7" customHeight="1" x14ac:dyDescent="0.25">
      <c r="A1411" s="4" t="s">
        <v>21</v>
      </c>
      <c r="B1411" s="7" t="s">
        <v>21</v>
      </c>
      <c r="C1411" s="2" t="s">
        <v>410</v>
      </c>
      <c r="D1411" s="7" t="s">
        <v>270</v>
      </c>
      <c r="E1411" s="4" t="s">
        <v>60</v>
      </c>
      <c r="F1411" s="2"/>
      <c r="G1411" s="2" t="s">
        <v>1399</v>
      </c>
      <c r="H1411" s="2" t="s">
        <v>1400</v>
      </c>
      <c r="I1411" s="4" t="s">
        <v>60</v>
      </c>
      <c r="J1411" s="112">
        <f>IF($H1411&lt;&gt;"Y",0,ROUND(MIN(Dashboard!$R$24,IF(IFERROR(VLOOKUP($B1411,Dashboard!$Q$28:$S$60,2,FALSE),0)&gt;0,IFERROR(VLOOKUP($B1411,Dashboard!$Q$28:$S$60,2,FALSE),0),$Z1411*IF($U1411&lt;&gt;"",ROUND((Dashboard!$R$4/$U1411)*VLOOKUP($I1411,Dashboard!$Q$9:$R$13,2,FALSE)*IF(ISNUMBER(SEARCH("Duals",$B1411)),2,IF(ISNUMBER(SEARCH("Triples",$B1411)),3,IF(ISNUMBER(SEARCH("Quads",$B1411)),4,1))),2),ROUND(VLOOKUP($I1411,Dashboard!$Q$15:$R$20,2,FALSE)*IF($E1411="Red",Dashboard!$R$6,IF($E1411="Gold",Dashboard!$R$7,Dashboard!$R$5))*IF(ISNUMBER(SEARCH("Duals",$B1411)),2,IF(ISNUMBER(SEARCH("Triples",$B1411)),3,IF(ISNUMBER(SEARCH("Quads",$B1411)),4,1))),2))*IF(IFERROR(VLOOKUP($B1411,Dashboard!$Q$28:$S$60,3,FALSE),0)&gt;0,VLOOKUP($B1411,Dashboard!$Q$28:$S$60,3,FALSE),1))),0))</f>
        <v>1</v>
      </c>
      <c r="K1411" s="2" t="str">
        <f>IF(Characters!C11="","",Characters!C11)</f>
        <v>h</v>
      </c>
      <c r="L1411" s="2">
        <f t="shared" si="286"/>
        <v>1</v>
      </c>
      <c r="M1411" s="2">
        <f t="shared" si="287"/>
        <v>0</v>
      </c>
      <c r="N1411" s="2">
        <f t="shared" si="288"/>
        <v>1</v>
      </c>
      <c r="O1411" s="2">
        <f t="shared" si="289"/>
        <v>0</v>
      </c>
      <c r="P1411" s="112">
        <f t="shared" si="290"/>
        <v>1</v>
      </c>
      <c r="Q1411" s="112">
        <f t="shared" si="291"/>
        <v>0</v>
      </c>
      <c r="R1411" s="53"/>
      <c r="S1411" s="53" t="str">
        <f t="shared" si="292"/>
        <v>Characters|Characters|C-10|Base</v>
      </c>
      <c r="T1411" s="57" t="str">
        <f>IF($S1411="","",IFERROR(VLOOKUP($S1411,'Pop Estimates (Non-#d)'!$N$2:$O$500,2,FALSE),""))</f>
        <v/>
      </c>
      <c r="U1411" s="57" t="str">
        <f t="shared" si="293"/>
        <v/>
      </c>
      <c r="V1411" s="53" t="str">
        <f t="shared" si="294"/>
        <v>Kimiko</v>
      </c>
      <c r="W1411" s="53" t="str">
        <f t="shared" si="295"/>
        <v>Kimiko</v>
      </c>
      <c r="X1411" s="53" t="str">
        <f t="shared" si="296"/>
        <v>Kimiko</v>
      </c>
      <c r="Y1411" s="57">
        <f>IF($X1411="","",IFERROR(VLOOKUP($X1411,'Char Popularity'!$A$2:$C$500,2,FALSE),""))</f>
        <v>4</v>
      </c>
      <c r="Z1411" s="56">
        <f>IF($X1411="",1,IFERROR(VLOOKUP($X1411,'Char Popularity'!$A$2:$C$500,3,FALSE),1))</f>
        <v>1.1000000000000001</v>
      </c>
      <c r="AA1411" s="62">
        <f>IF($H1411&lt;&gt;"Y",0,(IF($F1411&lt;&gt;"",ROUND(Dashboard!$R$4/$F1411,1),IF(AND($I1411="Base",$E1411="Base"),Dashboard!$R$5,IF(AND($I1411="Base",$E1411="Red"),Dashboard!$R$6,IF(AND($I1411="Base",$E1411="Gold"),Dashboard!$R$7,VLOOKUP($I1411,Dashboard!$Q$16:$R$21,2,FALSE)))))*VLOOKUP($I1411,Dashboard!$Q$9:$R$13,2,FALSE)*IF(AND($I1411="Auto",$F1411="",OR($B1411="Autographs Duals",$B1411="Autographs Triples",$B1411="Autographs Quads",$B1411="Autographs Quads (Inscribed)")),IF($B1411="Autographs Duals",2,IF($B1411="Autographs Triples",3,4)),1)))</f>
        <v>1</v>
      </c>
      <c r="AB1411" s="62">
        <f t="shared" si="297"/>
        <v>1</v>
      </c>
      <c r="AC1411" s="62">
        <f t="shared" si="298"/>
        <v>0</v>
      </c>
    </row>
    <row r="1412" spans="1:29" ht="28.7" customHeight="1" x14ac:dyDescent="0.25">
      <c r="A1412" s="4" t="s">
        <v>21</v>
      </c>
      <c r="B1412" s="7" t="s">
        <v>21</v>
      </c>
      <c r="C1412" s="2" t="s">
        <v>411</v>
      </c>
      <c r="D1412" s="7" t="s">
        <v>238</v>
      </c>
      <c r="E1412" s="4" t="s">
        <v>60</v>
      </c>
      <c r="F1412" s="2"/>
      <c r="G1412" s="2" t="s">
        <v>1399</v>
      </c>
      <c r="H1412" s="2" t="s">
        <v>1400</v>
      </c>
      <c r="I1412" s="4" t="s">
        <v>60</v>
      </c>
      <c r="J1412" s="112">
        <f>IF($H1412&lt;&gt;"Y",0,ROUND(MIN(Dashboard!$R$24,IF(IFERROR(VLOOKUP($B1412,Dashboard!$Q$28:$S$60,2,FALSE),0)&gt;0,IFERROR(VLOOKUP($B1412,Dashboard!$Q$28:$S$60,2,FALSE),0),$Z1412*IF($U1412&lt;&gt;"",ROUND((Dashboard!$R$4/$U1412)*VLOOKUP($I1412,Dashboard!$Q$9:$R$13,2,FALSE)*IF(ISNUMBER(SEARCH("Duals",$B1412)),2,IF(ISNUMBER(SEARCH("Triples",$B1412)),3,IF(ISNUMBER(SEARCH("Quads",$B1412)),4,1))),2),ROUND(VLOOKUP($I1412,Dashboard!$Q$15:$R$20,2,FALSE)*IF($E1412="Red",Dashboard!$R$6,IF($E1412="Gold",Dashboard!$R$7,Dashboard!$R$5))*IF(ISNUMBER(SEARCH("Duals",$B1412)),2,IF(ISNUMBER(SEARCH("Triples",$B1412)),3,IF(ISNUMBER(SEARCH("Quads",$B1412)),4,1))),2))*IF(IFERROR(VLOOKUP($B1412,Dashboard!$Q$28:$S$60,3,FALSE),0)&gt;0,VLOOKUP($B1412,Dashboard!$Q$28:$S$60,3,FALSE),1))),0))</f>
        <v>1</v>
      </c>
      <c r="K1412" s="2" t="str">
        <f>IF(Characters!C12="","",Characters!C12)</f>
        <v>h</v>
      </c>
      <c r="L1412" s="2">
        <f t="shared" si="286"/>
        <v>1</v>
      </c>
      <c r="M1412" s="2">
        <f t="shared" si="287"/>
        <v>0</v>
      </c>
      <c r="N1412" s="2">
        <f t="shared" si="288"/>
        <v>1</v>
      </c>
      <c r="O1412" s="2">
        <f t="shared" si="289"/>
        <v>0</v>
      </c>
      <c r="P1412" s="112">
        <f t="shared" si="290"/>
        <v>1</v>
      </c>
      <c r="Q1412" s="112">
        <f t="shared" si="291"/>
        <v>0</v>
      </c>
      <c r="R1412" s="53"/>
      <c r="S1412" s="53" t="str">
        <f t="shared" si="292"/>
        <v>Characters|Characters|C-11|Base</v>
      </c>
      <c r="T1412" s="57" t="str">
        <f>IF($S1412="","",IFERROR(VLOOKUP($S1412,'Pop Estimates (Non-#d)'!$N$2:$O$500,2,FALSE),""))</f>
        <v/>
      </c>
      <c r="U1412" s="57" t="str">
        <f t="shared" si="293"/>
        <v/>
      </c>
      <c r="V1412" s="53" t="str">
        <f t="shared" si="294"/>
        <v>Frenchie</v>
      </c>
      <c r="W1412" s="53" t="str">
        <f t="shared" si="295"/>
        <v>Frenchie</v>
      </c>
      <c r="X1412" s="53" t="str">
        <f t="shared" si="296"/>
        <v>Frenchie</v>
      </c>
      <c r="Y1412" s="57">
        <f>IF($X1412="","",IFERROR(VLOOKUP($X1412,'Char Popularity'!$A$2:$C$500,2,FALSE),""))</f>
        <v>4</v>
      </c>
      <c r="Z1412" s="56">
        <f>IF($X1412="",1,IFERROR(VLOOKUP($X1412,'Char Popularity'!$A$2:$C$500,3,FALSE),1))</f>
        <v>1.1000000000000001</v>
      </c>
      <c r="AA1412" s="62">
        <f>IF($H1412&lt;&gt;"Y",0,(IF($F1412&lt;&gt;"",ROUND(Dashboard!$R$4/$F1412,1),IF(AND($I1412="Base",$E1412="Base"),Dashboard!$R$5,IF(AND($I1412="Base",$E1412="Red"),Dashboard!$R$6,IF(AND($I1412="Base",$E1412="Gold"),Dashboard!$R$7,VLOOKUP($I1412,Dashboard!$Q$16:$R$21,2,FALSE)))))*VLOOKUP($I1412,Dashboard!$Q$9:$R$13,2,FALSE)*IF(AND($I1412="Auto",$F1412="",OR($B1412="Autographs Duals",$B1412="Autographs Triples",$B1412="Autographs Quads",$B1412="Autographs Quads (Inscribed)")),IF($B1412="Autographs Duals",2,IF($B1412="Autographs Triples",3,4)),1)))</f>
        <v>1</v>
      </c>
      <c r="AB1412" s="62">
        <f t="shared" si="297"/>
        <v>1</v>
      </c>
      <c r="AC1412" s="62">
        <f t="shared" si="298"/>
        <v>0</v>
      </c>
    </row>
    <row r="1413" spans="1:29" ht="28.7" customHeight="1" x14ac:dyDescent="0.25">
      <c r="A1413" s="4" t="s">
        <v>21</v>
      </c>
      <c r="B1413" s="7" t="s">
        <v>21</v>
      </c>
      <c r="C1413" s="2" t="s">
        <v>412</v>
      </c>
      <c r="D1413" s="7" t="s">
        <v>283</v>
      </c>
      <c r="E1413" s="4" t="s">
        <v>60</v>
      </c>
      <c r="F1413" s="2"/>
      <c r="G1413" s="2" t="s">
        <v>1399</v>
      </c>
      <c r="H1413" s="2" t="s">
        <v>1400</v>
      </c>
      <c r="I1413" s="4" t="s">
        <v>60</v>
      </c>
      <c r="J1413" s="112">
        <f>IF($H1413&lt;&gt;"Y",0,ROUND(MIN(Dashboard!$R$24,IF(IFERROR(VLOOKUP($B1413,Dashboard!$Q$28:$S$60,2,FALSE),0)&gt;0,IFERROR(VLOOKUP($B1413,Dashboard!$Q$28:$S$60,2,FALSE),0),$Z1413*IF($U1413&lt;&gt;"",ROUND((Dashboard!$R$4/$U1413)*VLOOKUP($I1413,Dashboard!$Q$9:$R$13,2,FALSE)*IF(ISNUMBER(SEARCH("Duals",$B1413)),2,IF(ISNUMBER(SEARCH("Triples",$B1413)),3,IF(ISNUMBER(SEARCH("Quads",$B1413)),4,1))),2),ROUND(VLOOKUP($I1413,Dashboard!$Q$15:$R$20,2,FALSE)*IF($E1413="Red",Dashboard!$R$6,IF($E1413="Gold",Dashboard!$R$7,Dashboard!$R$5))*IF(ISNUMBER(SEARCH("Duals",$B1413)),2,IF(ISNUMBER(SEARCH("Triples",$B1413)),3,IF(ISNUMBER(SEARCH("Quads",$B1413)),4,1))),2))*IF(IFERROR(VLOOKUP($B1413,Dashboard!$Q$28:$S$60,3,FALSE),0)&gt;0,VLOOKUP($B1413,Dashboard!$Q$28:$S$60,3,FALSE),1))),0))</f>
        <v>1</v>
      </c>
      <c r="K1413" s="2" t="str">
        <f>IF(Characters!C13="","",Characters!C13)</f>
        <v>h</v>
      </c>
      <c r="L1413" s="2">
        <f t="shared" si="286"/>
        <v>1</v>
      </c>
      <c r="M1413" s="2">
        <f t="shared" si="287"/>
        <v>0</v>
      </c>
      <c r="N1413" s="2">
        <f t="shared" si="288"/>
        <v>1</v>
      </c>
      <c r="O1413" s="2">
        <f t="shared" si="289"/>
        <v>0</v>
      </c>
      <c r="P1413" s="112">
        <f t="shared" si="290"/>
        <v>1</v>
      </c>
      <c r="Q1413" s="112">
        <f t="shared" si="291"/>
        <v>0</v>
      </c>
      <c r="R1413" s="53"/>
      <c r="S1413" s="53" t="str">
        <f t="shared" si="292"/>
        <v>Characters|Characters|C-12|Base</v>
      </c>
      <c r="T1413" s="57" t="str">
        <f>IF($S1413="","",IFERROR(VLOOKUP($S1413,'Pop Estimates (Non-#d)'!$N$2:$O$500,2,FALSE),""))</f>
        <v/>
      </c>
      <c r="U1413" s="57" t="str">
        <f t="shared" si="293"/>
        <v/>
      </c>
      <c r="V1413" s="53" t="str">
        <f t="shared" si="294"/>
        <v>Black Noir</v>
      </c>
      <c r="W1413" s="53" t="str">
        <f t="shared" si="295"/>
        <v>Black Noir</v>
      </c>
      <c r="X1413" s="53" t="str">
        <f t="shared" si="296"/>
        <v>Black Noir</v>
      </c>
      <c r="Y1413" s="57">
        <f>IF($X1413="","",IFERROR(VLOOKUP($X1413,'Char Popularity'!$A$2:$C$500,2,FALSE),""))</f>
        <v>4</v>
      </c>
      <c r="Z1413" s="56">
        <f>IF($X1413="",1,IFERROR(VLOOKUP($X1413,'Char Popularity'!$A$2:$C$500,3,FALSE),1))</f>
        <v>1.1000000000000001</v>
      </c>
      <c r="AA1413" s="62">
        <f>IF($H1413&lt;&gt;"Y",0,(IF($F1413&lt;&gt;"",ROUND(Dashboard!$R$4/$F1413,1),IF(AND($I1413="Base",$E1413="Base"),Dashboard!$R$5,IF(AND($I1413="Base",$E1413="Red"),Dashboard!$R$6,IF(AND($I1413="Base",$E1413="Gold"),Dashboard!$R$7,VLOOKUP($I1413,Dashboard!$Q$16:$R$21,2,FALSE)))))*VLOOKUP($I1413,Dashboard!$Q$9:$R$13,2,FALSE)*IF(AND($I1413="Auto",$F1413="",OR($B1413="Autographs Duals",$B1413="Autographs Triples",$B1413="Autographs Quads",$B1413="Autographs Quads (Inscribed)")),IF($B1413="Autographs Duals",2,IF($B1413="Autographs Triples",3,4)),1)))</f>
        <v>1</v>
      </c>
      <c r="AB1413" s="62">
        <f t="shared" si="297"/>
        <v>1</v>
      </c>
      <c r="AC1413" s="62">
        <f t="shared" si="298"/>
        <v>0</v>
      </c>
    </row>
    <row r="1414" spans="1:29" ht="28.7" customHeight="1" x14ac:dyDescent="0.25">
      <c r="A1414" s="4" t="s">
        <v>21</v>
      </c>
      <c r="B1414" s="7" t="s">
        <v>21</v>
      </c>
      <c r="C1414" s="2" t="s">
        <v>413</v>
      </c>
      <c r="D1414" s="7" t="s">
        <v>216</v>
      </c>
      <c r="E1414" s="4" t="s">
        <v>60</v>
      </c>
      <c r="F1414" s="2"/>
      <c r="G1414" s="2" t="s">
        <v>1399</v>
      </c>
      <c r="H1414" s="2" t="s">
        <v>1400</v>
      </c>
      <c r="I1414" s="4" t="s">
        <v>60</v>
      </c>
      <c r="J1414" s="112">
        <f>IF($H1414&lt;&gt;"Y",0,ROUND(MIN(Dashboard!$R$24,IF(IFERROR(VLOOKUP($B1414,Dashboard!$Q$28:$S$60,2,FALSE),0)&gt;0,IFERROR(VLOOKUP($B1414,Dashboard!$Q$28:$S$60,2,FALSE),0),$Z1414*IF($U1414&lt;&gt;"",ROUND((Dashboard!$R$4/$U1414)*VLOOKUP($I1414,Dashboard!$Q$9:$R$13,2,FALSE)*IF(ISNUMBER(SEARCH("Duals",$B1414)),2,IF(ISNUMBER(SEARCH("Triples",$B1414)),3,IF(ISNUMBER(SEARCH("Quads",$B1414)),4,1))),2),ROUND(VLOOKUP($I1414,Dashboard!$Q$15:$R$20,2,FALSE)*IF($E1414="Red",Dashboard!$R$6,IF($E1414="Gold",Dashboard!$R$7,Dashboard!$R$5))*IF(ISNUMBER(SEARCH("Duals",$B1414)),2,IF(ISNUMBER(SEARCH("Triples",$B1414)),3,IF(ISNUMBER(SEARCH("Quads",$B1414)),4,1))),2))*IF(IFERROR(VLOOKUP($B1414,Dashboard!$Q$28:$S$60,3,FALSE),0)&gt;0,VLOOKUP($B1414,Dashboard!$Q$28:$S$60,3,FALSE),1))),0))</f>
        <v>1</v>
      </c>
      <c r="K1414" s="2" t="str">
        <f>IF(Characters!C14="","",Characters!C14)</f>
        <v>h</v>
      </c>
      <c r="L1414" s="2">
        <f t="shared" si="286"/>
        <v>1</v>
      </c>
      <c r="M1414" s="2">
        <f t="shared" si="287"/>
        <v>0</v>
      </c>
      <c r="N1414" s="2">
        <f t="shared" si="288"/>
        <v>1</v>
      </c>
      <c r="O1414" s="2">
        <f t="shared" si="289"/>
        <v>0</v>
      </c>
      <c r="P1414" s="112">
        <f t="shared" si="290"/>
        <v>1</v>
      </c>
      <c r="Q1414" s="112">
        <f t="shared" si="291"/>
        <v>0</v>
      </c>
      <c r="R1414" s="53"/>
      <c r="S1414" s="53" t="str">
        <f t="shared" si="292"/>
        <v>Characters|Characters|C-13|Base</v>
      </c>
      <c r="T1414" s="57" t="str">
        <f>IF($S1414="","",IFERROR(VLOOKUP($S1414,'Pop Estimates (Non-#d)'!$N$2:$O$500,2,FALSE),""))</f>
        <v/>
      </c>
      <c r="U1414" s="57" t="str">
        <f t="shared" si="293"/>
        <v/>
      </c>
      <c r="V1414" s="53" t="str">
        <f t="shared" si="294"/>
        <v>Translucent</v>
      </c>
      <c r="W1414" s="53" t="str">
        <f t="shared" si="295"/>
        <v>Translucent</v>
      </c>
      <c r="X1414" s="53" t="str">
        <f t="shared" si="296"/>
        <v>Translucent</v>
      </c>
      <c r="Y1414" s="57">
        <f>IF($X1414="","",IFERROR(VLOOKUP($X1414,'Char Popularity'!$A$2:$C$500,2,FALSE),""))</f>
        <v>2</v>
      </c>
      <c r="Z1414" s="56">
        <f>IF($X1414="",1,IFERROR(VLOOKUP($X1414,'Char Popularity'!$A$2:$C$500,3,FALSE),1))</f>
        <v>0.9</v>
      </c>
      <c r="AA1414" s="62">
        <f>IF($H1414&lt;&gt;"Y",0,(IF($F1414&lt;&gt;"",ROUND(Dashboard!$R$4/$F1414,1),IF(AND($I1414="Base",$E1414="Base"),Dashboard!$R$5,IF(AND($I1414="Base",$E1414="Red"),Dashboard!$R$6,IF(AND($I1414="Base",$E1414="Gold"),Dashboard!$R$7,VLOOKUP($I1414,Dashboard!$Q$16:$R$21,2,FALSE)))))*VLOOKUP($I1414,Dashboard!$Q$9:$R$13,2,FALSE)*IF(AND($I1414="Auto",$F1414="",OR($B1414="Autographs Duals",$B1414="Autographs Triples",$B1414="Autographs Quads",$B1414="Autographs Quads (Inscribed)")),IF($B1414="Autographs Duals",2,IF($B1414="Autographs Triples",3,4)),1)))</f>
        <v>1</v>
      </c>
      <c r="AB1414" s="62">
        <f t="shared" si="297"/>
        <v>1</v>
      </c>
      <c r="AC1414" s="62">
        <f t="shared" si="298"/>
        <v>0</v>
      </c>
    </row>
    <row r="1415" spans="1:29" ht="28.7" customHeight="1" x14ac:dyDescent="0.25">
      <c r="A1415" s="4" t="s">
        <v>21</v>
      </c>
      <c r="B1415" s="7" t="s">
        <v>21</v>
      </c>
      <c r="C1415" s="2" t="s">
        <v>414</v>
      </c>
      <c r="D1415" s="7" t="s">
        <v>254</v>
      </c>
      <c r="E1415" s="4" t="s">
        <v>60</v>
      </c>
      <c r="F1415" s="2"/>
      <c r="G1415" s="2" t="s">
        <v>1399</v>
      </c>
      <c r="H1415" s="2" t="s">
        <v>1400</v>
      </c>
      <c r="I1415" s="4" t="s">
        <v>60</v>
      </c>
      <c r="J1415" s="112">
        <f>IF($H1415&lt;&gt;"Y",0,ROUND(MIN(Dashboard!$R$24,IF(IFERROR(VLOOKUP($B1415,Dashboard!$Q$28:$S$60,2,FALSE),0)&gt;0,IFERROR(VLOOKUP($B1415,Dashboard!$Q$28:$S$60,2,FALSE),0),$Z1415*IF($U1415&lt;&gt;"",ROUND((Dashboard!$R$4/$U1415)*VLOOKUP($I1415,Dashboard!$Q$9:$R$13,2,FALSE)*IF(ISNUMBER(SEARCH("Duals",$B1415)),2,IF(ISNUMBER(SEARCH("Triples",$B1415)),3,IF(ISNUMBER(SEARCH("Quads",$B1415)),4,1))),2),ROUND(VLOOKUP($I1415,Dashboard!$Q$15:$R$20,2,FALSE)*IF($E1415="Red",Dashboard!$R$6,IF($E1415="Gold",Dashboard!$R$7,Dashboard!$R$5))*IF(ISNUMBER(SEARCH("Duals",$B1415)),2,IF(ISNUMBER(SEARCH("Triples",$B1415)),3,IF(ISNUMBER(SEARCH("Quads",$B1415)),4,1))),2))*IF(IFERROR(VLOOKUP($B1415,Dashboard!$Q$28:$S$60,3,FALSE),0)&gt;0,VLOOKUP($B1415,Dashboard!$Q$28:$S$60,3,FALSE),1))),0))</f>
        <v>1</v>
      </c>
      <c r="K1415" s="2" t="str">
        <f>IF(Characters!C15="","",Characters!C15)</f>
        <v>h</v>
      </c>
      <c r="L1415" s="2">
        <f t="shared" si="286"/>
        <v>1</v>
      </c>
      <c r="M1415" s="2">
        <f t="shared" si="287"/>
        <v>0</v>
      </c>
      <c r="N1415" s="2">
        <f t="shared" si="288"/>
        <v>1</v>
      </c>
      <c r="O1415" s="2">
        <f t="shared" si="289"/>
        <v>0</v>
      </c>
      <c r="P1415" s="112">
        <f t="shared" si="290"/>
        <v>1</v>
      </c>
      <c r="Q1415" s="112">
        <f t="shared" si="291"/>
        <v>0</v>
      </c>
      <c r="R1415" s="53"/>
      <c r="S1415" s="53" t="str">
        <f t="shared" si="292"/>
        <v>Characters|Characters|C-14|Base</v>
      </c>
      <c r="T1415" s="57" t="str">
        <f>IF($S1415="","",IFERROR(VLOOKUP($S1415,'Pop Estimates (Non-#d)'!$N$2:$O$500,2,FALSE),""))</f>
        <v/>
      </c>
      <c r="U1415" s="57" t="str">
        <f t="shared" si="293"/>
        <v/>
      </c>
      <c r="V1415" s="53" t="str">
        <f t="shared" si="294"/>
        <v>Stan Edgar</v>
      </c>
      <c r="W1415" s="53" t="str">
        <f t="shared" si="295"/>
        <v>Stan Edgar</v>
      </c>
      <c r="X1415" s="53" t="str">
        <f t="shared" si="296"/>
        <v>Stan Edgar</v>
      </c>
      <c r="Y1415" s="57">
        <f>IF($X1415="","",IFERROR(VLOOKUP($X1415,'Char Popularity'!$A$2:$C$500,2,FALSE),""))</f>
        <v>4</v>
      </c>
      <c r="Z1415" s="56">
        <f>IF($X1415="",1,IFERROR(VLOOKUP($X1415,'Char Popularity'!$A$2:$C$500,3,FALSE),1))</f>
        <v>1.1000000000000001</v>
      </c>
      <c r="AA1415" s="62">
        <f>IF($H1415&lt;&gt;"Y",0,(IF($F1415&lt;&gt;"",ROUND(Dashboard!$R$4/$F1415,1),IF(AND($I1415="Base",$E1415="Base"),Dashboard!$R$5,IF(AND($I1415="Base",$E1415="Red"),Dashboard!$R$6,IF(AND($I1415="Base",$E1415="Gold"),Dashboard!$R$7,VLOOKUP($I1415,Dashboard!$Q$16:$R$21,2,FALSE)))))*VLOOKUP($I1415,Dashboard!$Q$9:$R$13,2,FALSE)*IF(AND($I1415="Auto",$F1415="",OR($B1415="Autographs Duals",$B1415="Autographs Triples",$B1415="Autographs Quads",$B1415="Autographs Quads (Inscribed)")),IF($B1415="Autographs Duals",2,IF($B1415="Autographs Triples",3,4)),1)))</f>
        <v>1</v>
      </c>
      <c r="AB1415" s="62">
        <f t="shared" si="297"/>
        <v>1</v>
      </c>
      <c r="AC1415" s="62">
        <f t="shared" si="298"/>
        <v>0</v>
      </c>
    </row>
    <row r="1416" spans="1:29" ht="28.7" customHeight="1" x14ac:dyDescent="0.25">
      <c r="A1416" s="4" t="s">
        <v>21</v>
      </c>
      <c r="B1416" s="7" t="s">
        <v>21</v>
      </c>
      <c r="C1416" s="2" t="s">
        <v>415</v>
      </c>
      <c r="D1416" s="7" t="s">
        <v>224</v>
      </c>
      <c r="E1416" s="4" t="s">
        <v>60</v>
      </c>
      <c r="F1416" s="2"/>
      <c r="G1416" s="2" t="s">
        <v>1399</v>
      </c>
      <c r="H1416" s="2" t="s">
        <v>1400</v>
      </c>
      <c r="I1416" s="4" t="s">
        <v>60</v>
      </c>
      <c r="J1416" s="112">
        <f>IF($H1416&lt;&gt;"Y",0,ROUND(MIN(Dashboard!$R$24,IF(IFERROR(VLOOKUP($B1416,Dashboard!$Q$28:$S$60,2,FALSE),0)&gt;0,IFERROR(VLOOKUP($B1416,Dashboard!$Q$28:$S$60,2,FALSE),0),$Z1416*IF($U1416&lt;&gt;"",ROUND((Dashboard!$R$4/$U1416)*VLOOKUP($I1416,Dashboard!$Q$9:$R$13,2,FALSE)*IF(ISNUMBER(SEARCH("Duals",$B1416)),2,IF(ISNUMBER(SEARCH("Triples",$B1416)),3,IF(ISNUMBER(SEARCH("Quads",$B1416)),4,1))),2),ROUND(VLOOKUP($I1416,Dashboard!$Q$15:$R$20,2,FALSE)*IF($E1416="Red",Dashboard!$R$6,IF($E1416="Gold",Dashboard!$R$7,Dashboard!$R$5))*IF(ISNUMBER(SEARCH("Duals",$B1416)),2,IF(ISNUMBER(SEARCH("Triples",$B1416)),3,IF(ISNUMBER(SEARCH("Quads",$B1416)),4,1))),2))*IF(IFERROR(VLOOKUP($B1416,Dashboard!$Q$28:$S$60,3,FALSE),0)&gt;0,VLOOKUP($B1416,Dashboard!$Q$28:$S$60,3,FALSE),1))),0))</f>
        <v>1</v>
      </c>
      <c r="K1416" s="2" t="str">
        <f>IF(Characters!C16="","",Characters!C16)</f>
        <v>h</v>
      </c>
      <c r="L1416" s="2">
        <f t="shared" si="286"/>
        <v>1</v>
      </c>
      <c r="M1416" s="2">
        <f t="shared" si="287"/>
        <v>0</v>
      </c>
      <c r="N1416" s="2">
        <f t="shared" si="288"/>
        <v>1</v>
      </c>
      <c r="O1416" s="2">
        <f t="shared" si="289"/>
        <v>0</v>
      </c>
      <c r="P1416" s="112">
        <f t="shared" si="290"/>
        <v>1</v>
      </c>
      <c r="Q1416" s="112">
        <f t="shared" si="291"/>
        <v>0</v>
      </c>
      <c r="R1416" s="53"/>
      <c r="S1416" s="53" t="str">
        <f t="shared" si="292"/>
        <v>Characters|Characters|C-15|Base</v>
      </c>
      <c r="T1416" s="57" t="str">
        <f>IF($S1416="","",IFERROR(VLOOKUP($S1416,'Pop Estimates (Non-#d)'!$N$2:$O$500,2,FALSE),""))</f>
        <v/>
      </c>
      <c r="U1416" s="57" t="str">
        <f t="shared" si="293"/>
        <v/>
      </c>
      <c r="V1416" s="53" t="str">
        <f t="shared" si="294"/>
        <v>Popclaw</v>
      </c>
      <c r="W1416" s="53" t="str">
        <f t="shared" si="295"/>
        <v>Popclaw</v>
      </c>
      <c r="X1416" s="53" t="str">
        <f t="shared" si="296"/>
        <v>Popclaw</v>
      </c>
      <c r="Y1416" s="57">
        <f>IF($X1416="","",IFERROR(VLOOKUP($X1416,'Char Popularity'!$A$2:$C$500,2,FALSE),""))</f>
        <v>2</v>
      </c>
      <c r="Z1416" s="56">
        <f>IF($X1416="",1,IFERROR(VLOOKUP($X1416,'Char Popularity'!$A$2:$C$500,3,FALSE),1))</f>
        <v>0.9</v>
      </c>
      <c r="AA1416" s="62">
        <f>IF($H1416&lt;&gt;"Y",0,(IF($F1416&lt;&gt;"",ROUND(Dashboard!$R$4/$F1416,1),IF(AND($I1416="Base",$E1416="Base"),Dashboard!$R$5,IF(AND($I1416="Base",$E1416="Red"),Dashboard!$R$6,IF(AND($I1416="Base",$E1416="Gold"),Dashboard!$R$7,VLOOKUP($I1416,Dashboard!$Q$16:$R$21,2,FALSE)))))*VLOOKUP($I1416,Dashboard!$Q$9:$R$13,2,FALSE)*IF(AND($I1416="Auto",$F1416="",OR($B1416="Autographs Duals",$B1416="Autographs Triples",$B1416="Autographs Quads",$B1416="Autographs Quads (Inscribed)")),IF($B1416="Autographs Duals",2,IF($B1416="Autographs Triples",3,4)),1)))</f>
        <v>1</v>
      </c>
      <c r="AB1416" s="62">
        <f t="shared" si="297"/>
        <v>1</v>
      </c>
      <c r="AC1416" s="62">
        <f t="shared" si="298"/>
        <v>0</v>
      </c>
    </row>
    <row r="1417" spans="1:29" ht="28.7" customHeight="1" x14ac:dyDescent="0.25">
      <c r="A1417" s="4" t="s">
        <v>21</v>
      </c>
      <c r="B1417" s="7" t="s">
        <v>21</v>
      </c>
      <c r="C1417" s="2" t="s">
        <v>1217</v>
      </c>
      <c r="D1417" s="7" t="s">
        <v>1218</v>
      </c>
      <c r="E1417" s="4" t="s">
        <v>60</v>
      </c>
      <c r="F1417" s="2"/>
      <c r="G1417" s="2" t="s">
        <v>1399</v>
      </c>
      <c r="H1417" s="2" t="s">
        <v>1400</v>
      </c>
      <c r="I1417" s="4" t="s">
        <v>60</v>
      </c>
      <c r="J1417" s="112">
        <f>IF($H1417&lt;&gt;"Y",0,ROUND(MIN(Dashboard!$R$24,IF(IFERROR(VLOOKUP($B1417,Dashboard!$Q$28:$S$60,2,FALSE),0)&gt;0,IFERROR(VLOOKUP($B1417,Dashboard!$Q$28:$S$60,2,FALSE),0),$Z1417*IF($U1417&lt;&gt;"",ROUND((Dashboard!$R$4/$U1417)*VLOOKUP($I1417,Dashboard!$Q$9:$R$13,2,FALSE)*IF(ISNUMBER(SEARCH("Duals",$B1417)),2,IF(ISNUMBER(SEARCH("Triples",$B1417)),3,IF(ISNUMBER(SEARCH("Quads",$B1417)),4,1))),2),ROUND(VLOOKUP($I1417,Dashboard!$Q$15:$R$20,2,FALSE)*IF($E1417="Red",Dashboard!$R$6,IF($E1417="Gold",Dashboard!$R$7,Dashboard!$R$5))*IF(ISNUMBER(SEARCH("Duals",$B1417)),2,IF(ISNUMBER(SEARCH("Triples",$B1417)),3,IF(ISNUMBER(SEARCH("Quads",$B1417)),4,1))),2))*IF(IFERROR(VLOOKUP($B1417,Dashboard!$Q$28:$S$60,3,FALSE),0)&gt;0,VLOOKUP($B1417,Dashboard!$Q$28:$S$60,3,FALSE),1))),0))</f>
        <v>1</v>
      </c>
      <c r="K1417" s="2" t="str">
        <f>IF(Characters!C17="","",Characters!C17)</f>
        <v>h</v>
      </c>
      <c r="L1417" s="2">
        <f t="shared" si="286"/>
        <v>1</v>
      </c>
      <c r="M1417" s="2">
        <f t="shared" si="287"/>
        <v>0</v>
      </c>
      <c r="N1417" s="2">
        <f t="shared" si="288"/>
        <v>1</v>
      </c>
      <c r="O1417" s="2">
        <f t="shared" si="289"/>
        <v>0</v>
      </c>
      <c r="P1417" s="112">
        <f t="shared" si="290"/>
        <v>1</v>
      </c>
      <c r="Q1417" s="112">
        <f t="shared" si="291"/>
        <v>0</v>
      </c>
      <c r="R1417" s="53"/>
      <c r="S1417" s="53" t="str">
        <f t="shared" si="292"/>
        <v>Characters|Characters|C-16|Base</v>
      </c>
      <c r="T1417" s="57" t="str">
        <f>IF($S1417="","",IFERROR(VLOOKUP($S1417,'Pop Estimates (Non-#d)'!$N$2:$O$500,2,FALSE),""))</f>
        <v/>
      </c>
      <c r="U1417" s="57" t="str">
        <f t="shared" si="293"/>
        <v/>
      </c>
      <c r="V1417" s="53" t="str">
        <f t="shared" si="294"/>
        <v>Eziekiel</v>
      </c>
      <c r="W1417" s="53" t="str">
        <f t="shared" si="295"/>
        <v>Eziekiel</v>
      </c>
      <c r="X1417" s="53" t="str">
        <f t="shared" si="296"/>
        <v>Eziekiel</v>
      </c>
      <c r="Y1417" s="57">
        <f>IF($X1417="","",IFERROR(VLOOKUP($X1417,'Char Popularity'!$A$2:$C$500,2,FALSE),""))</f>
        <v>2</v>
      </c>
      <c r="Z1417" s="56">
        <f>IF($X1417="",1,IFERROR(VLOOKUP($X1417,'Char Popularity'!$A$2:$C$500,3,FALSE),1))</f>
        <v>0.9</v>
      </c>
      <c r="AA1417" s="62">
        <f>IF($H1417&lt;&gt;"Y",0,(IF($F1417&lt;&gt;"",ROUND(Dashboard!$R$4/$F1417,1),IF(AND($I1417="Base",$E1417="Base"),Dashboard!$R$5,IF(AND($I1417="Base",$E1417="Red"),Dashboard!$R$6,IF(AND($I1417="Base",$E1417="Gold"),Dashboard!$R$7,VLOOKUP($I1417,Dashboard!$Q$16:$R$21,2,FALSE)))))*VLOOKUP($I1417,Dashboard!$Q$9:$R$13,2,FALSE)*IF(AND($I1417="Auto",$F1417="",OR($B1417="Autographs Duals",$B1417="Autographs Triples",$B1417="Autographs Quads",$B1417="Autographs Quads (Inscribed)")),IF($B1417="Autographs Duals",2,IF($B1417="Autographs Triples",3,4)),1)))</f>
        <v>1</v>
      </c>
      <c r="AB1417" s="62">
        <f t="shared" si="297"/>
        <v>1</v>
      </c>
      <c r="AC1417" s="62">
        <f t="shared" si="298"/>
        <v>0</v>
      </c>
    </row>
    <row r="1418" spans="1:29" ht="28.7" customHeight="1" x14ac:dyDescent="0.25">
      <c r="A1418" s="4" t="s">
        <v>21</v>
      </c>
      <c r="B1418" s="7" t="s">
        <v>21</v>
      </c>
      <c r="C1418" s="2" t="s">
        <v>416</v>
      </c>
      <c r="D1418" s="7" t="s">
        <v>234</v>
      </c>
      <c r="E1418" s="4" t="s">
        <v>60</v>
      </c>
      <c r="F1418" s="2"/>
      <c r="G1418" s="2" t="s">
        <v>1399</v>
      </c>
      <c r="H1418" s="2" t="s">
        <v>1400</v>
      </c>
      <c r="I1418" s="4" t="s">
        <v>60</v>
      </c>
      <c r="J1418" s="112">
        <f>IF($H1418&lt;&gt;"Y",0,ROUND(MIN(Dashboard!$R$24,IF(IFERROR(VLOOKUP($B1418,Dashboard!$Q$28:$S$60,2,FALSE),0)&gt;0,IFERROR(VLOOKUP($B1418,Dashboard!$Q$28:$S$60,2,FALSE),0),$Z1418*IF($U1418&lt;&gt;"",ROUND((Dashboard!$R$4/$U1418)*VLOOKUP($I1418,Dashboard!$Q$9:$R$13,2,FALSE)*IF(ISNUMBER(SEARCH("Duals",$B1418)),2,IF(ISNUMBER(SEARCH("Triples",$B1418)),3,IF(ISNUMBER(SEARCH("Quads",$B1418)),4,1))),2),ROUND(VLOOKUP($I1418,Dashboard!$Q$15:$R$20,2,FALSE)*IF($E1418="Red",Dashboard!$R$6,IF($E1418="Gold",Dashboard!$R$7,Dashboard!$R$5))*IF(ISNUMBER(SEARCH("Duals",$B1418)),2,IF(ISNUMBER(SEARCH("Triples",$B1418)),3,IF(ISNUMBER(SEARCH("Quads",$B1418)),4,1))),2))*IF(IFERROR(VLOOKUP($B1418,Dashboard!$Q$28:$S$60,3,FALSE),0)&gt;0,VLOOKUP($B1418,Dashboard!$Q$28:$S$60,3,FALSE),1))),0))</f>
        <v>1</v>
      </c>
      <c r="K1418" s="2" t="str">
        <f>IF(Characters!C18="","",Characters!C18)</f>
        <v>h</v>
      </c>
      <c r="L1418" s="2">
        <f t="shared" si="286"/>
        <v>1</v>
      </c>
      <c r="M1418" s="2">
        <f t="shared" si="287"/>
        <v>0</v>
      </c>
      <c r="N1418" s="2">
        <f t="shared" si="288"/>
        <v>1</v>
      </c>
      <c r="O1418" s="2">
        <f t="shared" si="289"/>
        <v>0</v>
      </c>
      <c r="P1418" s="112">
        <f t="shared" si="290"/>
        <v>1</v>
      </c>
      <c r="Q1418" s="112">
        <f t="shared" si="291"/>
        <v>0</v>
      </c>
      <c r="R1418" s="53"/>
      <c r="S1418" s="53" t="str">
        <f t="shared" si="292"/>
        <v>Characters|Characters|C-17|Base</v>
      </c>
      <c r="T1418" s="57" t="str">
        <f>IF($S1418="","",IFERROR(VLOOKUP($S1418,'Pop Estimates (Non-#d)'!$N$2:$O$500,2,FALSE),""))</f>
        <v/>
      </c>
      <c r="U1418" s="57" t="str">
        <f t="shared" si="293"/>
        <v/>
      </c>
      <c r="V1418" s="53" t="str">
        <f t="shared" si="294"/>
        <v>Ashley Barrett</v>
      </c>
      <c r="W1418" s="53" t="str">
        <f t="shared" si="295"/>
        <v>Ashley Barrett</v>
      </c>
      <c r="X1418" s="53" t="str">
        <f t="shared" si="296"/>
        <v>Ashley Barrett</v>
      </c>
      <c r="Y1418" s="57">
        <f>IF($X1418="","",IFERROR(VLOOKUP($X1418,'Char Popularity'!$A$2:$C$500,2,FALSE),""))</f>
        <v>3</v>
      </c>
      <c r="Z1418" s="56">
        <f>IF($X1418="",1,IFERROR(VLOOKUP($X1418,'Char Popularity'!$A$2:$C$500,3,FALSE),1))</f>
        <v>1</v>
      </c>
      <c r="AA1418" s="62">
        <f>IF($H1418&lt;&gt;"Y",0,(IF($F1418&lt;&gt;"",ROUND(Dashboard!$R$4/$F1418,1),IF(AND($I1418="Base",$E1418="Base"),Dashboard!$R$5,IF(AND($I1418="Base",$E1418="Red"),Dashboard!$R$6,IF(AND($I1418="Base",$E1418="Gold"),Dashboard!$R$7,VLOOKUP($I1418,Dashboard!$Q$16:$R$21,2,FALSE)))))*VLOOKUP($I1418,Dashboard!$Q$9:$R$13,2,FALSE)*IF(AND($I1418="Auto",$F1418="",OR($B1418="Autographs Duals",$B1418="Autographs Triples",$B1418="Autographs Quads",$B1418="Autographs Quads (Inscribed)")),IF($B1418="Autographs Duals",2,IF($B1418="Autographs Triples",3,4)),1)))</f>
        <v>1</v>
      </c>
      <c r="AB1418" s="62">
        <f t="shared" si="297"/>
        <v>1</v>
      </c>
      <c r="AC1418" s="62">
        <f t="shared" si="298"/>
        <v>0</v>
      </c>
    </row>
    <row r="1419" spans="1:29" ht="28.7" customHeight="1" x14ac:dyDescent="0.25">
      <c r="A1419" s="4" t="s">
        <v>21</v>
      </c>
      <c r="B1419" s="7" t="s">
        <v>21</v>
      </c>
      <c r="C1419" s="2" t="s">
        <v>417</v>
      </c>
      <c r="D1419" s="7" t="s">
        <v>308</v>
      </c>
      <c r="E1419" s="4" t="s">
        <v>60</v>
      </c>
      <c r="F1419" s="2"/>
      <c r="G1419" s="2" t="s">
        <v>1399</v>
      </c>
      <c r="H1419" s="2" t="s">
        <v>1400</v>
      </c>
      <c r="I1419" s="4" t="s">
        <v>60</v>
      </c>
      <c r="J1419" s="112">
        <f>IF($H1419&lt;&gt;"Y",0,ROUND(MIN(Dashboard!$R$24,IF(IFERROR(VLOOKUP($B1419,Dashboard!$Q$28:$S$60,2,FALSE),0)&gt;0,IFERROR(VLOOKUP($B1419,Dashboard!$Q$28:$S$60,2,FALSE),0),$Z1419*IF($U1419&lt;&gt;"",ROUND((Dashboard!$R$4/$U1419)*VLOOKUP($I1419,Dashboard!$Q$9:$R$13,2,FALSE)*IF(ISNUMBER(SEARCH("Duals",$B1419)),2,IF(ISNUMBER(SEARCH("Triples",$B1419)),3,IF(ISNUMBER(SEARCH("Quads",$B1419)),4,1))),2),ROUND(VLOOKUP($I1419,Dashboard!$Q$15:$R$20,2,FALSE)*IF($E1419="Red",Dashboard!$R$6,IF($E1419="Gold",Dashboard!$R$7,Dashboard!$R$5))*IF(ISNUMBER(SEARCH("Duals",$B1419)),2,IF(ISNUMBER(SEARCH("Triples",$B1419)),3,IF(ISNUMBER(SEARCH("Quads",$B1419)),4,1))),2))*IF(IFERROR(VLOOKUP($B1419,Dashboard!$Q$28:$S$60,3,FALSE),0)&gt;0,VLOOKUP($B1419,Dashboard!$Q$28:$S$60,3,FALSE),1))),0))</f>
        <v>1</v>
      </c>
      <c r="K1419" s="2" t="str">
        <f>IF(Characters!C19="","",Characters!C19)</f>
        <v>h</v>
      </c>
      <c r="L1419" s="2">
        <f t="shared" si="286"/>
        <v>1</v>
      </c>
      <c r="M1419" s="2">
        <f t="shared" si="287"/>
        <v>0</v>
      </c>
      <c r="N1419" s="2">
        <f t="shared" si="288"/>
        <v>1</v>
      </c>
      <c r="O1419" s="2">
        <f t="shared" si="289"/>
        <v>0</v>
      </c>
      <c r="P1419" s="112">
        <f t="shared" si="290"/>
        <v>1</v>
      </c>
      <c r="Q1419" s="112">
        <f t="shared" si="291"/>
        <v>0</v>
      </c>
      <c r="R1419" s="53"/>
      <c r="S1419" s="53" t="str">
        <f t="shared" si="292"/>
        <v>Characters|Characters|C-18|Base</v>
      </c>
      <c r="T1419" s="57" t="str">
        <f>IF($S1419="","",IFERROR(VLOOKUP($S1419,'Pop Estimates (Non-#d)'!$N$2:$O$500,2,FALSE),""))</f>
        <v/>
      </c>
      <c r="U1419" s="57" t="str">
        <f t="shared" si="293"/>
        <v/>
      </c>
      <c r="V1419" s="53" t="str">
        <f t="shared" si="294"/>
        <v>Becca Butcher</v>
      </c>
      <c r="W1419" s="53" t="str">
        <f t="shared" si="295"/>
        <v>Becca Butcher</v>
      </c>
      <c r="X1419" s="53" t="str">
        <f t="shared" si="296"/>
        <v>Becca Butcher</v>
      </c>
      <c r="Y1419" s="57">
        <f>IF($X1419="","",IFERROR(VLOOKUP($X1419,'Char Popularity'!$A$2:$C$500,2,FALSE),""))</f>
        <v>3</v>
      </c>
      <c r="Z1419" s="56">
        <f>IF($X1419="",1,IFERROR(VLOOKUP($X1419,'Char Popularity'!$A$2:$C$500,3,FALSE),1))</f>
        <v>1</v>
      </c>
      <c r="AA1419" s="62">
        <f>IF($H1419&lt;&gt;"Y",0,(IF($F1419&lt;&gt;"",ROUND(Dashboard!$R$4/$F1419,1),IF(AND($I1419="Base",$E1419="Base"),Dashboard!$R$5,IF(AND($I1419="Base",$E1419="Red"),Dashboard!$R$6,IF(AND($I1419="Base",$E1419="Gold"),Dashboard!$R$7,VLOOKUP($I1419,Dashboard!$Q$16:$R$21,2,FALSE)))))*VLOOKUP($I1419,Dashboard!$Q$9:$R$13,2,FALSE)*IF(AND($I1419="Auto",$F1419="",OR($B1419="Autographs Duals",$B1419="Autographs Triples",$B1419="Autographs Quads",$B1419="Autographs Quads (Inscribed)")),IF($B1419="Autographs Duals",2,IF($B1419="Autographs Triples",3,4)),1)))</f>
        <v>1</v>
      </c>
      <c r="AB1419" s="62">
        <f t="shared" si="297"/>
        <v>1</v>
      </c>
      <c r="AC1419" s="62">
        <f t="shared" si="298"/>
        <v>0</v>
      </c>
    </row>
    <row r="1420" spans="1:29" ht="28.7" customHeight="1" x14ac:dyDescent="0.25">
      <c r="A1420" s="4" t="s">
        <v>21</v>
      </c>
      <c r="B1420" s="7" t="s">
        <v>21</v>
      </c>
      <c r="C1420" s="2" t="s">
        <v>418</v>
      </c>
      <c r="D1420" s="7" t="s">
        <v>301</v>
      </c>
      <c r="E1420" s="4" t="s">
        <v>60</v>
      </c>
      <c r="F1420" s="2"/>
      <c r="G1420" s="2" t="s">
        <v>1399</v>
      </c>
      <c r="H1420" s="2" t="s">
        <v>1400</v>
      </c>
      <c r="I1420" s="4" t="s">
        <v>60</v>
      </c>
      <c r="J1420" s="112">
        <f>IF($H1420&lt;&gt;"Y",0,ROUND(MIN(Dashboard!$R$24,IF(IFERROR(VLOOKUP($B1420,Dashboard!$Q$28:$S$60,2,FALSE),0)&gt;0,IFERROR(VLOOKUP($B1420,Dashboard!$Q$28:$S$60,2,FALSE),0),$Z1420*IF($U1420&lt;&gt;"",ROUND((Dashboard!$R$4/$U1420)*VLOOKUP($I1420,Dashboard!$Q$9:$R$13,2,FALSE)*IF(ISNUMBER(SEARCH("Duals",$B1420)),2,IF(ISNUMBER(SEARCH("Triples",$B1420)),3,IF(ISNUMBER(SEARCH("Quads",$B1420)),4,1))),2),ROUND(VLOOKUP($I1420,Dashboard!$Q$15:$R$20,2,FALSE)*IF($E1420="Red",Dashboard!$R$6,IF($E1420="Gold",Dashboard!$R$7,Dashboard!$R$5))*IF(ISNUMBER(SEARCH("Duals",$B1420)),2,IF(ISNUMBER(SEARCH("Triples",$B1420)),3,IF(ISNUMBER(SEARCH("Quads",$B1420)),4,1))),2))*IF(IFERROR(VLOOKUP($B1420,Dashboard!$Q$28:$S$60,3,FALSE),0)&gt;0,VLOOKUP($B1420,Dashboard!$Q$28:$S$60,3,FALSE),1))),0))</f>
        <v>1</v>
      </c>
      <c r="K1420" s="2" t="str">
        <f>IF(Characters!C20="","",Characters!C20)</f>
        <v>h</v>
      </c>
      <c r="L1420" s="2">
        <f t="shared" si="286"/>
        <v>1</v>
      </c>
      <c r="M1420" s="2">
        <f t="shared" si="287"/>
        <v>0</v>
      </c>
      <c r="N1420" s="2">
        <f t="shared" si="288"/>
        <v>1</v>
      </c>
      <c r="O1420" s="2">
        <f t="shared" si="289"/>
        <v>0</v>
      </c>
      <c r="P1420" s="112">
        <f t="shared" si="290"/>
        <v>1</v>
      </c>
      <c r="Q1420" s="112">
        <f t="shared" si="291"/>
        <v>0</v>
      </c>
      <c r="R1420" s="53"/>
      <c r="S1420" s="53" t="str">
        <f t="shared" si="292"/>
        <v>Characters|Characters|C-19|Base</v>
      </c>
      <c r="T1420" s="57" t="str">
        <f>IF($S1420="","",IFERROR(VLOOKUP($S1420,'Pop Estimates (Non-#d)'!$N$2:$O$500,2,FALSE),""))</f>
        <v/>
      </c>
      <c r="U1420" s="57" t="str">
        <f t="shared" si="293"/>
        <v/>
      </c>
      <c r="V1420" s="53" t="str">
        <f t="shared" si="294"/>
        <v>Lamplighter</v>
      </c>
      <c r="W1420" s="53" t="str">
        <f t="shared" si="295"/>
        <v>Lamplighter</v>
      </c>
      <c r="X1420" s="53" t="str">
        <f t="shared" si="296"/>
        <v>Lamplighter</v>
      </c>
      <c r="Y1420" s="57">
        <f>IF($X1420="","",IFERROR(VLOOKUP($X1420,'Char Popularity'!$A$2:$C$500,2,FALSE),""))</f>
        <v>2</v>
      </c>
      <c r="Z1420" s="56">
        <f>IF($X1420="",1,IFERROR(VLOOKUP($X1420,'Char Popularity'!$A$2:$C$500,3,FALSE),1))</f>
        <v>0.9</v>
      </c>
      <c r="AA1420" s="62">
        <f>IF($H1420&lt;&gt;"Y",0,(IF($F1420&lt;&gt;"",ROUND(Dashboard!$R$4/$F1420,1),IF(AND($I1420="Base",$E1420="Base"),Dashboard!$R$5,IF(AND($I1420="Base",$E1420="Red"),Dashboard!$R$6,IF(AND($I1420="Base",$E1420="Gold"),Dashboard!$R$7,VLOOKUP($I1420,Dashboard!$Q$16:$R$21,2,FALSE)))))*VLOOKUP($I1420,Dashboard!$Q$9:$R$13,2,FALSE)*IF(AND($I1420="Auto",$F1420="",OR($B1420="Autographs Duals",$B1420="Autographs Triples",$B1420="Autographs Quads",$B1420="Autographs Quads (Inscribed)")),IF($B1420="Autographs Duals",2,IF($B1420="Autographs Triples",3,4)),1)))</f>
        <v>1</v>
      </c>
      <c r="AB1420" s="62">
        <f t="shared" si="297"/>
        <v>1</v>
      </c>
      <c r="AC1420" s="62">
        <f t="shared" si="298"/>
        <v>0</v>
      </c>
    </row>
    <row r="1421" spans="1:29" ht="28.7" customHeight="1" x14ac:dyDescent="0.25">
      <c r="A1421" s="4" t="s">
        <v>21</v>
      </c>
      <c r="B1421" s="7" t="s">
        <v>21</v>
      </c>
      <c r="C1421" s="2" t="s">
        <v>420</v>
      </c>
      <c r="D1421" s="7" t="s">
        <v>260</v>
      </c>
      <c r="E1421" s="4" t="s">
        <v>60</v>
      </c>
      <c r="F1421" s="2"/>
      <c r="G1421" s="2" t="s">
        <v>1399</v>
      </c>
      <c r="H1421" s="2" t="s">
        <v>1400</v>
      </c>
      <c r="I1421" s="4" t="s">
        <v>60</v>
      </c>
      <c r="J1421" s="112">
        <f>IF($H1421&lt;&gt;"Y",0,ROUND(MIN(Dashboard!$R$24,IF(IFERROR(VLOOKUP($B1421,Dashboard!$Q$28:$S$60,2,FALSE),0)&gt;0,IFERROR(VLOOKUP($B1421,Dashboard!$Q$28:$S$60,2,FALSE),0),$Z1421*IF($U1421&lt;&gt;"",ROUND((Dashboard!$R$4/$U1421)*VLOOKUP($I1421,Dashboard!$Q$9:$R$13,2,FALSE)*IF(ISNUMBER(SEARCH("Duals",$B1421)),2,IF(ISNUMBER(SEARCH("Triples",$B1421)),3,IF(ISNUMBER(SEARCH("Quads",$B1421)),4,1))),2),ROUND(VLOOKUP($I1421,Dashboard!$Q$15:$R$20,2,FALSE)*IF($E1421="Red",Dashboard!$R$6,IF($E1421="Gold",Dashboard!$R$7,Dashboard!$R$5))*IF(ISNUMBER(SEARCH("Duals",$B1421)),2,IF(ISNUMBER(SEARCH("Triples",$B1421)),3,IF(ISNUMBER(SEARCH("Quads",$B1421)),4,1))),2))*IF(IFERROR(VLOOKUP($B1421,Dashboard!$Q$28:$S$60,3,FALSE),0)&gt;0,VLOOKUP($B1421,Dashboard!$Q$28:$S$60,3,FALSE),1))),0))</f>
        <v>1</v>
      </c>
      <c r="K1421" s="2" t="str">
        <f>IF(Characters!C21="","",Characters!C21)</f>
        <v>h</v>
      </c>
      <c r="L1421" s="2">
        <f t="shared" si="286"/>
        <v>1</v>
      </c>
      <c r="M1421" s="2">
        <f t="shared" si="287"/>
        <v>0</v>
      </c>
      <c r="N1421" s="2">
        <f t="shared" si="288"/>
        <v>1</v>
      </c>
      <c r="O1421" s="2">
        <f t="shared" si="289"/>
        <v>0</v>
      </c>
      <c r="P1421" s="112">
        <f t="shared" si="290"/>
        <v>1</v>
      </c>
      <c r="Q1421" s="112">
        <f t="shared" si="291"/>
        <v>0</v>
      </c>
      <c r="R1421" s="53"/>
      <c r="S1421" s="53" t="str">
        <f t="shared" si="292"/>
        <v>Characters|Characters|C-20|Base</v>
      </c>
      <c r="T1421" s="57" t="str">
        <f>IF($S1421="","",IFERROR(VLOOKUP($S1421,'Pop Estimates (Non-#d)'!$N$2:$O$500,2,FALSE),""))</f>
        <v/>
      </c>
      <c r="U1421" s="57" t="str">
        <f t="shared" si="293"/>
        <v/>
      </c>
      <c r="V1421" s="53" t="str">
        <f t="shared" si="294"/>
        <v>Cherie</v>
      </c>
      <c r="W1421" s="53" t="str">
        <f t="shared" si="295"/>
        <v>Cherie</v>
      </c>
      <c r="X1421" s="53" t="str">
        <f t="shared" si="296"/>
        <v>Cherie</v>
      </c>
      <c r="Y1421" s="57">
        <f>IF($X1421="","",IFERROR(VLOOKUP($X1421,'Char Popularity'!$A$2:$C$500,2,FALSE),""))</f>
        <v>3</v>
      </c>
      <c r="Z1421" s="56">
        <f>IF($X1421="",1,IFERROR(VLOOKUP($X1421,'Char Popularity'!$A$2:$C$500,3,FALSE),1))</f>
        <v>1</v>
      </c>
      <c r="AA1421" s="62">
        <f>IF($H1421&lt;&gt;"Y",0,(IF($F1421&lt;&gt;"",ROUND(Dashboard!$R$4/$F1421,1),IF(AND($I1421="Base",$E1421="Base"),Dashboard!$R$5,IF(AND($I1421="Base",$E1421="Red"),Dashboard!$R$6,IF(AND($I1421="Base",$E1421="Gold"),Dashboard!$R$7,VLOOKUP($I1421,Dashboard!$Q$16:$R$21,2,FALSE)))))*VLOOKUP($I1421,Dashboard!$Q$9:$R$13,2,FALSE)*IF(AND($I1421="Auto",$F1421="",OR($B1421="Autographs Duals",$B1421="Autographs Triples",$B1421="Autographs Quads",$B1421="Autographs Quads (Inscribed)")),IF($B1421="Autographs Duals",2,IF($B1421="Autographs Triples",3,4)),1)))</f>
        <v>1</v>
      </c>
      <c r="AB1421" s="62">
        <f t="shared" si="297"/>
        <v>1</v>
      </c>
      <c r="AC1421" s="62">
        <f t="shared" si="298"/>
        <v>0</v>
      </c>
    </row>
    <row r="1422" spans="1:29" ht="28.7" customHeight="1" x14ac:dyDescent="0.25">
      <c r="A1422" s="4" t="s">
        <v>21</v>
      </c>
      <c r="B1422" s="7" t="s">
        <v>21</v>
      </c>
      <c r="C1422" s="2" t="s">
        <v>421</v>
      </c>
      <c r="D1422" s="7" t="s">
        <v>288</v>
      </c>
      <c r="E1422" s="4" t="s">
        <v>60</v>
      </c>
      <c r="F1422" s="2"/>
      <c r="G1422" s="2" t="s">
        <v>1399</v>
      </c>
      <c r="H1422" s="2" t="s">
        <v>1400</v>
      </c>
      <c r="I1422" s="4" t="s">
        <v>60</v>
      </c>
      <c r="J1422" s="112">
        <f>IF($H1422&lt;&gt;"Y",0,ROUND(MIN(Dashboard!$R$24,IF(IFERROR(VLOOKUP($B1422,Dashboard!$Q$28:$S$60,2,FALSE),0)&gt;0,IFERROR(VLOOKUP($B1422,Dashboard!$Q$28:$S$60,2,FALSE),0),$Z1422*IF($U1422&lt;&gt;"",ROUND((Dashboard!$R$4/$U1422)*VLOOKUP($I1422,Dashboard!$Q$9:$R$13,2,FALSE)*IF(ISNUMBER(SEARCH("Duals",$B1422)),2,IF(ISNUMBER(SEARCH("Triples",$B1422)),3,IF(ISNUMBER(SEARCH("Quads",$B1422)),4,1))),2),ROUND(VLOOKUP($I1422,Dashboard!$Q$15:$R$20,2,FALSE)*IF($E1422="Red",Dashboard!$R$6,IF($E1422="Gold",Dashboard!$R$7,Dashboard!$R$5))*IF(ISNUMBER(SEARCH("Duals",$B1422)),2,IF(ISNUMBER(SEARCH("Triples",$B1422)),3,IF(ISNUMBER(SEARCH("Quads",$B1422)),4,1))),2))*IF(IFERROR(VLOOKUP($B1422,Dashboard!$Q$28:$S$60,3,FALSE),0)&gt;0,VLOOKUP($B1422,Dashboard!$Q$28:$S$60,3,FALSE),1))),0))</f>
        <v>1</v>
      </c>
      <c r="K1422" s="2" t="str">
        <f>IF(Characters!C22="","",Characters!C22)</f>
        <v>h</v>
      </c>
      <c r="L1422" s="2">
        <f t="shared" si="286"/>
        <v>1</v>
      </c>
      <c r="M1422" s="2">
        <f t="shared" si="287"/>
        <v>0</v>
      </c>
      <c r="N1422" s="2">
        <f t="shared" si="288"/>
        <v>1</v>
      </c>
      <c r="O1422" s="2">
        <f t="shared" si="289"/>
        <v>0</v>
      </c>
      <c r="P1422" s="112">
        <f t="shared" si="290"/>
        <v>1</v>
      </c>
      <c r="Q1422" s="112">
        <f t="shared" si="291"/>
        <v>0</v>
      </c>
      <c r="R1422" s="53"/>
      <c r="S1422" s="53" t="str">
        <f t="shared" si="292"/>
        <v>Characters|Characters|C-21|Base</v>
      </c>
      <c r="T1422" s="57" t="str">
        <f>IF($S1422="","",IFERROR(VLOOKUP($S1422,'Pop Estimates (Non-#d)'!$N$2:$O$500,2,FALSE),""))</f>
        <v/>
      </c>
      <c r="U1422" s="57" t="str">
        <f t="shared" si="293"/>
        <v/>
      </c>
      <c r="V1422" s="53" t="str">
        <f t="shared" si="294"/>
        <v>Shockwave</v>
      </c>
      <c r="W1422" s="53" t="str">
        <f t="shared" si="295"/>
        <v>Shockwave</v>
      </c>
      <c r="X1422" s="53" t="str">
        <f t="shared" si="296"/>
        <v>Shockwave</v>
      </c>
      <c r="Y1422" s="57">
        <f>IF($X1422="","",IFERROR(VLOOKUP($X1422,'Char Popularity'!$A$2:$C$500,2,FALSE),""))</f>
        <v>2</v>
      </c>
      <c r="Z1422" s="56">
        <f>IF($X1422="",1,IFERROR(VLOOKUP($X1422,'Char Popularity'!$A$2:$C$500,3,FALSE),1))</f>
        <v>0.9</v>
      </c>
      <c r="AA1422" s="62">
        <f>IF($H1422&lt;&gt;"Y",0,(IF($F1422&lt;&gt;"",ROUND(Dashboard!$R$4/$F1422,1),IF(AND($I1422="Base",$E1422="Base"),Dashboard!$R$5,IF(AND($I1422="Base",$E1422="Red"),Dashboard!$R$6,IF(AND($I1422="Base",$E1422="Gold"),Dashboard!$R$7,VLOOKUP($I1422,Dashboard!$Q$16:$R$21,2,FALSE)))))*VLOOKUP($I1422,Dashboard!$Q$9:$R$13,2,FALSE)*IF(AND($I1422="Auto",$F1422="",OR($B1422="Autographs Duals",$B1422="Autographs Triples",$B1422="Autographs Quads",$B1422="Autographs Quads (Inscribed)")),IF($B1422="Autographs Duals",2,IF($B1422="Autographs Triples",3,4)),1)))</f>
        <v>1</v>
      </c>
      <c r="AB1422" s="62">
        <f t="shared" si="297"/>
        <v>1</v>
      </c>
      <c r="AC1422" s="62">
        <f t="shared" si="298"/>
        <v>0</v>
      </c>
    </row>
    <row r="1423" spans="1:29" ht="28.7" customHeight="1" x14ac:dyDescent="0.25">
      <c r="A1423" s="4" t="s">
        <v>21</v>
      </c>
      <c r="B1423" s="7" t="s">
        <v>21</v>
      </c>
      <c r="C1423" s="2" t="s">
        <v>422</v>
      </c>
      <c r="D1423" s="7" t="s">
        <v>228</v>
      </c>
      <c r="E1423" s="4" t="s">
        <v>60</v>
      </c>
      <c r="F1423" s="2"/>
      <c r="G1423" s="2" t="s">
        <v>1399</v>
      </c>
      <c r="H1423" s="2" t="s">
        <v>1400</v>
      </c>
      <c r="I1423" s="4" t="s">
        <v>60</v>
      </c>
      <c r="J1423" s="112">
        <f>IF($H1423&lt;&gt;"Y",0,ROUND(MIN(Dashboard!$R$24,IF(IFERROR(VLOOKUP($B1423,Dashboard!$Q$28:$S$60,2,FALSE),0)&gt;0,IFERROR(VLOOKUP($B1423,Dashboard!$Q$28:$S$60,2,FALSE),0),$Z1423*IF($U1423&lt;&gt;"",ROUND((Dashboard!$R$4/$U1423)*VLOOKUP($I1423,Dashboard!$Q$9:$R$13,2,FALSE)*IF(ISNUMBER(SEARCH("Duals",$B1423)),2,IF(ISNUMBER(SEARCH("Triples",$B1423)),3,IF(ISNUMBER(SEARCH("Quads",$B1423)),4,1))),2),ROUND(VLOOKUP($I1423,Dashboard!$Q$15:$R$20,2,FALSE)*IF($E1423="Red",Dashboard!$R$6,IF($E1423="Gold",Dashboard!$R$7,Dashboard!$R$5))*IF(ISNUMBER(SEARCH("Duals",$B1423)),2,IF(ISNUMBER(SEARCH("Triples",$B1423)),3,IF(ISNUMBER(SEARCH("Quads",$B1423)),4,1))),2))*IF(IFERROR(VLOOKUP($B1423,Dashboard!$Q$28:$S$60,3,FALSE),0)&gt;0,VLOOKUP($B1423,Dashboard!$Q$28:$S$60,3,FALSE),1))),0))</f>
        <v>1</v>
      </c>
      <c r="K1423" s="2" t="str">
        <f>IF(Characters!C23="","",Characters!C23)</f>
        <v>h</v>
      </c>
      <c r="L1423" s="2">
        <f t="shared" si="286"/>
        <v>1</v>
      </c>
      <c r="M1423" s="2">
        <f t="shared" si="287"/>
        <v>0</v>
      </c>
      <c r="N1423" s="2">
        <f t="shared" si="288"/>
        <v>1</v>
      </c>
      <c r="O1423" s="2">
        <f t="shared" si="289"/>
        <v>0</v>
      </c>
      <c r="P1423" s="112">
        <f t="shared" si="290"/>
        <v>1</v>
      </c>
      <c r="Q1423" s="112">
        <f t="shared" si="291"/>
        <v>0</v>
      </c>
      <c r="R1423" s="53"/>
      <c r="S1423" s="53" t="str">
        <f t="shared" si="292"/>
        <v>Characters|Characters|C-22|Base</v>
      </c>
      <c r="T1423" s="57" t="str">
        <f>IF($S1423="","",IFERROR(VLOOKUP($S1423,'Pop Estimates (Non-#d)'!$N$2:$O$500,2,FALSE),""))</f>
        <v/>
      </c>
      <c r="U1423" s="57" t="str">
        <f t="shared" si="293"/>
        <v/>
      </c>
      <c r="V1423" s="53" t="str">
        <f t="shared" si="294"/>
        <v>Ryan</v>
      </c>
      <c r="W1423" s="53" t="str">
        <f t="shared" si="295"/>
        <v>Ryan</v>
      </c>
      <c r="X1423" s="53" t="str">
        <f t="shared" si="296"/>
        <v>Ryan</v>
      </c>
      <c r="Y1423" s="57">
        <f>IF($X1423="","",IFERROR(VLOOKUP($X1423,'Char Popularity'!$A$2:$C$500,2,FALSE),""))</f>
        <v>4</v>
      </c>
      <c r="Z1423" s="56">
        <f>IF($X1423="",1,IFERROR(VLOOKUP($X1423,'Char Popularity'!$A$2:$C$500,3,FALSE),1))</f>
        <v>1.1000000000000001</v>
      </c>
      <c r="AA1423" s="62">
        <f>IF($H1423&lt;&gt;"Y",0,(IF($F1423&lt;&gt;"",ROUND(Dashboard!$R$4/$F1423,1),IF(AND($I1423="Base",$E1423="Base"),Dashboard!$R$5,IF(AND($I1423="Base",$E1423="Red"),Dashboard!$R$6,IF(AND($I1423="Base",$E1423="Gold"),Dashboard!$R$7,VLOOKUP($I1423,Dashboard!$Q$16:$R$21,2,FALSE)))))*VLOOKUP($I1423,Dashboard!$Q$9:$R$13,2,FALSE)*IF(AND($I1423="Auto",$F1423="",OR($B1423="Autographs Duals",$B1423="Autographs Triples",$B1423="Autographs Quads",$B1423="Autographs Quads (Inscribed)")),IF($B1423="Autographs Duals",2,IF($B1423="Autographs Triples",3,4)),1)))</f>
        <v>1</v>
      </c>
      <c r="AB1423" s="62">
        <f t="shared" si="297"/>
        <v>1</v>
      </c>
      <c r="AC1423" s="62">
        <f t="shared" si="298"/>
        <v>0</v>
      </c>
    </row>
    <row r="1424" spans="1:29" ht="28.7" customHeight="1" x14ac:dyDescent="0.25">
      <c r="A1424" s="4" t="s">
        <v>21</v>
      </c>
      <c r="B1424" s="7" t="s">
        <v>21</v>
      </c>
      <c r="C1424" s="2" t="s">
        <v>423</v>
      </c>
      <c r="D1424" s="7" t="s">
        <v>301</v>
      </c>
      <c r="E1424" s="4" t="s">
        <v>60</v>
      </c>
      <c r="F1424" s="2"/>
      <c r="G1424" s="2" t="s">
        <v>1399</v>
      </c>
      <c r="H1424" s="2" t="s">
        <v>1400</v>
      </c>
      <c r="I1424" s="4" t="s">
        <v>60</v>
      </c>
      <c r="J1424" s="112">
        <f>IF($H1424&lt;&gt;"Y",0,ROUND(MIN(Dashboard!$R$24,IF(IFERROR(VLOOKUP($B1424,Dashboard!$Q$28:$S$60,2,FALSE),0)&gt;0,IFERROR(VLOOKUP($B1424,Dashboard!$Q$28:$S$60,2,FALSE),0),$Z1424*IF($U1424&lt;&gt;"",ROUND((Dashboard!$R$4/$U1424)*VLOOKUP($I1424,Dashboard!$Q$9:$R$13,2,FALSE)*IF(ISNUMBER(SEARCH("Duals",$B1424)),2,IF(ISNUMBER(SEARCH("Triples",$B1424)),3,IF(ISNUMBER(SEARCH("Quads",$B1424)),4,1))),2),ROUND(VLOOKUP($I1424,Dashboard!$Q$15:$R$20,2,FALSE)*IF($E1424="Red",Dashboard!$R$6,IF($E1424="Gold",Dashboard!$R$7,Dashboard!$R$5))*IF(ISNUMBER(SEARCH("Duals",$B1424)),2,IF(ISNUMBER(SEARCH("Triples",$B1424)),3,IF(ISNUMBER(SEARCH("Quads",$B1424)),4,1))),2))*IF(IFERROR(VLOOKUP($B1424,Dashboard!$Q$28:$S$60,3,FALSE),0)&gt;0,VLOOKUP($B1424,Dashboard!$Q$28:$S$60,3,FALSE),1))),0))</f>
        <v>1</v>
      </c>
      <c r="K1424" s="2" t="str">
        <f>IF(Characters!C24="","",Characters!C24)</f>
        <v>h</v>
      </c>
      <c r="L1424" s="2">
        <f t="shared" si="286"/>
        <v>1</v>
      </c>
      <c r="M1424" s="2">
        <f t="shared" si="287"/>
        <v>0</v>
      </c>
      <c r="N1424" s="2">
        <f t="shared" si="288"/>
        <v>1</v>
      </c>
      <c r="O1424" s="2">
        <f t="shared" si="289"/>
        <v>0</v>
      </c>
      <c r="P1424" s="112">
        <f t="shared" si="290"/>
        <v>1</v>
      </c>
      <c r="Q1424" s="112">
        <f t="shared" si="291"/>
        <v>0</v>
      </c>
      <c r="R1424" s="53"/>
      <c r="S1424" s="53" t="str">
        <f t="shared" si="292"/>
        <v>Characters|Characters|C-23|Base</v>
      </c>
      <c r="T1424" s="57" t="str">
        <f>IF($S1424="","",IFERROR(VLOOKUP($S1424,'Pop Estimates (Non-#d)'!$N$2:$O$500,2,FALSE),""))</f>
        <v/>
      </c>
      <c r="U1424" s="57" t="str">
        <f t="shared" si="293"/>
        <v/>
      </c>
      <c r="V1424" s="53" t="str">
        <f t="shared" si="294"/>
        <v>Lamplighter</v>
      </c>
      <c r="W1424" s="53" t="str">
        <f t="shared" si="295"/>
        <v>Lamplighter</v>
      </c>
      <c r="X1424" s="53" t="str">
        <f t="shared" si="296"/>
        <v>Lamplighter</v>
      </c>
      <c r="Y1424" s="57">
        <f>IF($X1424="","",IFERROR(VLOOKUP($X1424,'Char Popularity'!$A$2:$C$500,2,FALSE),""))</f>
        <v>2</v>
      </c>
      <c r="Z1424" s="56">
        <f>IF($X1424="",1,IFERROR(VLOOKUP($X1424,'Char Popularity'!$A$2:$C$500,3,FALSE),1))</f>
        <v>0.9</v>
      </c>
      <c r="AA1424" s="62">
        <f>IF($H1424&lt;&gt;"Y",0,(IF($F1424&lt;&gt;"",ROUND(Dashboard!$R$4/$F1424,1),IF(AND($I1424="Base",$E1424="Base"),Dashboard!$R$5,IF(AND($I1424="Base",$E1424="Red"),Dashboard!$R$6,IF(AND($I1424="Base",$E1424="Gold"),Dashboard!$R$7,VLOOKUP($I1424,Dashboard!$Q$16:$R$21,2,FALSE)))))*VLOOKUP($I1424,Dashboard!$Q$9:$R$13,2,FALSE)*IF(AND($I1424="Auto",$F1424="",OR($B1424="Autographs Duals",$B1424="Autographs Triples",$B1424="Autographs Quads",$B1424="Autographs Quads (Inscribed)")),IF($B1424="Autographs Duals",2,IF($B1424="Autographs Triples",3,4)),1)))</f>
        <v>1</v>
      </c>
      <c r="AB1424" s="62">
        <f t="shared" si="297"/>
        <v>1</v>
      </c>
      <c r="AC1424" s="62">
        <f t="shared" si="298"/>
        <v>0</v>
      </c>
    </row>
    <row r="1425" spans="1:29" ht="28.7" customHeight="1" x14ac:dyDescent="0.25">
      <c r="A1425" s="4" t="s">
        <v>21</v>
      </c>
      <c r="B1425" s="7" t="s">
        <v>21</v>
      </c>
      <c r="C1425" s="2" t="s">
        <v>1226</v>
      </c>
      <c r="D1425" s="7" t="s">
        <v>1227</v>
      </c>
      <c r="E1425" s="4" t="s">
        <v>60</v>
      </c>
      <c r="F1425" s="2"/>
      <c r="G1425" s="2" t="s">
        <v>1399</v>
      </c>
      <c r="H1425" s="2" t="s">
        <v>1400</v>
      </c>
      <c r="I1425" s="4" t="s">
        <v>60</v>
      </c>
      <c r="J1425" s="112">
        <f>IF($H1425&lt;&gt;"Y",0,ROUND(MIN(Dashboard!$R$24,IF(IFERROR(VLOOKUP($B1425,Dashboard!$Q$28:$S$60,2,FALSE),0)&gt;0,IFERROR(VLOOKUP($B1425,Dashboard!$Q$28:$S$60,2,FALSE),0),$Z1425*IF($U1425&lt;&gt;"",ROUND((Dashboard!$R$4/$U1425)*VLOOKUP($I1425,Dashboard!$Q$9:$R$13,2,FALSE)*IF(ISNUMBER(SEARCH("Duals",$B1425)),2,IF(ISNUMBER(SEARCH("Triples",$B1425)),3,IF(ISNUMBER(SEARCH("Quads",$B1425)),4,1))),2),ROUND(VLOOKUP($I1425,Dashboard!$Q$15:$R$20,2,FALSE)*IF($E1425="Red",Dashboard!$R$6,IF($E1425="Gold",Dashboard!$R$7,Dashboard!$R$5))*IF(ISNUMBER(SEARCH("Duals",$B1425)),2,IF(ISNUMBER(SEARCH("Triples",$B1425)),3,IF(ISNUMBER(SEARCH("Quads",$B1425)),4,1))),2))*IF(IFERROR(VLOOKUP($B1425,Dashboard!$Q$28:$S$60,3,FALSE),0)&gt;0,VLOOKUP($B1425,Dashboard!$Q$28:$S$60,3,FALSE),1))),0))</f>
        <v>1</v>
      </c>
      <c r="K1425" s="2" t="str">
        <f>IF(Characters!C25="","",Characters!C25)</f>
        <v>h</v>
      </c>
      <c r="L1425" s="2">
        <f t="shared" si="286"/>
        <v>1</v>
      </c>
      <c r="M1425" s="2">
        <f t="shared" si="287"/>
        <v>0</v>
      </c>
      <c r="N1425" s="2">
        <f t="shared" si="288"/>
        <v>1</v>
      </c>
      <c r="O1425" s="2">
        <f t="shared" si="289"/>
        <v>0</v>
      </c>
      <c r="P1425" s="112">
        <f t="shared" si="290"/>
        <v>1</v>
      </c>
      <c r="Q1425" s="112">
        <f t="shared" si="291"/>
        <v>0</v>
      </c>
      <c r="R1425" s="53"/>
      <c r="S1425" s="53" t="str">
        <f t="shared" si="292"/>
        <v>Characters|Characters|C-24|Base</v>
      </c>
      <c r="T1425" s="57" t="str">
        <f>IF($S1425="","",IFERROR(VLOOKUP($S1425,'Pop Estimates (Non-#d)'!$N$2:$O$500,2,FALSE),""))</f>
        <v/>
      </c>
      <c r="U1425" s="57" t="str">
        <f t="shared" si="293"/>
        <v/>
      </c>
      <c r="V1425" s="53" t="str">
        <f t="shared" si="294"/>
        <v>Victoria Neuman</v>
      </c>
      <c r="W1425" s="53" t="str">
        <f t="shared" si="295"/>
        <v>Victoria Neuman</v>
      </c>
      <c r="X1425" s="53" t="str">
        <f t="shared" si="296"/>
        <v>Victoria Neuman</v>
      </c>
      <c r="Y1425" s="57">
        <f>IF($X1425="","",IFERROR(VLOOKUP($X1425,'Char Popularity'!$A$2:$C$500,2,FALSE),""))</f>
        <v>4</v>
      </c>
      <c r="Z1425" s="56">
        <f>IF($X1425="",1,IFERROR(VLOOKUP($X1425,'Char Popularity'!$A$2:$C$500,3,FALSE),1))</f>
        <v>1.1000000000000001</v>
      </c>
      <c r="AA1425" s="62">
        <f>IF($H1425&lt;&gt;"Y",0,(IF($F1425&lt;&gt;"",ROUND(Dashboard!$R$4/$F1425,1),IF(AND($I1425="Base",$E1425="Base"),Dashboard!$R$5,IF(AND($I1425="Base",$E1425="Red"),Dashboard!$R$6,IF(AND($I1425="Base",$E1425="Gold"),Dashboard!$R$7,VLOOKUP($I1425,Dashboard!$Q$16:$R$21,2,FALSE)))))*VLOOKUP($I1425,Dashboard!$Q$9:$R$13,2,FALSE)*IF(AND($I1425="Auto",$F1425="",OR($B1425="Autographs Duals",$B1425="Autographs Triples",$B1425="Autographs Quads",$B1425="Autographs Quads (Inscribed)")),IF($B1425="Autographs Duals",2,IF($B1425="Autographs Triples",3,4)),1)))</f>
        <v>1</v>
      </c>
      <c r="AB1425" s="62">
        <f t="shared" si="297"/>
        <v>1</v>
      </c>
      <c r="AC1425" s="62">
        <f t="shared" si="298"/>
        <v>0</v>
      </c>
    </row>
    <row r="1426" spans="1:29" ht="28.7" customHeight="1" x14ac:dyDescent="0.25">
      <c r="A1426" s="4" t="s">
        <v>21</v>
      </c>
      <c r="B1426" s="7" t="s">
        <v>21</v>
      </c>
      <c r="C1426" s="2" t="s">
        <v>1229</v>
      </c>
      <c r="D1426" s="7" t="s">
        <v>1230</v>
      </c>
      <c r="E1426" s="4" t="s">
        <v>60</v>
      </c>
      <c r="F1426" s="2"/>
      <c r="G1426" s="2" t="s">
        <v>1399</v>
      </c>
      <c r="H1426" s="2" t="s">
        <v>1400</v>
      </c>
      <c r="I1426" s="4" t="s">
        <v>60</v>
      </c>
      <c r="J1426" s="112">
        <f>IF($H1426&lt;&gt;"Y",0,ROUND(MIN(Dashboard!$R$24,IF(IFERROR(VLOOKUP($B1426,Dashboard!$Q$28:$S$60,2,FALSE),0)&gt;0,IFERROR(VLOOKUP($B1426,Dashboard!$Q$28:$S$60,2,FALSE),0),$Z1426*IF($U1426&lt;&gt;"",ROUND((Dashboard!$R$4/$U1426)*VLOOKUP($I1426,Dashboard!$Q$9:$R$13,2,FALSE)*IF(ISNUMBER(SEARCH("Duals",$B1426)),2,IF(ISNUMBER(SEARCH("Triples",$B1426)),3,IF(ISNUMBER(SEARCH("Quads",$B1426)),4,1))),2),ROUND(VLOOKUP($I1426,Dashboard!$Q$15:$R$20,2,FALSE)*IF($E1426="Red",Dashboard!$R$6,IF($E1426="Gold",Dashboard!$R$7,Dashboard!$R$5))*IF(ISNUMBER(SEARCH("Duals",$B1426)),2,IF(ISNUMBER(SEARCH("Triples",$B1426)),3,IF(ISNUMBER(SEARCH("Quads",$B1426)),4,1))),2))*IF(IFERROR(VLOOKUP($B1426,Dashboard!$Q$28:$S$60,3,FALSE),0)&gt;0,VLOOKUP($B1426,Dashboard!$Q$28:$S$60,3,FALSE),1))),0))</f>
        <v>1</v>
      </c>
      <c r="K1426" s="2" t="str">
        <f>IF(Characters!C26="","",Characters!C26)</f>
        <v>h</v>
      </c>
      <c r="L1426" s="2">
        <f t="shared" si="286"/>
        <v>1</v>
      </c>
      <c r="M1426" s="2">
        <f t="shared" si="287"/>
        <v>0</v>
      </c>
      <c r="N1426" s="2">
        <f t="shared" si="288"/>
        <v>1</v>
      </c>
      <c r="O1426" s="2">
        <f t="shared" si="289"/>
        <v>0</v>
      </c>
      <c r="P1426" s="112">
        <f t="shared" si="290"/>
        <v>1</v>
      </c>
      <c r="Q1426" s="112">
        <f t="shared" si="291"/>
        <v>0</v>
      </c>
      <c r="R1426" s="53"/>
      <c r="S1426" s="53" t="str">
        <f t="shared" si="292"/>
        <v>Characters|Characters|C-25|Base</v>
      </c>
      <c r="T1426" s="57" t="str">
        <f>IF($S1426="","",IFERROR(VLOOKUP($S1426,'Pop Estimates (Non-#d)'!$N$2:$O$500,2,FALSE),""))</f>
        <v/>
      </c>
      <c r="U1426" s="57" t="str">
        <f t="shared" si="293"/>
        <v/>
      </c>
      <c r="V1426" s="53" t="str">
        <f t="shared" si="294"/>
        <v>Donna January</v>
      </c>
      <c r="W1426" s="53" t="str">
        <f t="shared" si="295"/>
        <v>Donna January</v>
      </c>
      <c r="X1426" s="53" t="str">
        <f t="shared" si="296"/>
        <v>Donna January</v>
      </c>
      <c r="Y1426" s="57">
        <f>IF($X1426="","",IFERROR(VLOOKUP($X1426,'Char Popularity'!$A$2:$C$500,2,FALSE),""))</f>
        <v>3</v>
      </c>
      <c r="Z1426" s="56">
        <f>IF($X1426="",1,IFERROR(VLOOKUP($X1426,'Char Popularity'!$A$2:$C$500,3,FALSE),1))</f>
        <v>1</v>
      </c>
      <c r="AA1426" s="62">
        <f>IF($H1426&lt;&gt;"Y",0,(IF($F1426&lt;&gt;"",ROUND(Dashboard!$R$4/$F1426,1),IF(AND($I1426="Base",$E1426="Base"),Dashboard!$R$5,IF(AND($I1426="Base",$E1426="Red"),Dashboard!$R$6,IF(AND($I1426="Base",$E1426="Gold"),Dashboard!$R$7,VLOOKUP($I1426,Dashboard!$Q$16:$R$21,2,FALSE)))))*VLOOKUP($I1426,Dashboard!$Q$9:$R$13,2,FALSE)*IF(AND($I1426="Auto",$F1426="",OR($B1426="Autographs Duals",$B1426="Autographs Triples",$B1426="Autographs Quads",$B1426="Autographs Quads (Inscribed)")),IF($B1426="Autographs Duals",2,IF($B1426="Autographs Triples",3,4)),1)))</f>
        <v>1</v>
      </c>
      <c r="AB1426" s="62">
        <f t="shared" si="297"/>
        <v>1</v>
      </c>
      <c r="AC1426" s="62">
        <f t="shared" si="298"/>
        <v>0</v>
      </c>
    </row>
    <row r="1427" spans="1:29" ht="28.7" customHeight="1" x14ac:dyDescent="0.25">
      <c r="A1427" s="4" t="s">
        <v>21</v>
      </c>
      <c r="B1427" s="7" t="s">
        <v>21</v>
      </c>
      <c r="C1427" s="2" t="s">
        <v>1232</v>
      </c>
      <c r="D1427" s="7" t="s">
        <v>1233</v>
      </c>
      <c r="E1427" s="4" t="s">
        <v>60</v>
      </c>
      <c r="F1427" s="2"/>
      <c r="G1427" s="2" t="s">
        <v>1399</v>
      </c>
      <c r="H1427" s="2" t="s">
        <v>1400</v>
      </c>
      <c r="I1427" s="4" t="s">
        <v>60</v>
      </c>
      <c r="J1427" s="112">
        <f>IF($H1427&lt;&gt;"Y",0,ROUND(MIN(Dashboard!$R$24,IF(IFERROR(VLOOKUP($B1427,Dashboard!$Q$28:$S$60,2,FALSE),0)&gt;0,IFERROR(VLOOKUP($B1427,Dashboard!$Q$28:$S$60,2,FALSE),0),$Z1427*IF($U1427&lt;&gt;"",ROUND((Dashboard!$R$4/$U1427)*VLOOKUP($I1427,Dashboard!$Q$9:$R$13,2,FALSE)*IF(ISNUMBER(SEARCH("Duals",$B1427)),2,IF(ISNUMBER(SEARCH("Triples",$B1427)),3,IF(ISNUMBER(SEARCH("Quads",$B1427)),4,1))),2),ROUND(VLOOKUP($I1427,Dashboard!$Q$15:$R$20,2,FALSE)*IF($E1427="Red",Dashboard!$R$6,IF($E1427="Gold",Dashboard!$R$7,Dashboard!$R$5))*IF(ISNUMBER(SEARCH("Duals",$B1427)),2,IF(ISNUMBER(SEARCH("Triples",$B1427)),3,IF(ISNUMBER(SEARCH("Quads",$B1427)),4,1))),2))*IF(IFERROR(VLOOKUP($B1427,Dashboard!$Q$28:$S$60,3,FALSE),0)&gt;0,VLOOKUP($B1427,Dashboard!$Q$28:$S$60,3,FALSE),1))),0))</f>
        <v>1</v>
      </c>
      <c r="K1427" s="2" t="str">
        <f>IF(Characters!C27="","",Characters!C27)</f>
        <v>h</v>
      </c>
      <c r="L1427" s="2">
        <f t="shared" si="286"/>
        <v>1</v>
      </c>
      <c r="M1427" s="2">
        <f t="shared" si="287"/>
        <v>0</v>
      </c>
      <c r="N1427" s="2">
        <f t="shared" si="288"/>
        <v>1</v>
      </c>
      <c r="O1427" s="2">
        <f t="shared" si="289"/>
        <v>0</v>
      </c>
      <c r="P1427" s="112">
        <f t="shared" si="290"/>
        <v>1</v>
      </c>
      <c r="Q1427" s="112">
        <f t="shared" si="291"/>
        <v>0</v>
      </c>
      <c r="R1427" s="53"/>
      <c r="S1427" s="53" t="str">
        <f t="shared" si="292"/>
        <v>Characters|Characters|C-26|Base</v>
      </c>
      <c r="T1427" s="57" t="str">
        <f>IF($S1427="","",IFERROR(VLOOKUP($S1427,'Pop Estimates (Non-#d)'!$N$2:$O$500,2,FALSE),""))</f>
        <v/>
      </c>
      <c r="U1427" s="57" t="str">
        <f t="shared" si="293"/>
        <v/>
      </c>
      <c r="V1427" s="53" t="str">
        <f t="shared" si="294"/>
        <v>Mesmer</v>
      </c>
      <c r="W1427" s="53" t="str">
        <f t="shared" si="295"/>
        <v>Mesmer</v>
      </c>
      <c r="X1427" s="53" t="str">
        <f t="shared" si="296"/>
        <v>Mesmer</v>
      </c>
      <c r="Y1427" s="57">
        <f>IF($X1427="","",IFERROR(VLOOKUP($X1427,'Char Popularity'!$A$2:$C$500,2,FALSE),""))</f>
        <v>2</v>
      </c>
      <c r="Z1427" s="56">
        <f>IF($X1427="",1,IFERROR(VLOOKUP($X1427,'Char Popularity'!$A$2:$C$500,3,FALSE),1))</f>
        <v>0.9</v>
      </c>
      <c r="AA1427" s="62">
        <f>IF($H1427&lt;&gt;"Y",0,(IF($F1427&lt;&gt;"",ROUND(Dashboard!$R$4/$F1427,1),IF(AND($I1427="Base",$E1427="Base"),Dashboard!$R$5,IF(AND($I1427="Base",$E1427="Red"),Dashboard!$R$6,IF(AND($I1427="Base",$E1427="Gold"),Dashboard!$R$7,VLOOKUP($I1427,Dashboard!$Q$16:$R$21,2,FALSE)))))*VLOOKUP($I1427,Dashboard!$Q$9:$R$13,2,FALSE)*IF(AND($I1427="Auto",$F1427="",OR($B1427="Autographs Duals",$B1427="Autographs Triples",$B1427="Autographs Quads",$B1427="Autographs Quads (Inscribed)")),IF($B1427="Autographs Duals",2,IF($B1427="Autographs Triples",3,4)),1)))</f>
        <v>1</v>
      </c>
      <c r="AB1427" s="62">
        <f t="shared" si="297"/>
        <v>1</v>
      </c>
      <c r="AC1427" s="62">
        <f t="shared" si="298"/>
        <v>0</v>
      </c>
    </row>
    <row r="1428" spans="1:29" ht="28.7" customHeight="1" x14ac:dyDescent="0.25">
      <c r="A1428" s="4" t="s">
        <v>21</v>
      </c>
      <c r="B1428" s="7" t="s">
        <v>21</v>
      </c>
      <c r="C1428" s="2" t="s">
        <v>1234</v>
      </c>
      <c r="D1428" s="7" t="s">
        <v>1235</v>
      </c>
      <c r="E1428" s="4" t="s">
        <v>60</v>
      </c>
      <c r="F1428" s="2"/>
      <c r="G1428" s="2" t="s">
        <v>1399</v>
      </c>
      <c r="H1428" s="2" t="s">
        <v>1400</v>
      </c>
      <c r="I1428" s="4" t="s">
        <v>60</v>
      </c>
      <c r="J1428" s="112">
        <f>IF($H1428&lt;&gt;"Y",0,ROUND(MIN(Dashboard!$R$24,IF(IFERROR(VLOOKUP($B1428,Dashboard!$Q$28:$S$60,2,FALSE),0)&gt;0,IFERROR(VLOOKUP($B1428,Dashboard!$Q$28:$S$60,2,FALSE),0),$Z1428*IF($U1428&lt;&gt;"",ROUND((Dashboard!$R$4/$U1428)*VLOOKUP($I1428,Dashboard!$Q$9:$R$13,2,FALSE)*IF(ISNUMBER(SEARCH("Duals",$B1428)),2,IF(ISNUMBER(SEARCH("Triples",$B1428)),3,IF(ISNUMBER(SEARCH("Quads",$B1428)),4,1))),2),ROUND(VLOOKUP($I1428,Dashboard!$Q$15:$R$20,2,FALSE)*IF($E1428="Red",Dashboard!$R$6,IF($E1428="Gold",Dashboard!$R$7,Dashboard!$R$5))*IF(ISNUMBER(SEARCH("Duals",$B1428)),2,IF(ISNUMBER(SEARCH("Triples",$B1428)),3,IF(ISNUMBER(SEARCH("Quads",$B1428)),4,1))),2))*IF(IFERROR(VLOOKUP($B1428,Dashboard!$Q$28:$S$60,3,FALSE),0)&gt;0,VLOOKUP($B1428,Dashboard!$Q$28:$S$60,3,FALSE),1))),0))</f>
        <v>1</v>
      </c>
      <c r="K1428" s="2" t="str">
        <f>IF(Characters!C28="","",Characters!C28)</f>
        <v>h</v>
      </c>
      <c r="L1428" s="2">
        <f t="shared" si="286"/>
        <v>1</v>
      </c>
      <c r="M1428" s="2">
        <f t="shared" si="287"/>
        <v>0</v>
      </c>
      <c r="N1428" s="2">
        <f t="shared" si="288"/>
        <v>1</v>
      </c>
      <c r="O1428" s="2">
        <f t="shared" si="289"/>
        <v>0</v>
      </c>
      <c r="P1428" s="112">
        <f t="shared" si="290"/>
        <v>1</v>
      </c>
      <c r="Q1428" s="112">
        <f t="shared" si="291"/>
        <v>0</v>
      </c>
      <c r="R1428" s="53"/>
      <c r="S1428" s="53" t="str">
        <f t="shared" si="292"/>
        <v>Characters|Characters|C-27|Base</v>
      </c>
      <c r="T1428" s="57" t="str">
        <f>IF($S1428="","",IFERROR(VLOOKUP($S1428,'Pop Estimates (Non-#d)'!$N$2:$O$500,2,FALSE),""))</f>
        <v/>
      </c>
      <c r="U1428" s="57" t="str">
        <f t="shared" si="293"/>
        <v/>
      </c>
      <c r="V1428" s="53" t="str">
        <f t="shared" si="294"/>
        <v>Hughie Campbell Sr.</v>
      </c>
      <c r="W1428" s="53" t="str">
        <f t="shared" si="295"/>
        <v>Hughie Campbell Sr.</v>
      </c>
      <c r="X1428" s="53" t="str">
        <f t="shared" si="296"/>
        <v>Hughie Campbell Sr.</v>
      </c>
      <c r="Y1428" s="57">
        <f>IF($X1428="","",IFERROR(VLOOKUP($X1428,'Char Popularity'!$A$2:$C$500,2,FALSE),""))</f>
        <v>3</v>
      </c>
      <c r="Z1428" s="56">
        <f>IF($X1428="",1,IFERROR(VLOOKUP($X1428,'Char Popularity'!$A$2:$C$500,3,FALSE),1))</f>
        <v>1</v>
      </c>
      <c r="AA1428" s="62">
        <f>IF($H1428&lt;&gt;"Y",0,(IF($F1428&lt;&gt;"",ROUND(Dashboard!$R$4/$F1428,1),IF(AND($I1428="Base",$E1428="Base"),Dashboard!$R$5,IF(AND($I1428="Base",$E1428="Red"),Dashboard!$R$6,IF(AND($I1428="Base",$E1428="Gold"),Dashboard!$R$7,VLOOKUP($I1428,Dashboard!$Q$16:$R$21,2,FALSE)))))*VLOOKUP($I1428,Dashboard!$Q$9:$R$13,2,FALSE)*IF(AND($I1428="Auto",$F1428="",OR($B1428="Autographs Duals",$B1428="Autographs Triples",$B1428="Autographs Quads",$B1428="Autographs Quads (Inscribed)")),IF($B1428="Autographs Duals",2,IF($B1428="Autographs Triples",3,4)),1)))</f>
        <v>1</v>
      </c>
      <c r="AB1428" s="62">
        <f t="shared" si="297"/>
        <v>1</v>
      </c>
      <c r="AC1428" s="62">
        <f t="shared" si="298"/>
        <v>0</v>
      </c>
    </row>
    <row r="1429" spans="1:29" ht="28.7" customHeight="1" x14ac:dyDescent="0.25">
      <c r="A1429" s="4" t="s">
        <v>21</v>
      </c>
      <c r="B1429" s="7" t="s">
        <v>21</v>
      </c>
      <c r="C1429" s="2" t="s">
        <v>1236</v>
      </c>
      <c r="D1429" s="7" t="s">
        <v>1237</v>
      </c>
      <c r="E1429" s="4" t="s">
        <v>60</v>
      </c>
      <c r="F1429" s="2"/>
      <c r="G1429" s="2" t="s">
        <v>1399</v>
      </c>
      <c r="H1429" s="2" t="s">
        <v>1400</v>
      </c>
      <c r="I1429" s="4" t="s">
        <v>60</v>
      </c>
      <c r="J1429" s="112">
        <f>IF($H1429&lt;&gt;"Y",0,ROUND(MIN(Dashboard!$R$24,IF(IFERROR(VLOOKUP($B1429,Dashboard!$Q$28:$S$60,2,FALSE),0)&gt;0,IFERROR(VLOOKUP($B1429,Dashboard!$Q$28:$S$60,2,FALSE),0),$Z1429*IF($U1429&lt;&gt;"",ROUND((Dashboard!$R$4/$U1429)*VLOOKUP($I1429,Dashboard!$Q$9:$R$13,2,FALSE)*IF(ISNUMBER(SEARCH("Duals",$B1429)),2,IF(ISNUMBER(SEARCH("Triples",$B1429)),3,IF(ISNUMBER(SEARCH("Quads",$B1429)),4,1))),2),ROUND(VLOOKUP($I1429,Dashboard!$Q$15:$R$20,2,FALSE)*IF($E1429="Red",Dashboard!$R$6,IF($E1429="Gold",Dashboard!$R$7,Dashboard!$R$5))*IF(ISNUMBER(SEARCH("Duals",$B1429)),2,IF(ISNUMBER(SEARCH("Triples",$B1429)),3,IF(ISNUMBER(SEARCH("Quads",$B1429)),4,1))),2))*IF(IFERROR(VLOOKUP($B1429,Dashboard!$Q$28:$S$60,3,FALSE),0)&gt;0,VLOOKUP($B1429,Dashboard!$Q$28:$S$60,3,FALSE),1))),0))</f>
        <v>1</v>
      </c>
      <c r="K1429" s="2" t="str">
        <f>IF(Characters!C29="","",Characters!C29)</f>
        <v>h</v>
      </c>
      <c r="L1429" s="2">
        <f t="shared" si="286"/>
        <v>1</v>
      </c>
      <c r="M1429" s="2">
        <f t="shared" si="287"/>
        <v>0</v>
      </c>
      <c r="N1429" s="2">
        <f t="shared" si="288"/>
        <v>1</v>
      </c>
      <c r="O1429" s="2">
        <f t="shared" si="289"/>
        <v>0</v>
      </c>
      <c r="P1429" s="112">
        <f t="shared" si="290"/>
        <v>1</v>
      </c>
      <c r="Q1429" s="112">
        <f t="shared" si="291"/>
        <v>0</v>
      </c>
      <c r="R1429" s="53"/>
      <c r="S1429" s="53" t="str">
        <f t="shared" si="292"/>
        <v>Characters|Characters|C-28|Base</v>
      </c>
      <c r="T1429" s="57" t="str">
        <f>IF($S1429="","",IFERROR(VLOOKUP($S1429,'Pop Estimates (Non-#d)'!$N$2:$O$500,2,FALSE),""))</f>
        <v/>
      </c>
      <c r="U1429" s="57" t="str">
        <f t="shared" si="293"/>
        <v/>
      </c>
      <c r="V1429" s="53" t="str">
        <f t="shared" si="294"/>
        <v>Susan Rayner</v>
      </c>
      <c r="W1429" s="53" t="str">
        <f t="shared" si="295"/>
        <v>Susan Rayner</v>
      </c>
      <c r="X1429" s="53" t="str">
        <f t="shared" si="296"/>
        <v>Susan Rayner</v>
      </c>
      <c r="Y1429" s="57">
        <f>IF($X1429="","",IFERROR(VLOOKUP($X1429,'Char Popularity'!$A$2:$C$500,2,FALSE),""))</f>
        <v>3</v>
      </c>
      <c r="Z1429" s="56">
        <f>IF($X1429="",1,IFERROR(VLOOKUP($X1429,'Char Popularity'!$A$2:$C$500,3,FALSE),1))</f>
        <v>1</v>
      </c>
      <c r="AA1429" s="62">
        <f>IF($H1429&lt;&gt;"Y",0,(IF($F1429&lt;&gt;"",ROUND(Dashboard!$R$4/$F1429,1),IF(AND($I1429="Base",$E1429="Base"),Dashboard!$R$5,IF(AND($I1429="Base",$E1429="Red"),Dashboard!$R$6,IF(AND($I1429="Base",$E1429="Gold"),Dashboard!$R$7,VLOOKUP($I1429,Dashboard!$Q$16:$R$21,2,FALSE)))))*VLOOKUP($I1429,Dashboard!$Q$9:$R$13,2,FALSE)*IF(AND($I1429="Auto",$F1429="",OR($B1429="Autographs Duals",$B1429="Autographs Triples",$B1429="Autographs Quads",$B1429="Autographs Quads (Inscribed)")),IF($B1429="Autographs Duals",2,IF($B1429="Autographs Triples",3,4)),1)))</f>
        <v>1</v>
      </c>
      <c r="AB1429" s="62">
        <f t="shared" si="297"/>
        <v>1</v>
      </c>
      <c r="AC1429" s="62">
        <f t="shared" si="298"/>
        <v>0</v>
      </c>
    </row>
    <row r="1430" spans="1:29" ht="28.7" customHeight="1" x14ac:dyDescent="0.25">
      <c r="A1430" s="4" t="s">
        <v>21</v>
      </c>
      <c r="B1430" s="7" t="s">
        <v>21</v>
      </c>
      <c r="C1430" s="2" t="s">
        <v>424</v>
      </c>
      <c r="D1430" s="7" t="s">
        <v>1600</v>
      </c>
      <c r="E1430" s="4" t="s">
        <v>60</v>
      </c>
      <c r="F1430" s="2"/>
      <c r="G1430" s="2" t="s">
        <v>1399</v>
      </c>
      <c r="H1430" s="2" t="s">
        <v>1400</v>
      </c>
      <c r="I1430" s="4" t="s">
        <v>60</v>
      </c>
      <c r="J1430" s="112">
        <f>IF($H1430&lt;&gt;"Y",0,ROUND(MIN(Dashboard!$R$24,IF(IFERROR(VLOOKUP($B1430,Dashboard!$Q$28:$S$60,2,FALSE),0)&gt;0,IFERROR(VLOOKUP($B1430,Dashboard!$Q$28:$S$60,2,FALSE),0),$Z1430*IF($U1430&lt;&gt;"",ROUND((Dashboard!$R$4/$U1430)*VLOOKUP($I1430,Dashboard!$Q$9:$R$13,2,FALSE)*IF(ISNUMBER(SEARCH("Duals",$B1430)),2,IF(ISNUMBER(SEARCH("Triples",$B1430)),3,IF(ISNUMBER(SEARCH("Quads",$B1430)),4,1))),2),ROUND(VLOOKUP($I1430,Dashboard!$Q$15:$R$20,2,FALSE)*IF($E1430="Red",Dashboard!$R$6,IF($E1430="Gold",Dashboard!$R$7,Dashboard!$R$5))*IF(ISNUMBER(SEARCH("Duals",$B1430)),2,IF(ISNUMBER(SEARCH("Triples",$B1430)),3,IF(ISNUMBER(SEARCH("Quads",$B1430)),4,1))),2))*IF(IFERROR(VLOOKUP($B1430,Dashboard!$Q$28:$S$60,3,FALSE),0)&gt;0,VLOOKUP($B1430,Dashboard!$Q$28:$S$60,3,FALSE),1))),0))</f>
        <v>1</v>
      </c>
      <c r="K1430" s="2" t="str">
        <f>IF(Characters!C30="","",Characters!C30)</f>
        <v>h</v>
      </c>
      <c r="L1430" s="2">
        <f t="shared" si="286"/>
        <v>1</v>
      </c>
      <c r="M1430" s="2">
        <f t="shared" si="287"/>
        <v>0</v>
      </c>
      <c r="N1430" s="2">
        <f t="shared" si="288"/>
        <v>1</v>
      </c>
      <c r="O1430" s="2">
        <f t="shared" si="289"/>
        <v>0</v>
      </c>
      <c r="P1430" s="112">
        <f t="shared" si="290"/>
        <v>1</v>
      </c>
      <c r="Q1430" s="112">
        <f t="shared" si="291"/>
        <v>0</v>
      </c>
      <c r="R1430" s="53"/>
      <c r="S1430" s="53" t="str">
        <f t="shared" si="292"/>
        <v>Characters|Characters|C-29|Base</v>
      </c>
      <c r="T1430" s="57" t="str">
        <f>IF($S1430="","",IFERROR(VLOOKUP($S1430,'Pop Estimates (Non-#d)'!$N$2:$O$500,2,FALSE),""))</f>
        <v/>
      </c>
      <c r="U1430" s="57" t="str">
        <f t="shared" si="293"/>
        <v/>
      </c>
      <c r="V1430" s="53" t="str">
        <f t="shared" si="294"/>
        <v>Robin</v>
      </c>
      <c r="W1430" s="53" t="str">
        <f t="shared" si="295"/>
        <v>Robin</v>
      </c>
      <c r="X1430" s="53" t="str">
        <f t="shared" si="296"/>
        <v>Robin</v>
      </c>
      <c r="Y1430" s="57">
        <f>IF($X1430="","",IFERROR(VLOOKUP($X1430,'Char Popularity'!$A$2:$C$500,2,FALSE),""))</f>
        <v>3</v>
      </c>
      <c r="Z1430" s="56">
        <f>IF($X1430="",1,IFERROR(VLOOKUP($X1430,'Char Popularity'!$A$2:$C$500,3,FALSE),1))</f>
        <v>1</v>
      </c>
      <c r="AA1430" s="62">
        <f>IF($H1430&lt;&gt;"Y",0,(IF($F1430&lt;&gt;"",ROUND(Dashboard!$R$4/$F1430,1),IF(AND($I1430="Base",$E1430="Base"),Dashboard!$R$5,IF(AND($I1430="Base",$E1430="Red"),Dashboard!$R$6,IF(AND($I1430="Base",$E1430="Gold"),Dashboard!$R$7,VLOOKUP($I1430,Dashboard!$Q$16:$R$21,2,FALSE)))))*VLOOKUP($I1430,Dashboard!$Q$9:$R$13,2,FALSE)*IF(AND($I1430="Auto",$F1430="",OR($B1430="Autographs Duals",$B1430="Autographs Triples",$B1430="Autographs Quads",$B1430="Autographs Quads (Inscribed)")),IF($B1430="Autographs Duals",2,IF($B1430="Autographs Triples",3,4)),1)))</f>
        <v>1</v>
      </c>
      <c r="AB1430" s="62">
        <f t="shared" si="297"/>
        <v>1</v>
      </c>
      <c r="AC1430" s="62">
        <f t="shared" si="298"/>
        <v>0</v>
      </c>
    </row>
    <row r="1431" spans="1:29" ht="28.7" customHeight="1" x14ac:dyDescent="0.25">
      <c r="A1431" s="4" t="s">
        <v>21</v>
      </c>
      <c r="B1431" s="7" t="s">
        <v>21</v>
      </c>
      <c r="C1431" s="2" t="s">
        <v>1239</v>
      </c>
      <c r="D1431" s="7" t="s">
        <v>1233</v>
      </c>
      <c r="E1431" s="4" t="s">
        <v>60</v>
      </c>
      <c r="F1431" s="2"/>
      <c r="G1431" s="2" t="s">
        <v>1399</v>
      </c>
      <c r="H1431" s="2" t="s">
        <v>1400</v>
      </c>
      <c r="I1431" s="4" t="s">
        <v>60</v>
      </c>
      <c r="J1431" s="112">
        <f>IF($H1431&lt;&gt;"Y",0,ROUND(MIN(Dashboard!$R$24,IF(IFERROR(VLOOKUP($B1431,Dashboard!$Q$28:$S$60,2,FALSE),0)&gt;0,IFERROR(VLOOKUP($B1431,Dashboard!$Q$28:$S$60,2,FALSE),0),$Z1431*IF($U1431&lt;&gt;"",ROUND((Dashboard!$R$4/$U1431)*VLOOKUP($I1431,Dashboard!$Q$9:$R$13,2,FALSE)*IF(ISNUMBER(SEARCH("Duals",$B1431)),2,IF(ISNUMBER(SEARCH("Triples",$B1431)),3,IF(ISNUMBER(SEARCH("Quads",$B1431)),4,1))),2),ROUND(VLOOKUP($I1431,Dashboard!$Q$15:$R$20,2,FALSE)*IF($E1431="Red",Dashboard!$R$6,IF($E1431="Gold",Dashboard!$R$7,Dashboard!$R$5))*IF(ISNUMBER(SEARCH("Duals",$B1431)),2,IF(ISNUMBER(SEARCH("Triples",$B1431)),3,IF(ISNUMBER(SEARCH("Quads",$B1431)),4,1))),2))*IF(IFERROR(VLOOKUP($B1431,Dashboard!$Q$28:$S$60,3,FALSE),0)&gt;0,VLOOKUP($B1431,Dashboard!$Q$28:$S$60,3,FALSE),1))),0))</f>
        <v>1</v>
      </c>
      <c r="K1431" s="2" t="str">
        <f>IF(Characters!C31="","",Characters!C31)</f>
        <v>h</v>
      </c>
      <c r="L1431" s="2">
        <f t="shared" si="286"/>
        <v>1</v>
      </c>
      <c r="M1431" s="2">
        <f t="shared" si="287"/>
        <v>0</v>
      </c>
      <c r="N1431" s="2">
        <f t="shared" si="288"/>
        <v>1</v>
      </c>
      <c r="O1431" s="2">
        <f t="shared" si="289"/>
        <v>0</v>
      </c>
      <c r="P1431" s="112">
        <f t="shared" si="290"/>
        <v>1</v>
      </c>
      <c r="Q1431" s="112">
        <f t="shared" si="291"/>
        <v>0</v>
      </c>
      <c r="R1431" s="53"/>
      <c r="S1431" s="53" t="str">
        <f t="shared" si="292"/>
        <v>Characters|Characters|C-30|Base</v>
      </c>
      <c r="T1431" s="57" t="str">
        <f>IF($S1431="","",IFERROR(VLOOKUP($S1431,'Pop Estimates (Non-#d)'!$N$2:$O$500,2,FALSE),""))</f>
        <v/>
      </c>
      <c r="U1431" s="57" t="str">
        <f t="shared" si="293"/>
        <v/>
      </c>
      <c r="V1431" s="53" t="str">
        <f t="shared" si="294"/>
        <v>Mesmer</v>
      </c>
      <c r="W1431" s="53" t="str">
        <f t="shared" si="295"/>
        <v>Mesmer</v>
      </c>
      <c r="X1431" s="53" t="str">
        <f t="shared" si="296"/>
        <v>Mesmer</v>
      </c>
      <c r="Y1431" s="57">
        <f>IF($X1431="","",IFERROR(VLOOKUP($X1431,'Char Popularity'!$A$2:$C$500,2,FALSE),""))</f>
        <v>2</v>
      </c>
      <c r="Z1431" s="56">
        <f>IF($X1431="",1,IFERROR(VLOOKUP($X1431,'Char Popularity'!$A$2:$C$500,3,FALSE),1))</f>
        <v>0.9</v>
      </c>
      <c r="AA1431" s="62">
        <f>IF($H1431&lt;&gt;"Y",0,(IF($F1431&lt;&gt;"",ROUND(Dashboard!$R$4/$F1431,1),IF(AND($I1431="Base",$E1431="Base"),Dashboard!$R$5,IF(AND($I1431="Base",$E1431="Red"),Dashboard!$R$6,IF(AND($I1431="Base",$E1431="Gold"),Dashboard!$R$7,VLOOKUP($I1431,Dashboard!$Q$16:$R$21,2,FALSE)))))*VLOOKUP($I1431,Dashboard!$Q$9:$R$13,2,FALSE)*IF(AND($I1431="Auto",$F1431="",OR($B1431="Autographs Duals",$B1431="Autographs Triples",$B1431="Autographs Quads",$B1431="Autographs Quads (Inscribed)")),IF($B1431="Autographs Duals",2,IF($B1431="Autographs Triples",3,4)),1)))</f>
        <v>1</v>
      </c>
      <c r="AB1431" s="62">
        <f t="shared" si="297"/>
        <v>1</v>
      </c>
      <c r="AC1431" s="62">
        <f t="shared" si="298"/>
        <v>0</v>
      </c>
    </row>
    <row r="1432" spans="1:29" ht="28.7" customHeight="1" x14ac:dyDescent="0.25">
      <c r="A1432" s="4" t="s">
        <v>21</v>
      </c>
      <c r="B1432" s="7" t="s">
        <v>21</v>
      </c>
      <c r="C1432" s="2" t="s">
        <v>426</v>
      </c>
      <c r="D1432" s="7" t="s">
        <v>250</v>
      </c>
      <c r="E1432" s="4" t="s">
        <v>60</v>
      </c>
      <c r="F1432" s="2"/>
      <c r="G1432" s="2" t="s">
        <v>1399</v>
      </c>
      <c r="H1432" s="2" t="s">
        <v>1400</v>
      </c>
      <c r="I1432" s="4" t="s">
        <v>60</v>
      </c>
      <c r="J1432" s="112">
        <f>IF($H1432&lt;&gt;"Y",0,ROUND(MIN(Dashboard!$R$24,IF(IFERROR(VLOOKUP($B1432,Dashboard!$Q$28:$S$60,2,FALSE),0)&gt;0,IFERROR(VLOOKUP($B1432,Dashboard!$Q$28:$S$60,2,FALSE),0),$Z1432*IF($U1432&lt;&gt;"",ROUND((Dashboard!$R$4/$U1432)*VLOOKUP($I1432,Dashboard!$Q$9:$R$13,2,FALSE)*IF(ISNUMBER(SEARCH("Duals",$B1432)),2,IF(ISNUMBER(SEARCH("Triples",$B1432)),3,IF(ISNUMBER(SEARCH("Quads",$B1432)),4,1))),2),ROUND(VLOOKUP($I1432,Dashboard!$Q$15:$R$20,2,FALSE)*IF($E1432="Red",Dashboard!$R$6,IF($E1432="Gold",Dashboard!$R$7,Dashboard!$R$5))*IF(ISNUMBER(SEARCH("Duals",$B1432)),2,IF(ISNUMBER(SEARCH("Triples",$B1432)),3,IF(ISNUMBER(SEARCH("Quads",$B1432)),4,1))),2))*IF(IFERROR(VLOOKUP($B1432,Dashboard!$Q$28:$S$60,3,FALSE),0)&gt;0,VLOOKUP($B1432,Dashboard!$Q$28:$S$60,3,FALSE),1))),0))</f>
        <v>1</v>
      </c>
      <c r="K1432" s="2" t="str">
        <f>IF(Characters!C32="","",Characters!C32)</f>
        <v>h</v>
      </c>
      <c r="L1432" s="2">
        <f t="shared" si="286"/>
        <v>1</v>
      </c>
      <c r="M1432" s="2">
        <f t="shared" si="287"/>
        <v>0</v>
      </c>
      <c r="N1432" s="2">
        <f t="shared" si="288"/>
        <v>1</v>
      </c>
      <c r="O1432" s="2">
        <f t="shared" si="289"/>
        <v>0</v>
      </c>
      <c r="P1432" s="112">
        <f t="shared" si="290"/>
        <v>1</v>
      </c>
      <c r="Q1432" s="112">
        <f t="shared" si="291"/>
        <v>0</v>
      </c>
      <c r="R1432" s="53"/>
      <c r="S1432" s="53" t="str">
        <f t="shared" si="292"/>
        <v>Characters|Characters|C-31|Base</v>
      </c>
      <c r="T1432" s="57" t="str">
        <f>IF($S1432="","",IFERROR(VLOOKUP($S1432,'Pop Estimates (Non-#d)'!$N$2:$O$500,2,FALSE),""))</f>
        <v/>
      </c>
      <c r="U1432" s="57" t="str">
        <f t="shared" si="293"/>
        <v/>
      </c>
      <c r="V1432" s="53" t="str">
        <f t="shared" si="294"/>
        <v>Madelyn Stillwell</v>
      </c>
      <c r="W1432" s="53" t="str">
        <f t="shared" si="295"/>
        <v>Madelyn Stillwell</v>
      </c>
      <c r="X1432" s="53" t="str">
        <f t="shared" si="296"/>
        <v>Madelyn Stillwell</v>
      </c>
      <c r="Y1432" s="57">
        <f>IF($X1432="","",IFERROR(VLOOKUP($X1432,'Char Popularity'!$A$2:$C$500,2,FALSE),""))</f>
        <v>3</v>
      </c>
      <c r="Z1432" s="56">
        <f>IF($X1432="",1,IFERROR(VLOOKUP($X1432,'Char Popularity'!$A$2:$C$500,3,FALSE),1))</f>
        <v>1</v>
      </c>
      <c r="AA1432" s="62">
        <f>IF($H1432&lt;&gt;"Y",0,(IF($F1432&lt;&gt;"",ROUND(Dashboard!$R$4/$F1432,1),IF(AND($I1432="Base",$E1432="Base"),Dashboard!$R$5,IF(AND($I1432="Base",$E1432="Red"),Dashboard!$R$6,IF(AND($I1432="Base",$E1432="Gold"),Dashboard!$R$7,VLOOKUP($I1432,Dashboard!$Q$16:$R$21,2,FALSE)))))*VLOOKUP($I1432,Dashboard!$Q$9:$R$13,2,FALSE)*IF(AND($I1432="Auto",$F1432="",OR($B1432="Autographs Duals",$B1432="Autographs Triples",$B1432="Autographs Quads",$B1432="Autographs Quads (Inscribed)")),IF($B1432="Autographs Duals",2,IF($B1432="Autographs Triples",3,4)),1)))</f>
        <v>1</v>
      </c>
      <c r="AB1432" s="62">
        <f t="shared" si="297"/>
        <v>1</v>
      </c>
      <c r="AC1432" s="62">
        <f t="shared" si="298"/>
        <v>0</v>
      </c>
    </row>
    <row r="1433" spans="1:29" ht="28.7" customHeight="1" x14ac:dyDescent="0.25">
      <c r="A1433" s="4" t="s">
        <v>21</v>
      </c>
      <c r="B1433" s="7" t="s">
        <v>21</v>
      </c>
      <c r="C1433" s="2" t="s">
        <v>1242</v>
      </c>
      <c r="D1433" s="7" t="s">
        <v>1243</v>
      </c>
      <c r="E1433" s="4" t="s">
        <v>60</v>
      </c>
      <c r="F1433" s="2"/>
      <c r="G1433" s="2" t="s">
        <v>1399</v>
      </c>
      <c r="H1433" s="2" t="s">
        <v>1400</v>
      </c>
      <c r="I1433" s="4" t="s">
        <v>60</v>
      </c>
      <c r="J1433" s="112">
        <f>IF($H1433&lt;&gt;"Y",0,ROUND(MIN(Dashboard!$R$24,IF(IFERROR(VLOOKUP($B1433,Dashboard!$Q$28:$S$60,2,FALSE),0)&gt;0,IFERROR(VLOOKUP($B1433,Dashboard!$Q$28:$S$60,2,FALSE),0),$Z1433*IF($U1433&lt;&gt;"",ROUND((Dashboard!$R$4/$U1433)*VLOOKUP($I1433,Dashboard!$Q$9:$R$13,2,FALSE)*IF(ISNUMBER(SEARCH("Duals",$B1433)),2,IF(ISNUMBER(SEARCH("Triples",$B1433)),3,IF(ISNUMBER(SEARCH("Quads",$B1433)),4,1))),2),ROUND(VLOOKUP($I1433,Dashboard!$Q$15:$R$20,2,FALSE)*IF($E1433="Red",Dashboard!$R$6,IF($E1433="Gold",Dashboard!$R$7,Dashboard!$R$5))*IF(ISNUMBER(SEARCH("Duals",$B1433)),2,IF(ISNUMBER(SEARCH("Triples",$B1433)),3,IF(ISNUMBER(SEARCH("Quads",$B1433)),4,1))),2))*IF(IFERROR(VLOOKUP($B1433,Dashboard!$Q$28:$S$60,3,FALSE),0)&gt;0,VLOOKUP($B1433,Dashboard!$Q$28:$S$60,3,FALSE),1))),0))</f>
        <v>1</v>
      </c>
      <c r="K1433" s="2" t="str">
        <f>IF(Characters!C33="","",Characters!C33)</f>
        <v>h</v>
      </c>
      <c r="L1433" s="2">
        <f t="shared" si="286"/>
        <v>1</v>
      </c>
      <c r="M1433" s="2">
        <f t="shared" si="287"/>
        <v>0</v>
      </c>
      <c r="N1433" s="2">
        <f t="shared" si="288"/>
        <v>1</v>
      </c>
      <c r="O1433" s="2">
        <f t="shared" si="289"/>
        <v>0</v>
      </c>
      <c r="P1433" s="112">
        <f t="shared" si="290"/>
        <v>1</v>
      </c>
      <c r="Q1433" s="112">
        <f t="shared" si="291"/>
        <v>0</v>
      </c>
      <c r="R1433" s="53"/>
      <c r="S1433" s="53" t="str">
        <f t="shared" si="292"/>
        <v>Characters|Characters|C-32|Base</v>
      </c>
      <c r="T1433" s="57" t="str">
        <f>IF($S1433="","",IFERROR(VLOOKUP($S1433,'Pop Estimates (Non-#d)'!$N$2:$O$500,2,FALSE),""))</f>
        <v/>
      </c>
      <c r="U1433" s="57" t="str">
        <f t="shared" si="293"/>
        <v/>
      </c>
      <c r="V1433" s="53" t="str">
        <f t="shared" si="294"/>
        <v/>
      </c>
      <c r="W1433" s="53" t="str">
        <f t="shared" si="295"/>
        <v/>
      </c>
      <c r="X1433" s="53" t="str">
        <f t="shared" si="296"/>
        <v/>
      </c>
      <c r="Y1433" s="57" t="str">
        <f>IF($X1433="","",IFERROR(VLOOKUP($X1433,'Char Popularity'!$A$2:$C$500,2,FALSE),""))</f>
        <v/>
      </c>
      <c r="Z1433" s="56">
        <f>IF($X1433="",1,IFERROR(VLOOKUP($X1433,'Char Popularity'!$A$2:$C$500,3,FALSE),1))</f>
        <v>1</v>
      </c>
      <c r="AA1433" s="62">
        <f>IF($H1433&lt;&gt;"Y",0,(IF($F1433&lt;&gt;"",ROUND(Dashboard!$R$4/$F1433,1),IF(AND($I1433="Base",$E1433="Base"),Dashboard!$R$5,IF(AND($I1433="Base",$E1433="Red"),Dashboard!$R$6,IF(AND($I1433="Base",$E1433="Gold"),Dashboard!$R$7,VLOOKUP($I1433,Dashboard!$Q$16:$R$21,2,FALSE)))))*VLOOKUP($I1433,Dashboard!$Q$9:$R$13,2,FALSE)*IF(AND($I1433="Auto",$F1433="",OR($B1433="Autographs Duals",$B1433="Autographs Triples",$B1433="Autographs Quads",$B1433="Autographs Quads (Inscribed)")),IF($B1433="Autographs Duals",2,IF($B1433="Autographs Triples",3,4)),1)))</f>
        <v>1</v>
      </c>
      <c r="AB1433" s="62">
        <f t="shared" si="297"/>
        <v>1</v>
      </c>
      <c r="AC1433" s="62">
        <f t="shared" si="298"/>
        <v>0</v>
      </c>
    </row>
    <row r="1434" spans="1:29" ht="28.7" customHeight="1" x14ac:dyDescent="0.25">
      <c r="A1434" s="4" t="s">
        <v>21</v>
      </c>
      <c r="B1434" s="7" t="s">
        <v>21</v>
      </c>
      <c r="C1434" s="2" t="s">
        <v>1244</v>
      </c>
      <c r="D1434" s="7" t="s">
        <v>1245</v>
      </c>
      <c r="E1434" s="4" t="s">
        <v>60</v>
      </c>
      <c r="F1434" s="2"/>
      <c r="G1434" s="2" t="s">
        <v>1399</v>
      </c>
      <c r="H1434" s="2" t="s">
        <v>1400</v>
      </c>
      <c r="I1434" s="4" t="s">
        <v>60</v>
      </c>
      <c r="J1434" s="112">
        <f>IF($H1434&lt;&gt;"Y",0,ROUND(MIN(Dashboard!$R$24,IF(IFERROR(VLOOKUP($B1434,Dashboard!$Q$28:$S$60,2,FALSE),0)&gt;0,IFERROR(VLOOKUP($B1434,Dashboard!$Q$28:$S$60,2,FALSE),0),$Z1434*IF($U1434&lt;&gt;"",ROUND((Dashboard!$R$4/$U1434)*VLOOKUP($I1434,Dashboard!$Q$9:$R$13,2,FALSE)*IF(ISNUMBER(SEARCH("Duals",$B1434)),2,IF(ISNUMBER(SEARCH("Triples",$B1434)),3,IF(ISNUMBER(SEARCH("Quads",$B1434)),4,1))),2),ROUND(VLOOKUP($I1434,Dashboard!$Q$15:$R$20,2,FALSE)*IF($E1434="Red",Dashboard!$R$6,IF($E1434="Gold",Dashboard!$R$7,Dashboard!$R$5))*IF(ISNUMBER(SEARCH("Duals",$B1434)),2,IF(ISNUMBER(SEARCH("Triples",$B1434)),3,IF(ISNUMBER(SEARCH("Quads",$B1434)),4,1))),2))*IF(IFERROR(VLOOKUP($B1434,Dashboard!$Q$28:$S$60,3,FALSE),0)&gt;0,VLOOKUP($B1434,Dashboard!$Q$28:$S$60,3,FALSE),1))),0))</f>
        <v>1</v>
      </c>
      <c r="K1434" s="2" t="str">
        <f>IF(Characters!C34="","",Characters!C34)</f>
        <v>h</v>
      </c>
      <c r="L1434" s="2">
        <f t="shared" si="286"/>
        <v>1</v>
      </c>
      <c r="M1434" s="2">
        <f t="shared" si="287"/>
        <v>0</v>
      </c>
      <c r="N1434" s="2">
        <f t="shared" si="288"/>
        <v>1</v>
      </c>
      <c r="O1434" s="2">
        <f t="shared" si="289"/>
        <v>0</v>
      </c>
      <c r="P1434" s="112">
        <f t="shared" si="290"/>
        <v>1</v>
      </c>
      <c r="Q1434" s="112">
        <f t="shared" si="291"/>
        <v>0</v>
      </c>
      <c r="R1434" s="53"/>
      <c r="S1434" s="53" t="str">
        <f t="shared" si="292"/>
        <v>Characters|Characters|C-33|Base</v>
      </c>
      <c r="T1434" s="57" t="str">
        <f>IF($S1434="","",IFERROR(VLOOKUP($S1434,'Pop Estimates (Non-#d)'!$N$2:$O$500,2,FALSE),""))</f>
        <v/>
      </c>
      <c r="U1434" s="57" t="str">
        <f t="shared" si="293"/>
        <v/>
      </c>
      <c r="V1434" s="53" t="str">
        <f t="shared" si="294"/>
        <v>Eagle the Archer</v>
      </c>
      <c r="W1434" s="53" t="str">
        <f t="shared" si="295"/>
        <v>Eagle the Archer</v>
      </c>
      <c r="X1434" s="53" t="str">
        <f t="shared" si="296"/>
        <v>Eagle the Archer</v>
      </c>
      <c r="Y1434" s="57">
        <f>IF($X1434="","",IFERROR(VLOOKUP($X1434,'Char Popularity'!$A$2:$C$500,2,FALSE),""))</f>
        <v>3</v>
      </c>
      <c r="Z1434" s="56">
        <f>IF($X1434="",1,IFERROR(VLOOKUP($X1434,'Char Popularity'!$A$2:$C$500,3,FALSE),1))</f>
        <v>1</v>
      </c>
      <c r="AA1434" s="62">
        <f>IF($H1434&lt;&gt;"Y",0,(IF($F1434&lt;&gt;"",ROUND(Dashboard!$R$4/$F1434,1),IF(AND($I1434="Base",$E1434="Base"),Dashboard!$R$5,IF(AND($I1434="Base",$E1434="Red"),Dashboard!$R$6,IF(AND($I1434="Base",$E1434="Gold"),Dashboard!$R$7,VLOOKUP($I1434,Dashboard!$Q$16:$R$21,2,FALSE)))))*VLOOKUP($I1434,Dashboard!$Q$9:$R$13,2,FALSE)*IF(AND($I1434="Auto",$F1434="",OR($B1434="Autographs Duals",$B1434="Autographs Triples",$B1434="Autographs Quads",$B1434="Autographs Quads (Inscribed)")),IF($B1434="Autographs Duals",2,IF($B1434="Autographs Triples",3,4)),1)))</f>
        <v>1</v>
      </c>
      <c r="AB1434" s="62">
        <f t="shared" si="297"/>
        <v>1</v>
      </c>
      <c r="AC1434" s="62">
        <f t="shared" si="298"/>
        <v>0</v>
      </c>
    </row>
    <row r="1435" spans="1:29" ht="28.7" customHeight="1" x14ac:dyDescent="0.25">
      <c r="A1435" s="4" t="s">
        <v>21</v>
      </c>
      <c r="B1435" s="7" t="s">
        <v>21</v>
      </c>
      <c r="C1435" s="2" t="s">
        <v>1247</v>
      </c>
      <c r="D1435" s="7" t="s">
        <v>1248</v>
      </c>
      <c r="E1435" s="4" t="s">
        <v>60</v>
      </c>
      <c r="F1435" s="2"/>
      <c r="G1435" s="2" t="s">
        <v>1399</v>
      </c>
      <c r="H1435" s="2" t="s">
        <v>1400</v>
      </c>
      <c r="I1435" s="4" t="s">
        <v>60</v>
      </c>
      <c r="J1435" s="112">
        <f>IF($H1435&lt;&gt;"Y",0,ROUND(MIN(Dashboard!$R$24,IF(IFERROR(VLOOKUP($B1435,Dashboard!$Q$28:$S$60,2,FALSE),0)&gt;0,IFERROR(VLOOKUP($B1435,Dashboard!$Q$28:$S$60,2,FALSE),0),$Z1435*IF($U1435&lt;&gt;"",ROUND((Dashboard!$R$4/$U1435)*VLOOKUP($I1435,Dashboard!$Q$9:$R$13,2,FALSE)*IF(ISNUMBER(SEARCH("Duals",$B1435)),2,IF(ISNUMBER(SEARCH("Triples",$B1435)),3,IF(ISNUMBER(SEARCH("Quads",$B1435)),4,1))),2),ROUND(VLOOKUP($I1435,Dashboard!$Q$15:$R$20,2,FALSE)*IF($E1435="Red",Dashboard!$R$6,IF($E1435="Gold",Dashboard!$R$7,Dashboard!$R$5))*IF(ISNUMBER(SEARCH("Duals",$B1435)),2,IF(ISNUMBER(SEARCH("Triples",$B1435)),3,IF(ISNUMBER(SEARCH("Quads",$B1435)),4,1))),2))*IF(IFERROR(VLOOKUP($B1435,Dashboard!$Q$28:$S$60,3,FALSE),0)&gt;0,VLOOKUP($B1435,Dashboard!$Q$28:$S$60,3,FALSE),1))),0))</f>
        <v>1</v>
      </c>
      <c r="K1435" s="2" t="str">
        <f>IF(Characters!C35="","",Characters!C35)</f>
        <v>h</v>
      </c>
      <c r="L1435" s="2">
        <f t="shared" si="286"/>
        <v>1</v>
      </c>
      <c r="M1435" s="2">
        <f t="shared" si="287"/>
        <v>0</v>
      </c>
      <c r="N1435" s="2">
        <f t="shared" si="288"/>
        <v>1</v>
      </c>
      <c r="O1435" s="2">
        <f t="shared" si="289"/>
        <v>0</v>
      </c>
      <c r="P1435" s="112">
        <f t="shared" si="290"/>
        <v>1</v>
      </c>
      <c r="Q1435" s="112">
        <f t="shared" si="291"/>
        <v>0</v>
      </c>
      <c r="R1435" s="53"/>
      <c r="S1435" s="53" t="str">
        <f t="shared" si="292"/>
        <v>Characters|Characters|C-34|Base</v>
      </c>
      <c r="T1435" s="57" t="str">
        <f>IF($S1435="","",IFERROR(VLOOKUP($S1435,'Pop Estimates (Non-#d)'!$N$2:$O$500,2,FALSE),""))</f>
        <v/>
      </c>
      <c r="U1435" s="57" t="str">
        <f t="shared" si="293"/>
        <v/>
      </c>
      <c r="V1435" s="53" t="str">
        <f t="shared" si="294"/>
        <v>Carol</v>
      </c>
      <c r="W1435" s="53" t="str">
        <f t="shared" si="295"/>
        <v>Carol</v>
      </c>
      <c r="X1435" s="53" t="str">
        <f t="shared" si="296"/>
        <v>Carol</v>
      </c>
      <c r="Y1435" s="57">
        <f>IF($X1435="","",IFERROR(VLOOKUP($X1435,'Char Popularity'!$A$2:$C$500,2,FALSE),""))</f>
        <v>3</v>
      </c>
      <c r="Z1435" s="56">
        <f>IF($X1435="",1,IFERROR(VLOOKUP($X1435,'Char Popularity'!$A$2:$C$500,3,FALSE),1))</f>
        <v>1</v>
      </c>
      <c r="AA1435" s="62">
        <f>IF($H1435&lt;&gt;"Y",0,(IF($F1435&lt;&gt;"",ROUND(Dashboard!$R$4/$F1435,1),IF(AND($I1435="Base",$E1435="Base"),Dashboard!$R$5,IF(AND($I1435="Base",$E1435="Red"),Dashboard!$R$6,IF(AND($I1435="Base",$E1435="Gold"),Dashboard!$R$7,VLOOKUP($I1435,Dashboard!$Q$16:$R$21,2,FALSE)))))*VLOOKUP($I1435,Dashboard!$Q$9:$R$13,2,FALSE)*IF(AND($I1435="Auto",$F1435="",OR($B1435="Autographs Duals",$B1435="Autographs Triples",$B1435="Autographs Quads",$B1435="Autographs Quads (Inscribed)")),IF($B1435="Autographs Duals",2,IF($B1435="Autographs Triples",3,4)),1)))</f>
        <v>1</v>
      </c>
      <c r="AB1435" s="62">
        <f t="shared" si="297"/>
        <v>1</v>
      </c>
      <c r="AC1435" s="62">
        <f t="shared" si="298"/>
        <v>0</v>
      </c>
    </row>
    <row r="1436" spans="1:29" ht="28.7" customHeight="1" x14ac:dyDescent="0.25">
      <c r="A1436" s="4" t="s">
        <v>21</v>
      </c>
      <c r="B1436" s="7" t="s">
        <v>21</v>
      </c>
      <c r="C1436" s="2" t="s">
        <v>1250</v>
      </c>
      <c r="D1436" s="7" t="s">
        <v>1251</v>
      </c>
      <c r="E1436" s="4" t="s">
        <v>60</v>
      </c>
      <c r="F1436" s="2"/>
      <c r="G1436" s="2" t="s">
        <v>1399</v>
      </c>
      <c r="H1436" s="2" t="s">
        <v>1400</v>
      </c>
      <c r="I1436" s="4" t="s">
        <v>60</v>
      </c>
      <c r="J1436" s="112">
        <f>IF($H1436&lt;&gt;"Y",0,ROUND(MIN(Dashboard!$R$24,IF(IFERROR(VLOOKUP($B1436,Dashboard!$Q$28:$S$60,2,FALSE),0)&gt;0,IFERROR(VLOOKUP($B1436,Dashboard!$Q$28:$S$60,2,FALSE),0),$Z1436*IF($U1436&lt;&gt;"",ROUND((Dashboard!$R$4/$U1436)*VLOOKUP($I1436,Dashboard!$Q$9:$R$13,2,FALSE)*IF(ISNUMBER(SEARCH("Duals",$B1436)),2,IF(ISNUMBER(SEARCH("Triples",$B1436)),3,IF(ISNUMBER(SEARCH("Quads",$B1436)),4,1))),2),ROUND(VLOOKUP($I1436,Dashboard!$Q$15:$R$20,2,FALSE)*IF($E1436="Red",Dashboard!$R$6,IF($E1436="Gold",Dashboard!$R$7,Dashboard!$R$5))*IF(ISNUMBER(SEARCH("Duals",$B1436)),2,IF(ISNUMBER(SEARCH("Triples",$B1436)),3,IF(ISNUMBER(SEARCH("Quads",$B1436)),4,1))),2))*IF(IFERROR(VLOOKUP($B1436,Dashboard!$Q$28:$S$60,3,FALSE),0)&gt;0,VLOOKUP($B1436,Dashboard!$Q$28:$S$60,3,FALSE),1))),0))</f>
        <v>1</v>
      </c>
      <c r="K1436" s="2" t="str">
        <f>IF(Characters!C36="","",Characters!C36)</f>
        <v>h</v>
      </c>
      <c r="L1436" s="2">
        <f t="shared" si="286"/>
        <v>1</v>
      </c>
      <c r="M1436" s="2">
        <f t="shared" si="287"/>
        <v>0</v>
      </c>
      <c r="N1436" s="2">
        <f t="shared" si="288"/>
        <v>1</v>
      </c>
      <c r="O1436" s="2">
        <f t="shared" si="289"/>
        <v>0</v>
      </c>
      <c r="P1436" s="112">
        <f t="shared" si="290"/>
        <v>1</v>
      </c>
      <c r="Q1436" s="112">
        <f t="shared" si="291"/>
        <v>0</v>
      </c>
      <c r="R1436" s="53"/>
      <c r="S1436" s="53" t="str">
        <f t="shared" si="292"/>
        <v>Characters|Characters|C-35|Base</v>
      </c>
      <c r="T1436" s="57" t="str">
        <f>IF($S1436="","",IFERROR(VLOOKUP($S1436,'Pop Estimates (Non-#d)'!$N$2:$O$500,2,FALSE),""))</f>
        <v/>
      </c>
      <c r="U1436" s="57" t="str">
        <f t="shared" si="293"/>
        <v/>
      </c>
      <c r="V1436" s="53" t="str">
        <f t="shared" si="294"/>
        <v>Kenji Miyashiro</v>
      </c>
      <c r="W1436" s="53" t="str">
        <f t="shared" si="295"/>
        <v>Kenji Miyashiro</v>
      </c>
      <c r="X1436" s="53" t="str">
        <f t="shared" si="296"/>
        <v>Kenji Miyashiro</v>
      </c>
      <c r="Y1436" s="57">
        <f>IF($X1436="","",IFERROR(VLOOKUP($X1436,'Char Popularity'!$A$2:$C$500,2,FALSE),""))</f>
        <v>2</v>
      </c>
      <c r="Z1436" s="56">
        <f>IF($X1436="",1,IFERROR(VLOOKUP($X1436,'Char Popularity'!$A$2:$C$500,3,FALSE),1))</f>
        <v>0.9</v>
      </c>
      <c r="AA1436" s="62">
        <f>IF($H1436&lt;&gt;"Y",0,(IF($F1436&lt;&gt;"",ROUND(Dashboard!$R$4/$F1436,1),IF(AND($I1436="Base",$E1436="Base"),Dashboard!$R$5,IF(AND($I1436="Base",$E1436="Red"),Dashboard!$R$6,IF(AND($I1436="Base",$E1436="Gold"),Dashboard!$R$7,VLOOKUP($I1436,Dashboard!$Q$16:$R$21,2,FALSE)))))*VLOOKUP($I1436,Dashboard!$Q$9:$R$13,2,FALSE)*IF(AND($I1436="Auto",$F1436="",OR($B1436="Autographs Duals",$B1436="Autographs Triples",$B1436="Autographs Quads",$B1436="Autographs Quads (Inscribed)")),IF($B1436="Autographs Duals",2,IF($B1436="Autographs Triples",3,4)),1)))</f>
        <v>1</v>
      </c>
      <c r="AB1436" s="62">
        <f t="shared" si="297"/>
        <v>1</v>
      </c>
      <c r="AC1436" s="62">
        <f t="shared" si="298"/>
        <v>0</v>
      </c>
    </row>
    <row r="1437" spans="1:29" ht="28.7" customHeight="1" x14ac:dyDescent="0.25">
      <c r="A1437" s="4" t="s">
        <v>21</v>
      </c>
      <c r="B1437" s="7" t="s">
        <v>21</v>
      </c>
      <c r="C1437" s="2" t="s">
        <v>1253</v>
      </c>
      <c r="D1437" s="7" t="s">
        <v>1254</v>
      </c>
      <c r="E1437" s="4" t="s">
        <v>60</v>
      </c>
      <c r="F1437" s="2"/>
      <c r="G1437" s="2" t="s">
        <v>1399</v>
      </c>
      <c r="H1437" s="2" t="s">
        <v>1400</v>
      </c>
      <c r="I1437" s="4" t="s">
        <v>60</v>
      </c>
      <c r="J1437" s="112">
        <f>IF($H1437&lt;&gt;"Y",0,ROUND(MIN(Dashboard!$R$24,IF(IFERROR(VLOOKUP($B1437,Dashboard!$Q$28:$S$60,2,FALSE),0)&gt;0,IFERROR(VLOOKUP($B1437,Dashboard!$Q$28:$S$60,2,FALSE),0),$Z1437*IF($U1437&lt;&gt;"",ROUND((Dashboard!$R$4/$U1437)*VLOOKUP($I1437,Dashboard!$Q$9:$R$13,2,FALSE)*IF(ISNUMBER(SEARCH("Duals",$B1437)),2,IF(ISNUMBER(SEARCH("Triples",$B1437)),3,IF(ISNUMBER(SEARCH("Quads",$B1437)),4,1))),2),ROUND(VLOOKUP($I1437,Dashboard!$Q$15:$R$20,2,FALSE)*IF($E1437="Red",Dashboard!$R$6,IF($E1437="Gold",Dashboard!$R$7,Dashboard!$R$5))*IF(ISNUMBER(SEARCH("Duals",$B1437)),2,IF(ISNUMBER(SEARCH("Triples",$B1437)),3,IF(ISNUMBER(SEARCH("Quads",$B1437)),4,1))),2))*IF(IFERROR(VLOOKUP($B1437,Dashboard!$Q$28:$S$60,3,FALSE),0)&gt;0,VLOOKUP($B1437,Dashboard!$Q$28:$S$60,3,FALSE),1))),0))</f>
        <v>1</v>
      </c>
      <c r="K1437" s="2" t="str">
        <f>IF(Characters!C37="","",Characters!C37)</f>
        <v>h</v>
      </c>
      <c r="L1437" s="2">
        <f t="shared" si="286"/>
        <v>1</v>
      </c>
      <c r="M1437" s="2">
        <f t="shared" si="287"/>
        <v>0</v>
      </c>
      <c r="N1437" s="2">
        <f t="shared" si="288"/>
        <v>1</v>
      </c>
      <c r="O1437" s="2">
        <f t="shared" si="289"/>
        <v>0</v>
      </c>
      <c r="P1437" s="112">
        <f t="shared" si="290"/>
        <v>1</v>
      </c>
      <c r="Q1437" s="112">
        <f t="shared" si="291"/>
        <v>0</v>
      </c>
      <c r="R1437" s="53"/>
      <c r="S1437" s="53" t="str">
        <f t="shared" si="292"/>
        <v>Characters|Characters|C-36|Base</v>
      </c>
      <c r="T1437" s="57" t="str">
        <f>IF($S1437="","",IFERROR(VLOOKUP($S1437,'Pop Estimates (Non-#d)'!$N$2:$O$500,2,FALSE),""))</f>
        <v/>
      </c>
      <c r="U1437" s="57" t="str">
        <f t="shared" si="293"/>
        <v/>
      </c>
      <c r="V1437" s="53" t="str">
        <f t="shared" si="294"/>
        <v>Elena</v>
      </c>
      <c r="W1437" s="53" t="str">
        <f t="shared" si="295"/>
        <v>Elena</v>
      </c>
      <c r="X1437" s="53" t="str">
        <f t="shared" si="296"/>
        <v>Elena</v>
      </c>
      <c r="Y1437" s="57">
        <f>IF($X1437="","",IFERROR(VLOOKUP($X1437,'Char Popularity'!$A$2:$C$500,2,FALSE),""))</f>
        <v>3</v>
      </c>
      <c r="Z1437" s="56">
        <f>IF($X1437="",1,IFERROR(VLOOKUP($X1437,'Char Popularity'!$A$2:$C$500,3,FALSE),1))</f>
        <v>1</v>
      </c>
      <c r="AA1437" s="62">
        <f>IF($H1437&lt;&gt;"Y",0,(IF($F1437&lt;&gt;"",ROUND(Dashboard!$R$4/$F1437,1),IF(AND($I1437="Base",$E1437="Base"),Dashboard!$R$5,IF(AND($I1437="Base",$E1437="Red"),Dashboard!$R$6,IF(AND($I1437="Base",$E1437="Gold"),Dashboard!$R$7,VLOOKUP($I1437,Dashboard!$Q$16:$R$21,2,FALSE)))))*VLOOKUP($I1437,Dashboard!$Q$9:$R$13,2,FALSE)*IF(AND($I1437="Auto",$F1437="",OR($B1437="Autographs Duals",$B1437="Autographs Triples",$B1437="Autographs Quads",$B1437="Autographs Quads (Inscribed)")),IF($B1437="Autographs Duals",2,IF($B1437="Autographs Triples",3,4)),1)))</f>
        <v>1</v>
      </c>
      <c r="AB1437" s="62">
        <f t="shared" si="297"/>
        <v>1</v>
      </c>
      <c r="AC1437" s="62">
        <f t="shared" si="298"/>
        <v>0</v>
      </c>
    </row>
    <row r="1438" spans="1:29" ht="28.7" customHeight="1" x14ac:dyDescent="0.25">
      <c r="A1438" s="4" t="s">
        <v>21</v>
      </c>
      <c r="B1438" s="7" t="s">
        <v>21</v>
      </c>
      <c r="C1438" s="2" t="s">
        <v>1255</v>
      </c>
      <c r="D1438" s="7" t="s">
        <v>1256</v>
      </c>
      <c r="E1438" s="4" t="s">
        <v>60</v>
      </c>
      <c r="F1438" s="2"/>
      <c r="G1438" s="2" t="s">
        <v>1399</v>
      </c>
      <c r="H1438" s="2" t="s">
        <v>1400</v>
      </c>
      <c r="I1438" s="4" t="s">
        <v>60</v>
      </c>
      <c r="J1438" s="112">
        <f>IF($H1438&lt;&gt;"Y",0,ROUND(MIN(Dashboard!$R$24,IF(IFERROR(VLOOKUP($B1438,Dashboard!$Q$28:$S$60,2,FALSE),0)&gt;0,IFERROR(VLOOKUP($B1438,Dashboard!$Q$28:$S$60,2,FALSE),0),$Z1438*IF($U1438&lt;&gt;"",ROUND((Dashboard!$R$4/$U1438)*VLOOKUP($I1438,Dashboard!$Q$9:$R$13,2,FALSE)*IF(ISNUMBER(SEARCH("Duals",$B1438)),2,IF(ISNUMBER(SEARCH("Triples",$B1438)),3,IF(ISNUMBER(SEARCH("Quads",$B1438)),4,1))),2),ROUND(VLOOKUP($I1438,Dashboard!$Q$15:$R$20,2,FALSE)*IF($E1438="Red",Dashboard!$R$6,IF($E1438="Gold",Dashboard!$R$7,Dashboard!$R$5))*IF(ISNUMBER(SEARCH("Duals",$B1438)),2,IF(ISNUMBER(SEARCH("Triples",$B1438)),3,IF(ISNUMBER(SEARCH("Quads",$B1438)),4,1))),2))*IF(IFERROR(VLOOKUP($B1438,Dashboard!$Q$28:$S$60,3,FALSE),0)&gt;0,VLOOKUP($B1438,Dashboard!$Q$28:$S$60,3,FALSE),1))),0))</f>
        <v>1</v>
      </c>
      <c r="K1438" s="2" t="str">
        <f>IF(Characters!C38="","",Characters!C38)</f>
        <v>h</v>
      </c>
      <c r="L1438" s="2">
        <f t="shared" si="286"/>
        <v>1</v>
      </c>
      <c r="M1438" s="2">
        <f t="shared" si="287"/>
        <v>0</v>
      </c>
      <c r="N1438" s="2">
        <f t="shared" si="288"/>
        <v>1</v>
      </c>
      <c r="O1438" s="2">
        <f t="shared" si="289"/>
        <v>0</v>
      </c>
      <c r="P1438" s="112">
        <f t="shared" si="290"/>
        <v>1</v>
      </c>
      <c r="Q1438" s="112">
        <f t="shared" si="291"/>
        <v>0</v>
      </c>
      <c r="R1438" s="53"/>
      <c r="S1438" s="53" t="str">
        <f t="shared" si="292"/>
        <v>Characters|Characters|C-37|Base</v>
      </c>
      <c r="T1438" s="57" t="str">
        <f>IF($S1438="","",IFERROR(VLOOKUP($S1438,'Pop Estimates (Non-#d)'!$N$2:$O$500,2,FALSE),""))</f>
        <v/>
      </c>
      <c r="U1438" s="57" t="str">
        <f t="shared" si="293"/>
        <v/>
      </c>
      <c r="V1438" s="53" t="str">
        <f t="shared" si="294"/>
        <v>Nathan Franklin</v>
      </c>
      <c r="W1438" s="53" t="str">
        <f t="shared" si="295"/>
        <v>Nathan Franklin</v>
      </c>
      <c r="X1438" s="53" t="str">
        <f t="shared" si="296"/>
        <v>Nathan Franklin</v>
      </c>
      <c r="Y1438" s="57">
        <f>IF($X1438="","",IFERROR(VLOOKUP($X1438,'Char Popularity'!$A$2:$C$500,2,FALSE),""))</f>
        <v>2</v>
      </c>
      <c r="Z1438" s="56">
        <f>IF($X1438="",1,IFERROR(VLOOKUP($X1438,'Char Popularity'!$A$2:$C$500,3,FALSE),1))</f>
        <v>0.9</v>
      </c>
      <c r="AA1438" s="62">
        <f>IF($H1438&lt;&gt;"Y",0,(IF($F1438&lt;&gt;"",ROUND(Dashboard!$R$4/$F1438,1),IF(AND($I1438="Base",$E1438="Base"),Dashboard!$R$5,IF(AND($I1438="Base",$E1438="Red"),Dashboard!$R$6,IF(AND($I1438="Base",$E1438="Gold"),Dashboard!$R$7,VLOOKUP($I1438,Dashboard!$Q$16:$R$21,2,FALSE)))))*VLOOKUP($I1438,Dashboard!$Q$9:$R$13,2,FALSE)*IF(AND($I1438="Auto",$F1438="",OR($B1438="Autographs Duals",$B1438="Autographs Triples",$B1438="Autographs Quads",$B1438="Autographs Quads (Inscribed)")),IF($B1438="Autographs Duals",2,IF($B1438="Autographs Triples",3,4)),1)))</f>
        <v>1</v>
      </c>
      <c r="AB1438" s="62">
        <f t="shared" si="297"/>
        <v>1</v>
      </c>
      <c r="AC1438" s="62">
        <f t="shared" si="298"/>
        <v>0</v>
      </c>
    </row>
    <row r="1439" spans="1:29" ht="28.7" customHeight="1" x14ac:dyDescent="0.25">
      <c r="A1439" s="4" t="s">
        <v>21</v>
      </c>
      <c r="B1439" s="7" t="s">
        <v>21</v>
      </c>
      <c r="C1439" s="2" t="s">
        <v>1257</v>
      </c>
      <c r="D1439" s="7" t="s">
        <v>1235</v>
      </c>
      <c r="E1439" s="4" t="s">
        <v>60</v>
      </c>
      <c r="F1439" s="2"/>
      <c r="G1439" s="2" t="s">
        <v>1399</v>
      </c>
      <c r="H1439" s="2" t="s">
        <v>1400</v>
      </c>
      <c r="I1439" s="4" t="s">
        <v>60</v>
      </c>
      <c r="J1439" s="112">
        <f>IF($H1439&lt;&gt;"Y",0,ROUND(MIN(Dashboard!$R$24,IF(IFERROR(VLOOKUP($B1439,Dashboard!$Q$28:$S$60,2,FALSE),0)&gt;0,IFERROR(VLOOKUP($B1439,Dashboard!$Q$28:$S$60,2,FALSE),0),$Z1439*IF($U1439&lt;&gt;"",ROUND((Dashboard!$R$4/$U1439)*VLOOKUP($I1439,Dashboard!$Q$9:$R$13,2,FALSE)*IF(ISNUMBER(SEARCH("Duals",$B1439)),2,IF(ISNUMBER(SEARCH("Triples",$B1439)),3,IF(ISNUMBER(SEARCH("Quads",$B1439)),4,1))),2),ROUND(VLOOKUP($I1439,Dashboard!$Q$15:$R$20,2,FALSE)*IF($E1439="Red",Dashboard!$R$6,IF($E1439="Gold",Dashboard!$R$7,Dashboard!$R$5))*IF(ISNUMBER(SEARCH("Duals",$B1439)),2,IF(ISNUMBER(SEARCH("Triples",$B1439)),3,IF(ISNUMBER(SEARCH("Quads",$B1439)),4,1))),2))*IF(IFERROR(VLOOKUP($B1439,Dashboard!$Q$28:$S$60,3,FALSE),0)&gt;0,VLOOKUP($B1439,Dashboard!$Q$28:$S$60,3,FALSE),1))),0))</f>
        <v>1</v>
      </c>
      <c r="K1439" s="2" t="str">
        <f>IF(Characters!C39="","",Characters!C39)</f>
        <v>h</v>
      </c>
      <c r="L1439" s="2">
        <f t="shared" si="286"/>
        <v>1</v>
      </c>
      <c r="M1439" s="2">
        <f t="shared" si="287"/>
        <v>0</v>
      </c>
      <c r="N1439" s="2">
        <f t="shared" si="288"/>
        <v>1</v>
      </c>
      <c r="O1439" s="2">
        <f t="shared" si="289"/>
        <v>0</v>
      </c>
      <c r="P1439" s="112">
        <f t="shared" si="290"/>
        <v>1</v>
      </c>
      <c r="Q1439" s="112">
        <f t="shared" si="291"/>
        <v>0</v>
      </c>
      <c r="R1439" s="53"/>
      <c r="S1439" s="53" t="str">
        <f t="shared" si="292"/>
        <v>Characters|Characters|C-38|Base</v>
      </c>
      <c r="T1439" s="57" t="str">
        <f>IF($S1439="","",IFERROR(VLOOKUP($S1439,'Pop Estimates (Non-#d)'!$N$2:$O$500,2,FALSE),""))</f>
        <v/>
      </c>
      <c r="U1439" s="57" t="str">
        <f t="shared" si="293"/>
        <v/>
      </c>
      <c r="V1439" s="53" t="str">
        <f t="shared" si="294"/>
        <v>Hughie Campbell Sr.</v>
      </c>
      <c r="W1439" s="53" t="str">
        <f t="shared" si="295"/>
        <v>Hughie Campbell Sr.</v>
      </c>
      <c r="X1439" s="53" t="str">
        <f t="shared" si="296"/>
        <v>Hughie Campbell Sr.</v>
      </c>
      <c r="Y1439" s="57">
        <f>IF($X1439="","",IFERROR(VLOOKUP($X1439,'Char Popularity'!$A$2:$C$500,2,FALSE),""))</f>
        <v>3</v>
      </c>
      <c r="Z1439" s="56">
        <f>IF($X1439="",1,IFERROR(VLOOKUP($X1439,'Char Popularity'!$A$2:$C$500,3,FALSE),1))</f>
        <v>1</v>
      </c>
      <c r="AA1439" s="62">
        <f>IF($H1439&lt;&gt;"Y",0,(IF($F1439&lt;&gt;"",ROUND(Dashboard!$R$4/$F1439,1),IF(AND($I1439="Base",$E1439="Base"),Dashboard!$R$5,IF(AND($I1439="Base",$E1439="Red"),Dashboard!$R$6,IF(AND($I1439="Base",$E1439="Gold"),Dashboard!$R$7,VLOOKUP($I1439,Dashboard!$Q$16:$R$21,2,FALSE)))))*VLOOKUP($I1439,Dashboard!$Q$9:$R$13,2,FALSE)*IF(AND($I1439="Auto",$F1439="",OR($B1439="Autographs Duals",$B1439="Autographs Triples",$B1439="Autographs Quads",$B1439="Autographs Quads (Inscribed)")),IF($B1439="Autographs Duals",2,IF($B1439="Autographs Triples",3,4)),1)))</f>
        <v>1</v>
      </c>
      <c r="AB1439" s="62">
        <f t="shared" si="297"/>
        <v>1</v>
      </c>
      <c r="AC1439" s="62">
        <f t="shared" si="298"/>
        <v>0</v>
      </c>
    </row>
    <row r="1440" spans="1:29" ht="28.7" customHeight="1" x14ac:dyDescent="0.25">
      <c r="A1440" s="4" t="s">
        <v>21</v>
      </c>
      <c r="B1440" s="7" t="s">
        <v>21</v>
      </c>
      <c r="C1440" s="2" t="s">
        <v>427</v>
      </c>
      <c r="D1440" s="7" t="s">
        <v>283</v>
      </c>
      <c r="E1440" s="4" t="s">
        <v>60</v>
      </c>
      <c r="F1440" s="2"/>
      <c r="G1440" s="2" t="s">
        <v>1399</v>
      </c>
      <c r="H1440" s="2" t="s">
        <v>1400</v>
      </c>
      <c r="I1440" s="4" t="s">
        <v>60</v>
      </c>
      <c r="J1440" s="112">
        <f>IF($H1440&lt;&gt;"Y",0,ROUND(MIN(Dashboard!$R$24,IF(IFERROR(VLOOKUP($B1440,Dashboard!$Q$28:$S$60,2,FALSE),0)&gt;0,IFERROR(VLOOKUP($B1440,Dashboard!$Q$28:$S$60,2,FALSE),0),$Z1440*IF($U1440&lt;&gt;"",ROUND((Dashboard!$R$4/$U1440)*VLOOKUP($I1440,Dashboard!$Q$9:$R$13,2,FALSE)*IF(ISNUMBER(SEARCH("Duals",$B1440)),2,IF(ISNUMBER(SEARCH("Triples",$B1440)),3,IF(ISNUMBER(SEARCH("Quads",$B1440)),4,1))),2),ROUND(VLOOKUP($I1440,Dashboard!$Q$15:$R$20,2,FALSE)*IF($E1440="Red",Dashboard!$R$6,IF($E1440="Gold",Dashboard!$R$7,Dashboard!$R$5))*IF(ISNUMBER(SEARCH("Duals",$B1440)),2,IF(ISNUMBER(SEARCH("Triples",$B1440)),3,IF(ISNUMBER(SEARCH("Quads",$B1440)),4,1))),2))*IF(IFERROR(VLOOKUP($B1440,Dashboard!$Q$28:$S$60,3,FALSE),0)&gt;0,VLOOKUP($B1440,Dashboard!$Q$28:$S$60,3,FALSE),1))),0))</f>
        <v>1</v>
      </c>
      <c r="K1440" s="2" t="str">
        <f>IF(Characters!C40="","",Characters!C40)</f>
        <v>h</v>
      </c>
      <c r="L1440" s="2">
        <f t="shared" si="286"/>
        <v>1</v>
      </c>
      <c r="M1440" s="2">
        <f t="shared" si="287"/>
        <v>0</v>
      </c>
      <c r="N1440" s="2">
        <f t="shared" si="288"/>
        <v>1</v>
      </c>
      <c r="O1440" s="2">
        <f t="shared" si="289"/>
        <v>0</v>
      </c>
      <c r="P1440" s="112">
        <f t="shared" si="290"/>
        <v>1</v>
      </c>
      <c r="Q1440" s="112">
        <f t="shared" si="291"/>
        <v>0</v>
      </c>
      <c r="R1440" s="53"/>
      <c r="S1440" s="53" t="str">
        <f t="shared" si="292"/>
        <v>Characters|Characters|C-39|Base</v>
      </c>
      <c r="T1440" s="57" t="str">
        <f>IF($S1440="","",IFERROR(VLOOKUP($S1440,'Pop Estimates (Non-#d)'!$N$2:$O$500,2,FALSE),""))</f>
        <v/>
      </c>
      <c r="U1440" s="57" t="str">
        <f t="shared" si="293"/>
        <v/>
      </c>
      <c r="V1440" s="53" t="str">
        <f t="shared" si="294"/>
        <v>Black Noir</v>
      </c>
      <c r="W1440" s="53" t="str">
        <f t="shared" si="295"/>
        <v>Black Noir</v>
      </c>
      <c r="X1440" s="53" t="str">
        <f t="shared" si="296"/>
        <v>Black Noir</v>
      </c>
      <c r="Y1440" s="57">
        <f>IF($X1440="","",IFERROR(VLOOKUP($X1440,'Char Popularity'!$A$2:$C$500,2,FALSE),""))</f>
        <v>4</v>
      </c>
      <c r="Z1440" s="56">
        <f>IF($X1440="",1,IFERROR(VLOOKUP($X1440,'Char Popularity'!$A$2:$C$500,3,FALSE),1))</f>
        <v>1.1000000000000001</v>
      </c>
      <c r="AA1440" s="62">
        <f>IF($H1440&lt;&gt;"Y",0,(IF($F1440&lt;&gt;"",ROUND(Dashboard!$R$4/$F1440,1),IF(AND($I1440="Base",$E1440="Base"),Dashboard!$R$5,IF(AND($I1440="Base",$E1440="Red"),Dashboard!$R$6,IF(AND($I1440="Base",$E1440="Gold"),Dashboard!$R$7,VLOOKUP($I1440,Dashboard!$Q$16:$R$21,2,FALSE)))))*VLOOKUP($I1440,Dashboard!$Q$9:$R$13,2,FALSE)*IF(AND($I1440="Auto",$F1440="",OR($B1440="Autographs Duals",$B1440="Autographs Triples",$B1440="Autographs Quads",$B1440="Autographs Quads (Inscribed)")),IF($B1440="Autographs Duals",2,IF($B1440="Autographs Triples",3,4)),1)))</f>
        <v>1</v>
      </c>
      <c r="AB1440" s="62">
        <f t="shared" si="297"/>
        <v>1</v>
      </c>
      <c r="AC1440" s="62">
        <f t="shared" si="298"/>
        <v>0</v>
      </c>
    </row>
    <row r="1441" spans="1:29" ht="28.7" customHeight="1" x14ac:dyDescent="0.25">
      <c r="A1441" s="4" t="s">
        <v>21</v>
      </c>
      <c r="B1441" s="7" t="s">
        <v>21</v>
      </c>
      <c r="C1441" s="2" t="s">
        <v>429</v>
      </c>
      <c r="D1441" s="7" t="s">
        <v>238</v>
      </c>
      <c r="E1441" s="4" t="s">
        <v>60</v>
      </c>
      <c r="F1441" s="2"/>
      <c r="G1441" s="2" t="s">
        <v>1399</v>
      </c>
      <c r="H1441" s="2" t="s">
        <v>1400</v>
      </c>
      <c r="I1441" s="4" t="s">
        <v>60</v>
      </c>
      <c r="J1441" s="112">
        <f>IF($H1441&lt;&gt;"Y",0,ROUND(MIN(Dashboard!$R$24,IF(IFERROR(VLOOKUP($B1441,Dashboard!$Q$28:$S$60,2,FALSE),0)&gt;0,IFERROR(VLOOKUP($B1441,Dashboard!$Q$28:$S$60,2,FALSE),0),$Z1441*IF($U1441&lt;&gt;"",ROUND((Dashboard!$R$4/$U1441)*VLOOKUP($I1441,Dashboard!$Q$9:$R$13,2,FALSE)*IF(ISNUMBER(SEARCH("Duals",$B1441)),2,IF(ISNUMBER(SEARCH("Triples",$B1441)),3,IF(ISNUMBER(SEARCH("Quads",$B1441)),4,1))),2),ROUND(VLOOKUP($I1441,Dashboard!$Q$15:$R$20,2,FALSE)*IF($E1441="Red",Dashboard!$R$6,IF($E1441="Gold",Dashboard!$R$7,Dashboard!$R$5))*IF(ISNUMBER(SEARCH("Duals",$B1441)),2,IF(ISNUMBER(SEARCH("Triples",$B1441)),3,IF(ISNUMBER(SEARCH("Quads",$B1441)),4,1))),2))*IF(IFERROR(VLOOKUP($B1441,Dashboard!$Q$28:$S$60,3,FALSE),0)&gt;0,VLOOKUP($B1441,Dashboard!$Q$28:$S$60,3,FALSE),1))),0))</f>
        <v>1</v>
      </c>
      <c r="K1441" s="2" t="str">
        <f>IF(Characters!C41="","",Characters!C41)</f>
        <v>h</v>
      </c>
      <c r="L1441" s="2">
        <f t="shared" si="286"/>
        <v>1</v>
      </c>
      <c r="M1441" s="2">
        <f t="shared" si="287"/>
        <v>0</v>
      </c>
      <c r="N1441" s="2">
        <f t="shared" si="288"/>
        <v>1</v>
      </c>
      <c r="O1441" s="2">
        <f t="shared" si="289"/>
        <v>0</v>
      </c>
      <c r="P1441" s="112">
        <f t="shared" si="290"/>
        <v>1</v>
      </c>
      <c r="Q1441" s="112">
        <f t="shared" si="291"/>
        <v>0</v>
      </c>
      <c r="R1441" s="53"/>
      <c r="S1441" s="53" t="str">
        <f t="shared" si="292"/>
        <v>Characters|Characters|C-40|Base</v>
      </c>
      <c r="T1441" s="57" t="str">
        <f>IF($S1441="","",IFERROR(VLOOKUP($S1441,'Pop Estimates (Non-#d)'!$N$2:$O$500,2,FALSE),""))</f>
        <v/>
      </c>
      <c r="U1441" s="57" t="str">
        <f t="shared" si="293"/>
        <v/>
      </c>
      <c r="V1441" s="53" t="str">
        <f t="shared" si="294"/>
        <v>Frenchie</v>
      </c>
      <c r="W1441" s="53" t="str">
        <f t="shared" si="295"/>
        <v>Frenchie</v>
      </c>
      <c r="X1441" s="53" t="str">
        <f t="shared" si="296"/>
        <v>Frenchie</v>
      </c>
      <c r="Y1441" s="57">
        <f>IF($X1441="","",IFERROR(VLOOKUP($X1441,'Char Popularity'!$A$2:$C$500,2,FALSE),""))</f>
        <v>4</v>
      </c>
      <c r="Z1441" s="56">
        <f>IF($X1441="",1,IFERROR(VLOOKUP($X1441,'Char Popularity'!$A$2:$C$500,3,FALSE),1))</f>
        <v>1.1000000000000001</v>
      </c>
      <c r="AA1441" s="62">
        <f>IF($H1441&lt;&gt;"Y",0,(IF($F1441&lt;&gt;"",ROUND(Dashboard!$R$4/$F1441,1),IF(AND($I1441="Base",$E1441="Base"),Dashboard!$R$5,IF(AND($I1441="Base",$E1441="Red"),Dashboard!$R$6,IF(AND($I1441="Base",$E1441="Gold"),Dashboard!$R$7,VLOOKUP($I1441,Dashboard!$Q$16:$R$21,2,FALSE)))))*VLOOKUP($I1441,Dashboard!$Q$9:$R$13,2,FALSE)*IF(AND($I1441="Auto",$F1441="",OR($B1441="Autographs Duals",$B1441="Autographs Triples",$B1441="Autographs Quads",$B1441="Autographs Quads (Inscribed)")),IF($B1441="Autographs Duals",2,IF($B1441="Autographs Triples",3,4)),1)))</f>
        <v>1</v>
      </c>
      <c r="AB1441" s="62">
        <f t="shared" si="297"/>
        <v>1</v>
      </c>
      <c r="AC1441" s="62">
        <f t="shared" si="298"/>
        <v>0</v>
      </c>
    </row>
    <row r="1442" spans="1:29" ht="28.7" customHeight="1" x14ac:dyDescent="0.25">
      <c r="A1442" s="4" t="s">
        <v>21</v>
      </c>
      <c r="B1442" s="7" t="s">
        <v>21</v>
      </c>
      <c r="C1442" s="2" t="s">
        <v>1260</v>
      </c>
      <c r="D1442" s="7" t="s">
        <v>539</v>
      </c>
      <c r="E1442" s="4" t="s">
        <v>60</v>
      </c>
      <c r="F1442" s="2"/>
      <c r="G1442" s="2" t="s">
        <v>1399</v>
      </c>
      <c r="H1442" s="2" t="s">
        <v>1400</v>
      </c>
      <c r="I1442" s="4" t="s">
        <v>60</v>
      </c>
      <c r="J1442" s="112">
        <f>IF($H1442&lt;&gt;"Y",0,ROUND(MIN(Dashboard!$R$24,IF(IFERROR(VLOOKUP($B1442,Dashboard!$Q$28:$S$60,2,FALSE),0)&gt;0,IFERROR(VLOOKUP($B1442,Dashboard!$Q$28:$S$60,2,FALSE),0),$Z1442*IF($U1442&lt;&gt;"",ROUND((Dashboard!$R$4/$U1442)*VLOOKUP($I1442,Dashboard!$Q$9:$R$13,2,FALSE)*IF(ISNUMBER(SEARCH("Duals",$B1442)),2,IF(ISNUMBER(SEARCH("Triples",$B1442)),3,IF(ISNUMBER(SEARCH("Quads",$B1442)),4,1))),2),ROUND(VLOOKUP($I1442,Dashboard!$Q$15:$R$20,2,FALSE)*IF($E1442="Red",Dashboard!$R$6,IF($E1442="Gold",Dashboard!$R$7,Dashboard!$R$5))*IF(ISNUMBER(SEARCH("Duals",$B1442)),2,IF(ISNUMBER(SEARCH("Triples",$B1442)),3,IF(ISNUMBER(SEARCH("Quads",$B1442)),4,1))),2))*IF(IFERROR(VLOOKUP($B1442,Dashboard!$Q$28:$S$60,3,FALSE),0)&gt;0,VLOOKUP($B1442,Dashboard!$Q$28:$S$60,3,FALSE),1))),0))</f>
        <v>1</v>
      </c>
      <c r="K1442" s="2" t="str">
        <f>IF(Characters!C42="","",Characters!C42)</f>
        <v>h</v>
      </c>
      <c r="L1442" s="2">
        <f t="shared" si="286"/>
        <v>1</v>
      </c>
      <c r="M1442" s="2">
        <f t="shared" si="287"/>
        <v>0</v>
      </c>
      <c r="N1442" s="2">
        <f t="shared" si="288"/>
        <v>1</v>
      </c>
      <c r="O1442" s="2">
        <f t="shared" si="289"/>
        <v>0</v>
      </c>
      <c r="P1442" s="112">
        <f t="shared" si="290"/>
        <v>1</v>
      </c>
      <c r="Q1442" s="112">
        <f t="shared" si="291"/>
        <v>0</v>
      </c>
      <c r="R1442" s="53"/>
      <c r="S1442" s="53" t="str">
        <f t="shared" si="292"/>
        <v>Characters|Characters|C-41|Base</v>
      </c>
      <c r="T1442" s="57" t="str">
        <f>IF($S1442="","",IFERROR(VLOOKUP($S1442,'Pop Estimates (Non-#d)'!$N$2:$O$500,2,FALSE),""))</f>
        <v/>
      </c>
      <c r="U1442" s="57" t="str">
        <f t="shared" si="293"/>
        <v/>
      </c>
      <c r="V1442" s="53" t="str">
        <f t="shared" si="294"/>
        <v/>
      </c>
      <c r="W1442" s="53" t="str">
        <f t="shared" si="295"/>
        <v/>
      </c>
      <c r="X1442" s="53" t="str">
        <f t="shared" si="296"/>
        <v/>
      </c>
      <c r="Y1442" s="57" t="str">
        <f>IF($X1442="","",IFERROR(VLOOKUP($X1442,'Char Popularity'!$A$2:$C$500,2,FALSE),""))</f>
        <v/>
      </c>
      <c r="Z1442" s="56">
        <f>IF($X1442="",1,IFERROR(VLOOKUP($X1442,'Char Popularity'!$A$2:$C$500,3,FALSE),1))</f>
        <v>1</v>
      </c>
      <c r="AA1442" s="62">
        <f>IF($H1442&lt;&gt;"Y",0,(IF($F1442&lt;&gt;"",ROUND(Dashboard!$R$4/$F1442,1),IF(AND($I1442="Base",$E1442="Base"),Dashboard!$R$5,IF(AND($I1442="Base",$E1442="Red"),Dashboard!$R$6,IF(AND($I1442="Base",$E1442="Gold"),Dashboard!$R$7,VLOOKUP($I1442,Dashboard!$Q$16:$R$21,2,FALSE)))))*VLOOKUP($I1442,Dashboard!$Q$9:$R$13,2,FALSE)*IF(AND($I1442="Auto",$F1442="",OR($B1442="Autographs Duals",$B1442="Autographs Triples",$B1442="Autographs Quads",$B1442="Autographs Quads (Inscribed)")),IF($B1442="Autographs Duals",2,IF($B1442="Autographs Triples",3,4)),1)))</f>
        <v>1</v>
      </c>
      <c r="AB1442" s="62">
        <f t="shared" si="297"/>
        <v>1</v>
      </c>
      <c r="AC1442" s="62">
        <f t="shared" si="298"/>
        <v>0</v>
      </c>
    </row>
    <row r="1443" spans="1:29" ht="28.7" customHeight="1" x14ac:dyDescent="0.25">
      <c r="A1443" s="4" t="s">
        <v>21</v>
      </c>
      <c r="B1443" s="7" t="s">
        <v>21</v>
      </c>
      <c r="C1443" s="2" t="s">
        <v>430</v>
      </c>
      <c r="D1443" s="7" t="s">
        <v>288</v>
      </c>
      <c r="E1443" s="4" t="s">
        <v>60</v>
      </c>
      <c r="F1443" s="2"/>
      <c r="G1443" s="2" t="s">
        <v>1399</v>
      </c>
      <c r="H1443" s="2" t="s">
        <v>1400</v>
      </c>
      <c r="I1443" s="4" t="s">
        <v>60</v>
      </c>
      <c r="J1443" s="112">
        <f>IF($H1443&lt;&gt;"Y",0,ROUND(MIN(Dashboard!$R$24,IF(IFERROR(VLOOKUP($B1443,Dashboard!$Q$28:$S$60,2,FALSE),0)&gt;0,IFERROR(VLOOKUP($B1443,Dashboard!$Q$28:$S$60,2,FALSE),0),$Z1443*IF($U1443&lt;&gt;"",ROUND((Dashboard!$R$4/$U1443)*VLOOKUP($I1443,Dashboard!$Q$9:$R$13,2,FALSE)*IF(ISNUMBER(SEARCH("Duals",$B1443)),2,IF(ISNUMBER(SEARCH("Triples",$B1443)),3,IF(ISNUMBER(SEARCH("Quads",$B1443)),4,1))),2),ROUND(VLOOKUP($I1443,Dashboard!$Q$15:$R$20,2,FALSE)*IF($E1443="Red",Dashboard!$R$6,IF($E1443="Gold",Dashboard!$R$7,Dashboard!$R$5))*IF(ISNUMBER(SEARCH("Duals",$B1443)),2,IF(ISNUMBER(SEARCH("Triples",$B1443)),3,IF(ISNUMBER(SEARCH("Quads",$B1443)),4,1))),2))*IF(IFERROR(VLOOKUP($B1443,Dashboard!$Q$28:$S$60,3,FALSE),0)&gt;0,VLOOKUP($B1443,Dashboard!$Q$28:$S$60,3,FALSE),1))),0))</f>
        <v>1</v>
      </c>
      <c r="K1443" s="2" t="str">
        <f>IF(Characters!C43="","",Characters!C43)</f>
        <v>h</v>
      </c>
      <c r="L1443" s="2">
        <f t="shared" si="286"/>
        <v>1</v>
      </c>
      <c r="M1443" s="2">
        <f t="shared" si="287"/>
        <v>0</v>
      </c>
      <c r="N1443" s="2">
        <f t="shared" si="288"/>
        <v>1</v>
      </c>
      <c r="O1443" s="2">
        <f t="shared" si="289"/>
        <v>0</v>
      </c>
      <c r="P1443" s="112">
        <f t="shared" si="290"/>
        <v>1</v>
      </c>
      <c r="Q1443" s="112">
        <f t="shared" si="291"/>
        <v>0</v>
      </c>
      <c r="R1443" s="53"/>
      <c r="S1443" s="53" t="str">
        <f t="shared" si="292"/>
        <v>Characters|Characters|C-42|Base</v>
      </c>
      <c r="T1443" s="57" t="str">
        <f>IF($S1443="","",IFERROR(VLOOKUP($S1443,'Pop Estimates (Non-#d)'!$N$2:$O$500,2,FALSE),""))</f>
        <v/>
      </c>
      <c r="U1443" s="57" t="str">
        <f t="shared" si="293"/>
        <v/>
      </c>
      <c r="V1443" s="53" t="str">
        <f t="shared" si="294"/>
        <v>Shockwave</v>
      </c>
      <c r="W1443" s="53" t="str">
        <f t="shared" si="295"/>
        <v>Shockwave</v>
      </c>
      <c r="X1443" s="53" t="str">
        <f t="shared" si="296"/>
        <v>Shockwave</v>
      </c>
      <c r="Y1443" s="57">
        <f>IF($X1443="","",IFERROR(VLOOKUP($X1443,'Char Popularity'!$A$2:$C$500,2,FALSE),""))</f>
        <v>2</v>
      </c>
      <c r="Z1443" s="56">
        <f>IF($X1443="",1,IFERROR(VLOOKUP($X1443,'Char Popularity'!$A$2:$C$500,3,FALSE),1))</f>
        <v>0.9</v>
      </c>
      <c r="AA1443" s="62">
        <f>IF($H1443&lt;&gt;"Y",0,(IF($F1443&lt;&gt;"",ROUND(Dashboard!$R$4/$F1443,1),IF(AND($I1443="Base",$E1443="Base"),Dashboard!$R$5,IF(AND($I1443="Base",$E1443="Red"),Dashboard!$R$6,IF(AND($I1443="Base",$E1443="Gold"),Dashboard!$R$7,VLOOKUP($I1443,Dashboard!$Q$16:$R$21,2,FALSE)))))*VLOOKUP($I1443,Dashboard!$Q$9:$R$13,2,FALSE)*IF(AND($I1443="Auto",$F1443="",OR($B1443="Autographs Duals",$B1443="Autographs Triples",$B1443="Autographs Quads",$B1443="Autographs Quads (Inscribed)")),IF($B1443="Autographs Duals",2,IF($B1443="Autographs Triples",3,4)),1)))</f>
        <v>1</v>
      </c>
      <c r="AB1443" s="62">
        <f t="shared" si="297"/>
        <v>1</v>
      </c>
      <c r="AC1443" s="62">
        <f t="shared" si="298"/>
        <v>0</v>
      </c>
    </row>
    <row r="1444" spans="1:29" ht="28.7" customHeight="1" x14ac:dyDescent="0.25">
      <c r="A1444" s="4" t="s">
        <v>21</v>
      </c>
      <c r="B1444" s="7" t="s">
        <v>21</v>
      </c>
      <c r="C1444" s="2" t="s">
        <v>1263</v>
      </c>
      <c r="D1444" s="7" t="s">
        <v>542</v>
      </c>
      <c r="E1444" s="4" t="s">
        <v>60</v>
      </c>
      <c r="F1444" s="2"/>
      <c r="G1444" s="2" t="s">
        <v>1399</v>
      </c>
      <c r="H1444" s="2" t="s">
        <v>1400</v>
      </c>
      <c r="I1444" s="4" t="s">
        <v>60</v>
      </c>
      <c r="J1444" s="112">
        <f>IF($H1444&lt;&gt;"Y",0,ROUND(MIN(Dashboard!$R$24,IF(IFERROR(VLOOKUP($B1444,Dashboard!$Q$28:$S$60,2,FALSE),0)&gt;0,IFERROR(VLOOKUP($B1444,Dashboard!$Q$28:$S$60,2,FALSE),0),$Z1444*IF($U1444&lt;&gt;"",ROUND((Dashboard!$R$4/$U1444)*VLOOKUP($I1444,Dashboard!$Q$9:$R$13,2,FALSE)*IF(ISNUMBER(SEARCH("Duals",$B1444)),2,IF(ISNUMBER(SEARCH("Triples",$B1444)),3,IF(ISNUMBER(SEARCH("Quads",$B1444)),4,1))),2),ROUND(VLOOKUP($I1444,Dashboard!$Q$15:$R$20,2,FALSE)*IF($E1444="Red",Dashboard!$R$6,IF($E1444="Gold",Dashboard!$R$7,Dashboard!$R$5))*IF(ISNUMBER(SEARCH("Duals",$B1444)),2,IF(ISNUMBER(SEARCH("Triples",$B1444)),3,IF(ISNUMBER(SEARCH("Quads",$B1444)),4,1))),2))*IF(IFERROR(VLOOKUP($B1444,Dashboard!$Q$28:$S$60,3,FALSE),0)&gt;0,VLOOKUP($B1444,Dashboard!$Q$28:$S$60,3,FALSE),1))),0))</f>
        <v>1</v>
      </c>
      <c r="K1444" s="2" t="str">
        <f>IF(Characters!C44="","",Characters!C44)</f>
        <v>h</v>
      </c>
      <c r="L1444" s="2">
        <f t="shared" si="286"/>
        <v>1</v>
      </c>
      <c r="M1444" s="2">
        <f t="shared" si="287"/>
        <v>0</v>
      </c>
      <c r="N1444" s="2">
        <f t="shared" si="288"/>
        <v>1</v>
      </c>
      <c r="O1444" s="2">
        <f t="shared" si="289"/>
        <v>0</v>
      </c>
      <c r="P1444" s="112">
        <f t="shared" si="290"/>
        <v>1</v>
      </c>
      <c r="Q1444" s="112">
        <f t="shared" si="291"/>
        <v>0</v>
      </c>
      <c r="R1444" s="53"/>
      <c r="S1444" s="53" t="str">
        <f t="shared" si="292"/>
        <v>Characters|Characters|C-43|Base</v>
      </c>
      <c r="T1444" s="57" t="str">
        <f>IF($S1444="","",IFERROR(VLOOKUP($S1444,'Pop Estimates (Non-#d)'!$N$2:$O$500,2,FALSE),""))</f>
        <v/>
      </c>
      <c r="U1444" s="57" t="str">
        <f t="shared" si="293"/>
        <v/>
      </c>
      <c r="V1444" s="53" t="str">
        <f t="shared" si="294"/>
        <v/>
      </c>
      <c r="W1444" s="53" t="str">
        <f t="shared" si="295"/>
        <v/>
      </c>
      <c r="X1444" s="53" t="str">
        <f t="shared" si="296"/>
        <v/>
      </c>
      <c r="Y1444" s="57" t="str">
        <f>IF($X1444="","",IFERROR(VLOOKUP($X1444,'Char Popularity'!$A$2:$C$500,2,FALSE),""))</f>
        <v/>
      </c>
      <c r="Z1444" s="56">
        <f>IF($X1444="",1,IFERROR(VLOOKUP($X1444,'Char Popularity'!$A$2:$C$500,3,FALSE),1))</f>
        <v>1</v>
      </c>
      <c r="AA1444" s="62">
        <f>IF($H1444&lt;&gt;"Y",0,(IF($F1444&lt;&gt;"",ROUND(Dashboard!$R$4/$F1444,1),IF(AND($I1444="Base",$E1444="Base"),Dashboard!$R$5,IF(AND($I1444="Base",$E1444="Red"),Dashboard!$R$6,IF(AND($I1444="Base",$E1444="Gold"),Dashboard!$R$7,VLOOKUP($I1444,Dashboard!$Q$16:$R$21,2,FALSE)))))*VLOOKUP($I1444,Dashboard!$Q$9:$R$13,2,FALSE)*IF(AND($I1444="Auto",$F1444="",OR($B1444="Autographs Duals",$B1444="Autographs Triples",$B1444="Autographs Quads",$B1444="Autographs Quads (Inscribed)")),IF($B1444="Autographs Duals",2,IF($B1444="Autographs Triples",3,4)),1)))</f>
        <v>1</v>
      </c>
      <c r="AB1444" s="62">
        <f t="shared" si="297"/>
        <v>1</v>
      </c>
      <c r="AC1444" s="62">
        <f t="shared" si="298"/>
        <v>0</v>
      </c>
    </row>
    <row r="1445" spans="1:29" ht="28.7" customHeight="1" x14ac:dyDescent="0.25">
      <c r="A1445" s="4" t="s">
        <v>21</v>
      </c>
      <c r="B1445" s="7" t="s">
        <v>21</v>
      </c>
      <c r="C1445" s="2" t="s">
        <v>1265</v>
      </c>
      <c r="D1445" s="7" t="s">
        <v>1266</v>
      </c>
      <c r="E1445" s="4" t="s">
        <v>60</v>
      </c>
      <c r="F1445" s="2"/>
      <c r="G1445" s="2" t="s">
        <v>1399</v>
      </c>
      <c r="H1445" s="2" t="s">
        <v>1400</v>
      </c>
      <c r="I1445" s="4" t="s">
        <v>60</v>
      </c>
      <c r="J1445" s="112">
        <f>IF($H1445&lt;&gt;"Y",0,ROUND(MIN(Dashboard!$R$24,IF(IFERROR(VLOOKUP($B1445,Dashboard!$Q$28:$S$60,2,FALSE),0)&gt;0,IFERROR(VLOOKUP($B1445,Dashboard!$Q$28:$S$60,2,FALSE),0),$Z1445*IF($U1445&lt;&gt;"",ROUND((Dashboard!$R$4/$U1445)*VLOOKUP($I1445,Dashboard!$Q$9:$R$13,2,FALSE)*IF(ISNUMBER(SEARCH("Duals",$B1445)),2,IF(ISNUMBER(SEARCH("Triples",$B1445)),3,IF(ISNUMBER(SEARCH("Quads",$B1445)),4,1))),2),ROUND(VLOOKUP($I1445,Dashboard!$Q$15:$R$20,2,FALSE)*IF($E1445="Red",Dashboard!$R$6,IF($E1445="Gold",Dashboard!$R$7,Dashboard!$R$5))*IF(ISNUMBER(SEARCH("Duals",$B1445)),2,IF(ISNUMBER(SEARCH("Triples",$B1445)),3,IF(ISNUMBER(SEARCH("Quads",$B1445)),4,1))),2))*IF(IFERROR(VLOOKUP($B1445,Dashboard!$Q$28:$S$60,3,FALSE),0)&gt;0,VLOOKUP($B1445,Dashboard!$Q$28:$S$60,3,FALSE),1))),0))</f>
        <v>1</v>
      </c>
      <c r="K1445" s="2" t="str">
        <f>IF(Characters!C45="","",Characters!C45)</f>
        <v>h</v>
      </c>
      <c r="L1445" s="2">
        <f t="shared" si="286"/>
        <v>1</v>
      </c>
      <c r="M1445" s="2">
        <f t="shared" si="287"/>
        <v>0</v>
      </c>
      <c r="N1445" s="2">
        <f t="shared" si="288"/>
        <v>1</v>
      </c>
      <c r="O1445" s="2">
        <f t="shared" si="289"/>
        <v>0</v>
      </c>
      <c r="P1445" s="112">
        <f t="shared" si="290"/>
        <v>1</v>
      </c>
      <c r="Q1445" s="112">
        <f t="shared" si="291"/>
        <v>0</v>
      </c>
      <c r="R1445" s="53"/>
      <c r="S1445" s="53" t="str">
        <f t="shared" si="292"/>
        <v>Characters|Characters|C-44|Base</v>
      </c>
      <c r="T1445" s="57" t="str">
        <f>IF($S1445="","",IFERROR(VLOOKUP($S1445,'Pop Estimates (Non-#d)'!$N$2:$O$500,2,FALSE),""))</f>
        <v/>
      </c>
      <c r="U1445" s="57" t="str">
        <f t="shared" si="293"/>
        <v/>
      </c>
      <c r="V1445" s="53" t="str">
        <f t="shared" si="294"/>
        <v>Cindy</v>
      </c>
      <c r="W1445" s="53" t="str">
        <f t="shared" si="295"/>
        <v>Cindy</v>
      </c>
      <c r="X1445" s="53" t="str">
        <f t="shared" si="296"/>
        <v>Cindy</v>
      </c>
      <c r="Y1445" s="57">
        <f>IF($X1445="","",IFERROR(VLOOKUP($X1445,'Char Popularity'!$A$2:$C$500,2,FALSE),""))</f>
        <v>3</v>
      </c>
      <c r="Z1445" s="56">
        <f>IF($X1445="",1,IFERROR(VLOOKUP($X1445,'Char Popularity'!$A$2:$C$500,3,FALSE),1))</f>
        <v>1</v>
      </c>
      <c r="AA1445" s="62">
        <f>IF($H1445&lt;&gt;"Y",0,(IF($F1445&lt;&gt;"",ROUND(Dashboard!$R$4/$F1445,1),IF(AND($I1445="Base",$E1445="Base"),Dashboard!$R$5,IF(AND($I1445="Base",$E1445="Red"),Dashboard!$R$6,IF(AND($I1445="Base",$E1445="Gold"),Dashboard!$R$7,VLOOKUP($I1445,Dashboard!$Q$16:$R$21,2,FALSE)))))*VLOOKUP($I1445,Dashboard!$Q$9:$R$13,2,FALSE)*IF(AND($I1445="Auto",$F1445="",OR($B1445="Autographs Duals",$B1445="Autographs Triples",$B1445="Autographs Quads",$B1445="Autographs Quads (Inscribed)")),IF($B1445="Autographs Duals",2,IF($B1445="Autographs Triples",3,4)),1)))</f>
        <v>1</v>
      </c>
      <c r="AB1445" s="62">
        <f t="shared" si="297"/>
        <v>1</v>
      </c>
      <c r="AC1445" s="62">
        <f t="shared" si="298"/>
        <v>0</v>
      </c>
    </row>
    <row r="1446" spans="1:29" ht="28.7" customHeight="1" x14ac:dyDescent="0.25">
      <c r="A1446" s="4" t="s">
        <v>21</v>
      </c>
      <c r="B1446" s="7" t="s">
        <v>21</v>
      </c>
      <c r="C1446" s="2" t="s">
        <v>431</v>
      </c>
      <c r="D1446" s="7" t="s">
        <v>234</v>
      </c>
      <c r="E1446" s="4" t="s">
        <v>60</v>
      </c>
      <c r="F1446" s="2"/>
      <c r="G1446" s="2" t="s">
        <v>1399</v>
      </c>
      <c r="H1446" s="2" t="s">
        <v>1400</v>
      </c>
      <c r="I1446" s="4" t="s">
        <v>60</v>
      </c>
      <c r="J1446" s="112">
        <f>IF($H1446&lt;&gt;"Y",0,ROUND(MIN(Dashboard!$R$24,IF(IFERROR(VLOOKUP($B1446,Dashboard!$Q$28:$S$60,2,FALSE),0)&gt;0,IFERROR(VLOOKUP($B1446,Dashboard!$Q$28:$S$60,2,FALSE),0),$Z1446*IF($U1446&lt;&gt;"",ROUND((Dashboard!$R$4/$U1446)*VLOOKUP($I1446,Dashboard!$Q$9:$R$13,2,FALSE)*IF(ISNUMBER(SEARCH("Duals",$B1446)),2,IF(ISNUMBER(SEARCH("Triples",$B1446)),3,IF(ISNUMBER(SEARCH("Quads",$B1446)),4,1))),2),ROUND(VLOOKUP($I1446,Dashboard!$Q$15:$R$20,2,FALSE)*IF($E1446="Red",Dashboard!$R$6,IF($E1446="Gold",Dashboard!$R$7,Dashboard!$R$5))*IF(ISNUMBER(SEARCH("Duals",$B1446)),2,IF(ISNUMBER(SEARCH("Triples",$B1446)),3,IF(ISNUMBER(SEARCH("Quads",$B1446)),4,1))),2))*IF(IFERROR(VLOOKUP($B1446,Dashboard!$Q$28:$S$60,3,FALSE),0)&gt;0,VLOOKUP($B1446,Dashboard!$Q$28:$S$60,3,FALSE),1))),0))</f>
        <v>1</v>
      </c>
      <c r="K1446" s="2" t="str">
        <f>IF(Characters!C46="","",Characters!C46)</f>
        <v>h</v>
      </c>
      <c r="L1446" s="2">
        <f t="shared" si="286"/>
        <v>1</v>
      </c>
      <c r="M1446" s="2">
        <f t="shared" si="287"/>
        <v>0</v>
      </c>
      <c r="N1446" s="2">
        <f t="shared" si="288"/>
        <v>1</v>
      </c>
      <c r="O1446" s="2">
        <f t="shared" si="289"/>
        <v>0</v>
      </c>
      <c r="P1446" s="112">
        <f t="shared" si="290"/>
        <v>1</v>
      </c>
      <c r="Q1446" s="112">
        <f t="shared" si="291"/>
        <v>0</v>
      </c>
      <c r="R1446" s="53"/>
      <c r="S1446" s="53" t="str">
        <f t="shared" si="292"/>
        <v>Characters|Characters|C-45|Base</v>
      </c>
      <c r="T1446" s="57" t="str">
        <f>IF($S1446="","",IFERROR(VLOOKUP($S1446,'Pop Estimates (Non-#d)'!$N$2:$O$500,2,FALSE),""))</f>
        <v/>
      </c>
      <c r="U1446" s="57" t="str">
        <f t="shared" si="293"/>
        <v/>
      </c>
      <c r="V1446" s="53" t="str">
        <f t="shared" si="294"/>
        <v>Ashley Barrett</v>
      </c>
      <c r="W1446" s="53" t="str">
        <f t="shared" si="295"/>
        <v>Ashley Barrett</v>
      </c>
      <c r="X1446" s="53" t="str">
        <f t="shared" si="296"/>
        <v>Ashley Barrett</v>
      </c>
      <c r="Y1446" s="57">
        <f>IF($X1446="","",IFERROR(VLOOKUP($X1446,'Char Popularity'!$A$2:$C$500,2,FALSE),""))</f>
        <v>3</v>
      </c>
      <c r="Z1446" s="56">
        <f>IF($X1446="",1,IFERROR(VLOOKUP($X1446,'Char Popularity'!$A$2:$C$500,3,FALSE),1))</f>
        <v>1</v>
      </c>
      <c r="AA1446" s="62">
        <f>IF($H1446&lt;&gt;"Y",0,(IF($F1446&lt;&gt;"",ROUND(Dashboard!$R$4/$F1446,1),IF(AND($I1446="Base",$E1446="Base"),Dashboard!$R$5,IF(AND($I1446="Base",$E1446="Red"),Dashboard!$R$6,IF(AND($I1446="Base",$E1446="Gold"),Dashboard!$R$7,VLOOKUP($I1446,Dashboard!$Q$16:$R$21,2,FALSE)))))*VLOOKUP($I1446,Dashboard!$Q$9:$R$13,2,FALSE)*IF(AND($I1446="Auto",$F1446="",OR($B1446="Autographs Duals",$B1446="Autographs Triples",$B1446="Autographs Quads",$B1446="Autographs Quads (Inscribed)")),IF($B1446="Autographs Duals",2,IF($B1446="Autographs Triples",3,4)),1)))</f>
        <v>1</v>
      </c>
      <c r="AB1446" s="62">
        <f t="shared" si="297"/>
        <v>1</v>
      </c>
      <c r="AC1446" s="62">
        <f t="shared" si="298"/>
        <v>0</v>
      </c>
    </row>
    <row r="1447" spans="1:29" ht="28.7" customHeight="1" x14ac:dyDescent="0.25">
      <c r="A1447" s="4" t="s">
        <v>21</v>
      </c>
      <c r="B1447" s="7" t="s">
        <v>21</v>
      </c>
      <c r="C1447" s="2" t="s">
        <v>432</v>
      </c>
      <c r="D1447" s="7" t="s">
        <v>248</v>
      </c>
      <c r="E1447" s="4" t="s">
        <v>60</v>
      </c>
      <c r="F1447" s="2"/>
      <c r="G1447" s="2" t="s">
        <v>1399</v>
      </c>
      <c r="H1447" s="2" t="s">
        <v>1400</v>
      </c>
      <c r="I1447" s="4" t="s">
        <v>60</v>
      </c>
      <c r="J1447" s="112">
        <f>IF($H1447&lt;&gt;"Y",0,ROUND(MIN(Dashboard!$R$24,IF(IFERROR(VLOOKUP($B1447,Dashboard!$Q$28:$S$60,2,FALSE),0)&gt;0,IFERROR(VLOOKUP($B1447,Dashboard!$Q$28:$S$60,2,FALSE),0),$Z1447*IF($U1447&lt;&gt;"",ROUND((Dashboard!$R$4/$U1447)*VLOOKUP($I1447,Dashboard!$Q$9:$R$13,2,FALSE)*IF(ISNUMBER(SEARCH("Duals",$B1447)),2,IF(ISNUMBER(SEARCH("Triples",$B1447)),3,IF(ISNUMBER(SEARCH("Quads",$B1447)),4,1))),2),ROUND(VLOOKUP($I1447,Dashboard!$Q$15:$R$20,2,FALSE)*IF($E1447="Red",Dashboard!$R$6,IF($E1447="Gold",Dashboard!$R$7,Dashboard!$R$5))*IF(ISNUMBER(SEARCH("Duals",$B1447)),2,IF(ISNUMBER(SEARCH("Triples",$B1447)),3,IF(ISNUMBER(SEARCH("Quads",$B1447)),4,1))),2))*IF(IFERROR(VLOOKUP($B1447,Dashboard!$Q$28:$S$60,3,FALSE),0)&gt;0,VLOOKUP($B1447,Dashboard!$Q$28:$S$60,3,FALSE),1))),0))</f>
        <v>1</v>
      </c>
      <c r="K1447" s="2" t="str">
        <f>IF(Characters!C47="","",Characters!C47)</f>
        <v>h</v>
      </c>
      <c r="L1447" s="2">
        <f t="shared" si="286"/>
        <v>1</v>
      </c>
      <c r="M1447" s="2">
        <f t="shared" si="287"/>
        <v>0</v>
      </c>
      <c r="N1447" s="2">
        <f t="shared" si="288"/>
        <v>1</v>
      </c>
      <c r="O1447" s="2">
        <f t="shared" si="289"/>
        <v>0</v>
      </c>
      <c r="P1447" s="112">
        <f t="shared" si="290"/>
        <v>1</v>
      </c>
      <c r="Q1447" s="112">
        <f t="shared" si="291"/>
        <v>0</v>
      </c>
      <c r="R1447" s="53"/>
      <c r="S1447" s="53" t="str">
        <f t="shared" si="292"/>
        <v>Characters|Characters|C-46|Base</v>
      </c>
      <c r="T1447" s="57" t="str">
        <f>IF($S1447="","",IFERROR(VLOOKUP($S1447,'Pop Estimates (Non-#d)'!$N$2:$O$500,2,FALSE),""))</f>
        <v/>
      </c>
      <c r="U1447" s="57" t="str">
        <f t="shared" si="293"/>
        <v/>
      </c>
      <c r="V1447" s="53" t="str">
        <f t="shared" si="294"/>
        <v>Starlight</v>
      </c>
      <c r="W1447" s="53" t="str">
        <f t="shared" si="295"/>
        <v>Starlight</v>
      </c>
      <c r="X1447" s="53" t="str">
        <f t="shared" si="296"/>
        <v>Starlight</v>
      </c>
      <c r="Y1447" s="57">
        <f>IF($X1447="","",IFERROR(VLOOKUP($X1447,'Char Popularity'!$A$2:$C$500,2,FALSE),""))</f>
        <v>5</v>
      </c>
      <c r="Z1447" s="56">
        <f>IF($X1447="",1,IFERROR(VLOOKUP($X1447,'Char Popularity'!$A$2:$C$500,3,FALSE),1))</f>
        <v>1.2</v>
      </c>
      <c r="AA1447" s="62">
        <f>IF($H1447&lt;&gt;"Y",0,(IF($F1447&lt;&gt;"",ROUND(Dashboard!$R$4/$F1447,1),IF(AND($I1447="Base",$E1447="Base"),Dashboard!$R$5,IF(AND($I1447="Base",$E1447="Red"),Dashboard!$R$6,IF(AND($I1447="Base",$E1447="Gold"),Dashboard!$R$7,VLOOKUP($I1447,Dashboard!$Q$16:$R$21,2,FALSE)))))*VLOOKUP($I1447,Dashboard!$Q$9:$R$13,2,FALSE)*IF(AND($I1447="Auto",$F1447="",OR($B1447="Autographs Duals",$B1447="Autographs Triples",$B1447="Autographs Quads",$B1447="Autographs Quads (Inscribed)")),IF($B1447="Autographs Duals",2,IF($B1447="Autographs Triples",3,4)),1)))</f>
        <v>1</v>
      </c>
      <c r="AB1447" s="62">
        <f t="shared" si="297"/>
        <v>1</v>
      </c>
      <c r="AC1447" s="62">
        <f t="shared" si="298"/>
        <v>0</v>
      </c>
    </row>
    <row r="1448" spans="1:29" ht="28.7" customHeight="1" x14ac:dyDescent="0.25">
      <c r="A1448" s="4" t="s">
        <v>21</v>
      </c>
      <c r="B1448" s="7" t="s">
        <v>21</v>
      </c>
      <c r="C1448" s="2" t="s">
        <v>433</v>
      </c>
      <c r="D1448" s="7" t="s">
        <v>222</v>
      </c>
      <c r="E1448" s="4" t="s">
        <v>60</v>
      </c>
      <c r="F1448" s="2"/>
      <c r="G1448" s="2" t="s">
        <v>1399</v>
      </c>
      <c r="H1448" s="2" t="s">
        <v>1400</v>
      </c>
      <c r="I1448" s="4" t="s">
        <v>60</v>
      </c>
      <c r="J1448" s="112">
        <f>IF($H1448&lt;&gt;"Y",0,ROUND(MIN(Dashboard!$R$24,IF(IFERROR(VLOOKUP($B1448,Dashboard!$Q$28:$S$60,2,FALSE),0)&gt;0,IFERROR(VLOOKUP($B1448,Dashboard!$Q$28:$S$60,2,FALSE),0),$Z1448*IF($U1448&lt;&gt;"",ROUND((Dashboard!$R$4/$U1448)*VLOOKUP($I1448,Dashboard!$Q$9:$R$13,2,FALSE)*IF(ISNUMBER(SEARCH("Duals",$B1448)),2,IF(ISNUMBER(SEARCH("Triples",$B1448)),3,IF(ISNUMBER(SEARCH("Quads",$B1448)),4,1))),2),ROUND(VLOOKUP($I1448,Dashboard!$Q$15:$R$20,2,FALSE)*IF($E1448="Red",Dashboard!$R$6,IF($E1448="Gold",Dashboard!$R$7,Dashboard!$R$5))*IF(ISNUMBER(SEARCH("Duals",$B1448)),2,IF(ISNUMBER(SEARCH("Triples",$B1448)),3,IF(ISNUMBER(SEARCH("Quads",$B1448)),4,1))),2))*IF(IFERROR(VLOOKUP($B1448,Dashboard!$Q$28:$S$60,3,FALSE),0)&gt;0,VLOOKUP($B1448,Dashboard!$Q$28:$S$60,3,FALSE),1))),0))</f>
        <v>1</v>
      </c>
      <c r="K1448" s="2" t="str">
        <f>IF(Characters!C48="","",Characters!C48)</f>
        <v>h</v>
      </c>
      <c r="L1448" s="2">
        <f t="shared" si="286"/>
        <v>1</v>
      </c>
      <c r="M1448" s="2">
        <f t="shared" si="287"/>
        <v>0</v>
      </c>
      <c r="N1448" s="2">
        <f t="shared" si="288"/>
        <v>1</v>
      </c>
      <c r="O1448" s="2">
        <f t="shared" si="289"/>
        <v>0</v>
      </c>
      <c r="P1448" s="112">
        <f t="shared" si="290"/>
        <v>1</v>
      </c>
      <c r="Q1448" s="112">
        <f t="shared" si="291"/>
        <v>0</v>
      </c>
      <c r="R1448" s="53"/>
      <c r="S1448" s="53" t="str">
        <f t="shared" si="292"/>
        <v>Characters|Characters|C-47|Base</v>
      </c>
      <c r="T1448" s="57" t="str">
        <f>IF($S1448="","",IFERROR(VLOOKUP($S1448,'Pop Estimates (Non-#d)'!$N$2:$O$500,2,FALSE),""))</f>
        <v/>
      </c>
      <c r="U1448" s="57" t="str">
        <f t="shared" si="293"/>
        <v/>
      </c>
      <c r="V1448" s="53" t="str">
        <f t="shared" si="294"/>
        <v>Homelander</v>
      </c>
      <c r="W1448" s="53" t="str">
        <f t="shared" si="295"/>
        <v>Homelander</v>
      </c>
      <c r="X1448" s="53" t="str">
        <f t="shared" si="296"/>
        <v>Homelander</v>
      </c>
      <c r="Y1448" s="57">
        <f>IF($X1448="","",IFERROR(VLOOKUP($X1448,'Char Popularity'!$A$2:$C$500,2,FALSE),""))</f>
        <v>5</v>
      </c>
      <c r="Z1448" s="56">
        <f>IF($X1448="",1,IFERROR(VLOOKUP($X1448,'Char Popularity'!$A$2:$C$500,3,FALSE),1))</f>
        <v>1.2</v>
      </c>
      <c r="AA1448" s="62">
        <f>IF($H1448&lt;&gt;"Y",0,(IF($F1448&lt;&gt;"",ROUND(Dashboard!$R$4/$F1448,1),IF(AND($I1448="Base",$E1448="Base"),Dashboard!$R$5,IF(AND($I1448="Base",$E1448="Red"),Dashboard!$R$6,IF(AND($I1448="Base",$E1448="Gold"),Dashboard!$R$7,VLOOKUP($I1448,Dashboard!$Q$16:$R$21,2,FALSE)))))*VLOOKUP($I1448,Dashboard!$Q$9:$R$13,2,FALSE)*IF(AND($I1448="Auto",$F1448="",OR($B1448="Autographs Duals",$B1448="Autographs Triples",$B1448="Autographs Quads",$B1448="Autographs Quads (Inscribed)")),IF($B1448="Autographs Duals",2,IF($B1448="Autographs Triples",3,4)),1)))</f>
        <v>1</v>
      </c>
      <c r="AB1448" s="62">
        <f t="shared" si="297"/>
        <v>1</v>
      </c>
      <c r="AC1448" s="62">
        <f t="shared" si="298"/>
        <v>0</v>
      </c>
    </row>
    <row r="1449" spans="1:29" ht="28.7" customHeight="1" x14ac:dyDescent="0.25">
      <c r="A1449" s="4" t="s">
        <v>21</v>
      </c>
      <c r="B1449" s="7" t="s">
        <v>21</v>
      </c>
      <c r="C1449" s="2" t="s">
        <v>1269</v>
      </c>
      <c r="D1449" s="7" t="s">
        <v>1601</v>
      </c>
      <c r="E1449" s="4" t="s">
        <v>60</v>
      </c>
      <c r="F1449" s="2"/>
      <c r="G1449" s="2" t="s">
        <v>1399</v>
      </c>
      <c r="H1449" s="2" t="s">
        <v>1400</v>
      </c>
      <c r="I1449" s="4" t="s">
        <v>60</v>
      </c>
      <c r="J1449" s="112">
        <f>IF($H1449&lt;&gt;"Y",0,ROUND(MIN(Dashboard!$R$24,IF(IFERROR(VLOOKUP($B1449,Dashboard!$Q$28:$S$60,2,FALSE),0)&gt;0,IFERROR(VLOOKUP($B1449,Dashboard!$Q$28:$S$60,2,FALSE),0),$Z1449*IF($U1449&lt;&gt;"",ROUND((Dashboard!$R$4/$U1449)*VLOOKUP($I1449,Dashboard!$Q$9:$R$13,2,FALSE)*IF(ISNUMBER(SEARCH("Duals",$B1449)),2,IF(ISNUMBER(SEARCH("Triples",$B1449)),3,IF(ISNUMBER(SEARCH("Quads",$B1449)),4,1))),2),ROUND(VLOOKUP($I1449,Dashboard!$Q$15:$R$20,2,FALSE)*IF($E1449="Red",Dashboard!$R$6,IF($E1449="Gold",Dashboard!$R$7,Dashboard!$R$5))*IF(ISNUMBER(SEARCH("Duals",$B1449)),2,IF(ISNUMBER(SEARCH("Triples",$B1449)),3,IF(ISNUMBER(SEARCH("Quads",$B1449)),4,1))),2))*IF(IFERROR(VLOOKUP($B1449,Dashboard!$Q$28:$S$60,3,FALSE),0)&gt;0,VLOOKUP($B1449,Dashboard!$Q$28:$S$60,3,FALSE),1))),0))</f>
        <v>1</v>
      </c>
      <c r="K1449" s="2" t="str">
        <f>IF(Characters!C49="","",Characters!C49)</f>
        <v>h</v>
      </c>
      <c r="L1449" s="2">
        <f t="shared" si="286"/>
        <v>1</v>
      </c>
      <c r="M1449" s="2">
        <f t="shared" si="287"/>
        <v>0</v>
      </c>
      <c r="N1449" s="2">
        <f t="shared" si="288"/>
        <v>1</v>
      </c>
      <c r="O1449" s="2">
        <f t="shared" si="289"/>
        <v>0</v>
      </c>
      <c r="P1449" s="112">
        <f t="shared" si="290"/>
        <v>1</v>
      </c>
      <c r="Q1449" s="112">
        <f t="shared" si="291"/>
        <v>0</v>
      </c>
      <c r="R1449" s="53"/>
      <c r="S1449" s="53" t="str">
        <f t="shared" si="292"/>
        <v>Characters|Characters|C-48|Base</v>
      </c>
      <c r="T1449" s="57" t="str">
        <f>IF($S1449="","",IFERROR(VLOOKUP($S1449,'Pop Estimates (Non-#d)'!$N$2:$O$500,2,FALSE),""))</f>
        <v/>
      </c>
      <c r="U1449" s="57" t="str">
        <f t="shared" si="293"/>
        <v/>
      </c>
      <c r="V1449" s="53" t="str">
        <f t="shared" si="294"/>
        <v>Gecko</v>
      </c>
      <c r="W1449" s="53" t="str">
        <f t="shared" si="295"/>
        <v>Gecko</v>
      </c>
      <c r="X1449" s="53" t="str">
        <f t="shared" si="296"/>
        <v>Gecko</v>
      </c>
      <c r="Y1449" s="57">
        <f>IF($X1449="","",IFERROR(VLOOKUP($X1449,'Char Popularity'!$A$2:$C$500,2,FALSE),""))</f>
        <v>2</v>
      </c>
      <c r="Z1449" s="56">
        <f>IF($X1449="",1,IFERROR(VLOOKUP($X1449,'Char Popularity'!$A$2:$C$500,3,FALSE),1))</f>
        <v>0.9</v>
      </c>
      <c r="AA1449" s="62">
        <f>IF($H1449&lt;&gt;"Y",0,(IF($F1449&lt;&gt;"",ROUND(Dashboard!$R$4/$F1449,1),IF(AND($I1449="Base",$E1449="Base"),Dashboard!$R$5,IF(AND($I1449="Base",$E1449="Red"),Dashboard!$R$6,IF(AND($I1449="Base",$E1449="Gold"),Dashboard!$R$7,VLOOKUP($I1449,Dashboard!$Q$16:$R$21,2,FALSE)))))*VLOOKUP($I1449,Dashboard!$Q$9:$R$13,2,FALSE)*IF(AND($I1449="Auto",$F1449="",OR($B1449="Autographs Duals",$B1449="Autographs Triples",$B1449="Autographs Quads",$B1449="Autographs Quads (Inscribed)")),IF($B1449="Autographs Duals",2,IF($B1449="Autographs Triples",3,4)),1)))</f>
        <v>1</v>
      </c>
      <c r="AB1449" s="62">
        <f t="shared" si="297"/>
        <v>1</v>
      </c>
      <c r="AC1449" s="62">
        <f t="shared" si="298"/>
        <v>0</v>
      </c>
    </row>
    <row r="1450" spans="1:29" ht="28.7" customHeight="1" x14ac:dyDescent="0.25">
      <c r="A1450" s="4" t="s">
        <v>21</v>
      </c>
      <c r="B1450" s="7" t="s">
        <v>21</v>
      </c>
      <c r="C1450" s="2" t="s">
        <v>1271</v>
      </c>
      <c r="D1450" s="7" t="s">
        <v>1272</v>
      </c>
      <c r="E1450" s="4" t="s">
        <v>60</v>
      </c>
      <c r="F1450" s="2"/>
      <c r="G1450" s="2" t="s">
        <v>1399</v>
      </c>
      <c r="H1450" s="2" t="s">
        <v>1400</v>
      </c>
      <c r="I1450" s="4" t="s">
        <v>60</v>
      </c>
      <c r="J1450" s="112">
        <f>IF($H1450&lt;&gt;"Y",0,ROUND(MIN(Dashboard!$R$24,IF(IFERROR(VLOOKUP($B1450,Dashboard!$Q$28:$S$60,2,FALSE),0)&gt;0,IFERROR(VLOOKUP($B1450,Dashboard!$Q$28:$S$60,2,FALSE),0),$Z1450*IF($U1450&lt;&gt;"",ROUND((Dashboard!$R$4/$U1450)*VLOOKUP($I1450,Dashboard!$Q$9:$R$13,2,FALSE)*IF(ISNUMBER(SEARCH("Duals",$B1450)),2,IF(ISNUMBER(SEARCH("Triples",$B1450)),3,IF(ISNUMBER(SEARCH("Quads",$B1450)),4,1))),2),ROUND(VLOOKUP($I1450,Dashboard!$Q$15:$R$20,2,FALSE)*IF($E1450="Red",Dashboard!$R$6,IF($E1450="Gold",Dashboard!$R$7,Dashboard!$R$5))*IF(ISNUMBER(SEARCH("Duals",$B1450)),2,IF(ISNUMBER(SEARCH("Triples",$B1450)),3,IF(ISNUMBER(SEARCH("Quads",$B1450)),4,1))),2))*IF(IFERROR(VLOOKUP($B1450,Dashboard!$Q$28:$S$60,3,FALSE),0)&gt;0,VLOOKUP($B1450,Dashboard!$Q$28:$S$60,3,FALSE),1))),0))</f>
        <v>1</v>
      </c>
      <c r="K1450" s="2" t="str">
        <f>IF(Characters!C50="","",Characters!C50)</f>
        <v>h</v>
      </c>
      <c r="L1450" s="2">
        <f t="shared" si="286"/>
        <v>1</v>
      </c>
      <c r="M1450" s="2">
        <f t="shared" si="287"/>
        <v>0</v>
      </c>
      <c r="N1450" s="2">
        <f t="shared" si="288"/>
        <v>1</v>
      </c>
      <c r="O1450" s="2">
        <f t="shared" si="289"/>
        <v>0</v>
      </c>
      <c r="P1450" s="112">
        <f t="shared" si="290"/>
        <v>1</v>
      </c>
      <c r="Q1450" s="112">
        <f t="shared" si="291"/>
        <v>0</v>
      </c>
      <c r="R1450" s="53"/>
      <c r="S1450" s="53" t="str">
        <f t="shared" si="292"/>
        <v>Characters|Characters|C-49|Base</v>
      </c>
      <c r="T1450" s="57" t="str">
        <f>IF($S1450="","",IFERROR(VLOOKUP($S1450,'Pop Estimates (Non-#d)'!$N$2:$O$500,2,FALSE),""))</f>
        <v/>
      </c>
      <c r="U1450" s="57" t="str">
        <f t="shared" si="293"/>
        <v/>
      </c>
      <c r="V1450" s="53" t="str">
        <f t="shared" si="294"/>
        <v>Jonah Vogelbaum</v>
      </c>
      <c r="W1450" s="53" t="str">
        <f t="shared" si="295"/>
        <v>Jonah Vogelbaum</v>
      </c>
      <c r="X1450" s="53" t="str">
        <f t="shared" si="296"/>
        <v>Jonah Vogelbaum</v>
      </c>
      <c r="Y1450" s="57">
        <f>IF($X1450="","",IFERROR(VLOOKUP($X1450,'Char Popularity'!$A$2:$C$500,2,FALSE),""))</f>
        <v>3</v>
      </c>
      <c r="Z1450" s="56">
        <f>IF($X1450="",1,IFERROR(VLOOKUP($X1450,'Char Popularity'!$A$2:$C$500,3,FALSE),1))</f>
        <v>1</v>
      </c>
      <c r="AA1450" s="62">
        <f>IF($H1450&lt;&gt;"Y",0,(IF($F1450&lt;&gt;"",ROUND(Dashboard!$R$4/$F1450,1),IF(AND($I1450="Base",$E1450="Base"),Dashboard!$R$5,IF(AND($I1450="Base",$E1450="Red"),Dashboard!$R$6,IF(AND($I1450="Base",$E1450="Gold"),Dashboard!$R$7,VLOOKUP($I1450,Dashboard!$Q$16:$R$21,2,FALSE)))))*VLOOKUP($I1450,Dashboard!$Q$9:$R$13,2,FALSE)*IF(AND($I1450="Auto",$F1450="",OR($B1450="Autographs Duals",$B1450="Autographs Triples",$B1450="Autographs Quads",$B1450="Autographs Quads (Inscribed)")),IF($B1450="Autographs Duals",2,IF($B1450="Autographs Triples",3,4)),1)))</f>
        <v>1</v>
      </c>
      <c r="AB1450" s="62">
        <f t="shared" si="297"/>
        <v>1</v>
      </c>
      <c r="AC1450" s="62">
        <f t="shared" si="298"/>
        <v>0</v>
      </c>
    </row>
    <row r="1451" spans="1:29" ht="28.7" customHeight="1" x14ac:dyDescent="0.25">
      <c r="A1451" s="4" t="s">
        <v>21</v>
      </c>
      <c r="B1451" s="7" t="s">
        <v>21</v>
      </c>
      <c r="C1451" s="2" t="s">
        <v>1273</v>
      </c>
      <c r="D1451" s="7" t="s">
        <v>1274</v>
      </c>
      <c r="E1451" s="4" t="s">
        <v>60</v>
      </c>
      <c r="F1451" s="2"/>
      <c r="G1451" s="2" t="s">
        <v>1399</v>
      </c>
      <c r="H1451" s="2" t="s">
        <v>1400</v>
      </c>
      <c r="I1451" s="4" t="s">
        <v>60</v>
      </c>
      <c r="J1451" s="112">
        <f>IF($H1451&lt;&gt;"Y",0,ROUND(MIN(Dashboard!$R$24,IF(IFERROR(VLOOKUP($B1451,Dashboard!$Q$28:$S$60,2,FALSE),0)&gt;0,IFERROR(VLOOKUP($B1451,Dashboard!$Q$28:$S$60,2,FALSE),0),$Z1451*IF($U1451&lt;&gt;"",ROUND((Dashboard!$R$4/$U1451)*VLOOKUP($I1451,Dashboard!$Q$9:$R$13,2,FALSE)*IF(ISNUMBER(SEARCH("Duals",$B1451)),2,IF(ISNUMBER(SEARCH("Triples",$B1451)),3,IF(ISNUMBER(SEARCH("Quads",$B1451)),4,1))),2),ROUND(VLOOKUP($I1451,Dashboard!$Q$15:$R$20,2,FALSE)*IF($E1451="Red",Dashboard!$R$6,IF($E1451="Gold",Dashboard!$R$7,Dashboard!$R$5))*IF(ISNUMBER(SEARCH("Duals",$B1451)),2,IF(ISNUMBER(SEARCH("Triples",$B1451)),3,IF(ISNUMBER(SEARCH("Quads",$B1451)),4,1))),2))*IF(IFERROR(VLOOKUP($B1451,Dashboard!$Q$28:$S$60,3,FALSE),0)&gt;0,VLOOKUP($B1451,Dashboard!$Q$28:$S$60,3,FALSE),1))),0))</f>
        <v>1</v>
      </c>
      <c r="K1451" s="2" t="str">
        <f>IF(Characters!C51="","",Characters!C51)</f>
        <v>h</v>
      </c>
      <c r="L1451" s="2">
        <f t="shared" si="286"/>
        <v>1</v>
      </c>
      <c r="M1451" s="2">
        <f t="shared" si="287"/>
        <v>0</v>
      </c>
      <c r="N1451" s="2">
        <f t="shared" si="288"/>
        <v>1</v>
      </c>
      <c r="O1451" s="2">
        <f t="shared" si="289"/>
        <v>0</v>
      </c>
      <c r="P1451" s="112">
        <f t="shared" si="290"/>
        <v>1</v>
      </c>
      <c r="Q1451" s="112">
        <f t="shared" si="291"/>
        <v>0</v>
      </c>
      <c r="R1451" s="53"/>
      <c r="S1451" s="53" t="str">
        <f t="shared" si="292"/>
        <v>Characters|Characters|C-50|Base</v>
      </c>
      <c r="T1451" s="57" t="str">
        <f>IF($S1451="","",IFERROR(VLOOKUP($S1451,'Pop Estimates (Non-#d)'!$N$2:$O$500,2,FALSE),""))</f>
        <v/>
      </c>
      <c r="U1451" s="57" t="str">
        <f t="shared" si="293"/>
        <v/>
      </c>
      <c r="V1451" s="53" t="str">
        <f t="shared" si="294"/>
        <v>Doppelganger</v>
      </c>
      <c r="W1451" s="53" t="str">
        <f t="shared" si="295"/>
        <v>Doppelganger</v>
      </c>
      <c r="X1451" s="53" t="str">
        <f t="shared" si="296"/>
        <v>Doppelganger</v>
      </c>
      <c r="Y1451" s="57">
        <f>IF($X1451="","",IFERROR(VLOOKUP($X1451,'Char Popularity'!$A$2:$C$500,2,FALSE),""))</f>
        <v>3</v>
      </c>
      <c r="Z1451" s="56">
        <f>IF($X1451="",1,IFERROR(VLOOKUP($X1451,'Char Popularity'!$A$2:$C$500,3,FALSE),1))</f>
        <v>1</v>
      </c>
      <c r="AA1451" s="62">
        <f>IF($H1451&lt;&gt;"Y",0,(IF($F1451&lt;&gt;"",ROUND(Dashboard!$R$4/$F1451,1),IF(AND($I1451="Base",$E1451="Base"),Dashboard!$R$5,IF(AND($I1451="Base",$E1451="Red"),Dashboard!$R$6,IF(AND($I1451="Base",$E1451="Gold"),Dashboard!$R$7,VLOOKUP($I1451,Dashboard!$Q$16:$R$21,2,FALSE)))))*VLOOKUP($I1451,Dashboard!$Q$9:$R$13,2,FALSE)*IF(AND($I1451="Auto",$F1451="",OR($B1451="Autographs Duals",$B1451="Autographs Triples",$B1451="Autographs Quads",$B1451="Autographs Quads (Inscribed)")),IF($B1451="Autographs Duals",2,IF($B1451="Autographs Triples",3,4)),1)))</f>
        <v>1</v>
      </c>
      <c r="AB1451" s="62">
        <f t="shared" si="297"/>
        <v>1</v>
      </c>
      <c r="AC1451" s="62">
        <f t="shared" si="298"/>
        <v>0</v>
      </c>
    </row>
    <row r="1452" spans="1:29" ht="28.7" customHeight="1" x14ac:dyDescent="0.25">
      <c r="A1452" s="4" t="s">
        <v>21</v>
      </c>
      <c r="B1452" s="7" t="s">
        <v>95</v>
      </c>
      <c r="C1452" s="2" t="s">
        <v>409</v>
      </c>
      <c r="D1452" s="7" t="s">
        <v>263</v>
      </c>
      <c r="E1452" s="4" t="s">
        <v>780</v>
      </c>
      <c r="F1452" s="2">
        <v>25</v>
      </c>
      <c r="G1452" s="2" t="s">
        <v>1399</v>
      </c>
      <c r="H1452" s="2" t="s">
        <v>1400</v>
      </c>
      <c r="I1452" s="4" t="s">
        <v>60</v>
      </c>
      <c r="J1452" s="112">
        <f>IF($H1452&lt;&gt;"Y",0,ROUND(MIN(Dashboard!$R$24,IF(IFERROR(VLOOKUP($B1452,Dashboard!$Q$28:$S$60,2,FALSE),0)&gt;0,IFERROR(VLOOKUP($B1452,Dashboard!$Q$28:$S$60,2,FALSE),0),$Z1452*IF($U1452&lt;&gt;"",ROUND((Dashboard!$R$4/$U1452)*VLOOKUP($I1452,Dashboard!$Q$9:$R$13,2,FALSE)*IF(ISNUMBER(SEARCH("Duals",$B1452)),2,IF(ISNUMBER(SEARCH("Triples",$B1452)),3,IF(ISNUMBER(SEARCH("Quads",$B1452)),4,1))),2),ROUND(VLOOKUP($I1452,Dashboard!$Q$15:$R$20,2,FALSE)*IF($E1452="Red",Dashboard!$R$6,IF($E1452="Gold",Dashboard!$R$7,Dashboard!$R$5))*IF(ISNUMBER(SEARCH("Duals",$B1452)),2,IF(ISNUMBER(SEARCH("Triples",$B1452)),3,IF(ISNUMBER(SEARCH("Quads",$B1452)),4,1))),2))*IF(IFERROR(VLOOKUP($B1452,Dashboard!$Q$28:$S$60,3,FALSE),0)&gt;0,VLOOKUP($B1452,Dashboard!$Q$28:$S$60,3,FALSE),1))),0))</f>
        <v>48</v>
      </c>
      <c r="K1452" s="2" t="str">
        <f>IF(Characters!H2="","",Characters!H2)</f>
        <v/>
      </c>
      <c r="L1452" s="2">
        <f t="shared" si="286"/>
        <v>0</v>
      </c>
      <c r="M1452" s="2">
        <f t="shared" si="287"/>
        <v>0</v>
      </c>
      <c r="N1452" s="2">
        <f t="shared" si="288"/>
        <v>0</v>
      </c>
      <c r="O1452" s="2">
        <f t="shared" si="289"/>
        <v>1</v>
      </c>
      <c r="P1452" s="112">
        <f t="shared" si="290"/>
        <v>0</v>
      </c>
      <c r="Q1452" s="112">
        <f t="shared" si="291"/>
        <v>0</v>
      </c>
      <c r="R1452" s="53"/>
      <c r="S1452" s="53" t="str">
        <f t="shared" si="292"/>
        <v>Characters|Characters Black Parallel|C-1|Black</v>
      </c>
      <c r="T1452" s="57" t="str">
        <f>IF($S1452="","",IFERROR(VLOOKUP($S1452,'Pop Estimates (Non-#d)'!$N$2:$O$500,2,FALSE),""))</f>
        <v/>
      </c>
      <c r="U1452" s="57">
        <f t="shared" si="293"/>
        <v>25</v>
      </c>
      <c r="V1452" s="53" t="str">
        <f t="shared" si="294"/>
        <v>Hughie Campbell</v>
      </c>
      <c r="W1452" s="53" t="str">
        <f t="shared" si="295"/>
        <v>Hughie Campbell</v>
      </c>
      <c r="X1452" s="53" t="str">
        <f t="shared" si="296"/>
        <v>Hughie Campbell</v>
      </c>
      <c r="Y1452" s="57">
        <f>IF($X1452="","",IFERROR(VLOOKUP($X1452,'Char Popularity'!$A$2:$C$500,2,FALSE),""))</f>
        <v>5</v>
      </c>
      <c r="Z1452" s="56">
        <f>IF($X1452="",1,IFERROR(VLOOKUP($X1452,'Char Popularity'!$A$2:$C$500,3,FALSE),1))</f>
        <v>1.2</v>
      </c>
      <c r="AA1452" s="62">
        <f>IF($H1452&lt;&gt;"Y",0,(IF($F1452&lt;&gt;"",ROUND(Dashboard!$R$4/$F1452,1),IF(AND($I1452="Base",$E1452="Base"),Dashboard!$R$5,IF(AND($I1452="Base",$E1452="Red"),Dashboard!$R$6,IF(AND($I1452="Base",$E1452="Gold"),Dashboard!$R$7,VLOOKUP($I1452,Dashboard!$Q$16:$R$21,2,FALSE)))))*VLOOKUP($I1452,Dashboard!$Q$9:$R$13,2,FALSE)*IF(AND($I1452="Auto",$F1452="",OR($B1452="Autographs Duals",$B1452="Autographs Triples",$B1452="Autographs Quads",$B1452="Autographs Quads (Inscribed)")),IF($B1452="Autographs Duals",2,IF($B1452="Autographs Triples",3,4)),1)))</f>
        <v>40</v>
      </c>
      <c r="AB1452" s="62">
        <f t="shared" si="297"/>
        <v>0</v>
      </c>
      <c r="AC1452" s="62">
        <f t="shared" si="298"/>
        <v>0</v>
      </c>
    </row>
    <row r="1453" spans="1:29" ht="28.7" customHeight="1" x14ac:dyDescent="0.25">
      <c r="A1453" s="4" t="s">
        <v>21</v>
      </c>
      <c r="B1453" s="7" t="s">
        <v>95</v>
      </c>
      <c r="C1453" s="2" t="s">
        <v>419</v>
      </c>
      <c r="D1453" s="7" t="s">
        <v>222</v>
      </c>
      <c r="E1453" s="4" t="s">
        <v>780</v>
      </c>
      <c r="F1453" s="2">
        <v>25</v>
      </c>
      <c r="G1453" s="2" t="s">
        <v>1399</v>
      </c>
      <c r="H1453" s="2" t="s">
        <v>1400</v>
      </c>
      <c r="I1453" s="4" t="s">
        <v>60</v>
      </c>
      <c r="J1453" s="112">
        <f>IF($H1453&lt;&gt;"Y",0,ROUND(MIN(Dashboard!$R$24,IF(IFERROR(VLOOKUP($B1453,Dashboard!$Q$28:$S$60,2,FALSE),0)&gt;0,IFERROR(VLOOKUP($B1453,Dashboard!$Q$28:$S$60,2,FALSE),0),$Z1453*IF($U1453&lt;&gt;"",ROUND((Dashboard!$R$4/$U1453)*VLOOKUP($I1453,Dashboard!$Q$9:$R$13,2,FALSE)*IF(ISNUMBER(SEARCH("Duals",$B1453)),2,IF(ISNUMBER(SEARCH("Triples",$B1453)),3,IF(ISNUMBER(SEARCH("Quads",$B1453)),4,1))),2),ROUND(VLOOKUP($I1453,Dashboard!$Q$15:$R$20,2,FALSE)*IF($E1453="Red",Dashboard!$R$6,IF($E1453="Gold",Dashboard!$R$7,Dashboard!$R$5))*IF(ISNUMBER(SEARCH("Duals",$B1453)),2,IF(ISNUMBER(SEARCH("Triples",$B1453)),3,IF(ISNUMBER(SEARCH("Quads",$B1453)),4,1))),2))*IF(IFERROR(VLOOKUP($B1453,Dashboard!$Q$28:$S$60,3,FALSE),0)&gt;0,VLOOKUP($B1453,Dashboard!$Q$28:$S$60,3,FALSE),1))),0))</f>
        <v>48</v>
      </c>
      <c r="K1453" s="2" t="str">
        <f>IF(Characters!H3="","",Characters!H3)</f>
        <v>C 25/25</v>
      </c>
      <c r="L1453" s="2">
        <f t="shared" si="286"/>
        <v>1</v>
      </c>
      <c r="M1453" s="2">
        <f t="shared" si="287"/>
        <v>0</v>
      </c>
      <c r="N1453" s="2">
        <f t="shared" si="288"/>
        <v>1</v>
      </c>
      <c r="O1453" s="2">
        <f t="shared" si="289"/>
        <v>0</v>
      </c>
      <c r="P1453" s="112">
        <f t="shared" si="290"/>
        <v>48</v>
      </c>
      <c r="Q1453" s="112">
        <f t="shared" si="291"/>
        <v>0</v>
      </c>
      <c r="R1453" s="53"/>
      <c r="S1453" s="53" t="str">
        <f t="shared" si="292"/>
        <v>Characters|Characters Black Parallel|C-2|Black</v>
      </c>
      <c r="T1453" s="57" t="str">
        <f>IF($S1453="","",IFERROR(VLOOKUP($S1453,'Pop Estimates (Non-#d)'!$N$2:$O$500,2,FALSE),""))</f>
        <v/>
      </c>
      <c r="U1453" s="57">
        <f t="shared" si="293"/>
        <v>25</v>
      </c>
      <c r="V1453" s="53" t="str">
        <f t="shared" si="294"/>
        <v>Homelander</v>
      </c>
      <c r="W1453" s="53" t="str">
        <f t="shared" si="295"/>
        <v>Homelander</v>
      </c>
      <c r="X1453" s="53" t="str">
        <f t="shared" si="296"/>
        <v>Homelander</v>
      </c>
      <c r="Y1453" s="57">
        <f>IF($X1453="","",IFERROR(VLOOKUP($X1453,'Char Popularity'!$A$2:$C$500,2,FALSE),""))</f>
        <v>5</v>
      </c>
      <c r="Z1453" s="56">
        <f>IF($X1453="",1,IFERROR(VLOOKUP($X1453,'Char Popularity'!$A$2:$C$500,3,FALSE),1))</f>
        <v>1.2</v>
      </c>
      <c r="AA1453" s="62">
        <f>IF($H1453&lt;&gt;"Y",0,(IF($F1453&lt;&gt;"",ROUND(Dashboard!$R$4/$F1453,1),IF(AND($I1453="Base",$E1453="Base"),Dashboard!$R$5,IF(AND($I1453="Base",$E1453="Red"),Dashboard!$R$6,IF(AND($I1453="Base",$E1453="Gold"),Dashboard!$R$7,VLOOKUP($I1453,Dashboard!$Q$16:$R$21,2,FALSE)))))*VLOOKUP($I1453,Dashboard!$Q$9:$R$13,2,FALSE)*IF(AND($I1453="Auto",$F1453="",OR($B1453="Autographs Duals",$B1453="Autographs Triples",$B1453="Autographs Quads",$B1453="Autographs Quads (Inscribed)")),IF($B1453="Autographs Duals",2,IF($B1453="Autographs Triples",3,4)),1)))</f>
        <v>40</v>
      </c>
      <c r="AB1453" s="62">
        <f t="shared" si="297"/>
        <v>40</v>
      </c>
      <c r="AC1453" s="62">
        <f t="shared" si="298"/>
        <v>0</v>
      </c>
    </row>
    <row r="1454" spans="1:29" ht="28.7" customHeight="1" x14ac:dyDescent="0.25">
      <c r="A1454" s="4" t="s">
        <v>21</v>
      </c>
      <c r="B1454" s="7" t="s">
        <v>95</v>
      </c>
      <c r="C1454" s="2" t="s">
        <v>425</v>
      </c>
      <c r="D1454" s="7" t="s">
        <v>274</v>
      </c>
      <c r="E1454" s="4" t="s">
        <v>780</v>
      </c>
      <c r="F1454" s="2">
        <v>25</v>
      </c>
      <c r="G1454" s="2" t="s">
        <v>1399</v>
      </c>
      <c r="H1454" s="2" t="s">
        <v>1400</v>
      </c>
      <c r="I1454" s="4" t="s">
        <v>60</v>
      </c>
      <c r="J1454" s="112">
        <f>IF($H1454&lt;&gt;"Y",0,ROUND(MIN(Dashboard!$R$24,IF(IFERROR(VLOOKUP($B1454,Dashboard!$Q$28:$S$60,2,FALSE),0)&gt;0,IFERROR(VLOOKUP($B1454,Dashboard!$Q$28:$S$60,2,FALSE),0),$Z1454*IF($U1454&lt;&gt;"",ROUND((Dashboard!$R$4/$U1454)*VLOOKUP($I1454,Dashboard!$Q$9:$R$13,2,FALSE)*IF(ISNUMBER(SEARCH("Duals",$B1454)),2,IF(ISNUMBER(SEARCH("Triples",$B1454)),3,IF(ISNUMBER(SEARCH("Quads",$B1454)),4,1))),2),ROUND(VLOOKUP($I1454,Dashboard!$Q$15:$R$20,2,FALSE)*IF($E1454="Red",Dashboard!$R$6,IF($E1454="Gold",Dashboard!$R$7,Dashboard!$R$5))*IF(ISNUMBER(SEARCH("Duals",$B1454)),2,IF(ISNUMBER(SEARCH("Triples",$B1454)),3,IF(ISNUMBER(SEARCH("Quads",$B1454)),4,1))),2))*IF(IFERROR(VLOOKUP($B1454,Dashboard!$Q$28:$S$60,3,FALSE),0)&gt;0,VLOOKUP($B1454,Dashboard!$Q$28:$S$60,3,FALSE),1))),0))</f>
        <v>48</v>
      </c>
      <c r="K1454" s="2" t="str">
        <f>IF(Characters!H4="","",Characters!H4)</f>
        <v>C 15/25</v>
      </c>
      <c r="L1454" s="2">
        <f t="shared" si="286"/>
        <v>1</v>
      </c>
      <c r="M1454" s="2">
        <f t="shared" si="287"/>
        <v>0</v>
      </c>
      <c r="N1454" s="2">
        <f t="shared" si="288"/>
        <v>1</v>
      </c>
      <c r="O1454" s="2">
        <f t="shared" si="289"/>
        <v>0</v>
      </c>
      <c r="P1454" s="112">
        <f t="shared" si="290"/>
        <v>48</v>
      </c>
      <c r="Q1454" s="112">
        <f t="shared" si="291"/>
        <v>0</v>
      </c>
      <c r="R1454" s="53"/>
      <c r="S1454" s="53" t="str">
        <f t="shared" si="292"/>
        <v>Characters|Characters Black Parallel|C-3|Black</v>
      </c>
      <c r="T1454" s="57" t="str">
        <f>IF($S1454="","",IFERROR(VLOOKUP($S1454,'Pop Estimates (Non-#d)'!$N$2:$O$500,2,FALSE),""))</f>
        <v/>
      </c>
      <c r="U1454" s="57">
        <f t="shared" si="293"/>
        <v>25</v>
      </c>
      <c r="V1454" s="53" t="str">
        <f t="shared" si="294"/>
        <v>Billy Butcher</v>
      </c>
      <c r="W1454" s="53" t="str">
        <f t="shared" si="295"/>
        <v>Billy Butcher</v>
      </c>
      <c r="X1454" s="53" t="str">
        <f t="shared" si="296"/>
        <v>Billy Butcher</v>
      </c>
      <c r="Y1454" s="57">
        <f>IF($X1454="","",IFERROR(VLOOKUP($X1454,'Char Popularity'!$A$2:$C$500,2,FALSE),""))</f>
        <v>5</v>
      </c>
      <c r="Z1454" s="56">
        <f>IF($X1454="",1,IFERROR(VLOOKUP($X1454,'Char Popularity'!$A$2:$C$500,3,FALSE),1))</f>
        <v>1.2</v>
      </c>
      <c r="AA1454" s="62">
        <f>IF($H1454&lt;&gt;"Y",0,(IF($F1454&lt;&gt;"",ROUND(Dashboard!$R$4/$F1454,1),IF(AND($I1454="Base",$E1454="Base"),Dashboard!$R$5,IF(AND($I1454="Base",$E1454="Red"),Dashboard!$R$6,IF(AND($I1454="Base",$E1454="Gold"),Dashboard!$R$7,VLOOKUP($I1454,Dashboard!$Q$16:$R$21,2,FALSE)))))*VLOOKUP($I1454,Dashboard!$Q$9:$R$13,2,FALSE)*IF(AND($I1454="Auto",$F1454="",OR($B1454="Autographs Duals",$B1454="Autographs Triples",$B1454="Autographs Quads",$B1454="Autographs Quads (Inscribed)")),IF($B1454="Autographs Duals",2,IF($B1454="Autographs Triples",3,4)),1)))</f>
        <v>40</v>
      </c>
      <c r="AB1454" s="62">
        <f t="shared" si="297"/>
        <v>40</v>
      </c>
      <c r="AC1454" s="62">
        <f t="shared" si="298"/>
        <v>0</v>
      </c>
    </row>
    <row r="1455" spans="1:29" ht="28.7" customHeight="1" x14ac:dyDescent="0.25">
      <c r="A1455" s="4" t="s">
        <v>21</v>
      </c>
      <c r="B1455" s="7" t="s">
        <v>95</v>
      </c>
      <c r="C1455" s="2" t="s">
        <v>428</v>
      </c>
      <c r="D1455" s="7" t="s">
        <v>248</v>
      </c>
      <c r="E1455" s="4" t="s">
        <v>780</v>
      </c>
      <c r="F1455" s="2">
        <v>25</v>
      </c>
      <c r="G1455" s="2" t="s">
        <v>1399</v>
      </c>
      <c r="H1455" s="2" t="s">
        <v>1400</v>
      </c>
      <c r="I1455" s="4" t="s">
        <v>60</v>
      </c>
      <c r="J1455" s="112">
        <f>IF($H1455&lt;&gt;"Y",0,ROUND(MIN(Dashboard!$R$24,IF(IFERROR(VLOOKUP($B1455,Dashboard!$Q$28:$S$60,2,FALSE),0)&gt;0,IFERROR(VLOOKUP($B1455,Dashboard!$Q$28:$S$60,2,FALSE),0),$Z1455*IF($U1455&lt;&gt;"",ROUND((Dashboard!$R$4/$U1455)*VLOOKUP($I1455,Dashboard!$Q$9:$R$13,2,FALSE)*IF(ISNUMBER(SEARCH("Duals",$B1455)),2,IF(ISNUMBER(SEARCH("Triples",$B1455)),3,IF(ISNUMBER(SEARCH("Quads",$B1455)),4,1))),2),ROUND(VLOOKUP($I1455,Dashboard!$Q$15:$R$20,2,FALSE)*IF($E1455="Red",Dashboard!$R$6,IF($E1455="Gold",Dashboard!$R$7,Dashboard!$R$5))*IF(ISNUMBER(SEARCH("Duals",$B1455)),2,IF(ISNUMBER(SEARCH("Triples",$B1455)),3,IF(ISNUMBER(SEARCH("Quads",$B1455)),4,1))),2))*IF(IFERROR(VLOOKUP($B1455,Dashboard!$Q$28:$S$60,3,FALSE),0)&gt;0,VLOOKUP($B1455,Dashboard!$Q$28:$S$60,3,FALSE),1))),0))</f>
        <v>48</v>
      </c>
      <c r="K1455" s="2" t="str">
        <f>IF(Characters!H5="","",Characters!H5)</f>
        <v/>
      </c>
      <c r="L1455" s="2">
        <f t="shared" si="286"/>
        <v>0</v>
      </c>
      <c r="M1455" s="2">
        <f t="shared" si="287"/>
        <v>0</v>
      </c>
      <c r="N1455" s="2">
        <f t="shared" si="288"/>
        <v>0</v>
      </c>
      <c r="O1455" s="2">
        <f t="shared" si="289"/>
        <v>1</v>
      </c>
      <c r="P1455" s="112">
        <f t="shared" si="290"/>
        <v>0</v>
      </c>
      <c r="Q1455" s="112">
        <f t="shared" si="291"/>
        <v>0</v>
      </c>
      <c r="R1455" s="53"/>
      <c r="S1455" s="53" t="str">
        <f t="shared" si="292"/>
        <v>Characters|Characters Black Parallel|C-4|Black</v>
      </c>
      <c r="T1455" s="57" t="str">
        <f>IF($S1455="","",IFERROR(VLOOKUP($S1455,'Pop Estimates (Non-#d)'!$N$2:$O$500,2,FALSE),""))</f>
        <v/>
      </c>
      <c r="U1455" s="57">
        <f t="shared" si="293"/>
        <v>25</v>
      </c>
      <c r="V1455" s="53" t="str">
        <f t="shared" si="294"/>
        <v>Starlight</v>
      </c>
      <c r="W1455" s="53" t="str">
        <f t="shared" si="295"/>
        <v>Starlight</v>
      </c>
      <c r="X1455" s="53" t="str">
        <f t="shared" si="296"/>
        <v>Starlight</v>
      </c>
      <c r="Y1455" s="57">
        <f>IF($X1455="","",IFERROR(VLOOKUP($X1455,'Char Popularity'!$A$2:$C$500,2,FALSE),""))</f>
        <v>5</v>
      </c>
      <c r="Z1455" s="56">
        <f>IF($X1455="",1,IFERROR(VLOOKUP($X1455,'Char Popularity'!$A$2:$C$500,3,FALSE),1))</f>
        <v>1.2</v>
      </c>
      <c r="AA1455" s="62">
        <f>IF($H1455&lt;&gt;"Y",0,(IF($F1455&lt;&gt;"",ROUND(Dashboard!$R$4/$F1455,1),IF(AND($I1455="Base",$E1455="Base"),Dashboard!$R$5,IF(AND($I1455="Base",$E1455="Red"),Dashboard!$R$6,IF(AND($I1455="Base",$E1455="Gold"),Dashboard!$R$7,VLOOKUP($I1455,Dashboard!$Q$16:$R$21,2,FALSE)))))*VLOOKUP($I1455,Dashboard!$Q$9:$R$13,2,FALSE)*IF(AND($I1455="Auto",$F1455="",OR($B1455="Autographs Duals",$B1455="Autographs Triples",$B1455="Autographs Quads",$B1455="Autographs Quads (Inscribed)")),IF($B1455="Autographs Duals",2,IF($B1455="Autographs Triples",3,4)),1)))</f>
        <v>40</v>
      </c>
      <c r="AB1455" s="62">
        <f t="shared" si="297"/>
        <v>0</v>
      </c>
      <c r="AC1455" s="62">
        <f t="shared" si="298"/>
        <v>0</v>
      </c>
    </row>
    <row r="1456" spans="1:29" ht="28.7" customHeight="1" x14ac:dyDescent="0.25">
      <c r="A1456" s="4" t="s">
        <v>21</v>
      </c>
      <c r="B1456" s="7" t="s">
        <v>95</v>
      </c>
      <c r="C1456" s="2" t="s">
        <v>434</v>
      </c>
      <c r="D1456" s="7" t="s">
        <v>267</v>
      </c>
      <c r="E1456" s="4" t="s">
        <v>780</v>
      </c>
      <c r="F1456" s="2">
        <v>25</v>
      </c>
      <c r="G1456" s="2" t="s">
        <v>1399</v>
      </c>
      <c r="H1456" s="2" t="s">
        <v>1400</v>
      </c>
      <c r="I1456" s="4" t="s">
        <v>60</v>
      </c>
      <c r="J1456" s="112">
        <f>IF($H1456&lt;&gt;"Y",0,ROUND(MIN(Dashboard!$R$24,IF(IFERROR(VLOOKUP($B1456,Dashboard!$Q$28:$S$60,2,FALSE),0)&gt;0,IFERROR(VLOOKUP($B1456,Dashboard!$Q$28:$S$60,2,FALSE),0),$Z1456*IF($U1456&lt;&gt;"",ROUND((Dashboard!$R$4/$U1456)*VLOOKUP($I1456,Dashboard!$Q$9:$R$13,2,FALSE)*IF(ISNUMBER(SEARCH("Duals",$B1456)),2,IF(ISNUMBER(SEARCH("Triples",$B1456)),3,IF(ISNUMBER(SEARCH("Quads",$B1456)),4,1))),2),ROUND(VLOOKUP($I1456,Dashboard!$Q$15:$R$20,2,FALSE)*IF($E1456="Red",Dashboard!$R$6,IF($E1456="Gold",Dashboard!$R$7,Dashboard!$R$5))*IF(ISNUMBER(SEARCH("Duals",$B1456)),2,IF(ISNUMBER(SEARCH("Triples",$B1456)),3,IF(ISNUMBER(SEARCH("Quads",$B1456)),4,1))),2))*IF(IFERROR(VLOOKUP($B1456,Dashboard!$Q$28:$S$60,3,FALSE),0)&gt;0,VLOOKUP($B1456,Dashboard!$Q$28:$S$60,3,FALSE),1))),0))</f>
        <v>44</v>
      </c>
      <c r="K1456" s="2" t="str">
        <f>IF(Characters!H6="","",Characters!H6)</f>
        <v/>
      </c>
      <c r="L1456" s="2">
        <f t="shared" si="286"/>
        <v>0</v>
      </c>
      <c r="M1456" s="2">
        <f t="shared" si="287"/>
        <v>0</v>
      </c>
      <c r="N1456" s="2">
        <f t="shared" si="288"/>
        <v>0</v>
      </c>
      <c r="O1456" s="2">
        <f t="shared" si="289"/>
        <v>1</v>
      </c>
      <c r="P1456" s="112">
        <f t="shared" si="290"/>
        <v>0</v>
      </c>
      <c r="Q1456" s="112">
        <f t="shared" si="291"/>
        <v>0</v>
      </c>
      <c r="R1456" s="53"/>
      <c r="S1456" s="53" t="str">
        <f t="shared" si="292"/>
        <v>Characters|Characters Black Parallel|C-5|Black</v>
      </c>
      <c r="T1456" s="57" t="str">
        <f>IF($S1456="","",IFERROR(VLOOKUP($S1456,'Pop Estimates (Non-#d)'!$N$2:$O$500,2,FALSE),""))</f>
        <v/>
      </c>
      <c r="U1456" s="57">
        <f t="shared" si="293"/>
        <v>25</v>
      </c>
      <c r="V1456" s="53" t="str">
        <f t="shared" si="294"/>
        <v>A-Train</v>
      </c>
      <c r="W1456" s="53" t="str">
        <f t="shared" si="295"/>
        <v>A-Train</v>
      </c>
      <c r="X1456" s="53" t="str">
        <f t="shared" si="296"/>
        <v>A-Train</v>
      </c>
      <c r="Y1456" s="57">
        <f>IF($X1456="","",IFERROR(VLOOKUP($X1456,'Char Popularity'!$A$2:$C$500,2,FALSE),""))</f>
        <v>4</v>
      </c>
      <c r="Z1456" s="56">
        <f>IF($X1456="",1,IFERROR(VLOOKUP($X1456,'Char Popularity'!$A$2:$C$500,3,FALSE),1))</f>
        <v>1.1000000000000001</v>
      </c>
      <c r="AA1456" s="62">
        <f>IF($H1456&lt;&gt;"Y",0,(IF($F1456&lt;&gt;"",ROUND(Dashboard!$R$4/$F1456,1),IF(AND($I1456="Base",$E1456="Base"),Dashboard!$R$5,IF(AND($I1456="Base",$E1456="Red"),Dashboard!$R$6,IF(AND($I1456="Base",$E1456="Gold"),Dashboard!$R$7,VLOOKUP($I1456,Dashboard!$Q$16:$R$21,2,FALSE)))))*VLOOKUP($I1456,Dashboard!$Q$9:$R$13,2,FALSE)*IF(AND($I1456="Auto",$F1456="",OR($B1456="Autographs Duals",$B1456="Autographs Triples",$B1456="Autographs Quads",$B1456="Autographs Quads (Inscribed)")),IF($B1456="Autographs Duals",2,IF($B1456="Autographs Triples",3,4)),1)))</f>
        <v>40</v>
      </c>
      <c r="AB1456" s="62">
        <f t="shared" si="297"/>
        <v>0</v>
      </c>
      <c r="AC1456" s="62">
        <f t="shared" si="298"/>
        <v>0</v>
      </c>
    </row>
    <row r="1457" spans="1:29" ht="28.7" customHeight="1" x14ac:dyDescent="0.25">
      <c r="A1457" s="4" t="s">
        <v>21</v>
      </c>
      <c r="B1457" s="7" t="s">
        <v>95</v>
      </c>
      <c r="C1457" s="2" t="s">
        <v>435</v>
      </c>
      <c r="D1457" s="7" t="s">
        <v>250</v>
      </c>
      <c r="E1457" s="4" t="s">
        <v>780</v>
      </c>
      <c r="F1457" s="2">
        <v>25</v>
      </c>
      <c r="G1457" s="2" t="s">
        <v>1399</v>
      </c>
      <c r="H1457" s="2" t="s">
        <v>1400</v>
      </c>
      <c r="I1457" s="4" t="s">
        <v>60</v>
      </c>
      <c r="J1457" s="112">
        <f>IF($H1457&lt;&gt;"Y",0,ROUND(MIN(Dashboard!$R$24,IF(IFERROR(VLOOKUP($B1457,Dashboard!$Q$28:$S$60,2,FALSE),0)&gt;0,IFERROR(VLOOKUP($B1457,Dashboard!$Q$28:$S$60,2,FALSE),0),$Z1457*IF($U1457&lt;&gt;"",ROUND((Dashboard!$R$4/$U1457)*VLOOKUP($I1457,Dashboard!$Q$9:$R$13,2,FALSE)*IF(ISNUMBER(SEARCH("Duals",$B1457)),2,IF(ISNUMBER(SEARCH("Triples",$B1457)),3,IF(ISNUMBER(SEARCH("Quads",$B1457)),4,1))),2),ROUND(VLOOKUP($I1457,Dashboard!$Q$15:$R$20,2,FALSE)*IF($E1457="Red",Dashboard!$R$6,IF($E1457="Gold",Dashboard!$R$7,Dashboard!$R$5))*IF(ISNUMBER(SEARCH("Duals",$B1457)),2,IF(ISNUMBER(SEARCH("Triples",$B1457)),3,IF(ISNUMBER(SEARCH("Quads",$B1457)),4,1))),2))*IF(IFERROR(VLOOKUP($B1457,Dashboard!$Q$28:$S$60,3,FALSE),0)&gt;0,VLOOKUP($B1457,Dashboard!$Q$28:$S$60,3,FALSE),1))),0))</f>
        <v>40</v>
      </c>
      <c r="K1457" s="2" t="str">
        <f>IF(Characters!H7="","",Characters!H7)</f>
        <v/>
      </c>
      <c r="L1457" s="2">
        <f t="shared" si="286"/>
        <v>0</v>
      </c>
      <c r="M1457" s="2">
        <f t="shared" si="287"/>
        <v>0</v>
      </c>
      <c r="N1457" s="2">
        <f t="shared" si="288"/>
        <v>0</v>
      </c>
      <c r="O1457" s="2">
        <f t="shared" si="289"/>
        <v>1</v>
      </c>
      <c r="P1457" s="112">
        <f t="shared" si="290"/>
        <v>0</v>
      </c>
      <c r="Q1457" s="112">
        <f t="shared" si="291"/>
        <v>0</v>
      </c>
      <c r="R1457" s="53"/>
      <c r="S1457" s="53" t="str">
        <f t="shared" si="292"/>
        <v>Characters|Characters Black Parallel|C-6|Black</v>
      </c>
      <c r="T1457" s="57" t="str">
        <f>IF($S1457="","",IFERROR(VLOOKUP($S1457,'Pop Estimates (Non-#d)'!$N$2:$O$500,2,FALSE),""))</f>
        <v/>
      </c>
      <c r="U1457" s="57">
        <f t="shared" si="293"/>
        <v>25</v>
      </c>
      <c r="V1457" s="53" t="str">
        <f t="shared" si="294"/>
        <v>Madelyn Stillwell</v>
      </c>
      <c r="W1457" s="53" t="str">
        <f t="shared" si="295"/>
        <v>Madelyn Stillwell</v>
      </c>
      <c r="X1457" s="53" t="str">
        <f t="shared" si="296"/>
        <v>Madelyn Stillwell</v>
      </c>
      <c r="Y1457" s="57">
        <f>IF($X1457="","",IFERROR(VLOOKUP($X1457,'Char Popularity'!$A$2:$C$500,2,FALSE),""))</f>
        <v>3</v>
      </c>
      <c r="Z1457" s="56">
        <f>IF($X1457="",1,IFERROR(VLOOKUP($X1457,'Char Popularity'!$A$2:$C$500,3,FALSE),1))</f>
        <v>1</v>
      </c>
      <c r="AA1457" s="62">
        <f>IF($H1457&lt;&gt;"Y",0,(IF($F1457&lt;&gt;"",ROUND(Dashboard!$R$4/$F1457,1),IF(AND($I1457="Base",$E1457="Base"),Dashboard!$R$5,IF(AND($I1457="Base",$E1457="Red"),Dashboard!$R$6,IF(AND($I1457="Base",$E1457="Gold"),Dashboard!$R$7,VLOOKUP($I1457,Dashboard!$Q$16:$R$21,2,FALSE)))))*VLOOKUP($I1457,Dashboard!$Q$9:$R$13,2,FALSE)*IF(AND($I1457="Auto",$F1457="",OR($B1457="Autographs Duals",$B1457="Autographs Triples",$B1457="Autographs Quads",$B1457="Autographs Quads (Inscribed)")),IF($B1457="Autographs Duals",2,IF($B1457="Autographs Triples",3,4)),1)))</f>
        <v>40</v>
      </c>
      <c r="AB1457" s="62">
        <f t="shared" si="297"/>
        <v>0</v>
      </c>
      <c r="AC1457" s="62">
        <f t="shared" si="298"/>
        <v>0</v>
      </c>
    </row>
    <row r="1458" spans="1:29" ht="28.7" customHeight="1" x14ac:dyDescent="0.25">
      <c r="A1458" s="4" t="s">
        <v>21</v>
      </c>
      <c r="B1458" s="7" t="s">
        <v>95</v>
      </c>
      <c r="C1458" s="2" t="s">
        <v>436</v>
      </c>
      <c r="D1458" s="7" t="s">
        <v>230</v>
      </c>
      <c r="E1458" s="4" t="s">
        <v>780</v>
      </c>
      <c r="F1458" s="2">
        <v>25</v>
      </c>
      <c r="G1458" s="2" t="s">
        <v>1399</v>
      </c>
      <c r="H1458" s="2" t="s">
        <v>1400</v>
      </c>
      <c r="I1458" s="4" t="s">
        <v>60</v>
      </c>
      <c r="J1458" s="112">
        <f>IF($H1458&lt;&gt;"Y",0,ROUND(MIN(Dashboard!$R$24,IF(IFERROR(VLOOKUP($B1458,Dashboard!$Q$28:$S$60,2,FALSE),0)&gt;0,IFERROR(VLOOKUP($B1458,Dashboard!$Q$28:$S$60,2,FALSE),0),$Z1458*IF($U1458&lt;&gt;"",ROUND((Dashboard!$R$4/$U1458)*VLOOKUP($I1458,Dashboard!$Q$9:$R$13,2,FALSE)*IF(ISNUMBER(SEARCH("Duals",$B1458)),2,IF(ISNUMBER(SEARCH("Triples",$B1458)),3,IF(ISNUMBER(SEARCH("Quads",$B1458)),4,1))),2),ROUND(VLOOKUP($I1458,Dashboard!$Q$15:$R$20,2,FALSE)*IF($E1458="Red",Dashboard!$R$6,IF($E1458="Gold",Dashboard!$R$7,Dashboard!$R$5))*IF(ISNUMBER(SEARCH("Duals",$B1458)),2,IF(ISNUMBER(SEARCH("Triples",$B1458)),3,IF(ISNUMBER(SEARCH("Quads",$B1458)),4,1))),2))*IF(IFERROR(VLOOKUP($B1458,Dashboard!$Q$28:$S$60,3,FALSE),0)&gt;0,VLOOKUP($B1458,Dashboard!$Q$28:$S$60,3,FALSE),1))),0))</f>
        <v>44</v>
      </c>
      <c r="K1458" s="2" t="str">
        <f>IF(Characters!H8="","",Characters!H8)</f>
        <v>C 01/25</v>
      </c>
      <c r="L1458" s="2">
        <f t="shared" si="286"/>
        <v>1</v>
      </c>
      <c r="M1458" s="2">
        <f t="shared" si="287"/>
        <v>0</v>
      </c>
      <c r="N1458" s="2">
        <f t="shared" si="288"/>
        <v>1</v>
      </c>
      <c r="O1458" s="2">
        <f t="shared" si="289"/>
        <v>0</v>
      </c>
      <c r="P1458" s="112">
        <f t="shared" si="290"/>
        <v>44</v>
      </c>
      <c r="Q1458" s="112">
        <f t="shared" si="291"/>
        <v>0</v>
      </c>
      <c r="R1458" s="53"/>
      <c r="S1458" s="53" t="str">
        <f t="shared" si="292"/>
        <v>Characters|Characters Black Parallel|C-7|Black</v>
      </c>
      <c r="T1458" s="57" t="str">
        <f>IF($S1458="","",IFERROR(VLOOKUP($S1458,'Pop Estimates (Non-#d)'!$N$2:$O$500,2,FALSE),""))</f>
        <v/>
      </c>
      <c r="U1458" s="57">
        <f t="shared" si="293"/>
        <v>25</v>
      </c>
      <c r="V1458" s="53" t="str">
        <f t="shared" si="294"/>
        <v>The Deep</v>
      </c>
      <c r="W1458" s="53" t="str">
        <f t="shared" si="295"/>
        <v>The Deep</v>
      </c>
      <c r="X1458" s="53" t="str">
        <f t="shared" si="296"/>
        <v>The Deep</v>
      </c>
      <c r="Y1458" s="57">
        <f>IF($X1458="","",IFERROR(VLOOKUP($X1458,'Char Popularity'!$A$2:$C$500,2,FALSE),""))</f>
        <v>4</v>
      </c>
      <c r="Z1458" s="56">
        <f>IF($X1458="",1,IFERROR(VLOOKUP($X1458,'Char Popularity'!$A$2:$C$500,3,FALSE),1))</f>
        <v>1.1000000000000001</v>
      </c>
      <c r="AA1458" s="62">
        <f>IF($H1458&lt;&gt;"Y",0,(IF($F1458&lt;&gt;"",ROUND(Dashboard!$R$4/$F1458,1),IF(AND($I1458="Base",$E1458="Base"),Dashboard!$R$5,IF(AND($I1458="Base",$E1458="Red"),Dashboard!$R$6,IF(AND($I1458="Base",$E1458="Gold"),Dashboard!$R$7,VLOOKUP($I1458,Dashboard!$Q$16:$R$21,2,FALSE)))))*VLOOKUP($I1458,Dashboard!$Q$9:$R$13,2,FALSE)*IF(AND($I1458="Auto",$F1458="",OR($B1458="Autographs Duals",$B1458="Autographs Triples",$B1458="Autographs Quads",$B1458="Autographs Quads (Inscribed)")),IF($B1458="Autographs Duals",2,IF($B1458="Autographs Triples",3,4)),1)))</f>
        <v>40</v>
      </c>
      <c r="AB1458" s="62">
        <f t="shared" si="297"/>
        <v>40</v>
      </c>
      <c r="AC1458" s="62">
        <f t="shared" si="298"/>
        <v>0</v>
      </c>
    </row>
    <row r="1459" spans="1:29" ht="28.7" customHeight="1" x14ac:dyDescent="0.25">
      <c r="A1459" s="4" t="s">
        <v>21</v>
      </c>
      <c r="B1459" s="7" t="s">
        <v>95</v>
      </c>
      <c r="C1459" s="2" t="s">
        <v>437</v>
      </c>
      <c r="D1459" s="7" t="s">
        <v>276</v>
      </c>
      <c r="E1459" s="4" t="s">
        <v>780</v>
      </c>
      <c r="F1459" s="2">
        <v>25</v>
      </c>
      <c r="G1459" s="2" t="s">
        <v>1399</v>
      </c>
      <c r="H1459" s="2" t="s">
        <v>1400</v>
      </c>
      <c r="I1459" s="4" t="s">
        <v>60</v>
      </c>
      <c r="J1459" s="112">
        <f>IF($H1459&lt;&gt;"Y",0,ROUND(MIN(Dashboard!$R$24,IF(IFERROR(VLOOKUP($B1459,Dashboard!$Q$28:$S$60,2,FALSE),0)&gt;0,IFERROR(VLOOKUP($B1459,Dashboard!$Q$28:$S$60,2,FALSE),0),$Z1459*IF($U1459&lt;&gt;"",ROUND((Dashboard!$R$4/$U1459)*VLOOKUP($I1459,Dashboard!$Q$9:$R$13,2,FALSE)*IF(ISNUMBER(SEARCH("Duals",$B1459)),2,IF(ISNUMBER(SEARCH("Triples",$B1459)),3,IF(ISNUMBER(SEARCH("Quads",$B1459)),4,1))),2),ROUND(VLOOKUP($I1459,Dashboard!$Q$15:$R$20,2,FALSE)*IF($E1459="Red",Dashboard!$R$6,IF($E1459="Gold",Dashboard!$R$7,Dashboard!$R$5))*IF(ISNUMBER(SEARCH("Duals",$B1459)),2,IF(ISNUMBER(SEARCH("Triples",$B1459)),3,IF(ISNUMBER(SEARCH("Quads",$B1459)),4,1))),2))*IF(IFERROR(VLOOKUP($B1459,Dashboard!$Q$28:$S$60,3,FALSE),0)&gt;0,VLOOKUP($B1459,Dashboard!$Q$28:$S$60,3,FALSE),1))),0))</f>
        <v>44</v>
      </c>
      <c r="K1459" s="2" t="str">
        <f>IF(Characters!H9="","",Characters!H9)</f>
        <v>V 13/25</v>
      </c>
      <c r="L1459" s="2">
        <f t="shared" si="286"/>
        <v>1</v>
      </c>
      <c r="M1459" s="2">
        <f t="shared" si="287"/>
        <v>0</v>
      </c>
      <c r="N1459" s="2">
        <f t="shared" si="288"/>
        <v>1</v>
      </c>
      <c r="O1459" s="2">
        <f t="shared" si="289"/>
        <v>0</v>
      </c>
      <c r="P1459" s="112">
        <f t="shared" si="290"/>
        <v>44</v>
      </c>
      <c r="Q1459" s="112">
        <f t="shared" si="291"/>
        <v>0</v>
      </c>
      <c r="R1459" s="53"/>
      <c r="S1459" s="53" t="str">
        <f t="shared" si="292"/>
        <v>Characters|Characters Black Parallel|C-8|Black</v>
      </c>
      <c r="T1459" s="57" t="str">
        <f>IF($S1459="","",IFERROR(VLOOKUP($S1459,'Pop Estimates (Non-#d)'!$N$2:$O$500,2,FALSE),""))</f>
        <v/>
      </c>
      <c r="U1459" s="57">
        <f t="shared" si="293"/>
        <v>25</v>
      </c>
      <c r="V1459" s="53" t="str">
        <f t="shared" si="294"/>
        <v>Mother's Milk</v>
      </c>
      <c r="W1459" s="53" t="str">
        <f t="shared" si="295"/>
        <v>Mother's Milk</v>
      </c>
      <c r="X1459" s="53" t="str">
        <f t="shared" si="296"/>
        <v>Mother's Milk</v>
      </c>
      <c r="Y1459" s="57">
        <f>IF($X1459="","",IFERROR(VLOOKUP($X1459,'Char Popularity'!$A$2:$C$500,2,FALSE),""))</f>
        <v>4</v>
      </c>
      <c r="Z1459" s="56">
        <f>IF($X1459="",1,IFERROR(VLOOKUP($X1459,'Char Popularity'!$A$2:$C$500,3,FALSE),1))</f>
        <v>1.1000000000000001</v>
      </c>
      <c r="AA1459" s="62">
        <f>IF($H1459&lt;&gt;"Y",0,(IF($F1459&lt;&gt;"",ROUND(Dashboard!$R$4/$F1459,1),IF(AND($I1459="Base",$E1459="Base"),Dashboard!$R$5,IF(AND($I1459="Base",$E1459="Red"),Dashboard!$R$6,IF(AND($I1459="Base",$E1459="Gold"),Dashboard!$R$7,VLOOKUP($I1459,Dashboard!$Q$16:$R$21,2,FALSE)))))*VLOOKUP($I1459,Dashboard!$Q$9:$R$13,2,FALSE)*IF(AND($I1459="Auto",$F1459="",OR($B1459="Autographs Duals",$B1459="Autographs Triples",$B1459="Autographs Quads",$B1459="Autographs Quads (Inscribed)")),IF($B1459="Autographs Duals",2,IF($B1459="Autographs Triples",3,4)),1)))</f>
        <v>40</v>
      </c>
      <c r="AB1459" s="62">
        <f t="shared" si="297"/>
        <v>40</v>
      </c>
      <c r="AC1459" s="62">
        <f t="shared" si="298"/>
        <v>0</v>
      </c>
    </row>
    <row r="1460" spans="1:29" ht="28.7" customHeight="1" x14ac:dyDescent="0.25">
      <c r="A1460" s="4" t="s">
        <v>21</v>
      </c>
      <c r="B1460" s="7" t="s">
        <v>95</v>
      </c>
      <c r="C1460" s="2" t="s">
        <v>438</v>
      </c>
      <c r="D1460" s="7" t="s">
        <v>244</v>
      </c>
      <c r="E1460" s="4" t="s">
        <v>780</v>
      </c>
      <c r="F1460" s="2">
        <v>25</v>
      </c>
      <c r="G1460" s="2" t="s">
        <v>1399</v>
      </c>
      <c r="H1460" s="2" t="s">
        <v>1400</v>
      </c>
      <c r="I1460" s="4" t="s">
        <v>60</v>
      </c>
      <c r="J1460" s="112">
        <f>IF($H1460&lt;&gt;"Y",0,ROUND(MIN(Dashboard!$R$24,IF(IFERROR(VLOOKUP($B1460,Dashboard!$Q$28:$S$60,2,FALSE),0)&gt;0,IFERROR(VLOOKUP($B1460,Dashboard!$Q$28:$S$60,2,FALSE),0),$Z1460*IF($U1460&lt;&gt;"",ROUND((Dashboard!$R$4/$U1460)*VLOOKUP($I1460,Dashboard!$Q$9:$R$13,2,FALSE)*IF(ISNUMBER(SEARCH("Duals",$B1460)),2,IF(ISNUMBER(SEARCH("Triples",$B1460)),3,IF(ISNUMBER(SEARCH("Quads",$B1460)),4,1))),2),ROUND(VLOOKUP($I1460,Dashboard!$Q$15:$R$20,2,FALSE)*IF($E1460="Red",Dashboard!$R$6,IF($E1460="Gold",Dashboard!$R$7,Dashboard!$R$5))*IF(ISNUMBER(SEARCH("Duals",$B1460)),2,IF(ISNUMBER(SEARCH("Triples",$B1460)),3,IF(ISNUMBER(SEARCH("Quads",$B1460)),4,1))),2))*IF(IFERROR(VLOOKUP($B1460,Dashboard!$Q$28:$S$60,3,FALSE),0)&gt;0,VLOOKUP($B1460,Dashboard!$Q$28:$S$60,3,FALSE),1))),0))</f>
        <v>44</v>
      </c>
      <c r="K1460" s="2" t="str">
        <f>IF(Characters!H10="","",Characters!H10)</f>
        <v>C 17/25</v>
      </c>
      <c r="L1460" s="2">
        <f t="shared" si="286"/>
        <v>1</v>
      </c>
      <c r="M1460" s="2">
        <f t="shared" si="287"/>
        <v>0</v>
      </c>
      <c r="N1460" s="2">
        <f t="shared" si="288"/>
        <v>1</v>
      </c>
      <c r="O1460" s="2">
        <f t="shared" si="289"/>
        <v>0</v>
      </c>
      <c r="P1460" s="112">
        <f t="shared" si="290"/>
        <v>44</v>
      </c>
      <c r="Q1460" s="112">
        <f t="shared" si="291"/>
        <v>0</v>
      </c>
      <c r="R1460" s="53"/>
      <c r="S1460" s="53" t="str">
        <f t="shared" si="292"/>
        <v>Characters|Characters Black Parallel|C-9|Black</v>
      </c>
      <c r="T1460" s="57" t="str">
        <f>IF($S1460="","",IFERROR(VLOOKUP($S1460,'Pop Estimates (Non-#d)'!$N$2:$O$500,2,FALSE),""))</f>
        <v/>
      </c>
      <c r="U1460" s="57">
        <f t="shared" si="293"/>
        <v>25</v>
      </c>
      <c r="V1460" s="53" t="str">
        <f t="shared" si="294"/>
        <v>Queen Maeve</v>
      </c>
      <c r="W1460" s="53" t="str">
        <f t="shared" si="295"/>
        <v>Queen Maeve</v>
      </c>
      <c r="X1460" s="53" t="str">
        <f t="shared" si="296"/>
        <v>Queen Maeve</v>
      </c>
      <c r="Y1460" s="57">
        <f>IF($X1460="","",IFERROR(VLOOKUP($X1460,'Char Popularity'!$A$2:$C$500,2,FALSE),""))</f>
        <v>4</v>
      </c>
      <c r="Z1460" s="56">
        <f>IF($X1460="",1,IFERROR(VLOOKUP($X1460,'Char Popularity'!$A$2:$C$500,3,FALSE),1))</f>
        <v>1.1000000000000001</v>
      </c>
      <c r="AA1460" s="62">
        <f>IF($H1460&lt;&gt;"Y",0,(IF($F1460&lt;&gt;"",ROUND(Dashboard!$R$4/$F1460,1),IF(AND($I1460="Base",$E1460="Base"),Dashboard!$R$5,IF(AND($I1460="Base",$E1460="Red"),Dashboard!$R$6,IF(AND($I1460="Base",$E1460="Gold"),Dashboard!$R$7,VLOOKUP($I1460,Dashboard!$Q$16:$R$21,2,FALSE)))))*VLOOKUP($I1460,Dashboard!$Q$9:$R$13,2,FALSE)*IF(AND($I1460="Auto",$F1460="",OR($B1460="Autographs Duals",$B1460="Autographs Triples",$B1460="Autographs Quads",$B1460="Autographs Quads (Inscribed)")),IF($B1460="Autographs Duals",2,IF($B1460="Autographs Triples",3,4)),1)))</f>
        <v>40</v>
      </c>
      <c r="AB1460" s="62">
        <f t="shared" si="297"/>
        <v>40</v>
      </c>
      <c r="AC1460" s="62">
        <f t="shared" si="298"/>
        <v>0</v>
      </c>
    </row>
    <row r="1461" spans="1:29" ht="28.7" customHeight="1" x14ac:dyDescent="0.25">
      <c r="A1461" s="4" t="s">
        <v>21</v>
      </c>
      <c r="B1461" s="7" t="s">
        <v>95</v>
      </c>
      <c r="C1461" s="2" t="s">
        <v>410</v>
      </c>
      <c r="D1461" s="7" t="s">
        <v>270</v>
      </c>
      <c r="E1461" s="4" t="s">
        <v>780</v>
      </c>
      <c r="F1461" s="2">
        <v>25</v>
      </c>
      <c r="G1461" s="2" t="s">
        <v>1399</v>
      </c>
      <c r="H1461" s="2" t="s">
        <v>1400</v>
      </c>
      <c r="I1461" s="4" t="s">
        <v>60</v>
      </c>
      <c r="J1461" s="112">
        <f>IF($H1461&lt;&gt;"Y",0,ROUND(MIN(Dashboard!$R$24,IF(IFERROR(VLOOKUP($B1461,Dashboard!$Q$28:$S$60,2,FALSE),0)&gt;0,IFERROR(VLOOKUP($B1461,Dashboard!$Q$28:$S$60,2,FALSE),0),$Z1461*IF($U1461&lt;&gt;"",ROUND((Dashboard!$R$4/$U1461)*VLOOKUP($I1461,Dashboard!$Q$9:$R$13,2,FALSE)*IF(ISNUMBER(SEARCH("Duals",$B1461)),2,IF(ISNUMBER(SEARCH("Triples",$B1461)),3,IF(ISNUMBER(SEARCH("Quads",$B1461)),4,1))),2),ROUND(VLOOKUP($I1461,Dashboard!$Q$15:$R$20,2,FALSE)*IF($E1461="Red",Dashboard!$R$6,IF($E1461="Gold",Dashboard!$R$7,Dashboard!$R$5))*IF(ISNUMBER(SEARCH("Duals",$B1461)),2,IF(ISNUMBER(SEARCH("Triples",$B1461)),3,IF(ISNUMBER(SEARCH("Quads",$B1461)),4,1))),2))*IF(IFERROR(VLOOKUP($B1461,Dashboard!$Q$28:$S$60,3,FALSE),0)&gt;0,VLOOKUP($B1461,Dashboard!$Q$28:$S$60,3,FALSE),1))),0))</f>
        <v>44</v>
      </c>
      <c r="K1461" s="2" t="str">
        <f>IF(Characters!H11="","",Characters!H11)</f>
        <v/>
      </c>
      <c r="L1461" s="2">
        <f t="shared" si="286"/>
        <v>0</v>
      </c>
      <c r="M1461" s="2">
        <f t="shared" si="287"/>
        <v>0</v>
      </c>
      <c r="N1461" s="2">
        <f t="shared" si="288"/>
        <v>0</v>
      </c>
      <c r="O1461" s="2">
        <f t="shared" si="289"/>
        <v>1</v>
      </c>
      <c r="P1461" s="112">
        <f t="shared" si="290"/>
        <v>0</v>
      </c>
      <c r="Q1461" s="112">
        <f t="shared" si="291"/>
        <v>0</v>
      </c>
      <c r="R1461" s="53"/>
      <c r="S1461" s="53" t="str">
        <f t="shared" si="292"/>
        <v>Characters|Characters Black Parallel|C-10|Black</v>
      </c>
      <c r="T1461" s="57" t="str">
        <f>IF($S1461="","",IFERROR(VLOOKUP($S1461,'Pop Estimates (Non-#d)'!$N$2:$O$500,2,FALSE),""))</f>
        <v/>
      </c>
      <c r="U1461" s="57">
        <f t="shared" si="293"/>
        <v>25</v>
      </c>
      <c r="V1461" s="53" t="str">
        <f t="shared" si="294"/>
        <v>Kimiko</v>
      </c>
      <c r="W1461" s="53" t="str">
        <f t="shared" si="295"/>
        <v>Kimiko</v>
      </c>
      <c r="X1461" s="53" t="str">
        <f t="shared" si="296"/>
        <v>Kimiko</v>
      </c>
      <c r="Y1461" s="57">
        <f>IF($X1461="","",IFERROR(VLOOKUP($X1461,'Char Popularity'!$A$2:$C$500,2,FALSE),""))</f>
        <v>4</v>
      </c>
      <c r="Z1461" s="56">
        <f>IF($X1461="",1,IFERROR(VLOOKUP($X1461,'Char Popularity'!$A$2:$C$500,3,FALSE),1))</f>
        <v>1.1000000000000001</v>
      </c>
      <c r="AA1461" s="62">
        <f>IF($H1461&lt;&gt;"Y",0,(IF($F1461&lt;&gt;"",ROUND(Dashboard!$R$4/$F1461,1),IF(AND($I1461="Base",$E1461="Base"),Dashboard!$R$5,IF(AND($I1461="Base",$E1461="Red"),Dashboard!$R$6,IF(AND($I1461="Base",$E1461="Gold"),Dashboard!$R$7,VLOOKUP($I1461,Dashboard!$Q$16:$R$21,2,FALSE)))))*VLOOKUP($I1461,Dashboard!$Q$9:$R$13,2,FALSE)*IF(AND($I1461="Auto",$F1461="",OR($B1461="Autographs Duals",$B1461="Autographs Triples",$B1461="Autographs Quads",$B1461="Autographs Quads (Inscribed)")),IF($B1461="Autographs Duals",2,IF($B1461="Autographs Triples",3,4)),1)))</f>
        <v>40</v>
      </c>
      <c r="AB1461" s="62">
        <f t="shared" si="297"/>
        <v>0</v>
      </c>
      <c r="AC1461" s="62">
        <f t="shared" si="298"/>
        <v>0</v>
      </c>
    </row>
    <row r="1462" spans="1:29" ht="28.7" customHeight="1" x14ac:dyDescent="0.25">
      <c r="A1462" s="4" t="s">
        <v>21</v>
      </c>
      <c r="B1462" s="7" t="s">
        <v>95</v>
      </c>
      <c r="C1462" s="2" t="s">
        <v>411</v>
      </c>
      <c r="D1462" s="7" t="s">
        <v>238</v>
      </c>
      <c r="E1462" s="4" t="s">
        <v>780</v>
      </c>
      <c r="F1462" s="2">
        <v>25</v>
      </c>
      <c r="G1462" s="2" t="s">
        <v>1399</v>
      </c>
      <c r="H1462" s="2" t="s">
        <v>1400</v>
      </c>
      <c r="I1462" s="4" t="s">
        <v>60</v>
      </c>
      <c r="J1462" s="112">
        <f>IF($H1462&lt;&gt;"Y",0,ROUND(MIN(Dashboard!$R$24,IF(IFERROR(VLOOKUP($B1462,Dashboard!$Q$28:$S$60,2,FALSE),0)&gt;0,IFERROR(VLOOKUP($B1462,Dashboard!$Q$28:$S$60,2,FALSE),0),$Z1462*IF($U1462&lt;&gt;"",ROUND((Dashboard!$R$4/$U1462)*VLOOKUP($I1462,Dashboard!$Q$9:$R$13,2,FALSE)*IF(ISNUMBER(SEARCH("Duals",$B1462)),2,IF(ISNUMBER(SEARCH("Triples",$B1462)),3,IF(ISNUMBER(SEARCH("Quads",$B1462)),4,1))),2),ROUND(VLOOKUP($I1462,Dashboard!$Q$15:$R$20,2,FALSE)*IF($E1462="Red",Dashboard!$R$6,IF($E1462="Gold",Dashboard!$R$7,Dashboard!$R$5))*IF(ISNUMBER(SEARCH("Duals",$B1462)),2,IF(ISNUMBER(SEARCH("Triples",$B1462)),3,IF(ISNUMBER(SEARCH("Quads",$B1462)),4,1))),2))*IF(IFERROR(VLOOKUP($B1462,Dashboard!$Q$28:$S$60,3,FALSE),0)&gt;0,VLOOKUP($B1462,Dashboard!$Q$28:$S$60,3,FALSE),1))),0))</f>
        <v>44</v>
      </c>
      <c r="K1462" s="2" t="str">
        <f>IF(Characters!H12="","",Characters!H12)</f>
        <v>C 09/25</v>
      </c>
      <c r="L1462" s="2">
        <f t="shared" si="286"/>
        <v>1</v>
      </c>
      <c r="M1462" s="2">
        <f t="shared" si="287"/>
        <v>0</v>
      </c>
      <c r="N1462" s="2">
        <f t="shared" si="288"/>
        <v>1</v>
      </c>
      <c r="O1462" s="2">
        <f t="shared" si="289"/>
        <v>0</v>
      </c>
      <c r="P1462" s="112">
        <f t="shared" si="290"/>
        <v>44</v>
      </c>
      <c r="Q1462" s="112">
        <f t="shared" si="291"/>
        <v>0</v>
      </c>
      <c r="R1462" s="53"/>
      <c r="S1462" s="53" t="str">
        <f t="shared" si="292"/>
        <v>Characters|Characters Black Parallel|C-11|Black</v>
      </c>
      <c r="T1462" s="57" t="str">
        <f>IF($S1462="","",IFERROR(VLOOKUP($S1462,'Pop Estimates (Non-#d)'!$N$2:$O$500,2,FALSE),""))</f>
        <v/>
      </c>
      <c r="U1462" s="57">
        <f t="shared" si="293"/>
        <v>25</v>
      </c>
      <c r="V1462" s="53" t="str">
        <f t="shared" si="294"/>
        <v>Frenchie</v>
      </c>
      <c r="W1462" s="53" t="str">
        <f t="shared" si="295"/>
        <v>Frenchie</v>
      </c>
      <c r="X1462" s="53" t="str">
        <f t="shared" si="296"/>
        <v>Frenchie</v>
      </c>
      <c r="Y1462" s="57">
        <f>IF($X1462="","",IFERROR(VLOOKUP($X1462,'Char Popularity'!$A$2:$C$500,2,FALSE),""))</f>
        <v>4</v>
      </c>
      <c r="Z1462" s="56">
        <f>IF($X1462="",1,IFERROR(VLOOKUP($X1462,'Char Popularity'!$A$2:$C$500,3,FALSE),1))</f>
        <v>1.1000000000000001</v>
      </c>
      <c r="AA1462" s="62">
        <f>IF($H1462&lt;&gt;"Y",0,(IF($F1462&lt;&gt;"",ROUND(Dashboard!$R$4/$F1462,1),IF(AND($I1462="Base",$E1462="Base"),Dashboard!$R$5,IF(AND($I1462="Base",$E1462="Red"),Dashboard!$R$6,IF(AND($I1462="Base",$E1462="Gold"),Dashboard!$R$7,VLOOKUP($I1462,Dashboard!$Q$16:$R$21,2,FALSE)))))*VLOOKUP($I1462,Dashboard!$Q$9:$R$13,2,FALSE)*IF(AND($I1462="Auto",$F1462="",OR($B1462="Autographs Duals",$B1462="Autographs Triples",$B1462="Autographs Quads",$B1462="Autographs Quads (Inscribed)")),IF($B1462="Autographs Duals",2,IF($B1462="Autographs Triples",3,4)),1)))</f>
        <v>40</v>
      </c>
      <c r="AB1462" s="62">
        <f t="shared" si="297"/>
        <v>40</v>
      </c>
      <c r="AC1462" s="62">
        <f t="shared" si="298"/>
        <v>0</v>
      </c>
    </row>
    <row r="1463" spans="1:29" ht="28.7" customHeight="1" x14ac:dyDescent="0.25">
      <c r="A1463" s="4" t="s">
        <v>21</v>
      </c>
      <c r="B1463" s="7" t="s">
        <v>95</v>
      </c>
      <c r="C1463" s="2" t="s">
        <v>412</v>
      </c>
      <c r="D1463" s="7" t="s">
        <v>283</v>
      </c>
      <c r="E1463" s="4" t="s">
        <v>780</v>
      </c>
      <c r="F1463" s="2">
        <v>25</v>
      </c>
      <c r="G1463" s="2" t="s">
        <v>1399</v>
      </c>
      <c r="H1463" s="2" t="s">
        <v>1400</v>
      </c>
      <c r="I1463" s="4" t="s">
        <v>60</v>
      </c>
      <c r="J1463" s="112">
        <f>IF($H1463&lt;&gt;"Y",0,ROUND(MIN(Dashboard!$R$24,IF(IFERROR(VLOOKUP($B1463,Dashboard!$Q$28:$S$60,2,FALSE),0)&gt;0,IFERROR(VLOOKUP($B1463,Dashboard!$Q$28:$S$60,2,FALSE),0),$Z1463*IF($U1463&lt;&gt;"",ROUND((Dashboard!$R$4/$U1463)*VLOOKUP($I1463,Dashboard!$Q$9:$R$13,2,FALSE)*IF(ISNUMBER(SEARCH("Duals",$B1463)),2,IF(ISNUMBER(SEARCH("Triples",$B1463)),3,IF(ISNUMBER(SEARCH("Quads",$B1463)),4,1))),2),ROUND(VLOOKUP($I1463,Dashboard!$Q$15:$R$20,2,FALSE)*IF($E1463="Red",Dashboard!$R$6,IF($E1463="Gold",Dashboard!$R$7,Dashboard!$R$5))*IF(ISNUMBER(SEARCH("Duals",$B1463)),2,IF(ISNUMBER(SEARCH("Triples",$B1463)),3,IF(ISNUMBER(SEARCH("Quads",$B1463)),4,1))),2))*IF(IFERROR(VLOOKUP($B1463,Dashboard!$Q$28:$S$60,3,FALSE),0)&gt;0,VLOOKUP($B1463,Dashboard!$Q$28:$S$60,3,FALSE),1))),0))</f>
        <v>44</v>
      </c>
      <c r="K1463" s="2" t="str">
        <f>IF(Characters!H13="","",Characters!H13)</f>
        <v>C 13/25</v>
      </c>
      <c r="L1463" s="2">
        <f t="shared" si="286"/>
        <v>1</v>
      </c>
      <c r="M1463" s="2">
        <f t="shared" si="287"/>
        <v>0</v>
      </c>
      <c r="N1463" s="2">
        <f t="shared" si="288"/>
        <v>1</v>
      </c>
      <c r="O1463" s="2">
        <f t="shared" si="289"/>
        <v>0</v>
      </c>
      <c r="P1463" s="112">
        <f t="shared" si="290"/>
        <v>44</v>
      </c>
      <c r="Q1463" s="112">
        <f t="shared" si="291"/>
        <v>0</v>
      </c>
      <c r="R1463" s="53"/>
      <c r="S1463" s="53" t="str">
        <f t="shared" si="292"/>
        <v>Characters|Characters Black Parallel|C-12|Black</v>
      </c>
      <c r="T1463" s="57" t="str">
        <f>IF($S1463="","",IFERROR(VLOOKUP($S1463,'Pop Estimates (Non-#d)'!$N$2:$O$500,2,FALSE),""))</f>
        <v/>
      </c>
      <c r="U1463" s="57">
        <f t="shared" si="293"/>
        <v>25</v>
      </c>
      <c r="V1463" s="53" t="str">
        <f t="shared" si="294"/>
        <v>Black Noir</v>
      </c>
      <c r="W1463" s="53" t="str">
        <f t="shared" si="295"/>
        <v>Black Noir</v>
      </c>
      <c r="X1463" s="53" t="str">
        <f t="shared" si="296"/>
        <v>Black Noir</v>
      </c>
      <c r="Y1463" s="57">
        <f>IF($X1463="","",IFERROR(VLOOKUP($X1463,'Char Popularity'!$A$2:$C$500,2,FALSE),""))</f>
        <v>4</v>
      </c>
      <c r="Z1463" s="56">
        <f>IF($X1463="",1,IFERROR(VLOOKUP($X1463,'Char Popularity'!$A$2:$C$500,3,FALSE),1))</f>
        <v>1.1000000000000001</v>
      </c>
      <c r="AA1463" s="62">
        <f>IF($H1463&lt;&gt;"Y",0,(IF($F1463&lt;&gt;"",ROUND(Dashboard!$R$4/$F1463,1),IF(AND($I1463="Base",$E1463="Base"),Dashboard!$R$5,IF(AND($I1463="Base",$E1463="Red"),Dashboard!$R$6,IF(AND($I1463="Base",$E1463="Gold"),Dashboard!$R$7,VLOOKUP($I1463,Dashboard!$Q$16:$R$21,2,FALSE)))))*VLOOKUP($I1463,Dashboard!$Q$9:$R$13,2,FALSE)*IF(AND($I1463="Auto",$F1463="",OR($B1463="Autographs Duals",$B1463="Autographs Triples",$B1463="Autographs Quads",$B1463="Autographs Quads (Inscribed)")),IF($B1463="Autographs Duals",2,IF($B1463="Autographs Triples",3,4)),1)))</f>
        <v>40</v>
      </c>
      <c r="AB1463" s="62">
        <f t="shared" si="297"/>
        <v>40</v>
      </c>
      <c r="AC1463" s="62">
        <f t="shared" si="298"/>
        <v>0</v>
      </c>
    </row>
    <row r="1464" spans="1:29" ht="28.7" customHeight="1" x14ac:dyDescent="0.25">
      <c r="A1464" s="4" t="s">
        <v>21</v>
      </c>
      <c r="B1464" s="7" t="s">
        <v>95</v>
      </c>
      <c r="C1464" s="2" t="s">
        <v>413</v>
      </c>
      <c r="D1464" s="7" t="s">
        <v>216</v>
      </c>
      <c r="E1464" s="4" t="s">
        <v>780</v>
      </c>
      <c r="F1464" s="2">
        <v>25</v>
      </c>
      <c r="G1464" s="2" t="s">
        <v>1399</v>
      </c>
      <c r="H1464" s="2" t="s">
        <v>1400</v>
      </c>
      <c r="I1464" s="4" t="s">
        <v>60</v>
      </c>
      <c r="J1464" s="112">
        <f>IF($H1464&lt;&gt;"Y",0,ROUND(MIN(Dashboard!$R$24,IF(IFERROR(VLOOKUP($B1464,Dashboard!$Q$28:$S$60,2,FALSE),0)&gt;0,IFERROR(VLOOKUP($B1464,Dashboard!$Q$28:$S$60,2,FALSE),0),$Z1464*IF($U1464&lt;&gt;"",ROUND((Dashboard!$R$4/$U1464)*VLOOKUP($I1464,Dashboard!$Q$9:$R$13,2,FALSE)*IF(ISNUMBER(SEARCH("Duals",$B1464)),2,IF(ISNUMBER(SEARCH("Triples",$B1464)),3,IF(ISNUMBER(SEARCH("Quads",$B1464)),4,1))),2),ROUND(VLOOKUP($I1464,Dashboard!$Q$15:$R$20,2,FALSE)*IF($E1464="Red",Dashboard!$R$6,IF($E1464="Gold",Dashboard!$R$7,Dashboard!$R$5))*IF(ISNUMBER(SEARCH("Duals",$B1464)),2,IF(ISNUMBER(SEARCH("Triples",$B1464)),3,IF(ISNUMBER(SEARCH("Quads",$B1464)),4,1))),2))*IF(IFERROR(VLOOKUP($B1464,Dashboard!$Q$28:$S$60,3,FALSE),0)&gt;0,VLOOKUP($B1464,Dashboard!$Q$28:$S$60,3,FALSE),1))),0))</f>
        <v>36</v>
      </c>
      <c r="K1464" s="2" t="str">
        <f>IF(Characters!H14="","",Characters!H14)</f>
        <v>C 22/25</v>
      </c>
      <c r="L1464" s="2">
        <f t="shared" si="286"/>
        <v>1</v>
      </c>
      <c r="M1464" s="2">
        <f t="shared" si="287"/>
        <v>0</v>
      </c>
      <c r="N1464" s="2">
        <f t="shared" si="288"/>
        <v>1</v>
      </c>
      <c r="O1464" s="2">
        <f t="shared" si="289"/>
        <v>0</v>
      </c>
      <c r="P1464" s="112">
        <f t="shared" si="290"/>
        <v>36</v>
      </c>
      <c r="Q1464" s="112">
        <f t="shared" si="291"/>
        <v>0</v>
      </c>
      <c r="R1464" s="53"/>
      <c r="S1464" s="53" t="str">
        <f t="shared" si="292"/>
        <v>Characters|Characters Black Parallel|C-13|Black</v>
      </c>
      <c r="T1464" s="57" t="str">
        <f>IF($S1464="","",IFERROR(VLOOKUP($S1464,'Pop Estimates (Non-#d)'!$N$2:$O$500,2,FALSE),""))</f>
        <v/>
      </c>
      <c r="U1464" s="57">
        <f t="shared" si="293"/>
        <v>25</v>
      </c>
      <c r="V1464" s="53" t="str">
        <f t="shared" si="294"/>
        <v>Translucent</v>
      </c>
      <c r="W1464" s="53" t="str">
        <f t="shared" si="295"/>
        <v>Translucent</v>
      </c>
      <c r="X1464" s="53" t="str">
        <f t="shared" si="296"/>
        <v>Translucent</v>
      </c>
      <c r="Y1464" s="57">
        <f>IF($X1464="","",IFERROR(VLOOKUP($X1464,'Char Popularity'!$A$2:$C$500,2,FALSE),""))</f>
        <v>2</v>
      </c>
      <c r="Z1464" s="56">
        <f>IF($X1464="",1,IFERROR(VLOOKUP($X1464,'Char Popularity'!$A$2:$C$500,3,FALSE),1))</f>
        <v>0.9</v>
      </c>
      <c r="AA1464" s="62">
        <f>IF($H1464&lt;&gt;"Y",0,(IF($F1464&lt;&gt;"",ROUND(Dashboard!$R$4/$F1464,1),IF(AND($I1464="Base",$E1464="Base"),Dashboard!$R$5,IF(AND($I1464="Base",$E1464="Red"),Dashboard!$R$6,IF(AND($I1464="Base",$E1464="Gold"),Dashboard!$R$7,VLOOKUP($I1464,Dashboard!$Q$16:$R$21,2,FALSE)))))*VLOOKUP($I1464,Dashboard!$Q$9:$R$13,2,FALSE)*IF(AND($I1464="Auto",$F1464="",OR($B1464="Autographs Duals",$B1464="Autographs Triples",$B1464="Autographs Quads",$B1464="Autographs Quads (Inscribed)")),IF($B1464="Autographs Duals",2,IF($B1464="Autographs Triples",3,4)),1)))</f>
        <v>40</v>
      </c>
      <c r="AB1464" s="62">
        <f t="shared" si="297"/>
        <v>40</v>
      </c>
      <c r="AC1464" s="62">
        <f t="shared" si="298"/>
        <v>0</v>
      </c>
    </row>
    <row r="1465" spans="1:29" ht="28.7" customHeight="1" x14ac:dyDescent="0.25">
      <c r="A1465" s="4" t="s">
        <v>21</v>
      </c>
      <c r="B1465" s="7" t="s">
        <v>95</v>
      </c>
      <c r="C1465" s="2" t="s">
        <v>414</v>
      </c>
      <c r="D1465" s="7" t="s">
        <v>254</v>
      </c>
      <c r="E1465" s="4" t="s">
        <v>780</v>
      </c>
      <c r="F1465" s="2">
        <v>25</v>
      </c>
      <c r="G1465" s="2" t="s">
        <v>1399</v>
      </c>
      <c r="H1465" s="2" t="s">
        <v>1400</v>
      </c>
      <c r="I1465" s="4" t="s">
        <v>60</v>
      </c>
      <c r="J1465" s="112">
        <f>IF($H1465&lt;&gt;"Y",0,ROUND(MIN(Dashboard!$R$24,IF(IFERROR(VLOOKUP($B1465,Dashboard!$Q$28:$S$60,2,FALSE),0)&gt;0,IFERROR(VLOOKUP($B1465,Dashboard!$Q$28:$S$60,2,FALSE),0),$Z1465*IF($U1465&lt;&gt;"",ROUND((Dashboard!$R$4/$U1465)*VLOOKUP($I1465,Dashboard!$Q$9:$R$13,2,FALSE)*IF(ISNUMBER(SEARCH("Duals",$B1465)),2,IF(ISNUMBER(SEARCH("Triples",$B1465)),3,IF(ISNUMBER(SEARCH("Quads",$B1465)),4,1))),2),ROUND(VLOOKUP($I1465,Dashboard!$Q$15:$R$20,2,FALSE)*IF($E1465="Red",Dashboard!$R$6,IF($E1465="Gold",Dashboard!$R$7,Dashboard!$R$5))*IF(ISNUMBER(SEARCH("Duals",$B1465)),2,IF(ISNUMBER(SEARCH("Triples",$B1465)),3,IF(ISNUMBER(SEARCH("Quads",$B1465)),4,1))),2))*IF(IFERROR(VLOOKUP($B1465,Dashboard!$Q$28:$S$60,3,FALSE),0)&gt;0,VLOOKUP($B1465,Dashboard!$Q$28:$S$60,3,FALSE),1))),0))</f>
        <v>44</v>
      </c>
      <c r="K1465" s="2" t="str">
        <f>IF(Characters!H15="","",Characters!H15)</f>
        <v>C 05/25</v>
      </c>
      <c r="L1465" s="2">
        <f t="shared" si="286"/>
        <v>1</v>
      </c>
      <c r="M1465" s="2">
        <f t="shared" si="287"/>
        <v>0</v>
      </c>
      <c r="N1465" s="2">
        <f t="shared" si="288"/>
        <v>1</v>
      </c>
      <c r="O1465" s="2">
        <f t="shared" si="289"/>
        <v>0</v>
      </c>
      <c r="P1465" s="112">
        <f t="shared" si="290"/>
        <v>44</v>
      </c>
      <c r="Q1465" s="112">
        <f t="shared" si="291"/>
        <v>0</v>
      </c>
      <c r="R1465" s="53"/>
      <c r="S1465" s="53" t="str">
        <f t="shared" si="292"/>
        <v>Characters|Characters Black Parallel|C-14|Black</v>
      </c>
      <c r="T1465" s="57" t="str">
        <f>IF($S1465="","",IFERROR(VLOOKUP($S1465,'Pop Estimates (Non-#d)'!$N$2:$O$500,2,FALSE),""))</f>
        <v/>
      </c>
      <c r="U1465" s="57">
        <f t="shared" si="293"/>
        <v>25</v>
      </c>
      <c r="V1465" s="53" t="str">
        <f t="shared" si="294"/>
        <v>Stan Edgar</v>
      </c>
      <c r="W1465" s="53" t="str">
        <f t="shared" si="295"/>
        <v>Stan Edgar</v>
      </c>
      <c r="X1465" s="53" t="str">
        <f t="shared" si="296"/>
        <v>Stan Edgar</v>
      </c>
      <c r="Y1465" s="57">
        <f>IF($X1465="","",IFERROR(VLOOKUP($X1465,'Char Popularity'!$A$2:$C$500,2,FALSE),""))</f>
        <v>4</v>
      </c>
      <c r="Z1465" s="56">
        <f>IF($X1465="",1,IFERROR(VLOOKUP($X1465,'Char Popularity'!$A$2:$C$500,3,FALSE),1))</f>
        <v>1.1000000000000001</v>
      </c>
      <c r="AA1465" s="62">
        <f>IF($H1465&lt;&gt;"Y",0,(IF($F1465&lt;&gt;"",ROUND(Dashboard!$R$4/$F1465,1),IF(AND($I1465="Base",$E1465="Base"),Dashboard!$R$5,IF(AND($I1465="Base",$E1465="Red"),Dashboard!$R$6,IF(AND($I1465="Base",$E1465="Gold"),Dashboard!$R$7,VLOOKUP($I1465,Dashboard!$Q$16:$R$21,2,FALSE)))))*VLOOKUP($I1465,Dashboard!$Q$9:$R$13,2,FALSE)*IF(AND($I1465="Auto",$F1465="",OR($B1465="Autographs Duals",$B1465="Autographs Triples",$B1465="Autographs Quads",$B1465="Autographs Quads (Inscribed)")),IF($B1465="Autographs Duals",2,IF($B1465="Autographs Triples",3,4)),1)))</f>
        <v>40</v>
      </c>
      <c r="AB1465" s="62">
        <f t="shared" si="297"/>
        <v>40</v>
      </c>
      <c r="AC1465" s="62">
        <f t="shared" si="298"/>
        <v>0</v>
      </c>
    </row>
    <row r="1466" spans="1:29" ht="28.7" customHeight="1" x14ac:dyDescent="0.25">
      <c r="A1466" s="4" t="s">
        <v>21</v>
      </c>
      <c r="B1466" s="7" t="s">
        <v>95</v>
      </c>
      <c r="C1466" s="2" t="s">
        <v>415</v>
      </c>
      <c r="D1466" s="7" t="s">
        <v>224</v>
      </c>
      <c r="E1466" s="4" t="s">
        <v>780</v>
      </c>
      <c r="F1466" s="2">
        <v>25</v>
      </c>
      <c r="G1466" s="2" t="s">
        <v>1399</v>
      </c>
      <c r="H1466" s="2" t="s">
        <v>1400</v>
      </c>
      <c r="I1466" s="4" t="s">
        <v>60</v>
      </c>
      <c r="J1466" s="112">
        <f>IF($H1466&lt;&gt;"Y",0,ROUND(MIN(Dashboard!$R$24,IF(IFERROR(VLOOKUP($B1466,Dashboard!$Q$28:$S$60,2,FALSE),0)&gt;0,IFERROR(VLOOKUP($B1466,Dashboard!$Q$28:$S$60,2,FALSE),0),$Z1466*IF($U1466&lt;&gt;"",ROUND((Dashboard!$R$4/$U1466)*VLOOKUP($I1466,Dashboard!$Q$9:$R$13,2,FALSE)*IF(ISNUMBER(SEARCH("Duals",$B1466)),2,IF(ISNUMBER(SEARCH("Triples",$B1466)),3,IF(ISNUMBER(SEARCH("Quads",$B1466)),4,1))),2),ROUND(VLOOKUP($I1466,Dashboard!$Q$15:$R$20,2,FALSE)*IF($E1466="Red",Dashboard!$R$6,IF($E1466="Gold",Dashboard!$R$7,Dashboard!$R$5))*IF(ISNUMBER(SEARCH("Duals",$B1466)),2,IF(ISNUMBER(SEARCH("Triples",$B1466)),3,IF(ISNUMBER(SEARCH("Quads",$B1466)),4,1))),2))*IF(IFERROR(VLOOKUP($B1466,Dashboard!$Q$28:$S$60,3,FALSE),0)&gt;0,VLOOKUP($B1466,Dashboard!$Q$28:$S$60,3,FALSE),1))),0))</f>
        <v>36</v>
      </c>
      <c r="K1466" s="2" t="str">
        <f>IF(Characters!H16="","",Characters!H16)</f>
        <v/>
      </c>
      <c r="L1466" s="2">
        <f t="shared" si="286"/>
        <v>0</v>
      </c>
      <c r="M1466" s="2">
        <f t="shared" si="287"/>
        <v>0</v>
      </c>
      <c r="N1466" s="2">
        <f t="shared" si="288"/>
        <v>0</v>
      </c>
      <c r="O1466" s="2">
        <f t="shared" si="289"/>
        <v>1</v>
      </c>
      <c r="P1466" s="112">
        <f t="shared" si="290"/>
        <v>0</v>
      </c>
      <c r="Q1466" s="112">
        <f t="shared" si="291"/>
        <v>0</v>
      </c>
      <c r="R1466" s="53"/>
      <c r="S1466" s="53" t="str">
        <f t="shared" si="292"/>
        <v>Characters|Characters Black Parallel|C-15|Black</v>
      </c>
      <c r="T1466" s="57" t="str">
        <f>IF($S1466="","",IFERROR(VLOOKUP($S1466,'Pop Estimates (Non-#d)'!$N$2:$O$500,2,FALSE),""))</f>
        <v/>
      </c>
      <c r="U1466" s="57">
        <f t="shared" si="293"/>
        <v>25</v>
      </c>
      <c r="V1466" s="53" t="str">
        <f t="shared" si="294"/>
        <v>Popclaw</v>
      </c>
      <c r="W1466" s="53" t="str">
        <f t="shared" si="295"/>
        <v>Popclaw</v>
      </c>
      <c r="X1466" s="53" t="str">
        <f t="shared" si="296"/>
        <v>Popclaw</v>
      </c>
      <c r="Y1466" s="57">
        <f>IF($X1466="","",IFERROR(VLOOKUP($X1466,'Char Popularity'!$A$2:$C$500,2,FALSE),""))</f>
        <v>2</v>
      </c>
      <c r="Z1466" s="56">
        <f>IF($X1466="",1,IFERROR(VLOOKUP($X1466,'Char Popularity'!$A$2:$C$500,3,FALSE),1))</f>
        <v>0.9</v>
      </c>
      <c r="AA1466" s="62">
        <f>IF($H1466&lt;&gt;"Y",0,(IF($F1466&lt;&gt;"",ROUND(Dashboard!$R$4/$F1466,1),IF(AND($I1466="Base",$E1466="Base"),Dashboard!$R$5,IF(AND($I1466="Base",$E1466="Red"),Dashboard!$R$6,IF(AND($I1466="Base",$E1466="Gold"),Dashboard!$R$7,VLOOKUP($I1466,Dashboard!$Q$16:$R$21,2,FALSE)))))*VLOOKUP($I1466,Dashboard!$Q$9:$R$13,2,FALSE)*IF(AND($I1466="Auto",$F1466="",OR($B1466="Autographs Duals",$B1466="Autographs Triples",$B1466="Autographs Quads",$B1466="Autographs Quads (Inscribed)")),IF($B1466="Autographs Duals",2,IF($B1466="Autographs Triples",3,4)),1)))</f>
        <v>40</v>
      </c>
      <c r="AB1466" s="62">
        <f t="shared" si="297"/>
        <v>0</v>
      </c>
      <c r="AC1466" s="62">
        <f t="shared" si="298"/>
        <v>0</v>
      </c>
    </row>
    <row r="1467" spans="1:29" ht="28.7" customHeight="1" x14ac:dyDescent="0.25">
      <c r="A1467" s="4" t="s">
        <v>21</v>
      </c>
      <c r="B1467" s="7" t="s">
        <v>95</v>
      </c>
      <c r="C1467" s="2" t="s">
        <v>1217</v>
      </c>
      <c r="D1467" s="7" t="s">
        <v>1218</v>
      </c>
      <c r="E1467" s="4" t="s">
        <v>780</v>
      </c>
      <c r="F1467" s="2">
        <v>25</v>
      </c>
      <c r="G1467" s="2" t="s">
        <v>1399</v>
      </c>
      <c r="H1467" s="2" t="s">
        <v>1400</v>
      </c>
      <c r="I1467" s="4" t="s">
        <v>60</v>
      </c>
      <c r="J1467" s="112">
        <f>IF($H1467&lt;&gt;"Y",0,ROUND(MIN(Dashboard!$R$24,IF(IFERROR(VLOOKUP($B1467,Dashboard!$Q$28:$S$60,2,FALSE),0)&gt;0,IFERROR(VLOOKUP($B1467,Dashboard!$Q$28:$S$60,2,FALSE),0),$Z1467*IF($U1467&lt;&gt;"",ROUND((Dashboard!$R$4/$U1467)*VLOOKUP($I1467,Dashboard!$Q$9:$R$13,2,FALSE)*IF(ISNUMBER(SEARCH("Duals",$B1467)),2,IF(ISNUMBER(SEARCH("Triples",$B1467)),3,IF(ISNUMBER(SEARCH("Quads",$B1467)),4,1))),2),ROUND(VLOOKUP($I1467,Dashboard!$Q$15:$R$20,2,FALSE)*IF($E1467="Red",Dashboard!$R$6,IF($E1467="Gold",Dashboard!$R$7,Dashboard!$R$5))*IF(ISNUMBER(SEARCH("Duals",$B1467)),2,IF(ISNUMBER(SEARCH("Triples",$B1467)),3,IF(ISNUMBER(SEARCH("Quads",$B1467)),4,1))),2))*IF(IFERROR(VLOOKUP($B1467,Dashboard!$Q$28:$S$60,3,FALSE),0)&gt;0,VLOOKUP($B1467,Dashboard!$Q$28:$S$60,3,FALSE),1))),0))</f>
        <v>36</v>
      </c>
      <c r="K1467" s="2" t="str">
        <f>IF(Characters!H17="","",Characters!H17)</f>
        <v>V 18/25</v>
      </c>
      <c r="L1467" s="2">
        <f t="shared" si="286"/>
        <v>1</v>
      </c>
      <c r="M1467" s="2">
        <f t="shared" si="287"/>
        <v>0</v>
      </c>
      <c r="N1467" s="2">
        <f t="shared" si="288"/>
        <v>1</v>
      </c>
      <c r="O1467" s="2">
        <f t="shared" si="289"/>
        <v>0</v>
      </c>
      <c r="P1467" s="112">
        <f t="shared" si="290"/>
        <v>36</v>
      </c>
      <c r="Q1467" s="112">
        <f t="shared" si="291"/>
        <v>0</v>
      </c>
      <c r="R1467" s="53"/>
      <c r="S1467" s="53" t="str">
        <f t="shared" si="292"/>
        <v>Characters|Characters Black Parallel|C-16|Black</v>
      </c>
      <c r="T1467" s="57" t="str">
        <f>IF($S1467="","",IFERROR(VLOOKUP($S1467,'Pop Estimates (Non-#d)'!$N$2:$O$500,2,FALSE),""))</f>
        <v/>
      </c>
      <c r="U1467" s="57">
        <f t="shared" si="293"/>
        <v>25</v>
      </c>
      <c r="V1467" s="53" t="str">
        <f t="shared" si="294"/>
        <v>Eziekiel</v>
      </c>
      <c r="W1467" s="53" t="str">
        <f t="shared" si="295"/>
        <v>Eziekiel</v>
      </c>
      <c r="X1467" s="53" t="str">
        <f t="shared" si="296"/>
        <v>Eziekiel</v>
      </c>
      <c r="Y1467" s="57">
        <f>IF($X1467="","",IFERROR(VLOOKUP($X1467,'Char Popularity'!$A$2:$C$500,2,FALSE),""))</f>
        <v>2</v>
      </c>
      <c r="Z1467" s="56">
        <f>IF($X1467="",1,IFERROR(VLOOKUP($X1467,'Char Popularity'!$A$2:$C$500,3,FALSE),1))</f>
        <v>0.9</v>
      </c>
      <c r="AA1467" s="62">
        <f>IF($H1467&lt;&gt;"Y",0,(IF($F1467&lt;&gt;"",ROUND(Dashboard!$R$4/$F1467,1),IF(AND($I1467="Base",$E1467="Base"),Dashboard!$R$5,IF(AND($I1467="Base",$E1467="Red"),Dashboard!$R$6,IF(AND($I1467="Base",$E1467="Gold"),Dashboard!$R$7,VLOOKUP($I1467,Dashboard!$Q$16:$R$21,2,FALSE)))))*VLOOKUP($I1467,Dashboard!$Q$9:$R$13,2,FALSE)*IF(AND($I1467="Auto",$F1467="",OR($B1467="Autographs Duals",$B1467="Autographs Triples",$B1467="Autographs Quads",$B1467="Autographs Quads (Inscribed)")),IF($B1467="Autographs Duals",2,IF($B1467="Autographs Triples",3,4)),1)))</f>
        <v>40</v>
      </c>
      <c r="AB1467" s="62">
        <f t="shared" si="297"/>
        <v>40</v>
      </c>
      <c r="AC1467" s="62">
        <f t="shared" si="298"/>
        <v>0</v>
      </c>
    </row>
    <row r="1468" spans="1:29" ht="28.7" customHeight="1" x14ac:dyDescent="0.25">
      <c r="A1468" s="4" t="s">
        <v>21</v>
      </c>
      <c r="B1468" s="7" t="s">
        <v>95</v>
      </c>
      <c r="C1468" s="2" t="s">
        <v>416</v>
      </c>
      <c r="D1468" s="7" t="s">
        <v>234</v>
      </c>
      <c r="E1468" s="4" t="s">
        <v>780</v>
      </c>
      <c r="F1468" s="2">
        <v>25</v>
      </c>
      <c r="G1468" s="2" t="s">
        <v>1399</v>
      </c>
      <c r="H1468" s="2" t="s">
        <v>1400</v>
      </c>
      <c r="I1468" s="4" t="s">
        <v>60</v>
      </c>
      <c r="J1468" s="112">
        <f>IF($H1468&lt;&gt;"Y",0,ROUND(MIN(Dashboard!$R$24,IF(IFERROR(VLOOKUP($B1468,Dashboard!$Q$28:$S$60,2,FALSE),0)&gt;0,IFERROR(VLOOKUP($B1468,Dashboard!$Q$28:$S$60,2,FALSE),0),$Z1468*IF($U1468&lt;&gt;"",ROUND((Dashboard!$R$4/$U1468)*VLOOKUP($I1468,Dashboard!$Q$9:$R$13,2,FALSE)*IF(ISNUMBER(SEARCH("Duals",$B1468)),2,IF(ISNUMBER(SEARCH("Triples",$B1468)),3,IF(ISNUMBER(SEARCH("Quads",$B1468)),4,1))),2),ROUND(VLOOKUP($I1468,Dashboard!$Q$15:$R$20,2,FALSE)*IF($E1468="Red",Dashboard!$R$6,IF($E1468="Gold",Dashboard!$R$7,Dashboard!$R$5))*IF(ISNUMBER(SEARCH("Duals",$B1468)),2,IF(ISNUMBER(SEARCH("Triples",$B1468)),3,IF(ISNUMBER(SEARCH("Quads",$B1468)),4,1))),2))*IF(IFERROR(VLOOKUP($B1468,Dashboard!$Q$28:$S$60,3,FALSE),0)&gt;0,VLOOKUP($B1468,Dashboard!$Q$28:$S$60,3,FALSE),1))),0))</f>
        <v>40</v>
      </c>
      <c r="K1468" s="2" t="str">
        <f>IF(Characters!H18="","",Characters!H18)</f>
        <v>C 18/25</v>
      </c>
      <c r="L1468" s="2">
        <f t="shared" si="286"/>
        <v>1</v>
      </c>
      <c r="M1468" s="2">
        <f t="shared" si="287"/>
        <v>0</v>
      </c>
      <c r="N1468" s="2">
        <f t="shared" si="288"/>
        <v>1</v>
      </c>
      <c r="O1468" s="2">
        <f t="shared" si="289"/>
        <v>0</v>
      </c>
      <c r="P1468" s="112">
        <f t="shared" si="290"/>
        <v>40</v>
      </c>
      <c r="Q1468" s="112">
        <f t="shared" si="291"/>
        <v>0</v>
      </c>
      <c r="R1468" s="53"/>
      <c r="S1468" s="53" t="str">
        <f t="shared" si="292"/>
        <v>Characters|Characters Black Parallel|C-17|Black</v>
      </c>
      <c r="T1468" s="57" t="str">
        <f>IF($S1468="","",IFERROR(VLOOKUP($S1468,'Pop Estimates (Non-#d)'!$N$2:$O$500,2,FALSE),""))</f>
        <v/>
      </c>
      <c r="U1468" s="57">
        <f t="shared" si="293"/>
        <v>25</v>
      </c>
      <c r="V1468" s="53" t="str">
        <f t="shared" si="294"/>
        <v>Ashley Barrett</v>
      </c>
      <c r="W1468" s="53" t="str">
        <f t="shared" si="295"/>
        <v>Ashley Barrett</v>
      </c>
      <c r="X1468" s="53" t="str">
        <f t="shared" si="296"/>
        <v>Ashley Barrett</v>
      </c>
      <c r="Y1468" s="57">
        <f>IF($X1468="","",IFERROR(VLOOKUP($X1468,'Char Popularity'!$A$2:$C$500,2,FALSE),""))</f>
        <v>3</v>
      </c>
      <c r="Z1468" s="56">
        <f>IF($X1468="",1,IFERROR(VLOOKUP($X1468,'Char Popularity'!$A$2:$C$500,3,FALSE),1))</f>
        <v>1</v>
      </c>
      <c r="AA1468" s="62">
        <f>IF($H1468&lt;&gt;"Y",0,(IF($F1468&lt;&gt;"",ROUND(Dashboard!$R$4/$F1468,1),IF(AND($I1468="Base",$E1468="Base"),Dashboard!$R$5,IF(AND($I1468="Base",$E1468="Red"),Dashboard!$R$6,IF(AND($I1468="Base",$E1468="Gold"),Dashboard!$R$7,VLOOKUP($I1468,Dashboard!$Q$16:$R$21,2,FALSE)))))*VLOOKUP($I1468,Dashboard!$Q$9:$R$13,2,FALSE)*IF(AND($I1468="Auto",$F1468="",OR($B1468="Autographs Duals",$B1468="Autographs Triples",$B1468="Autographs Quads",$B1468="Autographs Quads (Inscribed)")),IF($B1468="Autographs Duals",2,IF($B1468="Autographs Triples",3,4)),1)))</f>
        <v>40</v>
      </c>
      <c r="AB1468" s="62">
        <f t="shared" si="297"/>
        <v>40</v>
      </c>
      <c r="AC1468" s="62">
        <f t="shared" si="298"/>
        <v>0</v>
      </c>
    </row>
    <row r="1469" spans="1:29" ht="28.7" customHeight="1" x14ac:dyDescent="0.25">
      <c r="A1469" s="4" t="s">
        <v>21</v>
      </c>
      <c r="B1469" s="7" t="s">
        <v>95</v>
      </c>
      <c r="C1469" s="2" t="s">
        <v>417</v>
      </c>
      <c r="D1469" s="7" t="s">
        <v>308</v>
      </c>
      <c r="E1469" s="4" t="s">
        <v>780</v>
      </c>
      <c r="F1469" s="2">
        <v>25</v>
      </c>
      <c r="G1469" s="2" t="s">
        <v>1399</v>
      </c>
      <c r="H1469" s="2" t="s">
        <v>1400</v>
      </c>
      <c r="I1469" s="4" t="s">
        <v>60</v>
      </c>
      <c r="J1469" s="112">
        <f>IF($H1469&lt;&gt;"Y",0,ROUND(MIN(Dashboard!$R$24,IF(IFERROR(VLOOKUP($B1469,Dashboard!$Q$28:$S$60,2,FALSE),0)&gt;0,IFERROR(VLOOKUP($B1469,Dashboard!$Q$28:$S$60,2,FALSE),0),$Z1469*IF($U1469&lt;&gt;"",ROUND((Dashboard!$R$4/$U1469)*VLOOKUP($I1469,Dashboard!$Q$9:$R$13,2,FALSE)*IF(ISNUMBER(SEARCH("Duals",$B1469)),2,IF(ISNUMBER(SEARCH("Triples",$B1469)),3,IF(ISNUMBER(SEARCH("Quads",$B1469)),4,1))),2),ROUND(VLOOKUP($I1469,Dashboard!$Q$15:$R$20,2,FALSE)*IF($E1469="Red",Dashboard!$R$6,IF($E1469="Gold",Dashboard!$R$7,Dashboard!$R$5))*IF(ISNUMBER(SEARCH("Duals",$B1469)),2,IF(ISNUMBER(SEARCH("Triples",$B1469)),3,IF(ISNUMBER(SEARCH("Quads",$B1469)),4,1))),2))*IF(IFERROR(VLOOKUP($B1469,Dashboard!$Q$28:$S$60,3,FALSE),0)&gt;0,VLOOKUP($B1469,Dashboard!$Q$28:$S$60,3,FALSE),1))),0))</f>
        <v>40</v>
      </c>
      <c r="K1469" s="2" t="str">
        <f>IF(Characters!H19="","",Characters!H19)</f>
        <v>C 19/25</v>
      </c>
      <c r="L1469" s="2">
        <f t="shared" si="286"/>
        <v>1</v>
      </c>
      <c r="M1469" s="2">
        <f t="shared" si="287"/>
        <v>0</v>
      </c>
      <c r="N1469" s="2">
        <f t="shared" si="288"/>
        <v>1</v>
      </c>
      <c r="O1469" s="2">
        <f t="shared" si="289"/>
        <v>0</v>
      </c>
      <c r="P1469" s="112">
        <f t="shared" si="290"/>
        <v>40</v>
      </c>
      <c r="Q1469" s="112">
        <f t="shared" si="291"/>
        <v>0</v>
      </c>
      <c r="R1469" s="53"/>
      <c r="S1469" s="53" t="str">
        <f t="shared" si="292"/>
        <v>Characters|Characters Black Parallel|C-18|Black</v>
      </c>
      <c r="T1469" s="57" t="str">
        <f>IF($S1469="","",IFERROR(VLOOKUP($S1469,'Pop Estimates (Non-#d)'!$N$2:$O$500,2,FALSE),""))</f>
        <v/>
      </c>
      <c r="U1469" s="57">
        <f t="shared" si="293"/>
        <v>25</v>
      </c>
      <c r="V1469" s="53" t="str">
        <f t="shared" si="294"/>
        <v>Becca Butcher</v>
      </c>
      <c r="W1469" s="53" t="str">
        <f t="shared" si="295"/>
        <v>Becca Butcher</v>
      </c>
      <c r="X1469" s="53" t="str">
        <f t="shared" si="296"/>
        <v>Becca Butcher</v>
      </c>
      <c r="Y1469" s="57">
        <f>IF($X1469="","",IFERROR(VLOOKUP($X1469,'Char Popularity'!$A$2:$C$500,2,FALSE),""))</f>
        <v>3</v>
      </c>
      <c r="Z1469" s="56">
        <f>IF($X1469="",1,IFERROR(VLOOKUP($X1469,'Char Popularity'!$A$2:$C$500,3,FALSE),1))</f>
        <v>1</v>
      </c>
      <c r="AA1469" s="62">
        <f>IF($H1469&lt;&gt;"Y",0,(IF($F1469&lt;&gt;"",ROUND(Dashboard!$R$4/$F1469,1),IF(AND($I1469="Base",$E1469="Base"),Dashboard!$R$5,IF(AND($I1469="Base",$E1469="Red"),Dashboard!$R$6,IF(AND($I1469="Base",$E1469="Gold"),Dashboard!$R$7,VLOOKUP($I1469,Dashboard!$Q$16:$R$21,2,FALSE)))))*VLOOKUP($I1469,Dashboard!$Q$9:$R$13,2,FALSE)*IF(AND($I1469="Auto",$F1469="",OR($B1469="Autographs Duals",$B1469="Autographs Triples",$B1469="Autographs Quads",$B1469="Autographs Quads (Inscribed)")),IF($B1469="Autographs Duals",2,IF($B1469="Autographs Triples",3,4)),1)))</f>
        <v>40</v>
      </c>
      <c r="AB1469" s="62">
        <f t="shared" si="297"/>
        <v>40</v>
      </c>
      <c r="AC1469" s="62">
        <f t="shared" si="298"/>
        <v>0</v>
      </c>
    </row>
    <row r="1470" spans="1:29" ht="28.7" customHeight="1" x14ac:dyDescent="0.25">
      <c r="A1470" s="4" t="s">
        <v>21</v>
      </c>
      <c r="B1470" s="7" t="s">
        <v>95</v>
      </c>
      <c r="C1470" s="2" t="s">
        <v>418</v>
      </c>
      <c r="D1470" s="7" t="s">
        <v>301</v>
      </c>
      <c r="E1470" s="4" t="s">
        <v>780</v>
      </c>
      <c r="F1470" s="2">
        <v>25</v>
      </c>
      <c r="G1470" s="2" t="s">
        <v>1399</v>
      </c>
      <c r="H1470" s="2" t="s">
        <v>1400</v>
      </c>
      <c r="I1470" s="4" t="s">
        <v>60</v>
      </c>
      <c r="J1470" s="112">
        <f>IF($H1470&lt;&gt;"Y",0,ROUND(MIN(Dashboard!$R$24,IF(IFERROR(VLOOKUP($B1470,Dashboard!$Q$28:$S$60,2,FALSE),0)&gt;0,IFERROR(VLOOKUP($B1470,Dashboard!$Q$28:$S$60,2,FALSE),0),$Z1470*IF($U1470&lt;&gt;"",ROUND((Dashboard!$R$4/$U1470)*VLOOKUP($I1470,Dashboard!$Q$9:$R$13,2,FALSE)*IF(ISNUMBER(SEARCH("Duals",$B1470)),2,IF(ISNUMBER(SEARCH("Triples",$B1470)),3,IF(ISNUMBER(SEARCH("Quads",$B1470)),4,1))),2),ROUND(VLOOKUP($I1470,Dashboard!$Q$15:$R$20,2,FALSE)*IF($E1470="Red",Dashboard!$R$6,IF($E1470="Gold",Dashboard!$R$7,Dashboard!$R$5))*IF(ISNUMBER(SEARCH("Duals",$B1470)),2,IF(ISNUMBER(SEARCH("Triples",$B1470)),3,IF(ISNUMBER(SEARCH("Quads",$B1470)),4,1))),2))*IF(IFERROR(VLOOKUP($B1470,Dashboard!$Q$28:$S$60,3,FALSE),0)&gt;0,VLOOKUP($B1470,Dashboard!$Q$28:$S$60,3,FALSE),1))),0))</f>
        <v>36</v>
      </c>
      <c r="K1470" s="2" t="str">
        <f>IF(Characters!H20="","",Characters!H20)</f>
        <v>C 21/25</v>
      </c>
      <c r="L1470" s="2">
        <f t="shared" si="286"/>
        <v>1</v>
      </c>
      <c r="M1470" s="2">
        <f t="shared" si="287"/>
        <v>0</v>
      </c>
      <c r="N1470" s="2">
        <f t="shared" si="288"/>
        <v>1</v>
      </c>
      <c r="O1470" s="2">
        <f t="shared" si="289"/>
        <v>0</v>
      </c>
      <c r="P1470" s="112">
        <f t="shared" si="290"/>
        <v>36</v>
      </c>
      <c r="Q1470" s="112">
        <f t="shared" si="291"/>
        <v>0</v>
      </c>
      <c r="R1470" s="53"/>
      <c r="S1470" s="53" t="str">
        <f t="shared" si="292"/>
        <v>Characters|Characters Black Parallel|C-19|Black</v>
      </c>
      <c r="T1470" s="57" t="str">
        <f>IF($S1470="","",IFERROR(VLOOKUP($S1470,'Pop Estimates (Non-#d)'!$N$2:$O$500,2,FALSE),""))</f>
        <v/>
      </c>
      <c r="U1470" s="57">
        <f t="shared" si="293"/>
        <v>25</v>
      </c>
      <c r="V1470" s="53" t="str">
        <f t="shared" si="294"/>
        <v>Lamplighter</v>
      </c>
      <c r="W1470" s="53" t="str">
        <f t="shared" si="295"/>
        <v>Lamplighter</v>
      </c>
      <c r="X1470" s="53" t="str">
        <f t="shared" si="296"/>
        <v>Lamplighter</v>
      </c>
      <c r="Y1470" s="57">
        <f>IF($X1470="","",IFERROR(VLOOKUP($X1470,'Char Popularity'!$A$2:$C$500,2,FALSE),""))</f>
        <v>2</v>
      </c>
      <c r="Z1470" s="56">
        <f>IF($X1470="",1,IFERROR(VLOOKUP($X1470,'Char Popularity'!$A$2:$C$500,3,FALSE),1))</f>
        <v>0.9</v>
      </c>
      <c r="AA1470" s="62">
        <f>IF($H1470&lt;&gt;"Y",0,(IF($F1470&lt;&gt;"",ROUND(Dashboard!$R$4/$F1470,1),IF(AND($I1470="Base",$E1470="Base"),Dashboard!$R$5,IF(AND($I1470="Base",$E1470="Red"),Dashboard!$R$6,IF(AND($I1470="Base",$E1470="Gold"),Dashboard!$R$7,VLOOKUP($I1470,Dashboard!$Q$16:$R$21,2,FALSE)))))*VLOOKUP($I1470,Dashboard!$Q$9:$R$13,2,FALSE)*IF(AND($I1470="Auto",$F1470="",OR($B1470="Autographs Duals",$B1470="Autographs Triples",$B1470="Autographs Quads",$B1470="Autographs Quads (Inscribed)")),IF($B1470="Autographs Duals",2,IF($B1470="Autographs Triples",3,4)),1)))</f>
        <v>40</v>
      </c>
      <c r="AB1470" s="62">
        <f t="shared" si="297"/>
        <v>40</v>
      </c>
      <c r="AC1470" s="62">
        <f t="shared" si="298"/>
        <v>0</v>
      </c>
    </row>
    <row r="1471" spans="1:29" ht="28.7" customHeight="1" x14ac:dyDescent="0.25">
      <c r="A1471" s="4" t="s">
        <v>21</v>
      </c>
      <c r="B1471" s="7" t="s">
        <v>95</v>
      </c>
      <c r="C1471" s="2" t="s">
        <v>420</v>
      </c>
      <c r="D1471" s="7" t="s">
        <v>260</v>
      </c>
      <c r="E1471" s="4" t="s">
        <v>780</v>
      </c>
      <c r="F1471" s="2">
        <v>25</v>
      </c>
      <c r="G1471" s="2" t="s">
        <v>1399</v>
      </c>
      <c r="H1471" s="2" t="s">
        <v>1400</v>
      </c>
      <c r="I1471" s="4" t="s">
        <v>60</v>
      </c>
      <c r="J1471" s="112">
        <f>IF($H1471&lt;&gt;"Y",0,ROUND(MIN(Dashboard!$R$24,IF(IFERROR(VLOOKUP($B1471,Dashboard!$Q$28:$S$60,2,FALSE),0)&gt;0,IFERROR(VLOOKUP($B1471,Dashboard!$Q$28:$S$60,2,FALSE),0),$Z1471*IF($U1471&lt;&gt;"",ROUND((Dashboard!$R$4/$U1471)*VLOOKUP($I1471,Dashboard!$Q$9:$R$13,2,FALSE)*IF(ISNUMBER(SEARCH("Duals",$B1471)),2,IF(ISNUMBER(SEARCH("Triples",$B1471)),3,IF(ISNUMBER(SEARCH("Quads",$B1471)),4,1))),2),ROUND(VLOOKUP($I1471,Dashboard!$Q$15:$R$20,2,FALSE)*IF($E1471="Red",Dashboard!$R$6,IF($E1471="Gold",Dashboard!$R$7,Dashboard!$R$5))*IF(ISNUMBER(SEARCH("Duals",$B1471)),2,IF(ISNUMBER(SEARCH("Triples",$B1471)),3,IF(ISNUMBER(SEARCH("Quads",$B1471)),4,1))),2))*IF(IFERROR(VLOOKUP($B1471,Dashboard!$Q$28:$S$60,3,FALSE),0)&gt;0,VLOOKUP($B1471,Dashboard!$Q$28:$S$60,3,FALSE),1))),0))</f>
        <v>40</v>
      </c>
      <c r="K1471" s="2" t="str">
        <f>IF(Characters!H21="","",Characters!H21)</f>
        <v>C 04/25</v>
      </c>
      <c r="L1471" s="2">
        <f t="shared" si="286"/>
        <v>1</v>
      </c>
      <c r="M1471" s="2">
        <f t="shared" si="287"/>
        <v>0</v>
      </c>
      <c r="N1471" s="2">
        <f t="shared" si="288"/>
        <v>1</v>
      </c>
      <c r="O1471" s="2">
        <f t="shared" si="289"/>
        <v>0</v>
      </c>
      <c r="P1471" s="112">
        <f t="shared" si="290"/>
        <v>40</v>
      </c>
      <c r="Q1471" s="112">
        <f t="shared" si="291"/>
        <v>0</v>
      </c>
      <c r="R1471" s="53"/>
      <c r="S1471" s="53" t="str">
        <f t="shared" si="292"/>
        <v>Characters|Characters Black Parallel|C-20|Black</v>
      </c>
      <c r="T1471" s="57" t="str">
        <f>IF($S1471="","",IFERROR(VLOOKUP($S1471,'Pop Estimates (Non-#d)'!$N$2:$O$500,2,FALSE),""))</f>
        <v/>
      </c>
      <c r="U1471" s="57">
        <f t="shared" si="293"/>
        <v>25</v>
      </c>
      <c r="V1471" s="53" t="str">
        <f t="shared" si="294"/>
        <v>Cherie</v>
      </c>
      <c r="W1471" s="53" t="str">
        <f t="shared" si="295"/>
        <v>Cherie</v>
      </c>
      <c r="X1471" s="53" t="str">
        <f t="shared" si="296"/>
        <v>Cherie</v>
      </c>
      <c r="Y1471" s="57">
        <f>IF($X1471="","",IFERROR(VLOOKUP($X1471,'Char Popularity'!$A$2:$C$500,2,FALSE),""))</f>
        <v>3</v>
      </c>
      <c r="Z1471" s="56">
        <f>IF($X1471="",1,IFERROR(VLOOKUP($X1471,'Char Popularity'!$A$2:$C$500,3,FALSE),1))</f>
        <v>1</v>
      </c>
      <c r="AA1471" s="62">
        <f>IF($H1471&lt;&gt;"Y",0,(IF($F1471&lt;&gt;"",ROUND(Dashboard!$R$4/$F1471,1),IF(AND($I1471="Base",$E1471="Base"),Dashboard!$R$5,IF(AND($I1471="Base",$E1471="Red"),Dashboard!$R$6,IF(AND($I1471="Base",$E1471="Gold"),Dashboard!$R$7,VLOOKUP($I1471,Dashboard!$Q$16:$R$21,2,FALSE)))))*VLOOKUP($I1471,Dashboard!$Q$9:$R$13,2,FALSE)*IF(AND($I1471="Auto",$F1471="",OR($B1471="Autographs Duals",$B1471="Autographs Triples",$B1471="Autographs Quads",$B1471="Autographs Quads (Inscribed)")),IF($B1471="Autographs Duals",2,IF($B1471="Autographs Triples",3,4)),1)))</f>
        <v>40</v>
      </c>
      <c r="AB1471" s="62">
        <f t="shared" si="297"/>
        <v>40</v>
      </c>
      <c r="AC1471" s="62">
        <f t="shared" si="298"/>
        <v>0</v>
      </c>
    </row>
    <row r="1472" spans="1:29" ht="28.7" customHeight="1" x14ac:dyDescent="0.25">
      <c r="A1472" s="4" t="s">
        <v>21</v>
      </c>
      <c r="B1472" s="7" t="s">
        <v>95</v>
      </c>
      <c r="C1472" s="2" t="s">
        <v>421</v>
      </c>
      <c r="D1472" s="7" t="s">
        <v>288</v>
      </c>
      <c r="E1472" s="4" t="s">
        <v>780</v>
      </c>
      <c r="F1472" s="2">
        <v>25</v>
      </c>
      <c r="G1472" s="2" t="s">
        <v>1399</v>
      </c>
      <c r="H1472" s="2" t="s">
        <v>1400</v>
      </c>
      <c r="I1472" s="4" t="s">
        <v>60</v>
      </c>
      <c r="J1472" s="112">
        <f>IF($H1472&lt;&gt;"Y",0,ROUND(MIN(Dashboard!$R$24,IF(IFERROR(VLOOKUP($B1472,Dashboard!$Q$28:$S$60,2,FALSE),0)&gt;0,IFERROR(VLOOKUP($B1472,Dashboard!$Q$28:$S$60,2,FALSE),0),$Z1472*IF($U1472&lt;&gt;"",ROUND((Dashboard!$R$4/$U1472)*VLOOKUP($I1472,Dashboard!$Q$9:$R$13,2,FALSE)*IF(ISNUMBER(SEARCH("Duals",$B1472)),2,IF(ISNUMBER(SEARCH("Triples",$B1472)),3,IF(ISNUMBER(SEARCH("Quads",$B1472)),4,1))),2),ROUND(VLOOKUP($I1472,Dashboard!$Q$15:$R$20,2,FALSE)*IF($E1472="Red",Dashboard!$R$6,IF($E1472="Gold",Dashboard!$R$7,Dashboard!$R$5))*IF(ISNUMBER(SEARCH("Duals",$B1472)),2,IF(ISNUMBER(SEARCH("Triples",$B1472)),3,IF(ISNUMBER(SEARCH("Quads",$B1472)),4,1))),2))*IF(IFERROR(VLOOKUP($B1472,Dashboard!$Q$28:$S$60,3,FALSE),0)&gt;0,VLOOKUP($B1472,Dashboard!$Q$28:$S$60,3,FALSE),1))),0))</f>
        <v>36</v>
      </c>
      <c r="K1472" s="2" t="str">
        <f>IF(Characters!H22="","",Characters!H22)</f>
        <v>C 08/25</v>
      </c>
      <c r="L1472" s="2">
        <f t="shared" si="286"/>
        <v>1</v>
      </c>
      <c r="M1472" s="2">
        <f t="shared" si="287"/>
        <v>0</v>
      </c>
      <c r="N1472" s="2">
        <f t="shared" si="288"/>
        <v>1</v>
      </c>
      <c r="O1472" s="2">
        <f t="shared" si="289"/>
        <v>0</v>
      </c>
      <c r="P1472" s="112">
        <f t="shared" si="290"/>
        <v>36</v>
      </c>
      <c r="Q1472" s="112">
        <f t="shared" si="291"/>
        <v>0</v>
      </c>
      <c r="R1472" s="53"/>
      <c r="S1472" s="53" t="str">
        <f t="shared" si="292"/>
        <v>Characters|Characters Black Parallel|C-21|Black</v>
      </c>
      <c r="T1472" s="57" t="str">
        <f>IF($S1472="","",IFERROR(VLOOKUP($S1472,'Pop Estimates (Non-#d)'!$N$2:$O$500,2,FALSE),""))</f>
        <v/>
      </c>
      <c r="U1472" s="57">
        <f t="shared" si="293"/>
        <v>25</v>
      </c>
      <c r="V1472" s="53" t="str">
        <f t="shared" si="294"/>
        <v>Shockwave</v>
      </c>
      <c r="W1472" s="53" t="str">
        <f t="shared" si="295"/>
        <v>Shockwave</v>
      </c>
      <c r="X1472" s="53" t="str">
        <f t="shared" si="296"/>
        <v>Shockwave</v>
      </c>
      <c r="Y1472" s="57">
        <f>IF($X1472="","",IFERROR(VLOOKUP($X1472,'Char Popularity'!$A$2:$C$500,2,FALSE),""))</f>
        <v>2</v>
      </c>
      <c r="Z1472" s="56">
        <f>IF($X1472="",1,IFERROR(VLOOKUP($X1472,'Char Popularity'!$A$2:$C$500,3,FALSE),1))</f>
        <v>0.9</v>
      </c>
      <c r="AA1472" s="62">
        <f>IF($H1472&lt;&gt;"Y",0,(IF($F1472&lt;&gt;"",ROUND(Dashboard!$R$4/$F1472,1),IF(AND($I1472="Base",$E1472="Base"),Dashboard!$R$5,IF(AND($I1472="Base",$E1472="Red"),Dashboard!$R$6,IF(AND($I1472="Base",$E1472="Gold"),Dashboard!$R$7,VLOOKUP($I1472,Dashboard!$Q$16:$R$21,2,FALSE)))))*VLOOKUP($I1472,Dashboard!$Q$9:$R$13,2,FALSE)*IF(AND($I1472="Auto",$F1472="",OR($B1472="Autographs Duals",$B1472="Autographs Triples",$B1472="Autographs Quads",$B1472="Autographs Quads (Inscribed)")),IF($B1472="Autographs Duals",2,IF($B1472="Autographs Triples",3,4)),1)))</f>
        <v>40</v>
      </c>
      <c r="AB1472" s="62">
        <f t="shared" si="297"/>
        <v>40</v>
      </c>
      <c r="AC1472" s="62">
        <f t="shared" si="298"/>
        <v>0</v>
      </c>
    </row>
    <row r="1473" spans="1:29" ht="28.7" customHeight="1" x14ac:dyDescent="0.25">
      <c r="A1473" s="4" t="s">
        <v>21</v>
      </c>
      <c r="B1473" s="7" t="s">
        <v>95</v>
      </c>
      <c r="C1473" s="2" t="s">
        <v>422</v>
      </c>
      <c r="D1473" s="7" t="s">
        <v>228</v>
      </c>
      <c r="E1473" s="4" t="s">
        <v>780</v>
      </c>
      <c r="F1473" s="2">
        <v>25</v>
      </c>
      <c r="G1473" s="2" t="s">
        <v>1399</v>
      </c>
      <c r="H1473" s="2" t="s">
        <v>1400</v>
      </c>
      <c r="I1473" s="4" t="s">
        <v>60</v>
      </c>
      <c r="J1473" s="112">
        <f>IF($H1473&lt;&gt;"Y",0,ROUND(MIN(Dashboard!$R$24,IF(IFERROR(VLOOKUP($B1473,Dashboard!$Q$28:$S$60,2,FALSE),0)&gt;0,IFERROR(VLOOKUP($B1473,Dashboard!$Q$28:$S$60,2,FALSE),0),$Z1473*IF($U1473&lt;&gt;"",ROUND((Dashboard!$R$4/$U1473)*VLOOKUP($I1473,Dashboard!$Q$9:$R$13,2,FALSE)*IF(ISNUMBER(SEARCH("Duals",$B1473)),2,IF(ISNUMBER(SEARCH("Triples",$B1473)),3,IF(ISNUMBER(SEARCH("Quads",$B1473)),4,1))),2),ROUND(VLOOKUP($I1473,Dashboard!$Q$15:$R$20,2,FALSE)*IF($E1473="Red",Dashboard!$R$6,IF($E1473="Gold",Dashboard!$R$7,Dashboard!$R$5))*IF(ISNUMBER(SEARCH("Duals",$B1473)),2,IF(ISNUMBER(SEARCH("Triples",$B1473)),3,IF(ISNUMBER(SEARCH("Quads",$B1473)),4,1))),2))*IF(IFERROR(VLOOKUP($B1473,Dashboard!$Q$28:$S$60,3,FALSE),0)&gt;0,VLOOKUP($B1473,Dashboard!$Q$28:$S$60,3,FALSE),1))),0))</f>
        <v>44</v>
      </c>
      <c r="K1473" s="2" t="str">
        <f>IF(Characters!H23="","",Characters!H23)</f>
        <v>C 25/25</v>
      </c>
      <c r="L1473" s="2">
        <f t="shared" si="286"/>
        <v>1</v>
      </c>
      <c r="M1473" s="2">
        <f t="shared" si="287"/>
        <v>0</v>
      </c>
      <c r="N1473" s="2">
        <f t="shared" si="288"/>
        <v>1</v>
      </c>
      <c r="O1473" s="2">
        <f t="shared" si="289"/>
        <v>0</v>
      </c>
      <c r="P1473" s="112">
        <f t="shared" si="290"/>
        <v>44</v>
      </c>
      <c r="Q1473" s="112">
        <f t="shared" si="291"/>
        <v>0</v>
      </c>
      <c r="R1473" s="53"/>
      <c r="S1473" s="53" t="str">
        <f t="shared" si="292"/>
        <v>Characters|Characters Black Parallel|C-22|Black</v>
      </c>
      <c r="T1473" s="57" t="str">
        <f>IF($S1473="","",IFERROR(VLOOKUP($S1473,'Pop Estimates (Non-#d)'!$N$2:$O$500,2,FALSE),""))</f>
        <v/>
      </c>
      <c r="U1473" s="57">
        <f t="shared" si="293"/>
        <v>25</v>
      </c>
      <c r="V1473" s="53" t="str">
        <f t="shared" si="294"/>
        <v>Ryan</v>
      </c>
      <c r="W1473" s="53" t="str">
        <f t="shared" si="295"/>
        <v>Ryan</v>
      </c>
      <c r="X1473" s="53" t="str">
        <f t="shared" si="296"/>
        <v>Ryan</v>
      </c>
      <c r="Y1473" s="57">
        <f>IF($X1473="","",IFERROR(VLOOKUP($X1473,'Char Popularity'!$A$2:$C$500,2,FALSE),""))</f>
        <v>4</v>
      </c>
      <c r="Z1473" s="56">
        <f>IF($X1473="",1,IFERROR(VLOOKUP($X1473,'Char Popularity'!$A$2:$C$500,3,FALSE),1))</f>
        <v>1.1000000000000001</v>
      </c>
      <c r="AA1473" s="62">
        <f>IF($H1473&lt;&gt;"Y",0,(IF($F1473&lt;&gt;"",ROUND(Dashboard!$R$4/$F1473,1),IF(AND($I1473="Base",$E1473="Base"),Dashboard!$R$5,IF(AND($I1473="Base",$E1473="Red"),Dashboard!$R$6,IF(AND($I1473="Base",$E1473="Gold"),Dashboard!$R$7,VLOOKUP($I1473,Dashboard!$Q$16:$R$21,2,FALSE)))))*VLOOKUP($I1473,Dashboard!$Q$9:$R$13,2,FALSE)*IF(AND($I1473="Auto",$F1473="",OR($B1473="Autographs Duals",$B1473="Autographs Triples",$B1473="Autographs Quads",$B1473="Autographs Quads (Inscribed)")),IF($B1473="Autographs Duals",2,IF($B1473="Autographs Triples",3,4)),1)))</f>
        <v>40</v>
      </c>
      <c r="AB1473" s="62">
        <f t="shared" si="297"/>
        <v>40</v>
      </c>
      <c r="AC1473" s="62">
        <f t="shared" si="298"/>
        <v>0</v>
      </c>
    </row>
    <row r="1474" spans="1:29" ht="28.7" customHeight="1" x14ac:dyDescent="0.25">
      <c r="A1474" s="4" t="s">
        <v>21</v>
      </c>
      <c r="B1474" s="7" t="s">
        <v>95</v>
      </c>
      <c r="C1474" s="2" t="s">
        <v>423</v>
      </c>
      <c r="D1474" s="7" t="s">
        <v>301</v>
      </c>
      <c r="E1474" s="4" t="s">
        <v>780</v>
      </c>
      <c r="F1474" s="2">
        <v>25</v>
      </c>
      <c r="G1474" s="2" t="s">
        <v>1399</v>
      </c>
      <c r="H1474" s="2" t="s">
        <v>1400</v>
      </c>
      <c r="I1474" s="4" t="s">
        <v>60</v>
      </c>
      <c r="J1474" s="112">
        <f>IF($H1474&lt;&gt;"Y",0,ROUND(MIN(Dashboard!$R$24,IF(IFERROR(VLOOKUP($B1474,Dashboard!$Q$28:$S$60,2,FALSE),0)&gt;0,IFERROR(VLOOKUP($B1474,Dashboard!$Q$28:$S$60,2,FALSE),0),$Z1474*IF($U1474&lt;&gt;"",ROUND((Dashboard!$R$4/$U1474)*VLOOKUP($I1474,Dashboard!$Q$9:$R$13,2,FALSE)*IF(ISNUMBER(SEARCH("Duals",$B1474)),2,IF(ISNUMBER(SEARCH("Triples",$B1474)),3,IF(ISNUMBER(SEARCH("Quads",$B1474)),4,1))),2),ROUND(VLOOKUP($I1474,Dashboard!$Q$15:$R$20,2,FALSE)*IF($E1474="Red",Dashboard!$R$6,IF($E1474="Gold",Dashboard!$R$7,Dashboard!$R$5))*IF(ISNUMBER(SEARCH("Duals",$B1474)),2,IF(ISNUMBER(SEARCH("Triples",$B1474)),3,IF(ISNUMBER(SEARCH("Quads",$B1474)),4,1))),2))*IF(IFERROR(VLOOKUP($B1474,Dashboard!$Q$28:$S$60,3,FALSE),0)&gt;0,VLOOKUP($B1474,Dashboard!$Q$28:$S$60,3,FALSE),1))),0))</f>
        <v>36</v>
      </c>
      <c r="K1474" s="2" t="str">
        <f>IF(Characters!H24="","",Characters!H24)</f>
        <v/>
      </c>
      <c r="L1474" s="2">
        <f t="shared" ref="L1474:L1537" si="299">IF(AND($K1474&lt;&gt;"",LEFT($K1474,1)&lt;&gt;"Y"),1,0)</f>
        <v>0</v>
      </c>
      <c r="M1474" s="2">
        <f t="shared" ref="M1474:M1537" si="300">IF(LEFT($K1474,1)="Y",1,0)</f>
        <v>0</v>
      </c>
      <c r="N1474" s="2">
        <f t="shared" ref="N1474:N1537" si="301">$L1474+$M1474</f>
        <v>0</v>
      </c>
      <c r="O1474" s="2">
        <f t="shared" ref="O1474:O1537" si="302">IF($H1474="Y",1-$N1474,0)</f>
        <v>1</v>
      </c>
      <c r="P1474" s="112">
        <f t="shared" ref="P1474:P1537" si="303">IF($L1474=1,$J1474,0)</f>
        <v>0</v>
      </c>
      <c r="Q1474" s="112">
        <f t="shared" ref="Q1474:Q1537" si="304">IF($M1474=1,$J1474,0)</f>
        <v>0</v>
      </c>
      <c r="R1474" s="53"/>
      <c r="S1474" s="53" t="str">
        <f t="shared" ref="S1474:S1537" si="305">IF($A1474="","",$A1474&amp;"|"&amp;$B1474&amp;"|"&amp;$C1474&amp;"|"&amp;$E1474)</f>
        <v>Characters|Characters Black Parallel|C-23|Black</v>
      </c>
      <c r="T1474" s="57" t="str">
        <f>IF($S1474="","",IFERROR(VLOOKUP($S1474,'Pop Estimates (Non-#d)'!$N$2:$O$500,2,FALSE),""))</f>
        <v/>
      </c>
      <c r="U1474" s="57">
        <f t="shared" ref="U1474:U1537" si="306">IF($A1474="","",IF($F1474&lt;&gt;"",$F1474,$T1474))</f>
        <v>25</v>
      </c>
      <c r="V1474" s="53" t="str">
        <f t="shared" ref="V1474:V1537" si="307">IF($A1474="","",IF(ISNUMBER(SEARCH(" as ",$D1474)),MID($D1474,SEARCH(" as ",$D1474)+4,255),IF(ISNUMBER(SEARCH("/",$D1474)),LEFT($D1474,FIND("/",$D1474&amp;"/")-1),"")))</f>
        <v>Lamplighter</v>
      </c>
      <c r="W1474" s="53" t="str">
        <f t="shared" ref="W1474:W1537" si="308">IF($V1474="","",TRIM(IFERROR(MID($V1474,SEARCH("(", $V1474)+1,SEARCH(")",$V1474)-SEARCH("(", $V1474)-1),$V1474)))</f>
        <v>Lamplighter</v>
      </c>
      <c r="X1474" s="53" t="str">
        <f t="shared" ref="X1474:X1537" si="309">IF($W1474="","",TRIM(LEFT($W1474&amp;"""",FIND("""",$W1474&amp;"""")-1)))</f>
        <v>Lamplighter</v>
      </c>
      <c r="Y1474" s="57">
        <f>IF($X1474="","",IFERROR(VLOOKUP($X1474,'Char Popularity'!$A$2:$C$500,2,FALSE),""))</f>
        <v>2</v>
      </c>
      <c r="Z1474" s="56">
        <f>IF($X1474="",1,IFERROR(VLOOKUP($X1474,'Char Popularity'!$A$2:$C$500,3,FALSE),1))</f>
        <v>0.9</v>
      </c>
      <c r="AA1474" s="62">
        <f>IF($H1474&lt;&gt;"Y",0,(IF($F1474&lt;&gt;"",ROUND(Dashboard!$R$4/$F1474,1),IF(AND($I1474="Base",$E1474="Base"),Dashboard!$R$5,IF(AND($I1474="Base",$E1474="Red"),Dashboard!$R$6,IF(AND($I1474="Base",$E1474="Gold"),Dashboard!$R$7,VLOOKUP($I1474,Dashboard!$Q$16:$R$21,2,FALSE)))))*VLOOKUP($I1474,Dashboard!$Q$9:$R$13,2,FALSE)*IF(AND($I1474="Auto",$F1474="",OR($B1474="Autographs Duals",$B1474="Autographs Triples",$B1474="Autographs Quads",$B1474="Autographs Quads (Inscribed)")),IF($B1474="Autographs Duals",2,IF($B1474="Autographs Triples",3,4)),1)))</f>
        <v>40</v>
      </c>
      <c r="AB1474" s="62">
        <f t="shared" ref="AB1474:AB1537" si="310">IF($L1474=1,$AA1474,0)</f>
        <v>0</v>
      </c>
      <c r="AC1474" s="62">
        <f t="shared" ref="AC1474:AC1537" si="311">IF($M1474=1,$AA1474,0)</f>
        <v>0</v>
      </c>
    </row>
    <row r="1475" spans="1:29" ht="28.7" customHeight="1" x14ac:dyDescent="0.25">
      <c r="A1475" s="4" t="s">
        <v>21</v>
      </c>
      <c r="B1475" s="7" t="s">
        <v>95</v>
      </c>
      <c r="C1475" s="2" t="s">
        <v>1226</v>
      </c>
      <c r="D1475" s="7" t="s">
        <v>1227</v>
      </c>
      <c r="E1475" s="4" t="s">
        <v>780</v>
      </c>
      <c r="F1475" s="2">
        <v>25</v>
      </c>
      <c r="G1475" s="2" t="s">
        <v>1399</v>
      </c>
      <c r="H1475" s="2" t="s">
        <v>1400</v>
      </c>
      <c r="I1475" s="4" t="s">
        <v>60</v>
      </c>
      <c r="J1475" s="112">
        <f>IF($H1475&lt;&gt;"Y",0,ROUND(MIN(Dashboard!$R$24,IF(IFERROR(VLOOKUP($B1475,Dashboard!$Q$28:$S$60,2,FALSE),0)&gt;0,IFERROR(VLOOKUP($B1475,Dashboard!$Q$28:$S$60,2,FALSE),0),$Z1475*IF($U1475&lt;&gt;"",ROUND((Dashboard!$R$4/$U1475)*VLOOKUP($I1475,Dashboard!$Q$9:$R$13,2,FALSE)*IF(ISNUMBER(SEARCH("Duals",$B1475)),2,IF(ISNUMBER(SEARCH("Triples",$B1475)),3,IF(ISNUMBER(SEARCH("Quads",$B1475)),4,1))),2),ROUND(VLOOKUP($I1475,Dashboard!$Q$15:$R$20,2,FALSE)*IF($E1475="Red",Dashboard!$R$6,IF($E1475="Gold",Dashboard!$R$7,Dashboard!$R$5))*IF(ISNUMBER(SEARCH("Duals",$B1475)),2,IF(ISNUMBER(SEARCH("Triples",$B1475)),3,IF(ISNUMBER(SEARCH("Quads",$B1475)),4,1))),2))*IF(IFERROR(VLOOKUP($B1475,Dashboard!$Q$28:$S$60,3,FALSE),0)&gt;0,VLOOKUP($B1475,Dashboard!$Q$28:$S$60,3,FALSE),1))),0))</f>
        <v>44</v>
      </c>
      <c r="K1475" s="2" t="str">
        <f>IF(Characters!H25="","",Characters!H25)</f>
        <v/>
      </c>
      <c r="L1475" s="2">
        <f t="shared" si="299"/>
        <v>0</v>
      </c>
      <c r="M1475" s="2">
        <f t="shared" si="300"/>
        <v>0</v>
      </c>
      <c r="N1475" s="2">
        <f t="shared" si="301"/>
        <v>0</v>
      </c>
      <c r="O1475" s="2">
        <f t="shared" si="302"/>
        <v>1</v>
      </c>
      <c r="P1475" s="112">
        <f t="shared" si="303"/>
        <v>0</v>
      </c>
      <c r="Q1475" s="112">
        <f t="shared" si="304"/>
        <v>0</v>
      </c>
      <c r="R1475" s="53"/>
      <c r="S1475" s="53" t="str">
        <f t="shared" si="305"/>
        <v>Characters|Characters Black Parallel|C-24|Black</v>
      </c>
      <c r="T1475" s="57" t="str">
        <f>IF($S1475="","",IFERROR(VLOOKUP($S1475,'Pop Estimates (Non-#d)'!$N$2:$O$500,2,FALSE),""))</f>
        <v/>
      </c>
      <c r="U1475" s="57">
        <f t="shared" si="306"/>
        <v>25</v>
      </c>
      <c r="V1475" s="53" t="str">
        <f t="shared" si="307"/>
        <v>Victoria Neuman</v>
      </c>
      <c r="W1475" s="53" t="str">
        <f t="shared" si="308"/>
        <v>Victoria Neuman</v>
      </c>
      <c r="X1475" s="53" t="str">
        <f t="shared" si="309"/>
        <v>Victoria Neuman</v>
      </c>
      <c r="Y1475" s="57">
        <f>IF($X1475="","",IFERROR(VLOOKUP($X1475,'Char Popularity'!$A$2:$C$500,2,FALSE),""))</f>
        <v>4</v>
      </c>
      <c r="Z1475" s="56">
        <f>IF($X1475="",1,IFERROR(VLOOKUP($X1475,'Char Popularity'!$A$2:$C$500,3,FALSE),1))</f>
        <v>1.1000000000000001</v>
      </c>
      <c r="AA1475" s="62">
        <f>IF($H1475&lt;&gt;"Y",0,(IF($F1475&lt;&gt;"",ROUND(Dashboard!$R$4/$F1475,1),IF(AND($I1475="Base",$E1475="Base"),Dashboard!$R$5,IF(AND($I1475="Base",$E1475="Red"),Dashboard!$R$6,IF(AND($I1475="Base",$E1475="Gold"),Dashboard!$R$7,VLOOKUP($I1475,Dashboard!$Q$16:$R$21,2,FALSE)))))*VLOOKUP($I1475,Dashboard!$Q$9:$R$13,2,FALSE)*IF(AND($I1475="Auto",$F1475="",OR($B1475="Autographs Duals",$B1475="Autographs Triples",$B1475="Autographs Quads",$B1475="Autographs Quads (Inscribed)")),IF($B1475="Autographs Duals",2,IF($B1475="Autographs Triples",3,4)),1)))</f>
        <v>40</v>
      </c>
      <c r="AB1475" s="62">
        <f t="shared" si="310"/>
        <v>0</v>
      </c>
      <c r="AC1475" s="62">
        <f t="shared" si="311"/>
        <v>0</v>
      </c>
    </row>
    <row r="1476" spans="1:29" ht="28.7" customHeight="1" x14ac:dyDescent="0.25">
      <c r="A1476" s="4" t="s">
        <v>21</v>
      </c>
      <c r="B1476" s="7" t="s">
        <v>95</v>
      </c>
      <c r="C1476" s="2" t="s">
        <v>1229</v>
      </c>
      <c r="D1476" s="7" t="s">
        <v>1230</v>
      </c>
      <c r="E1476" s="4" t="s">
        <v>780</v>
      </c>
      <c r="F1476" s="2">
        <v>25</v>
      </c>
      <c r="G1476" s="2" t="s">
        <v>1399</v>
      </c>
      <c r="H1476" s="2" t="s">
        <v>1400</v>
      </c>
      <c r="I1476" s="4" t="s">
        <v>60</v>
      </c>
      <c r="J1476" s="112">
        <f>IF($H1476&lt;&gt;"Y",0,ROUND(MIN(Dashboard!$R$24,IF(IFERROR(VLOOKUP($B1476,Dashboard!$Q$28:$S$60,2,FALSE),0)&gt;0,IFERROR(VLOOKUP($B1476,Dashboard!$Q$28:$S$60,2,FALSE),0),$Z1476*IF($U1476&lt;&gt;"",ROUND((Dashboard!$R$4/$U1476)*VLOOKUP($I1476,Dashboard!$Q$9:$R$13,2,FALSE)*IF(ISNUMBER(SEARCH("Duals",$B1476)),2,IF(ISNUMBER(SEARCH("Triples",$B1476)),3,IF(ISNUMBER(SEARCH("Quads",$B1476)),4,1))),2),ROUND(VLOOKUP($I1476,Dashboard!$Q$15:$R$20,2,FALSE)*IF($E1476="Red",Dashboard!$R$6,IF($E1476="Gold",Dashboard!$R$7,Dashboard!$R$5))*IF(ISNUMBER(SEARCH("Duals",$B1476)),2,IF(ISNUMBER(SEARCH("Triples",$B1476)),3,IF(ISNUMBER(SEARCH("Quads",$B1476)),4,1))),2))*IF(IFERROR(VLOOKUP($B1476,Dashboard!$Q$28:$S$60,3,FALSE),0)&gt;0,VLOOKUP($B1476,Dashboard!$Q$28:$S$60,3,FALSE),1))),0))</f>
        <v>40</v>
      </c>
      <c r="K1476" s="2" t="str">
        <f>IF(Characters!H26="","",Characters!H26)</f>
        <v>C 15/25</v>
      </c>
      <c r="L1476" s="2">
        <f t="shared" si="299"/>
        <v>1</v>
      </c>
      <c r="M1476" s="2">
        <f t="shared" si="300"/>
        <v>0</v>
      </c>
      <c r="N1476" s="2">
        <f t="shared" si="301"/>
        <v>1</v>
      </c>
      <c r="O1476" s="2">
        <f t="shared" si="302"/>
        <v>0</v>
      </c>
      <c r="P1476" s="112">
        <f t="shared" si="303"/>
        <v>40</v>
      </c>
      <c r="Q1476" s="112">
        <f t="shared" si="304"/>
        <v>0</v>
      </c>
      <c r="R1476" s="53"/>
      <c r="S1476" s="53" t="str">
        <f t="shared" si="305"/>
        <v>Characters|Characters Black Parallel|C-25|Black</v>
      </c>
      <c r="T1476" s="57" t="str">
        <f>IF($S1476="","",IFERROR(VLOOKUP($S1476,'Pop Estimates (Non-#d)'!$N$2:$O$500,2,FALSE),""))</f>
        <v/>
      </c>
      <c r="U1476" s="57">
        <f t="shared" si="306"/>
        <v>25</v>
      </c>
      <c r="V1476" s="53" t="str">
        <f t="shared" si="307"/>
        <v>Donna January</v>
      </c>
      <c r="W1476" s="53" t="str">
        <f t="shared" si="308"/>
        <v>Donna January</v>
      </c>
      <c r="X1476" s="53" t="str">
        <f t="shared" si="309"/>
        <v>Donna January</v>
      </c>
      <c r="Y1476" s="57">
        <f>IF($X1476="","",IFERROR(VLOOKUP($X1476,'Char Popularity'!$A$2:$C$500,2,FALSE),""))</f>
        <v>3</v>
      </c>
      <c r="Z1476" s="56">
        <f>IF($X1476="",1,IFERROR(VLOOKUP($X1476,'Char Popularity'!$A$2:$C$500,3,FALSE),1))</f>
        <v>1</v>
      </c>
      <c r="AA1476" s="62">
        <f>IF($H1476&lt;&gt;"Y",0,(IF($F1476&lt;&gt;"",ROUND(Dashboard!$R$4/$F1476,1),IF(AND($I1476="Base",$E1476="Base"),Dashboard!$R$5,IF(AND($I1476="Base",$E1476="Red"),Dashboard!$R$6,IF(AND($I1476="Base",$E1476="Gold"),Dashboard!$R$7,VLOOKUP($I1476,Dashboard!$Q$16:$R$21,2,FALSE)))))*VLOOKUP($I1476,Dashboard!$Q$9:$R$13,2,FALSE)*IF(AND($I1476="Auto",$F1476="",OR($B1476="Autographs Duals",$B1476="Autographs Triples",$B1476="Autographs Quads",$B1476="Autographs Quads (Inscribed)")),IF($B1476="Autographs Duals",2,IF($B1476="Autographs Triples",3,4)),1)))</f>
        <v>40</v>
      </c>
      <c r="AB1476" s="62">
        <f t="shared" si="310"/>
        <v>40</v>
      </c>
      <c r="AC1476" s="62">
        <f t="shared" si="311"/>
        <v>0</v>
      </c>
    </row>
    <row r="1477" spans="1:29" ht="28.7" customHeight="1" x14ac:dyDescent="0.25">
      <c r="A1477" s="4" t="s">
        <v>21</v>
      </c>
      <c r="B1477" s="7" t="s">
        <v>95</v>
      </c>
      <c r="C1477" s="2" t="s">
        <v>1232</v>
      </c>
      <c r="D1477" s="7" t="s">
        <v>1233</v>
      </c>
      <c r="E1477" s="4" t="s">
        <v>780</v>
      </c>
      <c r="F1477" s="2">
        <v>25</v>
      </c>
      <c r="G1477" s="2" t="s">
        <v>1399</v>
      </c>
      <c r="H1477" s="2" t="s">
        <v>1400</v>
      </c>
      <c r="I1477" s="4" t="s">
        <v>60</v>
      </c>
      <c r="J1477" s="112">
        <f>IF($H1477&lt;&gt;"Y",0,ROUND(MIN(Dashboard!$R$24,IF(IFERROR(VLOOKUP($B1477,Dashboard!$Q$28:$S$60,2,FALSE),0)&gt;0,IFERROR(VLOOKUP($B1477,Dashboard!$Q$28:$S$60,2,FALSE),0),$Z1477*IF($U1477&lt;&gt;"",ROUND((Dashboard!$R$4/$U1477)*VLOOKUP($I1477,Dashboard!$Q$9:$R$13,2,FALSE)*IF(ISNUMBER(SEARCH("Duals",$B1477)),2,IF(ISNUMBER(SEARCH("Triples",$B1477)),3,IF(ISNUMBER(SEARCH("Quads",$B1477)),4,1))),2),ROUND(VLOOKUP($I1477,Dashboard!$Q$15:$R$20,2,FALSE)*IF($E1477="Red",Dashboard!$R$6,IF($E1477="Gold",Dashboard!$R$7,Dashboard!$R$5))*IF(ISNUMBER(SEARCH("Duals",$B1477)),2,IF(ISNUMBER(SEARCH("Triples",$B1477)),3,IF(ISNUMBER(SEARCH("Quads",$B1477)),4,1))),2))*IF(IFERROR(VLOOKUP($B1477,Dashboard!$Q$28:$S$60,3,FALSE),0)&gt;0,VLOOKUP($B1477,Dashboard!$Q$28:$S$60,3,FALSE),1))),0))</f>
        <v>36</v>
      </c>
      <c r="K1477" s="2" t="str">
        <f>IF(Characters!H27="","",Characters!H27)</f>
        <v>C 02/25</v>
      </c>
      <c r="L1477" s="2">
        <f t="shared" si="299"/>
        <v>1</v>
      </c>
      <c r="M1477" s="2">
        <f t="shared" si="300"/>
        <v>0</v>
      </c>
      <c r="N1477" s="2">
        <f t="shared" si="301"/>
        <v>1</v>
      </c>
      <c r="O1477" s="2">
        <f t="shared" si="302"/>
        <v>0</v>
      </c>
      <c r="P1477" s="112">
        <f t="shared" si="303"/>
        <v>36</v>
      </c>
      <c r="Q1477" s="112">
        <f t="shared" si="304"/>
        <v>0</v>
      </c>
      <c r="R1477" s="53"/>
      <c r="S1477" s="53" t="str">
        <f t="shared" si="305"/>
        <v>Characters|Characters Black Parallel|C-26|Black</v>
      </c>
      <c r="T1477" s="57" t="str">
        <f>IF($S1477="","",IFERROR(VLOOKUP($S1477,'Pop Estimates (Non-#d)'!$N$2:$O$500,2,FALSE),""))</f>
        <v/>
      </c>
      <c r="U1477" s="57">
        <f t="shared" si="306"/>
        <v>25</v>
      </c>
      <c r="V1477" s="53" t="str">
        <f t="shared" si="307"/>
        <v>Mesmer</v>
      </c>
      <c r="W1477" s="53" t="str">
        <f t="shared" si="308"/>
        <v>Mesmer</v>
      </c>
      <c r="X1477" s="53" t="str">
        <f t="shared" si="309"/>
        <v>Mesmer</v>
      </c>
      <c r="Y1477" s="57">
        <f>IF($X1477="","",IFERROR(VLOOKUP($X1477,'Char Popularity'!$A$2:$C$500,2,FALSE),""))</f>
        <v>2</v>
      </c>
      <c r="Z1477" s="56">
        <f>IF($X1477="",1,IFERROR(VLOOKUP($X1477,'Char Popularity'!$A$2:$C$500,3,FALSE),1))</f>
        <v>0.9</v>
      </c>
      <c r="AA1477" s="62">
        <f>IF($H1477&lt;&gt;"Y",0,(IF($F1477&lt;&gt;"",ROUND(Dashboard!$R$4/$F1477,1),IF(AND($I1477="Base",$E1477="Base"),Dashboard!$R$5,IF(AND($I1477="Base",$E1477="Red"),Dashboard!$R$6,IF(AND($I1477="Base",$E1477="Gold"),Dashboard!$R$7,VLOOKUP($I1477,Dashboard!$Q$16:$R$21,2,FALSE)))))*VLOOKUP($I1477,Dashboard!$Q$9:$R$13,2,FALSE)*IF(AND($I1477="Auto",$F1477="",OR($B1477="Autographs Duals",$B1477="Autographs Triples",$B1477="Autographs Quads",$B1477="Autographs Quads (Inscribed)")),IF($B1477="Autographs Duals",2,IF($B1477="Autographs Triples",3,4)),1)))</f>
        <v>40</v>
      </c>
      <c r="AB1477" s="62">
        <f t="shared" si="310"/>
        <v>40</v>
      </c>
      <c r="AC1477" s="62">
        <f t="shared" si="311"/>
        <v>0</v>
      </c>
    </row>
    <row r="1478" spans="1:29" ht="28.7" customHeight="1" x14ac:dyDescent="0.25">
      <c r="A1478" s="4" t="s">
        <v>21</v>
      </c>
      <c r="B1478" s="7" t="s">
        <v>95</v>
      </c>
      <c r="C1478" s="2" t="s">
        <v>1234</v>
      </c>
      <c r="D1478" s="7" t="s">
        <v>1235</v>
      </c>
      <c r="E1478" s="4" t="s">
        <v>780</v>
      </c>
      <c r="F1478" s="2">
        <v>25</v>
      </c>
      <c r="G1478" s="2" t="s">
        <v>1399</v>
      </c>
      <c r="H1478" s="2" t="s">
        <v>1400</v>
      </c>
      <c r="I1478" s="4" t="s">
        <v>60</v>
      </c>
      <c r="J1478" s="112">
        <f>IF($H1478&lt;&gt;"Y",0,ROUND(MIN(Dashboard!$R$24,IF(IFERROR(VLOOKUP($B1478,Dashboard!$Q$28:$S$60,2,FALSE),0)&gt;0,IFERROR(VLOOKUP($B1478,Dashboard!$Q$28:$S$60,2,FALSE),0),$Z1478*IF($U1478&lt;&gt;"",ROUND((Dashboard!$R$4/$U1478)*VLOOKUP($I1478,Dashboard!$Q$9:$R$13,2,FALSE)*IF(ISNUMBER(SEARCH("Duals",$B1478)),2,IF(ISNUMBER(SEARCH("Triples",$B1478)),3,IF(ISNUMBER(SEARCH("Quads",$B1478)),4,1))),2),ROUND(VLOOKUP($I1478,Dashboard!$Q$15:$R$20,2,FALSE)*IF($E1478="Red",Dashboard!$R$6,IF($E1478="Gold",Dashboard!$R$7,Dashboard!$R$5))*IF(ISNUMBER(SEARCH("Duals",$B1478)),2,IF(ISNUMBER(SEARCH("Triples",$B1478)),3,IF(ISNUMBER(SEARCH("Quads",$B1478)),4,1))),2))*IF(IFERROR(VLOOKUP($B1478,Dashboard!$Q$28:$S$60,3,FALSE),0)&gt;0,VLOOKUP($B1478,Dashboard!$Q$28:$S$60,3,FALSE),1))),0))</f>
        <v>40</v>
      </c>
      <c r="K1478" s="2" t="str">
        <f>IF(Characters!H28="","",Characters!H28)</f>
        <v>C 15/25</v>
      </c>
      <c r="L1478" s="2">
        <f t="shared" si="299"/>
        <v>1</v>
      </c>
      <c r="M1478" s="2">
        <f t="shared" si="300"/>
        <v>0</v>
      </c>
      <c r="N1478" s="2">
        <f t="shared" si="301"/>
        <v>1</v>
      </c>
      <c r="O1478" s="2">
        <f t="shared" si="302"/>
        <v>0</v>
      </c>
      <c r="P1478" s="112">
        <f t="shared" si="303"/>
        <v>40</v>
      </c>
      <c r="Q1478" s="112">
        <f t="shared" si="304"/>
        <v>0</v>
      </c>
      <c r="R1478" s="53"/>
      <c r="S1478" s="53" t="str">
        <f t="shared" si="305"/>
        <v>Characters|Characters Black Parallel|C-27|Black</v>
      </c>
      <c r="T1478" s="57" t="str">
        <f>IF($S1478="","",IFERROR(VLOOKUP($S1478,'Pop Estimates (Non-#d)'!$N$2:$O$500,2,FALSE),""))</f>
        <v/>
      </c>
      <c r="U1478" s="57">
        <f t="shared" si="306"/>
        <v>25</v>
      </c>
      <c r="V1478" s="53" t="str">
        <f t="shared" si="307"/>
        <v>Hughie Campbell Sr.</v>
      </c>
      <c r="W1478" s="53" t="str">
        <f t="shared" si="308"/>
        <v>Hughie Campbell Sr.</v>
      </c>
      <c r="X1478" s="53" t="str">
        <f t="shared" si="309"/>
        <v>Hughie Campbell Sr.</v>
      </c>
      <c r="Y1478" s="57">
        <f>IF($X1478="","",IFERROR(VLOOKUP($X1478,'Char Popularity'!$A$2:$C$500,2,FALSE),""))</f>
        <v>3</v>
      </c>
      <c r="Z1478" s="56">
        <f>IF($X1478="",1,IFERROR(VLOOKUP($X1478,'Char Popularity'!$A$2:$C$500,3,FALSE),1))</f>
        <v>1</v>
      </c>
      <c r="AA1478" s="62">
        <f>IF($H1478&lt;&gt;"Y",0,(IF($F1478&lt;&gt;"",ROUND(Dashboard!$R$4/$F1478,1),IF(AND($I1478="Base",$E1478="Base"),Dashboard!$R$5,IF(AND($I1478="Base",$E1478="Red"),Dashboard!$R$6,IF(AND($I1478="Base",$E1478="Gold"),Dashboard!$R$7,VLOOKUP($I1478,Dashboard!$Q$16:$R$21,2,FALSE)))))*VLOOKUP($I1478,Dashboard!$Q$9:$R$13,2,FALSE)*IF(AND($I1478="Auto",$F1478="",OR($B1478="Autographs Duals",$B1478="Autographs Triples",$B1478="Autographs Quads",$B1478="Autographs Quads (Inscribed)")),IF($B1478="Autographs Duals",2,IF($B1478="Autographs Triples",3,4)),1)))</f>
        <v>40</v>
      </c>
      <c r="AB1478" s="62">
        <f t="shared" si="310"/>
        <v>40</v>
      </c>
      <c r="AC1478" s="62">
        <f t="shared" si="311"/>
        <v>0</v>
      </c>
    </row>
    <row r="1479" spans="1:29" ht="28.7" customHeight="1" x14ac:dyDescent="0.25">
      <c r="A1479" s="4" t="s">
        <v>21</v>
      </c>
      <c r="B1479" s="7" t="s">
        <v>95</v>
      </c>
      <c r="C1479" s="2" t="s">
        <v>1236</v>
      </c>
      <c r="D1479" s="7" t="s">
        <v>1237</v>
      </c>
      <c r="E1479" s="4" t="s">
        <v>780</v>
      </c>
      <c r="F1479" s="2">
        <v>25</v>
      </c>
      <c r="G1479" s="2" t="s">
        <v>1399</v>
      </c>
      <c r="H1479" s="2" t="s">
        <v>1400</v>
      </c>
      <c r="I1479" s="4" t="s">
        <v>60</v>
      </c>
      <c r="J1479" s="112">
        <f>IF($H1479&lt;&gt;"Y",0,ROUND(MIN(Dashboard!$R$24,IF(IFERROR(VLOOKUP($B1479,Dashboard!$Q$28:$S$60,2,FALSE),0)&gt;0,IFERROR(VLOOKUP($B1479,Dashboard!$Q$28:$S$60,2,FALSE),0),$Z1479*IF($U1479&lt;&gt;"",ROUND((Dashboard!$R$4/$U1479)*VLOOKUP($I1479,Dashboard!$Q$9:$R$13,2,FALSE)*IF(ISNUMBER(SEARCH("Duals",$B1479)),2,IF(ISNUMBER(SEARCH("Triples",$B1479)),3,IF(ISNUMBER(SEARCH("Quads",$B1479)),4,1))),2),ROUND(VLOOKUP($I1479,Dashboard!$Q$15:$R$20,2,FALSE)*IF($E1479="Red",Dashboard!$R$6,IF($E1479="Gold",Dashboard!$R$7,Dashboard!$R$5))*IF(ISNUMBER(SEARCH("Duals",$B1479)),2,IF(ISNUMBER(SEARCH("Triples",$B1479)),3,IF(ISNUMBER(SEARCH("Quads",$B1479)),4,1))),2))*IF(IFERROR(VLOOKUP($B1479,Dashboard!$Q$28:$S$60,3,FALSE),0)&gt;0,VLOOKUP($B1479,Dashboard!$Q$28:$S$60,3,FALSE),1))),0))</f>
        <v>40</v>
      </c>
      <c r="K1479" s="2" t="str">
        <f>IF(Characters!H29="","",Characters!H29)</f>
        <v/>
      </c>
      <c r="L1479" s="2">
        <f t="shared" si="299"/>
        <v>0</v>
      </c>
      <c r="M1479" s="2">
        <f t="shared" si="300"/>
        <v>0</v>
      </c>
      <c r="N1479" s="2">
        <f t="shared" si="301"/>
        <v>0</v>
      </c>
      <c r="O1479" s="2">
        <f t="shared" si="302"/>
        <v>1</v>
      </c>
      <c r="P1479" s="112">
        <f t="shared" si="303"/>
        <v>0</v>
      </c>
      <c r="Q1479" s="112">
        <f t="shared" si="304"/>
        <v>0</v>
      </c>
      <c r="R1479" s="53"/>
      <c r="S1479" s="53" t="str">
        <f t="shared" si="305"/>
        <v>Characters|Characters Black Parallel|C-28|Black</v>
      </c>
      <c r="T1479" s="57" t="str">
        <f>IF($S1479="","",IFERROR(VLOOKUP($S1479,'Pop Estimates (Non-#d)'!$N$2:$O$500,2,FALSE),""))</f>
        <v/>
      </c>
      <c r="U1479" s="57">
        <f t="shared" si="306"/>
        <v>25</v>
      </c>
      <c r="V1479" s="53" t="str">
        <f t="shared" si="307"/>
        <v>Susan Rayner</v>
      </c>
      <c r="W1479" s="53" t="str">
        <f t="shared" si="308"/>
        <v>Susan Rayner</v>
      </c>
      <c r="X1479" s="53" t="str">
        <f t="shared" si="309"/>
        <v>Susan Rayner</v>
      </c>
      <c r="Y1479" s="57">
        <f>IF($X1479="","",IFERROR(VLOOKUP($X1479,'Char Popularity'!$A$2:$C$500,2,FALSE),""))</f>
        <v>3</v>
      </c>
      <c r="Z1479" s="56">
        <f>IF($X1479="",1,IFERROR(VLOOKUP($X1479,'Char Popularity'!$A$2:$C$500,3,FALSE),1))</f>
        <v>1</v>
      </c>
      <c r="AA1479" s="62">
        <f>IF($H1479&lt;&gt;"Y",0,(IF($F1479&lt;&gt;"",ROUND(Dashboard!$R$4/$F1479,1),IF(AND($I1479="Base",$E1479="Base"),Dashboard!$R$5,IF(AND($I1479="Base",$E1479="Red"),Dashboard!$R$6,IF(AND($I1479="Base",$E1479="Gold"),Dashboard!$R$7,VLOOKUP($I1479,Dashboard!$Q$16:$R$21,2,FALSE)))))*VLOOKUP($I1479,Dashboard!$Q$9:$R$13,2,FALSE)*IF(AND($I1479="Auto",$F1479="",OR($B1479="Autographs Duals",$B1479="Autographs Triples",$B1479="Autographs Quads",$B1479="Autographs Quads (Inscribed)")),IF($B1479="Autographs Duals",2,IF($B1479="Autographs Triples",3,4)),1)))</f>
        <v>40</v>
      </c>
      <c r="AB1479" s="62">
        <f t="shared" si="310"/>
        <v>0</v>
      </c>
      <c r="AC1479" s="62">
        <f t="shared" si="311"/>
        <v>0</v>
      </c>
    </row>
    <row r="1480" spans="1:29" ht="28.7" customHeight="1" x14ac:dyDescent="0.25">
      <c r="A1480" s="4" t="s">
        <v>21</v>
      </c>
      <c r="B1480" s="7" t="s">
        <v>95</v>
      </c>
      <c r="C1480" s="2" t="s">
        <v>424</v>
      </c>
      <c r="D1480" s="7" t="s">
        <v>1600</v>
      </c>
      <c r="E1480" s="4" t="s">
        <v>780</v>
      </c>
      <c r="F1480" s="2">
        <v>25</v>
      </c>
      <c r="G1480" s="2" t="s">
        <v>1399</v>
      </c>
      <c r="H1480" s="2" t="s">
        <v>1400</v>
      </c>
      <c r="I1480" s="4" t="s">
        <v>60</v>
      </c>
      <c r="J1480" s="112">
        <f>IF($H1480&lt;&gt;"Y",0,ROUND(MIN(Dashboard!$R$24,IF(IFERROR(VLOOKUP($B1480,Dashboard!$Q$28:$S$60,2,FALSE),0)&gt;0,IFERROR(VLOOKUP($B1480,Dashboard!$Q$28:$S$60,2,FALSE),0),$Z1480*IF($U1480&lt;&gt;"",ROUND((Dashboard!$R$4/$U1480)*VLOOKUP($I1480,Dashboard!$Q$9:$R$13,2,FALSE)*IF(ISNUMBER(SEARCH("Duals",$B1480)),2,IF(ISNUMBER(SEARCH("Triples",$B1480)),3,IF(ISNUMBER(SEARCH("Quads",$B1480)),4,1))),2),ROUND(VLOOKUP($I1480,Dashboard!$Q$15:$R$20,2,FALSE)*IF($E1480="Red",Dashboard!$R$6,IF($E1480="Gold",Dashboard!$R$7,Dashboard!$R$5))*IF(ISNUMBER(SEARCH("Duals",$B1480)),2,IF(ISNUMBER(SEARCH("Triples",$B1480)),3,IF(ISNUMBER(SEARCH("Quads",$B1480)),4,1))),2))*IF(IFERROR(VLOOKUP($B1480,Dashboard!$Q$28:$S$60,3,FALSE),0)&gt;0,VLOOKUP($B1480,Dashboard!$Q$28:$S$60,3,FALSE),1))),0))</f>
        <v>40</v>
      </c>
      <c r="K1480" s="2" t="str">
        <f>IF(Characters!H30="","",Characters!H30)</f>
        <v/>
      </c>
      <c r="L1480" s="2">
        <f t="shared" si="299"/>
        <v>0</v>
      </c>
      <c r="M1480" s="2">
        <f t="shared" si="300"/>
        <v>0</v>
      </c>
      <c r="N1480" s="2">
        <f t="shared" si="301"/>
        <v>0</v>
      </c>
      <c r="O1480" s="2">
        <f t="shared" si="302"/>
        <v>1</v>
      </c>
      <c r="P1480" s="112">
        <f t="shared" si="303"/>
        <v>0</v>
      </c>
      <c r="Q1480" s="112">
        <f t="shared" si="304"/>
        <v>0</v>
      </c>
      <c r="R1480" s="53"/>
      <c r="S1480" s="53" t="str">
        <f t="shared" si="305"/>
        <v>Characters|Characters Black Parallel|C-29|Black</v>
      </c>
      <c r="T1480" s="57" t="str">
        <f>IF($S1480="","",IFERROR(VLOOKUP($S1480,'Pop Estimates (Non-#d)'!$N$2:$O$500,2,FALSE),""))</f>
        <v/>
      </c>
      <c r="U1480" s="57">
        <f t="shared" si="306"/>
        <v>25</v>
      </c>
      <c r="V1480" s="53" t="str">
        <f t="shared" si="307"/>
        <v>Robin</v>
      </c>
      <c r="W1480" s="53" t="str">
        <f t="shared" si="308"/>
        <v>Robin</v>
      </c>
      <c r="X1480" s="53" t="str">
        <f t="shared" si="309"/>
        <v>Robin</v>
      </c>
      <c r="Y1480" s="57">
        <f>IF($X1480="","",IFERROR(VLOOKUP($X1480,'Char Popularity'!$A$2:$C$500,2,FALSE),""))</f>
        <v>3</v>
      </c>
      <c r="Z1480" s="56">
        <f>IF($X1480="",1,IFERROR(VLOOKUP($X1480,'Char Popularity'!$A$2:$C$500,3,FALSE),1))</f>
        <v>1</v>
      </c>
      <c r="AA1480" s="62">
        <f>IF($H1480&lt;&gt;"Y",0,(IF($F1480&lt;&gt;"",ROUND(Dashboard!$R$4/$F1480,1),IF(AND($I1480="Base",$E1480="Base"),Dashboard!$R$5,IF(AND($I1480="Base",$E1480="Red"),Dashboard!$R$6,IF(AND($I1480="Base",$E1480="Gold"),Dashboard!$R$7,VLOOKUP($I1480,Dashboard!$Q$16:$R$21,2,FALSE)))))*VLOOKUP($I1480,Dashboard!$Q$9:$R$13,2,FALSE)*IF(AND($I1480="Auto",$F1480="",OR($B1480="Autographs Duals",$B1480="Autographs Triples",$B1480="Autographs Quads",$B1480="Autographs Quads (Inscribed)")),IF($B1480="Autographs Duals",2,IF($B1480="Autographs Triples",3,4)),1)))</f>
        <v>40</v>
      </c>
      <c r="AB1480" s="62">
        <f t="shared" si="310"/>
        <v>0</v>
      </c>
      <c r="AC1480" s="62">
        <f t="shared" si="311"/>
        <v>0</v>
      </c>
    </row>
    <row r="1481" spans="1:29" ht="28.7" customHeight="1" x14ac:dyDescent="0.25">
      <c r="A1481" s="4" t="s">
        <v>21</v>
      </c>
      <c r="B1481" s="7" t="s">
        <v>95</v>
      </c>
      <c r="C1481" s="2" t="s">
        <v>1239</v>
      </c>
      <c r="D1481" s="7" t="s">
        <v>1233</v>
      </c>
      <c r="E1481" s="4" t="s">
        <v>780</v>
      </c>
      <c r="F1481" s="2">
        <v>25</v>
      </c>
      <c r="G1481" s="2" t="s">
        <v>1399</v>
      </c>
      <c r="H1481" s="2" t="s">
        <v>1400</v>
      </c>
      <c r="I1481" s="4" t="s">
        <v>60</v>
      </c>
      <c r="J1481" s="112">
        <f>IF($H1481&lt;&gt;"Y",0,ROUND(MIN(Dashboard!$R$24,IF(IFERROR(VLOOKUP($B1481,Dashboard!$Q$28:$S$60,2,FALSE),0)&gt;0,IFERROR(VLOOKUP($B1481,Dashboard!$Q$28:$S$60,2,FALSE),0),$Z1481*IF($U1481&lt;&gt;"",ROUND((Dashboard!$R$4/$U1481)*VLOOKUP($I1481,Dashboard!$Q$9:$R$13,2,FALSE)*IF(ISNUMBER(SEARCH("Duals",$B1481)),2,IF(ISNUMBER(SEARCH("Triples",$B1481)),3,IF(ISNUMBER(SEARCH("Quads",$B1481)),4,1))),2),ROUND(VLOOKUP($I1481,Dashboard!$Q$15:$R$20,2,FALSE)*IF($E1481="Red",Dashboard!$R$6,IF($E1481="Gold",Dashboard!$R$7,Dashboard!$R$5))*IF(ISNUMBER(SEARCH("Duals",$B1481)),2,IF(ISNUMBER(SEARCH("Triples",$B1481)),3,IF(ISNUMBER(SEARCH("Quads",$B1481)),4,1))),2))*IF(IFERROR(VLOOKUP($B1481,Dashboard!$Q$28:$S$60,3,FALSE),0)&gt;0,VLOOKUP($B1481,Dashboard!$Q$28:$S$60,3,FALSE),1))),0))</f>
        <v>36</v>
      </c>
      <c r="K1481" s="2" t="str">
        <f>IF(Characters!H31="","",Characters!H31)</f>
        <v/>
      </c>
      <c r="L1481" s="2">
        <f t="shared" si="299"/>
        <v>0</v>
      </c>
      <c r="M1481" s="2">
        <f t="shared" si="300"/>
        <v>0</v>
      </c>
      <c r="N1481" s="2">
        <f t="shared" si="301"/>
        <v>0</v>
      </c>
      <c r="O1481" s="2">
        <f t="shared" si="302"/>
        <v>1</v>
      </c>
      <c r="P1481" s="112">
        <f t="shared" si="303"/>
        <v>0</v>
      </c>
      <c r="Q1481" s="112">
        <f t="shared" si="304"/>
        <v>0</v>
      </c>
      <c r="R1481" s="53"/>
      <c r="S1481" s="53" t="str">
        <f t="shared" si="305"/>
        <v>Characters|Characters Black Parallel|C-30|Black</v>
      </c>
      <c r="T1481" s="57" t="str">
        <f>IF($S1481="","",IFERROR(VLOOKUP($S1481,'Pop Estimates (Non-#d)'!$N$2:$O$500,2,FALSE),""))</f>
        <v/>
      </c>
      <c r="U1481" s="57">
        <f t="shared" si="306"/>
        <v>25</v>
      </c>
      <c r="V1481" s="53" t="str">
        <f t="shared" si="307"/>
        <v>Mesmer</v>
      </c>
      <c r="W1481" s="53" t="str">
        <f t="shared" si="308"/>
        <v>Mesmer</v>
      </c>
      <c r="X1481" s="53" t="str">
        <f t="shared" si="309"/>
        <v>Mesmer</v>
      </c>
      <c r="Y1481" s="57">
        <f>IF($X1481="","",IFERROR(VLOOKUP($X1481,'Char Popularity'!$A$2:$C$500,2,FALSE),""))</f>
        <v>2</v>
      </c>
      <c r="Z1481" s="56">
        <f>IF($X1481="",1,IFERROR(VLOOKUP($X1481,'Char Popularity'!$A$2:$C$500,3,FALSE),1))</f>
        <v>0.9</v>
      </c>
      <c r="AA1481" s="62">
        <f>IF($H1481&lt;&gt;"Y",0,(IF($F1481&lt;&gt;"",ROUND(Dashboard!$R$4/$F1481,1),IF(AND($I1481="Base",$E1481="Base"),Dashboard!$R$5,IF(AND($I1481="Base",$E1481="Red"),Dashboard!$R$6,IF(AND($I1481="Base",$E1481="Gold"),Dashboard!$R$7,VLOOKUP($I1481,Dashboard!$Q$16:$R$21,2,FALSE)))))*VLOOKUP($I1481,Dashboard!$Q$9:$R$13,2,FALSE)*IF(AND($I1481="Auto",$F1481="",OR($B1481="Autographs Duals",$B1481="Autographs Triples",$B1481="Autographs Quads",$B1481="Autographs Quads (Inscribed)")),IF($B1481="Autographs Duals",2,IF($B1481="Autographs Triples",3,4)),1)))</f>
        <v>40</v>
      </c>
      <c r="AB1481" s="62">
        <f t="shared" si="310"/>
        <v>0</v>
      </c>
      <c r="AC1481" s="62">
        <f t="shared" si="311"/>
        <v>0</v>
      </c>
    </row>
    <row r="1482" spans="1:29" ht="28.7" customHeight="1" x14ac:dyDescent="0.25">
      <c r="A1482" s="4" t="s">
        <v>21</v>
      </c>
      <c r="B1482" s="7" t="s">
        <v>95</v>
      </c>
      <c r="C1482" s="2" t="s">
        <v>426</v>
      </c>
      <c r="D1482" s="7" t="s">
        <v>250</v>
      </c>
      <c r="E1482" s="4" t="s">
        <v>780</v>
      </c>
      <c r="F1482" s="2">
        <v>25</v>
      </c>
      <c r="G1482" s="2" t="s">
        <v>1399</v>
      </c>
      <c r="H1482" s="2" t="s">
        <v>1400</v>
      </c>
      <c r="I1482" s="4" t="s">
        <v>60</v>
      </c>
      <c r="J1482" s="112">
        <f>IF($H1482&lt;&gt;"Y",0,ROUND(MIN(Dashboard!$R$24,IF(IFERROR(VLOOKUP($B1482,Dashboard!$Q$28:$S$60,2,FALSE),0)&gt;0,IFERROR(VLOOKUP($B1482,Dashboard!$Q$28:$S$60,2,FALSE),0),$Z1482*IF($U1482&lt;&gt;"",ROUND((Dashboard!$R$4/$U1482)*VLOOKUP($I1482,Dashboard!$Q$9:$R$13,2,FALSE)*IF(ISNUMBER(SEARCH("Duals",$B1482)),2,IF(ISNUMBER(SEARCH("Triples",$B1482)),3,IF(ISNUMBER(SEARCH("Quads",$B1482)),4,1))),2),ROUND(VLOOKUP($I1482,Dashboard!$Q$15:$R$20,2,FALSE)*IF($E1482="Red",Dashboard!$R$6,IF($E1482="Gold",Dashboard!$R$7,Dashboard!$R$5))*IF(ISNUMBER(SEARCH("Duals",$B1482)),2,IF(ISNUMBER(SEARCH("Triples",$B1482)),3,IF(ISNUMBER(SEARCH("Quads",$B1482)),4,1))),2))*IF(IFERROR(VLOOKUP($B1482,Dashboard!$Q$28:$S$60,3,FALSE),0)&gt;0,VLOOKUP($B1482,Dashboard!$Q$28:$S$60,3,FALSE),1))),0))</f>
        <v>40</v>
      </c>
      <c r="K1482" s="2" t="str">
        <f>IF(Characters!H32="","",Characters!H32)</f>
        <v>V 08/25</v>
      </c>
      <c r="L1482" s="2">
        <f t="shared" si="299"/>
        <v>1</v>
      </c>
      <c r="M1482" s="2">
        <f t="shared" si="300"/>
        <v>0</v>
      </c>
      <c r="N1482" s="2">
        <f t="shared" si="301"/>
        <v>1</v>
      </c>
      <c r="O1482" s="2">
        <f t="shared" si="302"/>
        <v>0</v>
      </c>
      <c r="P1482" s="112">
        <f t="shared" si="303"/>
        <v>40</v>
      </c>
      <c r="Q1482" s="112">
        <f t="shared" si="304"/>
        <v>0</v>
      </c>
      <c r="R1482" s="53"/>
      <c r="S1482" s="53" t="str">
        <f t="shared" si="305"/>
        <v>Characters|Characters Black Parallel|C-31|Black</v>
      </c>
      <c r="T1482" s="57" t="str">
        <f>IF($S1482="","",IFERROR(VLOOKUP($S1482,'Pop Estimates (Non-#d)'!$N$2:$O$500,2,FALSE),""))</f>
        <v/>
      </c>
      <c r="U1482" s="57">
        <f t="shared" si="306"/>
        <v>25</v>
      </c>
      <c r="V1482" s="53" t="str">
        <f t="shared" si="307"/>
        <v>Madelyn Stillwell</v>
      </c>
      <c r="W1482" s="53" t="str">
        <f t="shared" si="308"/>
        <v>Madelyn Stillwell</v>
      </c>
      <c r="X1482" s="53" t="str">
        <f t="shared" si="309"/>
        <v>Madelyn Stillwell</v>
      </c>
      <c r="Y1482" s="57">
        <f>IF($X1482="","",IFERROR(VLOOKUP($X1482,'Char Popularity'!$A$2:$C$500,2,FALSE),""))</f>
        <v>3</v>
      </c>
      <c r="Z1482" s="56">
        <f>IF($X1482="",1,IFERROR(VLOOKUP($X1482,'Char Popularity'!$A$2:$C$500,3,FALSE),1))</f>
        <v>1</v>
      </c>
      <c r="AA1482" s="62">
        <f>IF($H1482&lt;&gt;"Y",0,(IF($F1482&lt;&gt;"",ROUND(Dashboard!$R$4/$F1482,1),IF(AND($I1482="Base",$E1482="Base"),Dashboard!$R$5,IF(AND($I1482="Base",$E1482="Red"),Dashboard!$R$6,IF(AND($I1482="Base",$E1482="Gold"),Dashboard!$R$7,VLOOKUP($I1482,Dashboard!$Q$16:$R$21,2,FALSE)))))*VLOOKUP($I1482,Dashboard!$Q$9:$R$13,2,FALSE)*IF(AND($I1482="Auto",$F1482="",OR($B1482="Autographs Duals",$B1482="Autographs Triples",$B1482="Autographs Quads",$B1482="Autographs Quads (Inscribed)")),IF($B1482="Autographs Duals",2,IF($B1482="Autographs Triples",3,4)),1)))</f>
        <v>40</v>
      </c>
      <c r="AB1482" s="62">
        <f t="shared" si="310"/>
        <v>40</v>
      </c>
      <c r="AC1482" s="62">
        <f t="shared" si="311"/>
        <v>0</v>
      </c>
    </row>
    <row r="1483" spans="1:29" ht="28.7" customHeight="1" x14ac:dyDescent="0.25">
      <c r="A1483" s="4" t="s">
        <v>21</v>
      </c>
      <c r="B1483" s="7" t="s">
        <v>95</v>
      </c>
      <c r="C1483" s="2" t="s">
        <v>1242</v>
      </c>
      <c r="D1483" s="7" t="s">
        <v>1243</v>
      </c>
      <c r="E1483" s="4" t="s">
        <v>780</v>
      </c>
      <c r="F1483" s="2">
        <v>25</v>
      </c>
      <c r="G1483" s="2" t="s">
        <v>1399</v>
      </c>
      <c r="H1483" s="2" t="s">
        <v>1400</v>
      </c>
      <c r="I1483" s="4" t="s">
        <v>60</v>
      </c>
      <c r="J1483" s="112">
        <f>IF($H1483&lt;&gt;"Y",0,ROUND(MIN(Dashboard!$R$24,IF(IFERROR(VLOOKUP($B1483,Dashboard!$Q$28:$S$60,2,FALSE),0)&gt;0,IFERROR(VLOOKUP($B1483,Dashboard!$Q$28:$S$60,2,FALSE),0),$Z1483*IF($U1483&lt;&gt;"",ROUND((Dashboard!$R$4/$U1483)*VLOOKUP($I1483,Dashboard!$Q$9:$R$13,2,FALSE)*IF(ISNUMBER(SEARCH("Duals",$B1483)),2,IF(ISNUMBER(SEARCH("Triples",$B1483)),3,IF(ISNUMBER(SEARCH("Quads",$B1483)),4,1))),2),ROUND(VLOOKUP($I1483,Dashboard!$Q$15:$R$20,2,FALSE)*IF($E1483="Red",Dashboard!$R$6,IF($E1483="Gold",Dashboard!$R$7,Dashboard!$R$5))*IF(ISNUMBER(SEARCH("Duals",$B1483)),2,IF(ISNUMBER(SEARCH("Triples",$B1483)),3,IF(ISNUMBER(SEARCH("Quads",$B1483)),4,1))),2))*IF(IFERROR(VLOOKUP($B1483,Dashboard!$Q$28:$S$60,3,FALSE),0)&gt;0,VLOOKUP($B1483,Dashboard!$Q$28:$S$60,3,FALSE),1))),0))</f>
        <v>40</v>
      </c>
      <c r="K1483" s="2" t="str">
        <f>IF(Characters!H33="","",Characters!H33)</f>
        <v>C 17/25</v>
      </c>
      <c r="L1483" s="2">
        <f t="shared" si="299"/>
        <v>1</v>
      </c>
      <c r="M1483" s="2">
        <f t="shared" si="300"/>
        <v>0</v>
      </c>
      <c r="N1483" s="2">
        <f t="shared" si="301"/>
        <v>1</v>
      </c>
      <c r="O1483" s="2">
        <f t="shared" si="302"/>
        <v>0</v>
      </c>
      <c r="P1483" s="112">
        <f t="shared" si="303"/>
        <v>40</v>
      </c>
      <c r="Q1483" s="112">
        <f t="shared" si="304"/>
        <v>0</v>
      </c>
      <c r="R1483" s="53"/>
      <c r="S1483" s="53" t="str">
        <f t="shared" si="305"/>
        <v>Characters|Characters Black Parallel|C-32|Black</v>
      </c>
      <c r="T1483" s="57" t="str">
        <f>IF($S1483="","",IFERROR(VLOOKUP($S1483,'Pop Estimates (Non-#d)'!$N$2:$O$500,2,FALSE),""))</f>
        <v/>
      </c>
      <c r="U1483" s="57">
        <f t="shared" si="306"/>
        <v>25</v>
      </c>
      <c r="V1483" s="53" t="str">
        <f t="shared" si="307"/>
        <v/>
      </c>
      <c r="W1483" s="53" t="str">
        <f t="shared" si="308"/>
        <v/>
      </c>
      <c r="X1483" s="53" t="str">
        <f t="shared" si="309"/>
        <v/>
      </c>
      <c r="Y1483" s="57" t="str">
        <f>IF($X1483="","",IFERROR(VLOOKUP($X1483,'Char Popularity'!$A$2:$C$500,2,FALSE),""))</f>
        <v/>
      </c>
      <c r="Z1483" s="56">
        <f>IF($X1483="",1,IFERROR(VLOOKUP($X1483,'Char Popularity'!$A$2:$C$500,3,FALSE),1))</f>
        <v>1</v>
      </c>
      <c r="AA1483" s="62">
        <f>IF($H1483&lt;&gt;"Y",0,(IF($F1483&lt;&gt;"",ROUND(Dashboard!$R$4/$F1483,1),IF(AND($I1483="Base",$E1483="Base"),Dashboard!$R$5,IF(AND($I1483="Base",$E1483="Red"),Dashboard!$R$6,IF(AND($I1483="Base",$E1483="Gold"),Dashboard!$R$7,VLOOKUP($I1483,Dashboard!$Q$16:$R$21,2,FALSE)))))*VLOOKUP($I1483,Dashboard!$Q$9:$R$13,2,FALSE)*IF(AND($I1483="Auto",$F1483="",OR($B1483="Autographs Duals",$B1483="Autographs Triples",$B1483="Autographs Quads",$B1483="Autographs Quads (Inscribed)")),IF($B1483="Autographs Duals",2,IF($B1483="Autographs Triples",3,4)),1)))</f>
        <v>40</v>
      </c>
      <c r="AB1483" s="62">
        <f t="shared" si="310"/>
        <v>40</v>
      </c>
      <c r="AC1483" s="62">
        <f t="shared" si="311"/>
        <v>0</v>
      </c>
    </row>
    <row r="1484" spans="1:29" ht="28.7" customHeight="1" x14ac:dyDescent="0.25">
      <c r="A1484" s="4" t="s">
        <v>21</v>
      </c>
      <c r="B1484" s="7" t="s">
        <v>95</v>
      </c>
      <c r="C1484" s="2" t="s">
        <v>1244</v>
      </c>
      <c r="D1484" s="7" t="s">
        <v>1245</v>
      </c>
      <c r="E1484" s="4" t="s">
        <v>780</v>
      </c>
      <c r="F1484" s="2">
        <v>25</v>
      </c>
      <c r="G1484" s="2" t="s">
        <v>1399</v>
      </c>
      <c r="H1484" s="2" t="s">
        <v>1400</v>
      </c>
      <c r="I1484" s="4" t="s">
        <v>60</v>
      </c>
      <c r="J1484" s="112">
        <f>IF($H1484&lt;&gt;"Y",0,ROUND(MIN(Dashboard!$R$24,IF(IFERROR(VLOOKUP($B1484,Dashboard!$Q$28:$S$60,2,FALSE),0)&gt;0,IFERROR(VLOOKUP($B1484,Dashboard!$Q$28:$S$60,2,FALSE),0),$Z1484*IF($U1484&lt;&gt;"",ROUND((Dashboard!$R$4/$U1484)*VLOOKUP($I1484,Dashboard!$Q$9:$R$13,2,FALSE)*IF(ISNUMBER(SEARCH("Duals",$B1484)),2,IF(ISNUMBER(SEARCH("Triples",$B1484)),3,IF(ISNUMBER(SEARCH("Quads",$B1484)),4,1))),2),ROUND(VLOOKUP($I1484,Dashboard!$Q$15:$R$20,2,FALSE)*IF($E1484="Red",Dashboard!$R$6,IF($E1484="Gold",Dashboard!$R$7,Dashboard!$R$5))*IF(ISNUMBER(SEARCH("Duals",$B1484)),2,IF(ISNUMBER(SEARCH("Triples",$B1484)),3,IF(ISNUMBER(SEARCH("Quads",$B1484)),4,1))),2))*IF(IFERROR(VLOOKUP($B1484,Dashboard!$Q$28:$S$60,3,FALSE),0)&gt;0,VLOOKUP($B1484,Dashboard!$Q$28:$S$60,3,FALSE),1))),0))</f>
        <v>40</v>
      </c>
      <c r="K1484" s="2" t="str">
        <f>IF(Characters!H34="","",Characters!H34)</f>
        <v>C 11/25</v>
      </c>
      <c r="L1484" s="2">
        <f t="shared" si="299"/>
        <v>1</v>
      </c>
      <c r="M1484" s="2">
        <f t="shared" si="300"/>
        <v>0</v>
      </c>
      <c r="N1484" s="2">
        <f t="shared" si="301"/>
        <v>1</v>
      </c>
      <c r="O1484" s="2">
        <f t="shared" si="302"/>
        <v>0</v>
      </c>
      <c r="P1484" s="112">
        <f t="shared" si="303"/>
        <v>40</v>
      </c>
      <c r="Q1484" s="112">
        <f t="shared" si="304"/>
        <v>0</v>
      </c>
      <c r="R1484" s="53"/>
      <c r="S1484" s="53" t="str">
        <f t="shared" si="305"/>
        <v>Characters|Characters Black Parallel|C-33|Black</v>
      </c>
      <c r="T1484" s="57" t="str">
        <f>IF($S1484="","",IFERROR(VLOOKUP($S1484,'Pop Estimates (Non-#d)'!$N$2:$O$500,2,FALSE),""))</f>
        <v/>
      </c>
      <c r="U1484" s="57">
        <f t="shared" si="306"/>
        <v>25</v>
      </c>
      <c r="V1484" s="53" t="str">
        <f t="shared" si="307"/>
        <v>Eagle the Archer</v>
      </c>
      <c r="W1484" s="53" t="str">
        <f t="shared" si="308"/>
        <v>Eagle the Archer</v>
      </c>
      <c r="X1484" s="53" t="str">
        <f t="shared" si="309"/>
        <v>Eagle the Archer</v>
      </c>
      <c r="Y1484" s="57">
        <f>IF($X1484="","",IFERROR(VLOOKUP($X1484,'Char Popularity'!$A$2:$C$500,2,FALSE),""))</f>
        <v>3</v>
      </c>
      <c r="Z1484" s="56">
        <f>IF($X1484="",1,IFERROR(VLOOKUP($X1484,'Char Popularity'!$A$2:$C$500,3,FALSE),1))</f>
        <v>1</v>
      </c>
      <c r="AA1484" s="62">
        <f>IF($H1484&lt;&gt;"Y",0,(IF($F1484&lt;&gt;"",ROUND(Dashboard!$R$4/$F1484,1),IF(AND($I1484="Base",$E1484="Base"),Dashboard!$R$5,IF(AND($I1484="Base",$E1484="Red"),Dashboard!$R$6,IF(AND($I1484="Base",$E1484="Gold"),Dashboard!$R$7,VLOOKUP($I1484,Dashboard!$Q$16:$R$21,2,FALSE)))))*VLOOKUP($I1484,Dashboard!$Q$9:$R$13,2,FALSE)*IF(AND($I1484="Auto",$F1484="",OR($B1484="Autographs Duals",$B1484="Autographs Triples",$B1484="Autographs Quads",$B1484="Autographs Quads (Inscribed)")),IF($B1484="Autographs Duals",2,IF($B1484="Autographs Triples",3,4)),1)))</f>
        <v>40</v>
      </c>
      <c r="AB1484" s="62">
        <f t="shared" si="310"/>
        <v>40</v>
      </c>
      <c r="AC1484" s="62">
        <f t="shared" si="311"/>
        <v>0</v>
      </c>
    </row>
    <row r="1485" spans="1:29" ht="28.7" customHeight="1" x14ac:dyDescent="0.25">
      <c r="A1485" s="4" t="s">
        <v>21</v>
      </c>
      <c r="B1485" s="7" t="s">
        <v>95</v>
      </c>
      <c r="C1485" s="2" t="s">
        <v>1247</v>
      </c>
      <c r="D1485" s="7" t="s">
        <v>1248</v>
      </c>
      <c r="E1485" s="4" t="s">
        <v>780</v>
      </c>
      <c r="F1485" s="2">
        <v>25</v>
      </c>
      <c r="G1485" s="2" t="s">
        <v>1399</v>
      </c>
      <c r="H1485" s="2" t="s">
        <v>1400</v>
      </c>
      <c r="I1485" s="4" t="s">
        <v>60</v>
      </c>
      <c r="J1485" s="112">
        <f>IF($H1485&lt;&gt;"Y",0,ROUND(MIN(Dashboard!$R$24,IF(IFERROR(VLOOKUP($B1485,Dashboard!$Q$28:$S$60,2,FALSE),0)&gt;0,IFERROR(VLOOKUP($B1485,Dashboard!$Q$28:$S$60,2,FALSE),0),$Z1485*IF($U1485&lt;&gt;"",ROUND((Dashboard!$R$4/$U1485)*VLOOKUP($I1485,Dashboard!$Q$9:$R$13,2,FALSE)*IF(ISNUMBER(SEARCH("Duals",$B1485)),2,IF(ISNUMBER(SEARCH("Triples",$B1485)),3,IF(ISNUMBER(SEARCH("Quads",$B1485)),4,1))),2),ROUND(VLOOKUP($I1485,Dashboard!$Q$15:$R$20,2,FALSE)*IF($E1485="Red",Dashboard!$R$6,IF($E1485="Gold",Dashboard!$R$7,Dashboard!$R$5))*IF(ISNUMBER(SEARCH("Duals",$B1485)),2,IF(ISNUMBER(SEARCH("Triples",$B1485)),3,IF(ISNUMBER(SEARCH("Quads",$B1485)),4,1))),2))*IF(IFERROR(VLOOKUP($B1485,Dashboard!$Q$28:$S$60,3,FALSE),0)&gt;0,VLOOKUP($B1485,Dashboard!$Q$28:$S$60,3,FALSE),1))),0))</f>
        <v>40</v>
      </c>
      <c r="K1485" s="2" t="str">
        <f>IF(Characters!H35="","",Characters!H35)</f>
        <v>V 25/25</v>
      </c>
      <c r="L1485" s="2">
        <f t="shared" si="299"/>
        <v>1</v>
      </c>
      <c r="M1485" s="2">
        <f t="shared" si="300"/>
        <v>0</v>
      </c>
      <c r="N1485" s="2">
        <f t="shared" si="301"/>
        <v>1</v>
      </c>
      <c r="O1485" s="2">
        <f t="shared" si="302"/>
        <v>0</v>
      </c>
      <c r="P1485" s="112">
        <f t="shared" si="303"/>
        <v>40</v>
      </c>
      <c r="Q1485" s="112">
        <f t="shared" si="304"/>
        <v>0</v>
      </c>
      <c r="R1485" s="53"/>
      <c r="S1485" s="53" t="str">
        <f t="shared" si="305"/>
        <v>Characters|Characters Black Parallel|C-34|Black</v>
      </c>
      <c r="T1485" s="57" t="str">
        <f>IF($S1485="","",IFERROR(VLOOKUP($S1485,'Pop Estimates (Non-#d)'!$N$2:$O$500,2,FALSE),""))</f>
        <v/>
      </c>
      <c r="U1485" s="57">
        <f t="shared" si="306"/>
        <v>25</v>
      </c>
      <c r="V1485" s="53" t="str">
        <f t="shared" si="307"/>
        <v>Carol</v>
      </c>
      <c r="W1485" s="53" t="str">
        <f t="shared" si="308"/>
        <v>Carol</v>
      </c>
      <c r="X1485" s="53" t="str">
        <f t="shared" si="309"/>
        <v>Carol</v>
      </c>
      <c r="Y1485" s="57">
        <f>IF($X1485="","",IFERROR(VLOOKUP($X1485,'Char Popularity'!$A$2:$C$500,2,FALSE),""))</f>
        <v>3</v>
      </c>
      <c r="Z1485" s="56">
        <f>IF($X1485="",1,IFERROR(VLOOKUP($X1485,'Char Popularity'!$A$2:$C$500,3,FALSE),1))</f>
        <v>1</v>
      </c>
      <c r="AA1485" s="62">
        <f>IF($H1485&lt;&gt;"Y",0,(IF($F1485&lt;&gt;"",ROUND(Dashboard!$R$4/$F1485,1),IF(AND($I1485="Base",$E1485="Base"),Dashboard!$R$5,IF(AND($I1485="Base",$E1485="Red"),Dashboard!$R$6,IF(AND($I1485="Base",$E1485="Gold"),Dashboard!$R$7,VLOOKUP($I1485,Dashboard!$Q$16:$R$21,2,FALSE)))))*VLOOKUP($I1485,Dashboard!$Q$9:$R$13,2,FALSE)*IF(AND($I1485="Auto",$F1485="",OR($B1485="Autographs Duals",$B1485="Autographs Triples",$B1485="Autographs Quads",$B1485="Autographs Quads (Inscribed)")),IF($B1485="Autographs Duals",2,IF($B1485="Autographs Triples",3,4)),1)))</f>
        <v>40</v>
      </c>
      <c r="AB1485" s="62">
        <f t="shared" si="310"/>
        <v>40</v>
      </c>
      <c r="AC1485" s="62">
        <f t="shared" si="311"/>
        <v>0</v>
      </c>
    </row>
    <row r="1486" spans="1:29" ht="28.7" customHeight="1" x14ac:dyDescent="0.25">
      <c r="A1486" s="4" t="s">
        <v>21</v>
      </c>
      <c r="B1486" s="7" t="s">
        <v>95</v>
      </c>
      <c r="C1486" s="2" t="s">
        <v>1250</v>
      </c>
      <c r="D1486" s="7" t="s">
        <v>1251</v>
      </c>
      <c r="E1486" s="4" t="s">
        <v>780</v>
      </c>
      <c r="F1486" s="2">
        <v>25</v>
      </c>
      <c r="G1486" s="2" t="s">
        <v>1399</v>
      </c>
      <c r="H1486" s="2" t="s">
        <v>1400</v>
      </c>
      <c r="I1486" s="4" t="s">
        <v>60</v>
      </c>
      <c r="J1486" s="112">
        <f>IF($H1486&lt;&gt;"Y",0,ROUND(MIN(Dashboard!$R$24,IF(IFERROR(VLOOKUP($B1486,Dashboard!$Q$28:$S$60,2,FALSE),0)&gt;0,IFERROR(VLOOKUP($B1486,Dashboard!$Q$28:$S$60,2,FALSE),0),$Z1486*IF($U1486&lt;&gt;"",ROUND((Dashboard!$R$4/$U1486)*VLOOKUP($I1486,Dashboard!$Q$9:$R$13,2,FALSE)*IF(ISNUMBER(SEARCH("Duals",$B1486)),2,IF(ISNUMBER(SEARCH("Triples",$B1486)),3,IF(ISNUMBER(SEARCH("Quads",$B1486)),4,1))),2),ROUND(VLOOKUP($I1486,Dashboard!$Q$15:$R$20,2,FALSE)*IF($E1486="Red",Dashboard!$R$6,IF($E1486="Gold",Dashboard!$R$7,Dashboard!$R$5))*IF(ISNUMBER(SEARCH("Duals",$B1486)),2,IF(ISNUMBER(SEARCH("Triples",$B1486)),3,IF(ISNUMBER(SEARCH("Quads",$B1486)),4,1))),2))*IF(IFERROR(VLOOKUP($B1486,Dashboard!$Q$28:$S$60,3,FALSE),0)&gt;0,VLOOKUP($B1486,Dashboard!$Q$28:$S$60,3,FALSE),1))),0))</f>
        <v>36</v>
      </c>
      <c r="K1486" s="2" t="str">
        <f>IF(Characters!H36="","",Characters!H36)</f>
        <v/>
      </c>
      <c r="L1486" s="2">
        <f t="shared" si="299"/>
        <v>0</v>
      </c>
      <c r="M1486" s="2">
        <f t="shared" si="300"/>
        <v>0</v>
      </c>
      <c r="N1486" s="2">
        <f t="shared" si="301"/>
        <v>0</v>
      </c>
      <c r="O1486" s="2">
        <f t="shared" si="302"/>
        <v>1</v>
      </c>
      <c r="P1486" s="112">
        <f t="shared" si="303"/>
        <v>0</v>
      </c>
      <c r="Q1486" s="112">
        <f t="shared" si="304"/>
        <v>0</v>
      </c>
      <c r="R1486" s="53"/>
      <c r="S1486" s="53" t="str">
        <f t="shared" si="305"/>
        <v>Characters|Characters Black Parallel|C-35|Black</v>
      </c>
      <c r="T1486" s="57" t="str">
        <f>IF($S1486="","",IFERROR(VLOOKUP($S1486,'Pop Estimates (Non-#d)'!$N$2:$O$500,2,FALSE),""))</f>
        <v/>
      </c>
      <c r="U1486" s="57">
        <f t="shared" si="306"/>
        <v>25</v>
      </c>
      <c r="V1486" s="53" t="str">
        <f t="shared" si="307"/>
        <v>Kenji Miyashiro</v>
      </c>
      <c r="W1486" s="53" t="str">
        <f t="shared" si="308"/>
        <v>Kenji Miyashiro</v>
      </c>
      <c r="X1486" s="53" t="str">
        <f t="shared" si="309"/>
        <v>Kenji Miyashiro</v>
      </c>
      <c r="Y1486" s="57">
        <f>IF($X1486="","",IFERROR(VLOOKUP($X1486,'Char Popularity'!$A$2:$C$500,2,FALSE),""))</f>
        <v>2</v>
      </c>
      <c r="Z1486" s="56">
        <f>IF($X1486="",1,IFERROR(VLOOKUP($X1486,'Char Popularity'!$A$2:$C$500,3,FALSE),1))</f>
        <v>0.9</v>
      </c>
      <c r="AA1486" s="62">
        <f>IF($H1486&lt;&gt;"Y",0,(IF($F1486&lt;&gt;"",ROUND(Dashboard!$R$4/$F1486,1),IF(AND($I1486="Base",$E1486="Base"),Dashboard!$R$5,IF(AND($I1486="Base",$E1486="Red"),Dashboard!$R$6,IF(AND($I1486="Base",$E1486="Gold"),Dashboard!$R$7,VLOOKUP($I1486,Dashboard!$Q$16:$R$21,2,FALSE)))))*VLOOKUP($I1486,Dashboard!$Q$9:$R$13,2,FALSE)*IF(AND($I1486="Auto",$F1486="",OR($B1486="Autographs Duals",$B1486="Autographs Triples",$B1486="Autographs Quads",$B1486="Autographs Quads (Inscribed)")),IF($B1486="Autographs Duals",2,IF($B1486="Autographs Triples",3,4)),1)))</f>
        <v>40</v>
      </c>
      <c r="AB1486" s="62">
        <f t="shared" si="310"/>
        <v>0</v>
      </c>
      <c r="AC1486" s="62">
        <f t="shared" si="311"/>
        <v>0</v>
      </c>
    </row>
    <row r="1487" spans="1:29" ht="28.7" customHeight="1" x14ac:dyDescent="0.25">
      <c r="A1487" s="4" t="s">
        <v>21</v>
      </c>
      <c r="B1487" s="7" t="s">
        <v>95</v>
      </c>
      <c r="C1487" s="2" t="s">
        <v>1253</v>
      </c>
      <c r="D1487" s="7" t="s">
        <v>1254</v>
      </c>
      <c r="E1487" s="4" t="s">
        <v>780</v>
      </c>
      <c r="F1487" s="2">
        <v>25</v>
      </c>
      <c r="G1487" s="2" t="s">
        <v>1399</v>
      </c>
      <c r="H1487" s="2" t="s">
        <v>1400</v>
      </c>
      <c r="I1487" s="4" t="s">
        <v>60</v>
      </c>
      <c r="J1487" s="112">
        <f>IF($H1487&lt;&gt;"Y",0,ROUND(MIN(Dashboard!$R$24,IF(IFERROR(VLOOKUP($B1487,Dashboard!$Q$28:$S$60,2,FALSE),0)&gt;0,IFERROR(VLOOKUP($B1487,Dashboard!$Q$28:$S$60,2,FALSE),0),$Z1487*IF($U1487&lt;&gt;"",ROUND((Dashboard!$R$4/$U1487)*VLOOKUP($I1487,Dashboard!$Q$9:$R$13,2,FALSE)*IF(ISNUMBER(SEARCH("Duals",$B1487)),2,IF(ISNUMBER(SEARCH("Triples",$B1487)),3,IF(ISNUMBER(SEARCH("Quads",$B1487)),4,1))),2),ROUND(VLOOKUP($I1487,Dashboard!$Q$15:$R$20,2,FALSE)*IF($E1487="Red",Dashboard!$R$6,IF($E1487="Gold",Dashboard!$R$7,Dashboard!$R$5))*IF(ISNUMBER(SEARCH("Duals",$B1487)),2,IF(ISNUMBER(SEARCH("Triples",$B1487)),3,IF(ISNUMBER(SEARCH("Quads",$B1487)),4,1))),2))*IF(IFERROR(VLOOKUP($B1487,Dashboard!$Q$28:$S$60,3,FALSE),0)&gt;0,VLOOKUP($B1487,Dashboard!$Q$28:$S$60,3,FALSE),1))),0))</f>
        <v>40</v>
      </c>
      <c r="K1487" s="2" t="str">
        <f>IF(Characters!H37="","",Characters!H37)</f>
        <v/>
      </c>
      <c r="L1487" s="2">
        <f t="shared" si="299"/>
        <v>0</v>
      </c>
      <c r="M1487" s="2">
        <f t="shared" si="300"/>
        <v>0</v>
      </c>
      <c r="N1487" s="2">
        <f t="shared" si="301"/>
        <v>0</v>
      </c>
      <c r="O1487" s="2">
        <f t="shared" si="302"/>
        <v>1</v>
      </c>
      <c r="P1487" s="112">
        <f t="shared" si="303"/>
        <v>0</v>
      </c>
      <c r="Q1487" s="112">
        <f t="shared" si="304"/>
        <v>0</v>
      </c>
      <c r="R1487" s="53"/>
      <c r="S1487" s="53" t="str">
        <f t="shared" si="305"/>
        <v>Characters|Characters Black Parallel|C-36|Black</v>
      </c>
      <c r="T1487" s="57" t="str">
        <f>IF($S1487="","",IFERROR(VLOOKUP($S1487,'Pop Estimates (Non-#d)'!$N$2:$O$500,2,FALSE),""))</f>
        <v/>
      </c>
      <c r="U1487" s="57">
        <f t="shared" si="306"/>
        <v>25</v>
      </c>
      <c r="V1487" s="53" t="str">
        <f t="shared" si="307"/>
        <v>Elena</v>
      </c>
      <c r="W1487" s="53" t="str">
        <f t="shared" si="308"/>
        <v>Elena</v>
      </c>
      <c r="X1487" s="53" t="str">
        <f t="shared" si="309"/>
        <v>Elena</v>
      </c>
      <c r="Y1487" s="57">
        <f>IF($X1487="","",IFERROR(VLOOKUP($X1487,'Char Popularity'!$A$2:$C$500,2,FALSE),""))</f>
        <v>3</v>
      </c>
      <c r="Z1487" s="56">
        <f>IF($X1487="",1,IFERROR(VLOOKUP($X1487,'Char Popularity'!$A$2:$C$500,3,FALSE),1))</f>
        <v>1</v>
      </c>
      <c r="AA1487" s="62">
        <f>IF($H1487&lt;&gt;"Y",0,(IF($F1487&lt;&gt;"",ROUND(Dashboard!$R$4/$F1487,1),IF(AND($I1487="Base",$E1487="Base"),Dashboard!$R$5,IF(AND($I1487="Base",$E1487="Red"),Dashboard!$R$6,IF(AND($I1487="Base",$E1487="Gold"),Dashboard!$R$7,VLOOKUP($I1487,Dashboard!$Q$16:$R$21,2,FALSE)))))*VLOOKUP($I1487,Dashboard!$Q$9:$R$13,2,FALSE)*IF(AND($I1487="Auto",$F1487="",OR($B1487="Autographs Duals",$B1487="Autographs Triples",$B1487="Autographs Quads",$B1487="Autographs Quads (Inscribed)")),IF($B1487="Autographs Duals",2,IF($B1487="Autographs Triples",3,4)),1)))</f>
        <v>40</v>
      </c>
      <c r="AB1487" s="62">
        <f t="shared" si="310"/>
        <v>0</v>
      </c>
      <c r="AC1487" s="62">
        <f t="shared" si="311"/>
        <v>0</v>
      </c>
    </row>
    <row r="1488" spans="1:29" ht="28.7" customHeight="1" x14ac:dyDescent="0.25">
      <c r="A1488" s="4" t="s">
        <v>21</v>
      </c>
      <c r="B1488" s="7" t="s">
        <v>95</v>
      </c>
      <c r="C1488" s="2" t="s">
        <v>1255</v>
      </c>
      <c r="D1488" s="7" t="s">
        <v>1256</v>
      </c>
      <c r="E1488" s="4" t="s">
        <v>780</v>
      </c>
      <c r="F1488" s="2">
        <v>25</v>
      </c>
      <c r="G1488" s="2" t="s">
        <v>1399</v>
      </c>
      <c r="H1488" s="2" t="s">
        <v>1400</v>
      </c>
      <c r="I1488" s="4" t="s">
        <v>60</v>
      </c>
      <c r="J1488" s="112">
        <f>IF($H1488&lt;&gt;"Y",0,ROUND(MIN(Dashboard!$R$24,IF(IFERROR(VLOOKUP($B1488,Dashboard!$Q$28:$S$60,2,FALSE),0)&gt;0,IFERROR(VLOOKUP($B1488,Dashboard!$Q$28:$S$60,2,FALSE),0),$Z1488*IF($U1488&lt;&gt;"",ROUND((Dashboard!$R$4/$U1488)*VLOOKUP($I1488,Dashboard!$Q$9:$R$13,2,FALSE)*IF(ISNUMBER(SEARCH("Duals",$B1488)),2,IF(ISNUMBER(SEARCH("Triples",$B1488)),3,IF(ISNUMBER(SEARCH("Quads",$B1488)),4,1))),2),ROUND(VLOOKUP($I1488,Dashboard!$Q$15:$R$20,2,FALSE)*IF($E1488="Red",Dashboard!$R$6,IF($E1488="Gold",Dashboard!$R$7,Dashboard!$R$5))*IF(ISNUMBER(SEARCH("Duals",$B1488)),2,IF(ISNUMBER(SEARCH("Triples",$B1488)),3,IF(ISNUMBER(SEARCH("Quads",$B1488)),4,1))),2))*IF(IFERROR(VLOOKUP($B1488,Dashboard!$Q$28:$S$60,3,FALSE),0)&gt;0,VLOOKUP($B1488,Dashboard!$Q$28:$S$60,3,FALSE),1))),0))</f>
        <v>36</v>
      </c>
      <c r="K1488" s="2" t="str">
        <f>IF(Characters!H38="","",Characters!H38)</f>
        <v>C 23/25</v>
      </c>
      <c r="L1488" s="2">
        <f t="shared" si="299"/>
        <v>1</v>
      </c>
      <c r="M1488" s="2">
        <f t="shared" si="300"/>
        <v>0</v>
      </c>
      <c r="N1488" s="2">
        <f t="shared" si="301"/>
        <v>1</v>
      </c>
      <c r="O1488" s="2">
        <f t="shared" si="302"/>
        <v>0</v>
      </c>
      <c r="P1488" s="112">
        <f t="shared" si="303"/>
        <v>36</v>
      </c>
      <c r="Q1488" s="112">
        <f t="shared" si="304"/>
        <v>0</v>
      </c>
      <c r="R1488" s="53"/>
      <c r="S1488" s="53" t="str">
        <f t="shared" si="305"/>
        <v>Characters|Characters Black Parallel|C-37|Black</v>
      </c>
      <c r="T1488" s="57" t="str">
        <f>IF($S1488="","",IFERROR(VLOOKUP($S1488,'Pop Estimates (Non-#d)'!$N$2:$O$500,2,FALSE),""))</f>
        <v/>
      </c>
      <c r="U1488" s="57">
        <f t="shared" si="306"/>
        <v>25</v>
      </c>
      <c r="V1488" s="53" t="str">
        <f t="shared" si="307"/>
        <v>Nathan Franklin</v>
      </c>
      <c r="W1488" s="53" t="str">
        <f t="shared" si="308"/>
        <v>Nathan Franklin</v>
      </c>
      <c r="X1488" s="53" t="str">
        <f t="shared" si="309"/>
        <v>Nathan Franklin</v>
      </c>
      <c r="Y1488" s="57">
        <f>IF($X1488="","",IFERROR(VLOOKUP($X1488,'Char Popularity'!$A$2:$C$500,2,FALSE),""))</f>
        <v>2</v>
      </c>
      <c r="Z1488" s="56">
        <f>IF($X1488="",1,IFERROR(VLOOKUP($X1488,'Char Popularity'!$A$2:$C$500,3,FALSE),1))</f>
        <v>0.9</v>
      </c>
      <c r="AA1488" s="62">
        <f>IF($H1488&lt;&gt;"Y",0,(IF($F1488&lt;&gt;"",ROUND(Dashboard!$R$4/$F1488,1),IF(AND($I1488="Base",$E1488="Base"),Dashboard!$R$5,IF(AND($I1488="Base",$E1488="Red"),Dashboard!$R$6,IF(AND($I1488="Base",$E1488="Gold"),Dashboard!$R$7,VLOOKUP($I1488,Dashboard!$Q$16:$R$21,2,FALSE)))))*VLOOKUP($I1488,Dashboard!$Q$9:$R$13,2,FALSE)*IF(AND($I1488="Auto",$F1488="",OR($B1488="Autographs Duals",$B1488="Autographs Triples",$B1488="Autographs Quads",$B1488="Autographs Quads (Inscribed)")),IF($B1488="Autographs Duals",2,IF($B1488="Autographs Triples",3,4)),1)))</f>
        <v>40</v>
      </c>
      <c r="AB1488" s="62">
        <f t="shared" si="310"/>
        <v>40</v>
      </c>
      <c r="AC1488" s="62">
        <f t="shared" si="311"/>
        <v>0</v>
      </c>
    </row>
    <row r="1489" spans="1:29" ht="28.7" customHeight="1" x14ac:dyDescent="0.25">
      <c r="A1489" s="4" t="s">
        <v>21</v>
      </c>
      <c r="B1489" s="7" t="s">
        <v>95</v>
      </c>
      <c r="C1489" s="2" t="s">
        <v>1257</v>
      </c>
      <c r="D1489" s="7" t="s">
        <v>1235</v>
      </c>
      <c r="E1489" s="4" t="s">
        <v>780</v>
      </c>
      <c r="F1489" s="2">
        <v>25</v>
      </c>
      <c r="G1489" s="2" t="s">
        <v>1399</v>
      </c>
      <c r="H1489" s="2" t="s">
        <v>1400</v>
      </c>
      <c r="I1489" s="4" t="s">
        <v>60</v>
      </c>
      <c r="J1489" s="112">
        <f>IF($H1489&lt;&gt;"Y",0,ROUND(MIN(Dashboard!$R$24,IF(IFERROR(VLOOKUP($B1489,Dashboard!$Q$28:$S$60,2,FALSE),0)&gt;0,IFERROR(VLOOKUP($B1489,Dashboard!$Q$28:$S$60,2,FALSE),0),$Z1489*IF($U1489&lt;&gt;"",ROUND((Dashboard!$R$4/$U1489)*VLOOKUP($I1489,Dashboard!$Q$9:$R$13,2,FALSE)*IF(ISNUMBER(SEARCH("Duals",$B1489)),2,IF(ISNUMBER(SEARCH("Triples",$B1489)),3,IF(ISNUMBER(SEARCH("Quads",$B1489)),4,1))),2),ROUND(VLOOKUP($I1489,Dashboard!$Q$15:$R$20,2,FALSE)*IF($E1489="Red",Dashboard!$R$6,IF($E1489="Gold",Dashboard!$R$7,Dashboard!$R$5))*IF(ISNUMBER(SEARCH("Duals",$B1489)),2,IF(ISNUMBER(SEARCH("Triples",$B1489)),3,IF(ISNUMBER(SEARCH("Quads",$B1489)),4,1))),2))*IF(IFERROR(VLOOKUP($B1489,Dashboard!$Q$28:$S$60,3,FALSE),0)&gt;0,VLOOKUP($B1489,Dashboard!$Q$28:$S$60,3,FALSE),1))),0))</f>
        <v>40</v>
      </c>
      <c r="K1489" s="2" t="str">
        <f>IF(Characters!H39="","",Characters!H39)</f>
        <v>C 15/25</v>
      </c>
      <c r="L1489" s="2">
        <f t="shared" si="299"/>
        <v>1</v>
      </c>
      <c r="M1489" s="2">
        <f t="shared" si="300"/>
        <v>0</v>
      </c>
      <c r="N1489" s="2">
        <f t="shared" si="301"/>
        <v>1</v>
      </c>
      <c r="O1489" s="2">
        <f t="shared" si="302"/>
        <v>0</v>
      </c>
      <c r="P1489" s="112">
        <f t="shared" si="303"/>
        <v>40</v>
      </c>
      <c r="Q1489" s="112">
        <f t="shared" si="304"/>
        <v>0</v>
      </c>
      <c r="R1489" s="53"/>
      <c r="S1489" s="53" t="str">
        <f t="shared" si="305"/>
        <v>Characters|Characters Black Parallel|C-38|Black</v>
      </c>
      <c r="T1489" s="57" t="str">
        <f>IF($S1489="","",IFERROR(VLOOKUP($S1489,'Pop Estimates (Non-#d)'!$N$2:$O$500,2,FALSE),""))</f>
        <v/>
      </c>
      <c r="U1489" s="57">
        <f t="shared" si="306"/>
        <v>25</v>
      </c>
      <c r="V1489" s="53" t="str">
        <f t="shared" si="307"/>
        <v>Hughie Campbell Sr.</v>
      </c>
      <c r="W1489" s="53" t="str">
        <f t="shared" si="308"/>
        <v>Hughie Campbell Sr.</v>
      </c>
      <c r="X1489" s="53" t="str">
        <f t="shared" si="309"/>
        <v>Hughie Campbell Sr.</v>
      </c>
      <c r="Y1489" s="57">
        <f>IF($X1489="","",IFERROR(VLOOKUP($X1489,'Char Popularity'!$A$2:$C$500,2,FALSE),""))</f>
        <v>3</v>
      </c>
      <c r="Z1489" s="56">
        <f>IF($X1489="",1,IFERROR(VLOOKUP($X1489,'Char Popularity'!$A$2:$C$500,3,FALSE),1))</f>
        <v>1</v>
      </c>
      <c r="AA1489" s="62">
        <f>IF($H1489&lt;&gt;"Y",0,(IF($F1489&lt;&gt;"",ROUND(Dashboard!$R$4/$F1489,1),IF(AND($I1489="Base",$E1489="Base"),Dashboard!$R$5,IF(AND($I1489="Base",$E1489="Red"),Dashboard!$R$6,IF(AND($I1489="Base",$E1489="Gold"),Dashboard!$R$7,VLOOKUP($I1489,Dashboard!$Q$16:$R$21,2,FALSE)))))*VLOOKUP($I1489,Dashboard!$Q$9:$R$13,2,FALSE)*IF(AND($I1489="Auto",$F1489="",OR($B1489="Autographs Duals",$B1489="Autographs Triples",$B1489="Autographs Quads",$B1489="Autographs Quads (Inscribed)")),IF($B1489="Autographs Duals",2,IF($B1489="Autographs Triples",3,4)),1)))</f>
        <v>40</v>
      </c>
      <c r="AB1489" s="62">
        <f t="shared" si="310"/>
        <v>40</v>
      </c>
      <c r="AC1489" s="62">
        <f t="shared" si="311"/>
        <v>0</v>
      </c>
    </row>
    <row r="1490" spans="1:29" ht="28.7" customHeight="1" x14ac:dyDescent="0.25">
      <c r="A1490" s="4" t="s">
        <v>21</v>
      </c>
      <c r="B1490" s="7" t="s">
        <v>95</v>
      </c>
      <c r="C1490" s="2" t="s">
        <v>427</v>
      </c>
      <c r="D1490" s="7" t="s">
        <v>283</v>
      </c>
      <c r="E1490" s="4" t="s">
        <v>780</v>
      </c>
      <c r="F1490" s="2">
        <v>25</v>
      </c>
      <c r="G1490" s="2" t="s">
        <v>1399</v>
      </c>
      <c r="H1490" s="2" t="s">
        <v>1400</v>
      </c>
      <c r="I1490" s="4" t="s">
        <v>60</v>
      </c>
      <c r="J1490" s="112">
        <f>IF($H1490&lt;&gt;"Y",0,ROUND(MIN(Dashboard!$R$24,IF(IFERROR(VLOOKUP($B1490,Dashboard!$Q$28:$S$60,2,FALSE),0)&gt;0,IFERROR(VLOOKUP($B1490,Dashboard!$Q$28:$S$60,2,FALSE),0),$Z1490*IF($U1490&lt;&gt;"",ROUND((Dashboard!$R$4/$U1490)*VLOOKUP($I1490,Dashboard!$Q$9:$R$13,2,FALSE)*IF(ISNUMBER(SEARCH("Duals",$B1490)),2,IF(ISNUMBER(SEARCH("Triples",$B1490)),3,IF(ISNUMBER(SEARCH("Quads",$B1490)),4,1))),2),ROUND(VLOOKUP($I1490,Dashboard!$Q$15:$R$20,2,FALSE)*IF($E1490="Red",Dashboard!$R$6,IF($E1490="Gold",Dashboard!$R$7,Dashboard!$R$5))*IF(ISNUMBER(SEARCH("Duals",$B1490)),2,IF(ISNUMBER(SEARCH("Triples",$B1490)),3,IF(ISNUMBER(SEARCH("Quads",$B1490)),4,1))),2))*IF(IFERROR(VLOOKUP($B1490,Dashboard!$Q$28:$S$60,3,FALSE),0)&gt;0,VLOOKUP($B1490,Dashboard!$Q$28:$S$60,3,FALSE),1))),0))</f>
        <v>44</v>
      </c>
      <c r="K1490" s="2" t="str">
        <f>IF(Characters!H40="","",Characters!H40)</f>
        <v>C 06/25</v>
      </c>
      <c r="L1490" s="2">
        <f t="shared" si="299"/>
        <v>1</v>
      </c>
      <c r="M1490" s="2">
        <f t="shared" si="300"/>
        <v>0</v>
      </c>
      <c r="N1490" s="2">
        <f t="shared" si="301"/>
        <v>1</v>
      </c>
      <c r="O1490" s="2">
        <f t="shared" si="302"/>
        <v>0</v>
      </c>
      <c r="P1490" s="112">
        <f t="shared" si="303"/>
        <v>44</v>
      </c>
      <c r="Q1490" s="112">
        <f t="shared" si="304"/>
        <v>0</v>
      </c>
      <c r="R1490" s="53"/>
      <c r="S1490" s="53" t="str">
        <f t="shared" si="305"/>
        <v>Characters|Characters Black Parallel|C-39|Black</v>
      </c>
      <c r="T1490" s="57" t="str">
        <f>IF($S1490="","",IFERROR(VLOOKUP($S1490,'Pop Estimates (Non-#d)'!$N$2:$O$500,2,FALSE),""))</f>
        <v/>
      </c>
      <c r="U1490" s="57">
        <f t="shared" si="306"/>
        <v>25</v>
      </c>
      <c r="V1490" s="53" t="str">
        <f t="shared" si="307"/>
        <v>Black Noir</v>
      </c>
      <c r="W1490" s="53" t="str">
        <f t="shared" si="308"/>
        <v>Black Noir</v>
      </c>
      <c r="X1490" s="53" t="str">
        <f t="shared" si="309"/>
        <v>Black Noir</v>
      </c>
      <c r="Y1490" s="57">
        <f>IF($X1490="","",IFERROR(VLOOKUP($X1490,'Char Popularity'!$A$2:$C$500,2,FALSE),""))</f>
        <v>4</v>
      </c>
      <c r="Z1490" s="56">
        <f>IF($X1490="",1,IFERROR(VLOOKUP($X1490,'Char Popularity'!$A$2:$C$500,3,FALSE),1))</f>
        <v>1.1000000000000001</v>
      </c>
      <c r="AA1490" s="62">
        <f>IF($H1490&lt;&gt;"Y",0,(IF($F1490&lt;&gt;"",ROUND(Dashboard!$R$4/$F1490,1),IF(AND($I1490="Base",$E1490="Base"),Dashboard!$R$5,IF(AND($I1490="Base",$E1490="Red"),Dashboard!$R$6,IF(AND($I1490="Base",$E1490="Gold"),Dashboard!$R$7,VLOOKUP($I1490,Dashboard!$Q$16:$R$21,2,FALSE)))))*VLOOKUP($I1490,Dashboard!$Q$9:$R$13,2,FALSE)*IF(AND($I1490="Auto",$F1490="",OR($B1490="Autographs Duals",$B1490="Autographs Triples",$B1490="Autographs Quads",$B1490="Autographs Quads (Inscribed)")),IF($B1490="Autographs Duals",2,IF($B1490="Autographs Triples",3,4)),1)))</f>
        <v>40</v>
      </c>
      <c r="AB1490" s="62">
        <f t="shared" si="310"/>
        <v>40</v>
      </c>
      <c r="AC1490" s="62">
        <f t="shared" si="311"/>
        <v>0</v>
      </c>
    </row>
    <row r="1491" spans="1:29" ht="28.7" customHeight="1" x14ac:dyDescent="0.25">
      <c r="A1491" s="4" t="s">
        <v>21</v>
      </c>
      <c r="B1491" s="7" t="s">
        <v>95</v>
      </c>
      <c r="C1491" s="2" t="s">
        <v>429</v>
      </c>
      <c r="D1491" s="7" t="s">
        <v>238</v>
      </c>
      <c r="E1491" s="4" t="s">
        <v>780</v>
      </c>
      <c r="F1491" s="2">
        <v>25</v>
      </c>
      <c r="G1491" s="2" t="s">
        <v>1399</v>
      </c>
      <c r="H1491" s="2" t="s">
        <v>1400</v>
      </c>
      <c r="I1491" s="4" t="s">
        <v>60</v>
      </c>
      <c r="J1491" s="112">
        <f>IF($H1491&lt;&gt;"Y",0,ROUND(MIN(Dashboard!$R$24,IF(IFERROR(VLOOKUP($B1491,Dashboard!$Q$28:$S$60,2,FALSE),0)&gt;0,IFERROR(VLOOKUP($B1491,Dashboard!$Q$28:$S$60,2,FALSE),0),$Z1491*IF($U1491&lt;&gt;"",ROUND((Dashboard!$R$4/$U1491)*VLOOKUP($I1491,Dashboard!$Q$9:$R$13,2,FALSE)*IF(ISNUMBER(SEARCH("Duals",$B1491)),2,IF(ISNUMBER(SEARCH("Triples",$B1491)),3,IF(ISNUMBER(SEARCH("Quads",$B1491)),4,1))),2),ROUND(VLOOKUP($I1491,Dashboard!$Q$15:$R$20,2,FALSE)*IF($E1491="Red",Dashboard!$R$6,IF($E1491="Gold",Dashboard!$R$7,Dashboard!$R$5))*IF(ISNUMBER(SEARCH("Duals",$B1491)),2,IF(ISNUMBER(SEARCH("Triples",$B1491)),3,IF(ISNUMBER(SEARCH("Quads",$B1491)),4,1))),2))*IF(IFERROR(VLOOKUP($B1491,Dashboard!$Q$28:$S$60,3,FALSE),0)&gt;0,VLOOKUP($B1491,Dashboard!$Q$28:$S$60,3,FALSE),1))),0))</f>
        <v>44</v>
      </c>
      <c r="K1491" s="2" t="str">
        <f>IF(Characters!H41="","",Characters!H41)</f>
        <v>C 14/25</v>
      </c>
      <c r="L1491" s="2">
        <f t="shared" si="299"/>
        <v>1</v>
      </c>
      <c r="M1491" s="2">
        <f t="shared" si="300"/>
        <v>0</v>
      </c>
      <c r="N1491" s="2">
        <f t="shared" si="301"/>
        <v>1</v>
      </c>
      <c r="O1491" s="2">
        <f t="shared" si="302"/>
        <v>0</v>
      </c>
      <c r="P1491" s="112">
        <f t="shared" si="303"/>
        <v>44</v>
      </c>
      <c r="Q1491" s="112">
        <f t="shared" si="304"/>
        <v>0</v>
      </c>
      <c r="R1491" s="53"/>
      <c r="S1491" s="53" t="str">
        <f t="shared" si="305"/>
        <v>Characters|Characters Black Parallel|C-40|Black</v>
      </c>
      <c r="T1491" s="57" t="str">
        <f>IF($S1491="","",IFERROR(VLOOKUP($S1491,'Pop Estimates (Non-#d)'!$N$2:$O$500,2,FALSE),""))</f>
        <v/>
      </c>
      <c r="U1491" s="57">
        <f t="shared" si="306"/>
        <v>25</v>
      </c>
      <c r="V1491" s="53" t="str">
        <f t="shared" si="307"/>
        <v>Frenchie</v>
      </c>
      <c r="W1491" s="53" t="str">
        <f t="shared" si="308"/>
        <v>Frenchie</v>
      </c>
      <c r="X1491" s="53" t="str">
        <f t="shared" si="309"/>
        <v>Frenchie</v>
      </c>
      <c r="Y1491" s="57">
        <f>IF($X1491="","",IFERROR(VLOOKUP($X1491,'Char Popularity'!$A$2:$C$500,2,FALSE),""))</f>
        <v>4</v>
      </c>
      <c r="Z1491" s="56">
        <f>IF($X1491="",1,IFERROR(VLOOKUP($X1491,'Char Popularity'!$A$2:$C$500,3,FALSE),1))</f>
        <v>1.1000000000000001</v>
      </c>
      <c r="AA1491" s="62">
        <f>IF($H1491&lt;&gt;"Y",0,(IF($F1491&lt;&gt;"",ROUND(Dashboard!$R$4/$F1491,1),IF(AND($I1491="Base",$E1491="Base"),Dashboard!$R$5,IF(AND($I1491="Base",$E1491="Red"),Dashboard!$R$6,IF(AND($I1491="Base",$E1491="Gold"),Dashboard!$R$7,VLOOKUP($I1491,Dashboard!$Q$16:$R$21,2,FALSE)))))*VLOOKUP($I1491,Dashboard!$Q$9:$R$13,2,FALSE)*IF(AND($I1491="Auto",$F1491="",OR($B1491="Autographs Duals",$B1491="Autographs Triples",$B1491="Autographs Quads",$B1491="Autographs Quads (Inscribed)")),IF($B1491="Autographs Duals",2,IF($B1491="Autographs Triples",3,4)),1)))</f>
        <v>40</v>
      </c>
      <c r="AB1491" s="62">
        <f t="shared" si="310"/>
        <v>40</v>
      </c>
      <c r="AC1491" s="62">
        <f t="shared" si="311"/>
        <v>0</v>
      </c>
    </row>
    <row r="1492" spans="1:29" ht="28.7" customHeight="1" x14ac:dyDescent="0.25">
      <c r="A1492" s="4" t="s">
        <v>21</v>
      </c>
      <c r="B1492" s="7" t="s">
        <v>95</v>
      </c>
      <c r="C1492" s="2" t="s">
        <v>1260</v>
      </c>
      <c r="D1492" s="7" t="s">
        <v>539</v>
      </c>
      <c r="E1492" s="4" t="s">
        <v>780</v>
      </c>
      <c r="F1492" s="2">
        <v>25</v>
      </c>
      <c r="G1492" s="2" t="s">
        <v>1399</v>
      </c>
      <c r="H1492" s="2" t="s">
        <v>1400</v>
      </c>
      <c r="I1492" s="4" t="s">
        <v>60</v>
      </c>
      <c r="J1492" s="112">
        <f>IF($H1492&lt;&gt;"Y",0,ROUND(MIN(Dashboard!$R$24,IF(IFERROR(VLOOKUP($B1492,Dashboard!$Q$28:$S$60,2,FALSE),0)&gt;0,IFERROR(VLOOKUP($B1492,Dashboard!$Q$28:$S$60,2,FALSE),0),$Z1492*IF($U1492&lt;&gt;"",ROUND((Dashboard!$R$4/$U1492)*VLOOKUP($I1492,Dashboard!$Q$9:$R$13,2,FALSE)*IF(ISNUMBER(SEARCH("Duals",$B1492)),2,IF(ISNUMBER(SEARCH("Triples",$B1492)),3,IF(ISNUMBER(SEARCH("Quads",$B1492)),4,1))),2),ROUND(VLOOKUP($I1492,Dashboard!$Q$15:$R$20,2,FALSE)*IF($E1492="Red",Dashboard!$R$6,IF($E1492="Gold",Dashboard!$R$7,Dashboard!$R$5))*IF(ISNUMBER(SEARCH("Duals",$B1492)),2,IF(ISNUMBER(SEARCH("Triples",$B1492)),3,IF(ISNUMBER(SEARCH("Quads",$B1492)),4,1))),2))*IF(IFERROR(VLOOKUP($B1492,Dashboard!$Q$28:$S$60,3,FALSE),0)&gt;0,VLOOKUP($B1492,Dashboard!$Q$28:$S$60,3,FALSE),1))),0))</f>
        <v>40</v>
      </c>
      <c r="K1492" s="2" t="str">
        <f>IF(Characters!H42="","",Characters!H42)</f>
        <v/>
      </c>
      <c r="L1492" s="2">
        <f t="shared" si="299"/>
        <v>0</v>
      </c>
      <c r="M1492" s="2">
        <f t="shared" si="300"/>
        <v>0</v>
      </c>
      <c r="N1492" s="2">
        <f t="shared" si="301"/>
        <v>0</v>
      </c>
      <c r="O1492" s="2">
        <f t="shared" si="302"/>
        <v>1</v>
      </c>
      <c r="P1492" s="112">
        <f t="shared" si="303"/>
        <v>0</v>
      </c>
      <c r="Q1492" s="112">
        <f t="shared" si="304"/>
        <v>0</v>
      </c>
      <c r="R1492" s="53"/>
      <c r="S1492" s="53" t="str">
        <f t="shared" si="305"/>
        <v>Characters|Characters Black Parallel|C-41|Black</v>
      </c>
      <c r="T1492" s="57" t="str">
        <f>IF($S1492="","",IFERROR(VLOOKUP($S1492,'Pop Estimates (Non-#d)'!$N$2:$O$500,2,FALSE),""))</f>
        <v/>
      </c>
      <c r="U1492" s="57">
        <f t="shared" si="306"/>
        <v>25</v>
      </c>
      <c r="V1492" s="53" t="str">
        <f t="shared" si="307"/>
        <v/>
      </c>
      <c r="W1492" s="53" t="str">
        <f t="shared" si="308"/>
        <v/>
      </c>
      <c r="X1492" s="53" t="str">
        <f t="shared" si="309"/>
        <v/>
      </c>
      <c r="Y1492" s="57" t="str">
        <f>IF($X1492="","",IFERROR(VLOOKUP($X1492,'Char Popularity'!$A$2:$C$500,2,FALSE),""))</f>
        <v/>
      </c>
      <c r="Z1492" s="56">
        <f>IF($X1492="",1,IFERROR(VLOOKUP($X1492,'Char Popularity'!$A$2:$C$500,3,FALSE),1))</f>
        <v>1</v>
      </c>
      <c r="AA1492" s="62">
        <f>IF($H1492&lt;&gt;"Y",0,(IF($F1492&lt;&gt;"",ROUND(Dashboard!$R$4/$F1492,1),IF(AND($I1492="Base",$E1492="Base"),Dashboard!$R$5,IF(AND($I1492="Base",$E1492="Red"),Dashboard!$R$6,IF(AND($I1492="Base",$E1492="Gold"),Dashboard!$R$7,VLOOKUP($I1492,Dashboard!$Q$16:$R$21,2,FALSE)))))*VLOOKUP($I1492,Dashboard!$Q$9:$R$13,2,FALSE)*IF(AND($I1492="Auto",$F1492="",OR($B1492="Autographs Duals",$B1492="Autographs Triples",$B1492="Autographs Quads",$B1492="Autographs Quads (Inscribed)")),IF($B1492="Autographs Duals",2,IF($B1492="Autographs Triples",3,4)),1)))</f>
        <v>40</v>
      </c>
      <c r="AB1492" s="62">
        <f t="shared" si="310"/>
        <v>0</v>
      </c>
      <c r="AC1492" s="62">
        <f t="shared" si="311"/>
        <v>0</v>
      </c>
    </row>
    <row r="1493" spans="1:29" ht="28.7" customHeight="1" x14ac:dyDescent="0.25">
      <c r="A1493" s="4" t="s">
        <v>21</v>
      </c>
      <c r="B1493" s="7" t="s">
        <v>95</v>
      </c>
      <c r="C1493" s="2" t="s">
        <v>430</v>
      </c>
      <c r="D1493" s="7" t="s">
        <v>288</v>
      </c>
      <c r="E1493" s="4" t="s">
        <v>780</v>
      </c>
      <c r="F1493" s="2">
        <v>25</v>
      </c>
      <c r="G1493" s="2" t="s">
        <v>1399</v>
      </c>
      <c r="H1493" s="2" t="s">
        <v>1400</v>
      </c>
      <c r="I1493" s="4" t="s">
        <v>60</v>
      </c>
      <c r="J1493" s="112">
        <f>IF($H1493&lt;&gt;"Y",0,ROUND(MIN(Dashboard!$R$24,IF(IFERROR(VLOOKUP($B1493,Dashboard!$Q$28:$S$60,2,FALSE),0)&gt;0,IFERROR(VLOOKUP($B1493,Dashboard!$Q$28:$S$60,2,FALSE),0),$Z1493*IF($U1493&lt;&gt;"",ROUND((Dashboard!$R$4/$U1493)*VLOOKUP($I1493,Dashboard!$Q$9:$R$13,2,FALSE)*IF(ISNUMBER(SEARCH("Duals",$B1493)),2,IF(ISNUMBER(SEARCH("Triples",$B1493)),3,IF(ISNUMBER(SEARCH("Quads",$B1493)),4,1))),2),ROUND(VLOOKUP($I1493,Dashboard!$Q$15:$R$20,2,FALSE)*IF($E1493="Red",Dashboard!$R$6,IF($E1493="Gold",Dashboard!$R$7,Dashboard!$R$5))*IF(ISNUMBER(SEARCH("Duals",$B1493)),2,IF(ISNUMBER(SEARCH("Triples",$B1493)),3,IF(ISNUMBER(SEARCH("Quads",$B1493)),4,1))),2))*IF(IFERROR(VLOOKUP($B1493,Dashboard!$Q$28:$S$60,3,FALSE),0)&gt;0,VLOOKUP($B1493,Dashboard!$Q$28:$S$60,3,FALSE),1))),0))</f>
        <v>36</v>
      </c>
      <c r="K1493" s="2" t="str">
        <f>IF(Characters!H43="","",Characters!H43)</f>
        <v/>
      </c>
      <c r="L1493" s="2">
        <f t="shared" si="299"/>
        <v>0</v>
      </c>
      <c r="M1493" s="2">
        <f t="shared" si="300"/>
        <v>0</v>
      </c>
      <c r="N1493" s="2">
        <f t="shared" si="301"/>
        <v>0</v>
      </c>
      <c r="O1493" s="2">
        <f t="shared" si="302"/>
        <v>1</v>
      </c>
      <c r="P1493" s="112">
        <f t="shared" si="303"/>
        <v>0</v>
      </c>
      <c r="Q1493" s="112">
        <f t="shared" si="304"/>
        <v>0</v>
      </c>
      <c r="R1493" s="53"/>
      <c r="S1493" s="53" t="str">
        <f t="shared" si="305"/>
        <v>Characters|Characters Black Parallel|C-42|Black</v>
      </c>
      <c r="T1493" s="57" t="str">
        <f>IF($S1493="","",IFERROR(VLOOKUP($S1493,'Pop Estimates (Non-#d)'!$N$2:$O$500,2,FALSE),""))</f>
        <v/>
      </c>
      <c r="U1493" s="57">
        <f t="shared" si="306"/>
        <v>25</v>
      </c>
      <c r="V1493" s="53" t="str">
        <f t="shared" si="307"/>
        <v>Shockwave</v>
      </c>
      <c r="W1493" s="53" t="str">
        <f t="shared" si="308"/>
        <v>Shockwave</v>
      </c>
      <c r="X1493" s="53" t="str">
        <f t="shared" si="309"/>
        <v>Shockwave</v>
      </c>
      <c r="Y1493" s="57">
        <f>IF($X1493="","",IFERROR(VLOOKUP($X1493,'Char Popularity'!$A$2:$C$500,2,FALSE),""))</f>
        <v>2</v>
      </c>
      <c r="Z1493" s="56">
        <f>IF($X1493="",1,IFERROR(VLOOKUP($X1493,'Char Popularity'!$A$2:$C$500,3,FALSE),1))</f>
        <v>0.9</v>
      </c>
      <c r="AA1493" s="62">
        <f>IF($H1493&lt;&gt;"Y",0,(IF($F1493&lt;&gt;"",ROUND(Dashboard!$R$4/$F1493,1),IF(AND($I1493="Base",$E1493="Base"),Dashboard!$R$5,IF(AND($I1493="Base",$E1493="Red"),Dashboard!$R$6,IF(AND($I1493="Base",$E1493="Gold"),Dashboard!$R$7,VLOOKUP($I1493,Dashboard!$Q$16:$R$21,2,FALSE)))))*VLOOKUP($I1493,Dashboard!$Q$9:$R$13,2,FALSE)*IF(AND($I1493="Auto",$F1493="",OR($B1493="Autographs Duals",$B1493="Autographs Triples",$B1493="Autographs Quads",$B1493="Autographs Quads (Inscribed)")),IF($B1493="Autographs Duals",2,IF($B1493="Autographs Triples",3,4)),1)))</f>
        <v>40</v>
      </c>
      <c r="AB1493" s="62">
        <f t="shared" si="310"/>
        <v>0</v>
      </c>
      <c r="AC1493" s="62">
        <f t="shared" si="311"/>
        <v>0</v>
      </c>
    </row>
    <row r="1494" spans="1:29" ht="28.7" customHeight="1" x14ac:dyDescent="0.25">
      <c r="A1494" s="4" t="s">
        <v>21</v>
      </c>
      <c r="B1494" s="7" t="s">
        <v>95</v>
      </c>
      <c r="C1494" s="2" t="s">
        <v>1263</v>
      </c>
      <c r="D1494" s="7" t="s">
        <v>542</v>
      </c>
      <c r="E1494" s="4" t="s">
        <v>780</v>
      </c>
      <c r="F1494" s="2">
        <v>25</v>
      </c>
      <c r="G1494" s="2" t="s">
        <v>1399</v>
      </c>
      <c r="H1494" s="2" t="s">
        <v>1400</v>
      </c>
      <c r="I1494" s="4" t="s">
        <v>60</v>
      </c>
      <c r="J1494" s="112">
        <f>IF($H1494&lt;&gt;"Y",0,ROUND(MIN(Dashboard!$R$24,IF(IFERROR(VLOOKUP($B1494,Dashboard!$Q$28:$S$60,2,FALSE),0)&gt;0,IFERROR(VLOOKUP($B1494,Dashboard!$Q$28:$S$60,2,FALSE),0),$Z1494*IF($U1494&lt;&gt;"",ROUND((Dashboard!$R$4/$U1494)*VLOOKUP($I1494,Dashboard!$Q$9:$R$13,2,FALSE)*IF(ISNUMBER(SEARCH("Duals",$B1494)),2,IF(ISNUMBER(SEARCH("Triples",$B1494)),3,IF(ISNUMBER(SEARCH("Quads",$B1494)),4,1))),2),ROUND(VLOOKUP($I1494,Dashboard!$Q$15:$R$20,2,FALSE)*IF($E1494="Red",Dashboard!$R$6,IF($E1494="Gold",Dashboard!$R$7,Dashboard!$R$5))*IF(ISNUMBER(SEARCH("Duals",$B1494)),2,IF(ISNUMBER(SEARCH("Triples",$B1494)),3,IF(ISNUMBER(SEARCH("Quads",$B1494)),4,1))),2))*IF(IFERROR(VLOOKUP($B1494,Dashboard!$Q$28:$S$60,3,FALSE),0)&gt;0,VLOOKUP($B1494,Dashboard!$Q$28:$S$60,3,FALSE),1))),0))</f>
        <v>40</v>
      </c>
      <c r="K1494" s="2" t="str">
        <f>IF(Characters!H44="","",Characters!H44)</f>
        <v>C 01/25</v>
      </c>
      <c r="L1494" s="2">
        <f t="shared" si="299"/>
        <v>1</v>
      </c>
      <c r="M1494" s="2">
        <f t="shared" si="300"/>
        <v>0</v>
      </c>
      <c r="N1494" s="2">
        <f t="shared" si="301"/>
        <v>1</v>
      </c>
      <c r="O1494" s="2">
        <f t="shared" si="302"/>
        <v>0</v>
      </c>
      <c r="P1494" s="112">
        <f t="shared" si="303"/>
        <v>40</v>
      </c>
      <c r="Q1494" s="112">
        <f t="shared" si="304"/>
        <v>0</v>
      </c>
      <c r="R1494" s="53"/>
      <c r="S1494" s="53" t="str">
        <f t="shared" si="305"/>
        <v>Characters|Characters Black Parallel|C-43|Black</v>
      </c>
      <c r="T1494" s="57" t="str">
        <f>IF($S1494="","",IFERROR(VLOOKUP($S1494,'Pop Estimates (Non-#d)'!$N$2:$O$500,2,FALSE),""))</f>
        <v/>
      </c>
      <c r="U1494" s="57">
        <f t="shared" si="306"/>
        <v>25</v>
      </c>
      <c r="V1494" s="53" t="str">
        <f t="shared" si="307"/>
        <v/>
      </c>
      <c r="W1494" s="53" t="str">
        <f t="shared" si="308"/>
        <v/>
      </c>
      <c r="X1494" s="53" t="str">
        <f t="shared" si="309"/>
        <v/>
      </c>
      <c r="Y1494" s="57" t="str">
        <f>IF($X1494="","",IFERROR(VLOOKUP($X1494,'Char Popularity'!$A$2:$C$500,2,FALSE),""))</f>
        <v/>
      </c>
      <c r="Z1494" s="56">
        <f>IF($X1494="",1,IFERROR(VLOOKUP($X1494,'Char Popularity'!$A$2:$C$500,3,FALSE),1))</f>
        <v>1</v>
      </c>
      <c r="AA1494" s="62">
        <f>IF($H1494&lt;&gt;"Y",0,(IF($F1494&lt;&gt;"",ROUND(Dashboard!$R$4/$F1494,1),IF(AND($I1494="Base",$E1494="Base"),Dashboard!$R$5,IF(AND($I1494="Base",$E1494="Red"),Dashboard!$R$6,IF(AND($I1494="Base",$E1494="Gold"),Dashboard!$R$7,VLOOKUP($I1494,Dashboard!$Q$16:$R$21,2,FALSE)))))*VLOOKUP($I1494,Dashboard!$Q$9:$R$13,2,FALSE)*IF(AND($I1494="Auto",$F1494="",OR($B1494="Autographs Duals",$B1494="Autographs Triples",$B1494="Autographs Quads",$B1494="Autographs Quads (Inscribed)")),IF($B1494="Autographs Duals",2,IF($B1494="Autographs Triples",3,4)),1)))</f>
        <v>40</v>
      </c>
      <c r="AB1494" s="62">
        <f t="shared" si="310"/>
        <v>40</v>
      </c>
      <c r="AC1494" s="62">
        <f t="shared" si="311"/>
        <v>0</v>
      </c>
    </row>
    <row r="1495" spans="1:29" ht="28.7" customHeight="1" x14ac:dyDescent="0.25">
      <c r="A1495" s="4" t="s">
        <v>21</v>
      </c>
      <c r="B1495" s="7" t="s">
        <v>95</v>
      </c>
      <c r="C1495" s="2" t="s">
        <v>1265</v>
      </c>
      <c r="D1495" s="7" t="s">
        <v>1266</v>
      </c>
      <c r="E1495" s="4" t="s">
        <v>780</v>
      </c>
      <c r="F1495" s="2">
        <v>25</v>
      </c>
      <c r="G1495" s="2" t="s">
        <v>1399</v>
      </c>
      <c r="H1495" s="2" t="s">
        <v>1400</v>
      </c>
      <c r="I1495" s="4" t="s">
        <v>60</v>
      </c>
      <c r="J1495" s="112">
        <f>IF($H1495&lt;&gt;"Y",0,ROUND(MIN(Dashboard!$R$24,IF(IFERROR(VLOOKUP($B1495,Dashboard!$Q$28:$S$60,2,FALSE),0)&gt;0,IFERROR(VLOOKUP($B1495,Dashboard!$Q$28:$S$60,2,FALSE),0),$Z1495*IF($U1495&lt;&gt;"",ROUND((Dashboard!$R$4/$U1495)*VLOOKUP($I1495,Dashboard!$Q$9:$R$13,2,FALSE)*IF(ISNUMBER(SEARCH("Duals",$B1495)),2,IF(ISNUMBER(SEARCH("Triples",$B1495)),3,IF(ISNUMBER(SEARCH("Quads",$B1495)),4,1))),2),ROUND(VLOOKUP($I1495,Dashboard!$Q$15:$R$20,2,FALSE)*IF($E1495="Red",Dashboard!$R$6,IF($E1495="Gold",Dashboard!$R$7,Dashboard!$R$5))*IF(ISNUMBER(SEARCH("Duals",$B1495)),2,IF(ISNUMBER(SEARCH("Triples",$B1495)),3,IF(ISNUMBER(SEARCH("Quads",$B1495)),4,1))),2))*IF(IFERROR(VLOOKUP($B1495,Dashboard!$Q$28:$S$60,3,FALSE),0)&gt;0,VLOOKUP($B1495,Dashboard!$Q$28:$S$60,3,FALSE),1))),0))</f>
        <v>40</v>
      </c>
      <c r="K1495" s="2" t="str">
        <f>IF(Characters!H45="","",Characters!H45)</f>
        <v/>
      </c>
      <c r="L1495" s="2">
        <f t="shared" si="299"/>
        <v>0</v>
      </c>
      <c r="M1495" s="2">
        <f t="shared" si="300"/>
        <v>0</v>
      </c>
      <c r="N1495" s="2">
        <f t="shared" si="301"/>
        <v>0</v>
      </c>
      <c r="O1495" s="2">
        <f t="shared" si="302"/>
        <v>1</v>
      </c>
      <c r="P1495" s="112">
        <f t="shared" si="303"/>
        <v>0</v>
      </c>
      <c r="Q1495" s="112">
        <f t="shared" si="304"/>
        <v>0</v>
      </c>
      <c r="R1495" s="53"/>
      <c r="S1495" s="53" t="str">
        <f t="shared" si="305"/>
        <v>Characters|Characters Black Parallel|C-44|Black</v>
      </c>
      <c r="T1495" s="57" t="str">
        <f>IF($S1495="","",IFERROR(VLOOKUP($S1495,'Pop Estimates (Non-#d)'!$N$2:$O$500,2,FALSE),""))</f>
        <v/>
      </c>
      <c r="U1495" s="57">
        <f t="shared" si="306"/>
        <v>25</v>
      </c>
      <c r="V1495" s="53" t="str">
        <f t="shared" si="307"/>
        <v>Cindy</v>
      </c>
      <c r="W1495" s="53" t="str">
        <f t="shared" si="308"/>
        <v>Cindy</v>
      </c>
      <c r="X1495" s="53" t="str">
        <f t="shared" si="309"/>
        <v>Cindy</v>
      </c>
      <c r="Y1495" s="57">
        <f>IF($X1495="","",IFERROR(VLOOKUP($X1495,'Char Popularity'!$A$2:$C$500,2,FALSE),""))</f>
        <v>3</v>
      </c>
      <c r="Z1495" s="56">
        <f>IF($X1495="",1,IFERROR(VLOOKUP($X1495,'Char Popularity'!$A$2:$C$500,3,FALSE),1))</f>
        <v>1</v>
      </c>
      <c r="AA1495" s="62">
        <f>IF($H1495&lt;&gt;"Y",0,(IF($F1495&lt;&gt;"",ROUND(Dashboard!$R$4/$F1495,1),IF(AND($I1495="Base",$E1495="Base"),Dashboard!$R$5,IF(AND($I1495="Base",$E1495="Red"),Dashboard!$R$6,IF(AND($I1495="Base",$E1495="Gold"),Dashboard!$R$7,VLOOKUP($I1495,Dashboard!$Q$16:$R$21,2,FALSE)))))*VLOOKUP($I1495,Dashboard!$Q$9:$R$13,2,FALSE)*IF(AND($I1495="Auto",$F1495="",OR($B1495="Autographs Duals",$B1495="Autographs Triples",$B1495="Autographs Quads",$B1495="Autographs Quads (Inscribed)")),IF($B1495="Autographs Duals",2,IF($B1495="Autographs Triples",3,4)),1)))</f>
        <v>40</v>
      </c>
      <c r="AB1495" s="62">
        <f t="shared" si="310"/>
        <v>0</v>
      </c>
      <c r="AC1495" s="62">
        <f t="shared" si="311"/>
        <v>0</v>
      </c>
    </row>
    <row r="1496" spans="1:29" ht="28.7" customHeight="1" x14ac:dyDescent="0.25">
      <c r="A1496" s="4" t="s">
        <v>21</v>
      </c>
      <c r="B1496" s="7" t="s">
        <v>95</v>
      </c>
      <c r="C1496" s="2" t="s">
        <v>431</v>
      </c>
      <c r="D1496" s="7" t="s">
        <v>234</v>
      </c>
      <c r="E1496" s="4" t="s">
        <v>780</v>
      </c>
      <c r="F1496" s="2">
        <v>25</v>
      </c>
      <c r="G1496" s="2" t="s">
        <v>1399</v>
      </c>
      <c r="H1496" s="2" t="s">
        <v>1400</v>
      </c>
      <c r="I1496" s="4" t="s">
        <v>60</v>
      </c>
      <c r="J1496" s="112">
        <f>IF($H1496&lt;&gt;"Y",0,ROUND(MIN(Dashboard!$R$24,IF(IFERROR(VLOOKUP($B1496,Dashboard!$Q$28:$S$60,2,FALSE),0)&gt;0,IFERROR(VLOOKUP($B1496,Dashboard!$Q$28:$S$60,2,FALSE),0),$Z1496*IF($U1496&lt;&gt;"",ROUND((Dashboard!$R$4/$U1496)*VLOOKUP($I1496,Dashboard!$Q$9:$R$13,2,FALSE)*IF(ISNUMBER(SEARCH("Duals",$B1496)),2,IF(ISNUMBER(SEARCH("Triples",$B1496)),3,IF(ISNUMBER(SEARCH("Quads",$B1496)),4,1))),2),ROUND(VLOOKUP($I1496,Dashboard!$Q$15:$R$20,2,FALSE)*IF($E1496="Red",Dashboard!$R$6,IF($E1496="Gold",Dashboard!$R$7,Dashboard!$R$5))*IF(ISNUMBER(SEARCH("Duals",$B1496)),2,IF(ISNUMBER(SEARCH("Triples",$B1496)),3,IF(ISNUMBER(SEARCH("Quads",$B1496)),4,1))),2))*IF(IFERROR(VLOOKUP($B1496,Dashboard!$Q$28:$S$60,3,FALSE),0)&gt;0,VLOOKUP($B1496,Dashboard!$Q$28:$S$60,3,FALSE),1))),0))</f>
        <v>40</v>
      </c>
      <c r="K1496" s="2" t="str">
        <f>IF(Characters!H46="","",Characters!H46)</f>
        <v>C 11/25</v>
      </c>
      <c r="L1496" s="2">
        <f t="shared" si="299"/>
        <v>1</v>
      </c>
      <c r="M1496" s="2">
        <f t="shared" si="300"/>
        <v>0</v>
      </c>
      <c r="N1496" s="2">
        <f t="shared" si="301"/>
        <v>1</v>
      </c>
      <c r="O1496" s="2">
        <f t="shared" si="302"/>
        <v>0</v>
      </c>
      <c r="P1496" s="112">
        <f t="shared" si="303"/>
        <v>40</v>
      </c>
      <c r="Q1496" s="112">
        <f t="shared" si="304"/>
        <v>0</v>
      </c>
      <c r="R1496" s="53"/>
      <c r="S1496" s="53" t="str">
        <f t="shared" si="305"/>
        <v>Characters|Characters Black Parallel|C-45|Black</v>
      </c>
      <c r="T1496" s="57" t="str">
        <f>IF($S1496="","",IFERROR(VLOOKUP($S1496,'Pop Estimates (Non-#d)'!$N$2:$O$500,2,FALSE),""))</f>
        <v/>
      </c>
      <c r="U1496" s="57">
        <f t="shared" si="306"/>
        <v>25</v>
      </c>
      <c r="V1496" s="53" t="str">
        <f t="shared" si="307"/>
        <v>Ashley Barrett</v>
      </c>
      <c r="W1496" s="53" t="str">
        <f t="shared" si="308"/>
        <v>Ashley Barrett</v>
      </c>
      <c r="X1496" s="53" t="str">
        <f t="shared" si="309"/>
        <v>Ashley Barrett</v>
      </c>
      <c r="Y1496" s="57">
        <f>IF($X1496="","",IFERROR(VLOOKUP($X1496,'Char Popularity'!$A$2:$C$500,2,FALSE),""))</f>
        <v>3</v>
      </c>
      <c r="Z1496" s="56">
        <f>IF($X1496="",1,IFERROR(VLOOKUP($X1496,'Char Popularity'!$A$2:$C$500,3,FALSE),1))</f>
        <v>1</v>
      </c>
      <c r="AA1496" s="62">
        <f>IF($H1496&lt;&gt;"Y",0,(IF($F1496&lt;&gt;"",ROUND(Dashboard!$R$4/$F1496,1),IF(AND($I1496="Base",$E1496="Base"),Dashboard!$R$5,IF(AND($I1496="Base",$E1496="Red"),Dashboard!$R$6,IF(AND($I1496="Base",$E1496="Gold"),Dashboard!$R$7,VLOOKUP($I1496,Dashboard!$Q$16:$R$21,2,FALSE)))))*VLOOKUP($I1496,Dashboard!$Q$9:$R$13,2,FALSE)*IF(AND($I1496="Auto",$F1496="",OR($B1496="Autographs Duals",$B1496="Autographs Triples",$B1496="Autographs Quads",$B1496="Autographs Quads (Inscribed)")),IF($B1496="Autographs Duals",2,IF($B1496="Autographs Triples",3,4)),1)))</f>
        <v>40</v>
      </c>
      <c r="AB1496" s="62">
        <f t="shared" si="310"/>
        <v>40</v>
      </c>
      <c r="AC1496" s="62">
        <f t="shared" si="311"/>
        <v>0</v>
      </c>
    </row>
    <row r="1497" spans="1:29" ht="28.7" customHeight="1" x14ac:dyDescent="0.25">
      <c r="A1497" s="4" t="s">
        <v>21</v>
      </c>
      <c r="B1497" s="7" t="s">
        <v>95</v>
      </c>
      <c r="C1497" s="2" t="s">
        <v>432</v>
      </c>
      <c r="D1497" s="7" t="s">
        <v>248</v>
      </c>
      <c r="E1497" s="4" t="s">
        <v>780</v>
      </c>
      <c r="F1497" s="2">
        <v>25</v>
      </c>
      <c r="G1497" s="2" t="s">
        <v>1399</v>
      </c>
      <c r="H1497" s="2" t="s">
        <v>1400</v>
      </c>
      <c r="I1497" s="4" t="s">
        <v>60</v>
      </c>
      <c r="J1497" s="112">
        <f>IF($H1497&lt;&gt;"Y",0,ROUND(MIN(Dashboard!$R$24,IF(IFERROR(VLOOKUP($B1497,Dashboard!$Q$28:$S$60,2,FALSE),0)&gt;0,IFERROR(VLOOKUP($B1497,Dashboard!$Q$28:$S$60,2,FALSE),0),$Z1497*IF($U1497&lt;&gt;"",ROUND((Dashboard!$R$4/$U1497)*VLOOKUP($I1497,Dashboard!$Q$9:$R$13,2,FALSE)*IF(ISNUMBER(SEARCH("Duals",$B1497)),2,IF(ISNUMBER(SEARCH("Triples",$B1497)),3,IF(ISNUMBER(SEARCH("Quads",$B1497)),4,1))),2),ROUND(VLOOKUP($I1497,Dashboard!$Q$15:$R$20,2,FALSE)*IF($E1497="Red",Dashboard!$R$6,IF($E1497="Gold",Dashboard!$R$7,Dashboard!$R$5))*IF(ISNUMBER(SEARCH("Duals",$B1497)),2,IF(ISNUMBER(SEARCH("Triples",$B1497)),3,IF(ISNUMBER(SEARCH("Quads",$B1497)),4,1))),2))*IF(IFERROR(VLOOKUP($B1497,Dashboard!$Q$28:$S$60,3,FALSE),0)&gt;0,VLOOKUP($B1497,Dashboard!$Q$28:$S$60,3,FALSE),1))),0))</f>
        <v>48</v>
      </c>
      <c r="K1497" s="2" t="str">
        <f>IF(Characters!H47="","",Characters!H47)</f>
        <v>C 07/25</v>
      </c>
      <c r="L1497" s="2">
        <f t="shared" si="299"/>
        <v>1</v>
      </c>
      <c r="M1497" s="2">
        <f t="shared" si="300"/>
        <v>0</v>
      </c>
      <c r="N1497" s="2">
        <f t="shared" si="301"/>
        <v>1</v>
      </c>
      <c r="O1497" s="2">
        <f t="shared" si="302"/>
        <v>0</v>
      </c>
      <c r="P1497" s="112">
        <f t="shared" si="303"/>
        <v>48</v>
      </c>
      <c r="Q1497" s="112">
        <f t="shared" si="304"/>
        <v>0</v>
      </c>
      <c r="R1497" s="53"/>
      <c r="S1497" s="53" t="str">
        <f t="shared" si="305"/>
        <v>Characters|Characters Black Parallel|C-46|Black</v>
      </c>
      <c r="T1497" s="57" t="str">
        <f>IF($S1497="","",IFERROR(VLOOKUP($S1497,'Pop Estimates (Non-#d)'!$N$2:$O$500,2,FALSE),""))</f>
        <v/>
      </c>
      <c r="U1497" s="57">
        <f t="shared" si="306"/>
        <v>25</v>
      </c>
      <c r="V1497" s="53" t="str">
        <f t="shared" si="307"/>
        <v>Starlight</v>
      </c>
      <c r="W1497" s="53" t="str">
        <f t="shared" si="308"/>
        <v>Starlight</v>
      </c>
      <c r="X1497" s="53" t="str">
        <f t="shared" si="309"/>
        <v>Starlight</v>
      </c>
      <c r="Y1497" s="57">
        <f>IF($X1497="","",IFERROR(VLOOKUP($X1497,'Char Popularity'!$A$2:$C$500,2,FALSE),""))</f>
        <v>5</v>
      </c>
      <c r="Z1497" s="56">
        <f>IF($X1497="",1,IFERROR(VLOOKUP($X1497,'Char Popularity'!$A$2:$C$500,3,FALSE),1))</f>
        <v>1.2</v>
      </c>
      <c r="AA1497" s="62">
        <f>IF($H1497&lt;&gt;"Y",0,(IF($F1497&lt;&gt;"",ROUND(Dashboard!$R$4/$F1497,1),IF(AND($I1497="Base",$E1497="Base"),Dashboard!$R$5,IF(AND($I1497="Base",$E1497="Red"),Dashboard!$R$6,IF(AND($I1497="Base",$E1497="Gold"),Dashboard!$R$7,VLOOKUP($I1497,Dashboard!$Q$16:$R$21,2,FALSE)))))*VLOOKUP($I1497,Dashboard!$Q$9:$R$13,2,FALSE)*IF(AND($I1497="Auto",$F1497="",OR($B1497="Autographs Duals",$B1497="Autographs Triples",$B1497="Autographs Quads",$B1497="Autographs Quads (Inscribed)")),IF($B1497="Autographs Duals",2,IF($B1497="Autographs Triples",3,4)),1)))</f>
        <v>40</v>
      </c>
      <c r="AB1497" s="62">
        <f t="shared" si="310"/>
        <v>40</v>
      </c>
      <c r="AC1497" s="62">
        <f t="shared" si="311"/>
        <v>0</v>
      </c>
    </row>
    <row r="1498" spans="1:29" ht="28.7" customHeight="1" x14ac:dyDescent="0.25">
      <c r="A1498" s="4" t="s">
        <v>21</v>
      </c>
      <c r="B1498" s="7" t="s">
        <v>95</v>
      </c>
      <c r="C1498" s="2" t="s">
        <v>433</v>
      </c>
      <c r="D1498" s="7" t="s">
        <v>222</v>
      </c>
      <c r="E1498" s="4" t="s">
        <v>780</v>
      </c>
      <c r="F1498" s="2">
        <v>25</v>
      </c>
      <c r="G1498" s="2" t="s">
        <v>1399</v>
      </c>
      <c r="H1498" s="2" t="s">
        <v>1400</v>
      </c>
      <c r="I1498" s="4" t="s">
        <v>60</v>
      </c>
      <c r="J1498" s="112">
        <f>IF($H1498&lt;&gt;"Y",0,ROUND(MIN(Dashboard!$R$24,IF(IFERROR(VLOOKUP($B1498,Dashboard!$Q$28:$S$60,2,FALSE),0)&gt;0,IFERROR(VLOOKUP($B1498,Dashboard!$Q$28:$S$60,2,FALSE),0),$Z1498*IF($U1498&lt;&gt;"",ROUND((Dashboard!$R$4/$U1498)*VLOOKUP($I1498,Dashboard!$Q$9:$R$13,2,FALSE)*IF(ISNUMBER(SEARCH("Duals",$B1498)),2,IF(ISNUMBER(SEARCH("Triples",$B1498)),3,IF(ISNUMBER(SEARCH("Quads",$B1498)),4,1))),2),ROUND(VLOOKUP($I1498,Dashboard!$Q$15:$R$20,2,FALSE)*IF($E1498="Red",Dashboard!$R$6,IF($E1498="Gold",Dashboard!$R$7,Dashboard!$R$5))*IF(ISNUMBER(SEARCH("Duals",$B1498)),2,IF(ISNUMBER(SEARCH("Triples",$B1498)),3,IF(ISNUMBER(SEARCH("Quads",$B1498)),4,1))),2))*IF(IFERROR(VLOOKUP($B1498,Dashboard!$Q$28:$S$60,3,FALSE),0)&gt;0,VLOOKUP($B1498,Dashboard!$Q$28:$S$60,3,FALSE),1))),0))</f>
        <v>48</v>
      </c>
      <c r="K1498" s="2" t="str">
        <f>IF(Characters!H48="","",Characters!H48)</f>
        <v/>
      </c>
      <c r="L1498" s="2">
        <f t="shared" si="299"/>
        <v>0</v>
      </c>
      <c r="M1498" s="2">
        <f t="shared" si="300"/>
        <v>0</v>
      </c>
      <c r="N1498" s="2">
        <f t="shared" si="301"/>
        <v>0</v>
      </c>
      <c r="O1498" s="2">
        <f t="shared" si="302"/>
        <v>1</v>
      </c>
      <c r="P1498" s="112">
        <f t="shared" si="303"/>
        <v>0</v>
      </c>
      <c r="Q1498" s="112">
        <f t="shared" si="304"/>
        <v>0</v>
      </c>
      <c r="R1498" s="53"/>
      <c r="S1498" s="53" t="str">
        <f t="shared" si="305"/>
        <v>Characters|Characters Black Parallel|C-47|Black</v>
      </c>
      <c r="T1498" s="57" t="str">
        <f>IF($S1498="","",IFERROR(VLOOKUP($S1498,'Pop Estimates (Non-#d)'!$N$2:$O$500,2,FALSE),""))</f>
        <v/>
      </c>
      <c r="U1498" s="57">
        <f t="shared" si="306"/>
        <v>25</v>
      </c>
      <c r="V1498" s="53" t="str">
        <f t="shared" si="307"/>
        <v>Homelander</v>
      </c>
      <c r="W1498" s="53" t="str">
        <f t="shared" si="308"/>
        <v>Homelander</v>
      </c>
      <c r="X1498" s="53" t="str">
        <f t="shared" si="309"/>
        <v>Homelander</v>
      </c>
      <c r="Y1498" s="57">
        <f>IF($X1498="","",IFERROR(VLOOKUP($X1498,'Char Popularity'!$A$2:$C$500,2,FALSE),""))</f>
        <v>5</v>
      </c>
      <c r="Z1498" s="56">
        <f>IF($X1498="",1,IFERROR(VLOOKUP($X1498,'Char Popularity'!$A$2:$C$500,3,FALSE),1))</f>
        <v>1.2</v>
      </c>
      <c r="AA1498" s="62">
        <f>IF($H1498&lt;&gt;"Y",0,(IF($F1498&lt;&gt;"",ROUND(Dashboard!$R$4/$F1498,1),IF(AND($I1498="Base",$E1498="Base"),Dashboard!$R$5,IF(AND($I1498="Base",$E1498="Red"),Dashboard!$R$6,IF(AND($I1498="Base",$E1498="Gold"),Dashboard!$R$7,VLOOKUP($I1498,Dashboard!$Q$16:$R$21,2,FALSE)))))*VLOOKUP($I1498,Dashboard!$Q$9:$R$13,2,FALSE)*IF(AND($I1498="Auto",$F1498="",OR($B1498="Autographs Duals",$B1498="Autographs Triples",$B1498="Autographs Quads",$B1498="Autographs Quads (Inscribed)")),IF($B1498="Autographs Duals",2,IF($B1498="Autographs Triples",3,4)),1)))</f>
        <v>40</v>
      </c>
      <c r="AB1498" s="62">
        <f t="shared" si="310"/>
        <v>0</v>
      </c>
      <c r="AC1498" s="62">
        <f t="shared" si="311"/>
        <v>0</v>
      </c>
    </row>
    <row r="1499" spans="1:29" ht="28.7" customHeight="1" x14ac:dyDescent="0.25">
      <c r="A1499" s="4" t="s">
        <v>21</v>
      </c>
      <c r="B1499" s="7" t="s">
        <v>95</v>
      </c>
      <c r="C1499" s="2" t="s">
        <v>1269</v>
      </c>
      <c r="D1499" s="7" t="s">
        <v>1601</v>
      </c>
      <c r="E1499" s="4" t="s">
        <v>780</v>
      </c>
      <c r="F1499" s="2">
        <v>25</v>
      </c>
      <c r="G1499" s="2" t="s">
        <v>1399</v>
      </c>
      <c r="H1499" s="2" t="s">
        <v>1400</v>
      </c>
      <c r="I1499" s="4" t="s">
        <v>60</v>
      </c>
      <c r="J1499" s="112">
        <f>IF($H1499&lt;&gt;"Y",0,ROUND(MIN(Dashboard!$R$24,IF(IFERROR(VLOOKUP($B1499,Dashboard!$Q$28:$S$60,2,FALSE),0)&gt;0,IFERROR(VLOOKUP($B1499,Dashboard!$Q$28:$S$60,2,FALSE),0),$Z1499*IF($U1499&lt;&gt;"",ROUND((Dashboard!$R$4/$U1499)*VLOOKUP($I1499,Dashboard!$Q$9:$R$13,2,FALSE)*IF(ISNUMBER(SEARCH("Duals",$B1499)),2,IF(ISNUMBER(SEARCH("Triples",$B1499)),3,IF(ISNUMBER(SEARCH("Quads",$B1499)),4,1))),2),ROUND(VLOOKUP($I1499,Dashboard!$Q$15:$R$20,2,FALSE)*IF($E1499="Red",Dashboard!$R$6,IF($E1499="Gold",Dashboard!$R$7,Dashboard!$R$5))*IF(ISNUMBER(SEARCH("Duals",$B1499)),2,IF(ISNUMBER(SEARCH("Triples",$B1499)),3,IF(ISNUMBER(SEARCH("Quads",$B1499)),4,1))),2))*IF(IFERROR(VLOOKUP($B1499,Dashboard!$Q$28:$S$60,3,FALSE),0)&gt;0,VLOOKUP($B1499,Dashboard!$Q$28:$S$60,3,FALSE),1))),0))</f>
        <v>36</v>
      </c>
      <c r="K1499" s="2" t="str">
        <f>IF(Characters!H49="","",Characters!H49)</f>
        <v/>
      </c>
      <c r="L1499" s="2">
        <f t="shared" si="299"/>
        <v>0</v>
      </c>
      <c r="M1499" s="2">
        <f t="shared" si="300"/>
        <v>0</v>
      </c>
      <c r="N1499" s="2">
        <f t="shared" si="301"/>
        <v>0</v>
      </c>
      <c r="O1499" s="2">
        <f t="shared" si="302"/>
        <v>1</v>
      </c>
      <c r="P1499" s="112">
        <f t="shared" si="303"/>
        <v>0</v>
      </c>
      <c r="Q1499" s="112">
        <f t="shared" si="304"/>
        <v>0</v>
      </c>
      <c r="R1499" s="53"/>
      <c r="S1499" s="53" t="str">
        <f t="shared" si="305"/>
        <v>Characters|Characters Black Parallel|C-48|Black</v>
      </c>
      <c r="T1499" s="57" t="str">
        <f>IF($S1499="","",IFERROR(VLOOKUP($S1499,'Pop Estimates (Non-#d)'!$N$2:$O$500,2,FALSE),""))</f>
        <v/>
      </c>
      <c r="U1499" s="57">
        <f t="shared" si="306"/>
        <v>25</v>
      </c>
      <c r="V1499" s="53" t="str">
        <f t="shared" si="307"/>
        <v>Gecko</v>
      </c>
      <c r="W1499" s="53" t="str">
        <f t="shared" si="308"/>
        <v>Gecko</v>
      </c>
      <c r="X1499" s="53" t="str">
        <f t="shared" si="309"/>
        <v>Gecko</v>
      </c>
      <c r="Y1499" s="57">
        <f>IF($X1499="","",IFERROR(VLOOKUP($X1499,'Char Popularity'!$A$2:$C$500,2,FALSE),""))</f>
        <v>2</v>
      </c>
      <c r="Z1499" s="56">
        <f>IF($X1499="",1,IFERROR(VLOOKUP($X1499,'Char Popularity'!$A$2:$C$500,3,FALSE),1))</f>
        <v>0.9</v>
      </c>
      <c r="AA1499" s="62">
        <f>IF($H1499&lt;&gt;"Y",0,(IF($F1499&lt;&gt;"",ROUND(Dashboard!$R$4/$F1499,1),IF(AND($I1499="Base",$E1499="Base"),Dashboard!$R$5,IF(AND($I1499="Base",$E1499="Red"),Dashboard!$R$6,IF(AND($I1499="Base",$E1499="Gold"),Dashboard!$R$7,VLOOKUP($I1499,Dashboard!$Q$16:$R$21,2,FALSE)))))*VLOOKUP($I1499,Dashboard!$Q$9:$R$13,2,FALSE)*IF(AND($I1499="Auto",$F1499="",OR($B1499="Autographs Duals",$B1499="Autographs Triples",$B1499="Autographs Quads",$B1499="Autographs Quads (Inscribed)")),IF($B1499="Autographs Duals",2,IF($B1499="Autographs Triples",3,4)),1)))</f>
        <v>40</v>
      </c>
      <c r="AB1499" s="62">
        <f t="shared" si="310"/>
        <v>0</v>
      </c>
      <c r="AC1499" s="62">
        <f t="shared" si="311"/>
        <v>0</v>
      </c>
    </row>
    <row r="1500" spans="1:29" ht="28.7" customHeight="1" x14ac:dyDescent="0.25">
      <c r="A1500" s="4" t="s">
        <v>21</v>
      </c>
      <c r="B1500" s="7" t="s">
        <v>95</v>
      </c>
      <c r="C1500" s="2" t="s">
        <v>1271</v>
      </c>
      <c r="D1500" s="7" t="s">
        <v>1272</v>
      </c>
      <c r="E1500" s="4" t="s">
        <v>780</v>
      </c>
      <c r="F1500" s="2">
        <v>25</v>
      </c>
      <c r="G1500" s="2" t="s">
        <v>1399</v>
      </c>
      <c r="H1500" s="2" t="s">
        <v>1400</v>
      </c>
      <c r="I1500" s="4" t="s">
        <v>60</v>
      </c>
      <c r="J1500" s="112">
        <f>IF($H1500&lt;&gt;"Y",0,ROUND(MIN(Dashboard!$R$24,IF(IFERROR(VLOOKUP($B1500,Dashboard!$Q$28:$S$60,2,FALSE),0)&gt;0,IFERROR(VLOOKUP($B1500,Dashboard!$Q$28:$S$60,2,FALSE),0),$Z1500*IF($U1500&lt;&gt;"",ROUND((Dashboard!$R$4/$U1500)*VLOOKUP($I1500,Dashboard!$Q$9:$R$13,2,FALSE)*IF(ISNUMBER(SEARCH("Duals",$B1500)),2,IF(ISNUMBER(SEARCH("Triples",$B1500)),3,IF(ISNUMBER(SEARCH("Quads",$B1500)),4,1))),2),ROUND(VLOOKUP($I1500,Dashboard!$Q$15:$R$20,2,FALSE)*IF($E1500="Red",Dashboard!$R$6,IF($E1500="Gold",Dashboard!$R$7,Dashboard!$R$5))*IF(ISNUMBER(SEARCH("Duals",$B1500)),2,IF(ISNUMBER(SEARCH("Triples",$B1500)),3,IF(ISNUMBER(SEARCH("Quads",$B1500)),4,1))),2))*IF(IFERROR(VLOOKUP($B1500,Dashboard!$Q$28:$S$60,3,FALSE),0)&gt;0,VLOOKUP($B1500,Dashboard!$Q$28:$S$60,3,FALSE),1))),0))</f>
        <v>40</v>
      </c>
      <c r="K1500" s="2" t="str">
        <f>IF(Characters!H50="","",Characters!H50)</f>
        <v>C 14/25</v>
      </c>
      <c r="L1500" s="2">
        <f t="shared" si="299"/>
        <v>1</v>
      </c>
      <c r="M1500" s="2">
        <f t="shared" si="300"/>
        <v>0</v>
      </c>
      <c r="N1500" s="2">
        <f t="shared" si="301"/>
        <v>1</v>
      </c>
      <c r="O1500" s="2">
        <f t="shared" si="302"/>
        <v>0</v>
      </c>
      <c r="P1500" s="112">
        <f t="shared" si="303"/>
        <v>40</v>
      </c>
      <c r="Q1500" s="112">
        <f t="shared" si="304"/>
        <v>0</v>
      </c>
      <c r="R1500" s="53"/>
      <c r="S1500" s="53" t="str">
        <f t="shared" si="305"/>
        <v>Characters|Characters Black Parallel|C-49|Black</v>
      </c>
      <c r="T1500" s="57" t="str">
        <f>IF($S1500="","",IFERROR(VLOOKUP($S1500,'Pop Estimates (Non-#d)'!$N$2:$O$500,2,FALSE),""))</f>
        <v/>
      </c>
      <c r="U1500" s="57">
        <f t="shared" si="306"/>
        <v>25</v>
      </c>
      <c r="V1500" s="53" t="str">
        <f t="shared" si="307"/>
        <v>Jonah Vogelbaum</v>
      </c>
      <c r="W1500" s="53" t="str">
        <f t="shared" si="308"/>
        <v>Jonah Vogelbaum</v>
      </c>
      <c r="X1500" s="53" t="str">
        <f t="shared" si="309"/>
        <v>Jonah Vogelbaum</v>
      </c>
      <c r="Y1500" s="57">
        <f>IF($X1500="","",IFERROR(VLOOKUP($X1500,'Char Popularity'!$A$2:$C$500,2,FALSE),""))</f>
        <v>3</v>
      </c>
      <c r="Z1500" s="56">
        <f>IF($X1500="",1,IFERROR(VLOOKUP($X1500,'Char Popularity'!$A$2:$C$500,3,FALSE),1))</f>
        <v>1</v>
      </c>
      <c r="AA1500" s="62">
        <f>IF($H1500&lt;&gt;"Y",0,(IF($F1500&lt;&gt;"",ROUND(Dashboard!$R$4/$F1500,1),IF(AND($I1500="Base",$E1500="Base"),Dashboard!$R$5,IF(AND($I1500="Base",$E1500="Red"),Dashboard!$R$6,IF(AND($I1500="Base",$E1500="Gold"),Dashboard!$R$7,VLOOKUP($I1500,Dashboard!$Q$16:$R$21,2,FALSE)))))*VLOOKUP($I1500,Dashboard!$Q$9:$R$13,2,FALSE)*IF(AND($I1500="Auto",$F1500="",OR($B1500="Autographs Duals",$B1500="Autographs Triples",$B1500="Autographs Quads",$B1500="Autographs Quads (Inscribed)")),IF($B1500="Autographs Duals",2,IF($B1500="Autographs Triples",3,4)),1)))</f>
        <v>40</v>
      </c>
      <c r="AB1500" s="62">
        <f t="shared" si="310"/>
        <v>40</v>
      </c>
      <c r="AC1500" s="62">
        <f t="shared" si="311"/>
        <v>0</v>
      </c>
    </row>
    <row r="1501" spans="1:29" ht="28.7" customHeight="1" x14ac:dyDescent="0.25">
      <c r="A1501" s="4" t="s">
        <v>21</v>
      </c>
      <c r="B1501" s="7" t="s">
        <v>95</v>
      </c>
      <c r="C1501" s="2" t="s">
        <v>1273</v>
      </c>
      <c r="D1501" s="7" t="s">
        <v>1274</v>
      </c>
      <c r="E1501" s="4" t="s">
        <v>780</v>
      </c>
      <c r="F1501" s="2">
        <v>25</v>
      </c>
      <c r="G1501" s="2" t="s">
        <v>1399</v>
      </c>
      <c r="H1501" s="2" t="s">
        <v>1400</v>
      </c>
      <c r="I1501" s="4" t="s">
        <v>60</v>
      </c>
      <c r="J1501" s="112">
        <f>IF($H1501&lt;&gt;"Y",0,ROUND(MIN(Dashboard!$R$24,IF(IFERROR(VLOOKUP($B1501,Dashboard!$Q$28:$S$60,2,FALSE),0)&gt;0,IFERROR(VLOOKUP($B1501,Dashboard!$Q$28:$S$60,2,FALSE),0),$Z1501*IF($U1501&lt;&gt;"",ROUND((Dashboard!$R$4/$U1501)*VLOOKUP($I1501,Dashboard!$Q$9:$R$13,2,FALSE)*IF(ISNUMBER(SEARCH("Duals",$B1501)),2,IF(ISNUMBER(SEARCH("Triples",$B1501)),3,IF(ISNUMBER(SEARCH("Quads",$B1501)),4,1))),2),ROUND(VLOOKUP($I1501,Dashboard!$Q$15:$R$20,2,FALSE)*IF($E1501="Red",Dashboard!$R$6,IF($E1501="Gold",Dashboard!$R$7,Dashboard!$R$5))*IF(ISNUMBER(SEARCH("Duals",$B1501)),2,IF(ISNUMBER(SEARCH("Triples",$B1501)),3,IF(ISNUMBER(SEARCH("Quads",$B1501)),4,1))),2))*IF(IFERROR(VLOOKUP($B1501,Dashboard!$Q$28:$S$60,3,FALSE),0)&gt;0,VLOOKUP($B1501,Dashboard!$Q$28:$S$60,3,FALSE),1))),0))</f>
        <v>40</v>
      </c>
      <c r="K1501" s="2" t="str">
        <f>IF(Characters!H51="","",Characters!H51)</f>
        <v>V 01/25</v>
      </c>
      <c r="L1501" s="2">
        <f t="shared" si="299"/>
        <v>1</v>
      </c>
      <c r="M1501" s="2">
        <f t="shared" si="300"/>
        <v>0</v>
      </c>
      <c r="N1501" s="2">
        <f t="shared" si="301"/>
        <v>1</v>
      </c>
      <c r="O1501" s="2">
        <f t="shared" si="302"/>
        <v>0</v>
      </c>
      <c r="P1501" s="112">
        <f t="shared" si="303"/>
        <v>40</v>
      </c>
      <c r="Q1501" s="112">
        <f t="shared" si="304"/>
        <v>0</v>
      </c>
      <c r="R1501" s="53"/>
      <c r="S1501" s="53" t="str">
        <f t="shared" si="305"/>
        <v>Characters|Characters Black Parallel|C-50|Black</v>
      </c>
      <c r="T1501" s="57" t="str">
        <f>IF($S1501="","",IFERROR(VLOOKUP($S1501,'Pop Estimates (Non-#d)'!$N$2:$O$500,2,FALSE),""))</f>
        <v/>
      </c>
      <c r="U1501" s="57">
        <f t="shared" si="306"/>
        <v>25</v>
      </c>
      <c r="V1501" s="53" t="str">
        <f t="shared" si="307"/>
        <v>Doppelganger</v>
      </c>
      <c r="W1501" s="53" t="str">
        <f t="shared" si="308"/>
        <v>Doppelganger</v>
      </c>
      <c r="X1501" s="53" t="str">
        <f t="shared" si="309"/>
        <v>Doppelganger</v>
      </c>
      <c r="Y1501" s="57">
        <f>IF($X1501="","",IFERROR(VLOOKUP($X1501,'Char Popularity'!$A$2:$C$500,2,FALSE),""))</f>
        <v>3</v>
      </c>
      <c r="Z1501" s="56">
        <f>IF($X1501="",1,IFERROR(VLOOKUP($X1501,'Char Popularity'!$A$2:$C$500,3,FALSE),1))</f>
        <v>1</v>
      </c>
      <c r="AA1501" s="62">
        <f>IF($H1501&lt;&gt;"Y",0,(IF($F1501&lt;&gt;"",ROUND(Dashboard!$R$4/$F1501,1),IF(AND($I1501="Base",$E1501="Base"),Dashboard!$R$5,IF(AND($I1501="Base",$E1501="Red"),Dashboard!$R$6,IF(AND($I1501="Base",$E1501="Gold"),Dashboard!$R$7,VLOOKUP($I1501,Dashboard!$Q$16:$R$21,2,FALSE)))))*VLOOKUP($I1501,Dashboard!$Q$9:$R$13,2,FALSE)*IF(AND($I1501="Auto",$F1501="",OR($B1501="Autographs Duals",$B1501="Autographs Triples",$B1501="Autographs Quads",$B1501="Autographs Quads (Inscribed)")),IF($B1501="Autographs Duals",2,IF($B1501="Autographs Triples",3,4)),1)))</f>
        <v>40</v>
      </c>
      <c r="AB1501" s="62">
        <f t="shared" si="310"/>
        <v>40</v>
      </c>
      <c r="AC1501" s="62">
        <f t="shared" si="311"/>
        <v>0</v>
      </c>
    </row>
    <row r="1502" spans="1:29" ht="42.95" customHeight="1" x14ac:dyDescent="0.25">
      <c r="A1502" s="4" t="s">
        <v>21</v>
      </c>
      <c r="B1502" s="7" t="s">
        <v>89</v>
      </c>
      <c r="C1502" s="2" t="s">
        <v>409</v>
      </c>
      <c r="D1502" s="7" t="s">
        <v>263</v>
      </c>
      <c r="E1502" s="4" t="s">
        <v>778</v>
      </c>
      <c r="F1502" s="2">
        <v>399</v>
      </c>
      <c r="G1502" s="2" t="s">
        <v>1399</v>
      </c>
      <c r="H1502" s="2" t="s">
        <v>1400</v>
      </c>
      <c r="I1502" s="4" t="s">
        <v>60</v>
      </c>
      <c r="J1502" s="112">
        <f>IF($H1502&lt;&gt;"Y",0,ROUND(MIN(Dashboard!$R$24,IF(IFERROR(VLOOKUP($B1502,Dashboard!$Q$28:$S$60,2,FALSE),0)&gt;0,IFERROR(VLOOKUP($B1502,Dashboard!$Q$28:$S$60,2,FALSE),0),$Z1502*IF($U1502&lt;&gt;"",ROUND((Dashboard!$R$4/$U1502)*VLOOKUP($I1502,Dashboard!$Q$9:$R$13,2,FALSE)*IF(ISNUMBER(SEARCH("Duals",$B1502)),2,IF(ISNUMBER(SEARCH("Triples",$B1502)),3,IF(ISNUMBER(SEARCH("Quads",$B1502)),4,1))),2),ROUND(VLOOKUP($I1502,Dashboard!$Q$15:$R$20,2,FALSE)*IF($E1502="Red",Dashboard!$R$6,IF($E1502="Gold",Dashboard!$R$7,Dashboard!$R$5))*IF(ISNUMBER(SEARCH("Duals",$B1502)),2,IF(ISNUMBER(SEARCH("Triples",$B1502)),3,IF(ISNUMBER(SEARCH("Quads",$B1502)),4,1))),2))*IF(IFERROR(VLOOKUP($B1502,Dashboard!$Q$28:$S$60,3,FALSE),0)&gt;0,VLOOKUP($B1502,Dashboard!$Q$28:$S$60,3,FALSE),1))),0))</f>
        <v>3</v>
      </c>
      <c r="K1502" s="2" t="str">
        <f>IF(Characters!F2="","",Characters!F2)</f>
        <v>V</v>
      </c>
      <c r="L1502" s="2">
        <f t="shared" si="299"/>
        <v>1</v>
      </c>
      <c r="M1502" s="2">
        <f t="shared" si="300"/>
        <v>0</v>
      </c>
      <c r="N1502" s="2">
        <f t="shared" si="301"/>
        <v>1</v>
      </c>
      <c r="O1502" s="2">
        <f t="shared" si="302"/>
        <v>0</v>
      </c>
      <c r="P1502" s="112">
        <f t="shared" si="303"/>
        <v>3</v>
      </c>
      <c r="Q1502" s="112">
        <f t="shared" si="304"/>
        <v>0</v>
      </c>
      <c r="R1502" s="53"/>
      <c r="S1502" s="53" t="str">
        <f t="shared" si="305"/>
        <v>Characters|Characters Compound V Parallel|C-1|Compound V</v>
      </c>
      <c r="T1502" s="57" t="str">
        <f>IF($S1502="","",IFERROR(VLOOKUP($S1502,'Pop Estimates (Non-#d)'!$N$2:$O$500,2,FALSE),""))</f>
        <v/>
      </c>
      <c r="U1502" s="57">
        <f t="shared" si="306"/>
        <v>399</v>
      </c>
      <c r="V1502" s="53" t="str">
        <f t="shared" si="307"/>
        <v>Hughie Campbell</v>
      </c>
      <c r="W1502" s="53" t="str">
        <f t="shared" si="308"/>
        <v>Hughie Campbell</v>
      </c>
      <c r="X1502" s="53" t="str">
        <f t="shared" si="309"/>
        <v>Hughie Campbell</v>
      </c>
      <c r="Y1502" s="57">
        <f>IF($X1502="","",IFERROR(VLOOKUP($X1502,'Char Popularity'!$A$2:$C$500,2,FALSE),""))</f>
        <v>5</v>
      </c>
      <c r="Z1502" s="56">
        <f>IF($X1502="",1,IFERROR(VLOOKUP($X1502,'Char Popularity'!$A$2:$C$500,3,FALSE),1))</f>
        <v>1.2</v>
      </c>
      <c r="AA1502" s="62">
        <f>IF($H1502&lt;&gt;"Y",0,(IF($F1502&lt;&gt;"",ROUND(Dashboard!$R$4/$F1502,1),IF(AND($I1502="Base",$E1502="Base"),Dashboard!$R$5,IF(AND($I1502="Base",$E1502="Red"),Dashboard!$R$6,IF(AND($I1502="Base",$E1502="Gold"),Dashboard!$R$7,VLOOKUP($I1502,Dashboard!$Q$16:$R$21,2,FALSE)))))*VLOOKUP($I1502,Dashboard!$Q$9:$R$13,2,FALSE)*IF(AND($I1502="Auto",$F1502="",OR($B1502="Autographs Duals",$B1502="Autographs Triples",$B1502="Autographs Quads",$B1502="Autographs Quads (Inscribed)")),IF($B1502="Autographs Duals",2,IF($B1502="Autographs Triples",3,4)),1)))</f>
        <v>2.5</v>
      </c>
      <c r="AB1502" s="62">
        <f t="shared" si="310"/>
        <v>2.5</v>
      </c>
      <c r="AC1502" s="62">
        <f t="shared" si="311"/>
        <v>0</v>
      </c>
    </row>
    <row r="1503" spans="1:29" ht="42.95" customHeight="1" x14ac:dyDescent="0.25">
      <c r="A1503" s="4" t="s">
        <v>21</v>
      </c>
      <c r="B1503" s="7" t="s">
        <v>89</v>
      </c>
      <c r="C1503" s="2" t="s">
        <v>419</v>
      </c>
      <c r="D1503" s="7" t="s">
        <v>222</v>
      </c>
      <c r="E1503" s="4" t="s">
        <v>778</v>
      </c>
      <c r="F1503" s="2">
        <v>399</v>
      </c>
      <c r="G1503" s="2" t="s">
        <v>1399</v>
      </c>
      <c r="H1503" s="2" t="s">
        <v>1400</v>
      </c>
      <c r="I1503" s="4" t="s">
        <v>60</v>
      </c>
      <c r="J1503" s="112">
        <f>IF($H1503&lt;&gt;"Y",0,ROUND(MIN(Dashboard!$R$24,IF(IFERROR(VLOOKUP($B1503,Dashboard!$Q$28:$S$60,2,FALSE),0)&gt;0,IFERROR(VLOOKUP($B1503,Dashboard!$Q$28:$S$60,2,FALSE),0),$Z1503*IF($U1503&lt;&gt;"",ROUND((Dashboard!$R$4/$U1503)*VLOOKUP($I1503,Dashboard!$Q$9:$R$13,2,FALSE)*IF(ISNUMBER(SEARCH("Duals",$B1503)),2,IF(ISNUMBER(SEARCH("Triples",$B1503)),3,IF(ISNUMBER(SEARCH("Quads",$B1503)),4,1))),2),ROUND(VLOOKUP($I1503,Dashboard!$Q$15:$R$20,2,FALSE)*IF($E1503="Red",Dashboard!$R$6,IF($E1503="Gold",Dashboard!$R$7,Dashboard!$R$5))*IF(ISNUMBER(SEARCH("Duals",$B1503)),2,IF(ISNUMBER(SEARCH("Triples",$B1503)),3,IF(ISNUMBER(SEARCH("Quads",$B1503)),4,1))),2))*IF(IFERROR(VLOOKUP($B1503,Dashboard!$Q$28:$S$60,3,FALSE),0)&gt;0,VLOOKUP($B1503,Dashboard!$Q$28:$S$60,3,FALSE),1))),0))</f>
        <v>3</v>
      </c>
      <c r="K1503" s="2" t="str">
        <f>IF(Characters!F3="","",Characters!F3)</f>
        <v>V</v>
      </c>
      <c r="L1503" s="2">
        <f t="shared" si="299"/>
        <v>1</v>
      </c>
      <c r="M1503" s="2">
        <f t="shared" si="300"/>
        <v>0</v>
      </c>
      <c r="N1503" s="2">
        <f t="shared" si="301"/>
        <v>1</v>
      </c>
      <c r="O1503" s="2">
        <f t="shared" si="302"/>
        <v>0</v>
      </c>
      <c r="P1503" s="112">
        <f t="shared" si="303"/>
        <v>3</v>
      </c>
      <c r="Q1503" s="112">
        <f t="shared" si="304"/>
        <v>0</v>
      </c>
      <c r="R1503" s="53"/>
      <c r="S1503" s="53" t="str">
        <f t="shared" si="305"/>
        <v>Characters|Characters Compound V Parallel|C-2|Compound V</v>
      </c>
      <c r="T1503" s="57" t="str">
        <f>IF($S1503="","",IFERROR(VLOOKUP($S1503,'Pop Estimates (Non-#d)'!$N$2:$O$500,2,FALSE),""))</f>
        <v/>
      </c>
      <c r="U1503" s="57">
        <f t="shared" si="306"/>
        <v>399</v>
      </c>
      <c r="V1503" s="53" t="str">
        <f t="shared" si="307"/>
        <v>Homelander</v>
      </c>
      <c r="W1503" s="53" t="str">
        <f t="shared" si="308"/>
        <v>Homelander</v>
      </c>
      <c r="X1503" s="53" t="str">
        <f t="shared" si="309"/>
        <v>Homelander</v>
      </c>
      <c r="Y1503" s="57">
        <f>IF($X1503="","",IFERROR(VLOOKUP($X1503,'Char Popularity'!$A$2:$C$500,2,FALSE),""))</f>
        <v>5</v>
      </c>
      <c r="Z1503" s="56">
        <f>IF($X1503="",1,IFERROR(VLOOKUP($X1503,'Char Popularity'!$A$2:$C$500,3,FALSE),1))</f>
        <v>1.2</v>
      </c>
      <c r="AA1503" s="62">
        <f>IF($H1503&lt;&gt;"Y",0,(IF($F1503&lt;&gt;"",ROUND(Dashboard!$R$4/$F1503,1),IF(AND($I1503="Base",$E1503="Base"),Dashboard!$R$5,IF(AND($I1503="Base",$E1503="Red"),Dashboard!$R$6,IF(AND($I1503="Base",$E1503="Gold"),Dashboard!$R$7,VLOOKUP($I1503,Dashboard!$Q$16:$R$21,2,FALSE)))))*VLOOKUP($I1503,Dashboard!$Q$9:$R$13,2,FALSE)*IF(AND($I1503="Auto",$F1503="",OR($B1503="Autographs Duals",$B1503="Autographs Triples",$B1503="Autographs Quads",$B1503="Autographs Quads (Inscribed)")),IF($B1503="Autographs Duals",2,IF($B1503="Autographs Triples",3,4)),1)))</f>
        <v>2.5</v>
      </c>
      <c r="AB1503" s="62">
        <f t="shared" si="310"/>
        <v>2.5</v>
      </c>
      <c r="AC1503" s="62">
        <f t="shared" si="311"/>
        <v>0</v>
      </c>
    </row>
    <row r="1504" spans="1:29" ht="42.95" customHeight="1" x14ac:dyDescent="0.25">
      <c r="A1504" s="4" t="s">
        <v>21</v>
      </c>
      <c r="B1504" s="7" t="s">
        <v>89</v>
      </c>
      <c r="C1504" s="2" t="s">
        <v>425</v>
      </c>
      <c r="D1504" s="7" t="s">
        <v>274</v>
      </c>
      <c r="E1504" s="4" t="s">
        <v>778</v>
      </c>
      <c r="F1504" s="2">
        <v>399</v>
      </c>
      <c r="G1504" s="2" t="s">
        <v>1399</v>
      </c>
      <c r="H1504" s="2" t="s">
        <v>1400</v>
      </c>
      <c r="I1504" s="4" t="s">
        <v>60</v>
      </c>
      <c r="J1504" s="112">
        <f>IF($H1504&lt;&gt;"Y",0,ROUND(MIN(Dashboard!$R$24,IF(IFERROR(VLOOKUP($B1504,Dashboard!$Q$28:$S$60,2,FALSE),0)&gt;0,IFERROR(VLOOKUP($B1504,Dashboard!$Q$28:$S$60,2,FALSE),0),$Z1504*IF($U1504&lt;&gt;"",ROUND((Dashboard!$R$4/$U1504)*VLOOKUP($I1504,Dashboard!$Q$9:$R$13,2,FALSE)*IF(ISNUMBER(SEARCH("Duals",$B1504)),2,IF(ISNUMBER(SEARCH("Triples",$B1504)),3,IF(ISNUMBER(SEARCH("Quads",$B1504)),4,1))),2),ROUND(VLOOKUP($I1504,Dashboard!$Q$15:$R$20,2,FALSE)*IF($E1504="Red",Dashboard!$R$6,IF($E1504="Gold",Dashboard!$R$7,Dashboard!$R$5))*IF(ISNUMBER(SEARCH("Duals",$B1504)),2,IF(ISNUMBER(SEARCH("Triples",$B1504)),3,IF(ISNUMBER(SEARCH("Quads",$B1504)),4,1))),2))*IF(IFERROR(VLOOKUP($B1504,Dashboard!$Q$28:$S$60,3,FALSE),0)&gt;0,VLOOKUP($B1504,Dashboard!$Q$28:$S$60,3,FALSE),1))),0))</f>
        <v>3</v>
      </c>
      <c r="K1504" s="2" t="str">
        <f>IF(Characters!F4="","",Characters!F4)</f>
        <v>V</v>
      </c>
      <c r="L1504" s="2">
        <f t="shared" si="299"/>
        <v>1</v>
      </c>
      <c r="M1504" s="2">
        <f t="shared" si="300"/>
        <v>0</v>
      </c>
      <c r="N1504" s="2">
        <f t="shared" si="301"/>
        <v>1</v>
      </c>
      <c r="O1504" s="2">
        <f t="shared" si="302"/>
        <v>0</v>
      </c>
      <c r="P1504" s="112">
        <f t="shared" si="303"/>
        <v>3</v>
      </c>
      <c r="Q1504" s="112">
        <f t="shared" si="304"/>
        <v>0</v>
      </c>
      <c r="R1504" s="53"/>
      <c r="S1504" s="53" t="str">
        <f t="shared" si="305"/>
        <v>Characters|Characters Compound V Parallel|C-3|Compound V</v>
      </c>
      <c r="T1504" s="57" t="str">
        <f>IF($S1504="","",IFERROR(VLOOKUP($S1504,'Pop Estimates (Non-#d)'!$N$2:$O$500,2,FALSE),""))</f>
        <v/>
      </c>
      <c r="U1504" s="57">
        <f t="shared" si="306"/>
        <v>399</v>
      </c>
      <c r="V1504" s="53" t="str">
        <f t="shared" si="307"/>
        <v>Billy Butcher</v>
      </c>
      <c r="W1504" s="53" t="str">
        <f t="shared" si="308"/>
        <v>Billy Butcher</v>
      </c>
      <c r="X1504" s="53" t="str">
        <f t="shared" si="309"/>
        <v>Billy Butcher</v>
      </c>
      <c r="Y1504" s="57">
        <f>IF($X1504="","",IFERROR(VLOOKUP($X1504,'Char Popularity'!$A$2:$C$500,2,FALSE),""))</f>
        <v>5</v>
      </c>
      <c r="Z1504" s="56">
        <f>IF($X1504="",1,IFERROR(VLOOKUP($X1504,'Char Popularity'!$A$2:$C$500,3,FALSE),1))</f>
        <v>1.2</v>
      </c>
      <c r="AA1504" s="62">
        <f>IF($H1504&lt;&gt;"Y",0,(IF($F1504&lt;&gt;"",ROUND(Dashboard!$R$4/$F1504,1),IF(AND($I1504="Base",$E1504="Base"),Dashboard!$R$5,IF(AND($I1504="Base",$E1504="Red"),Dashboard!$R$6,IF(AND($I1504="Base",$E1504="Gold"),Dashboard!$R$7,VLOOKUP($I1504,Dashboard!$Q$16:$R$21,2,FALSE)))))*VLOOKUP($I1504,Dashboard!$Q$9:$R$13,2,FALSE)*IF(AND($I1504="Auto",$F1504="",OR($B1504="Autographs Duals",$B1504="Autographs Triples",$B1504="Autographs Quads",$B1504="Autographs Quads (Inscribed)")),IF($B1504="Autographs Duals",2,IF($B1504="Autographs Triples",3,4)),1)))</f>
        <v>2.5</v>
      </c>
      <c r="AB1504" s="62">
        <f t="shared" si="310"/>
        <v>2.5</v>
      </c>
      <c r="AC1504" s="62">
        <f t="shared" si="311"/>
        <v>0</v>
      </c>
    </row>
    <row r="1505" spans="1:29" ht="42.95" customHeight="1" x14ac:dyDescent="0.25">
      <c r="A1505" s="4" t="s">
        <v>21</v>
      </c>
      <c r="B1505" s="7" t="s">
        <v>89</v>
      </c>
      <c r="C1505" s="2" t="s">
        <v>428</v>
      </c>
      <c r="D1505" s="7" t="s">
        <v>248</v>
      </c>
      <c r="E1505" s="4" t="s">
        <v>778</v>
      </c>
      <c r="F1505" s="2">
        <v>399</v>
      </c>
      <c r="G1505" s="2" t="s">
        <v>1399</v>
      </c>
      <c r="H1505" s="2" t="s">
        <v>1400</v>
      </c>
      <c r="I1505" s="4" t="s">
        <v>60</v>
      </c>
      <c r="J1505" s="112">
        <f>IF($H1505&lt;&gt;"Y",0,ROUND(MIN(Dashboard!$R$24,IF(IFERROR(VLOOKUP($B1505,Dashboard!$Q$28:$S$60,2,FALSE),0)&gt;0,IFERROR(VLOOKUP($B1505,Dashboard!$Q$28:$S$60,2,FALSE),0),$Z1505*IF($U1505&lt;&gt;"",ROUND((Dashboard!$R$4/$U1505)*VLOOKUP($I1505,Dashboard!$Q$9:$R$13,2,FALSE)*IF(ISNUMBER(SEARCH("Duals",$B1505)),2,IF(ISNUMBER(SEARCH("Triples",$B1505)),3,IF(ISNUMBER(SEARCH("Quads",$B1505)),4,1))),2),ROUND(VLOOKUP($I1505,Dashboard!$Q$15:$R$20,2,FALSE)*IF($E1505="Red",Dashboard!$R$6,IF($E1505="Gold",Dashboard!$R$7,Dashboard!$R$5))*IF(ISNUMBER(SEARCH("Duals",$B1505)),2,IF(ISNUMBER(SEARCH("Triples",$B1505)),3,IF(ISNUMBER(SEARCH("Quads",$B1505)),4,1))),2))*IF(IFERROR(VLOOKUP($B1505,Dashboard!$Q$28:$S$60,3,FALSE),0)&gt;0,VLOOKUP($B1505,Dashboard!$Q$28:$S$60,3,FALSE),1))),0))</f>
        <v>3</v>
      </c>
      <c r="K1505" s="2" t="str">
        <f>IF(Characters!F5="","",Characters!F5)</f>
        <v>C</v>
      </c>
      <c r="L1505" s="2">
        <f t="shared" si="299"/>
        <v>1</v>
      </c>
      <c r="M1505" s="2">
        <f t="shared" si="300"/>
        <v>0</v>
      </c>
      <c r="N1505" s="2">
        <f t="shared" si="301"/>
        <v>1</v>
      </c>
      <c r="O1505" s="2">
        <f t="shared" si="302"/>
        <v>0</v>
      </c>
      <c r="P1505" s="112">
        <f t="shared" si="303"/>
        <v>3</v>
      </c>
      <c r="Q1505" s="112">
        <f t="shared" si="304"/>
        <v>0</v>
      </c>
      <c r="R1505" s="53"/>
      <c r="S1505" s="53" t="str">
        <f t="shared" si="305"/>
        <v>Characters|Characters Compound V Parallel|C-4|Compound V</v>
      </c>
      <c r="T1505" s="57" t="str">
        <f>IF($S1505="","",IFERROR(VLOOKUP($S1505,'Pop Estimates (Non-#d)'!$N$2:$O$500,2,FALSE),""))</f>
        <v/>
      </c>
      <c r="U1505" s="57">
        <f t="shared" si="306"/>
        <v>399</v>
      </c>
      <c r="V1505" s="53" t="str">
        <f t="shared" si="307"/>
        <v>Starlight</v>
      </c>
      <c r="W1505" s="53" t="str">
        <f t="shared" si="308"/>
        <v>Starlight</v>
      </c>
      <c r="X1505" s="53" t="str">
        <f t="shared" si="309"/>
        <v>Starlight</v>
      </c>
      <c r="Y1505" s="57">
        <f>IF($X1505="","",IFERROR(VLOOKUP($X1505,'Char Popularity'!$A$2:$C$500,2,FALSE),""))</f>
        <v>5</v>
      </c>
      <c r="Z1505" s="56">
        <f>IF($X1505="",1,IFERROR(VLOOKUP($X1505,'Char Popularity'!$A$2:$C$500,3,FALSE),1))</f>
        <v>1.2</v>
      </c>
      <c r="AA1505" s="62">
        <f>IF($H1505&lt;&gt;"Y",0,(IF($F1505&lt;&gt;"",ROUND(Dashboard!$R$4/$F1505,1),IF(AND($I1505="Base",$E1505="Base"),Dashboard!$R$5,IF(AND($I1505="Base",$E1505="Red"),Dashboard!$R$6,IF(AND($I1505="Base",$E1505="Gold"),Dashboard!$R$7,VLOOKUP($I1505,Dashboard!$Q$16:$R$21,2,FALSE)))))*VLOOKUP($I1505,Dashboard!$Q$9:$R$13,2,FALSE)*IF(AND($I1505="Auto",$F1505="",OR($B1505="Autographs Duals",$B1505="Autographs Triples",$B1505="Autographs Quads",$B1505="Autographs Quads (Inscribed)")),IF($B1505="Autographs Duals",2,IF($B1505="Autographs Triples",3,4)),1)))</f>
        <v>2.5</v>
      </c>
      <c r="AB1505" s="62">
        <f t="shared" si="310"/>
        <v>2.5</v>
      </c>
      <c r="AC1505" s="62">
        <f t="shared" si="311"/>
        <v>0</v>
      </c>
    </row>
    <row r="1506" spans="1:29" ht="42.95" customHeight="1" x14ac:dyDescent="0.25">
      <c r="A1506" s="4" t="s">
        <v>21</v>
      </c>
      <c r="B1506" s="7" t="s">
        <v>89</v>
      </c>
      <c r="C1506" s="2" t="s">
        <v>434</v>
      </c>
      <c r="D1506" s="7" t="s">
        <v>267</v>
      </c>
      <c r="E1506" s="4" t="s">
        <v>778</v>
      </c>
      <c r="F1506" s="2">
        <v>399</v>
      </c>
      <c r="G1506" s="2" t="s">
        <v>1399</v>
      </c>
      <c r="H1506" s="2" t="s">
        <v>1400</v>
      </c>
      <c r="I1506" s="4" t="s">
        <v>60</v>
      </c>
      <c r="J1506" s="112">
        <f>IF($H1506&lt;&gt;"Y",0,ROUND(MIN(Dashboard!$R$24,IF(IFERROR(VLOOKUP($B1506,Dashboard!$Q$28:$S$60,2,FALSE),0)&gt;0,IFERROR(VLOOKUP($B1506,Dashboard!$Q$28:$S$60,2,FALSE),0),$Z1506*IF($U1506&lt;&gt;"",ROUND((Dashboard!$R$4/$U1506)*VLOOKUP($I1506,Dashboard!$Q$9:$R$13,2,FALSE)*IF(ISNUMBER(SEARCH("Duals",$B1506)),2,IF(ISNUMBER(SEARCH("Triples",$B1506)),3,IF(ISNUMBER(SEARCH("Quads",$B1506)),4,1))),2),ROUND(VLOOKUP($I1506,Dashboard!$Q$15:$R$20,2,FALSE)*IF($E1506="Red",Dashboard!$R$6,IF($E1506="Gold",Dashboard!$R$7,Dashboard!$R$5))*IF(ISNUMBER(SEARCH("Duals",$B1506)),2,IF(ISNUMBER(SEARCH("Triples",$B1506)),3,IF(ISNUMBER(SEARCH("Quads",$B1506)),4,1))),2))*IF(IFERROR(VLOOKUP($B1506,Dashboard!$Q$28:$S$60,3,FALSE),0)&gt;0,VLOOKUP($B1506,Dashboard!$Q$28:$S$60,3,FALSE),1))),0))</f>
        <v>3</v>
      </c>
      <c r="K1506" s="2" t="str">
        <f>IF(Characters!F6="","",Characters!F6)</f>
        <v>V</v>
      </c>
      <c r="L1506" s="2">
        <f t="shared" si="299"/>
        <v>1</v>
      </c>
      <c r="M1506" s="2">
        <f t="shared" si="300"/>
        <v>0</v>
      </c>
      <c r="N1506" s="2">
        <f t="shared" si="301"/>
        <v>1</v>
      </c>
      <c r="O1506" s="2">
        <f t="shared" si="302"/>
        <v>0</v>
      </c>
      <c r="P1506" s="112">
        <f t="shared" si="303"/>
        <v>3</v>
      </c>
      <c r="Q1506" s="112">
        <f t="shared" si="304"/>
        <v>0</v>
      </c>
      <c r="R1506" s="53"/>
      <c r="S1506" s="53" t="str">
        <f t="shared" si="305"/>
        <v>Characters|Characters Compound V Parallel|C-5|Compound V</v>
      </c>
      <c r="T1506" s="57" t="str">
        <f>IF($S1506="","",IFERROR(VLOOKUP($S1506,'Pop Estimates (Non-#d)'!$N$2:$O$500,2,FALSE),""))</f>
        <v/>
      </c>
      <c r="U1506" s="57">
        <f t="shared" si="306"/>
        <v>399</v>
      </c>
      <c r="V1506" s="53" t="str">
        <f t="shared" si="307"/>
        <v>A-Train</v>
      </c>
      <c r="W1506" s="53" t="str">
        <f t="shared" si="308"/>
        <v>A-Train</v>
      </c>
      <c r="X1506" s="53" t="str">
        <f t="shared" si="309"/>
        <v>A-Train</v>
      </c>
      <c r="Y1506" s="57">
        <f>IF($X1506="","",IFERROR(VLOOKUP($X1506,'Char Popularity'!$A$2:$C$500,2,FALSE),""))</f>
        <v>4</v>
      </c>
      <c r="Z1506" s="56">
        <f>IF($X1506="",1,IFERROR(VLOOKUP($X1506,'Char Popularity'!$A$2:$C$500,3,FALSE),1))</f>
        <v>1.1000000000000001</v>
      </c>
      <c r="AA1506" s="62">
        <f>IF($H1506&lt;&gt;"Y",0,(IF($F1506&lt;&gt;"",ROUND(Dashboard!$R$4/$F1506,1),IF(AND($I1506="Base",$E1506="Base"),Dashboard!$R$5,IF(AND($I1506="Base",$E1506="Red"),Dashboard!$R$6,IF(AND($I1506="Base",$E1506="Gold"),Dashboard!$R$7,VLOOKUP($I1506,Dashboard!$Q$16:$R$21,2,FALSE)))))*VLOOKUP($I1506,Dashboard!$Q$9:$R$13,2,FALSE)*IF(AND($I1506="Auto",$F1506="",OR($B1506="Autographs Duals",$B1506="Autographs Triples",$B1506="Autographs Quads",$B1506="Autographs Quads (Inscribed)")),IF($B1506="Autographs Duals",2,IF($B1506="Autographs Triples",3,4)),1)))</f>
        <v>2.5</v>
      </c>
      <c r="AB1506" s="62">
        <f t="shared" si="310"/>
        <v>2.5</v>
      </c>
      <c r="AC1506" s="62">
        <f t="shared" si="311"/>
        <v>0</v>
      </c>
    </row>
    <row r="1507" spans="1:29" ht="42.95" customHeight="1" x14ac:dyDescent="0.25">
      <c r="A1507" s="4" t="s">
        <v>21</v>
      </c>
      <c r="B1507" s="7" t="s">
        <v>89</v>
      </c>
      <c r="C1507" s="2" t="s">
        <v>435</v>
      </c>
      <c r="D1507" s="7" t="s">
        <v>250</v>
      </c>
      <c r="E1507" s="4" t="s">
        <v>778</v>
      </c>
      <c r="F1507" s="2">
        <v>399</v>
      </c>
      <c r="G1507" s="2" t="s">
        <v>1399</v>
      </c>
      <c r="H1507" s="2" t="s">
        <v>1400</v>
      </c>
      <c r="I1507" s="4" t="s">
        <v>60</v>
      </c>
      <c r="J1507" s="112">
        <f>IF($H1507&lt;&gt;"Y",0,ROUND(MIN(Dashboard!$R$24,IF(IFERROR(VLOOKUP($B1507,Dashboard!$Q$28:$S$60,2,FALSE),0)&gt;0,IFERROR(VLOOKUP($B1507,Dashboard!$Q$28:$S$60,2,FALSE),0),$Z1507*IF($U1507&lt;&gt;"",ROUND((Dashboard!$R$4/$U1507)*VLOOKUP($I1507,Dashboard!$Q$9:$R$13,2,FALSE)*IF(ISNUMBER(SEARCH("Duals",$B1507)),2,IF(ISNUMBER(SEARCH("Triples",$B1507)),3,IF(ISNUMBER(SEARCH("Quads",$B1507)),4,1))),2),ROUND(VLOOKUP($I1507,Dashboard!$Q$15:$R$20,2,FALSE)*IF($E1507="Red",Dashboard!$R$6,IF($E1507="Gold",Dashboard!$R$7,Dashboard!$R$5))*IF(ISNUMBER(SEARCH("Duals",$B1507)),2,IF(ISNUMBER(SEARCH("Triples",$B1507)),3,IF(ISNUMBER(SEARCH("Quads",$B1507)),4,1))),2))*IF(IFERROR(VLOOKUP($B1507,Dashboard!$Q$28:$S$60,3,FALSE),0)&gt;0,VLOOKUP($B1507,Dashboard!$Q$28:$S$60,3,FALSE),1))),0))</f>
        <v>3</v>
      </c>
      <c r="K1507" s="2" t="str">
        <f>IF(Characters!F7="","",Characters!F7)</f>
        <v>V</v>
      </c>
      <c r="L1507" s="2">
        <f t="shared" si="299"/>
        <v>1</v>
      </c>
      <c r="M1507" s="2">
        <f t="shared" si="300"/>
        <v>0</v>
      </c>
      <c r="N1507" s="2">
        <f t="shared" si="301"/>
        <v>1</v>
      </c>
      <c r="O1507" s="2">
        <f t="shared" si="302"/>
        <v>0</v>
      </c>
      <c r="P1507" s="112">
        <f t="shared" si="303"/>
        <v>3</v>
      </c>
      <c r="Q1507" s="112">
        <f t="shared" si="304"/>
        <v>0</v>
      </c>
      <c r="R1507" s="53"/>
      <c r="S1507" s="53" t="str">
        <f t="shared" si="305"/>
        <v>Characters|Characters Compound V Parallel|C-6|Compound V</v>
      </c>
      <c r="T1507" s="57" t="str">
        <f>IF($S1507="","",IFERROR(VLOOKUP($S1507,'Pop Estimates (Non-#d)'!$N$2:$O$500,2,FALSE),""))</f>
        <v/>
      </c>
      <c r="U1507" s="57">
        <f t="shared" si="306"/>
        <v>399</v>
      </c>
      <c r="V1507" s="53" t="str">
        <f t="shared" si="307"/>
        <v>Madelyn Stillwell</v>
      </c>
      <c r="W1507" s="53" t="str">
        <f t="shared" si="308"/>
        <v>Madelyn Stillwell</v>
      </c>
      <c r="X1507" s="53" t="str">
        <f t="shared" si="309"/>
        <v>Madelyn Stillwell</v>
      </c>
      <c r="Y1507" s="57">
        <f>IF($X1507="","",IFERROR(VLOOKUP($X1507,'Char Popularity'!$A$2:$C$500,2,FALSE),""))</f>
        <v>3</v>
      </c>
      <c r="Z1507" s="56">
        <f>IF($X1507="",1,IFERROR(VLOOKUP($X1507,'Char Popularity'!$A$2:$C$500,3,FALSE),1))</f>
        <v>1</v>
      </c>
      <c r="AA1507" s="62">
        <f>IF($H1507&lt;&gt;"Y",0,(IF($F1507&lt;&gt;"",ROUND(Dashboard!$R$4/$F1507,1),IF(AND($I1507="Base",$E1507="Base"),Dashboard!$R$5,IF(AND($I1507="Base",$E1507="Red"),Dashboard!$R$6,IF(AND($I1507="Base",$E1507="Gold"),Dashboard!$R$7,VLOOKUP($I1507,Dashboard!$Q$16:$R$21,2,FALSE)))))*VLOOKUP($I1507,Dashboard!$Q$9:$R$13,2,FALSE)*IF(AND($I1507="Auto",$F1507="",OR($B1507="Autographs Duals",$B1507="Autographs Triples",$B1507="Autographs Quads",$B1507="Autographs Quads (Inscribed)")),IF($B1507="Autographs Duals",2,IF($B1507="Autographs Triples",3,4)),1)))</f>
        <v>2.5</v>
      </c>
      <c r="AB1507" s="62">
        <f t="shared" si="310"/>
        <v>2.5</v>
      </c>
      <c r="AC1507" s="62">
        <f t="shared" si="311"/>
        <v>0</v>
      </c>
    </row>
    <row r="1508" spans="1:29" ht="42.95" customHeight="1" x14ac:dyDescent="0.25">
      <c r="A1508" s="4" t="s">
        <v>21</v>
      </c>
      <c r="B1508" s="7" t="s">
        <v>89</v>
      </c>
      <c r="C1508" s="2" t="s">
        <v>436</v>
      </c>
      <c r="D1508" s="7" t="s">
        <v>230</v>
      </c>
      <c r="E1508" s="4" t="s">
        <v>778</v>
      </c>
      <c r="F1508" s="2">
        <v>399</v>
      </c>
      <c r="G1508" s="2" t="s">
        <v>1399</v>
      </c>
      <c r="H1508" s="2" t="s">
        <v>1400</v>
      </c>
      <c r="I1508" s="4" t="s">
        <v>60</v>
      </c>
      <c r="J1508" s="112">
        <f>IF($H1508&lt;&gt;"Y",0,ROUND(MIN(Dashboard!$R$24,IF(IFERROR(VLOOKUP($B1508,Dashboard!$Q$28:$S$60,2,FALSE),0)&gt;0,IFERROR(VLOOKUP($B1508,Dashboard!$Q$28:$S$60,2,FALSE),0),$Z1508*IF($U1508&lt;&gt;"",ROUND((Dashboard!$R$4/$U1508)*VLOOKUP($I1508,Dashboard!$Q$9:$R$13,2,FALSE)*IF(ISNUMBER(SEARCH("Duals",$B1508)),2,IF(ISNUMBER(SEARCH("Triples",$B1508)),3,IF(ISNUMBER(SEARCH("Quads",$B1508)),4,1))),2),ROUND(VLOOKUP($I1508,Dashboard!$Q$15:$R$20,2,FALSE)*IF($E1508="Red",Dashboard!$R$6,IF($E1508="Gold",Dashboard!$R$7,Dashboard!$R$5))*IF(ISNUMBER(SEARCH("Duals",$B1508)),2,IF(ISNUMBER(SEARCH("Triples",$B1508)),3,IF(ISNUMBER(SEARCH("Quads",$B1508)),4,1))),2))*IF(IFERROR(VLOOKUP($B1508,Dashboard!$Q$28:$S$60,3,FALSE),0)&gt;0,VLOOKUP($B1508,Dashboard!$Q$28:$S$60,3,FALSE),1))),0))</f>
        <v>3</v>
      </c>
      <c r="K1508" s="2" t="str">
        <f>IF(Characters!F8="","",Characters!F8)</f>
        <v>C</v>
      </c>
      <c r="L1508" s="2">
        <f t="shared" si="299"/>
        <v>1</v>
      </c>
      <c r="M1508" s="2">
        <f t="shared" si="300"/>
        <v>0</v>
      </c>
      <c r="N1508" s="2">
        <f t="shared" si="301"/>
        <v>1</v>
      </c>
      <c r="O1508" s="2">
        <f t="shared" si="302"/>
        <v>0</v>
      </c>
      <c r="P1508" s="112">
        <f t="shared" si="303"/>
        <v>3</v>
      </c>
      <c r="Q1508" s="112">
        <f t="shared" si="304"/>
        <v>0</v>
      </c>
      <c r="R1508" s="53"/>
      <c r="S1508" s="53" t="str">
        <f t="shared" si="305"/>
        <v>Characters|Characters Compound V Parallel|C-7|Compound V</v>
      </c>
      <c r="T1508" s="57" t="str">
        <f>IF($S1508="","",IFERROR(VLOOKUP($S1508,'Pop Estimates (Non-#d)'!$N$2:$O$500,2,FALSE),""))</f>
        <v/>
      </c>
      <c r="U1508" s="57">
        <f t="shared" si="306"/>
        <v>399</v>
      </c>
      <c r="V1508" s="53" t="str">
        <f t="shared" si="307"/>
        <v>The Deep</v>
      </c>
      <c r="W1508" s="53" t="str">
        <f t="shared" si="308"/>
        <v>The Deep</v>
      </c>
      <c r="X1508" s="53" t="str">
        <f t="shared" si="309"/>
        <v>The Deep</v>
      </c>
      <c r="Y1508" s="57">
        <f>IF($X1508="","",IFERROR(VLOOKUP($X1508,'Char Popularity'!$A$2:$C$500,2,FALSE),""))</f>
        <v>4</v>
      </c>
      <c r="Z1508" s="56">
        <f>IF($X1508="",1,IFERROR(VLOOKUP($X1508,'Char Popularity'!$A$2:$C$500,3,FALSE),1))</f>
        <v>1.1000000000000001</v>
      </c>
      <c r="AA1508" s="62">
        <f>IF($H1508&lt;&gt;"Y",0,(IF($F1508&lt;&gt;"",ROUND(Dashboard!$R$4/$F1508,1),IF(AND($I1508="Base",$E1508="Base"),Dashboard!$R$5,IF(AND($I1508="Base",$E1508="Red"),Dashboard!$R$6,IF(AND($I1508="Base",$E1508="Gold"),Dashboard!$R$7,VLOOKUP($I1508,Dashboard!$Q$16:$R$21,2,FALSE)))))*VLOOKUP($I1508,Dashboard!$Q$9:$R$13,2,FALSE)*IF(AND($I1508="Auto",$F1508="",OR($B1508="Autographs Duals",$B1508="Autographs Triples",$B1508="Autographs Quads",$B1508="Autographs Quads (Inscribed)")),IF($B1508="Autographs Duals",2,IF($B1508="Autographs Triples",3,4)),1)))</f>
        <v>2.5</v>
      </c>
      <c r="AB1508" s="62">
        <f t="shared" si="310"/>
        <v>2.5</v>
      </c>
      <c r="AC1508" s="62">
        <f t="shared" si="311"/>
        <v>0</v>
      </c>
    </row>
    <row r="1509" spans="1:29" ht="42.95" customHeight="1" x14ac:dyDescent="0.25">
      <c r="A1509" s="4" t="s">
        <v>21</v>
      </c>
      <c r="B1509" s="7" t="s">
        <v>89</v>
      </c>
      <c r="C1509" s="2" t="s">
        <v>437</v>
      </c>
      <c r="D1509" s="7" t="s">
        <v>276</v>
      </c>
      <c r="E1509" s="4" t="s">
        <v>778</v>
      </c>
      <c r="F1509" s="2">
        <v>399</v>
      </c>
      <c r="G1509" s="2" t="s">
        <v>1399</v>
      </c>
      <c r="H1509" s="2" t="s">
        <v>1400</v>
      </c>
      <c r="I1509" s="4" t="s">
        <v>60</v>
      </c>
      <c r="J1509" s="112">
        <f>IF($H1509&lt;&gt;"Y",0,ROUND(MIN(Dashboard!$R$24,IF(IFERROR(VLOOKUP($B1509,Dashboard!$Q$28:$S$60,2,FALSE),0)&gt;0,IFERROR(VLOOKUP($B1509,Dashboard!$Q$28:$S$60,2,FALSE),0),$Z1509*IF($U1509&lt;&gt;"",ROUND((Dashboard!$R$4/$U1509)*VLOOKUP($I1509,Dashboard!$Q$9:$R$13,2,FALSE)*IF(ISNUMBER(SEARCH("Duals",$B1509)),2,IF(ISNUMBER(SEARCH("Triples",$B1509)),3,IF(ISNUMBER(SEARCH("Quads",$B1509)),4,1))),2),ROUND(VLOOKUP($I1509,Dashboard!$Q$15:$R$20,2,FALSE)*IF($E1509="Red",Dashboard!$R$6,IF($E1509="Gold",Dashboard!$R$7,Dashboard!$R$5))*IF(ISNUMBER(SEARCH("Duals",$B1509)),2,IF(ISNUMBER(SEARCH("Triples",$B1509)),3,IF(ISNUMBER(SEARCH("Quads",$B1509)),4,1))),2))*IF(IFERROR(VLOOKUP($B1509,Dashboard!$Q$28:$S$60,3,FALSE),0)&gt;0,VLOOKUP($B1509,Dashboard!$Q$28:$S$60,3,FALSE),1))),0))</f>
        <v>3</v>
      </c>
      <c r="K1509" s="2" t="str">
        <f>IF(Characters!F9="","",Characters!F9)</f>
        <v>V</v>
      </c>
      <c r="L1509" s="2">
        <f t="shared" si="299"/>
        <v>1</v>
      </c>
      <c r="M1509" s="2">
        <f t="shared" si="300"/>
        <v>0</v>
      </c>
      <c r="N1509" s="2">
        <f t="shared" si="301"/>
        <v>1</v>
      </c>
      <c r="O1509" s="2">
        <f t="shared" si="302"/>
        <v>0</v>
      </c>
      <c r="P1509" s="112">
        <f t="shared" si="303"/>
        <v>3</v>
      </c>
      <c r="Q1509" s="112">
        <f t="shared" si="304"/>
        <v>0</v>
      </c>
      <c r="R1509" s="53"/>
      <c r="S1509" s="53" t="str">
        <f t="shared" si="305"/>
        <v>Characters|Characters Compound V Parallel|C-8|Compound V</v>
      </c>
      <c r="T1509" s="57" t="str">
        <f>IF($S1509="","",IFERROR(VLOOKUP($S1509,'Pop Estimates (Non-#d)'!$N$2:$O$500,2,FALSE),""))</f>
        <v/>
      </c>
      <c r="U1509" s="57">
        <f t="shared" si="306"/>
        <v>399</v>
      </c>
      <c r="V1509" s="53" t="str">
        <f t="shared" si="307"/>
        <v>Mother's Milk</v>
      </c>
      <c r="W1509" s="53" t="str">
        <f t="shared" si="308"/>
        <v>Mother's Milk</v>
      </c>
      <c r="X1509" s="53" t="str">
        <f t="shared" si="309"/>
        <v>Mother's Milk</v>
      </c>
      <c r="Y1509" s="57">
        <f>IF($X1509="","",IFERROR(VLOOKUP($X1509,'Char Popularity'!$A$2:$C$500,2,FALSE),""))</f>
        <v>4</v>
      </c>
      <c r="Z1509" s="56">
        <f>IF($X1509="",1,IFERROR(VLOOKUP($X1509,'Char Popularity'!$A$2:$C$500,3,FALSE),1))</f>
        <v>1.1000000000000001</v>
      </c>
      <c r="AA1509" s="62">
        <f>IF($H1509&lt;&gt;"Y",0,(IF($F1509&lt;&gt;"",ROUND(Dashboard!$R$4/$F1509,1),IF(AND($I1509="Base",$E1509="Base"),Dashboard!$R$5,IF(AND($I1509="Base",$E1509="Red"),Dashboard!$R$6,IF(AND($I1509="Base",$E1509="Gold"),Dashboard!$R$7,VLOOKUP($I1509,Dashboard!$Q$16:$R$21,2,FALSE)))))*VLOOKUP($I1509,Dashboard!$Q$9:$R$13,2,FALSE)*IF(AND($I1509="Auto",$F1509="",OR($B1509="Autographs Duals",$B1509="Autographs Triples",$B1509="Autographs Quads",$B1509="Autographs Quads (Inscribed)")),IF($B1509="Autographs Duals",2,IF($B1509="Autographs Triples",3,4)),1)))</f>
        <v>2.5</v>
      </c>
      <c r="AB1509" s="62">
        <f t="shared" si="310"/>
        <v>2.5</v>
      </c>
      <c r="AC1509" s="62">
        <f t="shared" si="311"/>
        <v>0</v>
      </c>
    </row>
    <row r="1510" spans="1:29" ht="42.95" customHeight="1" x14ac:dyDescent="0.25">
      <c r="A1510" s="4" t="s">
        <v>21</v>
      </c>
      <c r="B1510" s="7" t="s">
        <v>89</v>
      </c>
      <c r="C1510" s="2" t="s">
        <v>438</v>
      </c>
      <c r="D1510" s="7" t="s">
        <v>244</v>
      </c>
      <c r="E1510" s="4" t="s">
        <v>778</v>
      </c>
      <c r="F1510" s="2">
        <v>399</v>
      </c>
      <c r="G1510" s="2" t="s">
        <v>1399</v>
      </c>
      <c r="H1510" s="2" t="s">
        <v>1400</v>
      </c>
      <c r="I1510" s="4" t="s">
        <v>60</v>
      </c>
      <c r="J1510" s="112">
        <f>IF($H1510&lt;&gt;"Y",0,ROUND(MIN(Dashboard!$R$24,IF(IFERROR(VLOOKUP($B1510,Dashboard!$Q$28:$S$60,2,FALSE),0)&gt;0,IFERROR(VLOOKUP($B1510,Dashboard!$Q$28:$S$60,2,FALSE),0),$Z1510*IF($U1510&lt;&gt;"",ROUND((Dashboard!$R$4/$U1510)*VLOOKUP($I1510,Dashboard!$Q$9:$R$13,2,FALSE)*IF(ISNUMBER(SEARCH("Duals",$B1510)),2,IF(ISNUMBER(SEARCH("Triples",$B1510)),3,IF(ISNUMBER(SEARCH("Quads",$B1510)),4,1))),2),ROUND(VLOOKUP($I1510,Dashboard!$Q$15:$R$20,2,FALSE)*IF($E1510="Red",Dashboard!$R$6,IF($E1510="Gold",Dashboard!$R$7,Dashboard!$R$5))*IF(ISNUMBER(SEARCH("Duals",$B1510)),2,IF(ISNUMBER(SEARCH("Triples",$B1510)),3,IF(ISNUMBER(SEARCH("Quads",$B1510)),4,1))),2))*IF(IFERROR(VLOOKUP($B1510,Dashboard!$Q$28:$S$60,3,FALSE),0)&gt;0,VLOOKUP($B1510,Dashboard!$Q$28:$S$60,3,FALSE),1))),0))</f>
        <v>3</v>
      </c>
      <c r="K1510" s="2" t="str">
        <f>IF(Characters!F10="","",Characters!F10)</f>
        <v>V</v>
      </c>
      <c r="L1510" s="2">
        <f t="shared" si="299"/>
        <v>1</v>
      </c>
      <c r="M1510" s="2">
        <f t="shared" si="300"/>
        <v>0</v>
      </c>
      <c r="N1510" s="2">
        <f t="shared" si="301"/>
        <v>1</v>
      </c>
      <c r="O1510" s="2">
        <f t="shared" si="302"/>
        <v>0</v>
      </c>
      <c r="P1510" s="112">
        <f t="shared" si="303"/>
        <v>3</v>
      </c>
      <c r="Q1510" s="112">
        <f t="shared" si="304"/>
        <v>0</v>
      </c>
      <c r="R1510" s="53"/>
      <c r="S1510" s="53" t="str">
        <f t="shared" si="305"/>
        <v>Characters|Characters Compound V Parallel|C-9|Compound V</v>
      </c>
      <c r="T1510" s="57" t="str">
        <f>IF($S1510="","",IFERROR(VLOOKUP($S1510,'Pop Estimates (Non-#d)'!$N$2:$O$500,2,FALSE),""))</f>
        <v/>
      </c>
      <c r="U1510" s="57">
        <f t="shared" si="306"/>
        <v>399</v>
      </c>
      <c r="V1510" s="53" t="str">
        <f t="shared" si="307"/>
        <v>Queen Maeve</v>
      </c>
      <c r="W1510" s="53" t="str">
        <f t="shared" si="308"/>
        <v>Queen Maeve</v>
      </c>
      <c r="X1510" s="53" t="str">
        <f t="shared" si="309"/>
        <v>Queen Maeve</v>
      </c>
      <c r="Y1510" s="57">
        <f>IF($X1510="","",IFERROR(VLOOKUP($X1510,'Char Popularity'!$A$2:$C$500,2,FALSE),""))</f>
        <v>4</v>
      </c>
      <c r="Z1510" s="56">
        <f>IF($X1510="",1,IFERROR(VLOOKUP($X1510,'Char Popularity'!$A$2:$C$500,3,FALSE),1))</f>
        <v>1.1000000000000001</v>
      </c>
      <c r="AA1510" s="62">
        <f>IF($H1510&lt;&gt;"Y",0,(IF($F1510&lt;&gt;"",ROUND(Dashboard!$R$4/$F1510,1),IF(AND($I1510="Base",$E1510="Base"),Dashboard!$R$5,IF(AND($I1510="Base",$E1510="Red"),Dashboard!$R$6,IF(AND($I1510="Base",$E1510="Gold"),Dashboard!$R$7,VLOOKUP($I1510,Dashboard!$Q$16:$R$21,2,FALSE)))))*VLOOKUP($I1510,Dashboard!$Q$9:$R$13,2,FALSE)*IF(AND($I1510="Auto",$F1510="",OR($B1510="Autographs Duals",$B1510="Autographs Triples",$B1510="Autographs Quads",$B1510="Autographs Quads (Inscribed)")),IF($B1510="Autographs Duals",2,IF($B1510="Autographs Triples",3,4)),1)))</f>
        <v>2.5</v>
      </c>
      <c r="AB1510" s="62">
        <f t="shared" si="310"/>
        <v>2.5</v>
      </c>
      <c r="AC1510" s="62">
        <f t="shared" si="311"/>
        <v>0</v>
      </c>
    </row>
    <row r="1511" spans="1:29" ht="42.95" customHeight="1" x14ac:dyDescent="0.25">
      <c r="A1511" s="4" t="s">
        <v>21</v>
      </c>
      <c r="B1511" s="7" t="s">
        <v>89</v>
      </c>
      <c r="C1511" s="2" t="s">
        <v>410</v>
      </c>
      <c r="D1511" s="7" t="s">
        <v>270</v>
      </c>
      <c r="E1511" s="4" t="s">
        <v>778</v>
      </c>
      <c r="F1511" s="2">
        <v>399</v>
      </c>
      <c r="G1511" s="2" t="s">
        <v>1399</v>
      </c>
      <c r="H1511" s="2" t="s">
        <v>1400</v>
      </c>
      <c r="I1511" s="4" t="s">
        <v>60</v>
      </c>
      <c r="J1511" s="112">
        <f>IF($H1511&lt;&gt;"Y",0,ROUND(MIN(Dashboard!$R$24,IF(IFERROR(VLOOKUP($B1511,Dashboard!$Q$28:$S$60,2,FALSE),0)&gt;0,IFERROR(VLOOKUP($B1511,Dashboard!$Q$28:$S$60,2,FALSE),0),$Z1511*IF($U1511&lt;&gt;"",ROUND((Dashboard!$R$4/$U1511)*VLOOKUP($I1511,Dashboard!$Q$9:$R$13,2,FALSE)*IF(ISNUMBER(SEARCH("Duals",$B1511)),2,IF(ISNUMBER(SEARCH("Triples",$B1511)),3,IF(ISNUMBER(SEARCH("Quads",$B1511)),4,1))),2),ROUND(VLOOKUP($I1511,Dashboard!$Q$15:$R$20,2,FALSE)*IF($E1511="Red",Dashboard!$R$6,IF($E1511="Gold",Dashboard!$R$7,Dashboard!$R$5))*IF(ISNUMBER(SEARCH("Duals",$B1511)),2,IF(ISNUMBER(SEARCH("Triples",$B1511)),3,IF(ISNUMBER(SEARCH("Quads",$B1511)),4,1))),2))*IF(IFERROR(VLOOKUP($B1511,Dashboard!$Q$28:$S$60,3,FALSE),0)&gt;0,VLOOKUP($B1511,Dashboard!$Q$28:$S$60,3,FALSE),1))),0))</f>
        <v>3</v>
      </c>
      <c r="K1511" s="2" t="str">
        <f>IF(Characters!F11="","",Characters!F11)</f>
        <v>V</v>
      </c>
      <c r="L1511" s="2">
        <f t="shared" si="299"/>
        <v>1</v>
      </c>
      <c r="M1511" s="2">
        <f t="shared" si="300"/>
        <v>0</v>
      </c>
      <c r="N1511" s="2">
        <f t="shared" si="301"/>
        <v>1</v>
      </c>
      <c r="O1511" s="2">
        <f t="shared" si="302"/>
        <v>0</v>
      </c>
      <c r="P1511" s="112">
        <f t="shared" si="303"/>
        <v>3</v>
      </c>
      <c r="Q1511" s="112">
        <f t="shared" si="304"/>
        <v>0</v>
      </c>
      <c r="R1511" s="53"/>
      <c r="S1511" s="53" t="str">
        <f t="shared" si="305"/>
        <v>Characters|Characters Compound V Parallel|C-10|Compound V</v>
      </c>
      <c r="T1511" s="57" t="str">
        <f>IF($S1511="","",IFERROR(VLOOKUP($S1511,'Pop Estimates (Non-#d)'!$N$2:$O$500,2,FALSE),""))</f>
        <v/>
      </c>
      <c r="U1511" s="57">
        <f t="shared" si="306"/>
        <v>399</v>
      </c>
      <c r="V1511" s="53" t="str">
        <f t="shared" si="307"/>
        <v>Kimiko</v>
      </c>
      <c r="W1511" s="53" t="str">
        <f t="shared" si="308"/>
        <v>Kimiko</v>
      </c>
      <c r="X1511" s="53" t="str">
        <f t="shared" si="309"/>
        <v>Kimiko</v>
      </c>
      <c r="Y1511" s="57">
        <f>IF($X1511="","",IFERROR(VLOOKUP($X1511,'Char Popularity'!$A$2:$C$500,2,FALSE),""))</f>
        <v>4</v>
      </c>
      <c r="Z1511" s="56">
        <f>IF($X1511="",1,IFERROR(VLOOKUP($X1511,'Char Popularity'!$A$2:$C$500,3,FALSE),1))</f>
        <v>1.1000000000000001</v>
      </c>
      <c r="AA1511" s="62">
        <f>IF($H1511&lt;&gt;"Y",0,(IF($F1511&lt;&gt;"",ROUND(Dashboard!$R$4/$F1511,1),IF(AND($I1511="Base",$E1511="Base"),Dashboard!$R$5,IF(AND($I1511="Base",$E1511="Red"),Dashboard!$R$6,IF(AND($I1511="Base",$E1511="Gold"),Dashboard!$R$7,VLOOKUP($I1511,Dashboard!$Q$16:$R$21,2,FALSE)))))*VLOOKUP($I1511,Dashboard!$Q$9:$R$13,2,FALSE)*IF(AND($I1511="Auto",$F1511="",OR($B1511="Autographs Duals",$B1511="Autographs Triples",$B1511="Autographs Quads",$B1511="Autographs Quads (Inscribed)")),IF($B1511="Autographs Duals",2,IF($B1511="Autographs Triples",3,4)),1)))</f>
        <v>2.5</v>
      </c>
      <c r="AB1511" s="62">
        <f t="shared" si="310"/>
        <v>2.5</v>
      </c>
      <c r="AC1511" s="62">
        <f t="shared" si="311"/>
        <v>0</v>
      </c>
    </row>
    <row r="1512" spans="1:29" ht="42.95" customHeight="1" x14ac:dyDescent="0.25">
      <c r="A1512" s="4" t="s">
        <v>21</v>
      </c>
      <c r="B1512" s="7" t="s">
        <v>89</v>
      </c>
      <c r="C1512" s="2" t="s">
        <v>411</v>
      </c>
      <c r="D1512" s="7" t="s">
        <v>238</v>
      </c>
      <c r="E1512" s="4" t="s">
        <v>778</v>
      </c>
      <c r="F1512" s="2">
        <v>399</v>
      </c>
      <c r="G1512" s="2" t="s">
        <v>1399</v>
      </c>
      <c r="H1512" s="2" t="s">
        <v>1400</v>
      </c>
      <c r="I1512" s="4" t="s">
        <v>60</v>
      </c>
      <c r="J1512" s="112">
        <f>IF($H1512&lt;&gt;"Y",0,ROUND(MIN(Dashboard!$R$24,IF(IFERROR(VLOOKUP($B1512,Dashboard!$Q$28:$S$60,2,FALSE),0)&gt;0,IFERROR(VLOOKUP($B1512,Dashboard!$Q$28:$S$60,2,FALSE),0),$Z1512*IF($U1512&lt;&gt;"",ROUND((Dashboard!$R$4/$U1512)*VLOOKUP($I1512,Dashboard!$Q$9:$R$13,2,FALSE)*IF(ISNUMBER(SEARCH("Duals",$B1512)),2,IF(ISNUMBER(SEARCH("Triples",$B1512)),3,IF(ISNUMBER(SEARCH("Quads",$B1512)),4,1))),2),ROUND(VLOOKUP($I1512,Dashboard!$Q$15:$R$20,2,FALSE)*IF($E1512="Red",Dashboard!$R$6,IF($E1512="Gold",Dashboard!$R$7,Dashboard!$R$5))*IF(ISNUMBER(SEARCH("Duals",$B1512)),2,IF(ISNUMBER(SEARCH("Triples",$B1512)),3,IF(ISNUMBER(SEARCH("Quads",$B1512)),4,1))),2))*IF(IFERROR(VLOOKUP($B1512,Dashboard!$Q$28:$S$60,3,FALSE),0)&gt;0,VLOOKUP($B1512,Dashboard!$Q$28:$S$60,3,FALSE),1))),0))</f>
        <v>3</v>
      </c>
      <c r="K1512" s="2" t="str">
        <f>IF(Characters!F12="","",Characters!F12)</f>
        <v>V</v>
      </c>
      <c r="L1512" s="2">
        <f t="shared" si="299"/>
        <v>1</v>
      </c>
      <c r="M1512" s="2">
        <f t="shared" si="300"/>
        <v>0</v>
      </c>
      <c r="N1512" s="2">
        <f t="shared" si="301"/>
        <v>1</v>
      </c>
      <c r="O1512" s="2">
        <f t="shared" si="302"/>
        <v>0</v>
      </c>
      <c r="P1512" s="112">
        <f t="shared" si="303"/>
        <v>3</v>
      </c>
      <c r="Q1512" s="112">
        <f t="shared" si="304"/>
        <v>0</v>
      </c>
      <c r="R1512" s="53"/>
      <c r="S1512" s="53" t="str">
        <f t="shared" si="305"/>
        <v>Characters|Characters Compound V Parallel|C-11|Compound V</v>
      </c>
      <c r="T1512" s="57" t="str">
        <f>IF($S1512="","",IFERROR(VLOOKUP($S1512,'Pop Estimates (Non-#d)'!$N$2:$O$500,2,FALSE),""))</f>
        <v/>
      </c>
      <c r="U1512" s="57">
        <f t="shared" si="306"/>
        <v>399</v>
      </c>
      <c r="V1512" s="53" t="str">
        <f t="shared" si="307"/>
        <v>Frenchie</v>
      </c>
      <c r="W1512" s="53" t="str">
        <f t="shared" si="308"/>
        <v>Frenchie</v>
      </c>
      <c r="X1512" s="53" t="str">
        <f t="shared" si="309"/>
        <v>Frenchie</v>
      </c>
      <c r="Y1512" s="57">
        <f>IF($X1512="","",IFERROR(VLOOKUP($X1512,'Char Popularity'!$A$2:$C$500,2,FALSE),""))</f>
        <v>4</v>
      </c>
      <c r="Z1512" s="56">
        <f>IF($X1512="",1,IFERROR(VLOOKUP($X1512,'Char Popularity'!$A$2:$C$500,3,FALSE),1))</f>
        <v>1.1000000000000001</v>
      </c>
      <c r="AA1512" s="62">
        <f>IF($H1512&lt;&gt;"Y",0,(IF($F1512&lt;&gt;"",ROUND(Dashboard!$R$4/$F1512,1),IF(AND($I1512="Base",$E1512="Base"),Dashboard!$R$5,IF(AND($I1512="Base",$E1512="Red"),Dashboard!$R$6,IF(AND($I1512="Base",$E1512="Gold"),Dashboard!$R$7,VLOOKUP($I1512,Dashboard!$Q$16:$R$21,2,FALSE)))))*VLOOKUP($I1512,Dashboard!$Q$9:$R$13,2,FALSE)*IF(AND($I1512="Auto",$F1512="",OR($B1512="Autographs Duals",$B1512="Autographs Triples",$B1512="Autographs Quads",$B1512="Autographs Quads (Inscribed)")),IF($B1512="Autographs Duals",2,IF($B1512="Autographs Triples",3,4)),1)))</f>
        <v>2.5</v>
      </c>
      <c r="AB1512" s="62">
        <f t="shared" si="310"/>
        <v>2.5</v>
      </c>
      <c r="AC1512" s="62">
        <f t="shared" si="311"/>
        <v>0</v>
      </c>
    </row>
    <row r="1513" spans="1:29" ht="42.95" customHeight="1" x14ac:dyDescent="0.25">
      <c r="A1513" s="4" t="s">
        <v>21</v>
      </c>
      <c r="B1513" s="7" t="s">
        <v>89</v>
      </c>
      <c r="C1513" s="2" t="s">
        <v>412</v>
      </c>
      <c r="D1513" s="7" t="s">
        <v>283</v>
      </c>
      <c r="E1513" s="4" t="s">
        <v>778</v>
      </c>
      <c r="F1513" s="2">
        <v>399</v>
      </c>
      <c r="G1513" s="2" t="s">
        <v>1399</v>
      </c>
      <c r="H1513" s="2" t="s">
        <v>1400</v>
      </c>
      <c r="I1513" s="4" t="s">
        <v>60</v>
      </c>
      <c r="J1513" s="112">
        <f>IF($H1513&lt;&gt;"Y",0,ROUND(MIN(Dashboard!$R$24,IF(IFERROR(VLOOKUP($B1513,Dashboard!$Q$28:$S$60,2,FALSE),0)&gt;0,IFERROR(VLOOKUP($B1513,Dashboard!$Q$28:$S$60,2,FALSE),0),$Z1513*IF($U1513&lt;&gt;"",ROUND((Dashboard!$R$4/$U1513)*VLOOKUP($I1513,Dashboard!$Q$9:$R$13,2,FALSE)*IF(ISNUMBER(SEARCH("Duals",$B1513)),2,IF(ISNUMBER(SEARCH("Triples",$B1513)),3,IF(ISNUMBER(SEARCH("Quads",$B1513)),4,1))),2),ROUND(VLOOKUP($I1513,Dashboard!$Q$15:$R$20,2,FALSE)*IF($E1513="Red",Dashboard!$R$6,IF($E1513="Gold",Dashboard!$R$7,Dashboard!$R$5))*IF(ISNUMBER(SEARCH("Duals",$B1513)),2,IF(ISNUMBER(SEARCH("Triples",$B1513)),3,IF(ISNUMBER(SEARCH("Quads",$B1513)),4,1))),2))*IF(IFERROR(VLOOKUP($B1513,Dashboard!$Q$28:$S$60,3,FALSE),0)&gt;0,VLOOKUP($B1513,Dashboard!$Q$28:$S$60,3,FALSE),1))),0))</f>
        <v>3</v>
      </c>
      <c r="K1513" s="2" t="str">
        <f>IF(Characters!F13="","",Characters!F13)</f>
        <v>V</v>
      </c>
      <c r="L1513" s="2">
        <f t="shared" si="299"/>
        <v>1</v>
      </c>
      <c r="M1513" s="2">
        <f t="shared" si="300"/>
        <v>0</v>
      </c>
      <c r="N1513" s="2">
        <f t="shared" si="301"/>
        <v>1</v>
      </c>
      <c r="O1513" s="2">
        <f t="shared" si="302"/>
        <v>0</v>
      </c>
      <c r="P1513" s="112">
        <f t="shared" si="303"/>
        <v>3</v>
      </c>
      <c r="Q1513" s="112">
        <f t="shared" si="304"/>
        <v>0</v>
      </c>
      <c r="R1513" s="53"/>
      <c r="S1513" s="53" t="str">
        <f t="shared" si="305"/>
        <v>Characters|Characters Compound V Parallel|C-12|Compound V</v>
      </c>
      <c r="T1513" s="57" t="str">
        <f>IF($S1513="","",IFERROR(VLOOKUP($S1513,'Pop Estimates (Non-#d)'!$N$2:$O$500,2,FALSE),""))</f>
        <v/>
      </c>
      <c r="U1513" s="57">
        <f t="shared" si="306"/>
        <v>399</v>
      </c>
      <c r="V1513" s="53" t="str">
        <f t="shared" si="307"/>
        <v>Black Noir</v>
      </c>
      <c r="W1513" s="53" t="str">
        <f t="shared" si="308"/>
        <v>Black Noir</v>
      </c>
      <c r="X1513" s="53" t="str">
        <f t="shared" si="309"/>
        <v>Black Noir</v>
      </c>
      <c r="Y1513" s="57">
        <f>IF($X1513="","",IFERROR(VLOOKUP($X1513,'Char Popularity'!$A$2:$C$500,2,FALSE),""))</f>
        <v>4</v>
      </c>
      <c r="Z1513" s="56">
        <f>IF($X1513="",1,IFERROR(VLOOKUP($X1513,'Char Popularity'!$A$2:$C$500,3,FALSE),1))</f>
        <v>1.1000000000000001</v>
      </c>
      <c r="AA1513" s="62">
        <f>IF($H1513&lt;&gt;"Y",0,(IF($F1513&lt;&gt;"",ROUND(Dashboard!$R$4/$F1513,1),IF(AND($I1513="Base",$E1513="Base"),Dashboard!$R$5,IF(AND($I1513="Base",$E1513="Red"),Dashboard!$R$6,IF(AND($I1513="Base",$E1513="Gold"),Dashboard!$R$7,VLOOKUP($I1513,Dashboard!$Q$16:$R$21,2,FALSE)))))*VLOOKUP($I1513,Dashboard!$Q$9:$R$13,2,FALSE)*IF(AND($I1513="Auto",$F1513="",OR($B1513="Autographs Duals",$B1513="Autographs Triples",$B1513="Autographs Quads",$B1513="Autographs Quads (Inscribed)")),IF($B1513="Autographs Duals",2,IF($B1513="Autographs Triples",3,4)),1)))</f>
        <v>2.5</v>
      </c>
      <c r="AB1513" s="62">
        <f t="shared" si="310"/>
        <v>2.5</v>
      </c>
      <c r="AC1513" s="62">
        <f t="shared" si="311"/>
        <v>0</v>
      </c>
    </row>
    <row r="1514" spans="1:29" ht="42.95" customHeight="1" x14ac:dyDescent="0.25">
      <c r="A1514" s="4" t="s">
        <v>21</v>
      </c>
      <c r="B1514" s="7" t="s">
        <v>89</v>
      </c>
      <c r="C1514" s="2" t="s">
        <v>413</v>
      </c>
      <c r="D1514" s="7" t="s">
        <v>216</v>
      </c>
      <c r="E1514" s="4" t="s">
        <v>778</v>
      </c>
      <c r="F1514" s="2">
        <v>399</v>
      </c>
      <c r="G1514" s="2" t="s">
        <v>1399</v>
      </c>
      <c r="H1514" s="2" t="s">
        <v>1400</v>
      </c>
      <c r="I1514" s="4" t="s">
        <v>60</v>
      </c>
      <c r="J1514" s="112">
        <f>IF($H1514&lt;&gt;"Y",0,ROUND(MIN(Dashboard!$R$24,IF(IFERROR(VLOOKUP($B1514,Dashboard!$Q$28:$S$60,2,FALSE),0)&gt;0,IFERROR(VLOOKUP($B1514,Dashboard!$Q$28:$S$60,2,FALSE),0),$Z1514*IF($U1514&lt;&gt;"",ROUND((Dashboard!$R$4/$U1514)*VLOOKUP($I1514,Dashboard!$Q$9:$R$13,2,FALSE)*IF(ISNUMBER(SEARCH("Duals",$B1514)),2,IF(ISNUMBER(SEARCH("Triples",$B1514)),3,IF(ISNUMBER(SEARCH("Quads",$B1514)),4,1))),2),ROUND(VLOOKUP($I1514,Dashboard!$Q$15:$R$20,2,FALSE)*IF($E1514="Red",Dashboard!$R$6,IF($E1514="Gold",Dashboard!$R$7,Dashboard!$R$5))*IF(ISNUMBER(SEARCH("Duals",$B1514)),2,IF(ISNUMBER(SEARCH("Triples",$B1514)),3,IF(ISNUMBER(SEARCH("Quads",$B1514)),4,1))),2))*IF(IFERROR(VLOOKUP($B1514,Dashboard!$Q$28:$S$60,3,FALSE),0)&gt;0,VLOOKUP($B1514,Dashboard!$Q$28:$S$60,3,FALSE),1))),0))</f>
        <v>2</v>
      </c>
      <c r="K1514" s="2" t="str">
        <f>IF(Characters!F14="","",Characters!F14)</f>
        <v>V</v>
      </c>
      <c r="L1514" s="2">
        <f t="shared" si="299"/>
        <v>1</v>
      </c>
      <c r="M1514" s="2">
        <f t="shared" si="300"/>
        <v>0</v>
      </c>
      <c r="N1514" s="2">
        <f t="shared" si="301"/>
        <v>1</v>
      </c>
      <c r="O1514" s="2">
        <f t="shared" si="302"/>
        <v>0</v>
      </c>
      <c r="P1514" s="112">
        <f t="shared" si="303"/>
        <v>2</v>
      </c>
      <c r="Q1514" s="112">
        <f t="shared" si="304"/>
        <v>0</v>
      </c>
      <c r="R1514" s="53"/>
      <c r="S1514" s="53" t="str">
        <f t="shared" si="305"/>
        <v>Characters|Characters Compound V Parallel|C-13|Compound V</v>
      </c>
      <c r="T1514" s="57" t="str">
        <f>IF($S1514="","",IFERROR(VLOOKUP($S1514,'Pop Estimates (Non-#d)'!$N$2:$O$500,2,FALSE),""))</f>
        <v/>
      </c>
      <c r="U1514" s="57">
        <f t="shared" si="306"/>
        <v>399</v>
      </c>
      <c r="V1514" s="53" t="str">
        <f t="shared" si="307"/>
        <v>Translucent</v>
      </c>
      <c r="W1514" s="53" t="str">
        <f t="shared" si="308"/>
        <v>Translucent</v>
      </c>
      <c r="X1514" s="53" t="str">
        <f t="shared" si="309"/>
        <v>Translucent</v>
      </c>
      <c r="Y1514" s="57">
        <f>IF($X1514="","",IFERROR(VLOOKUP($X1514,'Char Popularity'!$A$2:$C$500,2,FALSE),""))</f>
        <v>2</v>
      </c>
      <c r="Z1514" s="56">
        <f>IF($X1514="",1,IFERROR(VLOOKUP($X1514,'Char Popularity'!$A$2:$C$500,3,FALSE),1))</f>
        <v>0.9</v>
      </c>
      <c r="AA1514" s="62">
        <f>IF($H1514&lt;&gt;"Y",0,(IF($F1514&lt;&gt;"",ROUND(Dashboard!$R$4/$F1514,1),IF(AND($I1514="Base",$E1514="Base"),Dashboard!$R$5,IF(AND($I1514="Base",$E1514="Red"),Dashboard!$R$6,IF(AND($I1514="Base",$E1514="Gold"),Dashboard!$R$7,VLOOKUP($I1514,Dashboard!$Q$16:$R$21,2,FALSE)))))*VLOOKUP($I1514,Dashboard!$Q$9:$R$13,2,FALSE)*IF(AND($I1514="Auto",$F1514="",OR($B1514="Autographs Duals",$B1514="Autographs Triples",$B1514="Autographs Quads",$B1514="Autographs Quads (Inscribed)")),IF($B1514="Autographs Duals",2,IF($B1514="Autographs Triples",3,4)),1)))</f>
        <v>2.5</v>
      </c>
      <c r="AB1514" s="62">
        <f t="shared" si="310"/>
        <v>2.5</v>
      </c>
      <c r="AC1514" s="62">
        <f t="shared" si="311"/>
        <v>0</v>
      </c>
    </row>
    <row r="1515" spans="1:29" ht="42.95" customHeight="1" x14ac:dyDescent="0.25">
      <c r="A1515" s="4" t="s">
        <v>21</v>
      </c>
      <c r="B1515" s="7" t="s">
        <v>89</v>
      </c>
      <c r="C1515" s="2" t="s">
        <v>414</v>
      </c>
      <c r="D1515" s="7" t="s">
        <v>254</v>
      </c>
      <c r="E1515" s="4" t="s">
        <v>778</v>
      </c>
      <c r="F1515" s="2">
        <v>399</v>
      </c>
      <c r="G1515" s="2" t="s">
        <v>1399</v>
      </c>
      <c r="H1515" s="2" t="s">
        <v>1400</v>
      </c>
      <c r="I1515" s="4" t="s">
        <v>60</v>
      </c>
      <c r="J1515" s="112">
        <f>IF($H1515&lt;&gt;"Y",0,ROUND(MIN(Dashboard!$R$24,IF(IFERROR(VLOOKUP($B1515,Dashboard!$Q$28:$S$60,2,FALSE),0)&gt;0,IFERROR(VLOOKUP($B1515,Dashboard!$Q$28:$S$60,2,FALSE),0),$Z1515*IF($U1515&lt;&gt;"",ROUND((Dashboard!$R$4/$U1515)*VLOOKUP($I1515,Dashboard!$Q$9:$R$13,2,FALSE)*IF(ISNUMBER(SEARCH("Duals",$B1515)),2,IF(ISNUMBER(SEARCH("Triples",$B1515)),3,IF(ISNUMBER(SEARCH("Quads",$B1515)),4,1))),2),ROUND(VLOOKUP($I1515,Dashboard!$Q$15:$R$20,2,FALSE)*IF($E1515="Red",Dashboard!$R$6,IF($E1515="Gold",Dashboard!$R$7,Dashboard!$R$5))*IF(ISNUMBER(SEARCH("Duals",$B1515)),2,IF(ISNUMBER(SEARCH("Triples",$B1515)),3,IF(ISNUMBER(SEARCH("Quads",$B1515)),4,1))),2))*IF(IFERROR(VLOOKUP($B1515,Dashboard!$Q$28:$S$60,3,FALSE),0)&gt;0,VLOOKUP($B1515,Dashboard!$Q$28:$S$60,3,FALSE),1))),0))</f>
        <v>3</v>
      </c>
      <c r="K1515" s="2" t="str">
        <f>IF(Characters!F15="","",Characters!F15)</f>
        <v>V</v>
      </c>
      <c r="L1515" s="2">
        <f t="shared" si="299"/>
        <v>1</v>
      </c>
      <c r="M1515" s="2">
        <f t="shared" si="300"/>
        <v>0</v>
      </c>
      <c r="N1515" s="2">
        <f t="shared" si="301"/>
        <v>1</v>
      </c>
      <c r="O1515" s="2">
        <f t="shared" si="302"/>
        <v>0</v>
      </c>
      <c r="P1515" s="112">
        <f t="shared" si="303"/>
        <v>3</v>
      </c>
      <c r="Q1515" s="112">
        <f t="shared" si="304"/>
        <v>0</v>
      </c>
      <c r="R1515" s="53"/>
      <c r="S1515" s="53" t="str">
        <f t="shared" si="305"/>
        <v>Characters|Characters Compound V Parallel|C-14|Compound V</v>
      </c>
      <c r="T1515" s="57" t="str">
        <f>IF($S1515="","",IFERROR(VLOOKUP($S1515,'Pop Estimates (Non-#d)'!$N$2:$O$500,2,FALSE),""))</f>
        <v/>
      </c>
      <c r="U1515" s="57">
        <f t="shared" si="306"/>
        <v>399</v>
      </c>
      <c r="V1515" s="53" t="str">
        <f t="shared" si="307"/>
        <v>Stan Edgar</v>
      </c>
      <c r="W1515" s="53" t="str">
        <f t="shared" si="308"/>
        <v>Stan Edgar</v>
      </c>
      <c r="X1515" s="53" t="str">
        <f t="shared" si="309"/>
        <v>Stan Edgar</v>
      </c>
      <c r="Y1515" s="57">
        <f>IF($X1515="","",IFERROR(VLOOKUP($X1515,'Char Popularity'!$A$2:$C$500,2,FALSE),""))</f>
        <v>4</v>
      </c>
      <c r="Z1515" s="56">
        <f>IF($X1515="",1,IFERROR(VLOOKUP($X1515,'Char Popularity'!$A$2:$C$500,3,FALSE),1))</f>
        <v>1.1000000000000001</v>
      </c>
      <c r="AA1515" s="62">
        <f>IF($H1515&lt;&gt;"Y",0,(IF($F1515&lt;&gt;"",ROUND(Dashboard!$R$4/$F1515,1),IF(AND($I1515="Base",$E1515="Base"),Dashboard!$R$5,IF(AND($I1515="Base",$E1515="Red"),Dashboard!$R$6,IF(AND($I1515="Base",$E1515="Gold"),Dashboard!$R$7,VLOOKUP($I1515,Dashboard!$Q$16:$R$21,2,FALSE)))))*VLOOKUP($I1515,Dashboard!$Q$9:$R$13,2,FALSE)*IF(AND($I1515="Auto",$F1515="",OR($B1515="Autographs Duals",$B1515="Autographs Triples",$B1515="Autographs Quads",$B1515="Autographs Quads (Inscribed)")),IF($B1515="Autographs Duals",2,IF($B1515="Autographs Triples",3,4)),1)))</f>
        <v>2.5</v>
      </c>
      <c r="AB1515" s="62">
        <f t="shared" si="310"/>
        <v>2.5</v>
      </c>
      <c r="AC1515" s="62">
        <f t="shared" si="311"/>
        <v>0</v>
      </c>
    </row>
    <row r="1516" spans="1:29" ht="42.95" customHeight="1" x14ac:dyDescent="0.25">
      <c r="A1516" s="4" t="s">
        <v>21</v>
      </c>
      <c r="B1516" s="7" t="s">
        <v>89</v>
      </c>
      <c r="C1516" s="2" t="s">
        <v>415</v>
      </c>
      <c r="D1516" s="7" t="s">
        <v>224</v>
      </c>
      <c r="E1516" s="4" t="s">
        <v>778</v>
      </c>
      <c r="F1516" s="2">
        <v>399</v>
      </c>
      <c r="G1516" s="2" t="s">
        <v>1399</v>
      </c>
      <c r="H1516" s="2" t="s">
        <v>1400</v>
      </c>
      <c r="I1516" s="4" t="s">
        <v>60</v>
      </c>
      <c r="J1516" s="112">
        <f>IF($H1516&lt;&gt;"Y",0,ROUND(MIN(Dashboard!$R$24,IF(IFERROR(VLOOKUP($B1516,Dashboard!$Q$28:$S$60,2,FALSE),0)&gt;0,IFERROR(VLOOKUP($B1516,Dashboard!$Q$28:$S$60,2,FALSE),0),$Z1516*IF($U1516&lt;&gt;"",ROUND((Dashboard!$R$4/$U1516)*VLOOKUP($I1516,Dashboard!$Q$9:$R$13,2,FALSE)*IF(ISNUMBER(SEARCH("Duals",$B1516)),2,IF(ISNUMBER(SEARCH("Triples",$B1516)),3,IF(ISNUMBER(SEARCH("Quads",$B1516)),4,1))),2),ROUND(VLOOKUP($I1516,Dashboard!$Q$15:$R$20,2,FALSE)*IF($E1516="Red",Dashboard!$R$6,IF($E1516="Gold",Dashboard!$R$7,Dashboard!$R$5))*IF(ISNUMBER(SEARCH("Duals",$B1516)),2,IF(ISNUMBER(SEARCH("Triples",$B1516)),3,IF(ISNUMBER(SEARCH("Quads",$B1516)),4,1))),2))*IF(IFERROR(VLOOKUP($B1516,Dashboard!$Q$28:$S$60,3,FALSE),0)&gt;0,VLOOKUP($B1516,Dashboard!$Q$28:$S$60,3,FALSE),1))),0))</f>
        <v>2</v>
      </c>
      <c r="K1516" s="2" t="str">
        <f>IF(Characters!F16="","",Characters!F16)</f>
        <v>V</v>
      </c>
      <c r="L1516" s="2">
        <f t="shared" si="299"/>
        <v>1</v>
      </c>
      <c r="M1516" s="2">
        <f t="shared" si="300"/>
        <v>0</v>
      </c>
      <c r="N1516" s="2">
        <f t="shared" si="301"/>
        <v>1</v>
      </c>
      <c r="O1516" s="2">
        <f t="shared" si="302"/>
        <v>0</v>
      </c>
      <c r="P1516" s="112">
        <f t="shared" si="303"/>
        <v>2</v>
      </c>
      <c r="Q1516" s="112">
        <f t="shared" si="304"/>
        <v>0</v>
      </c>
      <c r="R1516" s="53"/>
      <c r="S1516" s="53" t="str">
        <f t="shared" si="305"/>
        <v>Characters|Characters Compound V Parallel|C-15|Compound V</v>
      </c>
      <c r="T1516" s="57" t="str">
        <f>IF($S1516="","",IFERROR(VLOOKUP($S1516,'Pop Estimates (Non-#d)'!$N$2:$O$500,2,FALSE),""))</f>
        <v/>
      </c>
      <c r="U1516" s="57">
        <f t="shared" si="306"/>
        <v>399</v>
      </c>
      <c r="V1516" s="53" t="str">
        <f t="shared" si="307"/>
        <v>Popclaw</v>
      </c>
      <c r="W1516" s="53" t="str">
        <f t="shared" si="308"/>
        <v>Popclaw</v>
      </c>
      <c r="X1516" s="53" t="str">
        <f t="shared" si="309"/>
        <v>Popclaw</v>
      </c>
      <c r="Y1516" s="57">
        <f>IF($X1516="","",IFERROR(VLOOKUP($X1516,'Char Popularity'!$A$2:$C$500,2,FALSE),""))</f>
        <v>2</v>
      </c>
      <c r="Z1516" s="56">
        <f>IF($X1516="",1,IFERROR(VLOOKUP($X1516,'Char Popularity'!$A$2:$C$500,3,FALSE),1))</f>
        <v>0.9</v>
      </c>
      <c r="AA1516" s="62">
        <f>IF($H1516&lt;&gt;"Y",0,(IF($F1516&lt;&gt;"",ROUND(Dashboard!$R$4/$F1516,1),IF(AND($I1516="Base",$E1516="Base"),Dashboard!$R$5,IF(AND($I1516="Base",$E1516="Red"),Dashboard!$R$6,IF(AND($I1516="Base",$E1516="Gold"),Dashboard!$R$7,VLOOKUP($I1516,Dashboard!$Q$16:$R$21,2,FALSE)))))*VLOOKUP($I1516,Dashboard!$Q$9:$R$13,2,FALSE)*IF(AND($I1516="Auto",$F1516="",OR($B1516="Autographs Duals",$B1516="Autographs Triples",$B1516="Autographs Quads",$B1516="Autographs Quads (Inscribed)")),IF($B1516="Autographs Duals",2,IF($B1516="Autographs Triples",3,4)),1)))</f>
        <v>2.5</v>
      </c>
      <c r="AB1516" s="62">
        <f t="shared" si="310"/>
        <v>2.5</v>
      </c>
      <c r="AC1516" s="62">
        <f t="shared" si="311"/>
        <v>0</v>
      </c>
    </row>
    <row r="1517" spans="1:29" ht="42.95" customHeight="1" x14ac:dyDescent="0.25">
      <c r="A1517" s="4" t="s">
        <v>21</v>
      </c>
      <c r="B1517" s="7" t="s">
        <v>89</v>
      </c>
      <c r="C1517" s="2" t="s">
        <v>1217</v>
      </c>
      <c r="D1517" s="7" t="s">
        <v>1218</v>
      </c>
      <c r="E1517" s="4" t="s">
        <v>778</v>
      </c>
      <c r="F1517" s="2">
        <v>399</v>
      </c>
      <c r="G1517" s="2" t="s">
        <v>1399</v>
      </c>
      <c r="H1517" s="2" t="s">
        <v>1400</v>
      </c>
      <c r="I1517" s="4" t="s">
        <v>60</v>
      </c>
      <c r="J1517" s="112">
        <f>IF($H1517&lt;&gt;"Y",0,ROUND(MIN(Dashboard!$R$24,IF(IFERROR(VLOOKUP($B1517,Dashboard!$Q$28:$S$60,2,FALSE),0)&gt;0,IFERROR(VLOOKUP($B1517,Dashboard!$Q$28:$S$60,2,FALSE),0),$Z1517*IF($U1517&lt;&gt;"",ROUND((Dashboard!$R$4/$U1517)*VLOOKUP($I1517,Dashboard!$Q$9:$R$13,2,FALSE)*IF(ISNUMBER(SEARCH("Duals",$B1517)),2,IF(ISNUMBER(SEARCH("Triples",$B1517)),3,IF(ISNUMBER(SEARCH("Quads",$B1517)),4,1))),2),ROUND(VLOOKUP($I1517,Dashboard!$Q$15:$R$20,2,FALSE)*IF($E1517="Red",Dashboard!$R$6,IF($E1517="Gold",Dashboard!$R$7,Dashboard!$R$5))*IF(ISNUMBER(SEARCH("Duals",$B1517)),2,IF(ISNUMBER(SEARCH("Triples",$B1517)),3,IF(ISNUMBER(SEARCH("Quads",$B1517)),4,1))),2))*IF(IFERROR(VLOOKUP($B1517,Dashboard!$Q$28:$S$60,3,FALSE),0)&gt;0,VLOOKUP($B1517,Dashboard!$Q$28:$S$60,3,FALSE),1))),0))</f>
        <v>2</v>
      </c>
      <c r="K1517" s="2" t="str">
        <f>IF(Characters!F17="","",Characters!F17)</f>
        <v>V</v>
      </c>
      <c r="L1517" s="2">
        <f t="shared" si="299"/>
        <v>1</v>
      </c>
      <c r="M1517" s="2">
        <f t="shared" si="300"/>
        <v>0</v>
      </c>
      <c r="N1517" s="2">
        <f t="shared" si="301"/>
        <v>1</v>
      </c>
      <c r="O1517" s="2">
        <f t="shared" si="302"/>
        <v>0</v>
      </c>
      <c r="P1517" s="112">
        <f t="shared" si="303"/>
        <v>2</v>
      </c>
      <c r="Q1517" s="112">
        <f t="shared" si="304"/>
        <v>0</v>
      </c>
      <c r="R1517" s="53"/>
      <c r="S1517" s="53" t="str">
        <f t="shared" si="305"/>
        <v>Characters|Characters Compound V Parallel|C-16|Compound V</v>
      </c>
      <c r="T1517" s="57" t="str">
        <f>IF($S1517="","",IFERROR(VLOOKUP($S1517,'Pop Estimates (Non-#d)'!$N$2:$O$500,2,FALSE),""))</f>
        <v/>
      </c>
      <c r="U1517" s="57">
        <f t="shared" si="306"/>
        <v>399</v>
      </c>
      <c r="V1517" s="53" t="str">
        <f t="shared" si="307"/>
        <v>Eziekiel</v>
      </c>
      <c r="W1517" s="53" t="str">
        <f t="shared" si="308"/>
        <v>Eziekiel</v>
      </c>
      <c r="X1517" s="53" t="str">
        <f t="shared" si="309"/>
        <v>Eziekiel</v>
      </c>
      <c r="Y1517" s="57">
        <f>IF($X1517="","",IFERROR(VLOOKUP($X1517,'Char Popularity'!$A$2:$C$500,2,FALSE),""))</f>
        <v>2</v>
      </c>
      <c r="Z1517" s="56">
        <f>IF($X1517="",1,IFERROR(VLOOKUP($X1517,'Char Popularity'!$A$2:$C$500,3,FALSE),1))</f>
        <v>0.9</v>
      </c>
      <c r="AA1517" s="62">
        <f>IF($H1517&lt;&gt;"Y",0,(IF($F1517&lt;&gt;"",ROUND(Dashboard!$R$4/$F1517,1),IF(AND($I1517="Base",$E1517="Base"),Dashboard!$R$5,IF(AND($I1517="Base",$E1517="Red"),Dashboard!$R$6,IF(AND($I1517="Base",$E1517="Gold"),Dashboard!$R$7,VLOOKUP($I1517,Dashboard!$Q$16:$R$21,2,FALSE)))))*VLOOKUP($I1517,Dashboard!$Q$9:$R$13,2,FALSE)*IF(AND($I1517="Auto",$F1517="",OR($B1517="Autographs Duals",$B1517="Autographs Triples",$B1517="Autographs Quads",$B1517="Autographs Quads (Inscribed)")),IF($B1517="Autographs Duals",2,IF($B1517="Autographs Triples",3,4)),1)))</f>
        <v>2.5</v>
      </c>
      <c r="AB1517" s="62">
        <f t="shared" si="310"/>
        <v>2.5</v>
      </c>
      <c r="AC1517" s="62">
        <f t="shared" si="311"/>
        <v>0</v>
      </c>
    </row>
    <row r="1518" spans="1:29" ht="42.95" customHeight="1" x14ac:dyDescent="0.25">
      <c r="A1518" s="4" t="s">
        <v>21</v>
      </c>
      <c r="B1518" s="7" t="s">
        <v>89</v>
      </c>
      <c r="C1518" s="2" t="s">
        <v>416</v>
      </c>
      <c r="D1518" s="7" t="s">
        <v>234</v>
      </c>
      <c r="E1518" s="4" t="s">
        <v>778</v>
      </c>
      <c r="F1518" s="2">
        <v>399</v>
      </c>
      <c r="G1518" s="2" t="s">
        <v>1399</v>
      </c>
      <c r="H1518" s="2" t="s">
        <v>1400</v>
      </c>
      <c r="I1518" s="4" t="s">
        <v>60</v>
      </c>
      <c r="J1518" s="112">
        <f>IF($H1518&lt;&gt;"Y",0,ROUND(MIN(Dashboard!$R$24,IF(IFERROR(VLOOKUP($B1518,Dashboard!$Q$28:$S$60,2,FALSE),0)&gt;0,IFERROR(VLOOKUP($B1518,Dashboard!$Q$28:$S$60,2,FALSE),0),$Z1518*IF($U1518&lt;&gt;"",ROUND((Dashboard!$R$4/$U1518)*VLOOKUP($I1518,Dashboard!$Q$9:$R$13,2,FALSE)*IF(ISNUMBER(SEARCH("Duals",$B1518)),2,IF(ISNUMBER(SEARCH("Triples",$B1518)),3,IF(ISNUMBER(SEARCH("Quads",$B1518)),4,1))),2),ROUND(VLOOKUP($I1518,Dashboard!$Q$15:$R$20,2,FALSE)*IF($E1518="Red",Dashboard!$R$6,IF($E1518="Gold",Dashboard!$R$7,Dashboard!$R$5))*IF(ISNUMBER(SEARCH("Duals",$B1518)),2,IF(ISNUMBER(SEARCH("Triples",$B1518)),3,IF(ISNUMBER(SEARCH("Quads",$B1518)),4,1))),2))*IF(IFERROR(VLOOKUP($B1518,Dashboard!$Q$28:$S$60,3,FALSE),0)&gt;0,VLOOKUP($B1518,Dashboard!$Q$28:$S$60,3,FALSE),1))),0))</f>
        <v>3</v>
      </c>
      <c r="K1518" s="2" t="str">
        <f>IF(Characters!F18="","",Characters!F18)</f>
        <v>V</v>
      </c>
      <c r="L1518" s="2">
        <f t="shared" si="299"/>
        <v>1</v>
      </c>
      <c r="M1518" s="2">
        <f t="shared" si="300"/>
        <v>0</v>
      </c>
      <c r="N1518" s="2">
        <f t="shared" si="301"/>
        <v>1</v>
      </c>
      <c r="O1518" s="2">
        <f t="shared" si="302"/>
        <v>0</v>
      </c>
      <c r="P1518" s="112">
        <f t="shared" si="303"/>
        <v>3</v>
      </c>
      <c r="Q1518" s="112">
        <f t="shared" si="304"/>
        <v>0</v>
      </c>
      <c r="R1518" s="53"/>
      <c r="S1518" s="53" t="str">
        <f t="shared" si="305"/>
        <v>Characters|Characters Compound V Parallel|C-17|Compound V</v>
      </c>
      <c r="T1518" s="57" t="str">
        <f>IF($S1518="","",IFERROR(VLOOKUP($S1518,'Pop Estimates (Non-#d)'!$N$2:$O$500,2,FALSE),""))</f>
        <v/>
      </c>
      <c r="U1518" s="57">
        <f t="shared" si="306"/>
        <v>399</v>
      </c>
      <c r="V1518" s="53" t="str">
        <f t="shared" si="307"/>
        <v>Ashley Barrett</v>
      </c>
      <c r="W1518" s="53" t="str">
        <f t="shared" si="308"/>
        <v>Ashley Barrett</v>
      </c>
      <c r="X1518" s="53" t="str">
        <f t="shared" si="309"/>
        <v>Ashley Barrett</v>
      </c>
      <c r="Y1518" s="57">
        <f>IF($X1518="","",IFERROR(VLOOKUP($X1518,'Char Popularity'!$A$2:$C$500,2,FALSE),""))</f>
        <v>3</v>
      </c>
      <c r="Z1518" s="56">
        <f>IF($X1518="",1,IFERROR(VLOOKUP($X1518,'Char Popularity'!$A$2:$C$500,3,FALSE),1))</f>
        <v>1</v>
      </c>
      <c r="AA1518" s="62">
        <f>IF($H1518&lt;&gt;"Y",0,(IF($F1518&lt;&gt;"",ROUND(Dashboard!$R$4/$F1518,1),IF(AND($I1518="Base",$E1518="Base"),Dashboard!$R$5,IF(AND($I1518="Base",$E1518="Red"),Dashboard!$R$6,IF(AND($I1518="Base",$E1518="Gold"),Dashboard!$R$7,VLOOKUP($I1518,Dashboard!$Q$16:$R$21,2,FALSE)))))*VLOOKUP($I1518,Dashboard!$Q$9:$R$13,2,FALSE)*IF(AND($I1518="Auto",$F1518="",OR($B1518="Autographs Duals",$B1518="Autographs Triples",$B1518="Autographs Quads",$B1518="Autographs Quads (Inscribed)")),IF($B1518="Autographs Duals",2,IF($B1518="Autographs Triples",3,4)),1)))</f>
        <v>2.5</v>
      </c>
      <c r="AB1518" s="62">
        <f t="shared" si="310"/>
        <v>2.5</v>
      </c>
      <c r="AC1518" s="62">
        <f t="shared" si="311"/>
        <v>0</v>
      </c>
    </row>
    <row r="1519" spans="1:29" ht="42.95" customHeight="1" x14ac:dyDescent="0.25">
      <c r="A1519" s="4" t="s">
        <v>21</v>
      </c>
      <c r="B1519" s="7" t="s">
        <v>89</v>
      </c>
      <c r="C1519" s="2" t="s">
        <v>417</v>
      </c>
      <c r="D1519" s="7" t="s">
        <v>308</v>
      </c>
      <c r="E1519" s="4" t="s">
        <v>778</v>
      </c>
      <c r="F1519" s="2">
        <v>399</v>
      </c>
      <c r="G1519" s="2" t="s">
        <v>1399</v>
      </c>
      <c r="H1519" s="2" t="s">
        <v>1400</v>
      </c>
      <c r="I1519" s="4" t="s">
        <v>60</v>
      </c>
      <c r="J1519" s="112">
        <f>IF($H1519&lt;&gt;"Y",0,ROUND(MIN(Dashboard!$R$24,IF(IFERROR(VLOOKUP($B1519,Dashboard!$Q$28:$S$60,2,FALSE),0)&gt;0,IFERROR(VLOOKUP($B1519,Dashboard!$Q$28:$S$60,2,FALSE),0),$Z1519*IF($U1519&lt;&gt;"",ROUND((Dashboard!$R$4/$U1519)*VLOOKUP($I1519,Dashboard!$Q$9:$R$13,2,FALSE)*IF(ISNUMBER(SEARCH("Duals",$B1519)),2,IF(ISNUMBER(SEARCH("Triples",$B1519)),3,IF(ISNUMBER(SEARCH("Quads",$B1519)),4,1))),2),ROUND(VLOOKUP($I1519,Dashboard!$Q$15:$R$20,2,FALSE)*IF($E1519="Red",Dashboard!$R$6,IF($E1519="Gold",Dashboard!$R$7,Dashboard!$R$5))*IF(ISNUMBER(SEARCH("Duals",$B1519)),2,IF(ISNUMBER(SEARCH("Triples",$B1519)),3,IF(ISNUMBER(SEARCH("Quads",$B1519)),4,1))),2))*IF(IFERROR(VLOOKUP($B1519,Dashboard!$Q$28:$S$60,3,FALSE),0)&gt;0,VLOOKUP($B1519,Dashboard!$Q$28:$S$60,3,FALSE),1))),0))</f>
        <v>3</v>
      </c>
      <c r="K1519" s="2" t="str">
        <f>IF(Characters!F19="","",Characters!F19)</f>
        <v>V</v>
      </c>
      <c r="L1519" s="2">
        <f t="shared" si="299"/>
        <v>1</v>
      </c>
      <c r="M1519" s="2">
        <f t="shared" si="300"/>
        <v>0</v>
      </c>
      <c r="N1519" s="2">
        <f t="shared" si="301"/>
        <v>1</v>
      </c>
      <c r="O1519" s="2">
        <f t="shared" si="302"/>
        <v>0</v>
      </c>
      <c r="P1519" s="112">
        <f t="shared" si="303"/>
        <v>3</v>
      </c>
      <c r="Q1519" s="112">
        <f t="shared" si="304"/>
        <v>0</v>
      </c>
      <c r="R1519" s="53"/>
      <c r="S1519" s="53" t="str">
        <f t="shared" si="305"/>
        <v>Characters|Characters Compound V Parallel|C-18|Compound V</v>
      </c>
      <c r="T1519" s="57" t="str">
        <f>IF($S1519="","",IFERROR(VLOOKUP($S1519,'Pop Estimates (Non-#d)'!$N$2:$O$500,2,FALSE),""))</f>
        <v/>
      </c>
      <c r="U1519" s="57">
        <f t="shared" si="306"/>
        <v>399</v>
      </c>
      <c r="V1519" s="53" t="str">
        <f t="shared" si="307"/>
        <v>Becca Butcher</v>
      </c>
      <c r="W1519" s="53" t="str">
        <f t="shared" si="308"/>
        <v>Becca Butcher</v>
      </c>
      <c r="X1519" s="53" t="str">
        <f t="shared" si="309"/>
        <v>Becca Butcher</v>
      </c>
      <c r="Y1519" s="57">
        <f>IF($X1519="","",IFERROR(VLOOKUP($X1519,'Char Popularity'!$A$2:$C$500,2,FALSE),""))</f>
        <v>3</v>
      </c>
      <c r="Z1519" s="56">
        <f>IF($X1519="",1,IFERROR(VLOOKUP($X1519,'Char Popularity'!$A$2:$C$500,3,FALSE),1))</f>
        <v>1</v>
      </c>
      <c r="AA1519" s="62">
        <f>IF($H1519&lt;&gt;"Y",0,(IF($F1519&lt;&gt;"",ROUND(Dashboard!$R$4/$F1519,1),IF(AND($I1519="Base",$E1519="Base"),Dashboard!$R$5,IF(AND($I1519="Base",$E1519="Red"),Dashboard!$R$6,IF(AND($I1519="Base",$E1519="Gold"),Dashboard!$R$7,VLOOKUP($I1519,Dashboard!$Q$16:$R$21,2,FALSE)))))*VLOOKUP($I1519,Dashboard!$Q$9:$R$13,2,FALSE)*IF(AND($I1519="Auto",$F1519="",OR($B1519="Autographs Duals",$B1519="Autographs Triples",$B1519="Autographs Quads",$B1519="Autographs Quads (Inscribed)")),IF($B1519="Autographs Duals",2,IF($B1519="Autographs Triples",3,4)),1)))</f>
        <v>2.5</v>
      </c>
      <c r="AB1519" s="62">
        <f t="shared" si="310"/>
        <v>2.5</v>
      </c>
      <c r="AC1519" s="62">
        <f t="shared" si="311"/>
        <v>0</v>
      </c>
    </row>
    <row r="1520" spans="1:29" ht="42.95" customHeight="1" x14ac:dyDescent="0.25">
      <c r="A1520" s="4" t="s">
        <v>21</v>
      </c>
      <c r="B1520" s="7" t="s">
        <v>89</v>
      </c>
      <c r="C1520" s="2" t="s">
        <v>418</v>
      </c>
      <c r="D1520" s="7" t="s">
        <v>301</v>
      </c>
      <c r="E1520" s="4" t="s">
        <v>778</v>
      </c>
      <c r="F1520" s="2">
        <v>399</v>
      </c>
      <c r="G1520" s="2" t="s">
        <v>1399</v>
      </c>
      <c r="H1520" s="2" t="s">
        <v>1400</v>
      </c>
      <c r="I1520" s="4" t="s">
        <v>60</v>
      </c>
      <c r="J1520" s="112">
        <f>IF($H1520&lt;&gt;"Y",0,ROUND(MIN(Dashboard!$R$24,IF(IFERROR(VLOOKUP($B1520,Dashboard!$Q$28:$S$60,2,FALSE),0)&gt;0,IFERROR(VLOOKUP($B1520,Dashboard!$Q$28:$S$60,2,FALSE),0),$Z1520*IF($U1520&lt;&gt;"",ROUND((Dashboard!$R$4/$U1520)*VLOOKUP($I1520,Dashboard!$Q$9:$R$13,2,FALSE)*IF(ISNUMBER(SEARCH("Duals",$B1520)),2,IF(ISNUMBER(SEARCH("Triples",$B1520)),3,IF(ISNUMBER(SEARCH("Quads",$B1520)),4,1))),2),ROUND(VLOOKUP($I1520,Dashboard!$Q$15:$R$20,2,FALSE)*IF($E1520="Red",Dashboard!$R$6,IF($E1520="Gold",Dashboard!$R$7,Dashboard!$R$5))*IF(ISNUMBER(SEARCH("Duals",$B1520)),2,IF(ISNUMBER(SEARCH("Triples",$B1520)),3,IF(ISNUMBER(SEARCH("Quads",$B1520)),4,1))),2))*IF(IFERROR(VLOOKUP($B1520,Dashboard!$Q$28:$S$60,3,FALSE),0)&gt;0,VLOOKUP($B1520,Dashboard!$Q$28:$S$60,3,FALSE),1))),0))</f>
        <v>2</v>
      </c>
      <c r="K1520" s="2" t="str">
        <f>IF(Characters!F20="","",Characters!F20)</f>
        <v>C</v>
      </c>
      <c r="L1520" s="2">
        <f t="shared" si="299"/>
        <v>1</v>
      </c>
      <c r="M1520" s="2">
        <f t="shared" si="300"/>
        <v>0</v>
      </c>
      <c r="N1520" s="2">
        <f t="shared" si="301"/>
        <v>1</v>
      </c>
      <c r="O1520" s="2">
        <f t="shared" si="302"/>
        <v>0</v>
      </c>
      <c r="P1520" s="112">
        <f t="shared" si="303"/>
        <v>2</v>
      </c>
      <c r="Q1520" s="112">
        <f t="shared" si="304"/>
        <v>0</v>
      </c>
      <c r="R1520" s="53"/>
      <c r="S1520" s="53" t="str">
        <f t="shared" si="305"/>
        <v>Characters|Characters Compound V Parallel|C-19|Compound V</v>
      </c>
      <c r="T1520" s="57" t="str">
        <f>IF($S1520="","",IFERROR(VLOOKUP($S1520,'Pop Estimates (Non-#d)'!$N$2:$O$500,2,FALSE),""))</f>
        <v/>
      </c>
      <c r="U1520" s="57">
        <f t="shared" si="306"/>
        <v>399</v>
      </c>
      <c r="V1520" s="53" t="str">
        <f t="shared" si="307"/>
        <v>Lamplighter</v>
      </c>
      <c r="W1520" s="53" t="str">
        <f t="shared" si="308"/>
        <v>Lamplighter</v>
      </c>
      <c r="X1520" s="53" t="str">
        <f t="shared" si="309"/>
        <v>Lamplighter</v>
      </c>
      <c r="Y1520" s="57">
        <f>IF($X1520="","",IFERROR(VLOOKUP($X1520,'Char Popularity'!$A$2:$C$500,2,FALSE),""))</f>
        <v>2</v>
      </c>
      <c r="Z1520" s="56">
        <f>IF($X1520="",1,IFERROR(VLOOKUP($X1520,'Char Popularity'!$A$2:$C$500,3,FALSE),1))</f>
        <v>0.9</v>
      </c>
      <c r="AA1520" s="62">
        <f>IF($H1520&lt;&gt;"Y",0,(IF($F1520&lt;&gt;"",ROUND(Dashboard!$R$4/$F1520,1),IF(AND($I1520="Base",$E1520="Base"),Dashboard!$R$5,IF(AND($I1520="Base",$E1520="Red"),Dashboard!$R$6,IF(AND($I1520="Base",$E1520="Gold"),Dashboard!$R$7,VLOOKUP($I1520,Dashboard!$Q$16:$R$21,2,FALSE)))))*VLOOKUP($I1520,Dashboard!$Q$9:$R$13,2,FALSE)*IF(AND($I1520="Auto",$F1520="",OR($B1520="Autographs Duals",$B1520="Autographs Triples",$B1520="Autographs Quads",$B1520="Autographs Quads (Inscribed)")),IF($B1520="Autographs Duals",2,IF($B1520="Autographs Triples",3,4)),1)))</f>
        <v>2.5</v>
      </c>
      <c r="AB1520" s="62">
        <f t="shared" si="310"/>
        <v>2.5</v>
      </c>
      <c r="AC1520" s="62">
        <f t="shared" si="311"/>
        <v>0</v>
      </c>
    </row>
    <row r="1521" spans="1:29" ht="42.95" customHeight="1" x14ac:dyDescent="0.25">
      <c r="A1521" s="4" t="s">
        <v>21</v>
      </c>
      <c r="B1521" s="7" t="s">
        <v>89</v>
      </c>
      <c r="C1521" s="2" t="s">
        <v>420</v>
      </c>
      <c r="D1521" s="7" t="s">
        <v>260</v>
      </c>
      <c r="E1521" s="4" t="s">
        <v>778</v>
      </c>
      <c r="F1521" s="2">
        <v>399</v>
      </c>
      <c r="G1521" s="2" t="s">
        <v>1399</v>
      </c>
      <c r="H1521" s="2" t="s">
        <v>1400</v>
      </c>
      <c r="I1521" s="4" t="s">
        <v>60</v>
      </c>
      <c r="J1521" s="112">
        <f>IF($H1521&lt;&gt;"Y",0,ROUND(MIN(Dashboard!$R$24,IF(IFERROR(VLOOKUP($B1521,Dashboard!$Q$28:$S$60,2,FALSE),0)&gt;0,IFERROR(VLOOKUP($B1521,Dashboard!$Q$28:$S$60,2,FALSE),0),$Z1521*IF($U1521&lt;&gt;"",ROUND((Dashboard!$R$4/$U1521)*VLOOKUP($I1521,Dashboard!$Q$9:$R$13,2,FALSE)*IF(ISNUMBER(SEARCH("Duals",$B1521)),2,IF(ISNUMBER(SEARCH("Triples",$B1521)),3,IF(ISNUMBER(SEARCH("Quads",$B1521)),4,1))),2),ROUND(VLOOKUP($I1521,Dashboard!$Q$15:$R$20,2,FALSE)*IF($E1521="Red",Dashboard!$R$6,IF($E1521="Gold",Dashboard!$R$7,Dashboard!$R$5))*IF(ISNUMBER(SEARCH("Duals",$B1521)),2,IF(ISNUMBER(SEARCH("Triples",$B1521)),3,IF(ISNUMBER(SEARCH("Quads",$B1521)),4,1))),2))*IF(IFERROR(VLOOKUP($B1521,Dashboard!$Q$28:$S$60,3,FALSE),0)&gt;0,VLOOKUP($B1521,Dashboard!$Q$28:$S$60,3,FALSE),1))),0))</f>
        <v>3</v>
      </c>
      <c r="K1521" s="2" t="str">
        <f>IF(Characters!F21="","",Characters!F21)</f>
        <v>V</v>
      </c>
      <c r="L1521" s="2">
        <f t="shared" si="299"/>
        <v>1</v>
      </c>
      <c r="M1521" s="2">
        <f t="shared" si="300"/>
        <v>0</v>
      </c>
      <c r="N1521" s="2">
        <f t="shared" si="301"/>
        <v>1</v>
      </c>
      <c r="O1521" s="2">
        <f t="shared" si="302"/>
        <v>0</v>
      </c>
      <c r="P1521" s="112">
        <f t="shared" si="303"/>
        <v>3</v>
      </c>
      <c r="Q1521" s="112">
        <f t="shared" si="304"/>
        <v>0</v>
      </c>
      <c r="R1521" s="53"/>
      <c r="S1521" s="53" t="str">
        <f t="shared" si="305"/>
        <v>Characters|Characters Compound V Parallel|C-20|Compound V</v>
      </c>
      <c r="T1521" s="57" t="str">
        <f>IF($S1521="","",IFERROR(VLOOKUP($S1521,'Pop Estimates (Non-#d)'!$N$2:$O$500,2,FALSE),""))</f>
        <v/>
      </c>
      <c r="U1521" s="57">
        <f t="shared" si="306"/>
        <v>399</v>
      </c>
      <c r="V1521" s="53" t="str">
        <f t="shared" si="307"/>
        <v>Cherie</v>
      </c>
      <c r="W1521" s="53" t="str">
        <f t="shared" si="308"/>
        <v>Cherie</v>
      </c>
      <c r="X1521" s="53" t="str">
        <f t="shared" si="309"/>
        <v>Cherie</v>
      </c>
      <c r="Y1521" s="57">
        <f>IF($X1521="","",IFERROR(VLOOKUP($X1521,'Char Popularity'!$A$2:$C$500,2,FALSE),""))</f>
        <v>3</v>
      </c>
      <c r="Z1521" s="56">
        <f>IF($X1521="",1,IFERROR(VLOOKUP($X1521,'Char Popularity'!$A$2:$C$500,3,FALSE),1))</f>
        <v>1</v>
      </c>
      <c r="AA1521" s="62">
        <f>IF($H1521&lt;&gt;"Y",0,(IF($F1521&lt;&gt;"",ROUND(Dashboard!$R$4/$F1521,1),IF(AND($I1521="Base",$E1521="Base"),Dashboard!$R$5,IF(AND($I1521="Base",$E1521="Red"),Dashboard!$R$6,IF(AND($I1521="Base",$E1521="Gold"),Dashboard!$R$7,VLOOKUP($I1521,Dashboard!$Q$16:$R$21,2,FALSE)))))*VLOOKUP($I1521,Dashboard!$Q$9:$R$13,2,FALSE)*IF(AND($I1521="Auto",$F1521="",OR($B1521="Autographs Duals",$B1521="Autographs Triples",$B1521="Autographs Quads",$B1521="Autographs Quads (Inscribed)")),IF($B1521="Autographs Duals",2,IF($B1521="Autographs Triples",3,4)),1)))</f>
        <v>2.5</v>
      </c>
      <c r="AB1521" s="62">
        <f t="shared" si="310"/>
        <v>2.5</v>
      </c>
      <c r="AC1521" s="62">
        <f t="shared" si="311"/>
        <v>0</v>
      </c>
    </row>
    <row r="1522" spans="1:29" ht="42.95" customHeight="1" x14ac:dyDescent="0.25">
      <c r="A1522" s="4" t="s">
        <v>21</v>
      </c>
      <c r="B1522" s="7" t="s">
        <v>89</v>
      </c>
      <c r="C1522" s="2" t="s">
        <v>421</v>
      </c>
      <c r="D1522" s="7" t="s">
        <v>288</v>
      </c>
      <c r="E1522" s="4" t="s">
        <v>778</v>
      </c>
      <c r="F1522" s="2">
        <v>399</v>
      </c>
      <c r="G1522" s="2" t="s">
        <v>1399</v>
      </c>
      <c r="H1522" s="2" t="s">
        <v>1400</v>
      </c>
      <c r="I1522" s="4" t="s">
        <v>60</v>
      </c>
      <c r="J1522" s="112">
        <f>IF($H1522&lt;&gt;"Y",0,ROUND(MIN(Dashboard!$R$24,IF(IFERROR(VLOOKUP($B1522,Dashboard!$Q$28:$S$60,2,FALSE),0)&gt;0,IFERROR(VLOOKUP($B1522,Dashboard!$Q$28:$S$60,2,FALSE),0),$Z1522*IF($U1522&lt;&gt;"",ROUND((Dashboard!$R$4/$U1522)*VLOOKUP($I1522,Dashboard!$Q$9:$R$13,2,FALSE)*IF(ISNUMBER(SEARCH("Duals",$B1522)),2,IF(ISNUMBER(SEARCH("Triples",$B1522)),3,IF(ISNUMBER(SEARCH("Quads",$B1522)),4,1))),2),ROUND(VLOOKUP($I1522,Dashboard!$Q$15:$R$20,2,FALSE)*IF($E1522="Red",Dashboard!$R$6,IF($E1522="Gold",Dashboard!$R$7,Dashboard!$R$5))*IF(ISNUMBER(SEARCH("Duals",$B1522)),2,IF(ISNUMBER(SEARCH("Triples",$B1522)),3,IF(ISNUMBER(SEARCH("Quads",$B1522)),4,1))),2))*IF(IFERROR(VLOOKUP($B1522,Dashboard!$Q$28:$S$60,3,FALSE),0)&gt;0,VLOOKUP($B1522,Dashboard!$Q$28:$S$60,3,FALSE),1))),0))</f>
        <v>2</v>
      </c>
      <c r="K1522" s="2" t="str">
        <f>IF(Characters!F22="","",Characters!F22)</f>
        <v>V</v>
      </c>
      <c r="L1522" s="2">
        <f t="shared" si="299"/>
        <v>1</v>
      </c>
      <c r="M1522" s="2">
        <f t="shared" si="300"/>
        <v>0</v>
      </c>
      <c r="N1522" s="2">
        <f t="shared" si="301"/>
        <v>1</v>
      </c>
      <c r="O1522" s="2">
        <f t="shared" si="302"/>
        <v>0</v>
      </c>
      <c r="P1522" s="112">
        <f t="shared" si="303"/>
        <v>2</v>
      </c>
      <c r="Q1522" s="112">
        <f t="shared" si="304"/>
        <v>0</v>
      </c>
      <c r="R1522" s="53"/>
      <c r="S1522" s="53" t="str">
        <f t="shared" si="305"/>
        <v>Characters|Characters Compound V Parallel|C-21|Compound V</v>
      </c>
      <c r="T1522" s="57" t="str">
        <f>IF($S1522="","",IFERROR(VLOOKUP($S1522,'Pop Estimates (Non-#d)'!$N$2:$O$500,2,FALSE),""))</f>
        <v/>
      </c>
      <c r="U1522" s="57">
        <f t="shared" si="306"/>
        <v>399</v>
      </c>
      <c r="V1522" s="53" t="str">
        <f t="shared" si="307"/>
        <v>Shockwave</v>
      </c>
      <c r="W1522" s="53" t="str">
        <f t="shared" si="308"/>
        <v>Shockwave</v>
      </c>
      <c r="X1522" s="53" t="str">
        <f t="shared" si="309"/>
        <v>Shockwave</v>
      </c>
      <c r="Y1522" s="57">
        <f>IF($X1522="","",IFERROR(VLOOKUP($X1522,'Char Popularity'!$A$2:$C$500,2,FALSE),""))</f>
        <v>2</v>
      </c>
      <c r="Z1522" s="56">
        <f>IF($X1522="",1,IFERROR(VLOOKUP($X1522,'Char Popularity'!$A$2:$C$500,3,FALSE),1))</f>
        <v>0.9</v>
      </c>
      <c r="AA1522" s="62">
        <f>IF($H1522&lt;&gt;"Y",0,(IF($F1522&lt;&gt;"",ROUND(Dashboard!$R$4/$F1522,1),IF(AND($I1522="Base",$E1522="Base"),Dashboard!$R$5,IF(AND($I1522="Base",$E1522="Red"),Dashboard!$R$6,IF(AND($I1522="Base",$E1522="Gold"),Dashboard!$R$7,VLOOKUP($I1522,Dashboard!$Q$16:$R$21,2,FALSE)))))*VLOOKUP($I1522,Dashboard!$Q$9:$R$13,2,FALSE)*IF(AND($I1522="Auto",$F1522="",OR($B1522="Autographs Duals",$B1522="Autographs Triples",$B1522="Autographs Quads",$B1522="Autographs Quads (Inscribed)")),IF($B1522="Autographs Duals",2,IF($B1522="Autographs Triples",3,4)),1)))</f>
        <v>2.5</v>
      </c>
      <c r="AB1522" s="62">
        <f t="shared" si="310"/>
        <v>2.5</v>
      </c>
      <c r="AC1522" s="62">
        <f t="shared" si="311"/>
        <v>0</v>
      </c>
    </row>
    <row r="1523" spans="1:29" ht="42.95" customHeight="1" x14ac:dyDescent="0.25">
      <c r="A1523" s="4" t="s">
        <v>21</v>
      </c>
      <c r="B1523" s="7" t="s">
        <v>89</v>
      </c>
      <c r="C1523" s="2" t="s">
        <v>422</v>
      </c>
      <c r="D1523" s="7" t="s">
        <v>228</v>
      </c>
      <c r="E1523" s="4" t="s">
        <v>778</v>
      </c>
      <c r="F1523" s="2">
        <v>399</v>
      </c>
      <c r="G1523" s="2" t="s">
        <v>1399</v>
      </c>
      <c r="H1523" s="2" t="s">
        <v>1400</v>
      </c>
      <c r="I1523" s="4" t="s">
        <v>60</v>
      </c>
      <c r="J1523" s="112">
        <f>IF($H1523&lt;&gt;"Y",0,ROUND(MIN(Dashboard!$R$24,IF(IFERROR(VLOOKUP($B1523,Dashboard!$Q$28:$S$60,2,FALSE),0)&gt;0,IFERROR(VLOOKUP($B1523,Dashboard!$Q$28:$S$60,2,FALSE),0),$Z1523*IF($U1523&lt;&gt;"",ROUND((Dashboard!$R$4/$U1523)*VLOOKUP($I1523,Dashboard!$Q$9:$R$13,2,FALSE)*IF(ISNUMBER(SEARCH("Duals",$B1523)),2,IF(ISNUMBER(SEARCH("Triples",$B1523)),3,IF(ISNUMBER(SEARCH("Quads",$B1523)),4,1))),2),ROUND(VLOOKUP($I1523,Dashboard!$Q$15:$R$20,2,FALSE)*IF($E1523="Red",Dashboard!$R$6,IF($E1523="Gold",Dashboard!$R$7,Dashboard!$R$5))*IF(ISNUMBER(SEARCH("Duals",$B1523)),2,IF(ISNUMBER(SEARCH("Triples",$B1523)),3,IF(ISNUMBER(SEARCH("Quads",$B1523)),4,1))),2))*IF(IFERROR(VLOOKUP($B1523,Dashboard!$Q$28:$S$60,3,FALSE),0)&gt;0,VLOOKUP($B1523,Dashboard!$Q$28:$S$60,3,FALSE),1))),0))</f>
        <v>3</v>
      </c>
      <c r="K1523" s="2" t="str">
        <f>IF(Characters!F23="","",Characters!F23)</f>
        <v>V</v>
      </c>
      <c r="L1523" s="2">
        <f t="shared" si="299"/>
        <v>1</v>
      </c>
      <c r="M1523" s="2">
        <f t="shared" si="300"/>
        <v>0</v>
      </c>
      <c r="N1523" s="2">
        <f t="shared" si="301"/>
        <v>1</v>
      </c>
      <c r="O1523" s="2">
        <f t="shared" si="302"/>
        <v>0</v>
      </c>
      <c r="P1523" s="112">
        <f t="shared" si="303"/>
        <v>3</v>
      </c>
      <c r="Q1523" s="112">
        <f t="shared" si="304"/>
        <v>0</v>
      </c>
      <c r="R1523" s="53"/>
      <c r="S1523" s="53" t="str">
        <f t="shared" si="305"/>
        <v>Characters|Characters Compound V Parallel|C-22|Compound V</v>
      </c>
      <c r="T1523" s="57" t="str">
        <f>IF($S1523="","",IFERROR(VLOOKUP($S1523,'Pop Estimates (Non-#d)'!$N$2:$O$500,2,FALSE),""))</f>
        <v/>
      </c>
      <c r="U1523" s="57">
        <f t="shared" si="306"/>
        <v>399</v>
      </c>
      <c r="V1523" s="53" t="str">
        <f t="shared" si="307"/>
        <v>Ryan</v>
      </c>
      <c r="W1523" s="53" t="str">
        <f t="shared" si="308"/>
        <v>Ryan</v>
      </c>
      <c r="X1523" s="53" t="str">
        <f t="shared" si="309"/>
        <v>Ryan</v>
      </c>
      <c r="Y1523" s="57">
        <f>IF($X1523="","",IFERROR(VLOOKUP($X1523,'Char Popularity'!$A$2:$C$500,2,FALSE),""))</f>
        <v>4</v>
      </c>
      <c r="Z1523" s="56">
        <f>IF($X1523="",1,IFERROR(VLOOKUP($X1523,'Char Popularity'!$A$2:$C$500,3,FALSE),1))</f>
        <v>1.1000000000000001</v>
      </c>
      <c r="AA1523" s="62">
        <f>IF($H1523&lt;&gt;"Y",0,(IF($F1523&lt;&gt;"",ROUND(Dashboard!$R$4/$F1523,1),IF(AND($I1523="Base",$E1523="Base"),Dashboard!$R$5,IF(AND($I1523="Base",$E1523="Red"),Dashboard!$R$6,IF(AND($I1523="Base",$E1523="Gold"),Dashboard!$R$7,VLOOKUP($I1523,Dashboard!$Q$16:$R$21,2,FALSE)))))*VLOOKUP($I1523,Dashboard!$Q$9:$R$13,2,FALSE)*IF(AND($I1523="Auto",$F1523="",OR($B1523="Autographs Duals",$B1523="Autographs Triples",$B1523="Autographs Quads",$B1523="Autographs Quads (Inscribed)")),IF($B1523="Autographs Duals",2,IF($B1523="Autographs Triples",3,4)),1)))</f>
        <v>2.5</v>
      </c>
      <c r="AB1523" s="62">
        <f t="shared" si="310"/>
        <v>2.5</v>
      </c>
      <c r="AC1523" s="62">
        <f t="shared" si="311"/>
        <v>0</v>
      </c>
    </row>
    <row r="1524" spans="1:29" ht="42.95" customHeight="1" x14ac:dyDescent="0.25">
      <c r="A1524" s="4" t="s">
        <v>21</v>
      </c>
      <c r="B1524" s="7" t="s">
        <v>89</v>
      </c>
      <c r="C1524" s="2" t="s">
        <v>423</v>
      </c>
      <c r="D1524" s="7" t="s">
        <v>301</v>
      </c>
      <c r="E1524" s="4" t="s">
        <v>778</v>
      </c>
      <c r="F1524" s="2">
        <v>399</v>
      </c>
      <c r="G1524" s="2" t="s">
        <v>1399</v>
      </c>
      <c r="H1524" s="2" t="s">
        <v>1400</v>
      </c>
      <c r="I1524" s="4" t="s">
        <v>60</v>
      </c>
      <c r="J1524" s="112">
        <f>IF($H1524&lt;&gt;"Y",0,ROUND(MIN(Dashboard!$R$24,IF(IFERROR(VLOOKUP($B1524,Dashboard!$Q$28:$S$60,2,FALSE),0)&gt;0,IFERROR(VLOOKUP($B1524,Dashboard!$Q$28:$S$60,2,FALSE),0),$Z1524*IF($U1524&lt;&gt;"",ROUND((Dashboard!$R$4/$U1524)*VLOOKUP($I1524,Dashboard!$Q$9:$R$13,2,FALSE)*IF(ISNUMBER(SEARCH("Duals",$B1524)),2,IF(ISNUMBER(SEARCH("Triples",$B1524)),3,IF(ISNUMBER(SEARCH("Quads",$B1524)),4,1))),2),ROUND(VLOOKUP($I1524,Dashboard!$Q$15:$R$20,2,FALSE)*IF($E1524="Red",Dashboard!$R$6,IF($E1524="Gold",Dashboard!$R$7,Dashboard!$R$5))*IF(ISNUMBER(SEARCH("Duals",$B1524)),2,IF(ISNUMBER(SEARCH("Triples",$B1524)),3,IF(ISNUMBER(SEARCH("Quads",$B1524)),4,1))),2))*IF(IFERROR(VLOOKUP($B1524,Dashboard!$Q$28:$S$60,3,FALSE),0)&gt;0,VLOOKUP($B1524,Dashboard!$Q$28:$S$60,3,FALSE),1))),0))</f>
        <v>2</v>
      </c>
      <c r="K1524" s="2" t="str">
        <f>IF(Characters!F24="","",Characters!F24)</f>
        <v>C</v>
      </c>
      <c r="L1524" s="2">
        <f t="shared" si="299"/>
        <v>1</v>
      </c>
      <c r="M1524" s="2">
        <f t="shared" si="300"/>
        <v>0</v>
      </c>
      <c r="N1524" s="2">
        <f t="shared" si="301"/>
        <v>1</v>
      </c>
      <c r="O1524" s="2">
        <f t="shared" si="302"/>
        <v>0</v>
      </c>
      <c r="P1524" s="112">
        <f t="shared" si="303"/>
        <v>2</v>
      </c>
      <c r="Q1524" s="112">
        <f t="shared" si="304"/>
        <v>0</v>
      </c>
      <c r="R1524" s="53"/>
      <c r="S1524" s="53" t="str">
        <f t="shared" si="305"/>
        <v>Characters|Characters Compound V Parallel|C-23|Compound V</v>
      </c>
      <c r="T1524" s="57" t="str">
        <f>IF($S1524="","",IFERROR(VLOOKUP($S1524,'Pop Estimates (Non-#d)'!$N$2:$O$500,2,FALSE),""))</f>
        <v/>
      </c>
      <c r="U1524" s="57">
        <f t="shared" si="306"/>
        <v>399</v>
      </c>
      <c r="V1524" s="53" t="str">
        <f t="shared" si="307"/>
        <v>Lamplighter</v>
      </c>
      <c r="W1524" s="53" t="str">
        <f t="shared" si="308"/>
        <v>Lamplighter</v>
      </c>
      <c r="X1524" s="53" t="str">
        <f t="shared" si="309"/>
        <v>Lamplighter</v>
      </c>
      <c r="Y1524" s="57">
        <f>IF($X1524="","",IFERROR(VLOOKUP($X1524,'Char Popularity'!$A$2:$C$500,2,FALSE),""))</f>
        <v>2</v>
      </c>
      <c r="Z1524" s="56">
        <f>IF($X1524="",1,IFERROR(VLOOKUP($X1524,'Char Popularity'!$A$2:$C$500,3,FALSE),1))</f>
        <v>0.9</v>
      </c>
      <c r="AA1524" s="62">
        <f>IF($H1524&lt;&gt;"Y",0,(IF($F1524&lt;&gt;"",ROUND(Dashboard!$R$4/$F1524,1),IF(AND($I1524="Base",$E1524="Base"),Dashboard!$R$5,IF(AND($I1524="Base",$E1524="Red"),Dashboard!$R$6,IF(AND($I1524="Base",$E1524="Gold"),Dashboard!$R$7,VLOOKUP($I1524,Dashboard!$Q$16:$R$21,2,FALSE)))))*VLOOKUP($I1524,Dashboard!$Q$9:$R$13,2,FALSE)*IF(AND($I1524="Auto",$F1524="",OR($B1524="Autographs Duals",$B1524="Autographs Triples",$B1524="Autographs Quads",$B1524="Autographs Quads (Inscribed)")),IF($B1524="Autographs Duals",2,IF($B1524="Autographs Triples",3,4)),1)))</f>
        <v>2.5</v>
      </c>
      <c r="AB1524" s="62">
        <f t="shared" si="310"/>
        <v>2.5</v>
      </c>
      <c r="AC1524" s="62">
        <f t="shared" si="311"/>
        <v>0</v>
      </c>
    </row>
    <row r="1525" spans="1:29" ht="42.95" customHeight="1" x14ac:dyDescent="0.25">
      <c r="A1525" s="4" t="s">
        <v>21</v>
      </c>
      <c r="B1525" s="7" t="s">
        <v>89</v>
      </c>
      <c r="C1525" s="2" t="s">
        <v>1226</v>
      </c>
      <c r="D1525" s="7" t="s">
        <v>1227</v>
      </c>
      <c r="E1525" s="4" t="s">
        <v>778</v>
      </c>
      <c r="F1525" s="2">
        <v>399</v>
      </c>
      <c r="G1525" s="2" t="s">
        <v>1399</v>
      </c>
      <c r="H1525" s="2" t="s">
        <v>1400</v>
      </c>
      <c r="I1525" s="4" t="s">
        <v>60</v>
      </c>
      <c r="J1525" s="112">
        <f>IF($H1525&lt;&gt;"Y",0,ROUND(MIN(Dashboard!$R$24,IF(IFERROR(VLOOKUP($B1525,Dashboard!$Q$28:$S$60,2,FALSE),0)&gt;0,IFERROR(VLOOKUP($B1525,Dashboard!$Q$28:$S$60,2,FALSE),0),$Z1525*IF($U1525&lt;&gt;"",ROUND((Dashboard!$R$4/$U1525)*VLOOKUP($I1525,Dashboard!$Q$9:$R$13,2,FALSE)*IF(ISNUMBER(SEARCH("Duals",$B1525)),2,IF(ISNUMBER(SEARCH("Triples",$B1525)),3,IF(ISNUMBER(SEARCH("Quads",$B1525)),4,1))),2),ROUND(VLOOKUP($I1525,Dashboard!$Q$15:$R$20,2,FALSE)*IF($E1525="Red",Dashboard!$R$6,IF($E1525="Gold",Dashboard!$R$7,Dashboard!$R$5))*IF(ISNUMBER(SEARCH("Duals",$B1525)),2,IF(ISNUMBER(SEARCH("Triples",$B1525)),3,IF(ISNUMBER(SEARCH("Quads",$B1525)),4,1))),2))*IF(IFERROR(VLOOKUP($B1525,Dashboard!$Q$28:$S$60,3,FALSE),0)&gt;0,VLOOKUP($B1525,Dashboard!$Q$28:$S$60,3,FALSE),1))),0))</f>
        <v>3</v>
      </c>
      <c r="K1525" s="2" t="str">
        <f>IF(Characters!F25="","",Characters!F25)</f>
        <v>V</v>
      </c>
      <c r="L1525" s="2">
        <f t="shared" si="299"/>
        <v>1</v>
      </c>
      <c r="M1525" s="2">
        <f t="shared" si="300"/>
        <v>0</v>
      </c>
      <c r="N1525" s="2">
        <f t="shared" si="301"/>
        <v>1</v>
      </c>
      <c r="O1525" s="2">
        <f t="shared" si="302"/>
        <v>0</v>
      </c>
      <c r="P1525" s="112">
        <f t="shared" si="303"/>
        <v>3</v>
      </c>
      <c r="Q1525" s="112">
        <f t="shared" si="304"/>
        <v>0</v>
      </c>
      <c r="R1525" s="53"/>
      <c r="S1525" s="53" t="str">
        <f t="shared" si="305"/>
        <v>Characters|Characters Compound V Parallel|C-24|Compound V</v>
      </c>
      <c r="T1525" s="57" t="str">
        <f>IF($S1525="","",IFERROR(VLOOKUP($S1525,'Pop Estimates (Non-#d)'!$N$2:$O$500,2,FALSE),""))</f>
        <v/>
      </c>
      <c r="U1525" s="57">
        <f t="shared" si="306"/>
        <v>399</v>
      </c>
      <c r="V1525" s="53" t="str">
        <f t="shared" si="307"/>
        <v>Victoria Neuman</v>
      </c>
      <c r="W1525" s="53" t="str">
        <f t="shared" si="308"/>
        <v>Victoria Neuman</v>
      </c>
      <c r="X1525" s="53" t="str">
        <f t="shared" si="309"/>
        <v>Victoria Neuman</v>
      </c>
      <c r="Y1525" s="57">
        <f>IF($X1525="","",IFERROR(VLOOKUP($X1525,'Char Popularity'!$A$2:$C$500,2,FALSE),""))</f>
        <v>4</v>
      </c>
      <c r="Z1525" s="56">
        <f>IF($X1525="",1,IFERROR(VLOOKUP($X1525,'Char Popularity'!$A$2:$C$500,3,FALSE),1))</f>
        <v>1.1000000000000001</v>
      </c>
      <c r="AA1525" s="62">
        <f>IF($H1525&lt;&gt;"Y",0,(IF($F1525&lt;&gt;"",ROUND(Dashboard!$R$4/$F1525,1),IF(AND($I1525="Base",$E1525="Base"),Dashboard!$R$5,IF(AND($I1525="Base",$E1525="Red"),Dashboard!$R$6,IF(AND($I1525="Base",$E1525="Gold"),Dashboard!$R$7,VLOOKUP($I1525,Dashboard!$Q$16:$R$21,2,FALSE)))))*VLOOKUP($I1525,Dashboard!$Q$9:$R$13,2,FALSE)*IF(AND($I1525="Auto",$F1525="",OR($B1525="Autographs Duals",$B1525="Autographs Triples",$B1525="Autographs Quads",$B1525="Autographs Quads (Inscribed)")),IF($B1525="Autographs Duals",2,IF($B1525="Autographs Triples",3,4)),1)))</f>
        <v>2.5</v>
      </c>
      <c r="AB1525" s="62">
        <f t="shared" si="310"/>
        <v>2.5</v>
      </c>
      <c r="AC1525" s="62">
        <f t="shared" si="311"/>
        <v>0</v>
      </c>
    </row>
    <row r="1526" spans="1:29" ht="42.95" customHeight="1" x14ac:dyDescent="0.25">
      <c r="A1526" s="4" t="s">
        <v>21</v>
      </c>
      <c r="B1526" s="7" t="s">
        <v>89</v>
      </c>
      <c r="C1526" s="2" t="s">
        <v>1229</v>
      </c>
      <c r="D1526" s="7" t="s">
        <v>1230</v>
      </c>
      <c r="E1526" s="4" t="s">
        <v>778</v>
      </c>
      <c r="F1526" s="2">
        <v>399</v>
      </c>
      <c r="G1526" s="2" t="s">
        <v>1399</v>
      </c>
      <c r="H1526" s="2" t="s">
        <v>1400</v>
      </c>
      <c r="I1526" s="4" t="s">
        <v>60</v>
      </c>
      <c r="J1526" s="112">
        <f>IF($H1526&lt;&gt;"Y",0,ROUND(MIN(Dashboard!$R$24,IF(IFERROR(VLOOKUP($B1526,Dashboard!$Q$28:$S$60,2,FALSE),0)&gt;0,IFERROR(VLOOKUP($B1526,Dashboard!$Q$28:$S$60,2,FALSE),0),$Z1526*IF($U1526&lt;&gt;"",ROUND((Dashboard!$R$4/$U1526)*VLOOKUP($I1526,Dashboard!$Q$9:$R$13,2,FALSE)*IF(ISNUMBER(SEARCH("Duals",$B1526)),2,IF(ISNUMBER(SEARCH("Triples",$B1526)),3,IF(ISNUMBER(SEARCH("Quads",$B1526)),4,1))),2),ROUND(VLOOKUP($I1526,Dashboard!$Q$15:$R$20,2,FALSE)*IF($E1526="Red",Dashboard!$R$6,IF($E1526="Gold",Dashboard!$R$7,Dashboard!$R$5))*IF(ISNUMBER(SEARCH("Duals",$B1526)),2,IF(ISNUMBER(SEARCH("Triples",$B1526)),3,IF(ISNUMBER(SEARCH("Quads",$B1526)),4,1))),2))*IF(IFERROR(VLOOKUP($B1526,Dashboard!$Q$28:$S$60,3,FALSE),0)&gt;0,VLOOKUP($B1526,Dashboard!$Q$28:$S$60,3,FALSE),1))),0))</f>
        <v>3</v>
      </c>
      <c r="K1526" s="2" t="str">
        <f>IF(Characters!F26="","",Characters!F26)</f>
        <v>V</v>
      </c>
      <c r="L1526" s="2">
        <f t="shared" si="299"/>
        <v>1</v>
      </c>
      <c r="M1526" s="2">
        <f t="shared" si="300"/>
        <v>0</v>
      </c>
      <c r="N1526" s="2">
        <f t="shared" si="301"/>
        <v>1</v>
      </c>
      <c r="O1526" s="2">
        <f t="shared" si="302"/>
        <v>0</v>
      </c>
      <c r="P1526" s="112">
        <f t="shared" si="303"/>
        <v>3</v>
      </c>
      <c r="Q1526" s="112">
        <f t="shared" si="304"/>
        <v>0</v>
      </c>
      <c r="R1526" s="53"/>
      <c r="S1526" s="53" t="str">
        <f t="shared" si="305"/>
        <v>Characters|Characters Compound V Parallel|C-25|Compound V</v>
      </c>
      <c r="T1526" s="57" t="str">
        <f>IF($S1526="","",IFERROR(VLOOKUP($S1526,'Pop Estimates (Non-#d)'!$N$2:$O$500,2,FALSE),""))</f>
        <v/>
      </c>
      <c r="U1526" s="57">
        <f t="shared" si="306"/>
        <v>399</v>
      </c>
      <c r="V1526" s="53" t="str">
        <f t="shared" si="307"/>
        <v>Donna January</v>
      </c>
      <c r="W1526" s="53" t="str">
        <f t="shared" si="308"/>
        <v>Donna January</v>
      </c>
      <c r="X1526" s="53" t="str">
        <f t="shared" si="309"/>
        <v>Donna January</v>
      </c>
      <c r="Y1526" s="57">
        <f>IF($X1526="","",IFERROR(VLOOKUP($X1526,'Char Popularity'!$A$2:$C$500,2,FALSE),""))</f>
        <v>3</v>
      </c>
      <c r="Z1526" s="56">
        <f>IF($X1526="",1,IFERROR(VLOOKUP($X1526,'Char Popularity'!$A$2:$C$500,3,FALSE),1))</f>
        <v>1</v>
      </c>
      <c r="AA1526" s="62">
        <f>IF($H1526&lt;&gt;"Y",0,(IF($F1526&lt;&gt;"",ROUND(Dashboard!$R$4/$F1526,1),IF(AND($I1526="Base",$E1526="Base"),Dashboard!$R$5,IF(AND($I1526="Base",$E1526="Red"),Dashboard!$R$6,IF(AND($I1526="Base",$E1526="Gold"),Dashboard!$R$7,VLOOKUP($I1526,Dashboard!$Q$16:$R$21,2,FALSE)))))*VLOOKUP($I1526,Dashboard!$Q$9:$R$13,2,FALSE)*IF(AND($I1526="Auto",$F1526="",OR($B1526="Autographs Duals",$B1526="Autographs Triples",$B1526="Autographs Quads",$B1526="Autographs Quads (Inscribed)")),IF($B1526="Autographs Duals",2,IF($B1526="Autographs Triples",3,4)),1)))</f>
        <v>2.5</v>
      </c>
      <c r="AB1526" s="62">
        <f t="shared" si="310"/>
        <v>2.5</v>
      </c>
      <c r="AC1526" s="62">
        <f t="shared" si="311"/>
        <v>0</v>
      </c>
    </row>
    <row r="1527" spans="1:29" ht="42.95" customHeight="1" x14ac:dyDescent="0.25">
      <c r="A1527" s="4" t="s">
        <v>21</v>
      </c>
      <c r="B1527" s="7" t="s">
        <v>89</v>
      </c>
      <c r="C1527" s="2" t="s">
        <v>1232</v>
      </c>
      <c r="D1527" s="7" t="s">
        <v>1233</v>
      </c>
      <c r="E1527" s="4" t="s">
        <v>778</v>
      </c>
      <c r="F1527" s="2">
        <v>399</v>
      </c>
      <c r="G1527" s="2" t="s">
        <v>1399</v>
      </c>
      <c r="H1527" s="2" t="s">
        <v>1400</v>
      </c>
      <c r="I1527" s="4" t="s">
        <v>60</v>
      </c>
      <c r="J1527" s="112">
        <f>IF($H1527&lt;&gt;"Y",0,ROUND(MIN(Dashboard!$R$24,IF(IFERROR(VLOOKUP($B1527,Dashboard!$Q$28:$S$60,2,FALSE),0)&gt;0,IFERROR(VLOOKUP($B1527,Dashboard!$Q$28:$S$60,2,FALSE),0),$Z1527*IF($U1527&lt;&gt;"",ROUND((Dashboard!$R$4/$U1527)*VLOOKUP($I1527,Dashboard!$Q$9:$R$13,2,FALSE)*IF(ISNUMBER(SEARCH("Duals",$B1527)),2,IF(ISNUMBER(SEARCH("Triples",$B1527)),3,IF(ISNUMBER(SEARCH("Quads",$B1527)),4,1))),2),ROUND(VLOOKUP($I1527,Dashboard!$Q$15:$R$20,2,FALSE)*IF($E1527="Red",Dashboard!$R$6,IF($E1527="Gold",Dashboard!$R$7,Dashboard!$R$5))*IF(ISNUMBER(SEARCH("Duals",$B1527)),2,IF(ISNUMBER(SEARCH("Triples",$B1527)),3,IF(ISNUMBER(SEARCH("Quads",$B1527)),4,1))),2))*IF(IFERROR(VLOOKUP($B1527,Dashboard!$Q$28:$S$60,3,FALSE),0)&gt;0,VLOOKUP($B1527,Dashboard!$Q$28:$S$60,3,FALSE),1))),0))</f>
        <v>2</v>
      </c>
      <c r="K1527" s="2" t="str">
        <f>IF(Characters!F27="","",Characters!F27)</f>
        <v>V</v>
      </c>
      <c r="L1527" s="2">
        <f t="shared" si="299"/>
        <v>1</v>
      </c>
      <c r="M1527" s="2">
        <f t="shared" si="300"/>
        <v>0</v>
      </c>
      <c r="N1527" s="2">
        <f t="shared" si="301"/>
        <v>1</v>
      </c>
      <c r="O1527" s="2">
        <f t="shared" si="302"/>
        <v>0</v>
      </c>
      <c r="P1527" s="112">
        <f t="shared" si="303"/>
        <v>2</v>
      </c>
      <c r="Q1527" s="112">
        <f t="shared" si="304"/>
        <v>0</v>
      </c>
      <c r="R1527" s="53"/>
      <c r="S1527" s="53" t="str">
        <f t="shared" si="305"/>
        <v>Characters|Characters Compound V Parallel|C-26|Compound V</v>
      </c>
      <c r="T1527" s="57" t="str">
        <f>IF($S1527="","",IFERROR(VLOOKUP($S1527,'Pop Estimates (Non-#d)'!$N$2:$O$500,2,FALSE),""))</f>
        <v/>
      </c>
      <c r="U1527" s="57">
        <f t="shared" si="306"/>
        <v>399</v>
      </c>
      <c r="V1527" s="53" t="str">
        <f t="shared" si="307"/>
        <v>Mesmer</v>
      </c>
      <c r="W1527" s="53" t="str">
        <f t="shared" si="308"/>
        <v>Mesmer</v>
      </c>
      <c r="X1527" s="53" t="str">
        <f t="shared" si="309"/>
        <v>Mesmer</v>
      </c>
      <c r="Y1527" s="57">
        <f>IF($X1527="","",IFERROR(VLOOKUP($X1527,'Char Popularity'!$A$2:$C$500,2,FALSE),""))</f>
        <v>2</v>
      </c>
      <c r="Z1527" s="56">
        <f>IF($X1527="",1,IFERROR(VLOOKUP($X1527,'Char Popularity'!$A$2:$C$500,3,FALSE),1))</f>
        <v>0.9</v>
      </c>
      <c r="AA1527" s="62">
        <f>IF($H1527&lt;&gt;"Y",0,(IF($F1527&lt;&gt;"",ROUND(Dashboard!$R$4/$F1527,1),IF(AND($I1527="Base",$E1527="Base"),Dashboard!$R$5,IF(AND($I1527="Base",$E1527="Red"),Dashboard!$R$6,IF(AND($I1527="Base",$E1527="Gold"),Dashboard!$R$7,VLOOKUP($I1527,Dashboard!$Q$16:$R$21,2,FALSE)))))*VLOOKUP($I1527,Dashboard!$Q$9:$R$13,2,FALSE)*IF(AND($I1527="Auto",$F1527="",OR($B1527="Autographs Duals",$B1527="Autographs Triples",$B1527="Autographs Quads",$B1527="Autographs Quads (Inscribed)")),IF($B1527="Autographs Duals",2,IF($B1527="Autographs Triples",3,4)),1)))</f>
        <v>2.5</v>
      </c>
      <c r="AB1527" s="62">
        <f t="shared" si="310"/>
        <v>2.5</v>
      </c>
      <c r="AC1527" s="62">
        <f t="shared" si="311"/>
        <v>0</v>
      </c>
    </row>
    <row r="1528" spans="1:29" ht="42.95" customHeight="1" x14ac:dyDescent="0.25">
      <c r="A1528" s="4" t="s">
        <v>21</v>
      </c>
      <c r="B1528" s="7" t="s">
        <v>89</v>
      </c>
      <c r="C1528" s="2" t="s">
        <v>1234</v>
      </c>
      <c r="D1528" s="7" t="s">
        <v>1235</v>
      </c>
      <c r="E1528" s="4" t="s">
        <v>778</v>
      </c>
      <c r="F1528" s="2">
        <v>399</v>
      </c>
      <c r="G1528" s="2" t="s">
        <v>1399</v>
      </c>
      <c r="H1528" s="2" t="s">
        <v>1400</v>
      </c>
      <c r="I1528" s="4" t="s">
        <v>60</v>
      </c>
      <c r="J1528" s="112">
        <f>IF($H1528&lt;&gt;"Y",0,ROUND(MIN(Dashboard!$R$24,IF(IFERROR(VLOOKUP($B1528,Dashboard!$Q$28:$S$60,2,FALSE),0)&gt;0,IFERROR(VLOOKUP($B1528,Dashboard!$Q$28:$S$60,2,FALSE),0),$Z1528*IF($U1528&lt;&gt;"",ROUND((Dashboard!$R$4/$U1528)*VLOOKUP($I1528,Dashboard!$Q$9:$R$13,2,FALSE)*IF(ISNUMBER(SEARCH("Duals",$B1528)),2,IF(ISNUMBER(SEARCH("Triples",$B1528)),3,IF(ISNUMBER(SEARCH("Quads",$B1528)),4,1))),2),ROUND(VLOOKUP($I1528,Dashboard!$Q$15:$R$20,2,FALSE)*IF($E1528="Red",Dashboard!$R$6,IF($E1528="Gold",Dashboard!$R$7,Dashboard!$R$5))*IF(ISNUMBER(SEARCH("Duals",$B1528)),2,IF(ISNUMBER(SEARCH("Triples",$B1528)),3,IF(ISNUMBER(SEARCH("Quads",$B1528)),4,1))),2))*IF(IFERROR(VLOOKUP($B1528,Dashboard!$Q$28:$S$60,3,FALSE),0)&gt;0,VLOOKUP($B1528,Dashboard!$Q$28:$S$60,3,FALSE),1))),0))</f>
        <v>3</v>
      </c>
      <c r="K1528" s="2" t="str">
        <f>IF(Characters!F28="","",Characters!F28)</f>
        <v>C</v>
      </c>
      <c r="L1528" s="2">
        <f t="shared" si="299"/>
        <v>1</v>
      </c>
      <c r="M1528" s="2">
        <f t="shared" si="300"/>
        <v>0</v>
      </c>
      <c r="N1528" s="2">
        <f t="shared" si="301"/>
        <v>1</v>
      </c>
      <c r="O1528" s="2">
        <f t="shared" si="302"/>
        <v>0</v>
      </c>
      <c r="P1528" s="112">
        <f t="shared" si="303"/>
        <v>3</v>
      </c>
      <c r="Q1528" s="112">
        <f t="shared" si="304"/>
        <v>0</v>
      </c>
      <c r="R1528" s="53"/>
      <c r="S1528" s="53" t="str">
        <f t="shared" si="305"/>
        <v>Characters|Characters Compound V Parallel|C-27|Compound V</v>
      </c>
      <c r="T1528" s="57" t="str">
        <f>IF($S1528="","",IFERROR(VLOOKUP($S1528,'Pop Estimates (Non-#d)'!$N$2:$O$500,2,FALSE),""))</f>
        <v/>
      </c>
      <c r="U1528" s="57">
        <f t="shared" si="306"/>
        <v>399</v>
      </c>
      <c r="V1528" s="53" t="str">
        <f t="shared" si="307"/>
        <v>Hughie Campbell Sr.</v>
      </c>
      <c r="W1528" s="53" t="str">
        <f t="shared" si="308"/>
        <v>Hughie Campbell Sr.</v>
      </c>
      <c r="X1528" s="53" t="str">
        <f t="shared" si="309"/>
        <v>Hughie Campbell Sr.</v>
      </c>
      <c r="Y1528" s="57">
        <f>IF($X1528="","",IFERROR(VLOOKUP($X1528,'Char Popularity'!$A$2:$C$500,2,FALSE),""))</f>
        <v>3</v>
      </c>
      <c r="Z1528" s="56">
        <f>IF($X1528="",1,IFERROR(VLOOKUP($X1528,'Char Popularity'!$A$2:$C$500,3,FALSE),1))</f>
        <v>1</v>
      </c>
      <c r="AA1528" s="62">
        <f>IF($H1528&lt;&gt;"Y",0,(IF($F1528&lt;&gt;"",ROUND(Dashboard!$R$4/$F1528,1),IF(AND($I1528="Base",$E1528="Base"),Dashboard!$R$5,IF(AND($I1528="Base",$E1528="Red"),Dashboard!$R$6,IF(AND($I1528="Base",$E1528="Gold"),Dashboard!$R$7,VLOOKUP($I1528,Dashboard!$Q$16:$R$21,2,FALSE)))))*VLOOKUP($I1528,Dashboard!$Q$9:$R$13,2,FALSE)*IF(AND($I1528="Auto",$F1528="",OR($B1528="Autographs Duals",$B1528="Autographs Triples",$B1528="Autographs Quads",$B1528="Autographs Quads (Inscribed)")),IF($B1528="Autographs Duals",2,IF($B1528="Autographs Triples",3,4)),1)))</f>
        <v>2.5</v>
      </c>
      <c r="AB1528" s="62">
        <f t="shared" si="310"/>
        <v>2.5</v>
      </c>
      <c r="AC1528" s="62">
        <f t="shared" si="311"/>
        <v>0</v>
      </c>
    </row>
    <row r="1529" spans="1:29" ht="42.95" customHeight="1" x14ac:dyDescent="0.25">
      <c r="A1529" s="4" t="s">
        <v>21</v>
      </c>
      <c r="B1529" s="7" t="s">
        <v>89</v>
      </c>
      <c r="C1529" s="2" t="s">
        <v>1236</v>
      </c>
      <c r="D1529" s="7" t="s">
        <v>1237</v>
      </c>
      <c r="E1529" s="4" t="s">
        <v>778</v>
      </c>
      <c r="F1529" s="2">
        <v>399</v>
      </c>
      <c r="G1529" s="2" t="s">
        <v>1399</v>
      </c>
      <c r="H1529" s="2" t="s">
        <v>1400</v>
      </c>
      <c r="I1529" s="4" t="s">
        <v>60</v>
      </c>
      <c r="J1529" s="112">
        <f>IF($H1529&lt;&gt;"Y",0,ROUND(MIN(Dashboard!$R$24,IF(IFERROR(VLOOKUP($B1529,Dashboard!$Q$28:$S$60,2,FALSE),0)&gt;0,IFERROR(VLOOKUP($B1529,Dashboard!$Q$28:$S$60,2,FALSE),0),$Z1529*IF($U1529&lt;&gt;"",ROUND((Dashboard!$R$4/$U1529)*VLOOKUP($I1529,Dashboard!$Q$9:$R$13,2,FALSE)*IF(ISNUMBER(SEARCH("Duals",$B1529)),2,IF(ISNUMBER(SEARCH("Triples",$B1529)),3,IF(ISNUMBER(SEARCH("Quads",$B1529)),4,1))),2),ROUND(VLOOKUP($I1529,Dashboard!$Q$15:$R$20,2,FALSE)*IF($E1529="Red",Dashboard!$R$6,IF($E1529="Gold",Dashboard!$R$7,Dashboard!$R$5))*IF(ISNUMBER(SEARCH("Duals",$B1529)),2,IF(ISNUMBER(SEARCH("Triples",$B1529)),3,IF(ISNUMBER(SEARCH("Quads",$B1529)),4,1))),2))*IF(IFERROR(VLOOKUP($B1529,Dashboard!$Q$28:$S$60,3,FALSE),0)&gt;0,VLOOKUP($B1529,Dashboard!$Q$28:$S$60,3,FALSE),1))),0))</f>
        <v>3</v>
      </c>
      <c r="K1529" s="2" t="str">
        <f>IF(Characters!F29="","",Characters!F29)</f>
        <v>V</v>
      </c>
      <c r="L1529" s="2">
        <f t="shared" si="299"/>
        <v>1</v>
      </c>
      <c r="M1529" s="2">
        <f t="shared" si="300"/>
        <v>0</v>
      </c>
      <c r="N1529" s="2">
        <f t="shared" si="301"/>
        <v>1</v>
      </c>
      <c r="O1529" s="2">
        <f t="shared" si="302"/>
        <v>0</v>
      </c>
      <c r="P1529" s="112">
        <f t="shared" si="303"/>
        <v>3</v>
      </c>
      <c r="Q1529" s="112">
        <f t="shared" si="304"/>
        <v>0</v>
      </c>
      <c r="R1529" s="53"/>
      <c r="S1529" s="53" t="str">
        <f t="shared" si="305"/>
        <v>Characters|Characters Compound V Parallel|C-28|Compound V</v>
      </c>
      <c r="T1529" s="57" t="str">
        <f>IF($S1529="","",IFERROR(VLOOKUP($S1529,'Pop Estimates (Non-#d)'!$N$2:$O$500,2,FALSE),""))</f>
        <v/>
      </c>
      <c r="U1529" s="57">
        <f t="shared" si="306"/>
        <v>399</v>
      </c>
      <c r="V1529" s="53" t="str">
        <f t="shared" si="307"/>
        <v>Susan Rayner</v>
      </c>
      <c r="W1529" s="53" t="str">
        <f t="shared" si="308"/>
        <v>Susan Rayner</v>
      </c>
      <c r="X1529" s="53" t="str">
        <f t="shared" si="309"/>
        <v>Susan Rayner</v>
      </c>
      <c r="Y1529" s="57">
        <f>IF($X1529="","",IFERROR(VLOOKUP($X1529,'Char Popularity'!$A$2:$C$500,2,FALSE),""))</f>
        <v>3</v>
      </c>
      <c r="Z1529" s="56">
        <f>IF($X1529="",1,IFERROR(VLOOKUP($X1529,'Char Popularity'!$A$2:$C$500,3,FALSE),1))</f>
        <v>1</v>
      </c>
      <c r="AA1529" s="62">
        <f>IF($H1529&lt;&gt;"Y",0,(IF($F1529&lt;&gt;"",ROUND(Dashboard!$R$4/$F1529,1),IF(AND($I1529="Base",$E1529="Base"),Dashboard!$R$5,IF(AND($I1529="Base",$E1529="Red"),Dashboard!$R$6,IF(AND($I1529="Base",$E1529="Gold"),Dashboard!$R$7,VLOOKUP($I1529,Dashboard!$Q$16:$R$21,2,FALSE)))))*VLOOKUP($I1529,Dashboard!$Q$9:$R$13,2,FALSE)*IF(AND($I1529="Auto",$F1529="",OR($B1529="Autographs Duals",$B1529="Autographs Triples",$B1529="Autographs Quads",$B1529="Autographs Quads (Inscribed)")),IF($B1529="Autographs Duals",2,IF($B1529="Autographs Triples",3,4)),1)))</f>
        <v>2.5</v>
      </c>
      <c r="AB1529" s="62">
        <f t="shared" si="310"/>
        <v>2.5</v>
      </c>
      <c r="AC1529" s="62">
        <f t="shared" si="311"/>
        <v>0</v>
      </c>
    </row>
    <row r="1530" spans="1:29" ht="42.95" customHeight="1" x14ac:dyDescent="0.25">
      <c r="A1530" s="4" t="s">
        <v>21</v>
      </c>
      <c r="B1530" s="7" t="s">
        <v>89</v>
      </c>
      <c r="C1530" s="2" t="s">
        <v>424</v>
      </c>
      <c r="D1530" s="7" t="s">
        <v>1600</v>
      </c>
      <c r="E1530" s="4" t="s">
        <v>778</v>
      </c>
      <c r="F1530" s="2">
        <v>399</v>
      </c>
      <c r="G1530" s="2" t="s">
        <v>1399</v>
      </c>
      <c r="H1530" s="2" t="s">
        <v>1400</v>
      </c>
      <c r="I1530" s="4" t="s">
        <v>60</v>
      </c>
      <c r="J1530" s="112">
        <f>IF($H1530&lt;&gt;"Y",0,ROUND(MIN(Dashboard!$R$24,IF(IFERROR(VLOOKUP($B1530,Dashboard!$Q$28:$S$60,2,FALSE),0)&gt;0,IFERROR(VLOOKUP($B1530,Dashboard!$Q$28:$S$60,2,FALSE),0),$Z1530*IF($U1530&lt;&gt;"",ROUND((Dashboard!$R$4/$U1530)*VLOOKUP($I1530,Dashboard!$Q$9:$R$13,2,FALSE)*IF(ISNUMBER(SEARCH("Duals",$B1530)),2,IF(ISNUMBER(SEARCH("Triples",$B1530)),3,IF(ISNUMBER(SEARCH("Quads",$B1530)),4,1))),2),ROUND(VLOOKUP($I1530,Dashboard!$Q$15:$R$20,2,FALSE)*IF($E1530="Red",Dashboard!$R$6,IF($E1530="Gold",Dashboard!$R$7,Dashboard!$R$5))*IF(ISNUMBER(SEARCH("Duals",$B1530)),2,IF(ISNUMBER(SEARCH("Triples",$B1530)),3,IF(ISNUMBER(SEARCH("Quads",$B1530)),4,1))),2))*IF(IFERROR(VLOOKUP($B1530,Dashboard!$Q$28:$S$60,3,FALSE),0)&gt;0,VLOOKUP($B1530,Dashboard!$Q$28:$S$60,3,FALSE),1))),0))</f>
        <v>3</v>
      </c>
      <c r="K1530" s="2" t="str">
        <f>IF(Characters!F30="","",Characters!F30)</f>
        <v>V</v>
      </c>
      <c r="L1530" s="2">
        <f t="shared" si="299"/>
        <v>1</v>
      </c>
      <c r="M1530" s="2">
        <f t="shared" si="300"/>
        <v>0</v>
      </c>
      <c r="N1530" s="2">
        <f t="shared" si="301"/>
        <v>1</v>
      </c>
      <c r="O1530" s="2">
        <f t="shared" si="302"/>
        <v>0</v>
      </c>
      <c r="P1530" s="112">
        <f t="shared" si="303"/>
        <v>3</v>
      </c>
      <c r="Q1530" s="112">
        <f t="shared" si="304"/>
        <v>0</v>
      </c>
      <c r="R1530" s="53"/>
      <c r="S1530" s="53" t="str">
        <f t="shared" si="305"/>
        <v>Characters|Characters Compound V Parallel|C-29|Compound V</v>
      </c>
      <c r="T1530" s="57" t="str">
        <f>IF($S1530="","",IFERROR(VLOOKUP($S1530,'Pop Estimates (Non-#d)'!$N$2:$O$500,2,FALSE),""))</f>
        <v/>
      </c>
      <c r="U1530" s="57">
        <f t="shared" si="306"/>
        <v>399</v>
      </c>
      <c r="V1530" s="53" t="str">
        <f t="shared" si="307"/>
        <v>Robin</v>
      </c>
      <c r="W1530" s="53" t="str">
        <f t="shared" si="308"/>
        <v>Robin</v>
      </c>
      <c r="X1530" s="53" t="str">
        <f t="shared" si="309"/>
        <v>Robin</v>
      </c>
      <c r="Y1530" s="57">
        <f>IF($X1530="","",IFERROR(VLOOKUP($X1530,'Char Popularity'!$A$2:$C$500,2,FALSE),""))</f>
        <v>3</v>
      </c>
      <c r="Z1530" s="56">
        <f>IF($X1530="",1,IFERROR(VLOOKUP($X1530,'Char Popularity'!$A$2:$C$500,3,FALSE),1))</f>
        <v>1</v>
      </c>
      <c r="AA1530" s="62">
        <f>IF($H1530&lt;&gt;"Y",0,(IF($F1530&lt;&gt;"",ROUND(Dashboard!$R$4/$F1530,1),IF(AND($I1530="Base",$E1530="Base"),Dashboard!$R$5,IF(AND($I1530="Base",$E1530="Red"),Dashboard!$R$6,IF(AND($I1530="Base",$E1530="Gold"),Dashboard!$R$7,VLOOKUP($I1530,Dashboard!$Q$16:$R$21,2,FALSE)))))*VLOOKUP($I1530,Dashboard!$Q$9:$R$13,2,FALSE)*IF(AND($I1530="Auto",$F1530="",OR($B1530="Autographs Duals",$B1530="Autographs Triples",$B1530="Autographs Quads",$B1530="Autographs Quads (Inscribed)")),IF($B1530="Autographs Duals",2,IF($B1530="Autographs Triples",3,4)),1)))</f>
        <v>2.5</v>
      </c>
      <c r="AB1530" s="62">
        <f t="shared" si="310"/>
        <v>2.5</v>
      </c>
      <c r="AC1530" s="62">
        <f t="shared" si="311"/>
        <v>0</v>
      </c>
    </row>
    <row r="1531" spans="1:29" ht="42.95" customHeight="1" x14ac:dyDescent="0.25">
      <c r="A1531" s="4" t="s">
        <v>21</v>
      </c>
      <c r="B1531" s="7" t="s">
        <v>89</v>
      </c>
      <c r="C1531" s="2" t="s">
        <v>1239</v>
      </c>
      <c r="D1531" s="7" t="s">
        <v>1233</v>
      </c>
      <c r="E1531" s="4" t="s">
        <v>778</v>
      </c>
      <c r="F1531" s="2">
        <v>399</v>
      </c>
      <c r="G1531" s="2" t="s">
        <v>1399</v>
      </c>
      <c r="H1531" s="2" t="s">
        <v>1400</v>
      </c>
      <c r="I1531" s="4" t="s">
        <v>60</v>
      </c>
      <c r="J1531" s="112">
        <f>IF($H1531&lt;&gt;"Y",0,ROUND(MIN(Dashboard!$R$24,IF(IFERROR(VLOOKUP($B1531,Dashboard!$Q$28:$S$60,2,FALSE),0)&gt;0,IFERROR(VLOOKUP($B1531,Dashboard!$Q$28:$S$60,2,FALSE),0),$Z1531*IF($U1531&lt;&gt;"",ROUND((Dashboard!$R$4/$U1531)*VLOOKUP($I1531,Dashboard!$Q$9:$R$13,2,FALSE)*IF(ISNUMBER(SEARCH("Duals",$B1531)),2,IF(ISNUMBER(SEARCH("Triples",$B1531)),3,IF(ISNUMBER(SEARCH("Quads",$B1531)),4,1))),2),ROUND(VLOOKUP($I1531,Dashboard!$Q$15:$R$20,2,FALSE)*IF($E1531="Red",Dashboard!$R$6,IF($E1531="Gold",Dashboard!$R$7,Dashboard!$R$5))*IF(ISNUMBER(SEARCH("Duals",$B1531)),2,IF(ISNUMBER(SEARCH("Triples",$B1531)),3,IF(ISNUMBER(SEARCH("Quads",$B1531)),4,1))),2))*IF(IFERROR(VLOOKUP($B1531,Dashboard!$Q$28:$S$60,3,FALSE),0)&gt;0,VLOOKUP($B1531,Dashboard!$Q$28:$S$60,3,FALSE),1))),0))</f>
        <v>2</v>
      </c>
      <c r="K1531" s="2" t="str">
        <f>IF(Characters!F31="","",Characters!F31)</f>
        <v>V</v>
      </c>
      <c r="L1531" s="2">
        <f t="shared" si="299"/>
        <v>1</v>
      </c>
      <c r="M1531" s="2">
        <f t="shared" si="300"/>
        <v>0</v>
      </c>
      <c r="N1531" s="2">
        <f t="shared" si="301"/>
        <v>1</v>
      </c>
      <c r="O1531" s="2">
        <f t="shared" si="302"/>
        <v>0</v>
      </c>
      <c r="P1531" s="112">
        <f t="shared" si="303"/>
        <v>2</v>
      </c>
      <c r="Q1531" s="112">
        <f t="shared" si="304"/>
        <v>0</v>
      </c>
      <c r="R1531" s="53"/>
      <c r="S1531" s="53" t="str">
        <f t="shared" si="305"/>
        <v>Characters|Characters Compound V Parallel|C-30|Compound V</v>
      </c>
      <c r="T1531" s="57" t="str">
        <f>IF($S1531="","",IFERROR(VLOOKUP($S1531,'Pop Estimates (Non-#d)'!$N$2:$O$500,2,FALSE),""))</f>
        <v/>
      </c>
      <c r="U1531" s="57">
        <f t="shared" si="306"/>
        <v>399</v>
      </c>
      <c r="V1531" s="53" t="str">
        <f t="shared" si="307"/>
        <v>Mesmer</v>
      </c>
      <c r="W1531" s="53" t="str">
        <f t="shared" si="308"/>
        <v>Mesmer</v>
      </c>
      <c r="X1531" s="53" t="str">
        <f t="shared" si="309"/>
        <v>Mesmer</v>
      </c>
      <c r="Y1531" s="57">
        <f>IF($X1531="","",IFERROR(VLOOKUP($X1531,'Char Popularity'!$A$2:$C$500,2,FALSE),""))</f>
        <v>2</v>
      </c>
      <c r="Z1531" s="56">
        <f>IF($X1531="",1,IFERROR(VLOOKUP($X1531,'Char Popularity'!$A$2:$C$500,3,FALSE),1))</f>
        <v>0.9</v>
      </c>
      <c r="AA1531" s="62">
        <f>IF($H1531&lt;&gt;"Y",0,(IF($F1531&lt;&gt;"",ROUND(Dashboard!$R$4/$F1531,1),IF(AND($I1531="Base",$E1531="Base"),Dashboard!$R$5,IF(AND($I1531="Base",$E1531="Red"),Dashboard!$R$6,IF(AND($I1531="Base",$E1531="Gold"),Dashboard!$R$7,VLOOKUP($I1531,Dashboard!$Q$16:$R$21,2,FALSE)))))*VLOOKUP($I1531,Dashboard!$Q$9:$R$13,2,FALSE)*IF(AND($I1531="Auto",$F1531="",OR($B1531="Autographs Duals",$B1531="Autographs Triples",$B1531="Autographs Quads",$B1531="Autographs Quads (Inscribed)")),IF($B1531="Autographs Duals",2,IF($B1531="Autographs Triples",3,4)),1)))</f>
        <v>2.5</v>
      </c>
      <c r="AB1531" s="62">
        <f t="shared" si="310"/>
        <v>2.5</v>
      </c>
      <c r="AC1531" s="62">
        <f t="shared" si="311"/>
        <v>0</v>
      </c>
    </row>
    <row r="1532" spans="1:29" ht="42.95" customHeight="1" x14ac:dyDescent="0.25">
      <c r="A1532" s="4" t="s">
        <v>21</v>
      </c>
      <c r="B1532" s="7" t="s">
        <v>89</v>
      </c>
      <c r="C1532" s="2" t="s">
        <v>426</v>
      </c>
      <c r="D1532" s="7" t="s">
        <v>250</v>
      </c>
      <c r="E1532" s="4" t="s">
        <v>778</v>
      </c>
      <c r="F1532" s="2">
        <v>399</v>
      </c>
      <c r="G1532" s="2" t="s">
        <v>1399</v>
      </c>
      <c r="H1532" s="2" t="s">
        <v>1400</v>
      </c>
      <c r="I1532" s="4" t="s">
        <v>60</v>
      </c>
      <c r="J1532" s="112">
        <f>IF($H1532&lt;&gt;"Y",0,ROUND(MIN(Dashboard!$R$24,IF(IFERROR(VLOOKUP($B1532,Dashboard!$Q$28:$S$60,2,FALSE),0)&gt;0,IFERROR(VLOOKUP($B1532,Dashboard!$Q$28:$S$60,2,FALSE),0),$Z1532*IF($U1532&lt;&gt;"",ROUND((Dashboard!$R$4/$U1532)*VLOOKUP($I1532,Dashboard!$Q$9:$R$13,2,FALSE)*IF(ISNUMBER(SEARCH("Duals",$B1532)),2,IF(ISNUMBER(SEARCH("Triples",$B1532)),3,IF(ISNUMBER(SEARCH("Quads",$B1532)),4,1))),2),ROUND(VLOOKUP($I1532,Dashboard!$Q$15:$R$20,2,FALSE)*IF($E1532="Red",Dashboard!$R$6,IF($E1532="Gold",Dashboard!$R$7,Dashboard!$R$5))*IF(ISNUMBER(SEARCH("Duals",$B1532)),2,IF(ISNUMBER(SEARCH("Triples",$B1532)),3,IF(ISNUMBER(SEARCH("Quads",$B1532)),4,1))),2))*IF(IFERROR(VLOOKUP($B1532,Dashboard!$Q$28:$S$60,3,FALSE),0)&gt;0,VLOOKUP($B1532,Dashboard!$Q$28:$S$60,3,FALSE),1))),0))</f>
        <v>3</v>
      </c>
      <c r="K1532" s="2" t="str">
        <f>IF(Characters!F32="","",Characters!F32)</f>
        <v>V</v>
      </c>
      <c r="L1532" s="2">
        <f t="shared" si="299"/>
        <v>1</v>
      </c>
      <c r="M1532" s="2">
        <f t="shared" si="300"/>
        <v>0</v>
      </c>
      <c r="N1532" s="2">
        <f t="shared" si="301"/>
        <v>1</v>
      </c>
      <c r="O1532" s="2">
        <f t="shared" si="302"/>
        <v>0</v>
      </c>
      <c r="P1532" s="112">
        <f t="shared" si="303"/>
        <v>3</v>
      </c>
      <c r="Q1532" s="112">
        <f t="shared" si="304"/>
        <v>0</v>
      </c>
      <c r="R1532" s="53"/>
      <c r="S1532" s="53" t="str">
        <f t="shared" si="305"/>
        <v>Characters|Characters Compound V Parallel|C-31|Compound V</v>
      </c>
      <c r="T1532" s="57" t="str">
        <f>IF($S1532="","",IFERROR(VLOOKUP($S1532,'Pop Estimates (Non-#d)'!$N$2:$O$500,2,FALSE),""))</f>
        <v/>
      </c>
      <c r="U1532" s="57">
        <f t="shared" si="306"/>
        <v>399</v>
      </c>
      <c r="V1532" s="53" t="str">
        <f t="shared" si="307"/>
        <v>Madelyn Stillwell</v>
      </c>
      <c r="W1532" s="53" t="str">
        <f t="shared" si="308"/>
        <v>Madelyn Stillwell</v>
      </c>
      <c r="X1532" s="53" t="str">
        <f t="shared" si="309"/>
        <v>Madelyn Stillwell</v>
      </c>
      <c r="Y1532" s="57">
        <f>IF($X1532="","",IFERROR(VLOOKUP($X1532,'Char Popularity'!$A$2:$C$500,2,FALSE),""))</f>
        <v>3</v>
      </c>
      <c r="Z1532" s="56">
        <f>IF($X1532="",1,IFERROR(VLOOKUP($X1532,'Char Popularity'!$A$2:$C$500,3,FALSE),1))</f>
        <v>1</v>
      </c>
      <c r="AA1532" s="62">
        <f>IF($H1532&lt;&gt;"Y",0,(IF($F1532&lt;&gt;"",ROUND(Dashboard!$R$4/$F1532,1),IF(AND($I1532="Base",$E1532="Base"),Dashboard!$R$5,IF(AND($I1532="Base",$E1532="Red"),Dashboard!$R$6,IF(AND($I1532="Base",$E1532="Gold"),Dashboard!$R$7,VLOOKUP($I1532,Dashboard!$Q$16:$R$21,2,FALSE)))))*VLOOKUP($I1532,Dashboard!$Q$9:$R$13,2,FALSE)*IF(AND($I1532="Auto",$F1532="",OR($B1532="Autographs Duals",$B1532="Autographs Triples",$B1532="Autographs Quads",$B1532="Autographs Quads (Inscribed)")),IF($B1532="Autographs Duals",2,IF($B1532="Autographs Triples",3,4)),1)))</f>
        <v>2.5</v>
      </c>
      <c r="AB1532" s="62">
        <f t="shared" si="310"/>
        <v>2.5</v>
      </c>
      <c r="AC1532" s="62">
        <f t="shared" si="311"/>
        <v>0</v>
      </c>
    </row>
    <row r="1533" spans="1:29" ht="42.95" customHeight="1" x14ac:dyDescent="0.25">
      <c r="A1533" s="4" t="s">
        <v>21</v>
      </c>
      <c r="B1533" s="7" t="s">
        <v>89</v>
      </c>
      <c r="C1533" s="2" t="s">
        <v>1242</v>
      </c>
      <c r="D1533" s="7" t="s">
        <v>1243</v>
      </c>
      <c r="E1533" s="4" t="s">
        <v>778</v>
      </c>
      <c r="F1533" s="2">
        <v>399</v>
      </c>
      <c r="G1533" s="2" t="s">
        <v>1399</v>
      </c>
      <c r="H1533" s="2" t="s">
        <v>1400</v>
      </c>
      <c r="I1533" s="4" t="s">
        <v>60</v>
      </c>
      <c r="J1533" s="112">
        <f>IF($H1533&lt;&gt;"Y",0,ROUND(MIN(Dashboard!$R$24,IF(IFERROR(VLOOKUP($B1533,Dashboard!$Q$28:$S$60,2,FALSE),0)&gt;0,IFERROR(VLOOKUP($B1533,Dashboard!$Q$28:$S$60,2,FALSE),0),$Z1533*IF($U1533&lt;&gt;"",ROUND((Dashboard!$R$4/$U1533)*VLOOKUP($I1533,Dashboard!$Q$9:$R$13,2,FALSE)*IF(ISNUMBER(SEARCH("Duals",$B1533)),2,IF(ISNUMBER(SEARCH("Triples",$B1533)),3,IF(ISNUMBER(SEARCH("Quads",$B1533)),4,1))),2),ROUND(VLOOKUP($I1533,Dashboard!$Q$15:$R$20,2,FALSE)*IF($E1533="Red",Dashboard!$R$6,IF($E1533="Gold",Dashboard!$R$7,Dashboard!$R$5))*IF(ISNUMBER(SEARCH("Duals",$B1533)),2,IF(ISNUMBER(SEARCH("Triples",$B1533)),3,IF(ISNUMBER(SEARCH("Quads",$B1533)),4,1))),2))*IF(IFERROR(VLOOKUP($B1533,Dashboard!$Q$28:$S$60,3,FALSE),0)&gt;0,VLOOKUP($B1533,Dashboard!$Q$28:$S$60,3,FALSE),1))),0))</f>
        <v>3</v>
      </c>
      <c r="K1533" s="2" t="str">
        <f>IF(Characters!F33="","",Characters!F33)</f>
        <v>V</v>
      </c>
      <c r="L1533" s="2">
        <f t="shared" si="299"/>
        <v>1</v>
      </c>
      <c r="M1533" s="2">
        <f t="shared" si="300"/>
        <v>0</v>
      </c>
      <c r="N1533" s="2">
        <f t="shared" si="301"/>
        <v>1</v>
      </c>
      <c r="O1533" s="2">
        <f t="shared" si="302"/>
        <v>0</v>
      </c>
      <c r="P1533" s="112">
        <f t="shared" si="303"/>
        <v>3</v>
      </c>
      <c r="Q1533" s="112">
        <f t="shared" si="304"/>
        <v>0</v>
      </c>
      <c r="R1533" s="53"/>
      <c r="S1533" s="53" t="str">
        <f t="shared" si="305"/>
        <v>Characters|Characters Compound V Parallel|C-32|Compound V</v>
      </c>
      <c r="T1533" s="57" t="str">
        <f>IF($S1533="","",IFERROR(VLOOKUP($S1533,'Pop Estimates (Non-#d)'!$N$2:$O$500,2,FALSE),""))</f>
        <v/>
      </c>
      <c r="U1533" s="57">
        <f t="shared" si="306"/>
        <v>399</v>
      </c>
      <c r="V1533" s="53" t="str">
        <f t="shared" si="307"/>
        <v/>
      </c>
      <c r="W1533" s="53" t="str">
        <f t="shared" si="308"/>
        <v/>
      </c>
      <c r="X1533" s="53" t="str">
        <f t="shared" si="309"/>
        <v/>
      </c>
      <c r="Y1533" s="57" t="str">
        <f>IF($X1533="","",IFERROR(VLOOKUP($X1533,'Char Popularity'!$A$2:$C$500,2,FALSE),""))</f>
        <v/>
      </c>
      <c r="Z1533" s="56">
        <f>IF($X1533="",1,IFERROR(VLOOKUP($X1533,'Char Popularity'!$A$2:$C$500,3,FALSE),1))</f>
        <v>1</v>
      </c>
      <c r="AA1533" s="62">
        <f>IF($H1533&lt;&gt;"Y",0,(IF($F1533&lt;&gt;"",ROUND(Dashboard!$R$4/$F1533,1),IF(AND($I1533="Base",$E1533="Base"),Dashboard!$R$5,IF(AND($I1533="Base",$E1533="Red"),Dashboard!$R$6,IF(AND($I1533="Base",$E1533="Gold"),Dashboard!$R$7,VLOOKUP($I1533,Dashboard!$Q$16:$R$21,2,FALSE)))))*VLOOKUP($I1533,Dashboard!$Q$9:$R$13,2,FALSE)*IF(AND($I1533="Auto",$F1533="",OR($B1533="Autographs Duals",$B1533="Autographs Triples",$B1533="Autographs Quads",$B1533="Autographs Quads (Inscribed)")),IF($B1533="Autographs Duals",2,IF($B1533="Autographs Triples",3,4)),1)))</f>
        <v>2.5</v>
      </c>
      <c r="AB1533" s="62">
        <f t="shared" si="310"/>
        <v>2.5</v>
      </c>
      <c r="AC1533" s="62">
        <f t="shared" si="311"/>
        <v>0</v>
      </c>
    </row>
    <row r="1534" spans="1:29" ht="42.95" customHeight="1" x14ac:dyDescent="0.25">
      <c r="A1534" s="4" t="s">
        <v>21</v>
      </c>
      <c r="B1534" s="7" t="s">
        <v>89</v>
      </c>
      <c r="C1534" s="2" t="s">
        <v>1244</v>
      </c>
      <c r="D1534" s="7" t="s">
        <v>1245</v>
      </c>
      <c r="E1534" s="4" t="s">
        <v>778</v>
      </c>
      <c r="F1534" s="2">
        <v>399</v>
      </c>
      <c r="G1534" s="2" t="s">
        <v>1399</v>
      </c>
      <c r="H1534" s="2" t="s">
        <v>1400</v>
      </c>
      <c r="I1534" s="4" t="s">
        <v>60</v>
      </c>
      <c r="J1534" s="112">
        <f>IF($H1534&lt;&gt;"Y",0,ROUND(MIN(Dashboard!$R$24,IF(IFERROR(VLOOKUP($B1534,Dashboard!$Q$28:$S$60,2,FALSE),0)&gt;0,IFERROR(VLOOKUP($B1534,Dashboard!$Q$28:$S$60,2,FALSE),0),$Z1534*IF($U1534&lt;&gt;"",ROUND((Dashboard!$R$4/$U1534)*VLOOKUP($I1534,Dashboard!$Q$9:$R$13,2,FALSE)*IF(ISNUMBER(SEARCH("Duals",$B1534)),2,IF(ISNUMBER(SEARCH("Triples",$B1534)),3,IF(ISNUMBER(SEARCH("Quads",$B1534)),4,1))),2),ROUND(VLOOKUP($I1534,Dashboard!$Q$15:$R$20,2,FALSE)*IF($E1534="Red",Dashboard!$R$6,IF($E1534="Gold",Dashboard!$R$7,Dashboard!$R$5))*IF(ISNUMBER(SEARCH("Duals",$B1534)),2,IF(ISNUMBER(SEARCH("Triples",$B1534)),3,IF(ISNUMBER(SEARCH("Quads",$B1534)),4,1))),2))*IF(IFERROR(VLOOKUP($B1534,Dashboard!$Q$28:$S$60,3,FALSE),0)&gt;0,VLOOKUP($B1534,Dashboard!$Q$28:$S$60,3,FALSE),1))),0))</f>
        <v>3</v>
      </c>
      <c r="K1534" s="2" t="str">
        <f>IF(Characters!F34="","",Characters!F34)</f>
        <v>V</v>
      </c>
      <c r="L1534" s="2">
        <f t="shared" si="299"/>
        <v>1</v>
      </c>
      <c r="M1534" s="2">
        <f t="shared" si="300"/>
        <v>0</v>
      </c>
      <c r="N1534" s="2">
        <f t="shared" si="301"/>
        <v>1</v>
      </c>
      <c r="O1534" s="2">
        <f t="shared" si="302"/>
        <v>0</v>
      </c>
      <c r="P1534" s="112">
        <f t="shared" si="303"/>
        <v>3</v>
      </c>
      <c r="Q1534" s="112">
        <f t="shared" si="304"/>
        <v>0</v>
      </c>
      <c r="R1534" s="53"/>
      <c r="S1534" s="53" t="str">
        <f t="shared" si="305"/>
        <v>Characters|Characters Compound V Parallel|C-33|Compound V</v>
      </c>
      <c r="T1534" s="57" t="str">
        <f>IF($S1534="","",IFERROR(VLOOKUP($S1534,'Pop Estimates (Non-#d)'!$N$2:$O$500,2,FALSE),""))</f>
        <v/>
      </c>
      <c r="U1534" s="57">
        <f t="shared" si="306"/>
        <v>399</v>
      </c>
      <c r="V1534" s="53" t="str">
        <f t="shared" si="307"/>
        <v>Eagle the Archer</v>
      </c>
      <c r="W1534" s="53" t="str">
        <f t="shared" si="308"/>
        <v>Eagle the Archer</v>
      </c>
      <c r="X1534" s="53" t="str">
        <f t="shared" si="309"/>
        <v>Eagle the Archer</v>
      </c>
      <c r="Y1534" s="57">
        <f>IF($X1534="","",IFERROR(VLOOKUP($X1534,'Char Popularity'!$A$2:$C$500,2,FALSE),""))</f>
        <v>3</v>
      </c>
      <c r="Z1534" s="56">
        <f>IF($X1534="",1,IFERROR(VLOOKUP($X1534,'Char Popularity'!$A$2:$C$500,3,FALSE),1))</f>
        <v>1</v>
      </c>
      <c r="AA1534" s="62">
        <f>IF($H1534&lt;&gt;"Y",0,(IF($F1534&lt;&gt;"",ROUND(Dashboard!$R$4/$F1534,1),IF(AND($I1534="Base",$E1534="Base"),Dashboard!$R$5,IF(AND($I1534="Base",$E1534="Red"),Dashboard!$R$6,IF(AND($I1534="Base",$E1534="Gold"),Dashboard!$R$7,VLOOKUP($I1534,Dashboard!$Q$16:$R$21,2,FALSE)))))*VLOOKUP($I1534,Dashboard!$Q$9:$R$13,2,FALSE)*IF(AND($I1534="Auto",$F1534="",OR($B1534="Autographs Duals",$B1534="Autographs Triples",$B1534="Autographs Quads",$B1534="Autographs Quads (Inscribed)")),IF($B1534="Autographs Duals",2,IF($B1534="Autographs Triples",3,4)),1)))</f>
        <v>2.5</v>
      </c>
      <c r="AB1534" s="62">
        <f t="shared" si="310"/>
        <v>2.5</v>
      </c>
      <c r="AC1534" s="62">
        <f t="shared" si="311"/>
        <v>0</v>
      </c>
    </row>
    <row r="1535" spans="1:29" ht="42.95" customHeight="1" x14ac:dyDescent="0.25">
      <c r="A1535" s="4" t="s">
        <v>21</v>
      </c>
      <c r="B1535" s="7" t="s">
        <v>89</v>
      </c>
      <c r="C1535" s="2" t="s">
        <v>1247</v>
      </c>
      <c r="D1535" s="7" t="s">
        <v>1248</v>
      </c>
      <c r="E1535" s="4" t="s">
        <v>778</v>
      </c>
      <c r="F1535" s="2">
        <v>399</v>
      </c>
      <c r="G1535" s="2" t="s">
        <v>1399</v>
      </c>
      <c r="H1535" s="2" t="s">
        <v>1400</v>
      </c>
      <c r="I1535" s="4" t="s">
        <v>60</v>
      </c>
      <c r="J1535" s="112">
        <f>IF($H1535&lt;&gt;"Y",0,ROUND(MIN(Dashboard!$R$24,IF(IFERROR(VLOOKUP($B1535,Dashboard!$Q$28:$S$60,2,FALSE),0)&gt;0,IFERROR(VLOOKUP($B1535,Dashboard!$Q$28:$S$60,2,FALSE),0),$Z1535*IF($U1535&lt;&gt;"",ROUND((Dashboard!$R$4/$U1535)*VLOOKUP($I1535,Dashboard!$Q$9:$R$13,2,FALSE)*IF(ISNUMBER(SEARCH("Duals",$B1535)),2,IF(ISNUMBER(SEARCH("Triples",$B1535)),3,IF(ISNUMBER(SEARCH("Quads",$B1535)),4,1))),2),ROUND(VLOOKUP($I1535,Dashboard!$Q$15:$R$20,2,FALSE)*IF($E1535="Red",Dashboard!$R$6,IF($E1535="Gold",Dashboard!$R$7,Dashboard!$R$5))*IF(ISNUMBER(SEARCH("Duals",$B1535)),2,IF(ISNUMBER(SEARCH("Triples",$B1535)),3,IF(ISNUMBER(SEARCH("Quads",$B1535)),4,1))),2))*IF(IFERROR(VLOOKUP($B1535,Dashboard!$Q$28:$S$60,3,FALSE),0)&gt;0,VLOOKUP($B1535,Dashboard!$Q$28:$S$60,3,FALSE),1))),0))</f>
        <v>3</v>
      </c>
      <c r="K1535" s="2" t="str">
        <f>IF(Characters!F35="","",Characters!F35)</f>
        <v>C</v>
      </c>
      <c r="L1535" s="2">
        <f t="shared" si="299"/>
        <v>1</v>
      </c>
      <c r="M1535" s="2">
        <f t="shared" si="300"/>
        <v>0</v>
      </c>
      <c r="N1535" s="2">
        <f t="shared" si="301"/>
        <v>1</v>
      </c>
      <c r="O1535" s="2">
        <f t="shared" si="302"/>
        <v>0</v>
      </c>
      <c r="P1535" s="112">
        <f t="shared" si="303"/>
        <v>3</v>
      </c>
      <c r="Q1535" s="112">
        <f t="shared" si="304"/>
        <v>0</v>
      </c>
      <c r="R1535" s="53"/>
      <c r="S1535" s="53" t="str">
        <f t="shared" si="305"/>
        <v>Characters|Characters Compound V Parallel|C-34|Compound V</v>
      </c>
      <c r="T1535" s="57" t="str">
        <f>IF($S1535="","",IFERROR(VLOOKUP($S1535,'Pop Estimates (Non-#d)'!$N$2:$O$500,2,FALSE),""))</f>
        <v/>
      </c>
      <c r="U1535" s="57">
        <f t="shared" si="306"/>
        <v>399</v>
      </c>
      <c r="V1535" s="53" t="str">
        <f t="shared" si="307"/>
        <v>Carol</v>
      </c>
      <c r="W1535" s="53" t="str">
        <f t="shared" si="308"/>
        <v>Carol</v>
      </c>
      <c r="X1535" s="53" t="str">
        <f t="shared" si="309"/>
        <v>Carol</v>
      </c>
      <c r="Y1535" s="57">
        <f>IF($X1535="","",IFERROR(VLOOKUP($X1535,'Char Popularity'!$A$2:$C$500,2,FALSE),""))</f>
        <v>3</v>
      </c>
      <c r="Z1535" s="56">
        <f>IF($X1535="",1,IFERROR(VLOOKUP($X1535,'Char Popularity'!$A$2:$C$500,3,FALSE),1))</f>
        <v>1</v>
      </c>
      <c r="AA1535" s="62">
        <f>IF($H1535&lt;&gt;"Y",0,(IF($F1535&lt;&gt;"",ROUND(Dashboard!$R$4/$F1535,1),IF(AND($I1535="Base",$E1535="Base"),Dashboard!$R$5,IF(AND($I1535="Base",$E1535="Red"),Dashboard!$R$6,IF(AND($I1535="Base",$E1535="Gold"),Dashboard!$R$7,VLOOKUP($I1535,Dashboard!$Q$16:$R$21,2,FALSE)))))*VLOOKUP($I1535,Dashboard!$Q$9:$R$13,2,FALSE)*IF(AND($I1535="Auto",$F1535="",OR($B1535="Autographs Duals",$B1535="Autographs Triples",$B1535="Autographs Quads",$B1535="Autographs Quads (Inscribed)")),IF($B1535="Autographs Duals",2,IF($B1535="Autographs Triples",3,4)),1)))</f>
        <v>2.5</v>
      </c>
      <c r="AB1535" s="62">
        <f t="shared" si="310"/>
        <v>2.5</v>
      </c>
      <c r="AC1535" s="62">
        <f t="shared" si="311"/>
        <v>0</v>
      </c>
    </row>
    <row r="1536" spans="1:29" ht="42.95" customHeight="1" x14ac:dyDescent="0.25">
      <c r="A1536" s="4" t="s">
        <v>21</v>
      </c>
      <c r="B1536" s="7" t="s">
        <v>89</v>
      </c>
      <c r="C1536" s="2" t="s">
        <v>1250</v>
      </c>
      <c r="D1536" s="7" t="s">
        <v>1251</v>
      </c>
      <c r="E1536" s="4" t="s">
        <v>778</v>
      </c>
      <c r="F1536" s="2">
        <v>399</v>
      </c>
      <c r="G1536" s="2" t="s">
        <v>1399</v>
      </c>
      <c r="H1536" s="2" t="s">
        <v>1400</v>
      </c>
      <c r="I1536" s="4" t="s">
        <v>60</v>
      </c>
      <c r="J1536" s="112">
        <f>IF($H1536&lt;&gt;"Y",0,ROUND(MIN(Dashboard!$R$24,IF(IFERROR(VLOOKUP($B1536,Dashboard!$Q$28:$S$60,2,FALSE),0)&gt;0,IFERROR(VLOOKUP($B1536,Dashboard!$Q$28:$S$60,2,FALSE),0),$Z1536*IF($U1536&lt;&gt;"",ROUND((Dashboard!$R$4/$U1536)*VLOOKUP($I1536,Dashboard!$Q$9:$R$13,2,FALSE)*IF(ISNUMBER(SEARCH("Duals",$B1536)),2,IF(ISNUMBER(SEARCH("Triples",$B1536)),3,IF(ISNUMBER(SEARCH("Quads",$B1536)),4,1))),2),ROUND(VLOOKUP($I1536,Dashboard!$Q$15:$R$20,2,FALSE)*IF($E1536="Red",Dashboard!$R$6,IF($E1536="Gold",Dashboard!$R$7,Dashboard!$R$5))*IF(ISNUMBER(SEARCH("Duals",$B1536)),2,IF(ISNUMBER(SEARCH("Triples",$B1536)),3,IF(ISNUMBER(SEARCH("Quads",$B1536)),4,1))),2))*IF(IFERROR(VLOOKUP($B1536,Dashboard!$Q$28:$S$60,3,FALSE),0)&gt;0,VLOOKUP($B1536,Dashboard!$Q$28:$S$60,3,FALSE),1))),0))</f>
        <v>2</v>
      </c>
      <c r="K1536" s="2" t="str">
        <f>IF(Characters!F36="","",Characters!F36)</f>
        <v>V</v>
      </c>
      <c r="L1536" s="2">
        <f t="shared" si="299"/>
        <v>1</v>
      </c>
      <c r="M1536" s="2">
        <f t="shared" si="300"/>
        <v>0</v>
      </c>
      <c r="N1536" s="2">
        <f t="shared" si="301"/>
        <v>1</v>
      </c>
      <c r="O1536" s="2">
        <f t="shared" si="302"/>
        <v>0</v>
      </c>
      <c r="P1536" s="112">
        <f t="shared" si="303"/>
        <v>2</v>
      </c>
      <c r="Q1536" s="112">
        <f t="shared" si="304"/>
        <v>0</v>
      </c>
      <c r="R1536" s="53"/>
      <c r="S1536" s="53" t="str">
        <f t="shared" si="305"/>
        <v>Characters|Characters Compound V Parallel|C-35|Compound V</v>
      </c>
      <c r="T1536" s="57" t="str">
        <f>IF($S1536="","",IFERROR(VLOOKUP($S1536,'Pop Estimates (Non-#d)'!$N$2:$O$500,2,FALSE),""))</f>
        <v/>
      </c>
      <c r="U1536" s="57">
        <f t="shared" si="306"/>
        <v>399</v>
      </c>
      <c r="V1536" s="53" t="str">
        <f t="shared" si="307"/>
        <v>Kenji Miyashiro</v>
      </c>
      <c r="W1536" s="53" t="str">
        <f t="shared" si="308"/>
        <v>Kenji Miyashiro</v>
      </c>
      <c r="X1536" s="53" t="str">
        <f t="shared" si="309"/>
        <v>Kenji Miyashiro</v>
      </c>
      <c r="Y1536" s="57">
        <f>IF($X1536="","",IFERROR(VLOOKUP($X1536,'Char Popularity'!$A$2:$C$500,2,FALSE),""))</f>
        <v>2</v>
      </c>
      <c r="Z1536" s="56">
        <f>IF($X1536="",1,IFERROR(VLOOKUP($X1536,'Char Popularity'!$A$2:$C$500,3,FALSE),1))</f>
        <v>0.9</v>
      </c>
      <c r="AA1536" s="62">
        <f>IF($H1536&lt;&gt;"Y",0,(IF($F1536&lt;&gt;"",ROUND(Dashboard!$R$4/$F1536,1),IF(AND($I1536="Base",$E1536="Base"),Dashboard!$R$5,IF(AND($I1536="Base",$E1536="Red"),Dashboard!$R$6,IF(AND($I1536="Base",$E1536="Gold"),Dashboard!$R$7,VLOOKUP($I1536,Dashboard!$Q$16:$R$21,2,FALSE)))))*VLOOKUP($I1536,Dashboard!$Q$9:$R$13,2,FALSE)*IF(AND($I1536="Auto",$F1536="",OR($B1536="Autographs Duals",$B1536="Autographs Triples",$B1536="Autographs Quads",$B1536="Autographs Quads (Inscribed)")),IF($B1536="Autographs Duals",2,IF($B1536="Autographs Triples",3,4)),1)))</f>
        <v>2.5</v>
      </c>
      <c r="AB1536" s="62">
        <f t="shared" si="310"/>
        <v>2.5</v>
      </c>
      <c r="AC1536" s="62">
        <f t="shared" si="311"/>
        <v>0</v>
      </c>
    </row>
    <row r="1537" spans="1:29" ht="42.95" customHeight="1" x14ac:dyDescent="0.25">
      <c r="A1537" s="4" t="s">
        <v>21</v>
      </c>
      <c r="B1537" s="7" t="s">
        <v>89</v>
      </c>
      <c r="C1537" s="2" t="s">
        <v>1253</v>
      </c>
      <c r="D1537" s="7" t="s">
        <v>1254</v>
      </c>
      <c r="E1537" s="4" t="s">
        <v>778</v>
      </c>
      <c r="F1537" s="2">
        <v>399</v>
      </c>
      <c r="G1537" s="2" t="s">
        <v>1399</v>
      </c>
      <c r="H1537" s="2" t="s">
        <v>1400</v>
      </c>
      <c r="I1537" s="4" t="s">
        <v>60</v>
      </c>
      <c r="J1537" s="112">
        <f>IF($H1537&lt;&gt;"Y",0,ROUND(MIN(Dashboard!$R$24,IF(IFERROR(VLOOKUP($B1537,Dashboard!$Q$28:$S$60,2,FALSE),0)&gt;0,IFERROR(VLOOKUP($B1537,Dashboard!$Q$28:$S$60,2,FALSE),0),$Z1537*IF($U1537&lt;&gt;"",ROUND((Dashboard!$R$4/$U1537)*VLOOKUP($I1537,Dashboard!$Q$9:$R$13,2,FALSE)*IF(ISNUMBER(SEARCH("Duals",$B1537)),2,IF(ISNUMBER(SEARCH("Triples",$B1537)),3,IF(ISNUMBER(SEARCH("Quads",$B1537)),4,1))),2),ROUND(VLOOKUP($I1537,Dashboard!$Q$15:$R$20,2,FALSE)*IF($E1537="Red",Dashboard!$R$6,IF($E1537="Gold",Dashboard!$R$7,Dashboard!$R$5))*IF(ISNUMBER(SEARCH("Duals",$B1537)),2,IF(ISNUMBER(SEARCH("Triples",$B1537)),3,IF(ISNUMBER(SEARCH("Quads",$B1537)),4,1))),2))*IF(IFERROR(VLOOKUP($B1537,Dashboard!$Q$28:$S$60,3,FALSE),0)&gt;0,VLOOKUP($B1537,Dashboard!$Q$28:$S$60,3,FALSE),1))),0))</f>
        <v>3</v>
      </c>
      <c r="K1537" s="2" t="str">
        <f>IF(Characters!F37="","",Characters!F37)</f>
        <v>V</v>
      </c>
      <c r="L1537" s="2">
        <f t="shared" si="299"/>
        <v>1</v>
      </c>
      <c r="M1537" s="2">
        <f t="shared" si="300"/>
        <v>0</v>
      </c>
      <c r="N1537" s="2">
        <f t="shared" si="301"/>
        <v>1</v>
      </c>
      <c r="O1537" s="2">
        <f t="shared" si="302"/>
        <v>0</v>
      </c>
      <c r="P1537" s="112">
        <f t="shared" si="303"/>
        <v>3</v>
      </c>
      <c r="Q1537" s="112">
        <f t="shared" si="304"/>
        <v>0</v>
      </c>
      <c r="R1537" s="53"/>
      <c r="S1537" s="53" t="str">
        <f t="shared" si="305"/>
        <v>Characters|Characters Compound V Parallel|C-36|Compound V</v>
      </c>
      <c r="T1537" s="57" t="str">
        <f>IF($S1537="","",IFERROR(VLOOKUP($S1537,'Pop Estimates (Non-#d)'!$N$2:$O$500,2,FALSE),""))</f>
        <v/>
      </c>
      <c r="U1537" s="57">
        <f t="shared" si="306"/>
        <v>399</v>
      </c>
      <c r="V1537" s="53" t="str">
        <f t="shared" si="307"/>
        <v>Elena</v>
      </c>
      <c r="W1537" s="53" t="str">
        <f t="shared" si="308"/>
        <v>Elena</v>
      </c>
      <c r="X1537" s="53" t="str">
        <f t="shared" si="309"/>
        <v>Elena</v>
      </c>
      <c r="Y1537" s="57">
        <f>IF($X1537="","",IFERROR(VLOOKUP($X1537,'Char Popularity'!$A$2:$C$500,2,FALSE),""))</f>
        <v>3</v>
      </c>
      <c r="Z1537" s="56">
        <f>IF($X1537="",1,IFERROR(VLOOKUP($X1537,'Char Popularity'!$A$2:$C$500,3,FALSE),1))</f>
        <v>1</v>
      </c>
      <c r="AA1537" s="62">
        <f>IF($H1537&lt;&gt;"Y",0,(IF($F1537&lt;&gt;"",ROUND(Dashboard!$R$4/$F1537,1),IF(AND($I1537="Base",$E1537="Base"),Dashboard!$R$5,IF(AND($I1537="Base",$E1537="Red"),Dashboard!$R$6,IF(AND($I1537="Base",$E1537="Gold"),Dashboard!$R$7,VLOOKUP($I1537,Dashboard!$Q$16:$R$21,2,FALSE)))))*VLOOKUP($I1537,Dashboard!$Q$9:$R$13,2,FALSE)*IF(AND($I1537="Auto",$F1537="",OR($B1537="Autographs Duals",$B1537="Autographs Triples",$B1537="Autographs Quads",$B1537="Autographs Quads (Inscribed)")),IF($B1537="Autographs Duals",2,IF($B1537="Autographs Triples",3,4)),1)))</f>
        <v>2.5</v>
      </c>
      <c r="AB1537" s="62">
        <f t="shared" si="310"/>
        <v>2.5</v>
      </c>
      <c r="AC1537" s="62">
        <f t="shared" si="311"/>
        <v>0</v>
      </c>
    </row>
    <row r="1538" spans="1:29" ht="42.95" customHeight="1" x14ac:dyDescent="0.25">
      <c r="A1538" s="4" t="s">
        <v>21</v>
      </c>
      <c r="B1538" s="7" t="s">
        <v>89</v>
      </c>
      <c r="C1538" s="2" t="s">
        <v>1255</v>
      </c>
      <c r="D1538" s="7" t="s">
        <v>1256</v>
      </c>
      <c r="E1538" s="4" t="s">
        <v>778</v>
      </c>
      <c r="F1538" s="2">
        <v>399</v>
      </c>
      <c r="G1538" s="2" t="s">
        <v>1399</v>
      </c>
      <c r="H1538" s="2" t="s">
        <v>1400</v>
      </c>
      <c r="I1538" s="4" t="s">
        <v>60</v>
      </c>
      <c r="J1538" s="112">
        <f>IF($H1538&lt;&gt;"Y",0,ROUND(MIN(Dashboard!$R$24,IF(IFERROR(VLOOKUP($B1538,Dashboard!$Q$28:$S$60,2,FALSE),0)&gt;0,IFERROR(VLOOKUP($B1538,Dashboard!$Q$28:$S$60,2,FALSE),0),$Z1538*IF($U1538&lt;&gt;"",ROUND((Dashboard!$R$4/$U1538)*VLOOKUP($I1538,Dashboard!$Q$9:$R$13,2,FALSE)*IF(ISNUMBER(SEARCH("Duals",$B1538)),2,IF(ISNUMBER(SEARCH("Triples",$B1538)),3,IF(ISNUMBER(SEARCH("Quads",$B1538)),4,1))),2),ROUND(VLOOKUP($I1538,Dashboard!$Q$15:$R$20,2,FALSE)*IF($E1538="Red",Dashboard!$R$6,IF($E1538="Gold",Dashboard!$R$7,Dashboard!$R$5))*IF(ISNUMBER(SEARCH("Duals",$B1538)),2,IF(ISNUMBER(SEARCH("Triples",$B1538)),3,IF(ISNUMBER(SEARCH("Quads",$B1538)),4,1))),2))*IF(IFERROR(VLOOKUP($B1538,Dashboard!$Q$28:$S$60,3,FALSE),0)&gt;0,VLOOKUP($B1538,Dashboard!$Q$28:$S$60,3,FALSE),1))),0))</f>
        <v>2</v>
      </c>
      <c r="K1538" s="2" t="str">
        <f>IF(Characters!F38="","",Characters!F38)</f>
        <v>V</v>
      </c>
      <c r="L1538" s="2">
        <f t="shared" ref="L1538:L1601" si="312">IF(AND($K1538&lt;&gt;"",LEFT($K1538,1)&lt;&gt;"Y"),1,0)</f>
        <v>1</v>
      </c>
      <c r="M1538" s="2">
        <f t="shared" ref="M1538:M1601" si="313">IF(LEFT($K1538,1)="Y",1,0)</f>
        <v>0</v>
      </c>
      <c r="N1538" s="2">
        <f t="shared" ref="N1538:N1601" si="314">$L1538+$M1538</f>
        <v>1</v>
      </c>
      <c r="O1538" s="2">
        <f t="shared" ref="O1538:O1601" si="315">IF($H1538="Y",1-$N1538,0)</f>
        <v>0</v>
      </c>
      <c r="P1538" s="112">
        <f t="shared" ref="P1538:P1601" si="316">IF($L1538=1,$J1538,0)</f>
        <v>2</v>
      </c>
      <c r="Q1538" s="112">
        <f t="shared" ref="Q1538:Q1601" si="317">IF($M1538=1,$J1538,0)</f>
        <v>0</v>
      </c>
      <c r="R1538" s="53"/>
      <c r="S1538" s="53" t="str">
        <f t="shared" ref="S1538:S1601" si="318">IF($A1538="","",$A1538&amp;"|"&amp;$B1538&amp;"|"&amp;$C1538&amp;"|"&amp;$E1538)</f>
        <v>Characters|Characters Compound V Parallel|C-37|Compound V</v>
      </c>
      <c r="T1538" s="57" t="str">
        <f>IF($S1538="","",IFERROR(VLOOKUP($S1538,'Pop Estimates (Non-#d)'!$N$2:$O$500,2,FALSE),""))</f>
        <v/>
      </c>
      <c r="U1538" s="57">
        <f t="shared" ref="U1538:U1601" si="319">IF($A1538="","",IF($F1538&lt;&gt;"",$F1538,$T1538))</f>
        <v>399</v>
      </c>
      <c r="V1538" s="53" t="str">
        <f t="shared" ref="V1538:V1601" si="320">IF($A1538="","",IF(ISNUMBER(SEARCH(" as ",$D1538)),MID($D1538,SEARCH(" as ",$D1538)+4,255),IF(ISNUMBER(SEARCH("/",$D1538)),LEFT($D1538,FIND("/",$D1538&amp;"/")-1),"")))</f>
        <v>Nathan Franklin</v>
      </c>
      <c r="W1538" s="53" t="str">
        <f t="shared" ref="W1538:W1601" si="321">IF($V1538="","",TRIM(IFERROR(MID($V1538,SEARCH("(", $V1538)+1,SEARCH(")",$V1538)-SEARCH("(", $V1538)-1),$V1538)))</f>
        <v>Nathan Franklin</v>
      </c>
      <c r="X1538" s="53" t="str">
        <f t="shared" ref="X1538:X1601" si="322">IF($W1538="","",TRIM(LEFT($W1538&amp;"""",FIND("""",$W1538&amp;"""")-1)))</f>
        <v>Nathan Franklin</v>
      </c>
      <c r="Y1538" s="57">
        <f>IF($X1538="","",IFERROR(VLOOKUP($X1538,'Char Popularity'!$A$2:$C$500,2,FALSE),""))</f>
        <v>2</v>
      </c>
      <c r="Z1538" s="56">
        <f>IF($X1538="",1,IFERROR(VLOOKUP($X1538,'Char Popularity'!$A$2:$C$500,3,FALSE),1))</f>
        <v>0.9</v>
      </c>
      <c r="AA1538" s="62">
        <f>IF($H1538&lt;&gt;"Y",0,(IF($F1538&lt;&gt;"",ROUND(Dashboard!$R$4/$F1538,1),IF(AND($I1538="Base",$E1538="Base"),Dashboard!$R$5,IF(AND($I1538="Base",$E1538="Red"),Dashboard!$R$6,IF(AND($I1538="Base",$E1538="Gold"),Dashboard!$R$7,VLOOKUP($I1538,Dashboard!$Q$16:$R$21,2,FALSE)))))*VLOOKUP($I1538,Dashboard!$Q$9:$R$13,2,FALSE)*IF(AND($I1538="Auto",$F1538="",OR($B1538="Autographs Duals",$B1538="Autographs Triples",$B1538="Autographs Quads",$B1538="Autographs Quads (Inscribed)")),IF($B1538="Autographs Duals",2,IF($B1538="Autographs Triples",3,4)),1)))</f>
        <v>2.5</v>
      </c>
      <c r="AB1538" s="62">
        <f t="shared" ref="AB1538:AB1601" si="323">IF($L1538=1,$AA1538,0)</f>
        <v>2.5</v>
      </c>
      <c r="AC1538" s="62">
        <f t="shared" ref="AC1538:AC1601" si="324">IF($M1538=1,$AA1538,0)</f>
        <v>0</v>
      </c>
    </row>
    <row r="1539" spans="1:29" ht="42.95" customHeight="1" x14ac:dyDescent="0.25">
      <c r="A1539" s="4" t="s">
        <v>21</v>
      </c>
      <c r="B1539" s="7" t="s">
        <v>89</v>
      </c>
      <c r="C1539" s="2" t="s">
        <v>1257</v>
      </c>
      <c r="D1539" s="7" t="s">
        <v>1235</v>
      </c>
      <c r="E1539" s="4" t="s">
        <v>778</v>
      </c>
      <c r="F1539" s="2">
        <v>399</v>
      </c>
      <c r="G1539" s="2" t="s">
        <v>1399</v>
      </c>
      <c r="H1539" s="2" t="s">
        <v>1400</v>
      </c>
      <c r="I1539" s="4" t="s">
        <v>60</v>
      </c>
      <c r="J1539" s="112">
        <f>IF($H1539&lt;&gt;"Y",0,ROUND(MIN(Dashboard!$R$24,IF(IFERROR(VLOOKUP($B1539,Dashboard!$Q$28:$S$60,2,FALSE),0)&gt;0,IFERROR(VLOOKUP($B1539,Dashboard!$Q$28:$S$60,2,FALSE),0),$Z1539*IF($U1539&lt;&gt;"",ROUND((Dashboard!$R$4/$U1539)*VLOOKUP($I1539,Dashboard!$Q$9:$R$13,2,FALSE)*IF(ISNUMBER(SEARCH("Duals",$B1539)),2,IF(ISNUMBER(SEARCH("Triples",$B1539)),3,IF(ISNUMBER(SEARCH("Quads",$B1539)),4,1))),2),ROUND(VLOOKUP($I1539,Dashboard!$Q$15:$R$20,2,FALSE)*IF($E1539="Red",Dashboard!$R$6,IF($E1539="Gold",Dashboard!$R$7,Dashboard!$R$5))*IF(ISNUMBER(SEARCH("Duals",$B1539)),2,IF(ISNUMBER(SEARCH("Triples",$B1539)),3,IF(ISNUMBER(SEARCH("Quads",$B1539)),4,1))),2))*IF(IFERROR(VLOOKUP($B1539,Dashboard!$Q$28:$S$60,3,FALSE),0)&gt;0,VLOOKUP($B1539,Dashboard!$Q$28:$S$60,3,FALSE),1))),0))</f>
        <v>3</v>
      </c>
      <c r="K1539" s="2" t="str">
        <f>IF(Characters!F39="","",Characters!F39)</f>
        <v>V</v>
      </c>
      <c r="L1539" s="2">
        <f t="shared" si="312"/>
        <v>1</v>
      </c>
      <c r="M1539" s="2">
        <f t="shared" si="313"/>
        <v>0</v>
      </c>
      <c r="N1539" s="2">
        <f t="shared" si="314"/>
        <v>1</v>
      </c>
      <c r="O1539" s="2">
        <f t="shared" si="315"/>
        <v>0</v>
      </c>
      <c r="P1539" s="112">
        <f t="shared" si="316"/>
        <v>3</v>
      </c>
      <c r="Q1539" s="112">
        <f t="shared" si="317"/>
        <v>0</v>
      </c>
      <c r="R1539" s="53"/>
      <c r="S1539" s="53" t="str">
        <f t="shared" si="318"/>
        <v>Characters|Characters Compound V Parallel|C-38|Compound V</v>
      </c>
      <c r="T1539" s="57" t="str">
        <f>IF($S1539="","",IFERROR(VLOOKUP($S1539,'Pop Estimates (Non-#d)'!$N$2:$O$500,2,FALSE),""))</f>
        <v/>
      </c>
      <c r="U1539" s="57">
        <f t="shared" si="319"/>
        <v>399</v>
      </c>
      <c r="V1539" s="53" t="str">
        <f t="shared" si="320"/>
        <v>Hughie Campbell Sr.</v>
      </c>
      <c r="W1539" s="53" t="str">
        <f t="shared" si="321"/>
        <v>Hughie Campbell Sr.</v>
      </c>
      <c r="X1539" s="53" t="str">
        <f t="shared" si="322"/>
        <v>Hughie Campbell Sr.</v>
      </c>
      <c r="Y1539" s="57">
        <f>IF($X1539="","",IFERROR(VLOOKUP($X1539,'Char Popularity'!$A$2:$C$500,2,FALSE),""))</f>
        <v>3</v>
      </c>
      <c r="Z1539" s="56">
        <f>IF($X1539="",1,IFERROR(VLOOKUP($X1539,'Char Popularity'!$A$2:$C$500,3,FALSE),1))</f>
        <v>1</v>
      </c>
      <c r="AA1539" s="62">
        <f>IF($H1539&lt;&gt;"Y",0,(IF($F1539&lt;&gt;"",ROUND(Dashboard!$R$4/$F1539,1),IF(AND($I1539="Base",$E1539="Base"),Dashboard!$R$5,IF(AND($I1539="Base",$E1539="Red"),Dashboard!$R$6,IF(AND($I1539="Base",$E1539="Gold"),Dashboard!$R$7,VLOOKUP($I1539,Dashboard!$Q$16:$R$21,2,FALSE)))))*VLOOKUP($I1539,Dashboard!$Q$9:$R$13,2,FALSE)*IF(AND($I1539="Auto",$F1539="",OR($B1539="Autographs Duals",$B1539="Autographs Triples",$B1539="Autographs Quads",$B1539="Autographs Quads (Inscribed)")),IF($B1539="Autographs Duals",2,IF($B1539="Autographs Triples",3,4)),1)))</f>
        <v>2.5</v>
      </c>
      <c r="AB1539" s="62">
        <f t="shared" si="323"/>
        <v>2.5</v>
      </c>
      <c r="AC1539" s="62">
        <f t="shared" si="324"/>
        <v>0</v>
      </c>
    </row>
    <row r="1540" spans="1:29" ht="42.95" customHeight="1" x14ac:dyDescent="0.25">
      <c r="A1540" s="4" t="s">
        <v>21</v>
      </c>
      <c r="B1540" s="7" t="s">
        <v>89</v>
      </c>
      <c r="C1540" s="2" t="s">
        <v>427</v>
      </c>
      <c r="D1540" s="7" t="s">
        <v>283</v>
      </c>
      <c r="E1540" s="4" t="s">
        <v>778</v>
      </c>
      <c r="F1540" s="2">
        <v>399</v>
      </c>
      <c r="G1540" s="2" t="s">
        <v>1399</v>
      </c>
      <c r="H1540" s="2" t="s">
        <v>1400</v>
      </c>
      <c r="I1540" s="4" t="s">
        <v>60</v>
      </c>
      <c r="J1540" s="112">
        <f>IF($H1540&lt;&gt;"Y",0,ROUND(MIN(Dashboard!$R$24,IF(IFERROR(VLOOKUP($B1540,Dashboard!$Q$28:$S$60,2,FALSE),0)&gt;0,IFERROR(VLOOKUP($B1540,Dashboard!$Q$28:$S$60,2,FALSE),0),$Z1540*IF($U1540&lt;&gt;"",ROUND((Dashboard!$R$4/$U1540)*VLOOKUP($I1540,Dashboard!$Q$9:$R$13,2,FALSE)*IF(ISNUMBER(SEARCH("Duals",$B1540)),2,IF(ISNUMBER(SEARCH("Triples",$B1540)),3,IF(ISNUMBER(SEARCH("Quads",$B1540)),4,1))),2),ROUND(VLOOKUP($I1540,Dashboard!$Q$15:$R$20,2,FALSE)*IF($E1540="Red",Dashboard!$R$6,IF($E1540="Gold",Dashboard!$R$7,Dashboard!$R$5))*IF(ISNUMBER(SEARCH("Duals",$B1540)),2,IF(ISNUMBER(SEARCH("Triples",$B1540)),3,IF(ISNUMBER(SEARCH("Quads",$B1540)),4,1))),2))*IF(IFERROR(VLOOKUP($B1540,Dashboard!$Q$28:$S$60,3,FALSE),0)&gt;0,VLOOKUP($B1540,Dashboard!$Q$28:$S$60,3,FALSE),1))),0))</f>
        <v>3</v>
      </c>
      <c r="K1540" s="2" t="str">
        <f>IF(Characters!F40="","",Characters!F40)</f>
        <v>V</v>
      </c>
      <c r="L1540" s="2">
        <f t="shared" si="312"/>
        <v>1</v>
      </c>
      <c r="M1540" s="2">
        <f t="shared" si="313"/>
        <v>0</v>
      </c>
      <c r="N1540" s="2">
        <f t="shared" si="314"/>
        <v>1</v>
      </c>
      <c r="O1540" s="2">
        <f t="shared" si="315"/>
        <v>0</v>
      </c>
      <c r="P1540" s="112">
        <f t="shared" si="316"/>
        <v>3</v>
      </c>
      <c r="Q1540" s="112">
        <f t="shared" si="317"/>
        <v>0</v>
      </c>
      <c r="R1540" s="53"/>
      <c r="S1540" s="53" t="str">
        <f t="shared" si="318"/>
        <v>Characters|Characters Compound V Parallel|C-39|Compound V</v>
      </c>
      <c r="T1540" s="57" t="str">
        <f>IF($S1540="","",IFERROR(VLOOKUP($S1540,'Pop Estimates (Non-#d)'!$N$2:$O$500,2,FALSE),""))</f>
        <v/>
      </c>
      <c r="U1540" s="57">
        <f t="shared" si="319"/>
        <v>399</v>
      </c>
      <c r="V1540" s="53" t="str">
        <f t="shared" si="320"/>
        <v>Black Noir</v>
      </c>
      <c r="W1540" s="53" t="str">
        <f t="shared" si="321"/>
        <v>Black Noir</v>
      </c>
      <c r="X1540" s="53" t="str">
        <f t="shared" si="322"/>
        <v>Black Noir</v>
      </c>
      <c r="Y1540" s="57">
        <f>IF($X1540="","",IFERROR(VLOOKUP($X1540,'Char Popularity'!$A$2:$C$500,2,FALSE),""))</f>
        <v>4</v>
      </c>
      <c r="Z1540" s="56">
        <f>IF($X1540="",1,IFERROR(VLOOKUP($X1540,'Char Popularity'!$A$2:$C$500,3,FALSE),1))</f>
        <v>1.1000000000000001</v>
      </c>
      <c r="AA1540" s="62">
        <f>IF($H1540&lt;&gt;"Y",0,(IF($F1540&lt;&gt;"",ROUND(Dashboard!$R$4/$F1540,1),IF(AND($I1540="Base",$E1540="Base"),Dashboard!$R$5,IF(AND($I1540="Base",$E1540="Red"),Dashboard!$R$6,IF(AND($I1540="Base",$E1540="Gold"),Dashboard!$R$7,VLOOKUP($I1540,Dashboard!$Q$16:$R$21,2,FALSE)))))*VLOOKUP($I1540,Dashboard!$Q$9:$R$13,2,FALSE)*IF(AND($I1540="Auto",$F1540="",OR($B1540="Autographs Duals",$B1540="Autographs Triples",$B1540="Autographs Quads",$B1540="Autographs Quads (Inscribed)")),IF($B1540="Autographs Duals",2,IF($B1540="Autographs Triples",3,4)),1)))</f>
        <v>2.5</v>
      </c>
      <c r="AB1540" s="62">
        <f t="shared" si="323"/>
        <v>2.5</v>
      </c>
      <c r="AC1540" s="62">
        <f t="shared" si="324"/>
        <v>0</v>
      </c>
    </row>
    <row r="1541" spans="1:29" ht="42.95" customHeight="1" x14ac:dyDescent="0.25">
      <c r="A1541" s="4" t="s">
        <v>21</v>
      </c>
      <c r="B1541" s="7" t="s">
        <v>89</v>
      </c>
      <c r="C1541" s="2" t="s">
        <v>429</v>
      </c>
      <c r="D1541" s="7" t="s">
        <v>238</v>
      </c>
      <c r="E1541" s="4" t="s">
        <v>778</v>
      </c>
      <c r="F1541" s="2">
        <v>399</v>
      </c>
      <c r="G1541" s="2" t="s">
        <v>1399</v>
      </c>
      <c r="H1541" s="2" t="s">
        <v>1400</v>
      </c>
      <c r="I1541" s="4" t="s">
        <v>60</v>
      </c>
      <c r="J1541" s="112">
        <f>IF($H1541&lt;&gt;"Y",0,ROUND(MIN(Dashboard!$R$24,IF(IFERROR(VLOOKUP($B1541,Dashboard!$Q$28:$S$60,2,FALSE),0)&gt;0,IFERROR(VLOOKUP($B1541,Dashboard!$Q$28:$S$60,2,FALSE),0),$Z1541*IF($U1541&lt;&gt;"",ROUND((Dashboard!$R$4/$U1541)*VLOOKUP($I1541,Dashboard!$Q$9:$R$13,2,FALSE)*IF(ISNUMBER(SEARCH("Duals",$B1541)),2,IF(ISNUMBER(SEARCH("Triples",$B1541)),3,IF(ISNUMBER(SEARCH("Quads",$B1541)),4,1))),2),ROUND(VLOOKUP($I1541,Dashboard!$Q$15:$R$20,2,FALSE)*IF($E1541="Red",Dashboard!$R$6,IF($E1541="Gold",Dashboard!$R$7,Dashboard!$R$5))*IF(ISNUMBER(SEARCH("Duals",$B1541)),2,IF(ISNUMBER(SEARCH("Triples",$B1541)),3,IF(ISNUMBER(SEARCH("Quads",$B1541)),4,1))),2))*IF(IFERROR(VLOOKUP($B1541,Dashboard!$Q$28:$S$60,3,FALSE),0)&gt;0,VLOOKUP($B1541,Dashboard!$Q$28:$S$60,3,FALSE),1))),0))</f>
        <v>3</v>
      </c>
      <c r="K1541" s="2" t="str">
        <f>IF(Characters!F41="","",Characters!F41)</f>
        <v>C</v>
      </c>
      <c r="L1541" s="2">
        <f t="shared" si="312"/>
        <v>1</v>
      </c>
      <c r="M1541" s="2">
        <f t="shared" si="313"/>
        <v>0</v>
      </c>
      <c r="N1541" s="2">
        <f t="shared" si="314"/>
        <v>1</v>
      </c>
      <c r="O1541" s="2">
        <f t="shared" si="315"/>
        <v>0</v>
      </c>
      <c r="P1541" s="112">
        <f t="shared" si="316"/>
        <v>3</v>
      </c>
      <c r="Q1541" s="112">
        <f t="shared" si="317"/>
        <v>0</v>
      </c>
      <c r="R1541" s="53"/>
      <c r="S1541" s="53" t="str">
        <f t="shared" si="318"/>
        <v>Characters|Characters Compound V Parallel|C-40|Compound V</v>
      </c>
      <c r="T1541" s="57" t="str">
        <f>IF($S1541="","",IFERROR(VLOOKUP($S1541,'Pop Estimates (Non-#d)'!$N$2:$O$500,2,FALSE),""))</f>
        <v/>
      </c>
      <c r="U1541" s="57">
        <f t="shared" si="319"/>
        <v>399</v>
      </c>
      <c r="V1541" s="53" t="str">
        <f t="shared" si="320"/>
        <v>Frenchie</v>
      </c>
      <c r="W1541" s="53" t="str">
        <f t="shared" si="321"/>
        <v>Frenchie</v>
      </c>
      <c r="X1541" s="53" t="str">
        <f t="shared" si="322"/>
        <v>Frenchie</v>
      </c>
      <c r="Y1541" s="57">
        <f>IF($X1541="","",IFERROR(VLOOKUP($X1541,'Char Popularity'!$A$2:$C$500,2,FALSE),""))</f>
        <v>4</v>
      </c>
      <c r="Z1541" s="56">
        <f>IF($X1541="",1,IFERROR(VLOOKUP($X1541,'Char Popularity'!$A$2:$C$500,3,FALSE),1))</f>
        <v>1.1000000000000001</v>
      </c>
      <c r="AA1541" s="62">
        <f>IF($H1541&lt;&gt;"Y",0,(IF($F1541&lt;&gt;"",ROUND(Dashboard!$R$4/$F1541,1),IF(AND($I1541="Base",$E1541="Base"),Dashboard!$R$5,IF(AND($I1541="Base",$E1541="Red"),Dashboard!$R$6,IF(AND($I1541="Base",$E1541="Gold"),Dashboard!$R$7,VLOOKUP($I1541,Dashboard!$Q$16:$R$21,2,FALSE)))))*VLOOKUP($I1541,Dashboard!$Q$9:$R$13,2,FALSE)*IF(AND($I1541="Auto",$F1541="",OR($B1541="Autographs Duals",$B1541="Autographs Triples",$B1541="Autographs Quads",$B1541="Autographs Quads (Inscribed)")),IF($B1541="Autographs Duals",2,IF($B1541="Autographs Triples",3,4)),1)))</f>
        <v>2.5</v>
      </c>
      <c r="AB1541" s="62">
        <f t="shared" si="323"/>
        <v>2.5</v>
      </c>
      <c r="AC1541" s="62">
        <f t="shared" si="324"/>
        <v>0</v>
      </c>
    </row>
    <row r="1542" spans="1:29" ht="42.95" customHeight="1" x14ac:dyDescent="0.25">
      <c r="A1542" s="4" t="s">
        <v>21</v>
      </c>
      <c r="B1542" s="7" t="s">
        <v>89</v>
      </c>
      <c r="C1542" s="2" t="s">
        <v>1260</v>
      </c>
      <c r="D1542" s="7" t="s">
        <v>539</v>
      </c>
      <c r="E1542" s="4" t="s">
        <v>778</v>
      </c>
      <c r="F1542" s="2">
        <v>399</v>
      </c>
      <c r="G1542" s="2" t="s">
        <v>1399</v>
      </c>
      <c r="H1542" s="2" t="s">
        <v>1400</v>
      </c>
      <c r="I1542" s="4" t="s">
        <v>60</v>
      </c>
      <c r="J1542" s="112">
        <f>IF($H1542&lt;&gt;"Y",0,ROUND(MIN(Dashboard!$R$24,IF(IFERROR(VLOOKUP($B1542,Dashboard!$Q$28:$S$60,2,FALSE),0)&gt;0,IFERROR(VLOOKUP($B1542,Dashboard!$Q$28:$S$60,2,FALSE),0),$Z1542*IF($U1542&lt;&gt;"",ROUND((Dashboard!$R$4/$U1542)*VLOOKUP($I1542,Dashboard!$Q$9:$R$13,2,FALSE)*IF(ISNUMBER(SEARCH("Duals",$B1542)),2,IF(ISNUMBER(SEARCH("Triples",$B1542)),3,IF(ISNUMBER(SEARCH("Quads",$B1542)),4,1))),2),ROUND(VLOOKUP($I1542,Dashboard!$Q$15:$R$20,2,FALSE)*IF($E1542="Red",Dashboard!$R$6,IF($E1542="Gold",Dashboard!$R$7,Dashboard!$R$5))*IF(ISNUMBER(SEARCH("Duals",$B1542)),2,IF(ISNUMBER(SEARCH("Triples",$B1542)),3,IF(ISNUMBER(SEARCH("Quads",$B1542)),4,1))),2))*IF(IFERROR(VLOOKUP($B1542,Dashboard!$Q$28:$S$60,3,FALSE),0)&gt;0,VLOOKUP($B1542,Dashboard!$Q$28:$S$60,3,FALSE),1))),0))</f>
        <v>3</v>
      </c>
      <c r="K1542" s="2" t="str">
        <f>IF(Characters!F42="","",Characters!F42)</f>
        <v>C</v>
      </c>
      <c r="L1542" s="2">
        <f t="shared" si="312"/>
        <v>1</v>
      </c>
      <c r="M1542" s="2">
        <f t="shared" si="313"/>
        <v>0</v>
      </c>
      <c r="N1542" s="2">
        <f t="shared" si="314"/>
        <v>1</v>
      </c>
      <c r="O1542" s="2">
        <f t="shared" si="315"/>
        <v>0</v>
      </c>
      <c r="P1542" s="112">
        <f t="shared" si="316"/>
        <v>3</v>
      </c>
      <c r="Q1542" s="112">
        <f t="shared" si="317"/>
        <v>0</v>
      </c>
      <c r="R1542" s="53"/>
      <c r="S1542" s="53" t="str">
        <f t="shared" si="318"/>
        <v>Characters|Characters Compound V Parallel|C-41|Compound V</v>
      </c>
      <c r="T1542" s="57" t="str">
        <f>IF($S1542="","",IFERROR(VLOOKUP($S1542,'Pop Estimates (Non-#d)'!$N$2:$O$500,2,FALSE),""))</f>
        <v/>
      </c>
      <c r="U1542" s="57">
        <f t="shared" si="319"/>
        <v>399</v>
      </c>
      <c r="V1542" s="53" t="str">
        <f t="shared" si="320"/>
        <v/>
      </c>
      <c r="W1542" s="53" t="str">
        <f t="shared" si="321"/>
        <v/>
      </c>
      <c r="X1542" s="53" t="str">
        <f t="shared" si="322"/>
        <v/>
      </c>
      <c r="Y1542" s="57" t="str">
        <f>IF($X1542="","",IFERROR(VLOOKUP($X1542,'Char Popularity'!$A$2:$C$500,2,FALSE),""))</f>
        <v/>
      </c>
      <c r="Z1542" s="56">
        <f>IF($X1542="",1,IFERROR(VLOOKUP($X1542,'Char Popularity'!$A$2:$C$500,3,FALSE),1))</f>
        <v>1</v>
      </c>
      <c r="AA1542" s="62">
        <f>IF($H1542&lt;&gt;"Y",0,(IF($F1542&lt;&gt;"",ROUND(Dashboard!$R$4/$F1542,1),IF(AND($I1542="Base",$E1542="Base"),Dashboard!$R$5,IF(AND($I1542="Base",$E1542="Red"),Dashboard!$R$6,IF(AND($I1542="Base",$E1542="Gold"),Dashboard!$R$7,VLOOKUP($I1542,Dashboard!$Q$16:$R$21,2,FALSE)))))*VLOOKUP($I1542,Dashboard!$Q$9:$R$13,2,FALSE)*IF(AND($I1542="Auto",$F1542="",OR($B1542="Autographs Duals",$B1542="Autographs Triples",$B1542="Autographs Quads",$B1542="Autographs Quads (Inscribed)")),IF($B1542="Autographs Duals",2,IF($B1542="Autographs Triples",3,4)),1)))</f>
        <v>2.5</v>
      </c>
      <c r="AB1542" s="62">
        <f t="shared" si="323"/>
        <v>2.5</v>
      </c>
      <c r="AC1542" s="62">
        <f t="shared" si="324"/>
        <v>0</v>
      </c>
    </row>
    <row r="1543" spans="1:29" ht="42.95" customHeight="1" x14ac:dyDescent="0.25">
      <c r="A1543" s="4" t="s">
        <v>21</v>
      </c>
      <c r="B1543" s="7" t="s">
        <v>89</v>
      </c>
      <c r="C1543" s="2" t="s">
        <v>430</v>
      </c>
      <c r="D1543" s="7" t="s">
        <v>288</v>
      </c>
      <c r="E1543" s="4" t="s">
        <v>778</v>
      </c>
      <c r="F1543" s="2">
        <v>399</v>
      </c>
      <c r="G1543" s="2" t="s">
        <v>1399</v>
      </c>
      <c r="H1543" s="2" t="s">
        <v>1400</v>
      </c>
      <c r="I1543" s="4" t="s">
        <v>60</v>
      </c>
      <c r="J1543" s="112">
        <f>IF($H1543&lt;&gt;"Y",0,ROUND(MIN(Dashboard!$R$24,IF(IFERROR(VLOOKUP($B1543,Dashboard!$Q$28:$S$60,2,FALSE),0)&gt;0,IFERROR(VLOOKUP($B1543,Dashboard!$Q$28:$S$60,2,FALSE),0),$Z1543*IF($U1543&lt;&gt;"",ROUND((Dashboard!$R$4/$U1543)*VLOOKUP($I1543,Dashboard!$Q$9:$R$13,2,FALSE)*IF(ISNUMBER(SEARCH("Duals",$B1543)),2,IF(ISNUMBER(SEARCH("Triples",$B1543)),3,IF(ISNUMBER(SEARCH("Quads",$B1543)),4,1))),2),ROUND(VLOOKUP($I1543,Dashboard!$Q$15:$R$20,2,FALSE)*IF($E1543="Red",Dashboard!$R$6,IF($E1543="Gold",Dashboard!$R$7,Dashboard!$R$5))*IF(ISNUMBER(SEARCH("Duals",$B1543)),2,IF(ISNUMBER(SEARCH("Triples",$B1543)),3,IF(ISNUMBER(SEARCH("Quads",$B1543)),4,1))),2))*IF(IFERROR(VLOOKUP($B1543,Dashboard!$Q$28:$S$60,3,FALSE),0)&gt;0,VLOOKUP($B1543,Dashboard!$Q$28:$S$60,3,FALSE),1))),0))</f>
        <v>2</v>
      </c>
      <c r="K1543" s="2" t="str">
        <f>IF(Characters!F43="","",Characters!F43)</f>
        <v>C</v>
      </c>
      <c r="L1543" s="2">
        <f t="shared" si="312"/>
        <v>1</v>
      </c>
      <c r="M1543" s="2">
        <f t="shared" si="313"/>
        <v>0</v>
      </c>
      <c r="N1543" s="2">
        <f t="shared" si="314"/>
        <v>1</v>
      </c>
      <c r="O1543" s="2">
        <f t="shared" si="315"/>
        <v>0</v>
      </c>
      <c r="P1543" s="112">
        <f t="shared" si="316"/>
        <v>2</v>
      </c>
      <c r="Q1543" s="112">
        <f t="shared" si="317"/>
        <v>0</v>
      </c>
      <c r="R1543" s="53"/>
      <c r="S1543" s="53" t="str">
        <f t="shared" si="318"/>
        <v>Characters|Characters Compound V Parallel|C-42|Compound V</v>
      </c>
      <c r="T1543" s="57" t="str">
        <f>IF($S1543="","",IFERROR(VLOOKUP($S1543,'Pop Estimates (Non-#d)'!$N$2:$O$500,2,FALSE),""))</f>
        <v/>
      </c>
      <c r="U1543" s="57">
        <f t="shared" si="319"/>
        <v>399</v>
      </c>
      <c r="V1543" s="53" t="str">
        <f t="shared" si="320"/>
        <v>Shockwave</v>
      </c>
      <c r="W1543" s="53" t="str">
        <f t="shared" si="321"/>
        <v>Shockwave</v>
      </c>
      <c r="X1543" s="53" t="str">
        <f t="shared" si="322"/>
        <v>Shockwave</v>
      </c>
      <c r="Y1543" s="57">
        <f>IF($X1543="","",IFERROR(VLOOKUP($X1543,'Char Popularity'!$A$2:$C$500,2,FALSE),""))</f>
        <v>2</v>
      </c>
      <c r="Z1543" s="56">
        <f>IF($X1543="",1,IFERROR(VLOOKUP($X1543,'Char Popularity'!$A$2:$C$500,3,FALSE),1))</f>
        <v>0.9</v>
      </c>
      <c r="AA1543" s="62">
        <f>IF($H1543&lt;&gt;"Y",0,(IF($F1543&lt;&gt;"",ROUND(Dashboard!$R$4/$F1543,1),IF(AND($I1543="Base",$E1543="Base"),Dashboard!$R$5,IF(AND($I1543="Base",$E1543="Red"),Dashboard!$R$6,IF(AND($I1543="Base",$E1543="Gold"),Dashboard!$R$7,VLOOKUP($I1543,Dashboard!$Q$16:$R$21,2,FALSE)))))*VLOOKUP($I1543,Dashboard!$Q$9:$R$13,2,FALSE)*IF(AND($I1543="Auto",$F1543="",OR($B1543="Autographs Duals",$B1543="Autographs Triples",$B1543="Autographs Quads",$B1543="Autographs Quads (Inscribed)")),IF($B1543="Autographs Duals",2,IF($B1543="Autographs Triples",3,4)),1)))</f>
        <v>2.5</v>
      </c>
      <c r="AB1543" s="62">
        <f t="shared" si="323"/>
        <v>2.5</v>
      </c>
      <c r="AC1543" s="62">
        <f t="shared" si="324"/>
        <v>0</v>
      </c>
    </row>
    <row r="1544" spans="1:29" ht="42.95" customHeight="1" x14ac:dyDescent="0.25">
      <c r="A1544" s="4" t="s">
        <v>21</v>
      </c>
      <c r="B1544" s="7" t="s">
        <v>89</v>
      </c>
      <c r="C1544" s="2" t="s">
        <v>1263</v>
      </c>
      <c r="D1544" s="7" t="s">
        <v>542</v>
      </c>
      <c r="E1544" s="4" t="s">
        <v>778</v>
      </c>
      <c r="F1544" s="2">
        <v>399</v>
      </c>
      <c r="G1544" s="2" t="s">
        <v>1399</v>
      </c>
      <c r="H1544" s="2" t="s">
        <v>1400</v>
      </c>
      <c r="I1544" s="4" t="s">
        <v>60</v>
      </c>
      <c r="J1544" s="112">
        <f>IF($H1544&lt;&gt;"Y",0,ROUND(MIN(Dashboard!$R$24,IF(IFERROR(VLOOKUP($B1544,Dashboard!$Q$28:$S$60,2,FALSE),0)&gt;0,IFERROR(VLOOKUP($B1544,Dashboard!$Q$28:$S$60,2,FALSE),0),$Z1544*IF($U1544&lt;&gt;"",ROUND((Dashboard!$R$4/$U1544)*VLOOKUP($I1544,Dashboard!$Q$9:$R$13,2,FALSE)*IF(ISNUMBER(SEARCH("Duals",$B1544)),2,IF(ISNUMBER(SEARCH("Triples",$B1544)),3,IF(ISNUMBER(SEARCH("Quads",$B1544)),4,1))),2),ROUND(VLOOKUP($I1544,Dashboard!$Q$15:$R$20,2,FALSE)*IF($E1544="Red",Dashboard!$R$6,IF($E1544="Gold",Dashboard!$R$7,Dashboard!$R$5))*IF(ISNUMBER(SEARCH("Duals",$B1544)),2,IF(ISNUMBER(SEARCH("Triples",$B1544)),3,IF(ISNUMBER(SEARCH("Quads",$B1544)),4,1))),2))*IF(IFERROR(VLOOKUP($B1544,Dashboard!$Q$28:$S$60,3,FALSE),0)&gt;0,VLOOKUP($B1544,Dashboard!$Q$28:$S$60,3,FALSE),1))),0))</f>
        <v>3</v>
      </c>
      <c r="K1544" s="2" t="str">
        <f>IF(Characters!F44="","",Characters!F44)</f>
        <v>V</v>
      </c>
      <c r="L1544" s="2">
        <f t="shared" si="312"/>
        <v>1</v>
      </c>
      <c r="M1544" s="2">
        <f t="shared" si="313"/>
        <v>0</v>
      </c>
      <c r="N1544" s="2">
        <f t="shared" si="314"/>
        <v>1</v>
      </c>
      <c r="O1544" s="2">
        <f t="shared" si="315"/>
        <v>0</v>
      </c>
      <c r="P1544" s="112">
        <f t="shared" si="316"/>
        <v>3</v>
      </c>
      <c r="Q1544" s="112">
        <f t="shared" si="317"/>
        <v>0</v>
      </c>
      <c r="R1544" s="53"/>
      <c r="S1544" s="53" t="str">
        <f t="shared" si="318"/>
        <v>Characters|Characters Compound V Parallel|C-43|Compound V</v>
      </c>
      <c r="T1544" s="57" t="str">
        <f>IF($S1544="","",IFERROR(VLOOKUP($S1544,'Pop Estimates (Non-#d)'!$N$2:$O$500,2,FALSE),""))</f>
        <v/>
      </c>
      <c r="U1544" s="57">
        <f t="shared" si="319"/>
        <v>399</v>
      </c>
      <c r="V1544" s="53" t="str">
        <f t="shared" si="320"/>
        <v/>
      </c>
      <c r="W1544" s="53" t="str">
        <f t="shared" si="321"/>
        <v/>
      </c>
      <c r="X1544" s="53" t="str">
        <f t="shared" si="322"/>
        <v/>
      </c>
      <c r="Y1544" s="57" t="str">
        <f>IF($X1544="","",IFERROR(VLOOKUP($X1544,'Char Popularity'!$A$2:$C$500,2,FALSE),""))</f>
        <v/>
      </c>
      <c r="Z1544" s="56">
        <f>IF($X1544="",1,IFERROR(VLOOKUP($X1544,'Char Popularity'!$A$2:$C$500,3,FALSE),1))</f>
        <v>1</v>
      </c>
      <c r="AA1544" s="62">
        <f>IF($H1544&lt;&gt;"Y",0,(IF($F1544&lt;&gt;"",ROUND(Dashboard!$R$4/$F1544,1),IF(AND($I1544="Base",$E1544="Base"),Dashboard!$R$5,IF(AND($I1544="Base",$E1544="Red"),Dashboard!$R$6,IF(AND($I1544="Base",$E1544="Gold"),Dashboard!$R$7,VLOOKUP($I1544,Dashboard!$Q$16:$R$21,2,FALSE)))))*VLOOKUP($I1544,Dashboard!$Q$9:$R$13,2,FALSE)*IF(AND($I1544="Auto",$F1544="",OR($B1544="Autographs Duals",$B1544="Autographs Triples",$B1544="Autographs Quads",$B1544="Autographs Quads (Inscribed)")),IF($B1544="Autographs Duals",2,IF($B1544="Autographs Triples",3,4)),1)))</f>
        <v>2.5</v>
      </c>
      <c r="AB1544" s="62">
        <f t="shared" si="323"/>
        <v>2.5</v>
      </c>
      <c r="AC1544" s="62">
        <f t="shared" si="324"/>
        <v>0</v>
      </c>
    </row>
    <row r="1545" spans="1:29" ht="42.95" customHeight="1" x14ac:dyDescent="0.25">
      <c r="A1545" s="4" t="s">
        <v>21</v>
      </c>
      <c r="B1545" s="7" t="s">
        <v>89</v>
      </c>
      <c r="C1545" s="2" t="s">
        <v>1265</v>
      </c>
      <c r="D1545" s="7" t="s">
        <v>1266</v>
      </c>
      <c r="E1545" s="4" t="s">
        <v>778</v>
      </c>
      <c r="F1545" s="2">
        <v>399</v>
      </c>
      <c r="G1545" s="2" t="s">
        <v>1399</v>
      </c>
      <c r="H1545" s="2" t="s">
        <v>1400</v>
      </c>
      <c r="I1545" s="4" t="s">
        <v>60</v>
      </c>
      <c r="J1545" s="112">
        <f>IF($H1545&lt;&gt;"Y",0,ROUND(MIN(Dashboard!$R$24,IF(IFERROR(VLOOKUP($B1545,Dashboard!$Q$28:$S$60,2,FALSE),0)&gt;0,IFERROR(VLOOKUP($B1545,Dashboard!$Q$28:$S$60,2,FALSE),0),$Z1545*IF($U1545&lt;&gt;"",ROUND((Dashboard!$R$4/$U1545)*VLOOKUP($I1545,Dashboard!$Q$9:$R$13,2,FALSE)*IF(ISNUMBER(SEARCH("Duals",$B1545)),2,IF(ISNUMBER(SEARCH("Triples",$B1545)),3,IF(ISNUMBER(SEARCH("Quads",$B1545)),4,1))),2),ROUND(VLOOKUP($I1545,Dashboard!$Q$15:$R$20,2,FALSE)*IF($E1545="Red",Dashboard!$R$6,IF($E1545="Gold",Dashboard!$R$7,Dashboard!$R$5))*IF(ISNUMBER(SEARCH("Duals",$B1545)),2,IF(ISNUMBER(SEARCH("Triples",$B1545)),3,IF(ISNUMBER(SEARCH("Quads",$B1545)),4,1))),2))*IF(IFERROR(VLOOKUP($B1545,Dashboard!$Q$28:$S$60,3,FALSE),0)&gt;0,VLOOKUP($B1545,Dashboard!$Q$28:$S$60,3,FALSE),1))),0))</f>
        <v>3</v>
      </c>
      <c r="K1545" s="2" t="str">
        <f>IF(Characters!F45="","",Characters!F45)</f>
        <v>C</v>
      </c>
      <c r="L1545" s="2">
        <f t="shared" si="312"/>
        <v>1</v>
      </c>
      <c r="M1545" s="2">
        <f t="shared" si="313"/>
        <v>0</v>
      </c>
      <c r="N1545" s="2">
        <f t="shared" si="314"/>
        <v>1</v>
      </c>
      <c r="O1545" s="2">
        <f t="shared" si="315"/>
        <v>0</v>
      </c>
      <c r="P1545" s="112">
        <f t="shared" si="316"/>
        <v>3</v>
      </c>
      <c r="Q1545" s="112">
        <f t="shared" si="317"/>
        <v>0</v>
      </c>
      <c r="R1545" s="53"/>
      <c r="S1545" s="53" t="str">
        <f t="shared" si="318"/>
        <v>Characters|Characters Compound V Parallel|C-44|Compound V</v>
      </c>
      <c r="T1545" s="57" t="str">
        <f>IF($S1545="","",IFERROR(VLOOKUP($S1545,'Pop Estimates (Non-#d)'!$N$2:$O$500,2,FALSE),""))</f>
        <v/>
      </c>
      <c r="U1545" s="57">
        <f t="shared" si="319"/>
        <v>399</v>
      </c>
      <c r="V1545" s="53" t="str">
        <f t="shared" si="320"/>
        <v>Cindy</v>
      </c>
      <c r="W1545" s="53" t="str">
        <f t="shared" si="321"/>
        <v>Cindy</v>
      </c>
      <c r="X1545" s="53" t="str">
        <f t="shared" si="322"/>
        <v>Cindy</v>
      </c>
      <c r="Y1545" s="57">
        <f>IF($X1545="","",IFERROR(VLOOKUP($X1545,'Char Popularity'!$A$2:$C$500,2,FALSE),""))</f>
        <v>3</v>
      </c>
      <c r="Z1545" s="56">
        <f>IF($X1545="",1,IFERROR(VLOOKUP($X1545,'Char Popularity'!$A$2:$C$500,3,FALSE),1))</f>
        <v>1</v>
      </c>
      <c r="AA1545" s="62">
        <f>IF($H1545&lt;&gt;"Y",0,(IF($F1545&lt;&gt;"",ROUND(Dashboard!$R$4/$F1545,1),IF(AND($I1545="Base",$E1545="Base"),Dashboard!$R$5,IF(AND($I1545="Base",$E1545="Red"),Dashboard!$R$6,IF(AND($I1545="Base",$E1545="Gold"),Dashboard!$R$7,VLOOKUP($I1545,Dashboard!$Q$16:$R$21,2,FALSE)))))*VLOOKUP($I1545,Dashboard!$Q$9:$R$13,2,FALSE)*IF(AND($I1545="Auto",$F1545="",OR($B1545="Autographs Duals",$B1545="Autographs Triples",$B1545="Autographs Quads",$B1545="Autographs Quads (Inscribed)")),IF($B1545="Autographs Duals",2,IF($B1545="Autographs Triples",3,4)),1)))</f>
        <v>2.5</v>
      </c>
      <c r="AB1545" s="62">
        <f t="shared" si="323"/>
        <v>2.5</v>
      </c>
      <c r="AC1545" s="62">
        <f t="shared" si="324"/>
        <v>0</v>
      </c>
    </row>
    <row r="1546" spans="1:29" ht="42.95" customHeight="1" x14ac:dyDescent="0.25">
      <c r="A1546" s="4" t="s">
        <v>21</v>
      </c>
      <c r="B1546" s="7" t="s">
        <v>89</v>
      </c>
      <c r="C1546" s="2" t="s">
        <v>431</v>
      </c>
      <c r="D1546" s="7" t="s">
        <v>234</v>
      </c>
      <c r="E1546" s="4" t="s">
        <v>778</v>
      </c>
      <c r="F1546" s="2">
        <v>399</v>
      </c>
      <c r="G1546" s="2" t="s">
        <v>1399</v>
      </c>
      <c r="H1546" s="2" t="s">
        <v>1400</v>
      </c>
      <c r="I1546" s="4" t="s">
        <v>60</v>
      </c>
      <c r="J1546" s="112">
        <f>IF($H1546&lt;&gt;"Y",0,ROUND(MIN(Dashboard!$R$24,IF(IFERROR(VLOOKUP($B1546,Dashboard!$Q$28:$S$60,2,FALSE),0)&gt;0,IFERROR(VLOOKUP($B1546,Dashboard!$Q$28:$S$60,2,FALSE),0),$Z1546*IF($U1546&lt;&gt;"",ROUND((Dashboard!$R$4/$U1546)*VLOOKUP($I1546,Dashboard!$Q$9:$R$13,2,FALSE)*IF(ISNUMBER(SEARCH("Duals",$B1546)),2,IF(ISNUMBER(SEARCH("Triples",$B1546)),3,IF(ISNUMBER(SEARCH("Quads",$B1546)),4,1))),2),ROUND(VLOOKUP($I1546,Dashboard!$Q$15:$R$20,2,FALSE)*IF($E1546="Red",Dashboard!$R$6,IF($E1546="Gold",Dashboard!$R$7,Dashboard!$R$5))*IF(ISNUMBER(SEARCH("Duals",$B1546)),2,IF(ISNUMBER(SEARCH("Triples",$B1546)),3,IF(ISNUMBER(SEARCH("Quads",$B1546)),4,1))),2))*IF(IFERROR(VLOOKUP($B1546,Dashboard!$Q$28:$S$60,3,FALSE),0)&gt;0,VLOOKUP($B1546,Dashboard!$Q$28:$S$60,3,FALSE),1))),0))</f>
        <v>3</v>
      </c>
      <c r="K1546" s="2" t="str">
        <f>IF(Characters!F46="","",Characters!F46)</f>
        <v>V</v>
      </c>
      <c r="L1546" s="2">
        <f t="shared" si="312"/>
        <v>1</v>
      </c>
      <c r="M1546" s="2">
        <f t="shared" si="313"/>
        <v>0</v>
      </c>
      <c r="N1546" s="2">
        <f t="shared" si="314"/>
        <v>1</v>
      </c>
      <c r="O1546" s="2">
        <f t="shared" si="315"/>
        <v>0</v>
      </c>
      <c r="P1546" s="112">
        <f t="shared" si="316"/>
        <v>3</v>
      </c>
      <c r="Q1546" s="112">
        <f t="shared" si="317"/>
        <v>0</v>
      </c>
      <c r="R1546" s="53"/>
      <c r="S1546" s="53" t="str">
        <f t="shared" si="318"/>
        <v>Characters|Characters Compound V Parallel|C-45|Compound V</v>
      </c>
      <c r="T1546" s="57" t="str">
        <f>IF($S1546="","",IFERROR(VLOOKUP($S1546,'Pop Estimates (Non-#d)'!$N$2:$O$500,2,FALSE),""))</f>
        <v/>
      </c>
      <c r="U1546" s="57">
        <f t="shared" si="319"/>
        <v>399</v>
      </c>
      <c r="V1546" s="53" t="str">
        <f t="shared" si="320"/>
        <v>Ashley Barrett</v>
      </c>
      <c r="W1546" s="53" t="str">
        <f t="shared" si="321"/>
        <v>Ashley Barrett</v>
      </c>
      <c r="X1546" s="53" t="str">
        <f t="shared" si="322"/>
        <v>Ashley Barrett</v>
      </c>
      <c r="Y1546" s="57">
        <f>IF($X1546="","",IFERROR(VLOOKUP($X1546,'Char Popularity'!$A$2:$C$500,2,FALSE),""))</f>
        <v>3</v>
      </c>
      <c r="Z1546" s="56">
        <f>IF($X1546="",1,IFERROR(VLOOKUP($X1546,'Char Popularity'!$A$2:$C$500,3,FALSE),1))</f>
        <v>1</v>
      </c>
      <c r="AA1546" s="62">
        <f>IF($H1546&lt;&gt;"Y",0,(IF($F1546&lt;&gt;"",ROUND(Dashboard!$R$4/$F1546,1),IF(AND($I1546="Base",$E1546="Base"),Dashboard!$R$5,IF(AND($I1546="Base",$E1546="Red"),Dashboard!$R$6,IF(AND($I1546="Base",$E1546="Gold"),Dashboard!$R$7,VLOOKUP($I1546,Dashboard!$Q$16:$R$21,2,FALSE)))))*VLOOKUP($I1546,Dashboard!$Q$9:$R$13,2,FALSE)*IF(AND($I1546="Auto",$F1546="",OR($B1546="Autographs Duals",$B1546="Autographs Triples",$B1546="Autographs Quads",$B1546="Autographs Quads (Inscribed)")),IF($B1546="Autographs Duals",2,IF($B1546="Autographs Triples",3,4)),1)))</f>
        <v>2.5</v>
      </c>
      <c r="AB1546" s="62">
        <f t="shared" si="323"/>
        <v>2.5</v>
      </c>
      <c r="AC1546" s="62">
        <f t="shared" si="324"/>
        <v>0</v>
      </c>
    </row>
    <row r="1547" spans="1:29" ht="42.95" customHeight="1" x14ac:dyDescent="0.25">
      <c r="A1547" s="4" t="s">
        <v>21</v>
      </c>
      <c r="B1547" s="7" t="s">
        <v>89</v>
      </c>
      <c r="C1547" s="2" t="s">
        <v>432</v>
      </c>
      <c r="D1547" s="7" t="s">
        <v>248</v>
      </c>
      <c r="E1547" s="4" t="s">
        <v>778</v>
      </c>
      <c r="F1547" s="2">
        <v>399</v>
      </c>
      <c r="G1547" s="2" t="s">
        <v>1399</v>
      </c>
      <c r="H1547" s="2" t="s">
        <v>1400</v>
      </c>
      <c r="I1547" s="4" t="s">
        <v>60</v>
      </c>
      <c r="J1547" s="112">
        <f>IF($H1547&lt;&gt;"Y",0,ROUND(MIN(Dashboard!$R$24,IF(IFERROR(VLOOKUP($B1547,Dashboard!$Q$28:$S$60,2,FALSE),0)&gt;0,IFERROR(VLOOKUP($B1547,Dashboard!$Q$28:$S$60,2,FALSE),0),$Z1547*IF($U1547&lt;&gt;"",ROUND((Dashboard!$R$4/$U1547)*VLOOKUP($I1547,Dashboard!$Q$9:$R$13,2,FALSE)*IF(ISNUMBER(SEARCH("Duals",$B1547)),2,IF(ISNUMBER(SEARCH("Triples",$B1547)),3,IF(ISNUMBER(SEARCH("Quads",$B1547)),4,1))),2),ROUND(VLOOKUP($I1547,Dashboard!$Q$15:$R$20,2,FALSE)*IF($E1547="Red",Dashboard!$R$6,IF($E1547="Gold",Dashboard!$R$7,Dashboard!$R$5))*IF(ISNUMBER(SEARCH("Duals",$B1547)),2,IF(ISNUMBER(SEARCH("Triples",$B1547)),3,IF(ISNUMBER(SEARCH("Quads",$B1547)),4,1))),2))*IF(IFERROR(VLOOKUP($B1547,Dashboard!$Q$28:$S$60,3,FALSE),0)&gt;0,VLOOKUP($B1547,Dashboard!$Q$28:$S$60,3,FALSE),1))),0))</f>
        <v>3</v>
      </c>
      <c r="K1547" s="2" t="str">
        <f>IF(Characters!F47="","",Characters!F47)</f>
        <v>V</v>
      </c>
      <c r="L1547" s="2">
        <f t="shared" si="312"/>
        <v>1</v>
      </c>
      <c r="M1547" s="2">
        <f t="shared" si="313"/>
        <v>0</v>
      </c>
      <c r="N1547" s="2">
        <f t="shared" si="314"/>
        <v>1</v>
      </c>
      <c r="O1547" s="2">
        <f t="shared" si="315"/>
        <v>0</v>
      </c>
      <c r="P1547" s="112">
        <f t="shared" si="316"/>
        <v>3</v>
      </c>
      <c r="Q1547" s="112">
        <f t="shared" si="317"/>
        <v>0</v>
      </c>
      <c r="R1547" s="53"/>
      <c r="S1547" s="53" t="str">
        <f t="shared" si="318"/>
        <v>Characters|Characters Compound V Parallel|C-46|Compound V</v>
      </c>
      <c r="T1547" s="57" t="str">
        <f>IF($S1547="","",IFERROR(VLOOKUP($S1547,'Pop Estimates (Non-#d)'!$N$2:$O$500,2,FALSE),""))</f>
        <v/>
      </c>
      <c r="U1547" s="57">
        <f t="shared" si="319"/>
        <v>399</v>
      </c>
      <c r="V1547" s="53" t="str">
        <f t="shared" si="320"/>
        <v>Starlight</v>
      </c>
      <c r="W1547" s="53" t="str">
        <f t="shared" si="321"/>
        <v>Starlight</v>
      </c>
      <c r="X1547" s="53" t="str">
        <f t="shared" si="322"/>
        <v>Starlight</v>
      </c>
      <c r="Y1547" s="57">
        <f>IF($X1547="","",IFERROR(VLOOKUP($X1547,'Char Popularity'!$A$2:$C$500,2,FALSE),""))</f>
        <v>5</v>
      </c>
      <c r="Z1547" s="56">
        <f>IF($X1547="",1,IFERROR(VLOOKUP($X1547,'Char Popularity'!$A$2:$C$500,3,FALSE),1))</f>
        <v>1.2</v>
      </c>
      <c r="AA1547" s="62">
        <f>IF($H1547&lt;&gt;"Y",0,(IF($F1547&lt;&gt;"",ROUND(Dashboard!$R$4/$F1547,1),IF(AND($I1547="Base",$E1547="Base"),Dashboard!$R$5,IF(AND($I1547="Base",$E1547="Red"),Dashboard!$R$6,IF(AND($I1547="Base",$E1547="Gold"),Dashboard!$R$7,VLOOKUP($I1547,Dashboard!$Q$16:$R$21,2,FALSE)))))*VLOOKUP($I1547,Dashboard!$Q$9:$R$13,2,FALSE)*IF(AND($I1547="Auto",$F1547="",OR($B1547="Autographs Duals",$B1547="Autographs Triples",$B1547="Autographs Quads",$B1547="Autographs Quads (Inscribed)")),IF($B1547="Autographs Duals",2,IF($B1547="Autographs Triples",3,4)),1)))</f>
        <v>2.5</v>
      </c>
      <c r="AB1547" s="62">
        <f t="shared" si="323"/>
        <v>2.5</v>
      </c>
      <c r="AC1547" s="62">
        <f t="shared" si="324"/>
        <v>0</v>
      </c>
    </row>
    <row r="1548" spans="1:29" ht="42.95" customHeight="1" x14ac:dyDescent="0.25">
      <c r="A1548" s="4" t="s">
        <v>21</v>
      </c>
      <c r="B1548" s="7" t="s">
        <v>89</v>
      </c>
      <c r="C1548" s="2" t="s">
        <v>433</v>
      </c>
      <c r="D1548" s="7" t="s">
        <v>222</v>
      </c>
      <c r="E1548" s="4" t="s">
        <v>778</v>
      </c>
      <c r="F1548" s="2">
        <v>399</v>
      </c>
      <c r="G1548" s="2" t="s">
        <v>1399</v>
      </c>
      <c r="H1548" s="2" t="s">
        <v>1400</v>
      </c>
      <c r="I1548" s="4" t="s">
        <v>60</v>
      </c>
      <c r="J1548" s="112">
        <f>IF($H1548&lt;&gt;"Y",0,ROUND(MIN(Dashboard!$R$24,IF(IFERROR(VLOOKUP($B1548,Dashboard!$Q$28:$S$60,2,FALSE),0)&gt;0,IFERROR(VLOOKUP($B1548,Dashboard!$Q$28:$S$60,2,FALSE),0),$Z1548*IF($U1548&lt;&gt;"",ROUND((Dashboard!$R$4/$U1548)*VLOOKUP($I1548,Dashboard!$Q$9:$R$13,2,FALSE)*IF(ISNUMBER(SEARCH("Duals",$B1548)),2,IF(ISNUMBER(SEARCH("Triples",$B1548)),3,IF(ISNUMBER(SEARCH("Quads",$B1548)),4,1))),2),ROUND(VLOOKUP($I1548,Dashboard!$Q$15:$R$20,2,FALSE)*IF($E1548="Red",Dashboard!$R$6,IF($E1548="Gold",Dashboard!$R$7,Dashboard!$R$5))*IF(ISNUMBER(SEARCH("Duals",$B1548)),2,IF(ISNUMBER(SEARCH("Triples",$B1548)),3,IF(ISNUMBER(SEARCH("Quads",$B1548)),4,1))),2))*IF(IFERROR(VLOOKUP($B1548,Dashboard!$Q$28:$S$60,3,FALSE),0)&gt;0,VLOOKUP($B1548,Dashboard!$Q$28:$S$60,3,FALSE),1))),0))</f>
        <v>3</v>
      </c>
      <c r="K1548" s="2" t="str">
        <f>IF(Characters!F48="","",Characters!F48)</f>
        <v>V</v>
      </c>
      <c r="L1548" s="2">
        <f t="shared" si="312"/>
        <v>1</v>
      </c>
      <c r="M1548" s="2">
        <f t="shared" si="313"/>
        <v>0</v>
      </c>
      <c r="N1548" s="2">
        <f t="shared" si="314"/>
        <v>1</v>
      </c>
      <c r="O1548" s="2">
        <f t="shared" si="315"/>
        <v>0</v>
      </c>
      <c r="P1548" s="112">
        <f t="shared" si="316"/>
        <v>3</v>
      </c>
      <c r="Q1548" s="112">
        <f t="shared" si="317"/>
        <v>0</v>
      </c>
      <c r="R1548" s="53"/>
      <c r="S1548" s="53" t="str">
        <f t="shared" si="318"/>
        <v>Characters|Characters Compound V Parallel|C-47|Compound V</v>
      </c>
      <c r="T1548" s="57" t="str">
        <f>IF($S1548="","",IFERROR(VLOOKUP($S1548,'Pop Estimates (Non-#d)'!$N$2:$O$500,2,FALSE),""))</f>
        <v/>
      </c>
      <c r="U1548" s="57">
        <f t="shared" si="319"/>
        <v>399</v>
      </c>
      <c r="V1548" s="53" t="str">
        <f t="shared" si="320"/>
        <v>Homelander</v>
      </c>
      <c r="W1548" s="53" t="str">
        <f t="shared" si="321"/>
        <v>Homelander</v>
      </c>
      <c r="X1548" s="53" t="str">
        <f t="shared" si="322"/>
        <v>Homelander</v>
      </c>
      <c r="Y1548" s="57">
        <f>IF($X1548="","",IFERROR(VLOOKUP($X1548,'Char Popularity'!$A$2:$C$500,2,FALSE),""))</f>
        <v>5</v>
      </c>
      <c r="Z1548" s="56">
        <f>IF($X1548="",1,IFERROR(VLOOKUP($X1548,'Char Popularity'!$A$2:$C$500,3,FALSE),1))</f>
        <v>1.2</v>
      </c>
      <c r="AA1548" s="62">
        <f>IF($H1548&lt;&gt;"Y",0,(IF($F1548&lt;&gt;"",ROUND(Dashboard!$R$4/$F1548,1),IF(AND($I1548="Base",$E1548="Base"),Dashboard!$R$5,IF(AND($I1548="Base",$E1548="Red"),Dashboard!$R$6,IF(AND($I1548="Base",$E1548="Gold"),Dashboard!$R$7,VLOOKUP($I1548,Dashboard!$Q$16:$R$21,2,FALSE)))))*VLOOKUP($I1548,Dashboard!$Q$9:$R$13,2,FALSE)*IF(AND($I1548="Auto",$F1548="",OR($B1548="Autographs Duals",$B1548="Autographs Triples",$B1548="Autographs Quads",$B1548="Autographs Quads (Inscribed)")),IF($B1548="Autographs Duals",2,IF($B1548="Autographs Triples",3,4)),1)))</f>
        <v>2.5</v>
      </c>
      <c r="AB1548" s="62">
        <f t="shared" si="323"/>
        <v>2.5</v>
      </c>
      <c r="AC1548" s="62">
        <f t="shared" si="324"/>
        <v>0</v>
      </c>
    </row>
    <row r="1549" spans="1:29" ht="42.95" customHeight="1" x14ac:dyDescent="0.25">
      <c r="A1549" s="4" t="s">
        <v>21</v>
      </c>
      <c r="B1549" s="7" t="s">
        <v>89</v>
      </c>
      <c r="C1549" s="2" t="s">
        <v>1269</v>
      </c>
      <c r="D1549" s="7" t="s">
        <v>1601</v>
      </c>
      <c r="E1549" s="4" t="s">
        <v>778</v>
      </c>
      <c r="F1549" s="2">
        <v>399</v>
      </c>
      <c r="G1549" s="2" t="s">
        <v>1399</v>
      </c>
      <c r="H1549" s="2" t="s">
        <v>1400</v>
      </c>
      <c r="I1549" s="4" t="s">
        <v>60</v>
      </c>
      <c r="J1549" s="112">
        <f>IF($H1549&lt;&gt;"Y",0,ROUND(MIN(Dashboard!$R$24,IF(IFERROR(VLOOKUP($B1549,Dashboard!$Q$28:$S$60,2,FALSE),0)&gt;0,IFERROR(VLOOKUP($B1549,Dashboard!$Q$28:$S$60,2,FALSE),0),$Z1549*IF($U1549&lt;&gt;"",ROUND((Dashboard!$R$4/$U1549)*VLOOKUP($I1549,Dashboard!$Q$9:$R$13,2,FALSE)*IF(ISNUMBER(SEARCH("Duals",$B1549)),2,IF(ISNUMBER(SEARCH("Triples",$B1549)),3,IF(ISNUMBER(SEARCH("Quads",$B1549)),4,1))),2),ROUND(VLOOKUP($I1549,Dashboard!$Q$15:$R$20,2,FALSE)*IF($E1549="Red",Dashboard!$R$6,IF($E1549="Gold",Dashboard!$R$7,Dashboard!$R$5))*IF(ISNUMBER(SEARCH("Duals",$B1549)),2,IF(ISNUMBER(SEARCH("Triples",$B1549)),3,IF(ISNUMBER(SEARCH("Quads",$B1549)),4,1))),2))*IF(IFERROR(VLOOKUP($B1549,Dashboard!$Q$28:$S$60,3,FALSE),0)&gt;0,VLOOKUP($B1549,Dashboard!$Q$28:$S$60,3,FALSE),1))),0))</f>
        <v>2</v>
      </c>
      <c r="K1549" s="2" t="str">
        <f>IF(Characters!F49="","",Characters!F49)</f>
        <v>C</v>
      </c>
      <c r="L1549" s="2">
        <f t="shared" si="312"/>
        <v>1</v>
      </c>
      <c r="M1549" s="2">
        <f t="shared" si="313"/>
        <v>0</v>
      </c>
      <c r="N1549" s="2">
        <f t="shared" si="314"/>
        <v>1</v>
      </c>
      <c r="O1549" s="2">
        <f t="shared" si="315"/>
        <v>0</v>
      </c>
      <c r="P1549" s="112">
        <f t="shared" si="316"/>
        <v>2</v>
      </c>
      <c r="Q1549" s="112">
        <f t="shared" si="317"/>
        <v>0</v>
      </c>
      <c r="R1549" s="53"/>
      <c r="S1549" s="53" t="str">
        <f t="shared" si="318"/>
        <v>Characters|Characters Compound V Parallel|C-48|Compound V</v>
      </c>
      <c r="T1549" s="57" t="str">
        <f>IF($S1549="","",IFERROR(VLOOKUP($S1549,'Pop Estimates (Non-#d)'!$N$2:$O$500,2,FALSE),""))</f>
        <v/>
      </c>
      <c r="U1549" s="57">
        <f t="shared" si="319"/>
        <v>399</v>
      </c>
      <c r="V1549" s="53" t="str">
        <f t="shared" si="320"/>
        <v>Gecko</v>
      </c>
      <c r="W1549" s="53" t="str">
        <f t="shared" si="321"/>
        <v>Gecko</v>
      </c>
      <c r="X1549" s="53" t="str">
        <f t="shared" si="322"/>
        <v>Gecko</v>
      </c>
      <c r="Y1549" s="57">
        <f>IF($X1549="","",IFERROR(VLOOKUP($X1549,'Char Popularity'!$A$2:$C$500,2,FALSE),""))</f>
        <v>2</v>
      </c>
      <c r="Z1549" s="56">
        <f>IF($X1549="",1,IFERROR(VLOOKUP($X1549,'Char Popularity'!$A$2:$C$500,3,FALSE),1))</f>
        <v>0.9</v>
      </c>
      <c r="AA1549" s="62">
        <f>IF($H1549&lt;&gt;"Y",0,(IF($F1549&lt;&gt;"",ROUND(Dashboard!$R$4/$F1549,1),IF(AND($I1549="Base",$E1549="Base"),Dashboard!$R$5,IF(AND($I1549="Base",$E1549="Red"),Dashboard!$R$6,IF(AND($I1549="Base",$E1549="Gold"),Dashboard!$R$7,VLOOKUP($I1549,Dashboard!$Q$16:$R$21,2,FALSE)))))*VLOOKUP($I1549,Dashboard!$Q$9:$R$13,2,FALSE)*IF(AND($I1549="Auto",$F1549="",OR($B1549="Autographs Duals",$B1549="Autographs Triples",$B1549="Autographs Quads",$B1549="Autographs Quads (Inscribed)")),IF($B1549="Autographs Duals",2,IF($B1549="Autographs Triples",3,4)),1)))</f>
        <v>2.5</v>
      </c>
      <c r="AB1549" s="62">
        <f t="shared" si="323"/>
        <v>2.5</v>
      </c>
      <c r="AC1549" s="62">
        <f t="shared" si="324"/>
        <v>0</v>
      </c>
    </row>
    <row r="1550" spans="1:29" ht="42.95" customHeight="1" x14ac:dyDescent="0.25">
      <c r="A1550" s="4" t="s">
        <v>21</v>
      </c>
      <c r="B1550" s="7" t="s">
        <v>89</v>
      </c>
      <c r="C1550" s="2" t="s">
        <v>1271</v>
      </c>
      <c r="D1550" s="7" t="s">
        <v>1272</v>
      </c>
      <c r="E1550" s="4" t="s">
        <v>778</v>
      </c>
      <c r="F1550" s="2">
        <v>399</v>
      </c>
      <c r="G1550" s="2" t="s">
        <v>1399</v>
      </c>
      <c r="H1550" s="2" t="s">
        <v>1400</v>
      </c>
      <c r="I1550" s="4" t="s">
        <v>60</v>
      </c>
      <c r="J1550" s="112">
        <f>IF($H1550&lt;&gt;"Y",0,ROUND(MIN(Dashboard!$R$24,IF(IFERROR(VLOOKUP($B1550,Dashboard!$Q$28:$S$60,2,FALSE),0)&gt;0,IFERROR(VLOOKUP($B1550,Dashboard!$Q$28:$S$60,2,FALSE),0),$Z1550*IF($U1550&lt;&gt;"",ROUND((Dashboard!$R$4/$U1550)*VLOOKUP($I1550,Dashboard!$Q$9:$R$13,2,FALSE)*IF(ISNUMBER(SEARCH("Duals",$B1550)),2,IF(ISNUMBER(SEARCH("Triples",$B1550)),3,IF(ISNUMBER(SEARCH("Quads",$B1550)),4,1))),2),ROUND(VLOOKUP($I1550,Dashboard!$Q$15:$R$20,2,FALSE)*IF($E1550="Red",Dashboard!$R$6,IF($E1550="Gold",Dashboard!$R$7,Dashboard!$R$5))*IF(ISNUMBER(SEARCH("Duals",$B1550)),2,IF(ISNUMBER(SEARCH("Triples",$B1550)),3,IF(ISNUMBER(SEARCH("Quads",$B1550)),4,1))),2))*IF(IFERROR(VLOOKUP($B1550,Dashboard!$Q$28:$S$60,3,FALSE),0)&gt;0,VLOOKUP($B1550,Dashboard!$Q$28:$S$60,3,FALSE),1))),0))</f>
        <v>3</v>
      </c>
      <c r="K1550" s="2" t="str">
        <f>IF(Characters!F50="","",Characters!F50)</f>
        <v>C</v>
      </c>
      <c r="L1550" s="2">
        <f t="shared" si="312"/>
        <v>1</v>
      </c>
      <c r="M1550" s="2">
        <f t="shared" si="313"/>
        <v>0</v>
      </c>
      <c r="N1550" s="2">
        <f t="shared" si="314"/>
        <v>1</v>
      </c>
      <c r="O1550" s="2">
        <f t="shared" si="315"/>
        <v>0</v>
      </c>
      <c r="P1550" s="112">
        <f t="shared" si="316"/>
        <v>3</v>
      </c>
      <c r="Q1550" s="112">
        <f t="shared" si="317"/>
        <v>0</v>
      </c>
      <c r="R1550" s="53"/>
      <c r="S1550" s="53" t="str">
        <f t="shared" si="318"/>
        <v>Characters|Characters Compound V Parallel|C-49|Compound V</v>
      </c>
      <c r="T1550" s="57" t="str">
        <f>IF($S1550="","",IFERROR(VLOOKUP($S1550,'Pop Estimates (Non-#d)'!$N$2:$O$500,2,FALSE),""))</f>
        <v/>
      </c>
      <c r="U1550" s="57">
        <f t="shared" si="319"/>
        <v>399</v>
      </c>
      <c r="V1550" s="53" t="str">
        <f t="shared" si="320"/>
        <v>Jonah Vogelbaum</v>
      </c>
      <c r="W1550" s="53" t="str">
        <f t="shared" si="321"/>
        <v>Jonah Vogelbaum</v>
      </c>
      <c r="X1550" s="53" t="str">
        <f t="shared" si="322"/>
        <v>Jonah Vogelbaum</v>
      </c>
      <c r="Y1550" s="57">
        <f>IF($X1550="","",IFERROR(VLOOKUP($X1550,'Char Popularity'!$A$2:$C$500,2,FALSE),""))</f>
        <v>3</v>
      </c>
      <c r="Z1550" s="56">
        <f>IF($X1550="",1,IFERROR(VLOOKUP($X1550,'Char Popularity'!$A$2:$C$500,3,FALSE),1))</f>
        <v>1</v>
      </c>
      <c r="AA1550" s="62">
        <f>IF($H1550&lt;&gt;"Y",0,(IF($F1550&lt;&gt;"",ROUND(Dashboard!$R$4/$F1550,1),IF(AND($I1550="Base",$E1550="Base"),Dashboard!$R$5,IF(AND($I1550="Base",$E1550="Red"),Dashboard!$R$6,IF(AND($I1550="Base",$E1550="Gold"),Dashboard!$R$7,VLOOKUP($I1550,Dashboard!$Q$16:$R$21,2,FALSE)))))*VLOOKUP($I1550,Dashboard!$Q$9:$R$13,2,FALSE)*IF(AND($I1550="Auto",$F1550="",OR($B1550="Autographs Duals",$B1550="Autographs Triples",$B1550="Autographs Quads",$B1550="Autographs Quads (Inscribed)")),IF($B1550="Autographs Duals",2,IF($B1550="Autographs Triples",3,4)),1)))</f>
        <v>2.5</v>
      </c>
      <c r="AB1550" s="62">
        <f t="shared" si="323"/>
        <v>2.5</v>
      </c>
      <c r="AC1550" s="62">
        <f t="shared" si="324"/>
        <v>0</v>
      </c>
    </row>
    <row r="1551" spans="1:29" ht="42.95" customHeight="1" x14ac:dyDescent="0.25">
      <c r="A1551" s="4" t="s">
        <v>21</v>
      </c>
      <c r="B1551" s="7" t="s">
        <v>89</v>
      </c>
      <c r="C1551" s="2" t="s">
        <v>1273</v>
      </c>
      <c r="D1551" s="7" t="s">
        <v>1274</v>
      </c>
      <c r="E1551" s="4" t="s">
        <v>778</v>
      </c>
      <c r="F1551" s="2">
        <v>399</v>
      </c>
      <c r="G1551" s="2" t="s">
        <v>1399</v>
      </c>
      <c r="H1551" s="2" t="s">
        <v>1400</v>
      </c>
      <c r="I1551" s="4" t="s">
        <v>60</v>
      </c>
      <c r="J1551" s="112">
        <f>IF($H1551&lt;&gt;"Y",0,ROUND(MIN(Dashboard!$R$24,IF(IFERROR(VLOOKUP($B1551,Dashboard!$Q$28:$S$60,2,FALSE),0)&gt;0,IFERROR(VLOOKUP($B1551,Dashboard!$Q$28:$S$60,2,FALSE),0),$Z1551*IF($U1551&lt;&gt;"",ROUND((Dashboard!$R$4/$U1551)*VLOOKUP($I1551,Dashboard!$Q$9:$R$13,2,FALSE)*IF(ISNUMBER(SEARCH("Duals",$B1551)),2,IF(ISNUMBER(SEARCH("Triples",$B1551)),3,IF(ISNUMBER(SEARCH("Quads",$B1551)),4,1))),2),ROUND(VLOOKUP($I1551,Dashboard!$Q$15:$R$20,2,FALSE)*IF($E1551="Red",Dashboard!$R$6,IF($E1551="Gold",Dashboard!$R$7,Dashboard!$R$5))*IF(ISNUMBER(SEARCH("Duals",$B1551)),2,IF(ISNUMBER(SEARCH("Triples",$B1551)),3,IF(ISNUMBER(SEARCH("Quads",$B1551)),4,1))),2))*IF(IFERROR(VLOOKUP($B1551,Dashboard!$Q$28:$S$60,3,FALSE),0)&gt;0,VLOOKUP($B1551,Dashboard!$Q$28:$S$60,3,FALSE),1))),0))</f>
        <v>3</v>
      </c>
      <c r="K1551" s="2" t="str">
        <f>IF(Characters!F51="","",Characters!F51)</f>
        <v>V</v>
      </c>
      <c r="L1551" s="2">
        <f t="shared" si="312"/>
        <v>1</v>
      </c>
      <c r="M1551" s="2">
        <f t="shared" si="313"/>
        <v>0</v>
      </c>
      <c r="N1551" s="2">
        <f t="shared" si="314"/>
        <v>1</v>
      </c>
      <c r="O1551" s="2">
        <f t="shared" si="315"/>
        <v>0</v>
      </c>
      <c r="P1551" s="112">
        <f t="shared" si="316"/>
        <v>3</v>
      </c>
      <c r="Q1551" s="112">
        <f t="shared" si="317"/>
        <v>0</v>
      </c>
      <c r="R1551" s="53"/>
      <c r="S1551" s="53" t="str">
        <f t="shared" si="318"/>
        <v>Characters|Characters Compound V Parallel|C-50|Compound V</v>
      </c>
      <c r="T1551" s="57" t="str">
        <f>IF($S1551="","",IFERROR(VLOOKUP($S1551,'Pop Estimates (Non-#d)'!$N$2:$O$500,2,FALSE),""))</f>
        <v/>
      </c>
      <c r="U1551" s="57">
        <f t="shared" si="319"/>
        <v>399</v>
      </c>
      <c r="V1551" s="53" t="str">
        <f t="shared" si="320"/>
        <v>Doppelganger</v>
      </c>
      <c r="W1551" s="53" t="str">
        <f t="shared" si="321"/>
        <v>Doppelganger</v>
      </c>
      <c r="X1551" s="53" t="str">
        <f t="shared" si="322"/>
        <v>Doppelganger</v>
      </c>
      <c r="Y1551" s="57">
        <f>IF($X1551="","",IFERROR(VLOOKUP($X1551,'Char Popularity'!$A$2:$C$500,2,FALSE),""))</f>
        <v>3</v>
      </c>
      <c r="Z1551" s="56">
        <f>IF($X1551="",1,IFERROR(VLOOKUP($X1551,'Char Popularity'!$A$2:$C$500,3,FALSE),1))</f>
        <v>1</v>
      </c>
      <c r="AA1551" s="62">
        <f>IF($H1551&lt;&gt;"Y",0,(IF($F1551&lt;&gt;"",ROUND(Dashboard!$R$4/$F1551,1),IF(AND($I1551="Base",$E1551="Base"),Dashboard!$R$5,IF(AND($I1551="Base",$E1551="Red"),Dashboard!$R$6,IF(AND($I1551="Base",$E1551="Gold"),Dashboard!$R$7,VLOOKUP($I1551,Dashboard!$Q$16:$R$21,2,FALSE)))))*VLOOKUP($I1551,Dashboard!$Q$9:$R$13,2,FALSE)*IF(AND($I1551="Auto",$F1551="",OR($B1551="Autographs Duals",$B1551="Autographs Triples",$B1551="Autographs Quads",$B1551="Autographs Quads (Inscribed)")),IF($B1551="Autographs Duals",2,IF($B1551="Autographs Triples",3,4)),1)))</f>
        <v>2.5</v>
      </c>
      <c r="AB1551" s="62">
        <f t="shared" si="323"/>
        <v>2.5</v>
      </c>
      <c r="AC1551" s="62">
        <f t="shared" si="324"/>
        <v>0</v>
      </c>
    </row>
    <row r="1552" spans="1:29" ht="42.95" customHeight="1" x14ac:dyDescent="0.25">
      <c r="A1552" s="4" t="s">
        <v>21</v>
      </c>
      <c r="B1552" s="7" t="s">
        <v>93</v>
      </c>
      <c r="C1552" s="2" t="s">
        <v>409</v>
      </c>
      <c r="D1552" s="7" t="s">
        <v>263</v>
      </c>
      <c r="E1552" s="4" t="s">
        <v>779</v>
      </c>
      <c r="F1552" s="2">
        <v>82</v>
      </c>
      <c r="G1552" s="2" t="s">
        <v>1399</v>
      </c>
      <c r="H1552" s="2" t="s">
        <v>1400</v>
      </c>
      <c r="I1552" s="4" t="s">
        <v>60</v>
      </c>
      <c r="J1552" s="112">
        <f>IF($H1552&lt;&gt;"Y",0,ROUND(MIN(Dashboard!$R$24,IF(IFERROR(VLOOKUP($B1552,Dashboard!$Q$28:$S$60,2,FALSE),0)&gt;0,IFERROR(VLOOKUP($B1552,Dashboard!$Q$28:$S$60,2,FALSE),0),$Z1552*IF($U1552&lt;&gt;"",ROUND((Dashboard!$R$4/$U1552)*VLOOKUP($I1552,Dashboard!$Q$9:$R$13,2,FALSE)*IF(ISNUMBER(SEARCH("Duals",$B1552)),2,IF(ISNUMBER(SEARCH("Triples",$B1552)),3,IF(ISNUMBER(SEARCH("Quads",$B1552)),4,1))),2),ROUND(VLOOKUP($I1552,Dashboard!$Q$15:$R$20,2,FALSE)*IF($E1552="Red",Dashboard!$R$6,IF($E1552="Gold",Dashboard!$R$7,Dashboard!$R$5))*IF(ISNUMBER(SEARCH("Duals",$B1552)),2,IF(ISNUMBER(SEARCH("Triples",$B1552)),3,IF(ISNUMBER(SEARCH("Quads",$B1552)),4,1))),2))*IF(IFERROR(VLOOKUP($B1552,Dashboard!$Q$28:$S$60,3,FALSE),0)&gt;0,VLOOKUP($B1552,Dashboard!$Q$28:$S$60,3,FALSE),1))),0))</f>
        <v>15</v>
      </c>
      <c r="K1552" s="2" t="str">
        <f>IF(Characters!G2="","",Characters!G2)</f>
        <v>C 09/82</v>
      </c>
      <c r="L1552" s="2">
        <f t="shared" si="312"/>
        <v>1</v>
      </c>
      <c r="M1552" s="2">
        <f t="shared" si="313"/>
        <v>0</v>
      </c>
      <c r="N1552" s="2">
        <f t="shared" si="314"/>
        <v>1</v>
      </c>
      <c r="O1552" s="2">
        <f t="shared" si="315"/>
        <v>0</v>
      </c>
      <c r="P1552" s="112">
        <f t="shared" si="316"/>
        <v>15</v>
      </c>
      <c r="Q1552" s="112">
        <f t="shared" si="317"/>
        <v>0</v>
      </c>
      <c r="R1552" s="53"/>
      <c r="S1552" s="53" t="str">
        <f t="shared" si="318"/>
        <v>Characters|Characters Floor 82 Parallel|C-1|Floor 82</v>
      </c>
      <c r="T1552" s="57" t="str">
        <f>IF($S1552="","",IFERROR(VLOOKUP($S1552,'Pop Estimates (Non-#d)'!$N$2:$O$500,2,FALSE),""))</f>
        <v/>
      </c>
      <c r="U1552" s="57">
        <f t="shared" si="319"/>
        <v>82</v>
      </c>
      <c r="V1552" s="53" t="str">
        <f t="shared" si="320"/>
        <v>Hughie Campbell</v>
      </c>
      <c r="W1552" s="53" t="str">
        <f t="shared" si="321"/>
        <v>Hughie Campbell</v>
      </c>
      <c r="X1552" s="53" t="str">
        <f t="shared" si="322"/>
        <v>Hughie Campbell</v>
      </c>
      <c r="Y1552" s="57">
        <f>IF($X1552="","",IFERROR(VLOOKUP($X1552,'Char Popularity'!$A$2:$C$500,2,FALSE),""))</f>
        <v>5</v>
      </c>
      <c r="Z1552" s="56">
        <f>IF($X1552="",1,IFERROR(VLOOKUP($X1552,'Char Popularity'!$A$2:$C$500,3,FALSE),1))</f>
        <v>1.2</v>
      </c>
      <c r="AA1552" s="62">
        <f>IF($H1552&lt;&gt;"Y",0,(IF($F1552&lt;&gt;"",ROUND(Dashboard!$R$4/$F1552,1),IF(AND($I1552="Base",$E1552="Base"),Dashboard!$R$5,IF(AND($I1552="Base",$E1552="Red"),Dashboard!$R$6,IF(AND($I1552="Base",$E1552="Gold"),Dashboard!$R$7,VLOOKUP($I1552,Dashboard!$Q$16:$R$21,2,FALSE)))))*VLOOKUP($I1552,Dashboard!$Q$9:$R$13,2,FALSE)*IF(AND($I1552="Auto",$F1552="",OR($B1552="Autographs Duals",$B1552="Autographs Triples",$B1552="Autographs Quads",$B1552="Autographs Quads (Inscribed)")),IF($B1552="Autographs Duals",2,IF($B1552="Autographs Triples",3,4)),1)))</f>
        <v>12.2</v>
      </c>
      <c r="AB1552" s="62">
        <f t="shared" si="323"/>
        <v>12.2</v>
      </c>
      <c r="AC1552" s="62">
        <f t="shared" si="324"/>
        <v>0</v>
      </c>
    </row>
    <row r="1553" spans="1:29" ht="42.95" customHeight="1" x14ac:dyDescent="0.25">
      <c r="A1553" s="4" t="s">
        <v>21</v>
      </c>
      <c r="B1553" s="7" t="s">
        <v>93</v>
      </c>
      <c r="C1553" s="2" t="s">
        <v>419</v>
      </c>
      <c r="D1553" s="7" t="s">
        <v>222</v>
      </c>
      <c r="E1553" s="4" t="s">
        <v>779</v>
      </c>
      <c r="F1553" s="2">
        <v>82</v>
      </c>
      <c r="G1553" s="2" t="s">
        <v>1399</v>
      </c>
      <c r="H1553" s="2" t="s">
        <v>1400</v>
      </c>
      <c r="I1553" s="4" t="s">
        <v>60</v>
      </c>
      <c r="J1553" s="112">
        <f>IF($H1553&lt;&gt;"Y",0,ROUND(MIN(Dashboard!$R$24,IF(IFERROR(VLOOKUP($B1553,Dashboard!$Q$28:$S$60,2,FALSE),0)&gt;0,IFERROR(VLOOKUP($B1553,Dashboard!$Q$28:$S$60,2,FALSE),0),$Z1553*IF($U1553&lt;&gt;"",ROUND((Dashboard!$R$4/$U1553)*VLOOKUP($I1553,Dashboard!$Q$9:$R$13,2,FALSE)*IF(ISNUMBER(SEARCH("Duals",$B1553)),2,IF(ISNUMBER(SEARCH("Triples",$B1553)),3,IF(ISNUMBER(SEARCH("Quads",$B1553)),4,1))),2),ROUND(VLOOKUP($I1553,Dashboard!$Q$15:$R$20,2,FALSE)*IF($E1553="Red",Dashboard!$R$6,IF($E1553="Gold",Dashboard!$R$7,Dashboard!$R$5))*IF(ISNUMBER(SEARCH("Duals",$B1553)),2,IF(ISNUMBER(SEARCH("Triples",$B1553)),3,IF(ISNUMBER(SEARCH("Quads",$B1553)),4,1))),2))*IF(IFERROR(VLOOKUP($B1553,Dashboard!$Q$28:$S$60,3,FALSE),0)&gt;0,VLOOKUP($B1553,Dashboard!$Q$28:$S$60,3,FALSE),1))),0))</f>
        <v>15</v>
      </c>
      <c r="K1553" s="2" t="str">
        <f>IF(Characters!G3="","",Characters!G3)</f>
        <v>C 12/82</v>
      </c>
      <c r="L1553" s="2">
        <f t="shared" si="312"/>
        <v>1</v>
      </c>
      <c r="M1553" s="2">
        <f t="shared" si="313"/>
        <v>0</v>
      </c>
      <c r="N1553" s="2">
        <f t="shared" si="314"/>
        <v>1</v>
      </c>
      <c r="O1553" s="2">
        <f t="shared" si="315"/>
        <v>0</v>
      </c>
      <c r="P1553" s="112">
        <f t="shared" si="316"/>
        <v>15</v>
      </c>
      <c r="Q1553" s="112">
        <f t="shared" si="317"/>
        <v>0</v>
      </c>
      <c r="R1553" s="53"/>
      <c r="S1553" s="53" t="str">
        <f t="shared" si="318"/>
        <v>Characters|Characters Floor 82 Parallel|C-2|Floor 82</v>
      </c>
      <c r="T1553" s="57" t="str">
        <f>IF($S1553="","",IFERROR(VLOOKUP($S1553,'Pop Estimates (Non-#d)'!$N$2:$O$500,2,FALSE),""))</f>
        <v/>
      </c>
      <c r="U1553" s="57">
        <f t="shared" si="319"/>
        <v>82</v>
      </c>
      <c r="V1553" s="53" t="str">
        <f t="shared" si="320"/>
        <v>Homelander</v>
      </c>
      <c r="W1553" s="53" t="str">
        <f t="shared" si="321"/>
        <v>Homelander</v>
      </c>
      <c r="X1553" s="53" t="str">
        <f t="shared" si="322"/>
        <v>Homelander</v>
      </c>
      <c r="Y1553" s="57">
        <f>IF($X1553="","",IFERROR(VLOOKUP($X1553,'Char Popularity'!$A$2:$C$500,2,FALSE),""))</f>
        <v>5</v>
      </c>
      <c r="Z1553" s="56">
        <f>IF($X1553="",1,IFERROR(VLOOKUP($X1553,'Char Popularity'!$A$2:$C$500,3,FALSE),1))</f>
        <v>1.2</v>
      </c>
      <c r="AA1553" s="62">
        <f>IF($H1553&lt;&gt;"Y",0,(IF($F1553&lt;&gt;"",ROUND(Dashboard!$R$4/$F1553,1),IF(AND($I1553="Base",$E1553="Base"),Dashboard!$R$5,IF(AND($I1553="Base",$E1553="Red"),Dashboard!$R$6,IF(AND($I1553="Base",$E1553="Gold"),Dashboard!$R$7,VLOOKUP($I1553,Dashboard!$Q$16:$R$21,2,FALSE)))))*VLOOKUP($I1553,Dashboard!$Q$9:$R$13,2,FALSE)*IF(AND($I1553="Auto",$F1553="",OR($B1553="Autographs Duals",$B1553="Autographs Triples",$B1553="Autographs Quads",$B1553="Autographs Quads (Inscribed)")),IF($B1553="Autographs Duals",2,IF($B1553="Autographs Triples",3,4)),1)))</f>
        <v>12.2</v>
      </c>
      <c r="AB1553" s="62">
        <f t="shared" si="323"/>
        <v>12.2</v>
      </c>
      <c r="AC1553" s="62">
        <f t="shared" si="324"/>
        <v>0</v>
      </c>
    </row>
    <row r="1554" spans="1:29" ht="42.95" customHeight="1" x14ac:dyDescent="0.25">
      <c r="A1554" s="4" t="s">
        <v>21</v>
      </c>
      <c r="B1554" s="7" t="s">
        <v>93</v>
      </c>
      <c r="C1554" s="2" t="s">
        <v>425</v>
      </c>
      <c r="D1554" s="7" t="s">
        <v>274</v>
      </c>
      <c r="E1554" s="4" t="s">
        <v>779</v>
      </c>
      <c r="F1554" s="2">
        <v>82</v>
      </c>
      <c r="G1554" s="2" t="s">
        <v>1399</v>
      </c>
      <c r="H1554" s="2" t="s">
        <v>1400</v>
      </c>
      <c r="I1554" s="4" t="s">
        <v>60</v>
      </c>
      <c r="J1554" s="112">
        <f>IF($H1554&lt;&gt;"Y",0,ROUND(MIN(Dashboard!$R$24,IF(IFERROR(VLOOKUP($B1554,Dashboard!$Q$28:$S$60,2,FALSE),0)&gt;0,IFERROR(VLOOKUP($B1554,Dashboard!$Q$28:$S$60,2,FALSE),0),$Z1554*IF($U1554&lt;&gt;"",ROUND((Dashboard!$R$4/$U1554)*VLOOKUP($I1554,Dashboard!$Q$9:$R$13,2,FALSE)*IF(ISNUMBER(SEARCH("Duals",$B1554)),2,IF(ISNUMBER(SEARCH("Triples",$B1554)),3,IF(ISNUMBER(SEARCH("Quads",$B1554)),4,1))),2),ROUND(VLOOKUP($I1554,Dashboard!$Q$15:$R$20,2,FALSE)*IF($E1554="Red",Dashboard!$R$6,IF($E1554="Gold",Dashboard!$R$7,Dashboard!$R$5))*IF(ISNUMBER(SEARCH("Duals",$B1554)),2,IF(ISNUMBER(SEARCH("Triples",$B1554)),3,IF(ISNUMBER(SEARCH("Quads",$B1554)),4,1))),2))*IF(IFERROR(VLOOKUP($B1554,Dashboard!$Q$28:$S$60,3,FALSE),0)&gt;0,VLOOKUP($B1554,Dashboard!$Q$28:$S$60,3,FALSE),1))),0))</f>
        <v>15</v>
      </c>
      <c r="K1554" s="2" t="str">
        <f>IF(Characters!G4="","",Characters!G4)</f>
        <v>V 06/82</v>
      </c>
      <c r="L1554" s="2">
        <f t="shared" si="312"/>
        <v>1</v>
      </c>
      <c r="M1554" s="2">
        <f t="shared" si="313"/>
        <v>0</v>
      </c>
      <c r="N1554" s="2">
        <f t="shared" si="314"/>
        <v>1</v>
      </c>
      <c r="O1554" s="2">
        <f t="shared" si="315"/>
        <v>0</v>
      </c>
      <c r="P1554" s="112">
        <f t="shared" si="316"/>
        <v>15</v>
      </c>
      <c r="Q1554" s="112">
        <f t="shared" si="317"/>
        <v>0</v>
      </c>
      <c r="R1554" s="53"/>
      <c r="S1554" s="53" t="str">
        <f t="shared" si="318"/>
        <v>Characters|Characters Floor 82 Parallel|C-3|Floor 82</v>
      </c>
      <c r="T1554" s="57" t="str">
        <f>IF($S1554="","",IFERROR(VLOOKUP($S1554,'Pop Estimates (Non-#d)'!$N$2:$O$500,2,FALSE),""))</f>
        <v/>
      </c>
      <c r="U1554" s="57">
        <f t="shared" si="319"/>
        <v>82</v>
      </c>
      <c r="V1554" s="53" t="str">
        <f t="shared" si="320"/>
        <v>Billy Butcher</v>
      </c>
      <c r="W1554" s="53" t="str">
        <f t="shared" si="321"/>
        <v>Billy Butcher</v>
      </c>
      <c r="X1554" s="53" t="str">
        <f t="shared" si="322"/>
        <v>Billy Butcher</v>
      </c>
      <c r="Y1554" s="57">
        <f>IF($X1554="","",IFERROR(VLOOKUP($X1554,'Char Popularity'!$A$2:$C$500,2,FALSE),""))</f>
        <v>5</v>
      </c>
      <c r="Z1554" s="56">
        <f>IF($X1554="",1,IFERROR(VLOOKUP($X1554,'Char Popularity'!$A$2:$C$500,3,FALSE),1))</f>
        <v>1.2</v>
      </c>
      <c r="AA1554" s="62">
        <f>IF($H1554&lt;&gt;"Y",0,(IF($F1554&lt;&gt;"",ROUND(Dashboard!$R$4/$F1554,1),IF(AND($I1554="Base",$E1554="Base"),Dashboard!$R$5,IF(AND($I1554="Base",$E1554="Red"),Dashboard!$R$6,IF(AND($I1554="Base",$E1554="Gold"),Dashboard!$R$7,VLOOKUP($I1554,Dashboard!$Q$16:$R$21,2,FALSE)))))*VLOOKUP($I1554,Dashboard!$Q$9:$R$13,2,FALSE)*IF(AND($I1554="Auto",$F1554="",OR($B1554="Autographs Duals",$B1554="Autographs Triples",$B1554="Autographs Quads",$B1554="Autographs Quads (Inscribed)")),IF($B1554="Autographs Duals",2,IF($B1554="Autographs Triples",3,4)),1)))</f>
        <v>12.2</v>
      </c>
      <c r="AB1554" s="62">
        <f t="shared" si="323"/>
        <v>12.2</v>
      </c>
      <c r="AC1554" s="62">
        <f t="shared" si="324"/>
        <v>0</v>
      </c>
    </row>
    <row r="1555" spans="1:29" ht="42.95" customHeight="1" x14ac:dyDescent="0.25">
      <c r="A1555" s="4" t="s">
        <v>21</v>
      </c>
      <c r="B1555" s="7" t="s">
        <v>93</v>
      </c>
      <c r="C1555" s="2" t="s">
        <v>428</v>
      </c>
      <c r="D1555" s="7" t="s">
        <v>248</v>
      </c>
      <c r="E1555" s="4" t="s">
        <v>779</v>
      </c>
      <c r="F1555" s="2">
        <v>82</v>
      </c>
      <c r="G1555" s="2" t="s">
        <v>1399</v>
      </c>
      <c r="H1555" s="2" t="s">
        <v>1400</v>
      </c>
      <c r="I1555" s="4" t="s">
        <v>60</v>
      </c>
      <c r="J1555" s="112">
        <f>IF($H1555&lt;&gt;"Y",0,ROUND(MIN(Dashboard!$R$24,IF(IFERROR(VLOOKUP($B1555,Dashboard!$Q$28:$S$60,2,FALSE),0)&gt;0,IFERROR(VLOOKUP($B1555,Dashboard!$Q$28:$S$60,2,FALSE),0),$Z1555*IF($U1555&lt;&gt;"",ROUND((Dashboard!$R$4/$U1555)*VLOOKUP($I1555,Dashboard!$Q$9:$R$13,2,FALSE)*IF(ISNUMBER(SEARCH("Duals",$B1555)),2,IF(ISNUMBER(SEARCH("Triples",$B1555)),3,IF(ISNUMBER(SEARCH("Quads",$B1555)),4,1))),2),ROUND(VLOOKUP($I1555,Dashboard!$Q$15:$R$20,2,FALSE)*IF($E1555="Red",Dashboard!$R$6,IF($E1555="Gold",Dashboard!$R$7,Dashboard!$R$5))*IF(ISNUMBER(SEARCH("Duals",$B1555)),2,IF(ISNUMBER(SEARCH("Triples",$B1555)),3,IF(ISNUMBER(SEARCH("Quads",$B1555)),4,1))),2))*IF(IFERROR(VLOOKUP($B1555,Dashboard!$Q$28:$S$60,3,FALSE),0)&gt;0,VLOOKUP($B1555,Dashboard!$Q$28:$S$60,3,FALSE),1))),0))</f>
        <v>15</v>
      </c>
      <c r="K1555" s="2" t="str">
        <f>IF(Characters!G5="","",Characters!G5)</f>
        <v>V 71/82</v>
      </c>
      <c r="L1555" s="2">
        <f t="shared" si="312"/>
        <v>1</v>
      </c>
      <c r="M1555" s="2">
        <f t="shared" si="313"/>
        <v>0</v>
      </c>
      <c r="N1555" s="2">
        <f t="shared" si="314"/>
        <v>1</v>
      </c>
      <c r="O1555" s="2">
        <f t="shared" si="315"/>
        <v>0</v>
      </c>
      <c r="P1555" s="112">
        <f t="shared" si="316"/>
        <v>15</v>
      </c>
      <c r="Q1555" s="112">
        <f t="shared" si="317"/>
        <v>0</v>
      </c>
      <c r="R1555" s="53"/>
      <c r="S1555" s="53" t="str">
        <f t="shared" si="318"/>
        <v>Characters|Characters Floor 82 Parallel|C-4|Floor 82</v>
      </c>
      <c r="T1555" s="57" t="str">
        <f>IF($S1555="","",IFERROR(VLOOKUP($S1555,'Pop Estimates (Non-#d)'!$N$2:$O$500,2,FALSE),""))</f>
        <v/>
      </c>
      <c r="U1555" s="57">
        <f t="shared" si="319"/>
        <v>82</v>
      </c>
      <c r="V1555" s="53" t="str">
        <f t="shared" si="320"/>
        <v>Starlight</v>
      </c>
      <c r="W1555" s="53" t="str">
        <f t="shared" si="321"/>
        <v>Starlight</v>
      </c>
      <c r="X1555" s="53" t="str">
        <f t="shared" si="322"/>
        <v>Starlight</v>
      </c>
      <c r="Y1555" s="57">
        <f>IF($X1555="","",IFERROR(VLOOKUP($X1555,'Char Popularity'!$A$2:$C$500,2,FALSE),""))</f>
        <v>5</v>
      </c>
      <c r="Z1555" s="56">
        <f>IF($X1555="",1,IFERROR(VLOOKUP($X1555,'Char Popularity'!$A$2:$C$500,3,FALSE),1))</f>
        <v>1.2</v>
      </c>
      <c r="AA1555" s="62">
        <f>IF($H1555&lt;&gt;"Y",0,(IF($F1555&lt;&gt;"",ROUND(Dashboard!$R$4/$F1555,1),IF(AND($I1555="Base",$E1555="Base"),Dashboard!$R$5,IF(AND($I1555="Base",$E1555="Red"),Dashboard!$R$6,IF(AND($I1555="Base",$E1555="Gold"),Dashboard!$R$7,VLOOKUP($I1555,Dashboard!$Q$16:$R$21,2,FALSE)))))*VLOOKUP($I1555,Dashboard!$Q$9:$R$13,2,FALSE)*IF(AND($I1555="Auto",$F1555="",OR($B1555="Autographs Duals",$B1555="Autographs Triples",$B1555="Autographs Quads",$B1555="Autographs Quads (Inscribed)")),IF($B1555="Autographs Duals",2,IF($B1555="Autographs Triples",3,4)),1)))</f>
        <v>12.2</v>
      </c>
      <c r="AB1555" s="62">
        <f t="shared" si="323"/>
        <v>12.2</v>
      </c>
      <c r="AC1555" s="62">
        <f t="shared" si="324"/>
        <v>0</v>
      </c>
    </row>
    <row r="1556" spans="1:29" ht="42.95" customHeight="1" x14ac:dyDescent="0.25">
      <c r="A1556" s="4" t="s">
        <v>21</v>
      </c>
      <c r="B1556" s="7" t="s">
        <v>93</v>
      </c>
      <c r="C1556" s="2" t="s">
        <v>434</v>
      </c>
      <c r="D1556" s="7" t="s">
        <v>267</v>
      </c>
      <c r="E1556" s="4" t="s">
        <v>779</v>
      </c>
      <c r="F1556" s="2">
        <v>82</v>
      </c>
      <c r="G1556" s="2" t="s">
        <v>1399</v>
      </c>
      <c r="H1556" s="2" t="s">
        <v>1400</v>
      </c>
      <c r="I1556" s="4" t="s">
        <v>60</v>
      </c>
      <c r="J1556" s="112">
        <f>IF($H1556&lt;&gt;"Y",0,ROUND(MIN(Dashboard!$R$24,IF(IFERROR(VLOOKUP($B1556,Dashboard!$Q$28:$S$60,2,FALSE),0)&gt;0,IFERROR(VLOOKUP($B1556,Dashboard!$Q$28:$S$60,2,FALSE),0),$Z1556*IF($U1556&lt;&gt;"",ROUND((Dashboard!$R$4/$U1556)*VLOOKUP($I1556,Dashboard!$Q$9:$R$13,2,FALSE)*IF(ISNUMBER(SEARCH("Duals",$B1556)),2,IF(ISNUMBER(SEARCH("Triples",$B1556)),3,IF(ISNUMBER(SEARCH("Quads",$B1556)),4,1))),2),ROUND(VLOOKUP($I1556,Dashboard!$Q$15:$R$20,2,FALSE)*IF($E1556="Red",Dashboard!$R$6,IF($E1556="Gold",Dashboard!$R$7,Dashboard!$R$5))*IF(ISNUMBER(SEARCH("Duals",$B1556)),2,IF(ISNUMBER(SEARCH("Triples",$B1556)),3,IF(ISNUMBER(SEARCH("Quads",$B1556)),4,1))),2))*IF(IFERROR(VLOOKUP($B1556,Dashboard!$Q$28:$S$60,3,FALSE),0)&gt;0,VLOOKUP($B1556,Dashboard!$Q$28:$S$60,3,FALSE),1))),0))</f>
        <v>13</v>
      </c>
      <c r="K1556" s="2" t="str">
        <f>IF(Characters!G6="","",Characters!G6)</f>
        <v>C 54/82</v>
      </c>
      <c r="L1556" s="2">
        <f t="shared" si="312"/>
        <v>1</v>
      </c>
      <c r="M1556" s="2">
        <f t="shared" si="313"/>
        <v>0</v>
      </c>
      <c r="N1556" s="2">
        <f t="shared" si="314"/>
        <v>1</v>
      </c>
      <c r="O1556" s="2">
        <f t="shared" si="315"/>
        <v>0</v>
      </c>
      <c r="P1556" s="112">
        <f t="shared" si="316"/>
        <v>13</v>
      </c>
      <c r="Q1556" s="112">
        <f t="shared" si="317"/>
        <v>0</v>
      </c>
      <c r="R1556" s="53"/>
      <c r="S1556" s="53" t="str">
        <f t="shared" si="318"/>
        <v>Characters|Characters Floor 82 Parallel|C-5|Floor 82</v>
      </c>
      <c r="T1556" s="57" t="str">
        <f>IF($S1556="","",IFERROR(VLOOKUP($S1556,'Pop Estimates (Non-#d)'!$N$2:$O$500,2,FALSE),""))</f>
        <v/>
      </c>
      <c r="U1556" s="57">
        <f t="shared" si="319"/>
        <v>82</v>
      </c>
      <c r="V1556" s="53" t="str">
        <f t="shared" si="320"/>
        <v>A-Train</v>
      </c>
      <c r="W1556" s="53" t="str">
        <f t="shared" si="321"/>
        <v>A-Train</v>
      </c>
      <c r="X1556" s="53" t="str">
        <f t="shared" si="322"/>
        <v>A-Train</v>
      </c>
      <c r="Y1556" s="57">
        <f>IF($X1556="","",IFERROR(VLOOKUP($X1556,'Char Popularity'!$A$2:$C$500,2,FALSE),""))</f>
        <v>4</v>
      </c>
      <c r="Z1556" s="56">
        <f>IF($X1556="",1,IFERROR(VLOOKUP($X1556,'Char Popularity'!$A$2:$C$500,3,FALSE),1))</f>
        <v>1.1000000000000001</v>
      </c>
      <c r="AA1556" s="62">
        <f>IF($H1556&lt;&gt;"Y",0,(IF($F1556&lt;&gt;"",ROUND(Dashboard!$R$4/$F1556,1),IF(AND($I1556="Base",$E1556="Base"),Dashboard!$R$5,IF(AND($I1556="Base",$E1556="Red"),Dashboard!$R$6,IF(AND($I1556="Base",$E1556="Gold"),Dashboard!$R$7,VLOOKUP($I1556,Dashboard!$Q$16:$R$21,2,FALSE)))))*VLOOKUP($I1556,Dashboard!$Q$9:$R$13,2,FALSE)*IF(AND($I1556="Auto",$F1556="",OR($B1556="Autographs Duals",$B1556="Autographs Triples",$B1556="Autographs Quads",$B1556="Autographs Quads (Inscribed)")),IF($B1556="Autographs Duals",2,IF($B1556="Autographs Triples",3,4)),1)))</f>
        <v>12.2</v>
      </c>
      <c r="AB1556" s="62">
        <f t="shared" si="323"/>
        <v>12.2</v>
      </c>
      <c r="AC1556" s="62">
        <f t="shared" si="324"/>
        <v>0</v>
      </c>
    </row>
    <row r="1557" spans="1:29" ht="42.95" customHeight="1" x14ac:dyDescent="0.25">
      <c r="A1557" s="4" t="s">
        <v>21</v>
      </c>
      <c r="B1557" s="7" t="s">
        <v>93</v>
      </c>
      <c r="C1557" s="2" t="s">
        <v>435</v>
      </c>
      <c r="D1557" s="7" t="s">
        <v>250</v>
      </c>
      <c r="E1557" s="4" t="s">
        <v>779</v>
      </c>
      <c r="F1557" s="2">
        <v>82</v>
      </c>
      <c r="G1557" s="2" t="s">
        <v>1399</v>
      </c>
      <c r="H1557" s="2" t="s">
        <v>1400</v>
      </c>
      <c r="I1557" s="4" t="s">
        <v>60</v>
      </c>
      <c r="J1557" s="112">
        <f>IF($H1557&lt;&gt;"Y",0,ROUND(MIN(Dashboard!$R$24,IF(IFERROR(VLOOKUP($B1557,Dashboard!$Q$28:$S$60,2,FALSE),0)&gt;0,IFERROR(VLOOKUP($B1557,Dashboard!$Q$28:$S$60,2,FALSE),0),$Z1557*IF($U1557&lt;&gt;"",ROUND((Dashboard!$R$4/$U1557)*VLOOKUP($I1557,Dashboard!$Q$9:$R$13,2,FALSE)*IF(ISNUMBER(SEARCH("Duals",$B1557)),2,IF(ISNUMBER(SEARCH("Triples",$B1557)),3,IF(ISNUMBER(SEARCH("Quads",$B1557)),4,1))),2),ROUND(VLOOKUP($I1557,Dashboard!$Q$15:$R$20,2,FALSE)*IF($E1557="Red",Dashboard!$R$6,IF($E1557="Gold",Dashboard!$R$7,Dashboard!$R$5))*IF(ISNUMBER(SEARCH("Duals",$B1557)),2,IF(ISNUMBER(SEARCH("Triples",$B1557)),3,IF(ISNUMBER(SEARCH("Quads",$B1557)),4,1))),2))*IF(IFERROR(VLOOKUP($B1557,Dashboard!$Q$28:$S$60,3,FALSE),0)&gt;0,VLOOKUP($B1557,Dashboard!$Q$28:$S$60,3,FALSE),1))),0))</f>
        <v>12</v>
      </c>
      <c r="K1557" s="2" t="str">
        <f>IF(Characters!G7="","",Characters!G7)</f>
        <v>C 67/82</v>
      </c>
      <c r="L1557" s="2">
        <f t="shared" si="312"/>
        <v>1</v>
      </c>
      <c r="M1557" s="2">
        <f t="shared" si="313"/>
        <v>0</v>
      </c>
      <c r="N1557" s="2">
        <f t="shared" si="314"/>
        <v>1</v>
      </c>
      <c r="O1557" s="2">
        <f t="shared" si="315"/>
        <v>0</v>
      </c>
      <c r="P1557" s="112">
        <f t="shared" si="316"/>
        <v>12</v>
      </c>
      <c r="Q1557" s="112">
        <f t="shared" si="317"/>
        <v>0</v>
      </c>
      <c r="R1557" s="53"/>
      <c r="S1557" s="53" t="str">
        <f t="shared" si="318"/>
        <v>Characters|Characters Floor 82 Parallel|C-6|Floor 82</v>
      </c>
      <c r="T1557" s="57" t="str">
        <f>IF($S1557="","",IFERROR(VLOOKUP($S1557,'Pop Estimates (Non-#d)'!$N$2:$O$500,2,FALSE),""))</f>
        <v/>
      </c>
      <c r="U1557" s="57">
        <f t="shared" si="319"/>
        <v>82</v>
      </c>
      <c r="V1557" s="53" t="str">
        <f t="shared" si="320"/>
        <v>Madelyn Stillwell</v>
      </c>
      <c r="W1557" s="53" t="str">
        <f t="shared" si="321"/>
        <v>Madelyn Stillwell</v>
      </c>
      <c r="X1557" s="53" t="str">
        <f t="shared" si="322"/>
        <v>Madelyn Stillwell</v>
      </c>
      <c r="Y1557" s="57">
        <f>IF($X1557="","",IFERROR(VLOOKUP($X1557,'Char Popularity'!$A$2:$C$500,2,FALSE),""))</f>
        <v>3</v>
      </c>
      <c r="Z1557" s="56">
        <f>IF($X1557="",1,IFERROR(VLOOKUP($X1557,'Char Popularity'!$A$2:$C$500,3,FALSE),1))</f>
        <v>1</v>
      </c>
      <c r="AA1557" s="62">
        <f>IF($H1557&lt;&gt;"Y",0,(IF($F1557&lt;&gt;"",ROUND(Dashboard!$R$4/$F1557,1),IF(AND($I1557="Base",$E1557="Base"),Dashboard!$R$5,IF(AND($I1557="Base",$E1557="Red"),Dashboard!$R$6,IF(AND($I1557="Base",$E1557="Gold"),Dashboard!$R$7,VLOOKUP($I1557,Dashboard!$Q$16:$R$21,2,FALSE)))))*VLOOKUP($I1557,Dashboard!$Q$9:$R$13,2,FALSE)*IF(AND($I1557="Auto",$F1557="",OR($B1557="Autographs Duals",$B1557="Autographs Triples",$B1557="Autographs Quads",$B1557="Autographs Quads (Inscribed)")),IF($B1557="Autographs Duals",2,IF($B1557="Autographs Triples",3,4)),1)))</f>
        <v>12.2</v>
      </c>
      <c r="AB1557" s="62">
        <f t="shared" si="323"/>
        <v>12.2</v>
      </c>
      <c r="AC1557" s="62">
        <f t="shared" si="324"/>
        <v>0</v>
      </c>
    </row>
    <row r="1558" spans="1:29" ht="42.95" customHeight="1" x14ac:dyDescent="0.25">
      <c r="A1558" s="4" t="s">
        <v>21</v>
      </c>
      <c r="B1558" s="7" t="s">
        <v>93</v>
      </c>
      <c r="C1558" s="2" t="s">
        <v>436</v>
      </c>
      <c r="D1558" s="7" t="s">
        <v>230</v>
      </c>
      <c r="E1558" s="4" t="s">
        <v>779</v>
      </c>
      <c r="F1558" s="2">
        <v>82</v>
      </c>
      <c r="G1558" s="2" t="s">
        <v>1399</v>
      </c>
      <c r="H1558" s="2" t="s">
        <v>1400</v>
      </c>
      <c r="I1558" s="4" t="s">
        <v>60</v>
      </c>
      <c r="J1558" s="112">
        <f>IF($H1558&lt;&gt;"Y",0,ROUND(MIN(Dashboard!$R$24,IF(IFERROR(VLOOKUP($B1558,Dashboard!$Q$28:$S$60,2,FALSE),0)&gt;0,IFERROR(VLOOKUP($B1558,Dashboard!$Q$28:$S$60,2,FALSE),0),$Z1558*IF($U1558&lt;&gt;"",ROUND((Dashboard!$R$4/$U1558)*VLOOKUP($I1558,Dashboard!$Q$9:$R$13,2,FALSE)*IF(ISNUMBER(SEARCH("Duals",$B1558)),2,IF(ISNUMBER(SEARCH("Triples",$B1558)),3,IF(ISNUMBER(SEARCH("Quads",$B1558)),4,1))),2),ROUND(VLOOKUP($I1558,Dashboard!$Q$15:$R$20,2,FALSE)*IF($E1558="Red",Dashboard!$R$6,IF($E1558="Gold",Dashboard!$R$7,Dashboard!$R$5))*IF(ISNUMBER(SEARCH("Duals",$B1558)),2,IF(ISNUMBER(SEARCH("Triples",$B1558)),3,IF(ISNUMBER(SEARCH("Quads",$B1558)),4,1))),2))*IF(IFERROR(VLOOKUP($B1558,Dashboard!$Q$28:$S$60,3,FALSE),0)&gt;0,VLOOKUP($B1558,Dashboard!$Q$28:$S$60,3,FALSE),1))),0))</f>
        <v>13</v>
      </c>
      <c r="K1558" s="2" t="str">
        <f>IF(Characters!G8="","",Characters!G8)</f>
        <v>V 41/82</v>
      </c>
      <c r="L1558" s="2">
        <f t="shared" si="312"/>
        <v>1</v>
      </c>
      <c r="M1558" s="2">
        <f t="shared" si="313"/>
        <v>0</v>
      </c>
      <c r="N1558" s="2">
        <f t="shared" si="314"/>
        <v>1</v>
      </c>
      <c r="O1558" s="2">
        <f t="shared" si="315"/>
        <v>0</v>
      </c>
      <c r="P1558" s="112">
        <f t="shared" si="316"/>
        <v>13</v>
      </c>
      <c r="Q1558" s="112">
        <f t="shared" si="317"/>
        <v>0</v>
      </c>
      <c r="R1558" s="53"/>
      <c r="S1558" s="53" t="str">
        <f t="shared" si="318"/>
        <v>Characters|Characters Floor 82 Parallel|C-7|Floor 82</v>
      </c>
      <c r="T1558" s="57" t="str">
        <f>IF($S1558="","",IFERROR(VLOOKUP($S1558,'Pop Estimates (Non-#d)'!$N$2:$O$500,2,FALSE),""))</f>
        <v/>
      </c>
      <c r="U1558" s="57">
        <f t="shared" si="319"/>
        <v>82</v>
      </c>
      <c r="V1558" s="53" t="str">
        <f t="shared" si="320"/>
        <v>The Deep</v>
      </c>
      <c r="W1558" s="53" t="str">
        <f t="shared" si="321"/>
        <v>The Deep</v>
      </c>
      <c r="X1558" s="53" t="str">
        <f t="shared" si="322"/>
        <v>The Deep</v>
      </c>
      <c r="Y1558" s="57">
        <f>IF($X1558="","",IFERROR(VLOOKUP($X1558,'Char Popularity'!$A$2:$C$500,2,FALSE),""))</f>
        <v>4</v>
      </c>
      <c r="Z1558" s="56">
        <f>IF($X1558="",1,IFERROR(VLOOKUP($X1558,'Char Popularity'!$A$2:$C$500,3,FALSE),1))</f>
        <v>1.1000000000000001</v>
      </c>
      <c r="AA1558" s="62">
        <f>IF($H1558&lt;&gt;"Y",0,(IF($F1558&lt;&gt;"",ROUND(Dashboard!$R$4/$F1558,1),IF(AND($I1558="Base",$E1558="Base"),Dashboard!$R$5,IF(AND($I1558="Base",$E1558="Red"),Dashboard!$R$6,IF(AND($I1558="Base",$E1558="Gold"),Dashboard!$R$7,VLOOKUP($I1558,Dashboard!$Q$16:$R$21,2,FALSE)))))*VLOOKUP($I1558,Dashboard!$Q$9:$R$13,2,FALSE)*IF(AND($I1558="Auto",$F1558="",OR($B1558="Autographs Duals",$B1558="Autographs Triples",$B1558="Autographs Quads",$B1558="Autographs Quads (Inscribed)")),IF($B1558="Autographs Duals",2,IF($B1558="Autographs Triples",3,4)),1)))</f>
        <v>12.2</v>
      </c>
      <c r="AB1558" s="62">
        <f t="shared" si="323"/>
        <v>12.2</v>
      </c>
      <c r="AC1558" s="62">
        <f t="shared" si="324"/>
        <v>0</v>
      </c>
    </row>
    <row r="1559" spans="1:29" ht="42.95" customHeight="1" x14ac:dyDescent="0.25">
      <c r="A1559" s="4" t="s">
        <v>21</v>
      </c>
      <c r="B1559" s="7" t="s">
        <v>93</v>
      </c>
      <c r="C1559" s="2" t="s">
        <v>437</v>
      </c>
      <c r="D1559" s="7" t="s">
        <v>276</v>
      </c>
      <c r="E1559" s="4" t="s">
        <v>779</v>
      </c>
      <c r="F1559" s="2">
        <v>82</v>
      </c>
      <c r="G1559" s="2" t="s">
        <v>1399</v>
      </c>
      <c r="H1559" s="2" t="s">
        <v>1400</v>
      </c>
      <c r="I1559" s="4" t="s">
        <v>60</v>
      </c>
      <c r="J1559" s="112">
        <f>IF($H1559&lt;&gt;"Y",0,ROUND(MIN(Dashboard!$R$24,IF(IFERROR(VLOOKUP($B1559,Dashboard!$Q$28:$S$60,2,FALSE),0)&gt;0,IFERROR(VLOOKUP($B1559,Dashboard!$Q$28:$S$60,2,FALSE),0),$Z1559*IF($U1559&lt;&gt;"",ROUND((Dashboard!$R$4/$U1559)*VLOOKUP($I1559,Dashboard!$Q$9:$R$13,2,FALSE)*IF(ISNUMBER(SEARCH("Duals",$B1559)),2,IF(ISNUMBER(SEARCH("Triples",$B1559)),3,IF(ISNUMBER(SEARCH("Quads",$B1559)),4,1))),2),ROUND(VLOOKUP($I1559,Dashboard!$Q$15:$R$20,2,FALSE)*IF($E1559="Red",Dashboard!$R$6,IF($E1559="Gold",Dashboard!$R$7,Dashboard!$R$5))*IF(ISNUMBER(SEARCH("Duals",$B1559)),2,IF(ISNUMBER(SEARCH("Triples",$B1559)),3,IF(ISNUMBER(SEARCH("Quads",$B1559)),4,1))),2))*IF(IFERROR(VLOOKUP($B1559,Dashboard!$Q$28:$S$60,3,FALSE),0)&gt;0,VLOOKUP($B1559,Dashboard!$Q$28:$S$60,3,FALSE),1))),0))</f>
        <v>13</v>
      </c>
      <c r="K1559" s="2" t="str">
        <f>IF(Characters!G9="","",Characters!G9)</f>
        <v>C 71/82</v>
      </c>
      <c r="L1559" s="2">
        <f t="shared" si="312"/>
        <v>1</v>
      </c>
      <c r="M1559" s="2">
        <f t="shared" si="313"/>
        <v>0</v>
      </c>
      <c r="N1559" s="2">
        <f t="shared" si="314"/>
        <v>1</v>
      </c>
      <c r="O1559" s="2">
        <f t="shared" si="315"/>
        <v>0</v>
      </c>
      <c r="P1559" s="112">
        <f t="shared" si="316"/>
        <v>13</v>
      </c>
      <c r="Q1559" s="112">
        <f t="shared" si="317"/>
        <v>0</v>
      </c>
      <c r="R1559" s="53"/>
      <c r="S1559" s="53" t="str">
        <f t="shared" si="318"/>
        <v>Characters|Characters Floor 82 Parallel|C-8|Floor 82</v>
      </c>
      <c r="T1559" s="57" t="str">
        <f>IF($S1559="","",IFERROR(VLOOKUP($S1559,'Pop Estimates (Non-#d)'!$N$2:$O$500,2,FALSE),""))</f>
        <v/>
      </c>
      <c r="U1559" s="57">
        <f t="shared" si="319"/>
        <v>82</v>
      </c>
      <c r="V1559" s="53" t="str">
        <f t="shared" si="320"/>
        <v>Mother's Milk</v>
      </c>
      <c r="W1559" s="53" t="str">
        <f t="shared" si="321"/>
        <v>Mother's Milk</v>
      </c>
      <c r="X1559" s="53" t="str">
        <f t="shared" si="322"/>
        <v>Mother's Milk</v>
      </c>
      <c r="Y1559" s="57">
        <f>IF($X1559="","",IFERROR(VLOOKUP($X1559,'Char Popularity'!$A$2:$C$500,2,FALSE),""))</f>
        <v>4</v>
      </c>
      <c r="Z1559" s="56">
        <f>IF($X1559="",1,IFERROR(VLOOKUP($X1559,'Char Popularity'!$A$2:$C$500,3,FALSE),1))</f>
        <v>1.1000000000000001</v>
      </c>
      <c r="AA1559" s="62">
        <f>IF($H1559&lt;&gt;"Y",0,(IF($F1559&lt;&gt;"",ROUND(Dashboard!$R$4/$F1559,1),IF(AND($I1559="Base",$E1559="Base"),Dashboard!$R$5,IF(AND($I1559="Base",$E1559="Red"),Dashboard!$R$6,IF(AND($I1559="Base",$E1559="Gold"),Dashboard!$R$7,VLOOKUP($I1559,Dashboard!$Q$16:$R$21,2,FALSE)))))*VLOOKUP($I1559,Dashboard!$Q$9:$R$13,2,FALSE)*IF(AND($I1559="Auto",$F1559="",OR($B1559="Autographs Duals",$B1559="Autographs Triples",$B1559="Autographs Quads",$B1559="Autographs Quads (Inscribed)")),IF($B1559="Autographs Duals",2,IF($B1559="Autographs Triples",3,4)),1)))</f>
        <v>12.2</v>
      </c>
      <c r="AB1559" s="62">
        <f t="shared" si="323"/>
        <v>12.2</v>
      </c>
      <c r="AC1559" s="62">
        <f t="shared" si="324"/>
        <v>0</v>
      </c>
    </row>
    <row r="1560" spans="1:29" ht="42.95" customHeight="1" x14ac:dyDescent="0.25">
      <c r="A1560" s="4" t="s">
        <v>21</v>
      </c>
      <c r="B1560" s="7" t="s">
        <v>93</v>
      </c>
      <c r="C1560" s="2" t="s">
        <v>438</v>
      </c>
      <c r="D1560" s="7" t="s">
        <v>244</v>
      </c>
      <c r="E1560" s="4" t="s">
        <v>779</v>
      </c>
      <c r="F1560" s="2">
        <v>82</v>
      </c>
      <c r="G1560" s="2" t="s">
        <v>1399</v>
      </c>
      <c r="H1560" s="2" t="s">
        <v>1400</v>
      </c>
      <c r="I1560" s="4" t="s">
        <v>60</v>
      </c>
      <c r="J1560" s="112">
        <f>IF($H1560&lt;&gt;"Y",0,ROUND(MIN(Dashboard!$R$24,IF(IFERROR(VLOOKUP($B1560,Dashboard!$Q$28:$S$60,2,FALSE),0)&gt;0,IFERROR(VLOOKUP($B1560,Dashboard!$Q$28:$S$60,2,FALSE),0),$Z1560*IF($U1560&lt;&gt;"",ROUND((Dashboard!$R$4/$U1560)*VLOOKUP($I1560,Dashboard!$Q$9:$R$13,2,FALSE)*IF(ISNUMBER(SEARCH("Duals",$B1560)),2,IF(ISNUMBER(SEARCH("Triples",$B1560)),3,IF(ISNUMBER(SEARCH("Quads",$B1560)),4,1))),2),ROUND(VLOOKUP($I1560,Dashboard!$Q$15:$R$20,2,FALSE)*IF($E1560="Red",Dashboard!$R$6,IF($E1560="Gold",Dashboard!$R$7,Dashboard!$R$5))*IF(ISNUMBER(SEARCH("Duals",$B1560)),2,IF(ISNUMBER(SEARCH("Triples",$B1560)),3,IF(ISNUMBER(SEARCH("Quads",$B1560)),4,1))),2))*IF(IFERROR(VLOOKUP($B1560,Dashboard!$Q$28:$S$60,3,FALSE),0)&gt;0,VLOOKUP($B1560,Dashboard!$Q$28:$S$60,3,FALSE),1))),0))</f>
        <v>13</v>
      </c>
      <c r="K1560" s="2" t="str">
        <f>IF(Characters!G10="","",Characters!G10)</f>
        <v>C 17/82</v>
      </c>
      <c r="L1560" s="2">
        <f t="shared" si="312"/>
        <v>1</v>
      </c>
      <c r="M1560" s="2">
        <f t="shared" si="313"/>
        <v>0</v>
      </c>
      <c r="N1560" s="2">
        <f t="shared" si="314"/>
        <v>1</v>
      </c>
      <c r="O1560" s="2">
        <f t="shared" si="315"/>
        <v>0</v>
      </c>
      <c r="P1560" s="112">
        <f t="shared" si="316"/>
        <v>13</v>
      </c>
      <c r="Q1560" s="112">
        <f t="shared" si="317"/>
        <v>0</v>
      </c>
      <c r="R1560" s="53"/>
      <c r="S1560" s="53" t="str">
        <f t="shared" si="318"/>
        <v>Characters|Characters Floor 82 Parallel|C-9|Floor 82</v>
      </c>
      <c r="T1560" s="57" t="str">
        <f>IF($S1560="","",IFERROR(VLOOKUP($S1560,'Pop Estimates (Non-#d)'!$N$2:$O$500,2,FALSE),""))</f>
        <v/>
      </c>
      <c r="U1560" s="57">
        <f t="shared" si="319"/>
        <v>82</v>
      </c>
      <c r="V1560" s="53" t="str">
        <f t="shared" si="320"/>
        <v>Queen Maeve</v>
      </c>
      <c r="W1560" s="53" t="str">
        <f t="shared" si="321"/>
        <v>Queen Maeve</v>
      </c>
      <c r="X1560" s="53" t="str">
        <f t="shared" si="322"/>
        <v>Queen Maeve</v>
      </c>
      <c r="Y1560" s="57">
        <f>IF($X1560="","",IFERROR(VLOOKUP($X1560,'Char Popularity'!$A$2:$C$500,2,FALSE),""))</f>
        <v>4</v>
      </c>
      <c r="Z1560" s="56">
        <f>IF($X1560="",1,IFERROR(VLOOKUP($X1560,'Char Popularity'!$A$2:$C$500,3,FALSE),1))</f>
        <v>1.1000000000000001</v>
      </c>
      <c r="AA1560" s="62">
        <f>IF($H1560&lt;&gt;"Y",0,(IF($F1560&lt;&gt;"",ROUND(Dashboard!$R$4/$F1560,1),IF(AND($I1560="Base",$E1560="Base"),Dashboard!$R$5,IF(AND($I1560="Base",$E1560="Red"),Dashboard!$R$6,IF(AND($I1560="Base",$E1560="Gold"),Dashboard!$R$7,VLOOKUP($I1560,Dashboard!$Q$16:$R$21,2,FALSE)))))*VLOOKUP($I1560,Dashboard!$Q$9:$R$13,2,FALSE)*IF(AND($I1560="Auto",$F1560="",OR($B1560="Autographs Duals",$B1560="Autographs Triples",$B1560="Autographs Quads",$B1560="Autographs Quads (Inscribed)")),IF($B1560="Autographs Duals",2,IF($B1560="Autographs Triples",3,4)),1)))</f>
        <v>12.2</v>
      </c>
      <c r="AB1560" s="62">
        <f t="shared" si="323"/>
        <v>12.2</v>
      </c>
      <c r="AC1560" s="62">
        <f t="shared" si="324"/>
        <v>0</v>
      </c>
    </row>
    <row r="1561" spans="1:29" ht="42.95" customHeight="1" x14ac:dyDescent="0.25">
      <c r="A1561" s="4" t="s">
        <v>21</v>
      </c>
      <c r="B1561" s="7" t="s">
        <v>93</v>
      </c>
      <c r="C1561" s="2" t="s">
        <v>410</v>
      </c>
      <c r="D1561" s="7" t="s">
        <v>270</v>
      </c>
      <c r="E1561" s="4" t="s">
        <v>779</v>
      </c>
      <c r="F1561" s="2">
        <v>82</v>
      </c>
      <c r="G1561" s="2" t="s">
        <v>1399</v>
      </c>
      <c r="H1561" s="2" t="s">
        <v>1400</v>
      </c>
      <c r="I1561" s="4" t="s">
        <v>60</v>
      </c>
      <c r="J1561" s="112">
        <f>IF($H1561&lt;&gt;"Y",0,ROUND(MIN(Dashboard!$R$24,IF(IFERROR(VLOOKUP($B1561,Dashboard!$Q$28:$S$60,2,FALSE),0)&gt;0,IFERROR(VLOOKUP($B1561,Dashboard!$Q$28:$S$60,2,FALSE),0),$Z1561*IF($U1561&lt;&gt;"",ROUND((Dashboard!$R$4/$U1561)*VLOOKUP($I1561,Dashboard!$Q$9:$R$13,2,FALSE)*IF(ISNUMBER(SEARCH("Duals",$B1561)),2,IF(ISNUMBER(SEARCH("Triples",$B1561)),3,IF(ISNUMBER(SEARCH("Quads",$B1561)),4,1))),2),ROUND(VLOOKUP($I1561,Dashboard!$Q$15:$R$20,2,FALSE)*IF($E1561="Red",Dashboard!$R$6,IF($E1561="Gold",Dashboard!$R$7,Dashboard!$R$5))*IF(ISNUMBER(SEARCH("Duals",$B1561)),2,IF(ISNUMBER(SEARCH("Triples",$B1561)),3,IF(ISNUMBER(SEARCH("Quads",$B1561)),4,1))),2))*IF(IFERROR(VLOOKUP($B1561,Dashboard!$Q$28:$S$60,3,FALSE),0)&gt;0,VLOOKUP($B1561,Dashboard!$Q$28:$S$60,3,FALSE),1))),0))</f>
        <v>13</v>
      </c>
      <c r="K1561" s="2" t="str">
        <f>IF(Characters!G11="","",Characters!G11)</f>
        <v>C 18/82</v>
      </c>
      <c r="L1561" s="2">
        <f t="shared" si="312"/>
        <v>1</v>
      </c>
      <c r="M1561" s="2">
        <f t="shared" si="313"/>
        <v>0</v>
      </c>
      <c r="N1561" s="2">
        <f t="shared" si="314"/>
        <v>1</v>
      </c>
      <c r="O1561" s="2">
        <f t="shared" si="315"/>
        <v>0</v>
      </c>
      <c r="P1561" s="112">
        <f t="shared" si="316"/>
        <v>13</v>
      </c>
      <c r="Q1561" s="112">
        <f t="shared" si="317"/>
        <v>0</v>
      </c>
      <c r="R1561" s="53"/>
      <c r="S1561" s="53" t="str">
        <f t="shared" si="318"/>
        <v>Characters|Characters Floor 82 Parallel|C-10|Floor 82</v>
      </c>
      <c r="T1561" s="57" t="str">
        <f>IF($S1561="","",IFERROR(VLOOKUP($S1561,'Pop Estimates (Non-#d)'!$N$2:$O$500,2,FALSE),""))</f>
        <v/>
      </c>
      <c r="U1561" s="57">
        <f t="shared" si="319"/>
        <v>82</v>
      </c>
      <c r="V1561" s="53" t="str">
        <f t="shared" si="320"/>
        <v>Kimiko</v>
      </c>
      <c r="W1561" s="53" t="str">
        <f t="shared" si="321"/>
        <v>Kimiko</v>
      </c>
      <c r="X1561" s="53" t="str">
        <f t="shared" si="322"/>
        <v>Kimiko</v>
      </c>
      <c r="Y1561" s="57">
        <f>IF($X1561="","",IFERROR(VLOOKUP($X1561,'Char Popularity'!$A$2:$C$500,2,FALSE),""))</f>
        <v>4</v>
      </c>
      <c r="Z1561" s="56">
        <f>IF($X1561="",1,IFERROR(VLOOKUP($X1561,'Char Popularity'!$A$2:$C$500,3,FALSE),1))</f>
        <v>1.1000000000000001</v>
      </c>
      <c r="AA1561" s="62">
        <f>IF($H1561&lt;&gt;"Y",0,(IF($F1561&lt;&gt;"",ROUND(Dashboard!$R$4/$F1561,1),IF(AND($I1561="Base",$E1561="Base"),Dashboard!$R$5,IF(AND($I1561="Base",$E1561="Red"),Dashboard!$R$6,IF(AND($I1561="Base",$E1561="Gold"),Dashboard!$R$7,VLOOKUP($I1561,Dashboard!$Q$16:$R$21,2,FALSE)))))*VLOOKUP($I1561,Dashboard!$Q$9:$R$13,2,FALSE)*IF(AND($I1561="Auto",$F1561="",OR($B1561="Autographs Duals",$B1561="Autographs Triples",$B1561="Autographs Quads",$B1561="Autographs Quads (Inscribed)")),IF($B1561="Autographs Duals",2,IF($B1561="Autographs Triples",3,4)),1)))</f>
        <v>12.2</v>
      </c>
      <c r="AB1561" s="62">
        <f t="shared" si="323"/>
        <v>12.2</v>
      </c>
      <c r="AC1561" s="62">
        <f t="shared" si="324"/>
        <v>0</v>
      </c>
    </row>
    <row r="1562" spans="1:29" ht="42.95" customHeight="1" x14ac:dyDescent="0.25">
      <c r="A1562" s="4" t="s">
        <v>21</v>
      </c>
      <c r="B1562" s="7" t="s">
        <v>93</v>
      </c>
      <c r="C1562" s="2" t="s">
        <v>411</v>
      </c>
      <c r="D1562" s="7" t="s">
        <v>238</v>
      </c>
      <c r="E1562" s="4" t="s">
        <v>779</v>
      </c>
      <c r="F1562" s="2">
        <v>82</v>
      </c>
      <c r="G1562" s="2" t="s">
        <v>1399</v>
      </c>
      <c r="H1562" s="2" t="s">
        <v>1400</v>
      </c>
      <c r="I1562" s="4" t="s">
        <v>60</v>
      </c>
      <c r="J1562" s="112">
        <f>IF($H1562&lt;&gt;"Y",0,ROUND(MIN(Dashboard!$R$24,IF(IFERROR(VLOOKUP($B1562,Dashboard!$Q$28:$S$60,2,FALSE),0)&gt;0,IFERROR(VLOOKUP($B1562,Dashboard!$Q$28:$S$60,2,FALSE),0),$Z1562*IF($U1562&lt;&gt;"",ROUND((Dashboard!$R$4/$U1562)*VLOOKUP($I1562,Dashboard!$Q$9:$R$13,2,FALSE)*IF(ISNUMBER(SEARCH("Duals",$B1562)),2,IF(ISNUMBER(SEARCH("Triples",$B1562)),3,IF(ISNUMBER(SEARCH("Quads",$B1562)),4,1))),2),ROUND(VLOOKUP($I1562,Dashboard!$Q$15:$R$20,2,FALSE)*IF($E1562="Red",Dashboard!$R$6,IF($E1562="Gold",Dashboard!$R$7,Dashboard!$R$5))*IF(ISNUMBER(SEARCH("Duals",$B1562)),2,IF(ISNUMBER(SEARCH("Triples",$B1562)),3,IF(ISNUMBER(SEARCH("Quads",$B1562)),4,1))),2))*IF(IFERROR(VLOOKUP($B1562,Dashboard!$Q$28:$S$60,3,FALSE),0)&gt;0,VLOOKUP($B1562,Dashboard!$Q$28:$S$60,3,FALSE),1))),0))</f>
        <v>13</v>
      </c>
      <c r="K1562" s="2" t="str">
        <f>IF(Characters!G12="","",Characters!G12)</f>
        <v>C 57/82</v>
      </c>
      <c r="L1562" s="2">
        <f t="shared" si="312"/>
        <v>1</v>
      </c>
      <c r="M1562" s="2">
        <f t="shared" si="313"/>
        <v>0</v>
      </c>
      <c r="N1562" s="2">
        <f t="shared" si="314"/>
        <v>1</v>
      </c>
      <c r="O1562" s="2">
        <f t="shared" si="315"/>
        <v>0</v>
      </c>
      <c r="P1562" s="112">
        <f t="shared" si="316"/>
        <v>13</v>
      </c>
      <c r="Q1562" s="112">
        <f t="shared" si="317"/>
        <v>0</v>
      </c>
      <c r="R1562" s="53"/>
      <c r="S1562" s="53" t="str">
        <f t="shared" si="318"/>
        <v>Characters|Characters Floor 82 Parallel|C-11|Floor 82</v>
      </c>
      <c r="T1562" s="57" t="str">
        <f>IF($S1562="","",IFERROR(VLOOKUP($S1562,'Pop Estimates (Non-#d)'!$N$2:$O$500,2,FALSE),""))</f>
        <v/>
      </c>
      <c r="U1562" s="57">
        <f t="shared" si="319"/>
        <v>82</v>
      </c>
      <c r="V1562" s="53" t="str">
        <f t="shared" si="320"/>
        <v>Frenchie</v>
      </c>
      <c r="W1562" s="53" t="str">
        <f t="shared" si="321"/>
        <v>Frenchie</v>
      </c>
      <c r="X1562" s="53" t="str">
        <f t="shared" si="322"/>
        <v>Frenchie</v>
      </c>
      <c r="Y1562" s="57">
        <f>IF($X1562="","",IFERROR(VLOOKUP($X1562,'Char Popularity'!$A$2:$C$500,2,FALSE),""))</f>
        <v>4</v>
      </c>
      <c r="Z1562" s="56">
        <f>IF($X1562="",1,IFERROR(VLOOKUP($X1562,'Char Popularity'!$A$2:$C$500,3,FALSE),1))</f>
        <v>1.1000000000000001</v>
      </c>
      <c r="AA1562" s="62">
        <f>IF($H1562&lt;&gt;"Y",0,(IF($F1562&lt;&gt;"",ROUND(Dashboard!$R$4/$F1562,1),IF(AND($I1562="Base",$E1562="Base"),Dashboard!$R$5,IF(AND($I1562="Base",$E1562="Red"),Dashboard!$R$6,IF(AND($I1562="Base",$E1562="Gold"),Dashboard!$R$7,VLOOKUP($I1562,Dashboard!$Q$16:$R$21,2,FALSE)))))*VLOOKUP($I1562,Dashboard!$Q$9:$R$13,2,FALSE)*IF(AND($I1562="Auto",$F1562="",OR($B1562="Autographs Duals",$B1562="Autographs Triples",$B1562="Autographs Quads",$B1562="Autographs Quads (Inscribed)")),IF($B1562="Autographs Duals",2,IF($B1562="Autographs Triples",3,4)),1)))</f>
        <v>12.2</v>
      </c>
      <c r="AB1562" s="62">
        <f t="shared" si="323"/>
        <v>12.2</v>
      </c>
      <c r="AC1562" s="62">
        <f t="shared" si="324"/>
        <v>0</v>
      </c>
    </row>
    <row r="1563" spans="1:29" ht="42.95" customHeight="1" x14ac:dyDescent="0.25">
      <c r="A1563" s="4" t="s">
        <v>21</v>
      </c>
      <c r="B1563" s="7" t="s">
        <v>93</v>
      </c>
      <c r="C1563" s="2" t="s">
        <v>412</v>
      </c>
      <c r="D1563" s="7" t="s">
        <v>283</v>
      </c>
      <c r="E1563" s="4" t="s">
        <v>779</v>
      </c>
      <c r="F1563" s="2">
        <v>82</v>
      </c>
      <c r="G1563" s="2" t="s">
        <v>1399</v>
      </c>
      <c r="H1563" s="2" t="s">
        <v>1400</v>
      </c>
      <c r="I1563" s="4" t="s">
        <v>60</v>
      </c>
      <c r="J1563" s="112">
        <f>IF($H1563&lt;&gt;"Y",0,ROUND(MIN(Dashboard!$R$24,IF(IFERROR(VLOOKUP($B1563,Dashboard!$Q$28:$S$60,2,FALSE),0)&gt;0,IFERROR(VLOOKUP($B1563,Dashboard!$Q$28:$S$60,2,FALSE),0),$Z1563*IF($U1563&lt;&gt;"",ROUND((Dashboard!$R$4/$U1563)*VLOOKUP($I1563,Dashboard!$Q$9:$R$13,2,FALSE)*IF(ISNUMBER(SEARCH("Duals",$B1563)),2,IF(ISNUMBER(SEARCH("Triples",$B1563)),3,IF(ISNUMBER(SEARCH("Quads",$B1563)),4,1))),2),ROUND(VLOOKUP($I1563,Dashboard!$Q$15:$R$20,2,FALSE)*IF($E1563="Red",Dashboard!$R$6,IF($E1563="Gold",Dashboard!$R$7,Dashboard!$R$5))*IF(ISNUMBER(SEARCH("Duals",$B1563)),2,IF(ISNUMBER(SEARCH("Triples",$B1563)),3,IF(ISNUMBER(SEARCH("Quads",$B1563)),4,1))),2))*IF(IFERROR(VLOOKUP($B1563,Dashboard!$Q$28:$S$60,3,FALSE),0)&gt;0,VLOOKUP($B1563,Dashboard!$Q$28:$S$60,3,FALSE),1))),0))</f>
        <v>13</v>
      </c>
      <c r="K1563" s="2" t="str">
        <f>IF(Characters!G13="","",Characters!G13)</f>
        <v>C 38/82</v>
      </c>
      <c r="L1563" s="2">
        <f t="shared" si="312"/>
        <v>1</v>
      </c>
      <c r="M1563" s="2">
        <f t="shared" si="313"/>
        <v>0</v>
      </c>
      <c r="N1563" s="2">
        <f t="shared" si="314"/>
        <v>1</v>
      </c>
      <c r="O1563" s="2">
        <f t="shared" si="315"/>
        <v>0</v>
      </c>
      <c r="P1563" s="112">
        <f t="shared" si="316"/>
        <v>13</v>
      </c>
      <c r="Q1563" s="112">
        <f t="shared" si="317"/>
        <v>0</v>
      </c>
      <c r="R1563" s="53"/>
      <c r="S1563" s="53" t="str">
        <f t="shared" si="318"/>
        <v>Characters|Characters Floor 82 Parallel|C-12|Floor 82</v>
      </c>
      <c r="T1563" s="57" t="str">
        <f>IF($S1563="","",IFERROR(VLOOKUP($S1563,'Pop Estimates (Non-#d)'!$N$2:$O$500,2,FALSE),""))</f>
        <v/>
      </c>
      <c r="U1563" s="57">
        <f t="shared" si="319"/>
        <v>82</v>
      </c>
      <c r="V1563" s="53" t="str">
        <f t="shared" si="320"/>
        <v>Black Noir</v>
      </c>
      <c r="W1563" s="53" t="str">
        <f t="shared" si="321"/>
        <v>Black Noir</v>
      </c>
      <c r="X1563" s="53" t="str">
        <f t="shared" si="322"/>
        <v>Black Noir</v>
      </c>
      <c r="Y1563" s="57">
        <f>IF($X1563="","",IFERROR(VLOOKUP($X1563,'Char Popularity'!$A$2:$C$500,2,FALSE),""))</f>
        <v>4</v>
      </c>
      <c r="Z1563" s="56">
        <f>IF($X1563="",1,IFERROR(VLOOKUP($X1563,'Char Popularity'!$A$2:$C$500,3,FALSE),1))</f>
        <v>1.1000000000000001</v>
      </c>
      <c r="AA1563" s="62">
        <f>IF($H1563&lt;&gt;"Y",0,(IF($F1563&lt;&gt;"",ROUND(Dashboard!$R$4/$F1563,1),IF(AND($I1563="Base",$E1563="Base"),Dashboard!$R$5,IF(AND($I1563="Base",$E1563="Red"),Dashboard!$R$6,IF(AND($I1563="Base",$E1563="Gold"),Dashboard!$R$7,VLOOKUP($I1563,Dashboard!$Q$16:$R$21,2,FALSE)))))*VLOOKUP($I1563,Dashboard!$Q$9:$R$13,2,FALSE)*IF(AND($I1563="Auto",$F1563="",OR($B1563="Autographs Duals",$B1563="Autographs Triples",$B1563="Autographs Quads",$B1563="Autographs Quads (Inscribed)")),IF($B1563="Autographs Duals",2,IF($B1563="Autographs Triples",3,4)),1)))</f>
        <v>12.2</v>
      </c>
      <c r="AB1563" s="62">
        <f t="shared" si="323"/>
        <v>12.2</v>
      </c>
      <c r="AC1563" s="62">
        <f t="shared" si="324"/>
        <v>0</v>
      </c>
    </row>
    <row r="1564" spans="1:29" ht="42.95" customHeight="1" x14ac:dyDescent="0.25">
      <c r="A1564" s="4" t="s">
        <v>21</v>
      </c>
      <c r="B1564" s="7" t="s">
        <v>93</v>
      </c>
      <c r="C1564" s="2" t="s">
        <v>413</v>
      </c>
      <c r="D1564" s="7" t="s">
        <v>216</v>
      </c>
      <c r="E1564" s="4" t="s">
        <v>779</v>
      </c>
      <c r="F1564" s="2">
        <v>82</v>
      </c>
      <c r="G1564" s="2" t="s">
        <v>1399</v>
      </c>
      <c r="H1564" s="2" t="s">
        <v>1400</v>
      </c>
      <c r="I1564" s="4" t="s">
        <v>60</v>
      </c>
      <c r="J1564" s="112">
        <f>IF($H1564&lt;&gt;"Y",0,ROUND(MIN(Dashboard!$R$24,IF(IFERROR(VLOOKUP($B1564,Dashboard!$Q$28:$S$60,2,FALSE),0)&gt;0,IFERROR(VLOOKUP($B1564,Dashboard!$Q$28:$S$60,2,FALSE),0),$Z1564*IF($U1564&lt;&gt;"",ROUND((Dashboard!$R$4/$U1564)*VLOOKUP($I1564,Dashboard!$Q$9:$R$13,2,FALSE)*IF(ISNUMBER(SEARCH("Duals",$B1564)),2,IF(ISNUMBER(SEARCH("Triples",$B1564)),3,IF(ISNUMBER(SEARCH("Quads",$B1564)),4,1))),2),ROUND(VLOOKUP($I1564,Dashboard!$Q$15:$R$20,2,FALSE)*IF($E1564="Red",Dashboard!$R$6,IF($E1564="Gold",Dashboard!$R$7,Dashboard!$R$5))*IF(ISNUMBER(SEARCH("Duals",$B1564)),2,IF(ISNUMBER(SEARCH("Triples",$B1564)),3,IF(ISNUMBER(SEARCH("Quads",$B1564)),4,1))),2))*IF(IFERROR(VLOOKUP($B1564,Dashboard!$Q$28:$S$60,3,FALSE),0)&gt;0,VLOOKUP($B1564,Dashboard!$Q$28:$S$60,3,FALSE),1))),0))</f>
        <v>11</v>
      </c>
      <c r="K1564" s="2" t="str">
        <f>IF(Characters!G14="","",Characters!G14)</f>
        <v>V 50/82</v>
      </c>
      <c r="L1564" s="2">
        <f t="shared" si="312"/>
        <v>1</v>
      </c>
      <c r="M1564" s="2">
        <f t="shared" si="313"/>
        <v>0</v>
      </c>
      <c r="N1564" s="2">
        <f t="shared" si="314"/>
        <v>1</v>
      </c>
      <c r="O1564" s="2">
        <f t="shared" si="315"/>
        <v>0</v>
      </c>
      <c r="P1564" s="112">
        <f t="shared" si="316"/>
        <v>11</v>
      </c>
      <c r="Q1564" s="112">
        <f t="shared" si="317"/>
        <v>0</v>
      </c>
      <c r="R1564" s="53"/>
      <c r="S1564" s="53" t="str">
        <f t="shared" si="318"/>
        <v>Characters|Characters Floor 82 Parallel|C-13|Floor 82</v>
      </c>
      <c r="T1564" s="57" t="str">
        <f>IF($S1564="","",IFERROR(VLOOKUP($S1564,'Pop Estimates (Non-#d)'!$N$2:$O$500,2,FALSE),""))</f>
        <v/>
      </c>
      <c r="U1564" s="57">
        <f t="shared" si="319"/>
        <v>82</v>
      </c>
      <c r="V1564" s="53" t="str">
        <f t="shared" si="320"/>
        <v>Translucent</v>
      </c>
      <c r="W1564" s="53" t="str">
        <f t="shared" si="321"/>
        <v>Translucent</v>
      </c>
      <c r="X1564" s="53" t="str">
        <f t="shared" si="322"/>
        <v>Translucent</v>
      </c>
      <c r="Y1564" s="57">
        <f>IF($X1564="","",IFERROR(VLOOKUP($X1564,'Char Popularity'!$A$2:$C$500,2,FALSE),""))</f>
        <v>2</v>
      </c>
      <c r="Z1564" s="56">
        <f>IF($X1564="",1,IFERROR(VLOOKUP($X1564,'Char Popularity'!$A$2:$C$500,3,FALSE),1))</f>
        <v>0.9</v>
      </c>
      <c r="AA1564" s="62">
        <f>IF($H1564&lt;&gt;"Y",0,(IF($F1564&lt;&gt;"",ROUND(Dashboard!$R$4/$F1564,1),IF(AND($I1564="Base",$E1564="Base"),Dashboard!$R$5,IF(AND($I1564="Base",$E1564="Red"),Dashboard!$R$6,IF(AND($I1564="Base",$E1564="Gold"),Dashboard!$R$7,VLOOKUP($I1564,Dashboard!$Q$16:$R$21,2,FALSE)))))*VLOOKUP($I1564,Dashboard!$Q$9:$R$13,2,FALSE)*IF(AND($I1564="Auto",$F1564="",OR($B1564="Autographs Duals",$B1564="Autographs Triples",$B1564="Autographs Quads",$B1564="Autographs Quads (Inscribed)")),IF($B1564="Autographs Duals",2,IF($B1564="Autographs Triples",3,4)),1)))</f>
        <v>12.2</v>
      </c>
      <c r="AB1564" s="62">
        <f t="shared" si="323"/>
        <v>12.2</v>
      </c>
      <c r="AC1564" s="62">
        <f t="shared" si="324"/>
        <v>0</v>
      </c>
    </row>
    <row r="1565" spans="1:29" ht="42.95" customHeight="1" x14ac:dyDescent="0.25">
      <c r="A1565" s="4" t="s">
        <v>21</v>
      </c>
      <c r="B1565" s="7" t="s">
        <v>93</v>
      </c>
      <c r="C1565" s="2" t="s">
        <v>414</v>
      </c>
      <c r="D1565" s="7" t="s">
        <v>254</v>
      </c>
      <c r="E1565" s="4" t="s">
        <v>779</v>
      </c>
      <c r="F1565" s="2">
        <v>82</v>
      </c>
      <c r="G1565" s="2" t="s">
        <v>1399</v>
      </c>
      <c r="H1565" s="2" t="s">
        <v>1400</v>
      </c>
      <c r="I1565" s="4" t="s">
        <v>60</v>
      </c>
      <c r="J1565" s="112">
        <f>IF($H1565&lt;&gt;"Y",0,ROUND(MIN(Dashboard!$R$24,IF(IFERROR(VLOOKUP($B1565,Dashboard!$Q$28:$S$60,2,FALSE),0)&gt;0,IFERROR(VLOOKUP($B1565,Dashboard!$Q$28:$S$60,2,FALSE),0),$Z1565*IF($U1565&lt;&gt;"",ROUND((Dashboard!$R$4/$U1565)*VLOOKUP($I1565,Dashboard!$Q$9:$R$13,2,FALSE)*IF(ISNUMBER(SEARCH("Duals",$B1565)),2,IF(ISNUMBER(SEARCH("Triples",$B1565)),3,IF(ISNUMBER(SEARCH("Quads",$B1565)),4,1))),2),ROUND(VLOOKUP($I1565,Dashboard!$Q$15:$R$20,2,FALSE)*IF($E1565="Red",Dashboard!$R$6,IF($E1565="Gold",Dashboard!$R$7,Dashboard!$R$5))*IF(ISNUMBER(SEARCH("Duals",$B1565)),2,IF(ISNUMBER(SEARCH("Triples",$B1565)),3,IF(ISNUMBER(SEARCH("Quads",$B1565)),4,1))),2))*IF(IFERROR(VLOOKUP($B1565,Dashboard!$Q$28:$S$60,3,FALSE),0)&gt;0,VLOOKUP($B1565,Dashboard!$Q$28:$S$60,3,FALSE),1))),0))</f>
        <v>13</v>
      </c>
      <c r="K1565" s="2" t="str">
        <f>IF(Characters!G15="","",Characters!G15)</f>
        <v>C 19/82</v>
      </c>
      <c r="L1565" s="2">
        <f t="shared" si="312"/>
        <v>1</v>
      </c>
      <c r="M1565" s="2">
        <f t="shared" si="313"/>
        <v>0</v>
      </c>
      <c r="N1565" s="2">
        <f t="shared" si="314"/>
        <v>1</v>
      </c>
      <c r="O1565" s="2">
        <f t="shared" si="315"/>
        <v>0</v>
      </c>
      <c r="P1565" s="112">
        <f t="shared" si="316"/>
        <v>13</v>
      </c>
      <c r="Q1565" s="112">
        <f t="shared" si="317"/>
        <v>0</v>
      </c>
      <c r="R1565" s="53"/>
      <c r="S1565" s="53" t="str">
        <f t="shared" si="318"/>
        <v>Characters|Characters Floor 82 Parallel|C-14|Floor 82</v>
      </c>
      <c r="T1565" s="57" t="str">
        <f>IF($S1565="","",IFERROR(VLOOKUP($S1565,'Pop Estimates (Non-#d)'!$N$2:$O$500,2,FALSE),""))</f>
        <v/>
      </c>
      <c r="U1565" s="57">
        <f t="shared" si="319"/>
        <v>82</v>
      </c>
      <c r="V1565" s="53" t="str">
        <f t="shared" si="320"/>
        <v>Stan Edgar</v>
      </c>
      <c r="W1565" s="53" t="str">
        <f t="shared" si="321"/>
        <v>Stan Edgar</v>
      </c>
      <c r="X1565" s="53" t="str">
        <f t="shared" si="322"/>
        <v>Stan Edgar</v>
      </c>
      <c r="Y1565" s="57">
        <f>IF($X1565="","",IFERROR(VLOOKUP($X1565,'Char Popularity'!$A$2:$C$500,2,FALSE),""))</f>
        <v>4</v>
      </c>
      <c r="Z1565" s="56">
        <f>IF($X1565="",1,IFERROR(VLOOKUP($X1565,'Char Popularity'!$A$2:$C$500,3,FALSE),1))</f>
        <v>1.1000000000000001</v>
      </c>
      <c r="AA1565" s="62">
        <f>IF($H1565&lt;&gt;"Y",0,(IF($F1565&lt;&gt;"",ROUND(Dashboard!$R$4/$F1565,1),IF(AND($I1565="Base",$E1565="Base"),Dashboard!$R$5,IF(AND($I1565="Base",$E1565="Red"),Dashboard!$R$6,IF(AND($I1565="Base",$E1565="Gold"),Dashboard!$R$7,VLOOKUP($I1565,Dashboard!$Q$16:$R$21,2,FALSE)))))*VLOOKUP($I1565,Dashboard!$Q$9:$R$13,2,FALSE)*IF(AND($I1565="Auto",$F1565="",OR($B1565="Autographs Duals",$B1565="Autographs Triples",$B1565="Autographs Quads",$B1565="Autographs Quads (Inscribed)")),IF($B1565="Autographs Duals",2,IF($B1565="Autographs Triples",3,4)),1)))</f>
        <v>12.2</v>
      </c>
      <c r="AB1565" s="62">
        <f t="shared" si="323"/>
        <v>12.2</v>
      </c>
      <c r="AC1565" s="62">
        <f t="shared" si="324"/>
        <v>0</v>
      </c>
    </row>
    <row r="1566" spans="1:29" ht="42.95" customHeight="1" x14ac:dyDescent="0.25">
      <c r="A1566" s="4" t="s">
        <v>21</v>
      </c>
      <c r="B1566" s="7" t="s">
        <v>93</v>
      </c>
      <c r="C1566" s="2" t="s">
        <v>415</v>
      </c>
      <c r="D1566" s="7" t="s">
        <v>224</v>
      </c>
      <c r="E1566" s="4" t="s">
        <v>779</v>
      </c>
      <c r="F1566" s="2">
        <v>82</v>
      </c>
      <c r="G1566" s="2" t="s">
        <v>1399</v>
      </c>
      <c r="H1566" s="2" t="s">
        <v>1400</v>
      </c>
      <c r="I1566" s="4" t="s">
        <v>60</v>
      </c>
      <c r="J1566" s="112">
        <f>IF($H1566&lt;&gt;"Y",0,ROUND(MIN(Dashboard!$R$24,IF(IFERROR(VLOOKUP($B1566,Dashboard!$Q$28:$S$60,2,FALSE),0)&gt;0,IFERROR(VLOOKUP($B1566,Dashboard!$Q$28:$S$60,2,FALSE),0),$Z1566*IF($U1566&lt;&gt;"",ROUND((Dashboard!$R$4/$U1566)*VLOOKUP($I1566,Dashboard!$Q$9:$R$13,2,FALSE)*IF(ISNUMBER(SEARCH("Duals",$B1566)),2,IF(ISNUMBER(SEARCH("Triples",$B1566)),3,IF(ISNUMBER(SEARCH("Quads",$B1566)),4,1))),2),ROUND(VLOOKUP($I1566,Dashboard!$Q$15:$R$20,2,FALSE)*IF($E1566="Red",Dashboard!$R$6,IF($E1566="Gold",Dashboard!$R$7,Dashboard!$R$5))*IF(ISNUMBER(SEARCH("Duals",$B1566)),2,IF(ISNUMBER(SEARCH("Triples",$B1566)),3,IF(ISNUMBER(SEARCH("Quads",$B1566)),4,1))),2))*IF(IFERROR(VLOOKUP($B1566,Dashboard!$Q$28:$S$60,3,FALSE),0)&gt;0,VLOOKUP($B1566,Dashboard!$Q$28:$S$60,3,FALSE),1))),0))</f>
        <v>11</v>
      </c>
      <c r="K1566" s="2" t="str">
        <f>IF(Characters!G16="","",Characters!G16)</f>
        <v>V 76/82</v>
      </c>
      <c r="L1566" s="2">
        <f t="shared" si="312"/>
        <v>1</v>
      </c>
      <c r="M1566" s="2">
        <f t="shared" si="313"/>
        <v>0</v>
      </c>
      <c r="N1566" s="2">
        <f t="shared" si="314"/>
        <v>1</v>
      </c>
      <c r="O1566" s="2">
        <f t="shared" si="315"/>
        <v>0</v>
      </c>
      <c r="P1566" s="112">
        <f t="shared" si="316"/>
        <v>11</v>
      </c>
      <c r="Q1566" s="112">
        <f t="shared" si="317"/>
        <v>0</v>
      </c>
      <c r="R1566" s="53"/>
      <c r="S1566" s="53" t="str">
        <f t="shared" si="318"/>
        <v>Characters|Characters Floor 82 Parallel|C-15|Floor 82</v>
      </c>
      <c r="T1566" s="57" t="str">
        <f>IF($S1566="","",IFERROR(VLOOKUP($S1566,'Pop Estimates (Non-#d)'!$N$2:$O$500,2,FALSE),""))</f>
        <v/>
      </c>
      <c r="U1566" s="57">
        <f t="shared" si="319"/>
        <v>82</v>
      </c>
      <c r="V1566" s="53" t="str">
        <f t="shared" si="320"/>
        <v>Popclaw</v>
      </c>
      <c r="W1566" s="53" t="str">
        <f t="shared" si="321"/>
        <v>Popclaw</v>
      </c>
      <c r="X1566" s="53" t="str">
        <f t="shared" si="322"/>
        <v>Popclaw</v>
      </c>
      <c r="Y1566" s="57">
        <f>IF($X1566="","",IFERROR(VLOOKUP($X1566,'Char Popularity'!$A$2:$C$500,2,FALSE),""))</f>
        <v>2</v>
      </c>
      <c r="Z1566" s="56">
        <f>IF($X1566="",1,IFERROR(VLOOKUP($X1566,'Char Popularity'!$A$2:$C$500,3,FALSE),1))</f>
        <v>0.9</v>
      </c>
      <c r="AA1566" s="62">
        <f>IF($H1566&lt;&gt;"Y",0,(IF($F1566&lt;&gt;"",ROUND(Dashboard!$R$4/$F1566,1),IF(AND($I1566="Base",$E1566="Base"),Dashboard!$R$5,IF(AND($I1566="Base",$E1566="Red"),Dashboard!$R$6,IF(AND($I1566="Base",$E1566="Gold"),Dashboard!$R$7,VLOOKUP($I1566,Dashboard!$Q$16:$R$21,2,FALSE)))))*VLOOKUP($I1566,Dashboard!$Q$9:$R$13,2,FALSE)*IF(AND($I1566="Auto",$F1566="",OR($B1566="Autographs Duals",$B1566="Autographs Triples",$B1566="Autographs Quads",$B1566="Autographs Quads (Inscribed)")),IF($B1566="Autographs Duals",2,IF($B1566="Autographs Triples",3,4)),1)))</f>
        <v>12.2</v>
      </c>
      <c r="AB1566" s="62">
        <f t="shared" si="323"/>
        <v>12.2</v>
      </c>
      <c r="AC1566" s="62">
        <f t="shared" si="324"/>
        <v>0</v>
      </c>
    </row>
    <row r="1567" spans="1:29" ht="42.95" customHeight="1" x14ac:dyDescent="0.25">
      <c r="A1567" s="4" t="s">
        <v>21</v>
      </c>
      <c r="B1567" s="7" t="s">
        <v>93</v>
      </c>
      <c r="C1567" s="2" t="s">
        <v>1217</v>
      </c>
      <c r="D1567" s="7" t="s">
        <v>1218</v>
      </c>
      <c r="E1567" s="4" t="s">
        <v>779</v>
      </c>
      <c r="F1567" s="2">
        <v>82</v>
      </c>
      <c r="G1567" s="2" t="s">
        <v>1399</v>
      </c>
      <c r="H1567" s="2" t="s">
        <v>1400</v>
      </c>
      <c r="I1567" s="4" t="s">
        <v>60</v>
      </c>
      <c r="J1567" s="112">
        <f>IF($H1567&lt;&gt;"Y",0,ROUND(MIN(Dashboard!$R$24,IF(IFERROR(VLOOKUP($B1567,Dashboard!$Q$28:$S$60,2,FALSE),0)&gt;0,IFERROR(VLOOKUP($B1567,Dashboard!$Q$28:$S$60,2,FALSE),0),$Z1567*IF($U1567&lt;&gt;"",ROUND((Dashboard!$R$4/$U1567)*VLOOKUP($I1567,Dashboard!$Q$9:$R$13,2,FALSE)*IF(ISNUMBER(SEARCH("Duals",$B1567)),2,IF(ISNUMBER(SEARCH("Triples",$B1567)),3,IF(ISNUMBER(SEARCH("Quads",$B1567)),4,1))),2),ROUND(VLOOKUP($I1567,Dashboard!$Q$15:$R$20,2,FALSE)*IF($E1567="Red",Dashboard!$R$6,IF($E1567="Gold",Dashboard!$R$7,Dashboard!$R$5))*IF(ISNUMBER(SEARCH("Duals",$B1567)),2,IF(ISNUMBER(SEARCH("Triples",$B1567)),3,IF(ISNUMBER(SEARCH("Quads",$B1567)),4,1))),2))*IF(IFERROR(VLOOKUP($B1567,Dashboard!$Q$28:$S$60,3,FALSE),0)&gt;0,VLOOKUP($B1567,Dashboard!$Q$28:$S$60,3,FALSE),1))),0))</f>
        <v>11</v>
      </c>
      <c r="K1567" s="2" t="str">
        <f>IF(Characters!G17="","",Characters!G17)</f>
        <v>C 78/82</v>
      </c>
      <c r="L1567" s="2">
        <f t="shared" si="312"/>
        <v>1</v>
      </c>
      <c r="M1567" s="2">
        <f t="shared" si="313"/>
        <v>0</v>
      </c>
      <c r="N1567" s="2">
        <f t="shared" si="314"/>
        <v>1</v>
      </c>
      <c r="O1567" s="2">
        <f t="shared" si="315"/>
        <v>0</v>
      </c>
      <c r="P1567" s="112">
        <f t="shared" si="316"/>
        <v>11</v>
      </c>
      <c r="Q1567" s="112">
        <f t="shared" si="317"/>
        <v>0</v>
      </c>
      <c r="R1567" s="53"/>
      <c r="S1567" s="53" t="str">
        <f t="shared" si="318"/>
        <v>Characters|Characters Floor 82 Parallel|C-16|Floor 82</v>
      </c>
      <c r="T1567" s="57" t="str">
        <f>IF($S1567="","",IFERROR(VLOOKUP($S1567,'Pop Estimates (Non-#d)'!$N$2:$O$500,2,FALSE),""))</f>
        <v/>
      </c>
      <c r="U1567" s="57">
        <f t="shared" si="319"/>
        <v>82</v>
      </c>
      <c r="V1567" s="53" t="str">
        <f t="shared" si="320"/>
        <v>Eziekiel</v>
      </c>
      <c r="W1567" s="53" t="str">
        <f t="shared" si="321"/>
        <v>Eziekiel</v>
      </c>
      <c r="X1567" s="53" t="str">
        <f t="shared" si="322"/>
        <v>Eziekiel</v>
      </c>
      <c r="Y1567" s="57">
        <f>IF($X1567="","",IFERROR(VLOOKUP($X1567,'Char Popularity'!$A$2:$C$500,2,FALSE),""))</f>
        <v>2</v>
      </c>
      <c r="Z1567" s="56">
        <f>IF($X1567="",1,IFERROR(VLOOKUP($X1567,'Char Popularity'!$A$2:$C$500,3,FALSE),1))</f>
        <v>0.9</v>
      </c>
      <c r="AA1567" s="62">
        <f>IF($H1567&lt;&gt;"Y",0,(IF($F1567&lt;&gt;"",ROUND(Dashboard!$R$4/$F1567,1),IF(AND($I1567="Base",$E1567="Base"),Dashboard!$R$5,IF(AND($I1567="Base",$E1567="Red"),Dashboard!$R$6,IF(AND($I1567="Base",$E1567="Gold"),Dashboard!$R$7,VLOOKUP($I1567,Dashboard!$Q$16:$R$21,2,FALSE)))))*VLOOKUP($I1567,Dashboard!$Q$9:$R$13,2,FALSE)*IF(AND($I1567="Auto",$F1567="",OR($B1567="Autographs Duals",$B1567="Autographs Triples",$B1567="Autographs Quads",$B1567="Autographs Quads (Inscribed)")),IF($B1567="Autographs Duals",2,IF($B1567="Autographs Triples",3,4)),1)))</f>
        <v>12.2</v>
      </c>
      <c r="AB1567" s="62">
        <f t="shared" si="323"/>
        <v>12.2</v>
      </c>
      <c r="AC1567" s="62">
        <f t="shared" si="324"/>
        <v>0</v>
      </c>
    </row>
    <row r="1568" spans="1:29" ht="42.95" customHeight="1" x14ac:dyDescent="0.25">
      <c r="A1568" s="4" t="s">
        <v>21</v>
      </c>
      <c r="B1568" s="7" t="s">
        <v>93</v>
      </c>
      <c r="C1568" s="2" t="s">
        <v>416</v>
      </c>
      <c r="D1568" s="7" t="s">
        <v>234</v>
      </c>
      <c r="E1568" s="4" t="s">
        <v>779</v>
      </c>
      <c r="F1568" s="2">
        <v>82</v>
      </c>
      <c r="G1568" s="2" t="s">
        <v>1399</v>
      </c>
      <c r="H1568" s="2" t="s">
        <v>1400</v>
      </c>
      <c r="I1568" s="4" t="s">
        <v>60</v>
      </c>
      <c r="J1568" s="112">
        <f>IF($H1568&lt;&gt;"Y",0,ROUND(MIN(Dashboard!$R$24,IF(IFERROR(VLOOKUP($B1568,Dashboard!$Q$28:$S$60,2,FALSE),0)&gt;0,IFERROR(VLOOKUP($B1568,Dashboard!$Q$28:$S$60,2,FALSE),0),$Z1568*IF($U1568&lt;&gt;"",ROUND((Dashboard!$R$4/$U1568)*VLOOKUP($I1568,Dashboard!$Q$9:$R$13,2,FALSE)*IF(ISNUMBER(SEARCH("Duals",$B1568)),2,IF(ISNUMBER(SEARCH("Triples",$B1568)),3,IF(ISNUMBER(SEARCH("Quads",$B1568)),4,1))),2),ROUND(VLOOKUP($I1568,Dashboard!$Q$15:$R$20,2,FALSE)*IF($E1568="Red",Dashboard!$R$6,IF($E1568="Gold",Dashboard!$R$7,Dashboard!$R$5))*IF(ISNUMBER(SEARCH("Duals",$B1568)),2,IF(ISNUMBER(SEARCH("Triples",$B1568)),3,IF(ISNUMBER(SEARCH("Quads",$B1568)),4,1))),2))*IF(IFERROR(VLOOKUP($B1568,Dashboard!$Q$28:$S$60,3,FALSE),0)&gt;0,VLOOKUP($B1568,Dashboard!$Q$28:$S$60,3,FALSE),1))),0))</f>
        <v>12</v>
      </c>
      <c r="K1568" s="2" t="str">
        <f>IF(Characters!G18="","",Characters!G18)</f>
        <v>V 51/82</v>
      </c>
      <c r="L1568" s="2">
        <f t="shared" si="312"/>
        <v>1</v>
      </c>
      <c r="M1568" s="2">
        <f t="shared" si="313"/>
        <v>0</v>
      </c>
      <c r="N1568" s="2">
        <f t="shared" si="314"/>
        <v>1</v>
      </c>
      <c r="O1568" s="2">
        <f t="shared" si="315"/>
        <v>0</v>
      </c>
      <c r="P1568" s="112">
        <f t="shared" si="316"/>
        <v>12</v>
      </c>
      <c r="Q1568" s="112">
        <f t="shared" si="317"/>
        <v>0</v>
      </c>
      <c r="R1568" s="53"/>
      <c r="S1568" s="53" t="str">
        <f t="shared" si="318"/>
        <v>Characters|Characters Floor 82 Parallel|C-17|Floor 82</v>
      </c>
      <c r="T1568" s="57" t="str">
        <f>IF($S1568="","",IFERROR(VLOOKUP($S1568,'Pop Estimates (Non-#d)'!$N$2:$O$500,2,FALSE),""))</f>
        <v/>
      </c>
      <c r="U1568" s="57">
        <f t="shared" si="319"/>
        <v>82</v>
      </c>
      <c r="V1568" s="53" t="str">
        <f t="shared" si="320"/>
        <v>Ashley Barrett</v>
      </c>
      <c r="W1568" s="53" t="str">
        <f t="shared" si="321"/>
        <v>Ashley Barrett</v>
      </c>
      <c r="X1568" s="53" t="str">
        <f t="shared" si="322"/>
        <v>Ashley Barrett</v>
      </c>
      <c r="Y1568" s="57">
        <f>IF($X1568="","",IFERROR(VLOOKUP($X1568,'Char Popularity'!$A$2:$C$500,2,FALSE),""))</f>
        <v>3</v>
      </c>
      <c r="Z1568" s="56">
        <f>IF($X1568="",1,IFERROR(VLOOKUP($X1568,'Char Popularity'!$A$2:$C$500,3,FALSE),1))</f>
        <v>1</v>
      </c>
      <c r="AA1568" s="62">
        <f>IF($H1568&lt;&gt;"Y",0,(IF($F1568&lt;&gt;"",ROUND(Dashboard!$R$4/$F1568,1),IF(AND($I1568="Base",$E1568="Base"),Dashboard!$R$5,IF(AND($I1568="Base",$E1568="Red"),Dashboard!$R$6,IF(AND($I1568="Base",$E1568="Gold"),Dashboard!$R$7,VLOOKUP($I1568,Dashboard!$Q$16:$R$21,2,FALSE)))))*VLOOKUP($I1568,Dashboard!$Q$9:$R$13,2,FALSE)*IF(AND($I1568="Auto",$F1568="",OR($B1568="Autographs Duals",$B1568="Autographs Triples",$B1568="Autographs Quads",$B1568="Autographs Quads (Inscribed)")),IF($B1568="Autographs Duals",2,IF($B1568="Autographs Triples",3,4)),1)))</f>
        <v>12.2</v>
      </c>
      <c r="AB1568" s="62">
        <f t="shared" si="323"/>
        <v>12.2</v>
      </c>
      <c r="AC1568" s="62">
        <f t="shared" si="324"/>
        <v>0</v>
      </c>
    </row>
    <row r="1569" spans="1:29" ht="42.95" customHeight="1" x14ac:dyDescent="0.25">
      <c r="A1569" s="4" t="s">
        <v>21</v>
      </c>
      <c r="B1569" s="7" t="s">
        <v>93</v>
      </c>
      <c r="C1569" s="2" t="s">
        <v>417</v>
      </c>
      <c r="D1569" s="7" t="s">
        <v>308</v>
      </c>
      <c r="E1569" s="4" t="s">
        <v>779</v>
      </c>
      <c r="F1569" s="2">
        <v>82</v>
      </c>
      <c r="G1569" s="2" t="s">
        <v>1399</v>
      </c>
      <c r="H1569" s="2" t="s">
        <v>1400</v>
      </c>
      <c r="I1569" s="4" t="s">
        <v>60</v>
      </c>
      <c r="J1569" s="112">
        <f>IF($H1569&lt;&gt;"Y",0,ROUND(MIN(Dashboard!$R$24,IF(IFERROR(VLOOKUP($B1569,Dashboard!$Q$28:$S$60,2,FALSE),0)&gt;0,IFERROR(VLOOKUP($B1569,Dashboard!$Q$28:$S$60,2,FALSE),0),$Z1569*IF($U1569&lt;&gt;"",ROUND((Dashboard!$R$4/$U1569)*VLOOKUP($I1569,Dashboard!$Q$9:$R$13,2,FALSE)*IF(ISNUMBER(SEARCH("Duals",$B1569)),2,IF(ISNUMBER(SEARCH("Triples",$B1569)),3,IF(ISNUMBER(SEARCH("Quads",$B1569)),4,1))),2),ROUND(VLOOKUP($I1569,Dashboard!$Q$15:$R$20,2,FALSE)*IF($E1569="Red",Dashboard!$R$6,IF($E1569="Gold",Dashboard!$R$7,Dashboard!$R$5))*IF(ISNUMBER(SEARCH("Duals",$B1569)),2,IF(ISNUMBER(SEARCH("Triples",$B1569)),3,IF(ISNUMBER(SEARCH("Quads",$B1569)),4,1))),2))*IF(IFERROR(VLOOKUP($B1569,Dashboard!$Q$28:$S$60,3,FALSE),0)&gt;0,VLOOKUP($B1569,Dashboard!$Q$28:$S$60,3,FALSE),1))),0))</f>
        <v>12</v>
      </c>
      <c r="K1569" s="2" t="str">
        <f>IF(Characters!G19="","",Characters!G19)</f>
        <v>V 72/82</v>
      </c>
      <c r="L1569" s="2">
        <f t="shared" si="312"/>
        <v>1</v>
      </c>
      <c r="M1569" s="2">
        <f t="shared" si="313"/>
        <v>0</v>
      </c>
      <c r="N1569" s="2">
        <f t="shared" si="314"/>
        <v>1</v>
      </c>
      <c r="O1569" s="2">
        <f t="shared" si="315"/>
        <v>0</v>
      </c>
      <c r="P1569" s="112">
        <f t="shared" si="316"/>
        <v>12</v>
      </c>
      <c r="Q1569" s="112">
        <f t="shared" si="317"/>
        <v>0</v>
      </c>
      <c r="R1569" s="53"/>
      <c r="S1569" s="53" t="str">
        <f t="shared" si="318"/>
        <v>Characters|Characters Floor 82 Parallel|C-18|Floor 82</v>
      </c>
      <c r="T1569" s="57" t="str">
        <f>IF($S1569="","",IFERROR(VLOOKUP($S1569,'Pop Estimates (Non-#d)'!$N$2:$O$500,2,FALSE),""))</f>
        <v/>
      </c>
      <c r="U1569" s="57">
        <f t="shared" si="319"/>
        <v>82</v>
      </c>
      <c r="V1569" s="53" t="str">
        <f t="shared" si="320"/>
        <v>Becca Butcher</v>
      </c>
      <c r="W1569" s="53" t="str">
        <f t="shared" si="321"/>
        <v>Becca Butcher</v>
      </c>
      <c r="X1569" s="53" t="str">
        <f t="shared" si="322"/>
        <v>Becca Butcher</v>
      </c>
      <c r="Y1569" s="57">
        <f>IF($X1569="","",IFERROR(VLOOKUP($X1569,'Char Popularity'!$A$2:$C$500,2,FALSE),""))</f>
        <v>3</v>
      </c>
      <c r="Z1569" s="56">
        <f>IF($X1569="",1,IFERROR(VLOOKUP($X1569,'Char Popularity'!$A$2:$C$500,3,FALSE),1))</f>
        <v>1</v>
      </c>
      <c r="AA1569" s="62">
        <f>IF($H1569&lt;&gt;"Y",0,(IF($F1569&lt;&gt;"",ROUND(Dashboard!$R$4/$F1569,1),IF(AND($I1569="Base",$E1569="Base"),Dashboard!$R$5,IF(AND($I1569="Base",$E1569="Red"),Dashboard!$R$6,IF(AND($I1569="Base",$E1569="Gold"),Dashboard!$R$7,VLOOKUP($I1569,Dashboard!$Q$16:$R$21,2,FALSE)))))*VLOOKUP($I1569,Dashboard!$Q$9:$R$13,2,FALSE)*IF(AND($I1569="Auto",$F1569="",OR($B1569="Autographs Duals",$B1569="Autographs Triples",$B1569="Autographs Quads",$B1569="Autographs Quads (Inscribed)")),IF($B1569="Autographs Duals",2,IF($B1569="Autographs Triples",3,4)),1)))</f>
        <v>12.2</v>
      </c>
      <c r="AB1569" s="62">
        <f t="shared" si="323"/>
        <v>12.2</v>
      </c>
      <c r="AC1569" s="62">
        <f t="shared" si="324"/>
        <v>0</v>
      </c>
    </row>
    <row r="1570" spans="1:29" ht="42.95" customHeight="1" x14ac:dyDescent="0.25">
      <c r="A1570" s="4" t="s">
        <v>21</v>
      </c>
      <c r="B1570" s="7" t="s">
        <v>93</v>
      </c>
      <c r="C1570" s="2" t="s">
        <v>418</v>
      </c>
      <c r="D1570" s="7" t="s">
        <v>301</v>
      </c>
      <c r="E1570" s="4" t="s">
        <v>779</v>
      </c>
      <c r="F1570" s="2">
        <v>82</v>
      </c>
      <c r="G1570" s="2" t="s">
        <v>1399</v>
      </c>
      <c r="H1570" s="2" t="s">
        <v>1400</v>
      </c>
      <c r="I1570" s="4" t="s">
        <v>60</v>
      </c>
      <c r="J1570" s="112">
        <f>IF($H1570&lt;&gt;"Y",0,ROUND(MIN(Dashboard!$R$24,IF(IFERROR(VLOOKUP($B1570,Dashboard!$Q$28:$S$60,2,FALSE),0)&gt;0,IFERROR(VLOOKUP($B1570,Dashboard!$Q$28:$S$60,2,FALSE),0),$Z1570*IF($U1570&lt;&gt;"",ROUND((Dashboard!$R$4/$U1570)*VLOOKUP($I1570,Dashboard!$Q$9:$R$13,2,FALSE)*IF(ISNUMBER(SEARCH("Duals",$B1570)),2,IF(ISNUMBER(SEARCH("Triples",$B1570)),3,IF(ISNUMBER(SEARCH("Quads",$B1570)),4,1))),2),ROUND(VLOOKUP($I1570,Dashboard!$Q$15:$R$20,2,FALSE)*IF($E1570="Red",Dashboard!$R$6,IF($E1570="Gold",Dashboard!$R$7,Dashboard!$R$5))*IF(ISNUMBER(SEARCH("Duals",$B1570)),2,IF(ISNUMBER(SEARCH("Triples",$B1570)),3,IF(ISNUMBER(SEARCH("Quads",$B1570)),4,1))),2))*IF(IFERROR(VLOOKUP($B1570,Dashboard!$Q$28:$S$60,3,FALSE),0)&gt;0,VLOOKUP($B1570,Dashboard!$Q$28:$S$60,3,FALSE),1))),0))</f>
        <v>11</v>
      </c>
      <c r="K1570" s="2" t="str">
        <f>IF(Characters!G20="","",Characters!G20)</f>
        <v>C 34/82</v>
      </c>
      <c r="L1570" s="2">
        <f t="shared" si="312"/>
        <v>1</v>
      </c>
      <c r="M1570" s="2">
        <f t="shared" si="313"/>
        <v>0</v>
      </c>
      <c r="N1570" s="2">
        <f t="shared" si="314"/>
        <v>1</v>
      </c>
      <c r="O1570" s="2">
        <f t="shared" si="315"/>
        <v>0</v>
      </c>
      <c r="P1570" s="112">
        <f t="shared" si="316"/>
        <v>11</v>
      </c>
      <c r="Q1570" s="112">
        <f t="shared" si="317"/>
        <v>0</v>
      </c>
      <c r="R1570" s="53"/>
      <c r="S1570" s="53" t="str">
        <f t="shared" si="318"/>
        <v>Characters|Characters Floor 82 Parallel|C-19|Floor 82</v>
      </c>
      <c r="T1570" s="57" t="str">
        <f>IF($S1570="","",IFERROR(VLOOKUP($S1570,'Pop Estimates (Non-#d)'!$N$2:$O$500,2,FALSE),""))</f>
        <v/>
      </c>
      <c r="U1570" s="57">
        <f t="shared" si="319"/>
        <v>82</v>
      </c>
      <c r="V1570" s="53" t="str">
        <f t="shared" si="320"/>
        <v>Lamplighter</v>
      </c>
      <c r="W1570" s="53" t="str">
        <f t="shared" si="321"/>
        <v>Lamplighter</v>
      </c>
      <c r="X1570" s="53" t="str">
        <f t="shared" si="322"/>
        <v>Lamplighter</v>
      </c>
      <c r="Y1570" s="57">
        <f>IF($X1570="","",IFERROR(VLOOKUP($X1570,'Char Popularity'!$A$2:$C$500,2,FALSE),""))</f>
        <v>2</v>
      </c>
      <c r="Z1570" s="56">
        <f>IF($X1570="",1,IFERROR(VLOOKUP($X1570,'Char Popularity'!$A$2:$C$500,3,FALSE),1))</f>
        <v>0.9</v>
      </c>
      <c r="AA1570" s="62">
        <f>IF($H1570&lt;&gt;"Y",0,(IF($F1570&lt;&gt;"",ROUND(Dashboard!$R$4/$F1570,1),IF(AND($I1570="Base",$E1570="Base"),Dashboard!$R$5,IF(AND($I1570="Base",$E1570="Red"),Dashboard!$R$6,IF(AND($I1570="Base",$E1570="Gold"),Dashboard!$R$7,VLOOKUP($I1570,Dashboard!$Q$16:$R$21,2,FALSE)))))*VLOOKUP($I1570,Dashboard!$Q$9:$R$13,2,FALSE)*IF(AND($I1570="Auto",$F1570="",OR($B1570="Autographs Duals",$B1570="Autographs Triples",$B1570="Autographs Quads",$B1570="Autographs Quads (Inscribed)")),IF($B1570="Autographs Duals",2,IF($B1570="Autographs Triples",3,4)),1)))</f>
        <v>12.2</v>
      </c>
      <c r="AB1570" s="62">
        <f t="shared" si="323"/>
        <v>12.2</v>
      </c>
      <c r="AC1570" s="62">
        <f t="shared" si="324"/>
        <v>0</v>
      </c>
    </row>
    <row r="1571" spans="1:29" ht="42.95" customHeight="1" x14ac:dyDescent="0.25">
      <c r="A1571" s="4" t="s">
        <v>21</v>
      </c>
      <c r="B1571" s="7" t="s">
        <v>93</v>
      </c>
      <c r="C1571" s="2" t="s">
        <v>420</v>
      </c>
      <c r="D1571" s="7" t="s">
        <v>260</v>
      </c>
      <c r="E1571" s="4" t="s">
        <v>779</v>
      </c>
      <c r="F1571" s="2">
        <v>82</v>
      </c>
      <c r="G1571" s="2" t="s">
        <v>1399</v>
      </c>
      <c r="H1571" s="2" t="s">
        <v>1400</v>
      </c>
      <c r="I1571" s="4" t="s">
        <v>60</v>
      </c>
      <c r="J1571" s="112">
        <f>IF($H1571&lt;&gt;"Y",0,ROUND(MIN(Dashboard!$R$24,IF(IFERROR(VLOOKUP($B1571,Dashboard!$Q$28:$S$60,2,FALSE),0)&gt;0,IFERROR(VLOOKUP($B1571,Dashboard!$Q$28:$S$60,2,FALSE),0),$Z1571*IF($U1571&lt;&gt;"",ROUND((Dashboard!$R$4/$U1571)*VLOOKUP($I1571,Dashboard!$Q$9:$R$13,2,FALSE)*IF(ISNUMBER(SEARCH("Duals",$B1571)),2,IF(ISNUMBER(SEARCH("Triples",$B1571)),3,IF(ISNUMBER(SEARCH("Quads",$B1571)),4,1))),2),ROUND(VLOOKUP($I1571,Dashboard!$Q$15:$R$20,2,FALSE)*IF($E1571="Red",Dashboard!$R$6,IF($E1571="Gold",Dashboard!$R$7,Dashboard!$R$5))*IF(ISNUMBER(SEARCH("Duals",$B1571)),2,IF(ISNUMBER(SEARCH("Triples",$B1571)),3,IF(ISNUMBER(SEARCH("Quads",$B1571)),4,1))),2))*IF(IFERROR(VLOOKUP($B1571,Dashboard!$Q$28:$S$60,3,FALSE),0)&gt;0,VLOOKUP($B1571,Dashboard!$Q$28:$S$60,3,FALSE),1))),0))</f>
        <v>12</v>
      </c>
      <c r="K1571" s="2" t="str">
        <f>IF(Characters!G21="","",Characters!G21)</f>
        <v>V 42/82</v>
      </c>
      <c r="L1571" s="2">
        <f t="shared" si="312"/>
        <v>1</v>
      </c>
      <c r="M1571" s="2">
        <f t="shared" si="313"/>
        <v>0</v>
      </c>
      <c r="N1571" s="2">
        <f t="shared" si="314"/>
        <v>1</v>
      </c>
      <c r="O1571" s="2">
        <f t="shared" si="315"/>
        <v>0</v>
      </c>
      <c r="P1571" s="112">
        <f t="shared" si="316"/>
        <v>12</v>
      </c>
      <c r="Q1571" s="112">
        <f t="shared" si="317"/>
        <v>0</v>
      </c>
      <c r="R1571" s="53"/>
      <c r="S1571" s="53" t="str">
        <f t="shared" si="318"/>
        <v>Characters|Characters Floor 82 Parallel|C-20|Floor 82</v>
      </c>
      <c r="T1571" s="57" t="str">
        <f>IF($S1571="","",IFERROR(VLOOKUP($S1571,'Pop Estimates (Non-#d)'!$N$2:$O$500,2,FALSE),""))</f>
        <v/>
      </c>
      <c r="U1571" s="57">
        <f t="shared" si="319"/>
        <v>82</v>
      </c>
      <c r="V1571" s="53" t="str">
        <f t="shared" si="320"/>
        <v>Cherie</v>
      </c>
      <c r="W1571" s="53" t="str">
        <f t="shared" si="321"/>
        <v>Cherie</v>
      </c>
      <c r="X1571" s="53" t="str">
        <f t="shared" si="322"/>
        <v>Cherie</v>
      </c>
      <c r="Y1571" s="57">
        <f>IF($X1571="","",IFERROR(VLOOKUP($X1571,'Char Popularity'!$A$2:$C$500,2,FALSE),""))</f>
        <v>3</v>
      </c>
      <c r="Z1571" s="56">
        <f>IF($X1571="",1,IFERROR(VLOOKUP($X1571,'Char Popularity'!$A$2:$C$500,3,FALSE),1))</f>
        <v>1</v>
      </c>
      <c r="AA1571" s="62">
        <f>IF($H1571&lt;&gt;"Y",0,(IF($F1571&lt;&gt;"",ROUND(Dashboard!$R$4/$F1571,1),IF(AND($I1571="Base",$E1571="Base"),Dashboard!$R$5,IF(AND($I1571="Base",$E1571="Red"),Dashboard!$R$6,IF(AND($I1571="Base",$E1571="Gold"),Dashboard!$R$7,VLOOKUP($I1571,Dashboard!$Q$16:$R$21,2,FALSE)))))*VLOOKUP($I1571,Dashboard!$Q$9:$R$13,2,FALSE)*IF(AND($I1571="Auto",$F1571="",OR($B1571="Autographs Duals",$B1571="Autographs Triples",$B1571="Autographs Quads",$B1571="Autographs Quads (Inscribed)")),IF($B1571="Autographs Duals",2,IF($B1571="Autographs Triples",3,4)),1)))</f>
        <v>12.2</v>
      </c>
      <c r="AB1571" s="62">
        <f t="shared" si="323"/>
        <v>12.2</v>
      </c>
      <c r="AC1571" s="62">
        <f t="shared" si="324"/>
        <v>0</v>
      </c>
    </row>
    <row r="1572" spans="1:29" ht="42.95" customHeight="1" x14ac:dyDescent="0.25">
      <c r="A1572" s="4" t="s">
        <v>21</v>
      </c>
      <c r="B1572" s="7" t="s">
        <v>93</v>
      </c>
      <c r="C1572" s="2" t="s">
        <v>421</v>
      </c>
      <c r="D1572" s="7" t="s">
        <v>288</v>
      </c>
      <c r="E1572" s="4" t="s">
        <v>779</v>
      </c>
      <c r="F1572" s="2">
        <v>82</v>
      </c>
      <c r="G1572" s="2" t="s">
        <v>1399</v>
      </c>
      <c r="H1572" s="2" t="s">
        <v>1400</v>
      </c>
      <c r="I1572" s="4" t="s">
        <v>60</v>
      </c>
      <c r="J1572" s="112">
        <f>IF($H1572&lt;&gt;"Y",0,ROUND(MIN(Dashboard!$R$24,IF(IFERROR(VLOOKUP($B1572,Dashboard!$Q$28:$S$60,2,FALSE),0)&gt;0,IFERROR(VLOOKUP($B1572,Dashboard!$Q$28:$S$60,2,FALSE),0),$Z1572*IF($U1572&lt;&gt;"",ROUND((Dashboard!$R$4/$U1572)*VLOOKUP($I1572,Dashboard!$Q$9:$R$13,2,FALSE)*IF(ISNUMBER(SEARCH("Duals",$B1572)),2,IF(ISNUMBER(SEARCH("Triples",$B1572)),3,IF(ISNUMBER(SEARCH("Quads",$B1572)),4,1))),2),ROUND(VLOOKUP($I1572,Dashboard!$Q$15:$R$20,2,FALSE)*IF($E1572="Red",Dashboard!$R$6,IF($E1572="Gold",Dashboard!$R$7,Dashboard!$R$5))*IF(ISNUMBER(SEARCH("Duals",$B1572)),2,IF(ISNUMBER(SEARCH("Triples",$B1572)),3,IF(ISNUMBER(SEARCH("Quads",$B1572)),4,1))),2))*IF(IFERROR(VLOOKUP($B1572,Dashboard!$Q$28:$S$60,3,FALSE),0)&gt;0,VLOOKUP($B1572,Dashboard!$Q$28:$S$60,3,FALSE),1))),0))</f>
        <v>11</v>
      </c>
      <c r="K1572" s="2" t="str">
        <f>IF(Characters!G22="","",Characters!G22)</f>
        <v>C 47/82</v>
      </c>
      <c r="L1572" s="2">
        <f t="shared" si="312"/>
        <v>1</v>
      </c>
      <c r="M1572" s="2">
        <f t="shared" si="313"/>
        <v>0</v>
      </c>
      <c r="N1572" s="2">
        <f t="shared" si="314"/>
        <v>1</v>
      </c>
      <c r="O1572" s="2">
        <f t="shared" si="315"/>
        <v>0</v>
      </c>
      <c r="P1572" s="112">
        <f t="shared" si="316"/>
        <v>11</v>
      </c>
      <c r="Q1572" s="112">
        <f t="shared" si="317"/>
        <v>0</v>
      </c>
      <c r="R1572" s="53"/>
      <c r="S1572" s="53" t="str">
        <f t="shared" si="318"/>
        <v>Characters|Characters Floor 82 Parallel|C-21|Floor 82</v>
      </c>
      <c r="T1572" s="57" t="str">
        <f>IF($S1572="","",IFERROR(VLOOKUP($S1572,'Pop Estimates (Non-#d)'!$N$2:$O$500,2,FALSE),""))</f>
        <v/>
      </c>
      <c r="U1572" s="57">
        <f t="shared" si="319"/>
        <v>82</v>
      </c>
      <c r="V1572" s="53" t="str">
        <f t="shared" si="320"/>
        <v>Shockwave</v>
      </c>
      <c r="W1572" s="53" t="str">
        <f t="shared" si="321"/>
        <v>Shockwave</v>
      </c>
      <c r="X1572" s="53" t="str">
        <f t="shared" si="322"/>
        <v>Shockwave</v>
      </c>
      <c r="Y1572" s="57">
        <f>IF($X1572="","",IFERROR(VLOOKUP($X1572,'Char Popularity'!$A$2:$C$500,2,FALSE),""))</f>
        <v>2</v>
      </c>
      <c r="Z1572" s="56">
        <f>IF($X1572="",1,IFERROR(VLOOKUP($X1572,'Char Popularity'!$A$2:$C$500,3,FALSE),1))</f>
        <v>0.9</v>
      </c>
      <c r="AA1572" s="62">
        <f>IF($H1572&lt;&gt;"Y",0,(IF($F1572&lt;&gt;"",ROUND(Dashboard!$R$4/$F1572,1),IF(AND($I1572="Base",$E1572="Base"),Dashboard!$R$5,IF(AND($I1572="Base",$E1572="Red"),Dashboard!$R$6,IF(AND($I1572="Base",$E1572="Gold"),Dashboard!$R$7,VLOOKUP($I1572,Dashboard!$Q$16:$R$21,2,FALSE)))))*VLOOKUP($I1572,Dashboard!$Q$9:$R$13,2,FALSE)*IF(AND($I1572="Auto",$F1572="",OR($B1572="Autographs Duals",$B1572="Autographs Triples",$B1572="Autographs Quads",$B1572="Autographs Quads (Inscribed)")),IF($B1572="Autographs Duals",2,IF($B1572="Autographs Triples",3,4)),1)))</f>
        <v>12.2</v>
      </c>
      <c r="AB1572" s="62">
        <f t="shared" si="323"/>
        <v>12.2</v>
      </c>
      <c r="AC1572" s="62">
        <f t="shared" si="324"/>
        <v>0</v>
      </c>
    </row>
    <row r="1573" spans="1:29" ht="42.95" customHeight="1" x14ac:dyDescent="0.25">
      <c r="A1573" s="4" t="s">
        <v>21</v>
      </c>
      <c r="B1573" s="7" t="s">
        <v>93</v>
      </c>
      <c r="C1573" s="2" t="s">
        <v>422</v>
      </c>
      <c r="D1573" s="7" t="s">
        <v>228</v>
      </c>
      <c r="E1573" s="4" t="s">
        <v>779</v>
      </c>
      <c r="F1573" s="2">
        <v>82</v>
      </c>
      <c r="G1573" s="2" t="s">
        <v>1399</v>
      </c>
      <c r="H1573" s="2" t="s">
        <v>1400</v>
      </c>
      <c r="I1573" s="4" t="s">
        <v>60</v>
      </c>
      <c r="J1573" s="112">
        <f>IF($H1573&lt;&gt;"Y",0,ROUND(MIN(Dashboard!$R$24,IF(IFERROR(VLOOKUP($B1573,Dashboard!$Q$28:$S$60,2,FALSE),0)&gt;0,IFERROR(VLOOKUP($B1573,Dashboard!$Q$28:$S$60,2,FALSE),0),$Z1573*IF($U1573&lt;&gt;"",ROUND((Dashboard!$R$4/$U1573)*VLOOKUP($I1573,Dashboard!$Q$9:$R$13,2,FALSE)*IF(ISNUMBER(SEARCH("Duals",$B1573)),2,IF(ISNUMBER(SEARCH("Triples",$B1573)),3,IF(ISNUMBER(SEARCH("Quads",$B1573)),4,1))),2),ROUND(VLOOKUP($I1573,Dashboard!$Q$15:$R$20,2,FALSE)*IF($E1573="Red",Dashboard!$R$6,IF($E1573="Gold",Dashboard!$R$7,Dashboard!$R$5))*IF(ISNUMBER(SEARCH("Duals",$B1573)),2,IF(ISNUMBER(SEARCH("Triples",$B1573)),3,IF(ISNUMBER(SEARCH("Quads",$B1573)),4,1))),2))*IF(IFERROR(VLOOKUP($B1573,Dashboard!$Q$28:$S$60,3,FALSE),0)&gt;0,VLOOKUP($B1573,Dashboard!$Q$28:$S$60,3,FALSE),1))),0))</f>
        <v>13</v>
      </c>
      <c r="K1573" s="2" t="str">
        <f>IF(Characters!G23="","",Characters!G23)</f>
        <v>V 21/82</v>
      </c>
      <c r="L1573" s="2">
        <f t="shared" si="312"/>
        <v>1</v>
      </c>
      <c r="M1573" s="2">
        <f t="shared" si="313"/>
        <v>0</v>
      </c>
      <c r="N1573" s="2">
        <f t="shared" si="314"/>
        <v>1</v>
      </c>
      <c r="O1573" s="2">
        <f t="shared" si="315"/>
        <v>0</v>
      </c>
      <c r="P1573" s="112">
        <f t="shared" si="316"/>
        <v>13</v>
      </c>
      <c r="Q1573" s="112">
        <f t="shared" si="317"/>
        <v>0</v>
      </c>
      <c r="R1573" s="53"/>
      <c r="S1573" s="53" t="str">
        <f t="shared" si="318"/>
        <v>Characters|Characters Floor 82 Parallel|C-22|Floor 82</v>
      </c>
      <c r="T1573" s="57" t="str">
        <f>IF($S1573="","",IFERROR(VLOOKUP($S1573,'Pop Estimates (Non-#d)'!$N$2:$O$500,2,FALSE),""))</f>
        <v/>
      </c>
      <c r="U1573" s="57">
        <f t="shared" si="319"/>
        <v>82</v>
      </c>
      <c r="V1573" s="53" t="str">
        <f t="shared" si="320"/>
        <v>Ryan</v>
      </c>
      <c r="W1573" s="53" t="str">
        <f t="shared" si="321"/>
        <v>Ryan</v>
      </c>
      <c r="X1573" s="53" t="str">
        <f t="shared" si="322"/>
        <v>Ryan</v>
      </c>
      <c r="Y1573" s="57">
        <f>IF($X1573="","",IFERROR(VLOOKUP($X1573,'Char Popularity'!$A$2:$C$500,2,FALSE),""))</f>
        <v>4</v>
      </c>
      <c r="Z1573" s="56">
        <f>IF($X1573="",1,IFERROR(VLOOKUP($X1573,'Char Popularity'!$A$2:$C$500,3,FALSE),1))</f>
        <v>1.1000000000000001</v>
      </c>
      <c r="AA1573" s="62">
        <f>IF($H1573&lt;&gt;"Y",0,(IF($F1573&lt;&gt;"",ROUND(Dashboard!$R$4/$F1573,1),IF(AND($I1573="Base",$E1573="Base"),Dashboard!$R$5,IF(AND($I1573="Base",$E1573="Red"),Dashboard!$R$6,IF(AND($I1573="Base",$E1573="Gold"),Dashboard!$R$7,VLOOKUP($I1573,Dashboard!$Q$16:$R$21,2,FALSE)))))*VLOOKUP($I1573,Dashboard!$Q$9:$R$13,2,FALSE)*IF(AND($I1573="Auto",$F1573="",OR($B1573="Autographs Duals",$B1573="Autographs Triples",$B1573="Autographs Quads",$B1573="Autographs Quads (Inscribed)")),IF($B1573="Autographs Duals",2,IF($B1573="Autographs Triples",3,4)),1)))</f>
        <v>12.2</v>
      </c>
      <c r="AB1573" s="62">
        <f t="shared" si="323"/>
        <v>12.2</v>
      </c>
      <c r="AC1573" s="62">
        <f t="shared" si="324"/>
        <v>0</v>
      </c>
    </row>
    <row r="1574" spans="1:29" ht="42.95" customHeight="1" x14ac:dyDescent="0.25">
      <c r="A1574" s="4" t="s">
        <v>21</v>
      </c>
      <c r="B1574" s="7" t="s">
        <v>93</v>
      </c>
      <c r="C1574" s="2" t="s">
        <v>423</v>
      </c>
      <c r="D1574" s="7" t="s">
        <v>301</v>
      </c>
      <c r="E1574" s="4" t="s">
        <v>779</v>
      </c>
      <c r="F1574" s="2">
        <v>82</v>
      </c>
      <c r="G1574" s="2" t="s">
        <v>1399</v>
      </c>
      <c r="H1574" s="2" t="s">
        <v>1400</v>
      </c>
      <c r="I1574" s="4" t="s">
        <v>60</v>
      </c>
      <c r="J1574" s="112">
        <f>IF($H1574&lt;&gt;"Y",0,ROUND(MIN(Dashboard!$R$24,IF(IFERROR(VLOOKUP($B1574,Dashboard!$Q$28:$S$60,2,FALSE),0)&gt;0,IFERROR(VLOOKUP($B1574,Dashboard!$Q$28:$S$60,2,FALSE),0),$Z1574*IF($U1574&lt;&gt;"",ROUND((Dashboard!$R$4/$U1574)*VLOOKUP($I1574,Dashboard!$Q$9:$R$13,2,FALSE)*IF(ISNUMBER(SEARCH("Duals",$B1574)),2,IF(ISNUMBER(SEARCH("Triples",$B1574)),3,IF(ISNUMBER(SEARCH("Quads",$B1574)),4,1))),2),ROUND(VLOOKUP($I1574,Dashboard!$Q$15:$R$20,2,FALSE)*IF($E1574="Red",Dashboard!$R$6,IF($E1574="Gold",Dashboard!$R$7,Dashboard!$R$5))*IF(ISNUMBER(SEARCH("Duals",$B1574)),2,IF(ISNUMBER(SEARCH("Triples",$B1574)),3,IF(ISNUMBER(SEARCH("Quads",$B1574)),4,1))),2))*IF(IFERROR(VLOOKUP($B1574,Dashboard!$Q$28:$S$60,3,FALSE),0)&gt;0,VLOOKUP($B1574,Dashboard!$Q$28:$S$60,3,FALSE),1))),0))</f>
        <v>11</v>
      </c>
      <c r="K1574" s="2" t="str">
        <f>IF(Characters!G24="","",Characters!G24)</f>
        <v>V 46/82</v>
      </c>
      <c r="L1574" s="2">
        <f t="shared" si="312"/>
        <v>1</v>
      </c>
      <c r="M1574" s="2">
        <f t="shared" si="313"/>
        <v>0</v>
      </c>
      <c r="N1574" s="2">
        <f t="shared" si="314"/>
        <v>1</v>
      </c>
      <c r="O1574" s="2">
        <f t="shared" si="315"/>
        <v>0</v>
      </c>
      <c r="P1574" s="112">
        <f t="shared" si="316"/>
        <v>11</v>
      </c>
      <c r="Q1574" s="112">
        <f t="shared" si="317"/>
        <v>0</v>
      </c>
      <c r="R1574" s="53"/>
      <c r="S1574" s="53" t="str">
        <f t="shared" si="318"/>
        <v>Characters|Characters Floor 82 Parallel|C-23|Floor 82</v>
      </c>
      <c r="T1574" s="57" t="str">
        <f>IF($S1574="","",IFERROR(VLOOKUP($S1574,'Pop Estimates (Non-#d)'!$N$2:$O$500,2,FALSE),""))</f>
        <v/>
      </c>
      <c r="U1574" s="57">
        <f t="shared" si="319"/>
        <v>82</v>
      </c>
      <c r="V1574" s="53" t="str">
        <f t="shared" si="320"/>
        <v>Lamplighter</v>
      </c>
      <c r="W1574" s="53" t="str">
        <f t="shared" si="321"/>
        <v>Lamplighter</v>
      </c>
      <c r="X1574" s="53" t="str">
        <f t="shared" si="322"/>
        <v>Lamplighter</v>
      </c>
      <c r="Y1574" s="57">
        <f>IF($X1574="","",IFERROR(VLOOKUP($X1574,'Char Popularity'!$A$2:$C$500,2,FALSE),""))</f>
        <v>2</v>
      </c>
      <c r="Z1574" s="56">
        <f>IF($X1574="",1,IFERROR(VLOOKUP($X1574,'Char Popularity'!$A$2:$C$500,3,FALSE),1))</f>
        <v>0.9</v>
      </c>
      <c r="AA1574" s="62">
        <f>IF($H1574&lt;&gt;"Y",0,(IF($F1574&lt;&gt;"",ROUND(Dashboard!$R$4/$F1574,1),IF(AND($I1574="Base",$E1574="Base"),Dashboard!$R$5,IF(AND($I1574="Base",$E1574="Red"),Dashboard!$R$6,IF(AND($I1574="Base",$E1574="Gold"),Dashboard!$R$7,VLOOKUP($I1574,Dashboard!$Q$16:$R$21,2,FALSE)))))*VLOOKUP($I1574,Dashboard!$Q$9:$R$13,2,FALSE)*IF(AND($I1574="Auto",$F1574="",OR($B1574="Autographs Duals",$B1574="Autographs Triples",$B1574="Autographs Quads",$B1574="Autographs Quads (Inscribed)")),IF($B1574="Autographs Duals",2,IF($B1574="Autographs Triples",3,4)),1)))</f>
        <v>12.2</v>
      </c>
      <c r="AB1574" s="62">
        <f t="shared" si="323"/>
        <v>12.2</v>
      </c>
      <c r="AC1574" s="62">
        <f t="shared" si="324"/>
        <v>0</v>
      </c>
    </row>
    <row r="1575" spans="1:29" ht="42.95" customHeight="1" x14ac:dyDescent="0.25">
      <c r="A1575" s="4" t="s">
        <v>21</v>
      </c>
      <c r="B1575" s="7" t="s">
        <v>93</v>
      </c>
      <c r="C1575" s="2" t="s">
        <v>1226</v>
      </c>
      <c r="D1575" s="7" t="s">
        <v>1227</v>
      </c>
      <c r="E1575" s="4" t="s">
        <v>779</v>
      </c>
      <c r="F1575" s="2">
        <v>82</v>
      </c>
      <c r="G1575" s="2" t="s">
        <v>1399</v>
      </c>
      <c r="H1575" s="2" t="s">
        <v>1400</v>
      </c>
      <c r="I1575" s="4" t="s">
        <v>60</v>
      </c>
      <c r="J1575" s="112">
        <f>IF($H1575&lt;&gt;"Y",0,ROUND(MIN(Dashboard!$R$24,IF(IFERROR(VLOOKUP($B1575,Dashboard!$Q$28:$S$60,2,FALSE),0)&gt;0,IFERROR(VLOOKUP($B1575,Dashboard!$Q$28:$S$60,2,FALSE),0),$Z1575*IF($U1575&lt;&gt;"",ROUND((Dashboard!$R$4/$U1575)*VLOOKUP($I1575,Dashboard!$Q$9:$R$13,2,FALSE)*IF(ISNUMBER(SEARCH("Duals",$B1575)),2,IF(ISNUMBER(SEARCH("Triples",$B1575)),3,IF(ISNUMBER(SEARCH("Quads",$B1575)),4,1))),2),ROUND(VLOOKUP($I1575,Dashboard!$Q$15:$R$20,2,FALSE)*IF($E1575="Red",Dashboard!$R$6,IF($E1575="Gold",Dashboard!$R$7,Dashboard!$R$5))*IF(ISNUMBER(SEARCH("Duals",$B1575)),2,IF(ISNUMBER(SEARCH("Triples",$B1575)),3,IF(ISNUMBER(SEARCH("Quads",$B1575)),4,1))),2))*IF(IFERROR(VLOOKUP($B1575,Dashboard!$Q$28:$S$60,3,FALSE),0)&gt;0,VLOOKUP($B1575,Dashboard!$Q$28:$S$60,3,FALSE),1))),0))</f>
        <v>13</v>
      </c>
      <c r="K1575" s="2" t="str">
        <f>IF(Characters!G25="","",Characters!G25)</f>
        <v>C 81/82</v>
      </c>
      <c r="L1575" s="2">
        <f t="shared" si="312"/>
        <v>1</v>
      </c>
      <c r="M1575" s="2">
        <f t="shared" si="313"/>
        <v>0</v>
      </c>
      <c r="N1575" s="2">
        <f t="shared" si="314"/>
        <v>1</v>
      </c>
      <c r="O1575" s="2">
        <f t="shared" si="315"/>
        <v>0</v>
      </c>
      <c r="P1575" s="112">
        <f t="shared" si="316"/>
        <v>13</v>
      </c>
      <c r="Q1575" s="112">
        <f t="shared" si="317"/>
        <v>0</v>
      </c>
      <c r="R1575" s="53"/>
      <c r="S1575" s="53" t="str">
        <f t="shared" si="318"/>
        <v>Characters|Characters Floor 82 Parallel|C-24|Floor 82</v>
      </c>
      <c r="T1575" s="57" t="str">
        <f>IF($S1575="","",IFERROR(VLOOKUP($S1575,'Pop Estimates (Non-#d)'!$N$2:$O$500,2,FALSE),""))</f>
        <v/>
      </c>
      <c r="U1575" s="57">
        <f t="shared" si="319"/>
        <v>82</v>
      </c>
      <c r="V1575" s="53" t="str">
        <f t="shared" si="320"/>
        <v>Victoria Neuman</v>
      </c>
      <c r="W1575" s="53" t="str">
        <f t="shared" si="321"/>
        <v>Victoria Neuman</v>
      </c>
      <c r="X1575" s="53" t="str">
        <f t="shared" si="322"/>
        <v>Victoria Neuman</v>
      </c>
      <c r="Y1575" s="57">
        <f>IF($X1575="","",IFERROR(VLOOKUP($X1575,'Char Popularity'!$A$2:$C$500,2,FALSE),""))</f>
        <v>4</v>
      </c>
      <c r="Z1575" s="56">
        <f>IF($X1575="",1,IFERROR(VLOOKUP($X1575,'Char Popularity'!$A$2:$C$500,3,FALSE),1))</f>
        <v>1.1000000000000001</v>
      </c>
      <c r="AA1575" s="62">
        <f>IF($H1575&lt;&gt;"Y",0,(IF($F1575&lt;&gt;"",ROUND(Dashboard!$R$4/$F1575,1),IF(AND($I1575="Base",$E1575="Base"),Dashboard!$R$5,IF(AND($I1575="Base",$E1575="Red"),Dashboard!$R$6,IF(AND($I1575="Base",$E1575="Gold"),Dashboard!$R$7,VLOOKUP($I1575,Dashboard!$Q$16:$R$21,2,FALSE)))))*VLOOKUP($I1575,Dashboard!$Q$9:$R$13,2,FALSE)*IF(AND($I1575="Auto",$F1575="",OR($B1575="Autographs Duals",$B1575="Autographs Triples",$B1575="Autographs Quads",$B1575="Autographs Quads (Inscribed)")),IF($B1575="Autographs Duals",2,IF($B1575="Autographs Triples",3,4)),1)))</f>
        <v>12.2</v>
      </c>
      <c r="AB1575" s="62">
        <f t="shared" si="323"/>
        <v>12.2</v>
      </c>
      <c r="AC1575" s="62">
        <f t="shared" si="324"/>
        <v>0</v>
      </c>
    </row>
    <row r="1576" spans="1:29" ht="42.95" customHeight="1" x14ac:dyDescent="0.25">
      <c r="A1576" s="4" t="s">
        <v>21</v>
      </c>
      <c r="B1576" s="7" t="s">
        <v>93</v>
      </c>
      <c r="C1576" s="2" t="s">
        <v>1229</v>
      </c>
      <c r="D1576" s="7" t="s">
        <v>1230</v>
      </c>
      <c r="E1576" s="4" t="s">
        <v>779</v>
      </c>
      <c r="F1576" s="2">
        <v>82</v>
      </c>
      <c r="G1576" s="2" t="s">
        <v>1399</v>
      </c>
      <c r="H1576" s="2" t="s">
        <v>1400</v>
      </c>
      <c r="I1576" s="4" t="s">
        <v>60</v>
      </c>
      <c r="J1576" s="112">
        <f>IF($H1576&lt;&gt;"Y",0,ROUND(MIN(Dashboard!$R$24,IF(IFERROR(VLOOKUP($B1576,Dashboard!$Q$28:$S$60,2,FALSE),0)&gt;0,IFERROR(VLOOKUP($B1576,Dashboard!$Q$28:$S$60,2,FALSE),0),$Z1576*IF($U1576&lt;&gt;"",ROUND((Dashboard!$R$4/$U1576)*VLOOKUP($I1576,Dashboard!$Q$9:$R$13,2,FALSE)*IF(ISNUMBER(SEARCH("Duals",$B1576)),2,IF(ISNUMBER(SEARCH("Triples",$B1576)),3,IF(ISNUMBER(SEARCH("Quads",$B1576)),4,1))),2),ROUND(VLOOKUP($I1576,Dashboard!$Q$15:$R$20,2,FALSE)*IF($E1576="Red",Dashboard!$R$6,IF($E1576="Gold",Dashboard!$R$7,Dashboard!$R$5))*IF(ISNUMBER(SEARCH("Duals",$B1576)),2,IF(ISNUMBER(SEARCH("Triples",$B1576)),3,IF(ISNUMBER(SEARCH("Quads",$B1576)),4,1))),2))*IF(IFERROR(VLOOKUP($B1576,Dashboard!$Q$28:$S$60,3,FALSE),0)&gt;0,VLOOKUP($B1576,Dashboard!$Q$28:$S$60,3,FALSE),1))),0))</f>
        <v>12</v>
      </c>
      <c r="K1576" s="2" t="str">
        <f>IF(Characters!G26="","",Characters!G26)</f>
        <v>V 24/82</v>
      </c>
      <c r="L1576" s="2">
        <f t="shared" si="312"/>
        <v>1</v>
      </c>
      <c r="M1576" s="2">
        <f t="shared" si="313"/>
        <v>0</v>
      </c>
      <c r="N1576" s="2">
        <f t="shared" si="314"/>
        <v>1</v>
      </c>
      <c r="O1576" s="2">
        <f t="shared" si="315"/>
        <v>0</v>
      </c>
      <c r="P1576" s="112">
        <f t="shared" si="316"/>
        <v>12</v>
      </c>
      <c r="Q1576" s="112">
        <f t="shared" si="317"/>
        <v>0</v>
      </c>
      <c r="R1576" s="53"/>
      <c r="S1576" s="53" t="str">
        <f t="shared" si="318"/>
        <v>Characters|Characters Floor 82 Parallel|C-25|Floor 82</v>
      </c>
      <c r="T1576" s="57" t="str">
        <f>IF($S1576="","",IFERROR(VLOOKUP($S1576,'Pop Estimates (Non-#d)'!$N$2:$O$500,2,FALSE),""))</f>
        <v/>
      </c>
      <c r="U1576" s="57">
        <f t="shared" si="319"/>
        <v>82</v>
      </c>
      <c r="V1576" s="53" t="str">
        <f t="shared" si="320"/>
        <v>Donna January</v>
      </c>
      <c r="W1576" s="53" t="str">
        <f t="shared" si="321"/>
        <v>Donna January</v>
      </c>
      <c r="X1576" s="53" t="str">
        <f t="shared" si="322"/>
        <v>Donna January</v>
      </c>
      <c r="Y1576" s="57">
        <f>IF($X1576="","",IFERROR(VLOOKUP($X1576,'Char Popularity'!$A$2:$C$500,2,FALSE),""))</f>
        <v>3</v>
      </c>
      <c r="Z1576" s="56">
        <f>IF($X1576="",1,IFERROR(VLOOKUP($X1576,'Char Popularity'!$A$2:$C$500,3,FALSE),1))</f>
        <v>1</v>
      </c>
      <c r="AA1576" s="62">
        <f>IF($H1576&lt;&gt;"Y",0,(IF($F1576&lt;&gt;"",ROUND(Dashboard!$R$4/$F1576,1),IF(AND($I1576="Base",$E1576="Base"),Dashboard!$R$5,IF(AND($I1576="Base",$E1576="Red"),Dashboard!$R$6,IF(AND($I1576="Base",$E1576="Gold"),Dashboard!$R$7,VLOOKUP($I1576,Dashboard!$Q$16:$R$21,2,FALSE)))))*VLOOKUP($I1576,Dashboard!$Q$9:$R$13,2,FALSE)*IF(AND($I1576="Auto",$F1576="",OR($B1576="Autographs Duals",$B1576="Autographs Triples",$B1576="Autographs Quads",$B1576="Autographs Quads (Inscribed)")),IF($B1576="Autographs Duals",2,IF($B1576="Autographs Triples",3,4)),1)))</f>
        <v>12.2</v>
      </c>
      <c r="AB1576" s="62">
        <f t="shared" si="323"/>
        <v>12.2</v>
      </c>
      <c r="AC1576" s="62">
        <f t="shared" si="324"/>
        <v>0</v>
      </c>
    </row>
    <row r="1577" spans="1:29" ht="42.95" customHeight="1" x14ac:dyDescent="0.25">
      <c r="A1577" s="4" t="s">
        <v>21</v>
      </c>
      <c r="B1577" s="7" t="s">
        <v>93</v>
      </c>
      <c r="C1577" s="2" t="s">
        <v>1232</v>
      </c>
      <c r="D1577" s="7" t="s">
        <v>1233</v>
      </c>
      <c r="E1577" s="4" t="s">
        <v>779</v>
      </c>
      <c r="F1577" s="2">
        <v>82</v>
      </c>
      <c r="G1577" s="2" t="s">
        <v>1399</v>
      </c>
      <c r="H1577" s="2" t="s">
        <v>1400</v>
      </c>
      <c r="I1577" s="4" t="s">
        <v>60</v>
      </c>
      <c r="J1577" s="112">
        <f>IF($H1577&lt;&gt;"Y",0,ROUND(MIN(Dashboard!$R$24,IF(IFERROR(VLOOKUP($B1577,Dashboard!$Q$28:$S$60,2,FALSE),0)&gt;0,IFERROR(VLOOKUP($B1577,Dashboard!$Q$28:$S$60,2,FALSE),0),$Z1577*IF($U1577&lt;&gt;"",ROUND((Dashboard!$R$4/$U1577)*VLOOKUP($I1577,Dashboard!$Q$9:$R$13,2,FALSE)*IF(ISNUMBER(SEARCH("Duals",$B1577)),2,IF(ISNUMBER(SEARCH("Triples",$B1577)),3,IF(ISNUMBER(SEARCH("Quads",$B1577)),4,1))),2),ROUND(VLOOKUP($I1577,Dashboard!$Q$15:$R$20,2,FALSE)*IF($E1577="Red",Dashboard!$R$6,IF($E1577="Gold",Dashboard!$R$7,Dashboard!$R$5))*IF(ISNUMBER(SEARCH("Duals",$B1577)),2,IF(ISNUMBER(SEARCH("Triples",$B1577)),3,IF(ISNUMBER(SEARCH("Quads",$B1577)),4,1))),2))*IF(IFERROR(VLOOKUP($B1577,Dashboard!$Q$28:$S$60,3,FALSE),0)&gt;0,VLOOKUP($B1577,Dashboard!$Q$28:$S$60,3,FALSE),1))),0))</f>
        <v>11</v>
      </c>
      <c r="K1577" s="2" t="str">
        <f>IF(Characters!G27="","",Characters!G27)</f>
        <v>C 56/82</v>
      </c>
      <c r="L1577" s="2">
        <f t="shared" si="312"/>
        <v>1</v>
      </c>
      <c r="M1577" s="2">
        <f t="shared" si="313"/>
        <v>0</v>
      </c>
      <c r="N1577" s="2">
        <f t="shared" si="314"/>
        <v>1</v>
      </c>
      <c r="O1577" s="2">
        <f t="shared" si="315"/>
        <v>0</v>
      </c>
      <c r="P1577" s="112">
        <f t="shared" si="316"/>
        <v>11</v>
      </c>
      <c r="Q1577" s="112">
        <f t="shared" si="317"/>
        <v>0</v>
      </c>
      <c r="R1577" s="53"/>
      <c r="S1577" s="53" t="str">
        <f t="shared" si="318"/>
        <v>Characters|Characters Floor 82 Parallel|C-26|Floor 82</v>
      </c>
      <c r="T1577" s="57" t="str">
        <f>IF($S1577="","",IFERROR(VLOOKUP($S1577,'Pop Estimates (Non-#d)'!$N$2:$O$500,2,FALSE),""))</f>
        <v/>
      </c>
      <c r="U1577" s="57">
        <f t="shared" si="319"/>
        <v>82</v>
      </c>
      <c r="V1577" s="53" t="str">
        <f t="shared" si="320"/>
        <v>Mesmer</v>
      </c>
      <c r="W1577" s="53" t="str">
        <f t="shared" si="321"/>
        <v>Mesmer</v>
      </c>
      <c r="X1577" s="53" t="str">
        <f t="shared" si="322"/>
        <v>Mesmer</v>
      </c>
      <c r="Y1577" s="57">
        <f>IF($X1577="","",IFERROR(VLOOKUP($X1577,'Char Popularity'!$A$2:$C$500,2,FALSE),""))</f>
        <v>2</v>
      </c>
      <c r="Z1577" s="56">
        <f>IF($X1577="",1,IFERROR(VLOOKUP($X1577,'Char Popularity'!$A$2:$C$500,3,FALSE),1))</f>
        <v>0.9</v>
      </c>
      <c r="AA1577" s="62">
        <f>IF($H1577&lt;&gt;"Y",0,(IF($F1577&lt;&gt;"",ROUND(Dashboard!$R$4/$F1577,1),IF(AND($I1577="Base",$E1577="Base"),Dashboard!$R$5,IF(AND($I1577="Base",$E1577="Red"),Dashboard!$R$6,IF(AND($I1577="Base",$E1577="Gold"),Dashboard!$R$7,VLOOKUP($I1577,Dashboard!$Q$16:$R$21,2,FALSE)))))*VLOOKUP($I1577,Dashboard!$Q$9:$R$13,2,FALSE)*IF(AND($I1577="Auto",$F1577="",OR($B1577="Autographs Duals",$B1577="Autographs Triples",$B1577="Autographs Quads",$B1577="Autographs Quads (Inscribed)")),IF($B1577="Autographs Duals",2,IF($B1577="Autographs Triples",3,4)),1)))</f>
        <v>12.2</v>
      </c>
      <c r="AB1577" s="62">
        <f t="shared" si="323"/>
        <v>12.2</v>
      </c>
      <c r="AC1577" s="62">
        <f t="shared" si="324"/>
        <v>0</v>
      </c>
    </row>
    <row r="1578" spans="1:29" ht="42.95" customHeight="1" x14ac:dyDescent="0.25">
      <c r="A1578" s="4" t="s">
        <v>21</v>
      </c>
      <c r="B1578" s="7" t="s">
        <v>93</v>
      </c>
      <c r="C1578" s="2" t="s">
        <v>1234</v>
      </c>
      <c r="D1578" s="7" t="s">
        <v>1235</v>
      </c>
      <c r="E1578" s="4" t="s">
        <v>779</v>
      </c>
      <c r="F1578" s="2">
        <v>82</v>
      </c>
      <c r="G1578" s="2" t="s">
        <v>1399</v>
      </c>
      <c r="H1578" s="2" t="s">
        <v>1400</v>
      </c>
      <c r="I1578" s="4" t="s">
        <v>60</v>
      </c>
      <c r="J1578" s="112">
        <f>IF($H1578&lt;&gt;"Y",0,ROUND(MIN(Dashboard!$R$24,IF(IFERROR(VLOOKUP($B1578,Dashboard!$Q$28:$S$60,2,FALSE),0)&gt;0,IFERROR(VLOOKUP($B1578,Dashboard!$Q$28:$S$60,2,FALSE),0),$Z1578*IF($U1578&lt;&gt;"",ROUND((Dashboard!$R$4/$U1578)*VLOOKUP($I1578,Dashboard!$Q$9:$R$13,2,FALSE)*IF(ISNUMBER(SEARCH("Duals",$B1578)),2,IF(ISNUMBER(SEARCH("Triples",$B1578)),3,IF(ISNUMBER(SEARCH("Quads",$B1578)),4,1))),2),ROUND(VLOOKUP($I1578,Dashboard!$Q$15:$R$20,2,FALSE)*IF($E1578="Red",Dashboard!$R$6,IF($E1578="Gold",Dashboard!$R$7,Dashboard!$R$5))*IF(ISNUMBER(SEARCH("Duals",$B1578)),2,IF(ISNUMBER(SEARCH("Triples",$B1578)),3,IF(ISNUMBER(SEARCH("Quads",$B1578)),4,1))),2))*IF(IFERROR(VLOOKUP($B1578,Dashboard!$Q$28:$S$60,3,FALSE),0)&gt;0,VLOOKUP($B1578,Dashboard!$Q$28:$S$60,3,FALSE),1))),0))</f>
        <v>12</v>
      </c>
      <c r="K1578" s="2" t="str">
        <f>IF(Characters!G28="","",Characters!G28)</f>
        <v>V 68/82</v>
      </c>
      <c r="L1578" s="2">
        <f t="shared" si="312"/>
        <v>1</v>
      </c>
      <c r="M1578" s="2">
        <f t="shared" si="313"/>
        <v>0</v>
      </c>
      <c r="N1578" s="2">
        <f t="shared" si="314"/>
        <v>1</v>
      </c>
      <c r="O1578" s="2">
        <f t="shared" si="315"/>
        <v>0</v>
      </c>
      <c r="P1578" s="112">
        <f t="shared" si="316"/>
        <v>12</v>
      </c>
      <c r="Q1578" s="112">
        <f t="shared" si="317"/>
        <v>0</v>
      </c>
      <c r="R1578" s="53"/>
      <c r="S1578" s="53" t="str">
        <f t="shared" si="318"/>
        <v>Characters|Characters Floor 82 Parallel|C-27|Floor 82</v>
      </c>
      <c r="T1578" s="57" t="str">
        <f>IF($S1578="","",IFERROR(VLOOKUP($S1578,'Pop Estimates (Non-#d)'!$N$2:$O$500,2,FALSE),""))</f>
        <v/>
      </c>
      <c r="U1578" s="57">
        <f t="shared" si="319"/>
        <v>82</v>
      </c>
      <c r="V1578" s="53" t="str">
        <f t="shared" si="320"/>
        <v>Hughie Campbell Sr.</v>
      </c>
      <c r="W1578" s="53" t="str">
        <f t="shared" si="321"/>
        <v>Hughie Campbell Sr.</v>
      </c>
      <c r="X1578" s="53" t="str">
        <f t="shared" si="322"/>
        <v>Hughie Campbell Sr.</v>
      </c>
      <c r="Y1578" s="57">
        <f>IF($X1578="","",IFERROR(VLOOKUP($X1578,'Char Popularity'!$A$2:$C$500,2,FALSE),""))</f>
        <v>3</v>
      </c>
      <c r="Z1578" s="56">
        <f>IF($X1578="",1,IFERROR(VLOOKUP($X1578,'Char Popularity'!$A$2:$C$500,3,FALSE),1))</f>
        <v>1</v>
      </c>
      <c r="AA1578" s="62">
        <f>IF($H1578&lt;&gt;"Y",0,(IF($F1578&lt;&gt;"",ROUND(Dashboard!$R$4/$F1578,1),IF(AND($I1578="Base",$E1578="Base"),Dashboard!$R$5,IF(AND($I1578="Base",$E1578="Red"),Dashboard!$R$6,IF(AND($I1578="Base",$E1578="Gold"),Dashboard!$R$7,VLOOKUP($I1578,Dashboard!$Q$16:$R$21,2,FALSE)))))*VLOOKUP($I1578,Dashboard!$Q$9:$R$13,2,FALSE)*IF(AND($I1578="Auto",$F1578="",OR($B1578="Autographs Duals",$B1578="Autographs Triples",$B1578="Autographs Quads",$B1578="Autographs Quads (Inscribed)")),IF($B1578="Autographs Duals",2,IF($B1578="Autographs Triples",3,4)),1)))</f>
        <v>12.2</v>
      </c>
      <c r="AB1578" s="62">
        <f t="shared" si="323"/>
        <v>12.2</v>
      </c>
      <c r="AC1578" s="62">
        <f t="shared" si="324"/>
        <v>0</v>
      </c>
    </row>
    <row r="1579" spans="1:29" ht="42.95" customHeight="1" x14ac:dyDescent="0.25">
      <c r="A1579" s="4" t="s">
        <v>21</v>
      </c>
      <c r="B1579" s="7" t="s">
        <v>93</v>
      </c>
      <c r="C1579" s="2" t="s">
        <v>1236</v>
      </c>
      <c r="D1579" s="7" t="s">
        <v>1237</v>
      </c>
      <c r="E1579" s="4" t="s">
        <v>779</v>
      </c>
      <c r="F1579" s="2">
        <v>82</v>
      </c>
      <c r="G1579" s="2" t="s">
        <v>1399</v>
      </c>
      <c r="H1579" s="2" t="s">
        <v>1400</v>
      </c>
      <c r="I1579" s="4" t="s">
        <v>60</v>
      </c>
      <c r="J1579" s="112">
        <f>IF($H1579&lt;&gt;"Y",0,ROUND(MIN(Dashboard!$R$24,IF(IFERROR(VLOOKUP($B1579,Dashboard!$Q$28:$S$60,2,FALSE),0)&gt;0,IFERROR(VLOOKUP($B1579,Dashboard!$Q$28:$S$60,2,FALSE),0),$Z1579*IF($U1579&lt;&gt;"",ROUND((Dashboard!$R$4/$U1579)*VLOOKUP($I1579,Dashboard!$Q$9:$R$13,2,FALSE)*IF(ISNUMBER(SEARCH("Duals",$B1579)),2,IF(ISNUMBER(SEARCH("Triples",$B1579)),3,IF(ISNUMBER(SEARCH("Quads",$B1579)),4,1))),2),ROUND(VLOOKUP($I1579,Dashboard!$Q$15:$R$20,2,FALSE)*IF($E1579="Red",Dashboard!$R$6,IF($E1579="Gold",Dashboard!$R$7,Dashboard!$R$5))*IF(ISNUMBER(SEARCH("Duals",$B1579)),2,IF(ISNUMBER(SEARCH("Triples",$B1579)),3,IF(ISNUMBER(SEARCH("Quads",$B1579)),4,1))),2))*IF(IFERROR(VLOOKUP($B1579,Dashboard!$Q$28:$S$60,3,FALSE),0)&gt;0,VLOOKUP($B1579,Dashboard!$Q$28:$S$60,3,FALSE),1))),0))</f>
        <v>12</v>
      </c>
      <c r="K1579" s="2" t="str">
        <f>IF(Characters!G29="","",Characters!G29)</f>
        <v>V 79/82</v>
      </c>
      <c r="L1579" s="2">
        <f t="shared" si="312"/>
        <v>1</v>
      </c>
      <c r="M1579" s="2">
        <f t="shared" si="313"/>
        <v>0</v>
      </c>
      <c r="N1579" s="2">
        <f t="shared" si="314"/>
        <v>1</v>
      </c>
      <c r="O1579" s="2">
        <f t="shared" si="315"/>
        <v>0</v>
      </c>
      <c r="P1579" s="112">
        <f t="shared" si="316"/>
        <v>12</v>
      </c>
      <c r="Q1579" s="112">
        <f t="shared" si="317"/>
        <v>0</v>
      </c>
      <c r="R1579" s="53"/>
      <c r="S1579" s="53" t="str">
        <f t="shared" si="318"/>
        <v>Characters|Characters Floor 82 Parallel|C-28|Floor 82</v>
      </c>
      <c r="T1579" s="57" t="str">
        <f>IF($S1579="","",IFERROR(VLOOKUP($S1579,'Pop Estimates (Non-#d)'!$N$2:$O$500,2,FALSE),""))</f>
        <v/>
      </c>
      <c r="U1579" s="57">
        <f t="shared" si="319"/>
        <v>82</v>
      </c>
      <c r="V1579" s="53" t="str">
        <f t="shared" si="320"/>
        <v>Susan Rayner</v>
      </c>
      <c r="W1579" s="53" t="str">
        <f t="shared" si="321"/>
        <v>Susan Rayner</v>
      </c>
      <c r="X1579" s="53" t="str">
        <f t="shared" si="322"/>
        <v>Susan Rayner</v>
      </c>
      <c r="Y1579" s="57">
        <f>IF($X1579="","",IFERROR(VLOOKUP($X1579,'Char Popularity'!$A$2:$C$500,2,FALSE),""))</f>
        <v>3</v>
      </c>
      <c r="Z1579" s="56">
        <f>IF($X1579="",1,IFERROR(VLOOKUP($X1579,'Char Popularity'!$A$2:$C$500,3,FALSE),1))</f>
        <v>1</v>
      </c>
      <c r="AA1579" s="62">
        <f>IF($H1579&lt;&gt;"Y",0,(IF($F1579&lt;&gt;"",ROUND(Dashboard!$R$4/$F1579,1),IF(AND($I1579="Base",$E1579="Base"),Dashboard!$R$5,IF(AND($I1579="Base",$E1579="Red"),Dashboard!$R$6,IF(AND($I1579="Base",$E1579="Gold"),Dashboard!$R$7,VLOOKUP($I1579,Dashboard!$Q$16:$R$21,2,FALSE)))))*VLOOKUP($I1579,Dashboard!$Q$9:$R$13,2,FALSE)*IF(AND($I1579="Auto",$F1579="",OR($B1579="Autographs Duals",$B1579="Autographs Triples",$B1579="Autographs Quads",$B1579="Autographs Quads (Inscribed)")),IF($B1579="Autographs Duals",2,IF($B1579="Autographs Triples",3,4)),1)))</f>
        <v>12.2</v>
      </c>
      <c r="AB1579" s="62">
        <f t="shared" si="323"/>
        <v>12.2</v>
      </c>
      <c r="AC1579" s="62">
        <f t="shared" si="324"/>
        <v>0</v>
      </c>
    </row>
    <row r="1580" spans="1:29" ht="42.95" customHeight="1" x14ac:dyDescent="0.25">
      <c r="A1580" s="4" t="s">
        <v>21</v>
      </c>
      <c r="B1580" s="7" t="s">
        <v>93</v>
      </c>
      <c r="C1580" s="2" t="s">
        <v>424</v>
      </c>
      <c r="D1580" s="7" t="s">
        <v>1600</v>
      </c>
      <c r="E1580" s="4" t="s">
        <v>779</v>
      </c>
      <c r="F1580" s="2">
        <v>82</v>
      </c>
      <c r="G1580" s="2" t="s">
        <v>1399</v>
      </c>
      <c r="H1580" s="2" t="s">
        <v>1400</v>
      </c>
      <c r="I1580" s="4" t="s">
        <v>60</v>
      </c>
      <c r="J1580" s="112">
        <f>IF($H1580&lt;&gt;"Y",0,ROUND(MIN(Dashboard!$R$24,IF(IFERROR(VLOOKUP($B1580,Dashboard!$Q$28:$S$60,2,FALSE),0)&gt;0,IFERROR(VLOOKUP($B1580,Dashboard!$Q$28:$S$60,2,FALSE),0),$Z1580*IF($U1580&lt;&gt;"",ROUND((Dashboard!$R$4/$U1580)*VLOOKUP($I1580,Dashboard!$Q$9:$R$13,2,FALSE)*IF(ISNUMBER(SEARCH("Duals",$B1580)),2,IF(ISNUMBER(SEARCH("Triples",$B1580)),3,IF(ISNUMBER(SEARCH("Quads",$B1580)),4,1))),2),ROUND(VLOOKUP($I1580,Dashboard!$Q$15:$R$20,2,FALSE)*IF($E1580="Red",Dashboard!$R$6,IF($E1580="Gold",Dashboard!$R$7,Dashboard!$R$5))*IF(ISNUMBER(SEARCH("Duals",$B1580)),2,IF(ISNUMBER(SEARCH("Triples",$B1580)),3,IF(ISNUMBER(SEARCH("Quads",$B1580)),4,1))),2))*IF(IFERROR(VLOOKUP($B1580,Dashboard!$Q$28:$S$60,3,FALSE),0)&gt;0,VLOOKUP($B1580,Dashboard!$Q$28:$S$60,3,FALSE),1))),0))</f>
        <v>12</v>
      </c>
      <c r="K1580" s="2" t="str">
        <f>IF(Characters!G30="","",Characters!G30)</f>
        <v>V 66/82</v>
      </c>
      <c r="L1580" s="2">
        <f t="shared" si="312"/>
        <v>1</v>
      </c>
      <c r="M1580" s="2">
        <f t="shared" si="313"/>
        <v>0</v>
      </c>
      <c r="N1580" s="2">
        <f t="shared" si="314"/>
        <v>1</v>
      </c>
      <c r="O1580" s="2">
        <f t="shared" si="315"/>
        <v>0</v>
      </c>
      <c r="P1580" s="112">
        <f t="shared" si="316"/>
        <v>12</v>
      </c>
      <c r="Q1580" s="112">
        <f t="shared" si="317"/>
        <v>0</v>
      </c>
      <c r="R1580" s="53"/>
      <c r="S1580" s="53" t="str">
        <f t="shared" si="318"/>
        <v>Characters|Characters Floor 82 Parallel|C-29|Floor 82</v>
      </c>
      <c r="T1580" s="57" t="str">
        <f>IF($S1580="","",IFERROR(VLOOKUP($S1580,'Pop Estimates (Non-#d)'!$N$2:$O$500,2,FALSE),""))</f>
        <v/>
      </c>
      <c r="U1580" s="57">
        <f t="shared" si="319"/>
        <v>82</v>
      </c>
      <c r="V1580" s="53" t="str">
        <f t="shared" si="320"/>
        <v>Robin</v>
      </c>
      <c r="W1580" s="53" t="str">
        <f t="shared" si="321"/>
        <v>Robin</v>
      </c>
      <c r="X1580" s="53" t="str">
        <f t="shared" si="322"/>
        <v>Robin</v>
      </c>
      <c r="Y1580" s="57">
        <f>IF($X1580="","",IFERROR(VLOOKUP($X1580,'Char Popularity'!$A$2:$C$500,2,FALSE),""))</f>
        <v>3</v>
      </c>
      <c r="Z1580" s="56">
        <f>IF($X1580="",1,IFERROR(VLOOKUP($X1580,'Char Popularity'!$A$2:$C$500,3,FALSE),1))</f>
        <v>1</v>
      </c>
      <c r="AA1580" s="62">
        <f>IF($H1580&lt;&gt;"Y",0,(IF($F1580&lt;&gt;"",ROUND(Dashboard!$R$4/$F1580,1),IF(AND($I1580="Base",$E1580="Base"),Dashboard!$R$5,IF(AND($I1580="Base",$E1580="Red"),Dashboard!$R$6,IF(AND($I1580="Base",$E1580="Gold"),Dashboard!$R$7,VLOOKUP($I1580,Dashboard!$Q$16:$R$21,2,FALSE)))))*VLOOKUP($I1580,Dashboard!$Q$9:$R$13,2,FALSE)*IF(AND($I1580="Auto",$F1580="",OR($B1580="Autographs Duals",$B1580="Autographs Triples",$B1580="Autographs Quads",$B1580="Autographs Quads (Inscribed)")),IF($B1580="Autographs Duals",2,IF($B1580="Autographs Triples",3,4)),1)))</f>
        <v>12.2</v>
      </c>
      <c r="AB1580" s="62">
        <f t="shared" si="323"/>
        <v>12.2</v>
      </c>
      <c r="AC1580" s="62">
        <f t="shared" si="324"/>
        <v>0</v>
      </c>
    </row>
    <row r="1581" spans="1:29" ht="42.95" customHeight="1" x14ac:dyDescent="0.25">
      <c r="A1581" s="4" t="s">
        <v>21</v>
      </c>
      <c r="B1581" s="7" t="s">
        <v>93</v>
      </c>
      <c r="C1581" s="2" t="s">
        <v>1239</v>
      </c>
      <c r="D1581" s="7" t="s">
        <v>1233</v>
      </c>
      <c r="E1581" s="4" t="s">
        <v>779</v>
      </c>
      <c r="F1581" s="2">
        <v>82</v>
      </c>
      <c r="G1581" s="2" t="s">
        <v>1399</v>
      </c>
      <c r="H1581" s="2" t="s">
        <v>1400</v>
      </c>
      <c r="I1581" s="4" t="s">
        <v>60</v>
      </c>
      <c r="J1581" s="112">
        <f>IF($H1581&lt;&gt;"Y",0,ROUND(MIN(Dashboard!$R$24,IF(IFERROR(VLOOKUP($B1581,Dashboard!$Q$28:$S$60,2,FALSE),0)&gt;0,IFERROR(VLOOKUP($B1581,Dashboard!$Q$28:$S$60,2,FALSE),0),$Z1581*IF($U1581&lt;&gt;"",ROUND((Dashboard!$R$4/$U1581)*VLOOKUP($I1581,Dashboard!$Q$9:$R$13,2,FALSE)*IF(ISNUMBER(SEARCH("Duals",$B1581)),2,IF(ISNUMBER(SEARCH("Triples",$B1581)),3,IF(ISNUMBER(SEARCH("Quads",$B1581)),4,1))),2),ROUND(VLOOKUP($I1581,Dashboard!$Q$15:$R$20,2,FALSE)*IF($E1581="Red",Dashboard!$R$6,IF($E1581="Gold",Dashboard!$R$7,Dashboard!$R$5))*IF(ISNUMBER(SEARCH("Duals",$B1581)),2,IF(ISNUMBER(SEARCH("Triples",$B1581)),3,IF(ISNUMBER(SEARCH("Quads",$B1581)),4,1))),2))*IF(IFERROR(VLOOKUP($B1581,Dashboard!$Q$28:$S$60,3,FALSE),0)&gt;0,VLOOKUP($B1581,Dashboard!$Q$28:$S$60,3,FALSE),1))),0))</f>
        <v>11</v>
      </c>
      <c r="K1581" s="2" t="str">
        <f>IF(Characters!G31="","",Characters!G31)</f>
        <v>V 08/82</v>
      </c>
      <c r="L1581" s="2">
        <f t="shared" si="312"/>
        <v>1</v>
      </c>
      <c r="M1581" s="2">
        <f t="shared" si="313"/>
        <v>0</v>
      </c>
      <c r="N1581" s="2">
        <f t="shared" si="314"/>
        <v>1</v>
      </c>
      <c r="O1581" s="2">
        <f t="shared" si="315"/>
        <v>0</v>
      </c>
      <c r="P1581" s="112">
        <f t="shared" si="316"/>
        <v>11</v>
      </c>
      <c r="Q1581" s="112">
        <f t="shared" si="317"/>
        <v>0</v>
      </c>
      <c r="R1581" s="53"/>
      <c r="S1581" s="53" t="str">
        <f t="shared" si="318"/>
        <v>Characters|Characters Floor 82 Parallel|C-30|Floor 82</v>
      </c>
      <c r="T1581" s="57" t="str">
        <f>IF($S1581="","",IFERROR(VLOOKUP($S1581,'Pop Estimates (Non-#d)'!$N$2:$O$500,2,FALSE),""))</f>
        <v/>
      </c>
      <c r="U1581" s="57">
        <f t="shared" si="319"/>
        <v>82</v>
      </c>
      <c r="V1581" s="53" t="str">
        <f t="shared" si="320"/>
        <v>Mesmer</v>
      </c>
      <c r="W1581" s="53" t="str">
        <f t="shared" si="321"/>
        <v>Mesmer</v>
      </c>
      <c r="X1581" s="53" t="str">
        <f t="shared" si="322"/>
        <v>Mesmer</v>
      </c>
      <c r="Y1581" s="57">
        <f>IF($X1581="","",IFERROR(VLOOKUP($X1581,'Char Popularity'!$A$2:$C$500,2,FALSE),""))</f>
        <v>2</v>
      </c>
      <c r="Z1581" s="56">
        <f>IF($X1581="",1,IFERROR(VLOOKUP($X1581,'Char Popularity'!$A$2:$C$500,3,FALSE),1))</f>
        <v>0.9</v>
      </c>
      <c r="AA1581" s="62">
        <f>IF($H1581&lt;&gt;"Y",0,(IF($F1581&lt;&gt;"",ROUND(Dashboard!$R$4/$F1581,1),IF(AND($I1581="Base",$E1581="Base"),Dashboard!$R$5,IF(AND($I1581="Base",$E1581="Red"),Dashboard!$R$6,IF(AND($I1581="Base",$E1581="Gold"),Dashboard!$R$7,VLOOKUP($I1581,Dashboard!$Q$16:$R$21,2,FALSE)))))*VLOOKUP($I1581,Dashboard!$Q$9:$R$13,2,FALSE)*IF(AND($I1581="Auto",$F1581="",OR($B1581="Autographs Duals",$B1581="Autographs Triples",$B1581="Autographs Quads",$B1581="Autographs Quads (Inscribed)")),IF($B1581="Autographs Duals",2,IF($B1581="Autographs Triples",3,4)),1)))</f>
        <v>12.2</v>
      </c>
      <c r="AB1581" s="62">
        <f t="shared" si="323"/>
        <v>12.2</v>
      </c>
      <c r="AC1581" s="62">
        <f t="shared" si="324"/>
        <v>0</v>
      </c>
    </row>
    <row r="1582" spans="1:29" ht="42.95" customHeight="1" x14ac:dyDescent="0.25">
      <c r="A1582" s="4" t="s">
        <v>21</v>
      </c>
      <c r="B1582" s="7" t="s">
        <v>93</v>
      </c>
      <c r="C1582" s="2" t="s">
        <v>426</v>
      </c>
      <c r="D1582" s="7" t="s">
        <v>250</v>
      </c>
      <c r="E1582" s="4" t="s">
        <v>779</v>
      </c>
      <c r="F1582" s="2">
        <v>82</v>
      </c>
      <c r="G1582" s="2" t="s">
        <v>1399</v>
      </c>
      <c r="H1582" s="2" t="s">
        <v>1400</v>
      </c>
      <c r="I1582" s="4" t="s">
        <v>60</v>
      </c>
      <c r="J1582" s="112">
        <f>IF($H1582&lt;&gt;"Y",0,ROUND(MIN(Dashboard!$R$24,IF(IFERROR(VLOOKUP($B1582,Dashboard!$Q$28:$S$60,2,FALSE),0)&gt;0,IFERROR(VLOOKUP($B1582,Dashboard!$Q$28:$S$60,2,FALSE),0),$Z1582*IF($U1582&lt;&gt;"",ROUND((Dashboard!$R$4/$U1582)*VLOOKUP($I1582,Dashboard!$Q$9:$R$13,2,FALSE)*IF(ISNUMBER(SEARCH("Duals",$B1582)),2,IF(ISNUMBER(SEARCH("Triples",$B1582)),3,IF(ISNUMBER(SEARCH("Quads",$B1582)),4,1))),2),ROUND(VLOOKUP($I1582,Dashboard!$Q$15:$R$20,2,FALSE)*IF($E1582="Red",Dashboard!$R$6,IF($E1582="Gold",Dashboard!$R$7,Dashboard!$R$5))*IF(ISNUMBER(SEARCH("Duals",$B1582)),2,IF(ISNUMBER(SEARCH("Triples",$B1582)),3,IF(ISNUMBER(SEARCH("Quads",$B1582)),4,1))),2))*IF(IFERROR(VLOOKUP($B1582,Dashboard!$Q$28:$S$60,3,FALSE),0)&gt;0,VLOOKUP($B1582,Dashboard!$Q$28:$S$60,3,FALSE),1))),0))</f>
        <v>12</v>
      </c>
      <c r="K1582" s="2" t="str">
        <f>IF(Characters!G32="","",Characters!G32)</f>
        <v>C 27/82</v>
      </c>
      <c r="L1582" s="2">
        <f t="shared" si="312"/>
        <v>1</v>
      </c>
      <c r="M1582" s="2">
        <f t="shared" si="313"/>
        <v>0</v>
      </c>
      <c r="N1582" s="2">
        <f t="shared" si="314"/>
        <v>1</v>
      </c>
      <c r="O1582" s="2">
        <f t="shared" si="315"/>
        <v>0</v>
      </c>
      <c r="P1582" s="112">
        <f t="shared" si="316"/>
        <v>12</v>
      </c>
      <c r="Q1582" s="112">
        <f t="shared" si="317"/>
        <v>0</v>
      </c>
      <c r="R1582" s="53"/>
      <c r="S1582" s="53" t="str">
        <f t="shared" si="318"/>
        <v>Characters|Characters Floor 82 Parallel|C-31|Floor 82</v>
      </c>
      <c r="T1582" s="57" t="str">
        <f>IF($S1582="","",IFERROR(VLOOKUP($S1582,'Pop Estimates (Non-#d)'!$N$2:$O$500,2,FALSE),""))</f>
        <v/>
      </c>
      <c r="U1582" s="57">
        <f t="shared" si="319"/>
        <v>82</v>
      </c>
      <c r="V1582" s="53" t="str">
        <f t="shared" si="320"/>
        <v>Madelyn Stillwell</v>
      </c>
      <c r="W1582" s="53" t="str">
        <f t="shared" si="321"/>
        <v>Madelyn Stillwell</v>
      </c>
      <c r="X1582" s="53" t="str">
        <f t="shared" si="322"/>
        <v>Madelyn Stillwell</v>
      </c>
      <c r="Y1582" s="57">
        <f>IF($X1582="","",IFERROR(VLOOKUP($X1582,'Char Popularity'!$A$2:$C$500,2,FALSE),""))</f>
        <v>3</v>
      </c>
      <c r="Z1582" s="56">
        <f>IF($X1582="",1,IFERROR(VLOOKUP($X1582,'Char Popularity'!$A$2:$C$500,3,FALSE),1))</f>
        <v>1</v>
      </c>
      <c r="AA1582" s="62">
        <f>IF($H1582&lt;&gt;"Y",0,(IF($F1582&lt;&gt;"",ROUND(Dashboard!$R$4/$F1582,1),IF(AND($I1582="Base",$E1582="Base"),Dashboard!$R$5,IF(AND($I1582="Base",$E1582="Red"),Dashboard!$R$6,IF(AND($I1582="Base",$E1582="Gold"),Dashboard!$R$7,VLOOKUP($I1582,Dashboard!$Q$16:$R$21,2,FALSE)))))*VLOOKUP($I1582,Dashboard!$Q$9:$R$13,2,FALSE)*IF(AND($I1582="Auto",$F1582="",OR($B1582="Autographs Duals",$B1582="Autographs Triples",$B1582="Autographs Quads",$B1582="Autographs Quads (Inscribed)")),IF($B1582="Autographs Duals",2,IF($B1582="Autographs Triples",3,4)),1)))</f>
        <v>12.2</v>
      </c>
      <c r="AB1582" s="62">
        <f t="shared" si="323"/>
        <v>12.2</v>
      </c>
      <c r="AC1582" s="62">
        <f t="shared" si="324"/>
        <v>0</v>
      </c>
    </row>
    <row r="1583" spans="1:29" ht="42.95" customHeight="1" x14ac:dyDescent="0.25">
      <c r="A1583" s="4" t="s">
        <v>21</v>
      </c>
      <c r="B1583" s="7" t="s">
        <v>93</v>
      </c>
      <c r="C1583" s="2" t="s">
        <v>1242</v>
      </c>
      <c r="D1583" s="7" t="s">
        <v>1243</v>
      </c>
      <c r="E1583" s="4" t="s">
        <v>779</v>
      </c>
      <c r="F1583" s="2">
        <v>82</v>
      </c>
      <c r="G1583" s="2" t="s">
        <v>1399</v>
      </c>
      <c r="H1583" s="2" t="s">
        <v>1400</v>
      </c>
      <c r="I1583" s="4" t="s">
        <v>60</v>
      </c>
      <c r="J1583" s="112">
        <f>IF($H1583&lt;&gt;"Y",0,ROUND(MIN(Dashboard!$R$24,IF(IFERROR(VLOOKUP($B1583,Dashboard!$Q$28:$S$60,2,FALSE),0)&gt;0,IFERROR(VLOOKUP($B1583,Dashboard!$Q$28:$S$60,2,FALSE),0),$Z1583*IF($U1583&lt;&gt;"",ROUND((Dashboard!$R$4/$U1583)*VLOOKUP($I1583,Dashboard!$Q$9:$R$13,2,FALSE)*IF(ISNUMBER(SEARCH("Duals",$B1583)),2,IF(ISNUMBER(SEARCH("Triples",$B1583)),3,IF(ISNUMBER(SEARCH("Quads",$B1583)),4,1))),2),ROUND(VLOOKUP($I1583,Dashboard!$Q$15:$R$20,2,FALSE)*IF($E1583="Red",Dashboard!$R$6,IF($E1583="Gold",Dashboard!$R$7,Dashboard!$R$5))*IF(ISNUMBER(SEARCH("Duals",$B1583)),2,IF(ISNUMBER(SEARCH("Triples",$B1583)),3,IF(ISNUMBER(SEARCH("Quads",$B1583)),4,1))),2))*IF(IFERROR(VLOOKUP($B1583,Dashboard!$Q$28:$S$60,3,FALSE),0)&gt;0,VLOOKUP($B1583,Dashboard!$Q$28:$S$60,3,FALSE),1))),0))</f>
        <v>12</v>
      </c>
      <c r="K1583" s="2" t="str">
        <f>IF(Characters!G33="","",Characters!G33)</f>
        <v>C 42/82</v>
      </c>
      <c r="L1583" s="2">
        <f t="shared" si="312"/>
        <v>1</v>
      </c>
      <c r="M1583" s="2">
        <f t="shared" si="313"/>
        <v>0</v>
      </c>
      <c r="N1583" s="2">
        <f t="shared" si="314"/>
        <v>1</v>
      </c>
      <c r="O1583" s="2">
        <f t="shared" si="315"/>
        <v>0</v>
      </c>
      <c r="P1583" s="112">
        <f t="shared" si="316"/>
        <v>12</v>
      </c>
      <c r="Q1583" s="112">
        <f t="shared" si="317"/>
        <v>0</v>
      </c>
      <c r="R1583" s="53"/>
      <c r="S1583" s="53" t="str">
        <f t="shared" si="318"/>
        <v>Characters|Characters Floor 82 Parallel|C-32|Floor 82</v>
      </c>
      <c r="T1583" s="57" t="str">
        <f>IF($S1583="","",IFERROR(VLOOKUP($S1583,'Pop Estimates (Non-#d)'!$N$2:$O$500,2,FALSE),""))</f>
        <v/>
      </c>
      <c r="U1583" s="57">
        <f t="shared" si="319"/>
        <v>82</v>
      </c>
      <c r="V1583" s="53" t="str">
        <f t="shared" si="320"/>
        <v/>
      </c>
      <c r="W1583" s="53" t="str">
        <f t="shared" si="321"/>
        <v/>
      </c>
      <c r="X1583" s="53" t="str">
        <f t="shared" si="322"/>
        <v/>
      </c>
      <c r="Y1583" s="57" t="str">
        <f>IF($X1583="","",IFERROR(VLOOKUP($X1583,'Char Popularity'!$A$2:$C$500,2,FALSE),""))</f>
        <v/>
      </c>
      <c r="Z1583" s="56">
        <f>IF($X1583="",1,IFERROR(VLOOKUP($X1583,'Char Popularity'!$A$2:$C$500,3,FALSE),1))</f>
        <v>1</v>
      </c>
      <c r="AA1583" s="62">
        <f>IF($H1583&lt;&gt;"Y",0,(IF($F1583&lt;&gt;"",ROUND(Dashboard!$R$4/$F1583,1),IF(AND($I1583="Base",$E1583="Base"),Dashboard!$R$5,IF(AND($I1583="Base",$E1583="Red"),Dashboard!$R$6,IF(AND($I1583="Base",$E1583="Gold"),Dashboard!$R$7,VLOOKUP($I1583,Dashboard!$Q$16:$R$21,2,FALSE)))))*VLOOKUP($I1583,Dashboard!$Q$9:$R$13,2,FALSE)*IF(AND($I1583="Auto",$F1583="",OR($B1583="Autographs Duals",$B1583="Autographs Triples",$B1583="Autographs Quads",$B1583="Autographs Quads (Inscribed)")),IF($B1583="Autographs Duals",2,IF($B1583="Autographs Triples",3,4)),1)))</f>
        <v>12.2</v>
      </c>
      <c r="AB1583" s="62">
        <f t="shared" si="323"/>
        <v>12.2</v>
      </c>
      <c r="AC1583" s="62">
        <f t="shared" si="324"/>
        <v>0</v>
      </c>
    </row>
    <row r="1584" spans="1:29" ht="42.95" customHeight="1" x14ac:dyDescent="0.25">
      <c r="A1584" s="4" t="s">
        <v>21</v>
      </c>
      <c r="B1584" s="7" t="s">
        <v>93</v>
      </c>
      <c r="C1584" s="2" t="s">
        <v>1244</v>
      </c>
      <c r="D1584" s="7" t="s">
        <v>1245</v>
      </c>
      <c r="E1584" s="4" t="s">
        <v>779</v>
      </c>
      <c r="F1584" s="2">
        <v>82</v>
      </c>
      <c r="G1584" s="2" t="s">
        <v>1399</v>
      </c>
      <c r="H1584" s="2" t="s">
        <v>1400</v>
      </c>
      <c r="I1584" s="4" t="s">
        <v>60</v>
      </c>
      <c r="J1584" s="112">
        <f>IF($H1584&lt;&gt;"Y",0,ROUND(MIN(Dashboard!$R$24,IF(IFERROR(VLOOKUP($B1584,Dashboard!$Q$28:$S$60,2,FALSE),0)&gt;0,IFERROR(VLOOKUP($B1584,Dashboard!$Q$28:$S$60,2,FALSE),0),$Z1584*IF($U1584&lt;&gt;"",ROUND((Dashboard!$R$4/$U1584)*VLOOKUP($I1584,Dashboard!$Q$9:$R$13,2,FALSE)*IF(ISNUMBER(SEARCH("Duals",$B1584)),2,IF(ISNUMBER(SEARCH("Triples",$B1584)),3,IF(ISNUMBER(SEARCH("Quads",$B1584)),4,1))),2),ROUND(VLOOKUP($I1584,Dashboard!$Q$15:$R$20,2,FALSE)*IF($E1584="Red",Dashboard!$R$6,IF($E1584="Gold",Dashboard!$R$7,Dashboard!$R$5))*IF(ISNUMBER(SEARCH("Duals",$B1584)),2,IF(ISNUMBER(SEARCH("Triples",$B1584)),3,IF(ISNUMBER(SEARCH("Quads",$B1584)),4,1))),2))*IF(IFERROR(VLOOKUP($B1584,Dashboard!$Q$28:$S$60,3,FALSE),0)&gt;0,VLOOKUP($B1584,Dashboard!$Q$28:$S$60,3,FALSE),1))),0))</f>
        <v>12</v>
      </c>
      <c r="K1584" s="2" t="str">
        <f>IF(Characters!G34="","",Characters!G34)</f>
        <v>C '03/82</v>
      </c>
      <c r="L1584" s="2">
        <f t="shared" si="312"/>
        <v>1</v>
      </c>
      <c r="M1584" s="2">
        <f t="shared" si="313"/>
        <v>0</v>
      </c>
      <c r="N1584" s="2">
        <f t="shared" si="314"/>
        <v>1</v>
      </c>
      <c r="O1584" s="2">
        <f t="shared" si="315"/>
        <v>0</v>
      </c>
      <c r="P1584" s="112">
        <f t="shared" si="316"/>
        <v>12</v>
      </c>
      <c r="Q1584" s="112">
        <f t="shared" si="317"/>
        <v>0</v>
      </c>
      <c r="R1584" s="53"/>
      <c r="S1584" s="53" t="str">
        <f t="shared" si="318"/>
        <v>Characters|Characters Floor 82 Parallel|C-33|Floor 82</v>
      </c>
      <c r="T1584" s="57" t="str">
        <f>IF($S1584="","",IFERROR(VLOOKUP($S1584,'Pop Estimates (Non-#d)'!$N$2:$O$500,2,FALSE),""))</f>
        <v/>
      </c>
      <c r="U1584" s="57">
        <f t="shared" si="319"/>
        <v>82</v>
      </c>
      <c r="V1584" s="53" t="str">
        <f t="shared" si="320"/>
        <v>Eagle the Archer</v>
      </c>
      <c r="W1584" s="53" t="str">
        <f t="shared" si="321"/>
        <v>Eagle the Archer</v>
      </c>
      <c r="X1584" s="53" t="str">
        <f t="shared" si="322"/>
        <v>Eagle the Archer</v>
      </c>
      <c r="Y1584" s="57">
        <f>IF($X1584="","",IFERROR(VLOOKUP($X1584,'Char Popularity'!$A$2:$C$500,2,FALSE),""))</f>
        <v>3</v>
      </c>
      <c r="Z1584" s="56">
        <f>IF($X1584="",1,IFERROR(VLOOKUP($X1584,'Char Popularity'!$A$2:$C$500,3,FALSE),1))</f>
        <v>1</v>
      </c>
      <c r="AA1584" s="62">
        <f>IF($H1584&lt;&gt;"Y",0,(IF($F1584&lt;&gt;"",ROUND(Dashboard!$R$4/$F1584,1),IF(AND($I1584="Base",$E1584="Base"),Dashboard!$R$5,IF(AND($I1584="Base",$E1584="Red"),Dashboard!$R$6,IF(AND($I1584="Base",$E1584="Gold"),Dashboard!$R$7,VLOOKUP($I1584,Dashboard!$Q$16:$R$21,2,FALSE)))))*VLOOKUP($I1584,Dashboard!$Q$9:$R$13,2,FALSE)*IF(AND($I1584="Auto",$F1584="",OR($B1584="Autographs Duals",$B1584="Autographs Triples",$B1584="Autographs Quads",$B1584="Autographs Quads (Inscribed)")),IF($B1584="Autographs Duals",2,IF($B1584="Autographs Triples",3,4)),1)))</f>
        <v>12.2</v>
      </c>
      <c r="AB1584" s="62">
        <f t="shared" si="323"/>
        <v>12.2</v>
      </c>
      <c r="AC1584" s="62">
        <f t="shared" si="324"/>
        <v>0</v>
      </c>
    </row>
    <row r="1585" spans="1:29" ht="42.95" customHeight="1" x14ac:dyDescent="0.25">
      <c r="A1585" s="4" t="s">
        <v>21</v>
      </c>
      <c r="B1585" s="7" t="s">
        <v>93</v>
      </c>
      <c r="C1585" s="2" t="s">
        <v>1247</v>
      </c>
      <c r="D1585" s="7" t="s">
        <v>1248</v>
      </c>
      <c r="E1585" s="4" t="s">
        <v>779</v>
      </c>
      <c r="F1585" s="2">
        <v>82</v>
      </c>
      <c r="G1585" s="2" t="s">
        <v>1399</v>
      </c>
      <c r="H1585" s="2" t="s">
        <v>1400</v>
      </c>
      <c r="I1585" s="4" t="s">
        <v>60</v>
      </c>
      <c r="J1585" s="112">
        <f>IF($H1585&lt;&gt;"Y",0,ROUND(MIN(Dashboard!$R$24,IF(IFERROR(VLOOKUP($B1585,Dashboard!$Q$28:$S$60,2,FALSE),0)&gt;0,IFERROR(VLOOKUP($B1585,Dashboard!$Q$28:$S$60,2,FALSE),0),$Z1585*IF($U1585&lt;&gt;"",ROUND((Dashboard!$R$4/$U1585)*VLOOKUP($I1585,Dashboard!$Q$9:$R$13,2,FALSE)*IF(ISNUMBER(SEARCH("Duals",$B1585)),2,IF(ISNUMBER(SEARCH("Triples",$B1585)),3,IF(ISNUMBER(SEARCH("Quads",$B1585)),4,1))),2),ROUND(VLOOKUP($I1585,Dashboard!$Q$15:$R$20,2,FALSE)*IF($E1585="Red",Dashboard!$R$6,IF($E1585="Gold",Dashboard!$R$7,Dashboard!$R$5))*IF(ISNUMBER(SEARCH("Duals",$B1585)),2,IF(ISNUMBER(SEARCH("Triples",$B1585)),3,IF(ISNUMBER(SEARCH("Quads",$B1585)),4,1))),2))*IF(IFERROR(VLOOKUP($B1585,Dashboard!$Q$28:$S$60,3,FALSE),0)&gt;0,VLOOKUP($B1585,Dashboard!$Q$28:$S$60,3,FALSE),1))),0))</f>
        <v>12</v>
      </c>
      <c r="K1585" s="2" t="str">
        <f>IF(Characters!G35="","",Characters!G35)</f>
        <v>V 71/82</v>
      </c>
      <c r="L1585" s="2">
        <f t="shared" si="312"/>
        <v>1</v>
      </c>
      <c r="M1585" s="2">
        <f t="shared" si="313"/>
        <v>0</v>
      </c>
      <c r="N1585" s="2">
        <f t="shared" si="314"/>
        <v>1</v>
      </c>
      <c r="O1585" s="2">
        <f t="shared" si="315"/>
        <v>0</v>
      </c>
      <c r="P1585" s="112">
        <f t="shared" si="316"/>
        <v>12</v>
      </c>
      <c r="Q1585" s="112">
        <f t="shared" si="317"/>
        <v>0</v>
      </c>
      <c r="R1585" s="53"/>
      <c r="S1585" s="53" t="str">
        <f t="shared" si="318"/>
        <v>Characters|Characters Floor 82 Parallel|C-34|Floor 82</v>
      </c>
      <c r="T1585" s="57" t="str">
        <f>IF($S1585="","",IFERROR(VLOOKUP($S1585,'Pop Estimates (Non-#d)'!$N$2:$O$500,2,FALSE),""))</f>
        <v/>
      </c>
      <c r="U1585" s="57">
        <f t="shared" si="319"/>
        <v>82</v>
      </c>
      <c r="V1585" s="53" t="str">
        <f t="shared" si="320"/>
        <v>Carol</v>
      </c>
      <c r="W1585" s="53" t="str">
        <f t="shared" si="321"/>
        <v>Carol</v>
      </c>
      <c r="X1585" s="53" t="str">
        <f t="shared" si="322"/>
        <v>Carol</v>
      </c>
      <c r="Y1585" s="57">
        <f>IF($X1585="","",IFERROR(VLOOKUP($X1585,'Char Popularity'!$A$2:$C$500,2,FALSE),""))</f>
        <v>3</v>
      </c>
      <c r="Z1585" s="56">
        <f>IF($X1585="",1,IFERROR(VLOOKUP($X1585,'Char Popularity'!$A$2:$C$500,3,FALSE),1))</f>
        <v>1</v>
      </c>
      <c r="AA1585" s="62">
        <f>IF($H1585&lt;&gt;"Y",0,(IF($F1585&lt;&gt;"",ROUND(Dashboard!$R$4/$F1585,1),IF(AND($I1585="Base",$E1585="Base"),Dashboard!$R$5,IF(AND($I1585="Base",$E1585="Red"),Dashboard!$R$6,IF(AND($I1585="Base",$E1585="Gold"),Dashboard!$R$7,VLOOKUP($I1585,Dashboard!$Q$16:$R$21,2,FALSE)))))*VLOOKUP($I1585,Dashboard!$Q$9:$R$13,2,FALSE)*IF(AND($I1585="Auto",$F1585="",OR($B1585="Autographs Duals",$B1585="Autographs Triples",$B1585="Autographs Quads",$B1585="Autographs Quads (Inscribed)")),IF($B1585="Autographs Duals",2,IF($B1585="Autographs Triples",3,4)),1)))</f>
        <v>12.2</v>
      </c>
      <c r="AB1585" s="62">
        <f t="shared" si="323"/>
        <v>12.2</v>
      </c>
      <c r="AC1585" s="62">
        <f t="shared" si="324"/>
        <v>0</v>
      </c>
    </row>
    <row r="1586" spans="1:29" ht="42.95" customHeight="1" x14ac:dyDescent="0.25">
      <c r="A1586" s="4" t="s">
        <v>21</v>
      </c>
      <c r="B1586" s="7" t="s">
        <v>93</v>
      </c>
      <c r="C1586" s="2" t="s">
        <v>1250</v>
      </c>
      <c r="D1586" s="7" t="s">
        <v>1251</v>
      </c>
      <c r="E1586" s="4" t="s">
        <v>779</v>
      </c>
      <c r="F1586" s="2">
        <v>82</v>
      </c>
      <c r="G1586" s="2" t="s">
        <v>1399</v>
      </c>
      <c r="H1586" s="2" t="s">
        <v>1400</v>
      </c>
      <c r="I1586" s="4" t="s">
        <v>60</v>
      </c>
      <c r="J1586" s="112">
        <f>IF($H1586&lt;&gt;"Y",0,ROUND(MIN(Dashboard!$R$24,IF(IFERROR(VLOOKUP($B1586,Dashboard!$Q$28:$S$60,2,FALSE),0)&gt;0,IFERROR(VLOOKUP($B1586,Dashboard!$Q$28:$S$60,2,FALSE),0),$Z1586*IF($U1586&lt;&gt;"",ROUND((Dashboard!$R$4/$U1586)*VLOOKUP($I1586,Dashboard!$Q$9:$R$13,2,FALSE)*IF(ISNUMBER(SEARCH("Duals",$B1586)),2,IF(ISNUMBER(SEARCH("Triples",$B1586)),3,IF(ISNUMBER(SEARCH("Quads",$B1586)),4,1))),2),ROUND(VLOOKUP($I1586,Dashboard!$Q$15:$R$20,2,FALSE)*IF($E1586="Red",Dashboard!$R$6,IF($E1586="Gold",Dashboard!$R$7,Dashboard!$R$5))*IF(ISNUMBER(SEARCH("Duals",$B1586)),2,IF(ISNUMBER(SEARCH("Triples",$B1586)),3,IF(ISNUMBER(SEARCH("Quads",$B1586)),4,1))),2))*IF(IFERROR(VLOOKUP($B1586,Dashboard!$Q$28:$S$60,3,FALSE),0)&gt;0,VLOOKUP($B1586,Dashboard!$Q$28:$S$60,3,FALSE),1))),0))</f>
        <v>11</v>
      </c>
      <c r="K1586" s="2" t="str">
        <f>IF(Characters!G36="","",Characters!G36)</f>
        <v>C 03/82</v>
      </c>
      <c r="L1586" s="2">
        <f t="shared" si="312"/>
        <v>1</v>
      </c>
      <c r="M1586" s="2">
        <f t="shared" si="313"/>
        <v>0</v>
      </c>
      <c r="N1586" s="2">
        <f t="shared" si="314"/>
        <v>1</v>
      </c>
      <c r="O1586" s="2">
        <f t="shared" si="315"/>
        <v>0</v>
      </c>
      <c r="P1586" s="112">
        <f t="shared" si="316"/>
        <v>11</v>
      </c>
      <c r="Q1586" s="112">
        <f t="shared" si="317"/>
        <v>0</v>
      </c>
      <c r="R1586" s="53"/>
      <c r="S1586" s="53" t="str">
        <f t="shared" si="318"/>
        <v>Characters|Characters Floor 82 Parallel|C-35|Floor 82</v>
      </c>
      <c r="T1586" s="57" t="str">
        <f>IF($S1586="","",IFERROR(VLOOKUP($S1586,'Pop Estimates (Non-#d)'!$N$2:$O$500,2,FALSE),""))</f>
        <v/>
      </c>
      <c r="U1586" s="57">
        <f t="shared" si="319"/>
        <v>82</v>
      </c>
      <c r="V1586" s="53" t="str">
        <f t="shared" si="320"/>
        <v>Kenji Miyashiro</v>
      </c>
      <c r="W1586" s="53" t="str">
        <f t="shared" si="321"/>
        <v>Kenji Miyashiro</v>
      </c>
      <c r="X1586" s="53" t="str">
        <f t="shared" si="322"/>
        <v>Kenji Miyashiro</v>
      </c>
      <c r="Y1586" s="57">
        <f>IF($X1586="","",IFERROR(VLOOKUP($X1586,'Char Popularity'!$A$2:$C$500,2,FALSE),""))</f>
        <v>2</v>
      </c>
      <c r="Z1586" s="56">
        <f>IF($X1586="",1,IFERROR(VLOOKUP($X1586,'Char Popularity'!$A$2:$C$500,3,FALSE),1))</f>
        <v>0.9</v>
      </c>
      <c r="AA1586" s="62">
        <f>IF($H1586&lt;&gt;"Y",0,(IF($F1586&lt;&gt;"",ROUND(Dashboard!$R$4/$F1586,1),IF(AND($I1586="Base",$E1586="Base"),Dashboard!$R$5,IF(AND($I1586="Base",$E1586="Red"),Dashboard!$R$6,IF(AND($I1586="Base",$E1586="Gold"),Dashboard!$R$7,VLOOKUP($I1586,Dashboard!$Q$16:$R$21,2,FALSE)))))*VLOOKUP($I1586,Dashboard!$Q$9:$R$13,2,FALSE)*IF(AND($I1586="Auto",$F1586="",OR($B1586="Autographs Duals",$B1586="Autographs Triples",$B1586="Autographs Quads",$B1586="Autographs Quads (Inscribed)")),IF($B1586="Autographs Duals",2,IF($B1586="Autographs Triples",3,4)),1)))</f>
        <v>12.2</v>
      </c>
      <c r="AB1586" s="62">
        <f t="shared" si="323"/>
        <v>12.2</v>
      </c>
      <c r="AC1586" s="62">
        <f t="shared" si="324"/>
        <v>0</v>
      </c>
    </row>
    <row r="1587" spans="1:29" ht="42.95" customHeight="1" x14ac:dyDescent="0.25">
      <c r="A1587" s="4" t="s">
        <v>21</v>
      </c>
      <c r="B1587" s="7" t="s">
        <v>93</v>
      </c>
      <c r="C1587" s="2" t="s">
        <v>1253</v>
      </c>
      <c r="D1587" s="7" t="s">
        <v>1254</v>
      </c>
      <c r="E1587" s="4" t="s">
        <v>779</v>
      </c>
      <c r="F1587" s="2">
        <v>82</v>
      </c>
      <c r="G1587" s="2" t="s">
        <v>1399</v>
      </c>
      <c r="H1587" s="2" t="s">
        <v>1400</v>
      </c>
      <c r="I1587" s="4" t="s">
        <v>60</v>
      </c>
      <c r="J1587" s="112">
        <f>IF($H1587&lt;&gt;"Y",0,ROUND(MIN(Dashboard!$R$24,IF(IFERROR(VLOOKUP($B1587,Dashboard!$Q$28:$S$60,2,FALSE),0)&gt;0,IFERROR(VLOOKUP($B1587,Dashboard!$Q$28:$S$60,2,FALSE),0),$Z1587*IF($U1587&lt;&gt;"",ROUND((Dashboard!$R$4/$U1587)*VLOOKUP($I1587,Dashboard!$Q$9:$R$13,2,FALSE)*IF(ISNUMBER(SEARCH("Duals",$B1587)),2,IF(ISNUMBER(SEARCH("Triples",$B1587)),3,IF(ISNUMBER(SEARCH("Quads",$B1587)),4,1))),2),ROUND(VLOOKUP($I1587,Dashboard!$Q$15:$R$20,2,FALSE)*IF($E1587="Red",Dashboard!$R$6,IF($E1587="Gold",Dashboard!$R$7,Dashboard!$R$5))*IF(ISNUMBER(SEARCH("Duals",$B1587)),2,IF(ISNUMBER(SEARCH("Triples",$B1587)),3,IF(ISNUMBER(SEARCH("Quads",$B1587)),4,1))),2))*IF(IFERROR(VLOOKUP($B1587,Dashboard!$Q$28:$S$60,3,FALSE),0)&gt;0,VLOOKUP($B1587,Dashboard!$Q$28:$S$60,3,FALSE),1))),0))</f>
        <v>12</v>
      </c>
      <c r="K1587" s="2" t="str">
        <f>IF(Characters!G37="","",Characters!G37)</f>
        <v>C 74/82</v>
      </c>
      <c r="L1587" s="2">
        <f t="shared" si="312"/>
        <v>1</v>
      </c>
      <c r="M1587" s="2">
        <f t="shared" si="313"/>
        <v>0</v>
      </c>
      <c r="N1587" s="2">
        <f t="shared" si="314"/>
        <v>1</v>
      </c>
      <c r="O1587" s="2">
        <f t="shared" si="315"/>
        <v>0</v>
      </c>
      <c r="P1587" s="112">
        <f t="shared" si="316"/>
        <v>12</v>
      </c>
      <c r="Q1587" s="112">
        <f t="shared" si="317"/>
        <v>0</v>
      </c>
      <c r="R1587" s="53"/>
      <c r="S1587" s="53" t="str">
        <f t="shared" si="318"/>
        <v>Characters|Characters Floor 82 Parallel|C-36|Floor 82</v>
      </c>
      <c r="T1587" s="57" t="str">
        <f>IF($S1587="","",IFERROR(VLOOKUP($S1587,'Pop Estimates (Non-#d)'!$N$2:$O$500,2,FALSE),""))</f>
        <v/>
      </c>
      <c r="U1587" s="57">
        <f t="shared" si="319"/>
        <v>82</v>
      </c>
      <c r="V1587" s="53" t="str">
        <f t="shared" si="320"/>
        <v>Elena</v>
      </c>
      <c r="W1587" s="53" t="str">
        <f t="shared" si="321"/>
        <v>Elena</v>
      </c>
      <c r="X1587" s="53" t="str">
        <f t="shared" si="322"/>
        <v>Elena</v>
      </c>
      <c r="Y1587" s="57">
        <f>IF($X1587="","",IFERROR(VLOOKUP($X1587,'Char Popularity'!$A$2:$C$500,2,FALSE),""))</f>
        <v>3</v>
      </c>
      <c r="Z1587" s="56">
        <f>IF($X1587="",1,IFERROR(VLOOKUP($X1587,'Char Popularity'!$A$2:$C$500,3,FALSE),1))</f>
        <v>1</v>
      </c>
      <c r="AA1587" s="62">
        <f>IF($H1587&lt;&gt;"Y",0,(IF($F1587&lt;&gt;"",ROUND(Dashboard!$R$4/$F1587,1),IF(AND($I1587="Base",$E1587="Base"),Dashboard!$R$5,IF(AND($I1587="Base",$E1587="Red"),Dashboard!$R$6,IF(AND($I1587="Base",$E1587="Gold"),Dashboard!$R$7,VLOOKUP($I1587,Dashboard!$Q$16:$R$21,2,FALSE)))))*VLOOKUP($I1587,Dashboard!$Q$9:$R$13,2,FALSE)*IF(AND($I1587="Auto",$F1587="",OR($B1587="Autographs Duals",$B1587="Autographs Triples",$B1587="Autographs Quads",$B1587="Autographs Quads (Inscribed)")),IF($B1587="Autographs Duals",2,IF($B1587="Autographs Triples",3,4)),1)))</f>
        <v>12.2</v>
      </c>
      <c r="AB1587" s="62">
        <f t="shared" si="323"/>
        <v>12.2</v>
      </c>
      <c r="AC1587" s="62">
        <f t="shared" si="324"/>
        <v>0</v>
      </c>
    </row>
    <row r="1588" spans="1:29" ht="42.95" customHeight="1" x14ac:dyDescent="0.25">
      <c r="A1588" s="4" t="s">
        <v>21</v>
      </c>
      <c r="B1588" s="7" t="s">
        <v>93</v>
      </c>
      <c r="C1588" s="2" t="s">
        <v>1255</v>
      </c>
      <c r="D1588" s="7" t="s">
        <v>1256</v>
      </c>
      <c r="E1588" s="4" t="s">
        <v>779</v>
      </c>
      <c r="F1588" s="2">
        <v>82</v>
      </c>
      <c r="G1588" s="2" t="s">
        <v>1399</v>
      </c>
      <c r="H1588" s="2" t="s">
        <v>1400</v>
      </c>
      <c r="I1588" s="4" t="s">
        <v>60</v>
      </c>
      <c r="J1588" s="112">
        <f>IF($H1588&lt;&gt;"Y",0,ROUND(MIN(Dashboard!$R$24,IF(IFERROR(VLOOKUP($B1588,Dashboard!$Q$28:$S$60,2,FALSE),0)&gt;0,IFERROR(VLOOKUP($B1588,Dashboard!$Q$28:$S$60,2,FALSE),0),$Z1588*IF($U1588&lt;&gt;"",ROUND((Dashboard!$R$4/$U1588)*VLOOKUP($I1588,Dashboard!$Q$9:$R$13,2,FALSE)*IF(ISNUMBER(SEARCH("Duals",$B1588)),2,IF(ISNUMBER(SEARCH("Triples",$B1588)),3,IF(ISNUMBER(SEARCH("Quads",$B1588)),4,1))),2),ROUND(VLOOKUP($I1588,Dashboard!$Q$15:$R$20,2,FALSE)*IF($E1588="Red",Dashboard!$R$6,IF($E1588="Gold",Dashboard!$R$7,Dashboard!$R$5))*IF(ISNUMBER(SEARCH("Duals",$B1588)),2,IF(ISNUMBER(SEARCH("Triples",$B1588)),3,IF(ISNUMBER(SEARCH("Quads",$B1588)),4,1))),2))*IF(IFERROR(VLOOKUP($B1588,Dashboard!$Q$28:$S$60,3,FALSE),0)&gt;0,VLOOKUP($B1588,Dashboard!$Q$28:$S$60,3,FALSE),1))),0))</f>
        <v>11</v>
      </c>
      <c r="K1588" s="2" t="str">
        <f>IF(Characters!G38="","",Characters!G38)</f>
        <v>C 60/82</v>
      </c>
      <c r="L1588" s="2">
        <f t="shared" si="312"/>
        <v>1</v>
      </c>
      <c r="M1588" s="2">
        <f t="shared" si="313"/>
        <v>0</v>
      </c>
      <c r="N1588" s="2">
        <f t="shared" si="314"/>
        <v>1</v>
      </c>
      <c r="O1588" s="2">
        <f t="shared" si="315"/>
        <v>0</v>
      </c>
      <c r="P1588" s="112">
        <f t="shared" si="316"/>
        <v>11</v>
      </c>
      <c r="Q1588" s="112">
        <f t="shared" si="317"/>
        <v>0</v>
      </c>
      <c r="R1588" s="53"/>
      <c r="S1588" s="53" t="str">
        <f t="shared" si="318"/>
        <v>Characters|Characters Floor 82 Parallel|C-37|Floor 82</v>
      </c>
      <c r="T1588" s="57" t="str">
        <f>IF($S1588="","",IFERROR(VLOOKUP($S1588,'Pop Estimates (Non-#d)'!$N$2:$O$500,2,FALSE),""))</f>
        <v/>
      </c>
      <c r="U1588" s="57">
        <f t="shared" si="319"/>
        <v>82</v>
      </c>
      <c r="V1588" s="53" t="str">
        <f t="shared" si="320"/>
        <v>Nathan Franklin</v>
      </c>
      <c r="W1588" s="53" t="str">
        <f t="shared" si="321"/>
        <v>Nathan Franklin</v>
      </c>
      <c r="X1588" s="53" t="str">
        <f t="shared" si="322"/>
        <v>Nathan Franklin</v>
      </c>
      <c r="Y1588" s="57">
        <f>IF($X1588="","",IFERROR(VLOOKUP($X1588,'Char Popularity'!$A$2:$C$500,2,FALSE),""))</f>
        <v>2</v>
      </c>
      <c r="Z1588" s="56">
        <f>IF($X1588="",1,IFERROR(VLOOKUP($X1588,'Char Popularity'!$A$2:$C$500,3,FALSE),1))</f>
        <v>0.9</v>
      </c>
      <c r="AA1588" s="62">
        <f>IF($H1588&lt;&gt;"Y",0,(IF($F1588&lt;&gt;"",ROUND(Dashboard!$R$4/$F1588,1),IF(AND($I1588="Base",$E1588="Base"),Dashboard!$R$5,IF(AND($I1588="Base",$E1588="Red"),Dashboard!$R$6,IF(AND($I1588="Base",$E1588="Gold"),Dashboard!$R$7,VLOOKUP($I1588,Dashboard!$Q$16:$R$21,2,FALSE)))))*VLOOKUP($I1588,Dashboard!$Q$9:$R$13,2,FALSE)*IF(AND($I1588="Auto",$F1588="",OR($B1588="Autographs Duals",$B1588="Autographs Triples",$B1588="Autographs Quads",$B1588="Autographs Quads (Inscribed)")),IF($B1588="Autographs Duals",2,IF($B1588="Autographs Triples",3,4)),1)))</f>
        <v>12.2</v>
      </c>
      <c r="AB1588" s="62">
        <f t="shared" si="323"/>
        <v>12.2</v>
      </c>
      <c r="AC1588" s="62">
        <f t="shared" si="324"/>
        <v>0</v>
      </c>
    </row>
    <row r="1589" spans="1:29" ht="42.95" customHeight="1" x14ac:dyDescent="0.25">
      <c r="A1589" s="4" t="s">
        <v>21</v>
      </c>
      <c r="B1589" s="7" t="s">
        <v>93</v>
      </c>
      <c r="C1589" s="2" t="s">
        <v>1257</v>
      </c>
      <c r="D1589" s="7" t="s">
        <v>1235</v>
      </c>
      <c r="E1589" s="4" t="s">
        <v>779</v>
      </c>
      <c r="F1589" s="2">
        <v>82</v>
      </c>
      <c r="G1589" s="2" t="s">
        <v>1399</v>
      </c>
      <c r="H1589" s="2" t="s">
        <v>1400</v>
      </c>
      <c r="I1589" s="4" t="s">
        <v>60</v>
      </c>
      <c r="J1589" s="112">
        <f>IF($H1589&lt;&gt;"Y",0,ROUND(MIN(Dashboard!$R$24,IF(IFERROR(VLOOKUP($B1589,Dashboard!$Q$28:$S$60,2,FALSE),0)&gt;0,IFERROR(VLOOKUP($B1589,Dashboard!$Q$28:$S$60,2,FALSE),0),$Z1589*IF($U1589&lt;&gt;"",ROUND((Dashboard!$R$4/$U1589)*VLOOKUP($I1589,Dashboard!$Q$9:$R$13,2,FALSE)*IF(ISNUMBER(SEARCH("Duals",$B1589)),2,IF(ISNUMBER(SEARCH("Triples",$B1589)),3,IF(ISNUMBER(SEARCH("Quads",$B1589)),4,1))),2),ROUND(VLOOKUP($I1589,Dashboard!$Q$15:$R$20,2,FALSE)*IF($E1589="Red",Dashboard!$R$6,IF($E1589="Gold",Dashboard!$R$7,Dashboard!$R$5))*IF(ISNUMBER(SEARCH("Duals",$B1589)),2,IF(ISNUMBER(SEARCH("Triples",$B1589)),3,IF(ISNUMBER(SEARCH("Quads",$B1589)),4,1))),2))*IF(IFERROR(VLOOKUP($B1589,Dashboard!$Q$28:$S$60,3,FALSE),0)&gt;0,VLOOKUP($B1589,Dashboard!$Q$28:$S$60,3,FALSE),1))),0))</f>
        <v>12</v>
      </c>
      <c r="K1589" s="2" t="str">
        <f>IF(Characters!G39="","",Characters!G39)</f>
        <v>C 46/82</v>
      </c>
      <c r="L1589" s="2">
        <f t="shared" si="312"/>
        <v>1</v>
      </c>
      <c r="M1589" s="2">
        <f t="shared" si="313"/>
        <v>0</v>
      </c>
      <c r="N1589" s="2">
        <f t="shared" si="314"/>
        <v>1</v>
      </c>
      <c r="O1589" s="2">
        <f t="shared" si="315"/>
        <v>0</v>
      </c>
      <c r="P1589" s="112">
        <f t="shared" si="316"/>
        <v>12</v>
      </c>
      <c r="Q1589" s="112">
        <f t="shared" si="317"/>
        <v>0</v>
      </c>
      <c r="R1589" s="53"/>
      <c r="S1589" s="53" t="str">
        <f t="shared" si="318"/>
        <v>Characters|Characters Floor 82 Parallel|C-38|Floor 82</v>
      </c>
      <c r="T1589" s="57" t="str">
        <f>IF($S1589="","",IFERROR(VLOOKUP($S1589,'Pop Estimates (Non-#d)'!$N$2:$O$500,2,FALSE),""))</f>
        <v/>
      </c>
      <c r="U1589" s="57">
        <f t="shared" si="319"/>
        <v>82</v>
      </c>
      <c r="V1589" s="53" t="str">
        <f t="shared" si="320"/>
        <v>Hughie Campbell Sr.</v>
      </c>
      <c r="W1589" s="53" t="str">
        <f t="shared" si="321"/>
        <v>Hughie Campbell Sr.</v>
      </c>
      <c r="X1589" s="53" t="str">
        <f t="shared" si="322"/>
        <v>Hughie Campbell Sr.</v>
      </c>
      <c r="Y1589" s="57">
        <f>IF($X1589="","",IFERROR(VLOOKUP($X1589,'Char Popularity'!$A$2:$C$500,2,FALSE),""))</f>
        <v>3</v>
      </c>
      <c r="Z1589" s="56">
        <f>IF($X1589="",1,IFERROR(VLOOKUP($X1589,'Char Popularity'!$A$2:$C$500,3,FALSE),1))</f>
        <v>1</v>
      </c>
      <c r="AA1589" s="62">
        <f>IF($H1589&lt;&gt;"Y",0,(IF($F1589&lt;&gt;"",ROUND(Dashboard!$R$4/$F1589,1),IF(AND($I1589="Base",$E1589="Base"),Dashboard!$R$5,IF(AND($I1589="Base",$E1589="Red"),Dashboard!$R$6,IF(AND($I1589="Base",$E1589="Gold"),Dashboard!$R$7,VLOOKUP($I1589,Dashboard!$Q$16:$R$21,2,FALSE)))))*VLOOKUP($I1589,Dashboard!$Q$9:$R$13,2,FALSE)*IF(AND($I1589="Auto",$F1589="",OR($B1589="Autographs Duals",$B1589="Autographs Triples",$B1589="Autographs Quads",$B1589="Autographs Quads (Inscribed)")),IF($B1589="Autographs Duals",2,IF($B1589="Autographs Triples",3,4)),1)))</f>
        <v>12.2</v>
      </c>
      <c r="AB1589" s="62">
        <f t="shared" si="323"/>
        <v>12.2</v>
      </c>
      <c r="AC1589" s="62">
        <f t="shared" si="324"/>
        <v>0</v>
      </c>
    </row>
    <row r="1590" spans="1:29" ht="42.95" customHeight="1" x14ac:dyDescent="0.25">
      <c r="A1590" s="4" t="s">
        <v>21</v>
      </c>
      <c r="B1590" s="7" t="s">
        <v>93</v>
      </c>
      <c r="C1590" s="2" t="s">
        <v>427</v>
      </c>
      <c r="D1590" s="7" t="s">
        <v>283</v>
      </c>
      <c r="E1590" s="4" t="s">
        <v>779</v>
      </c>
      <c r="F1590" s="2">
        <v>82</v>
      </c>
      <c r="G1590" s="2" t="s">
        <v>1399</v>
      </c>
      <c r="H1590" s="2" t="s">
        <v>1400</v>
      </c>
      <c r="I1590" s="4" t="s">
        <v>60</v>
      </c>
      <c r="J1590" s="112">
        <f>IF($H1590&lt;&gt;"Y",0,ROUND(MIN(Dashboard!$R$24,IF(IFERROR(VLOOKUP($B1590,Dashboard!$Q$28:$S$60,2,FALSE),0)&gt;0,IFERROR(VLOOKUP($B1590,Dashboard!$Q$28:$S$60,2,FALSE),0),$Z1590*IF($U1590&lt;&gt;"",ROUND((Dashboard!$R$4/$U1590)*VLOOKUP($I1590,Dashboard!$Q$9:$R$13,2,FALSE)*IF(ISNUMBER(SEARCH("Duals",$B1590)),2,IF(ISNUMBER(SEARCH("Triples",$B1590)),3,IF(ISNUMBER(SEARCH("Quads",$B1590)),4,1))),2),ROUND(VLOOKUP($I1590,Dashboard!$Q$15:$R$20,2,FALSE)*IF($E1590="Red",Dashboard!$R$6,IF($E1590="Gold",Dashboard!$R$7,Dashboard!$R$5))*IF(ISNUMBER(SEARCH("Duals",$B1590)),2,IF(ISNUMBER(SEARCH("Triples",$B1590)),3,IF(ISNUMBER(SEARCH("Quads",$B1590)),4,1))),2))*IF(IFERROR(VLOOKUP($B1590,Dashboard!$Q$28:$S$60,3,FALSE),0)&gt;0,VLOOKUP($B1590,Dashboard!$Q$28:$S$60,3,FALSE),1))),0))</f>
        <v>13</v>
      </c>
      <c r="K1590" s="2" t="str">
        <f>IF(Characters!G40="","",Characters!G40)</f>
        <v>C 08/82</v>
      </c>
      <c r="L1590" s="2">
        <f t="shared" si="312"/>
        <v>1</v>
      </c>
      <c r="M1590" s="2">
        <f t="shared" si="313"/>
        <v>0</v>
      </c>
      <c r="N1590" s="2">
        <f t="shared" si="314"/>
        <v>1</v>
      </c>
      <c r="O1590" s="2">
        <f t="shared" si="315"/>
        <v>0</v>
      </c>
      <c r="P1590" s="112">
        <f t="shared" si="316"/>
        <v>13</v>
      </c>
      <c r="Q1590" s="112">
        <f t="shared" si="317"/>
        <v>0</v>
      </c>
      <c r="R1590" s="53"/>
      <c r="S1590" s="53" t="str">
        <f t="shared" si="318"/>
        <v>Characters|Characters Floor 82 Parallel|C-39|Floor 82</v>
      </c>
      <c r="T1590" s="57" t="str">
        <f>IF($S1590="","",IFERROR(VLOOKUP($S1590,'Pop Estimates (Non-#d)'!$N$2:$O$500,2,FALSE),""))</f>
        <v/>
      </c>
      <c r="U1590" s="57">
        <f t="shared" si="319"/>
        <v>82</v>
      </c>
      <c r="V1590" s="53" t="str">
        <f t="shared" si="320"/>
        <v>Black Noir</v>
      </c>
      <c r="W1590" s="53" t="str">
        <f t="shared" si="321"/>
        <v>Black Noir</v>
      </c>
      <c r="X1590" s="53" t="str">
        <f t="shared" si="322"/>
        <v>Black Noir</v>
      </c>
      <c r="Y1590" s="57">
        <f>IF($X1590="","",IFERROR(VLOOKUP($X1590,'Char Popularity'!$A$2:$C$500,2,FALSE),""))</f>
        <v>4</v>
      </c>
      <c r="Z1590" s="56">
        <f>IF($X1590="",1,IFERROR(VLOOKUP($X1590,'Char Popularity'!$A$2:$C$500,3,FALSE),1))</f>
        <v>1.1000000000000001</v>
      </c>
      <c r="AA1590" s="62">
        <f>IF($H1590&lt;&gt;"Y",0,(IF($F1590&lt;&gt;"",ROUND(Dashboard!$R$4/$F1590,1),IF(AND($I1590="Base",$E1590="Base"),Dashboard!$R$5,IF(AND($I1590="Base",$E1590="Red"),Dashboard!$R$6,IF(AND($I1590="Base",$E1590="Gold"),Dashboard!$R$7,VLOOKUP($I1590,Dashboard!$Q$16:$R$21,2,FALSE)))))*VLOOKUP($I1590,Dashboard!$Q$9:$R$13,2,FALSE)*IF(AND($I1590="Auto",$F1590="",OR($B1590="Autographs Duals",$B1590="Autographs Triples",$B1590="Autographs Quads",$B1590="Autographs Quads (Inscribed)")),IF($B1590="Autographs Duals",2,IF($B1590="Autographs Triples",3,4)),1)))</f>
        <v>12.2</v>
      </c>
      <c r="AB1590" s="62">
        <f t="shared" si="323"/>
        <v>12.2</v>
      </c>
      <c r="AC1590" s="62">
        <f t="shared" si="324"/>
        <v>0</v>
      </c>
    </row>
    <row r="1591" spans="1:29" ht="42.95" customHeight="1" x14ac:dyDescent="0.25">
      <c r="A1591" s="4" t="s">
        <v>21</v>
      </c>
      <c r="B1591" s="7" t="s">
        <v>93</v>
      </c>
      <c r="C1591" s="2" t="s">
        <v>429</v>
      </c>
      <c r="D1591" s="7" t="s">
        <v>238</v>
      </c>
      <c r="E1591" s="4" t="s">
        <v>779</v>
      </c>
      <c r="F1591" s="2">
        <v>82</v>
      </c>
      <c r="G1591" s="2" t="s">
        <v>1399</v>
      </c>
      <c r="H1591" s="2" t="s">
        <v>1400</v>
      </c>
      <c r="I1591" s="4" t="s">
        <v>60</v>
      </c>
      <c r="J1591" s="112">
        <f>IF($H1591&lt;&gt;"Y",0,ROUND(MIN(Dashboard!$R$24,IF(IFERROR(VLOOKUP($B1591,Dashboard!$Q$28:$S$60,2,FALSE),0)&gt;0,IFERROR(VLOOKUP($B1591,Dashboard!$Q$28:$S$60,2,FALSE),0),$Z1591*IF($U1591&lt;&gt;"",ROUND((Dashboard!$R$4/$U1591)*VLOOKUP($I1591,Dashboard!$Q$9:$R$13,2,FALSE)*IF(ISNUMBER(SEARCH("Duals",$B1591)),2,IF(ISNUMBER(SEARCH("Triples",$B1591)),3,IF(ISNUMBER(SEARCH("Quads",$B1591)),4,1))),2),ROUND(VLOOKUP($I1591,Dashboard!$Q$15:$R$20,2,FALSE)*IF($E1591="Red",Dashboard!$R$6,IF($E1591="Gold",Dashboard!$R$7,Dashboard!$R$5))*IF(ISNUMBER(SEARCH("Duals",$B1591)),2,IF(ISNUMBER(SEARCH("Triples",$B1591)),3,IF(ISNUMBER(SEARCH("Quads",$B1591)),4,1))),2))*IF(IFERROR(VLOOKUP($B1591,Dashboard!$Q$28:$S$60,3,FALSE),0)&gt;0,VLOOKUP($B1591,Dashboard!$Q$28:$S$60,3,FALSE),1))),0))</f>
        <v>13</v>
      </c>
      <c r="K1591" s="2" t="str">
        <f>IF(Characters!G41="","",Characters!G41)</f>
        <v>C 30/82</v>
      </c>
      <c r="L1591" s="2">
        <f t="shared" si="312"/>
        <v>1</v>
      </c>
      <c r="M1591" s="2">
        <f t="shared" si="313"/>
        <v>0</v>
      </c>
      <c r="N1591" s="2">
        <f t="shared" si="314"/>
        <v>1</v>
      </c>
      <c r="O1591" s="2">
        <f t="shared" si="315"/>
        <v>0</v>
      </c>
      <c r="P1591" s="112">
        <f t="shared" si="316"/>
        <v>13</v>
      </c>
      <c r="Q1591" s="112">
        <f t="shared" si="317"/>
        <v>0</v>
      </c>
      <c r="R1591" s="53"/>
      <c r="S1591" s="53" t="str">
        <f t="shared" si="318"/>
        <v>Characters|Characters Floor 82 Parallel|C-40|Floor 82</v>
      </c>
      <c r="T1591" s="57" t="str">
        <f>IF($S1591="","",IFERROR(VLOOKUP($S1591,'Pop Estimates (Non-#d)'!$N$2:$O$500,2,FALSE),""))</f>
        <v/>
      </c>
      <c r="U1591" s="57">
        <f t="shared" si="319"/>
        <v>82</v>
      </c>
      <c r="V1591" s="53" t="str">
        <f t="shared" si="320"/>
        <v>Frenchie</v>
      </c>
      <c r="W1591" s="53" t="str">
        <f t="shared" si="321"/>
        <v>Frenchie</v>
      </c>
      <c r="X1591" s="53" t="str">
        <f t="shared" si="322"/>
        <v>Frenchie</v>
      </c>
      <c r="Y1591" s="57">
        <f>IF($X1591="","",IFERROR(VLOOKUP($X1591,'Char Popularity'!$A$2:$C$500,2,FALSE),""))</f>
        <v>4</v>
      </c>
      <c r="Z1591" s="56">
        <f>IF($X1591="",1,IFERROR(VLOOKUP($X1591,'Char Popularity'!$A$2:$C$500,3,FALSE),1))</f>
        <v>1.1000000000000001</v>
      </c>
      <c r="AA1591" s="62">
        <f>IF($H1591&lt;&gt;"Y",0,(IF($F1591&lt;&gt;"",ROUND(Dashboard!$R$4/$F1591,1),IF(AND($I1591="Base",$E1591="Base"),Dashboard!$R$5,IF(AND($I1591="Base",$E1591="Red"),Dashboard!$R$6,IF(AND($I1591="Base",$E1591="Gold"),Dashboard!$R$7,VLOOKUP($I1591,Dashboard!$Q$16:$R$21,2,FALSE)))))*VLOOKUP($I1591,Dashboard!$Q$9:$R$13,2,FALSE)*IF(AND($I1591="Auto",$F1591="",OR($B1591="Autographs Duals",$B1591="Autographs Triples",$B1591="Autographs Quads",$B1591="Autographs Quads (Inscribed)")),IF($B1591="Autographs Duals",2,IF($B1591="Autographs Triples",3,4)),1)))</f>
        <v>12.2</v>
      </c>
      <c r="AB1591" s="62">
        <f t="shared" si="323"/>
        <v>12.2</v>
      </c>
      <c r="AC1591" s="62">
        <f t="shared" si="324"/>
        <v>0</v>
      </c>
    </row>
    <row r="1592" spans="1:29" ht="42.95" customHeight="1" x14ac:dyDescent="0.25">
      <c r="A1592" s="4" t="s">
        <v>21</v>
      </c>
      <c r="B1592" s="7" t="s">
        <v>93</v>
      </c>
      <c r="C1592" s="2" t="s">
        <v>1260</v>
      </c>
      <c r="D1592" s="7" t="s">
        <v>539</v>
      </c>
      <c r="E1592" s="4" t="s">
        <v>779</v>
      </c>
      <c r="F1592" s="2">
        <v>82</v>
      </c>
      <c r="G1592" s="2" t="s">
        <v>1399</v>
      </c>
      <c r="H1592" s="2" t="s">
        <v>1400</v>
      </c>
      <c r="I1592" s="4" t="s">
        <v>60</v>
      </c>
      <c r="J1592" s="112">
        <f>IF($H1592&lt;&gt;"Y",0,ROUND(MIN(Dashboard!$R$24,IF(IFERROR(VLOOKUP($B1592,Dashboard!$Q$28:$S$60,2,FALSE),0)&gt;0,IFERROR(VLOOKUP($B1592,Dashboard!$Q$28:$S$60,2,FALSE),0),$Z1592*IF($U1592&lt;&gt;"",ROUND((Dashboard!$R$4/$U1592)*VLOOKUP($I1592,Dashboard!$Q$9:$R$13,2,FALSE)*IF(ISNUMBER(SEARCH("Duals",$B1592)),2,IF(ISNUMBER(SEARCH("Triples",$B1592)),3,IF(ISNUMBER(SEARCH("Quads",$B1592)),4,1))),2),ROUND(VLOOKUP($I1592,Dashboard!$Q$15:$R$20,2,FALSE)*IF($E1592="Red",Dashboard!$R$6,IF($E1592="Gold",Dashboard!$R$7,Dashboard!$R$5))*IF(ISNUMBER(SEARCH("Duals",$B1592)),2,IF(ISNUMBER(SEARCH("Triples",$B1592)),3,IF(ISNUMBER(SEARCH("Quads",$B1592)),4,1))),2))*IF(IFERROR(VLOOKUP($B1592,Dashboard!$Q$28:$S$60,3,FALSE),0)&gt;0,VLOOKUP($B1592,Dashboard!$Q$28:$S$60,3,FALSE),1))),0))</f>
        <v>12</v>
      </c>
      <c r="K1592" s="2" t="str">
        <f>IF(Characters!G42="","",Characters!G42)</f>
        <v>V 10/82</v>
      </c>
      <c r="L1592" s="2">
        <f t="shared" si="312"/>
        <v>1</v>
      </c>
      <c r="M1592" s="2">
        <f t="shared" si="313"/>
        <v>0</v>
      </c>
      <c r="N1592" s="2">
        <f t="shared" si="314"/>
        <v>1</v>
      </c>
      <c r="O1592" s="2">
        <f t="shared" si="315"/>
        <v>0</v>
      </c>
      <c r="P1592" s="112">
        <f t="shared" si="316"/>
        <v>12</v>
      </c>
      <c r="Q1592" s="112">
        <f t="shared" si="317"/>
        <v>0</v>
      </c>
      <c r="R1592" s="53"/>
      <c r="S1592" s="53" t="str">
        <f t="shared" si="318"/>
        <v>Characters|Characters Floor 82 Parallel|C-41|Floor 82</v>
      </c>
      <c r="T1592" s="57" t="str">
        <f>IF($S1592="","",IFERROR(VLOOKUP($S1592,'Pop Estimates (Non-#d)'!$N$2:$O$500,2,FALSE),""))</f>
        <v/>
      </c>
      <c r="U1592" s="57">
        <f t="shared" si="319"/>
        <v>82</v>
      </c>
      <c r="V1592" s="53" t="str">
        <f t="shared" si="320"/>
        <v/>
      </c>
      <c r="W1592" s="53" t="str">
        <f t="shared" si="321"/>
        <v/>
      </c>
      <c r="X1592" s="53" t="str">
        <f t="shared" si="322"/>
        <v/>
      </c>
      <c r="Y1592" s="57" t="str">
        <f>IF($X1592="","",IFERROR(VLOOKUP($X1592,'Char Popularity'!$A$2:$C$500,2,FALSE),""))</f>
        <v/>
      </c>
      <c r="Z1592" s="56">
        <f>IF($X1592="",1,IFERROR(VLOOKUP($X1592,'Char Popularity'!$A$2:$C$500,3,FALSE),1))</f>
        <v>1</v>
      </c>
      <c r="AA1592" s="62">
        <f>IF($H1592&lt;&gt;"Y",0,(IF($F1592&lt;&gt;"",ROUND(Dashboard!$R$4/$F1592,1),IF(AND($I1592="Base",$E1592="Base"),Dashboard!$R$5,IF(AND($I1592="Base",$E1592="Red"),Dashboard!$R$6,IF(AND($I1592="Base",$E1592="Gold"),Dashboard!$R$7,VLOOKUP($I1592,Dashboard!$Q$16:$R$21,2,FALSE)))))*VLOOKUP($I1592,Dashboard!$Q$9:$R$13,2,FALSE)*IF(AND($I1592="Auto",$F1592="",OR($B1592="Autographs Duals",$B1592="Autographs Triples",$B1592="Autographs Quads",$B1592="Autographs Quads (Inscribed)")),IF($B1592="Autographs Duals",2,IF($B1592="Autographs Triples",3,4)),1)))</f>
        <v>12.2</v>
      </c>
      <c r="AB1592" s="62">
        <f t="shared" si="323"/>
        <v>12.2</v>
      </c>
      <c r="AC1592" s="62">
        <f t="shared" si="324"/>
        <v>0</v>
      </c>
    </row>
    <row r="1593" spans="1:29" ht="42.95" customHeight="1" x14ac:dyDescent="0.25">
      <c r="A1593" s="4" t="s">
        <v>21</v>
      </c>
      <c r="B1593" s="7" t="s">
        <v>93</v>
      </c>
      <c r="C1593" s="2" t="s">
        <v>430</v>
      </c>
      <c r="D1593" s="7" t="s">
        <v>288</v>
      </c>
      <c r="E1593" s="4" t="s">
        <v>779</v>
      </c>
      <c r="F1593" s="2">
        <v>82</v>
      </c>
      <c r="G1593" s="2" t="s">
        <v>1399</v>
      </c>
      <c r="H1593" s="2" t="s">
        <v>1400</v>
      </c>
      <c r="I1593" s="4" t="s">
        <v>60</v>
      </c>
      <c r="J1593" s="112">
        <f>IF($H1593&lt;&gt;"Y",0,ROUND(MIN(Dashboard!$R$24,IF(IFERROR(VLOOKUP($B1593,Dashboard!$Q$28:$S$60,2,FALSE),0)&gt;0,IFERROR(VLOOKUP($B1593,Dashboard!$Q$28:$S$60,2,FALSE),0),$Z1593*IF($U1593&lt;&gt;"",ROUND((Dashboard!$R$4/$U1593)*VLOOKUP($I1593,Dashboard!$Q$9:$R$13,2,FALSE)*IF(ISNUMBER(SEARCH("Duals",$B1593)),2,IF(ISNUMBER(SEARCH("Triples",$B1593)),3,IF(ISNUMBER(SEARCH("Quads",$B1593)),4,1))),2),ROUND(VLOOKUP($I1593,Dashboard!$Q$15:$R$20,2,FALSE)*IF($E1593="Red",Dashboard!$R$6,IF($E1593="Gold",Dashboard!$R$7,Dashboard!$R$5))*IF(ISNUMBER(SEARCH("Duals",$B1593)),2,IF(ISNUMBER(SEARCH("Triples",$B1593)),3,IF(ISNUMBER(SEARCH("Quads",$B1593)),4,1))),2))*IF(IFERROR(VLOOKUP($B1593,Dashboard!$Q$28:$S$60,3,FALSE),0)&gt;0,VLOOKUP($B1593,Dashboard!$Q$28:$S$60,3,FALSE),1))),0))</f>
        <v>11</v>
      </c>
      <c r="K1593" s="2" t="str">
        <f>IF(Characters!G43="","",Characters!G43)</f>
        <v>C 55/82</v>
      </c>
      <c r="L1593" s="2">
        <f t="shared" si="312"/>
        <v>1</v>
      </c>
      <c r="M1593" s="2">
        <f t="shared" si="313"/>
        <v>0</v>
      </c>
      <c r="N1593" s="2">
        <f t="shared" si="314"/>
        <v>1</v>
      </c>
      <c r="O1593" s="2">
        <f t="shared" si="315"/>
        <v>0</v>
      </c>
      <c r="P1593" s="112">
        <f t="shared" si="316"/>
        <v>11</v>
      </c>
      <c r="Q1593" s="112">
        <f t="shared" si="317"/>
        <v>0</v>
      </c>
      <c r="R1593" s="53"/>
      <c r="S1593" s="53" t="str">
        <f t="shared" si="318"/>
        <v>Characters|Characters Floor 82 Parallel|C-42|Floor 82</v>
      </c>
      <c r="T1593" s="57" t="str">
        <f>IF($S1593="","",IFERROR(VLOOKUP($S1593,'Pop Estimates (Non-#d)'!$N$2:$O$500,2,FALSE),""))</f>
        <v/>
      </c>
      <c r="U1593" s="57">
        <f t="shared" si="319"/>
        <v>82</v>
      </c>
      <c r="V1593" s="53" t="str">
        <f t="shared" si="320"/>
        <v>Shockwave</v>
      </c>
      <c r="W1593" s="53" t="str">
        <f t="shared" si="321"/>
        <v>Shockwave</v>
      </c>
      <c r="X1593" s="53" t="str">
        <f t="shared" si="322"/>
        <v>Shockwave</v>
      </c>
      <c r="Y1593" s="57">
        <f>IF($X1593="","",IFERROR(VLOOKUP($X1593,'Char Popularity'!$A$2:$C$500,2,FALSE),""))</f>
        <v>2</v>
      </c>
      <c r="Z1593" s="56">
        <f>IF($X1593="",1,IFERROR(VLOOKUP($X1593,'Char Popularity'!$A$2:$C$500,3,FALSE),1))</f>
        <v>0.9</v>
      </c>
      <c r="AA1593" s="62">
        <f>IF($H1593&lt;&gt;"Y",0,(IF($F1593&lt;&gt;"",ROUND(Dashboard!$R$4/$F1593,1),IF(AND($I1593="Base",$E1593="Base"),Dashboard!$R$5,IF(AND($I1593="Base",$E1593="Red"),Dashboard!$R$6,IF(AND($I1593="Base",$E1593="Gold"),Dashboard!$R$7,VLOOKUP($I1593,Dashboard!$Q$16:$R$21,2,FALSE)))))*VLOOKUP($I1593,Dashboard!$Q$9:$R$13,2,FALSE)*IF(AND($I1593="Auto",$F1593="",OR($B1593="Autographs Duals",$B1593="Autographs Triples",$B1593="Autographs Quads",$B1593="Autographs Quads (Inscribed)")),IF($B1593="Autographs Duals",2,IF($B1593="Autographs Triples",3,4)),1)))</f>
        <v>12.2</v>
      </c>
      <c r="AB1593" s="62">
        <f t="shared" si="323"/>
        <v>12.2</v>
      </c>
      <c r="AC1593" s="62">
        <f t="shared" si="324"/>
        <v>0</v>
      </c>
    </row>
    <row r="1594" spans="1:29" ht="42.95" customHeight="1" x14ac:dyDescent="0.25">
      <c r="A1594" s="4" t="s">
        <v>21</v>
      </c>
      <c r="B1594" s="7" t="s">
        <v>93</v>
      </c>
      <c r="C1594" s="2" t="s">
        <v>1263</v>
      </c>
      <c r="D1594" s="7" t="s">
        <v>542</v>
      </c>
      <c r="E1594" s="4" t="s">
        <v>779</v>
      </c>
      <c r="F1594" s="2">
        <v>82</v>
      </c>
      <c r="G1594" s="2" t="s">
        <v>1399</v>
      </c>
      <c r="H1594" s="2" t="s">
        <v>1400</v>
      </c>
      <c r="I1594" s="4" t="s">
        <v>60</v>
      </c>
      <c r="J1594" s="112">
        <f>IF($H1594&lt;&gt;"Y",0,ROUND(MIN(Dashboard!$R$24,IF(IFERROR(VLOOKUP($B1594,Dashboard!$Q$28:$S$60,2,FALSE),0)&gt;0,IFERROR(VLOOKUP($B1594,Dashboard!$Q$28:$S$60,2,FALSE),0),$Z1594*IF($U1594&lt;&gt;"",ROUND((Dashboard!$R$4/$U1594)*VLOOKUP($I1594,Dashboard!$Q$9:$R$13,2,FALSE)*IF(ISNUMBER(SEARCH("Duals",$B1594)),2,IF(ISNUMBER(SEARCH("Triples",$B1594)),3,IF(ISNUMBER(SEARCH("Quads",$B1594)),4,1))),2),ROUND(VLOOKUP($I1594,Dashboard!$Q$15:$R$20,2,FALSE)*IF($E1594="Red",Dashboard!$R$6,IF($E1594="Gold",Dashboard!$R$7,Dashboard!$R$5))*IF(ISNUMBER(SEARCH("Duals",$B1594)),2,IF(ISNUMBER(SEARCH("Triples",$B1594)),3,IF(ISNUMBER(SEARCH("Quads",$B1594)),4,1))),2))*IF(IFERROR(VLOOKUP($B1594,Dashboard!$Q$28:$S$60,3,FALSE),0)&gt;0,VLOOKUP($B1594,Dashboard!$Q$28:$S$60,3,FALSE),1))),0))</f>
        <v>12</v>
      </c>
      <c r="K1594" s="2" t="str">
        <f>IF(Characters!G44="","",Characters!G44)</f>
        <v>C 43/82</v>
      </c>
      <c r="L1594" s="2">
        <f t="shared" si="312"/>
        <v>1</v>
      </c>
      <c r="M1594" s="2">
        <f t="shared" si="313"/>
        <v>0</v>
      </c>
      <c r="N1594" s="2">
        <f t="shared" si="314"/>
        <v>1</v>
      </c>
      <c r="O1594" s="2">
        <f t="shared" si="315"/>
        <v>0</v>
      </c>
      <c r="P1594" s="112">
        <f t="shared" si="316"/>
        <v>12</v>
      </c>
      <c r="Q1594" s="112">
        <f t="shared" si="317"/>
        <v>0</v>
      </c>
      <c r="R1594" s="53"/>
      <c r="S1594" s="53" t="str">
        <f t="shared" si="318"/>
        <v>Characters|Characters Floor 82 Parallel|C-43|Floor 82</v>
      </c>
      <c r="T1594" s="57" t="str">
        <f>IF($S1594="","",IFERROR(VLOOKUP($S1594,'Pop Estimates (Non-#d)'!$N$2:$O$500,2,FALSE),""))</f>
        <v/>
      </c>
      <c r="U1594" s="57">
        <f t="shared" si="319"/>
        <v>82</v>
      </c>
      <c r="V1594" s="53" t="str">
        <f t="shared" si="320"/>
        <v/>
      </c>
      <c r="W1594" s="53" t="str">
        <f t="shared" si="321"/>
        <v/>
      </c>
      <c r="X1594" s="53" t="str">
        <f t="shared" si="322"/>
        <v/>
      </c>
      <c r="Y1594" s="57" t="str">
        <f>IF($X1594="","",IFERROR(VLOOKUP($X1594,'Char Popularity'!$A$2:$C$500,2,FALSE),""))</f>
        <v/>
      </c>
      <c r="Z1594" s="56">
        <f>IF($X1594="",1,IFERROR(VLOOKUP($X1594,'Char Popularity'!$A$2:$C$500,3,FALSE),1))</f>
        <v>1</v>
      </c>
      <c r="AA1594" s="62">
        <f>IF($H1594&lt;&gt;"Y",0,(IF($F1594&lt;&gt;"",ROUND(Dashboard!$R$4/$F1594,1),IF(AND($I1594="Base",$E1594="Base"),Dashboard!$R$5,IF(AND($I1594="Base",$E1594="Red"),Dashboard!$R$6,IF(AND($I1594="Base",$E1594="Gold"),Dashboard!$R$7,VLOOKUP($I1594,Dashboard!$Q$16:$R$21,2,FALSE)))))*VLOOKUP($I1594,Dashboard!$Q$9:$R$13,2,FALSE)*IF(AND($I1594="Auto",$F1594="",OR($B1594="Autographs Duals",$B1594="Autographs Triples",$B1594="Autographs Quads",$B1594="Autographs Quads (Inscribed)")),IF($B1594="Autographs Duals",2,IF($B1594="Autographs Triples",3,4)),1)))</f>
        <v>12.2</v>
      </c>
      <c r="AB1594" s="62">
        <f t="shared" si="323"/>
        <v>12.2</v>
      </c>
      <c r="AC1594" s="62">
        <f t="shared" si="324"/>
        <v>0</v>
      </c>
    </row>
    <row r="1595" spans="1:29" ht="42.95" customHeight="1" x14ac:dyDescent="0.25">
      <c r="A1595" s="4" t="s">
        <v>21</v>
      </c>
      <c r="B1595" s="7" t="s">
        <v>93</v>
      </c>
      <c r="C1595" s="2" t="s">
        <v>1265</v>
      </c>
      <c r="D1595" s="7" t="s">
        <v>1266</v>
      </c>
      <c r="E1595" s="4" t="s">
        <v>779</v>
      </c>
      <c r="F1595" s="2">
        <v>82</v>
      </c>
      <c r="G1595" s="2" t="s">
        <v>1399</v>
      </c>
      <c r="H1595" s="2" t="s">
        <v>1400</v>
      </c>
      <c r="I1595" s="4" t="s">
        <v>60</v>
      </c>
      <c r="J1595" s="112">
        <f>IF($H1595&lt;&gt;"Y",0,ROUND(MIN(Dashboard!$R$24,IF(IFERROR(VLOOKUP($B1595,Dashboard!$Q$28:$S$60,2,FALSE),0)&gt;0,IFERROR(VLOOKUP($B1595,Dashboard!$Q$28:$S$60,2,FALSE),0),$Z1595*IF($U1595&lt;&gt;"",ROUND((Dashboard!$R$4/$U1595)*VLOOKUP($I1595,Dashboard!$Q$9:$R$13,2,FALSE)*IF(ISNUMBER(SEARCH("Duals",$B1595)),2,IF(ISNUMBER(SEARCH("Triples",$B1595)),3,IF(ISNUMBER(SEARCH("Quads",$B1595)),4,1))),2),ROUND(VLOOKUP($I1595,Dashboard!$Q$15:$R$20,2,FALSE)*IF($E1595="Red",Dashboard!$R$6,IF($E1595="Gold",Dashboard!$R$7,Dashboard!$R$5))*IF(ISNUMBER(SEARCH("Duals",$B1595)),2,IF(ISNUMBER(SEARCH("Triples",$B1595)),3,IF(ISNUMBER(SEARCH("Quads",$B1595)),4,1))),2))*IF(IFERROR(VLOOKUP($B1595,Dashboard!$Q$28:$S$60,3,FALSE),0)&gt;0,VLOOKUP($B1595,Dashboard!$Q$28:$S$60,3,FALSE),1))),0))</f>
        <v>12</v>
      </c>
      <c r="K1595" s="2" t="str">
        <f>IF(Characters!G45="","",Characters!G45)</f>
        <v>C 42/82</v>
      </c>
      <c r="L1595" s="2">
        <f t="shared" si="312"/>
        <v>1</v>
      </c>
      <c r="M1595" s="2">
        <f t="shared" si="313"/>
        <v>0</v>
      </c>
      <c r="N1595" s="2">
        <f t="shared" si="314"/>
        <v>1</v>
      </c>
      <c r="O1595" s="2">
        <f t="shared" si="315"/>
        <v>0</v>
      </c>
      <c r="P1595" s="112">
        <f t="shared" si="316"/>
        <v>12</v>
      </c>
      <c r="Q1595" s="112">
        <f t="shared" si="317"/>
        <v>0</v>
      </c>
      <c r="R1595" s="53"/>
      <c r="S1595" s="53" t="str">
        <f t="shared" si="318"/>
        <v>Characters|Characters Floor 82 Parallel|C-44|Floor 82</v>
      </c>
      <c r="T1595" s="57" t="str">
        <f>IF($S1595="","",IFERROR(VLOOKUP($S1595,'Pop Estimates (Non-#d)'!$N$2:$O$500,2,FALSE),""))</f>
        <v/>
      </c>
      <c r="U1595" s="57">
        <f t="shared" si="319"/>
        <v>82</v>
      </c>
      <c r="V1595" s="53" t="str">
        <f t="shared" si="320"/>
        <v>Cindy</v>
      </c>
      <c r="W1595" s="53" t="str">
        <f t="shared" si="321"/>
        <v>Cindy</v>
      </c>
      <c r="X1595" s="53" t="str">
        <f t="shared" si="322"/>
        <v>Cindy</v>
      </c>
      <c r="Y1595" s="57">
        <f>IF($X1595="","",IFERROR(VLOOKUP($X1595,'Char Popularity'!$A$2:$C$500,2,FALSE),""))</f>
        <v>3</v>
      </c>
      <c r="Z1595" s="56">
        <f>IF($X1595="",1,IFERROR(VLOOKUP($X1595,'Char Popularity'!$A$2:$C$500,3,FALSE),1))</f>
        <v>1</v>
      </c>
      <c r="AA1595" s="62">
        <f>IF($H1595&lt;&gt;"Y",0,(IF($F1595&lt;&gt;"",ROUND(Dashboard!$R$4/$F1595,1),IF(AND($I1595="Base",$E1595="Base"),Dashboard!$R$5,IF(AND($I1595="Base",$E1595="Red"),Dashboard!$R$6,IF(AND($I1595="Base",$E1595="Gold"),Dashboard!$R$7,VLOOKUP($I1595,Dashboard!$Q$16:$R$21,2,FALSE)))))*VLOOKUP($I1595,Dashboard!$Q$9:$R$13,2,FALSE)*IF(AND($I1595="Auto",$F1595="",OR($B1595="Autographs Duals",$B1595="Autographs Triples",$B1595="Autographs Quads",$B1595="Autographs Quads (Inscribed)")),IF($B1595="Autographs Duals",2,IF($B1595="Autographs Triples",3,4)),1)))</f>
        <v>12.2</v>
      </c>
      <c r="AB1595" s="62">
        <f t="shared" si="323"/>
        <v>12.2</v>
      </c>
      <c r="AC1595" s="62">
        <f t="shared" si="324"/>
        <v>0</v>
      </c>
    </row>
    <row r="1596" spans="1:29" ht="42.95" customHeight="1" x14ac:dyDescent="0.25">
      <c r="A1596" s="4" t="s">
        <v>21</v>
      </c>
      <c r="B1596" s="7" t="s">
        <v>93</v>
      </c>
      <c r="C1596" s="2" t="s">
        <v>431</v>
      </c>
      <c r="D1596" s="7" t="s">
        <v>234</v>
      </c>
      <c r="E1596" s="4" t="s">
        <v>779</v>
      </c>
      <c r="F1596" s="2">
        <v>82</v>
      </c>
      <c r="G1596" s="2" t="s">
        <v>1399</v>
      </c>
      <c r="H1596" s="2" t="s">
        <v>1400</v>
      </c>
      <c r="I1596" s="4" t="s">
        <v>60</v>
      </c>
      <c r="J1596" s="112">
        <f>IF($H1596&lt;&gt;"Y",0,ROUND(MIN(Dashboard!$R$24,IF(IFERROR(VLOOKUP($B1596,Dashboard!$Q$28:$S$60,2,FALSE),0)&gt;0,IFERROR(VLOOKUP($B1596,Dashboard!$Q$28:$S$60,2,FALSE),0),$Z1596*IF($U1596&lt;&gt;"",ROUND((Dashboard!$R$4/$U1596)*VLOOKUP($I1596,Dashboard!$Q$9:$R$13,2,FALSE)*IF(ISNUMBER(SEARCH("Duals",$B1596)),2,IF(ISNUMBER(SEARCH("Triples",$B1596)),3,IF(ISNUMBER(SEARCH("Quads",$B1596)),4,1))),2),ROUND(VLOOKUP($I1596,Dashboard!$Q$15:$R$20,2,FALSE)*IF($E1596="Red",Dashboard!$R$6,IF($E1596="Gold",Dashboard!$R$7,Dashboard!$R$5))*IF(ISNUMBER(SEARCH("Duals",$B1596)),2,IF(ISNUMBER(SEARCH("Triples",$B1596)),3,IF(ISNUMBER(SEARCH("Quads",$B1596)),4,1))),2))*IF(IFERROR(VLOOKUP($B1596,Dashboard!$Q$28:$S$60,3,FALSE),0)&gt;0,VLOOKUP($B1596,Dashboard!$Q$28:$S$60,3,FALSE),1))),0))</f>
        <v>12</v>
      </c>
      <c r="K1596" s="2" t="str">
        <f>IF(Characters!G46="","",Characters!G46)</f>
        <v>V 24/82</v>
      </c>
      <c r="L1596" s="2">
        <f t="shared" si="312"/>
        <v>1</v>
      </c>
      <c r="M1596" s="2">
        <f t="shared" si="313"/>
        <v>0</v>
      </c>
      <c r="N1596" s="2">
        <f t="shared" si="314"/>
        <v>1</v>
      </c>
      <c r="O1596" s="2">
        <f t="shared" si="315"/>
        <v>0</v>
      </c>
      <c r="P1596" s="112">
        <f t="shared" si="316"/>
        <v>12</v>
      </c>
      <c r="Q1596" s="112">
        <f t="shared" si="317"/>
        <v>0</v>
      </c>
      <c r="R1596" s="53"/>
      <c r="S1596" s="53" t="str">
        <f t="shared" si="318"/>
        <v>Characters|Characters Floor 82 Parallel|C-45|Floor 82</v>
      </c>
      <c r="T1596" s="57" t="str">
        <f>IF($S1596="","",IFERROR(VLOOKUP($S1596,'Pop Estimates (Non-#d)'!$N$2:$O$500,2,FALSE),""))</f>
        <v/>
      </c>
      <c r="U1596" s="57">
        <f t="shared" si="319"/>
        <v>82</v>
      </c>
      <c r="V1596" s="53" t="str">
        <f t="shared" si="320"/>
        <v>Ashley Barrett</v>
      </c>
      <c r="W1596" s="53" t="str">
        <f t="shared" si="321"/>
        <v>Ashley Barrett</v>
      </c>
      <c r="X1596" s="53" t="str">
        <f t="shared" si="322"/>
        <v>Ashley Barrett</v>
      </c>
      <c r="Y1596" s="57">
        <f>IF($X1596="","",IFERROR(VLOOKUP($X1596,'Char Popularity'!$A$2:$C$500,2,FALSE),""))</f>
        <v>3</v>
      </c>
      <c r="Z1596" s="56">
        <f>IF($X1596="",1,IFERROR(VLOOKUP($X1596,'Char Popularity'!$A$2:$C$500,3,FALSE),1))</f>
        <v>1</v>
      </c>
      <c r="AA1596" s="62">
        <f>IF($H1596&lt;&gt;"Y",0,(IF($F1596&lt;&gt;"",ROUND(Dashboard!$R$4/$F1596,1),IF(AND($I1596="Base",$E1596="Base"),Dashboard!$R$5,IF(AND($I1596="Base",$E1596="Red"),Dashboard!$R$6,IF(AND($I1596="Base",$E1596="Gold"),Dashboard!$R$7,VLOOKUP($I1596,Dashboard!$Q$16:$R$21,2,FALSE)))))*VLOOKUP($I1596,Dashboard!$Q$9:$R$13,2,FALSE)*IF(AND($I1596="Auto",$F1596="",OR($B1596="Autographs Duals",$B1596="Autographs Triples",$B1596="Autographs Quads",$B1596="Autographs Quads (Inscribed)")),IF($B1596="Autographs Duals",2,IF($B1596="Autographs Triples",3,4)),1)))</f>
        <v>12.2</v>
      </c>
      <c r="AB1596" s="62">
        <f t="shared" si="323"/>
        <v>12.2</v>
      </c>
      <c r="AC1596" s="62">
        <f t="shared" si="324"/>
        <v>0</v>
      </c>
    </row>
    <row r="1597" spans="1:29" ht="42.95" customHeight="1" x14ac:dyDescent="0.25">
      <c r="A1597" s="4" t="s">
        <v>21</v>
      </c>
      <c r="B1597" s="7" t="s">
        <v>93</v>
      </c>
      <c r="C1597" s="2" t="s">
        <v>432</v>
      </c>
      <c r="D1597" s="7" t="s">
        <v>248</v>
      </c>
      <c r="E1597" s="4" t="s">
        <v>779</v>
      </c>
      <c r="F1597" s="2">
        <v>82</v>
      </c>
      <c r="G1597" s="2" t="s">
        <v>1399</v>
      </c>
      <c r="H1597" s="2" t="s">
        <v>1400</v>
      </c>
      <c r="I1597" s="4" t="s">
        <v>60</v>
      </c>
      <c r="J1597" s="112">
        <f>IF($H1597&lt;&gt;"Y",0,ROUND(MIN(Dashboard!$R$24,IF(IFERROR(VLOOKUP($B1597,Dashboard!$Q$28:$S$60,2,FALSE),0)&gt;0,IFERROR(VLOOKUP($B1597,Dashboard!$Q$28:$S$60,2,FALSE),0),$Z1597*IF($U1597&lt;&gt;"",ROUND((Dashboard!$R$4/$U1597)*VLOOKUP($I1597,Dashboard!$Q$9:$R$13,2,FALSE)*IF(ISNUMBER(SEARCH("Duals",$B1597)),2,IF(ISNUMBER(SEARCH("Triples",$B1597)),3,IF(ISNUMBER(SEARCH("Quads",$B1597)),4,1))),2),ROUND(VLOOKUP($I1597,Dashboard!$Q$15:$R$20,2,FALSE)*IF($E1597="Red",Dashboard!$R$6,IF($E1597="Gold",Dashboard!$R$7,Dashboard!$R$5))*IF(ISNUMBER(SEARCH("Duals",$B1597)),2,IF(ISNUMBER(SEARCH("Triples",$B1597)),3,IF(ISNUMBER(SEARCH("Quads",$B1597)),4,1))),2))*IF(IFERROR(VLOOKUP($B1597,Dashboard!$Q$28:$S$60,3,FALSE),0)&gt;0,VLOOKUP($B1597,Dashboard!$Q$28:$S$60,3,FALSE),1))),0))</f>
        <v>15</v>
      </c>
      <c r="K1597" s="2" t="str">
        <f>IF(Characters!G47="","",Characters!G47)</f>
        <v>C 45/82</v>
      </c>
      <c r="L1597" s="2">
        <f t="shared" si="312"/>
        <v>1</v>
      </c>
      <c r="M1597" s="2">
        <f t="shared" si="313"/>
        <v>0</v>
      </c>
      <c r="N1597" s="2">
        <f t="shared" si="314"/>
        <v>1</v>
      </c>
      <c r="O1597" s="2">
        <f t="shared" si="315"/>
        <v>0</v>
      </c>
      <c r="P1597" s="112">
        <f t="shared" si="316"/>
        <v>15</v>
      </c>
      <c r="Q1597" s="112">
        <f t="shared" si="317"/>
        <v>0</v>
      </c>
      <c r="R1597" s="53"/>
      <c r="S1597" s="53" t="str">
        <f t="shared" si="318"/>
        <v>Characters|Characters Floor 82 Parallel|C-46|Floor 82</v>
      </c>
      <c r="T1597" s="57" t="str">
        <f>IF($S1597="","",IFERROR(VLOOKUP($S1597,'Pop Estimates (Non-#d)'!$N$2:$O$500,2,FALSE),""))</f>
        <v/>
      </c>
      <c r="U1597" s="57">
        <f t="shared" si="319"/>
        <v>82</v>
      </c>
      <c r="V1597" s="53" t="str">
        <f t="shared" si="320"/>
        <v>Starlight</v>
      </c>
      <c r="W1597" s="53" t="str">
        <f t="shared" si="321"/>
        <v>Starlight</v>
      </c>
      <c r="X1597" s="53" t="str">
        <f t="shared" si="322"/>
        <v>Starlight</v>
      </c>
      <c r="Y1597" s="57">
        <f>IF($X1597="","",IFERROR(VLOOKUP($X1597,'Char Popularity'!$A$2:$C$500,2,FALSE),""))</f>
        <v>5</v>
      </c>
      <c r="Z1597" s="56">
        <f>IF($X1597="",1,IFERROR(VLOOKUP($X1597,'Char Popularity'!$A$2:$C$500,3,FALSE),1))</f>
        <v>1.2</v>
      </c>
      <c r="AA1597" s="62">
        <f>IF($H1597&lt;&gt;"Y",0,(IF($F1597&lt;&gt;"",ROUND(Dashboard!$R$4/$F1597,1),IF(AND($I1597="Base",$E1597="Base"),Dashboard!$R$5,IF(AND($I1597="Base",$E1597="Red"),Dashboard!$R$6,IF(AND($I1597="Base",$E1597="Gold"),Dashboard!$R$7,VLOOKUP($I1597,Dashboard!$Q$16:$R$21,2,FALSE)))))*VLOOKUP($I1597,Dashboard!$Q$9:$R$13,2,FALSE)*IF(AND($I1597="Auto",$F1597="",OR($B1597="Autographs Duals",$B1597="Autographs Triples",$B1597="Autographs Quads",$B1597="Autographs Quads (Inscribed)")),IF($B1597="Autographs Duals",2,IF($B1597="Autographs Triples",3,4)),1)))</f>
        <v>12.2</v>
      </c>
      <c r="AB1597" s="62">
        <f t="shared" si="323"/>
        <v>12.2</v>
      </c>
      <c r="AC1597" s="62">
        <f t="shared" si="324"/>
        <v>0</v>
      </c>
    </row>
    <row r="1598" spans="1:29" ht="42.95" customHeight="1" x14ac:dyDescent="0.25">
      <c r="A1598" s="4" t="s">
        <v>21</v>
      </c>
      <c r="B1598" s="7" t="s">
        <v>93</v>
      </c>
      <c r="C1598" s="2" t="s">
        <v>433</v>
      </c>
      <c r="D1598" s="7" t="s">
        <v>222</v>
      </c>
      <c r="E1598" s="4" t="s">
        <v>779</v>
      </c>
      <c r="F1598" s="2">
        <v>82</v>
      </c>
      <c r="G1598" s="2" t="s">
        <v>1399</v>
      </c>
      <c r="H1598" s="2" t="s">
        <v>1400</v>
      </c>
      <c r="I1598" s="4" t="s">
        <v>60</v>
      </c>
      <c r="J1598" s="112">
        <f>IF($H1598&lt;&gt;"Y",0,ROUND(MIN(Dashboard!$R$24,IF(IFERROR(VLOOKUP($B1598,Dashboard!$Q$28:$S$60,2,FALSE),0)&gt;0,IFERROR(VLOOKUP($B1598,Dashboard!$Q$28:$S$60,2,FALSE),0),$Z1598*IF($U1598&lt;&gt;"",ROUND((Dashboard!$R$4/$U1598)*VLOOKUP($I1598,Dashboard!$Q$9:$R$13,2,FALSE)*IF(ISNUMBER(SEARCH("Duals",$B1598)),2,IF(ISNUMBER(SEARCH("Triples",$B1598)),3,IF(ISNUMBER(SEARCH("Quads",$B1598)),4,1))),2),ROUND(VLOOKUP($I1598,Dashboard!$Q$15:$R$20,2,FALSE)*IF($E1598="Red",Dashboard!$R$6,IF($E1598="Gold",Dashboard!$R$7,Dashboard!$R$5))*IF(ISNUMBER(SEARCH("Duals",$B1598)),2,IF(ISNUMBER(SEARCH("Triples",$B1598)),3,IF(ISNUMBER(SEARCH("Quads",$B1598)),4,1))),2))*IF(IFERROR(VLOOKUP($B1598,Dashboard!$Q$28:$S$60,3,FALSE),0)&gt;0,VLOOKUP($B1598,Dashboard!$Q$28:$S$60,3,FALSE),1))),0))</f>
        <v>15</v>
      </c>
      <c r="K1598" s="2" t="str">
        <f>IF(Characters!G48="","",Characters!G48)</f>
        <v>V 50/82</v>
      </c>
      <c r="L1598" s="2">
        <f t="shared" si="312"/>
        <v>1</v>
      </c>
      <c r="M1598" s="2">
        <f t="shared" si="313"/>
        <v>0</v>
      </c>
      <c r="N1598" s="2">
        <f t="shared" si="314"/>
        <v>1</v>
      </c>
      <c r="O1598" s="2">
        <f t="shared" si="315"/>
        <v>0</v>
      </c>
      <c r="P1598" s="112">
        <f t="shared" si="316"/>
        <v>15</v>
      </c>
      <c r="Q1598" s="112">
        <f t="shared" si="317"/>
        <v>0</v>
      </c>
      <c r="R1598" s="53"/>
      <c r="S1598" s="53" t="str">
        <f t="shared" si="318"/>
        <v>Characters|Characters Floor 82 Parallel|C-47|Floor 82</v>
      </c>
      <c r="T1598" s="57" t="str">
        <f>IF($S1598="","",IFERROR(VLOOKUP($S1598,'Pop Estimates (Non-#d)'!$N$2:$O$500,2,FALSE),""))</f>
        <v/>
      </c>
      <c r="U1598" s="57">
        <f t="shared" si="319"/>
        <v>82</v>
      </c>
      <c r="V1598" s="53" t="str">
        <f t="shared" si="320"/>
        <v>Homelander</v>
      </c>
      <c r="W1598" s="53" t="str">
        <f t="shared" si="321"/>
        <v>Homelander</v>
      </c>
      <c r="X1598" s="53" t="str">
        <f t="shared" si="322"/>
        <v>Homelander</v>
      </c>
      <c r="Y1598" s="57">
        <f>IF($X1598="","",IFERROR(VLOOKUP($X1598,'Char Popularity'!$A$2:$C$500,2,FALSE),""))</f>
        <v>5</v>
      </c>
      <c r="Z1598" s="56">
        <f>IF($X1598="",1,IFERROR(VLOOKUP($X1598,'Char Popularity'!$A$2:$C$500,3,FALSE),1))</f>
        <v>1.2</v>
      </c>
      <c r="AA1598" s="62">
        <f>IF($H1598&lt;&gt;"Y",0,(IF($F1598&lt;&gt;"",ROUND(Dashboard!$R$4/$F1598,1),IF(AND($I1598="Base",$E1598="Base"),Dashboard!$R$5,IF(AND($I1598="Base",$E1598="Red"),Dashboard!$R$6,IF(AND($I1598="Base",$E1598="Gold"),Dashboard!$R$7,VLOOKUP($I1598,Dashboard!$Q$16:$R$21,2,FALSE)))))*VLOOKUP($I1598,Dashboard!$Q$9:$R$13,2,FALSE)*IF(AND($I1598="Auto",$F1598="",OR($B1598="Autographs Duals",$B1598="Autographs Triples",$B1598="Autographs Quads",$B1598="Autographs Quads (Inscribed)")),IF($B1598="Autographs Duals",2,IF($B1598="Autographs Triples",3,4)),1)))</f>
        <v>12.2</v>
      </c>
      <c r="AB1598" s="62">
        <f t="shared" si="323"/>
        <v>12.2</v>
      </c>
      <c r="AC1598" s="62">
        <f t="shared" si="324"/>
        <v>0</v>
      </c>
    </row>
    <row r="1599" spans="1:29" ht="42.95" customHeight="1" x14ac:dyDescent="0.25">
      <c r="A1599" s="4" t="s">
        <v>21</v>
      </c>
      <c r="B1599" s="7" t="s">
        <v>93</v>
      </c>
      <c r="C1599" s="2" t="s">
        <v>1269</v>
      </c>
      <c r="D1599" s="7" t="s">
        <v>1601</v>
      </c>
      <c r="E1599" s="4" t="s">
        <v>779</v>
      </c>
      <c r="F1599" s="2">
        <v>82</v>
      </c>
      <c r="G1599" s="2" t="s">
        <v>1399</v>
      </c>
      <c r="H1599" s="2" t="s">
        <v>1400</v>
      </c>
      <c r="I1599" s="4" t="s">
        <v>60</v>
      </c>
      <c r="J1599" s="112">
        <f>IF($H1599&lt;&gt;"Y",0,ROUND(MIN(Dashboard!$R$24,IF(IFERROR(VLOOKUP($B1599,Dashboard!$Q$28:$S$60,2,FALSE),0)&gt;0,IFERROR(VLOOKUP($B1599,Dashboard!$Q$28:$S$60,2,FALSE),0),$Z1599*IF($U1599&lt;&gt;"",ROUND((Dashboard!$R$4/$U1599)*VLOOKUP($I1599,Dashboard!$Q$9:$R$13,2,FALSE)*IF(ISNUMBER(SEARCH("Duals",$B1599)),2,IF(ISNUMBER(SEARCH("Triples",$B1599)),3,IF(ISNUMBER(SEARCH("Quads",$B1599)),4,1))),2),ROUND(VLOOKUP($I1599,Dashboard!$Q$15:$R$20,2,FALSE)*IF($E1599="Red",Dashboard!$R$6,IF($E1599="Gold",Dashboard!$R$7,Dashboard!$R$5))*IF(ISNUMBER(SEARCH("Duals",$B1599)),2,IF(ISNUMBER(SEARCH("Triples",$B1599)),3,IF(ISNUMBER(SEARCH("Quads",$B1599)),4,1))),2))*IF(IFERROR(VLOOKUP($B1599,Dashboard!$Q$28:$S$60,3,FALSE),0)&gt;0,VLOOKUP($B1599,Dashboard!$Q$28:$S$60,3,FALSE),1))),0))</f>
        <v>11</v>
      </c>
      <c r="K1599" s="2" t="str">
        <f>IF(Characters!G49="","",Characters!G49)</f>
        <v>C 53/82</v>
      </c>
      <c r="L1599" s="2">
        <f t="shared" si="312"/>
        <v>1</v>
      </c>
      <c r="M1599" s="2">
        <f t="shared" si="313"/>
        <v>0</v>
      </c>
      <c r="N1599" s="2">
        <f t="shared" si="314"/>
        <v>1</v>
      </c>
      <c r="O1599" s="2">
        <f t="shared" si="315"/>
        <v>0</v>
      </c>
      <c r="P1599" s="112">
        <f t="shared" si="316"/>
        <v>11</v>
      </c>
      <c r="Q1599" s="112">
        <f t="shared" si="317"/>
        <v>0</v>
      </c>
      <c r="R1599" s="53"/>
      <c r="S1599" s="53" t="str">
        <f t="shared" si="318"/>
        <v>Characters|Characters Floor 82 Parallel|C-48|Floor 82</v>
      </c>
      <c r="T1599" s="57" t="str">
        <f>IF($S1599="","",IFERROR(VLOOKUP($S1599,'Pop Estimates (Non-#d)'!$N$2:$O$500,2,FALSE),""))</f>
        <v/>
      </c>
      <c r="U1599" s="57">
        <f t="shared" si="319"/>
        <v>82</v>
      </c>
      <c r="V1599" s="53" t="str">
        <f t="shared" si="320"/>
        <v>Gecko</v>
      </c>
      <c r="W1599" s="53" t="str">
        <f t="shared" si="321"/>
        <v>Gecko</v>
      </c>
      <c r="X1599" s="53" t="str">
        <f t="shared" si="322"/>
        <v>Gecko</v>
      </c>
      <c r="Y1599" s="57">
        <f>IF($X1599="","",IFERROR(VLOOKUP($X1599,'Char Popularity'!$A$2:$C$500,2,FALSE),""))</f>
        <v>2</v>
      </c>
      <c r="Z1599" s="56">
        <f>IF($X1599="",1,IFERROR(VLOOKUP($X1599,'Char Popularity'!$A$2:$C$500,3,FALSE),1))</f>
        <v>0.9</v>
      </c>
      <c r="AA1599" s="62">
        <f>IF($H1599&lt;&gt;"Y",0,(IF($F1599&lt;&gt;"",ROUND(Dashboard!$R$4/$F1599,1),IF(AND($I1599="Base",$E1599="Base"),Dashboard!$R$5,IF(AND($I1599="Base",$E1599="Red"),Dashboard!$R$6,IF(AND($I1599="Base",$E1599="Gold"),Dashboard!$R$7,VLOOKUP($I1599,Dashboard!$Q$16:$R$21,2,FALSE)))))*VLOOKUP($I1599,Dashboard!$Q$9:$R$13,2,FALSE)*IF(AND($I1599="Auto",$F1599="",OR($B1599="Autographs Duals",$B1599="Autographs Triples",$B1599="Autographs Quads",$B1599="Autographs Quads (Inscribed)")),IF($B1599="Autographs Duals",2,IF($B1599="Autographs Triples",3,4)),1)))</f>
        <v>12.2</v>
      </c>
      <c r="AB1599" s="62">
        <f t="shared" si="323"/>
        <v>12.2</v>
      </c>
      <c r="AC1599" s="62">
        <f t="shared" si="324"/>
        <v>0</v>
      </c>
    </row>
    <row r="1600" spans="1:29" ht="42.95" customHeight="1" x14ac:dyDescent="0.25">
      <c r="A1600" s="4" t="s">
        <v>21</v>
      </c>
      <c r="B1600" s="7" t="s">
        <v>93</v>
      </c>
      <c r="C1600" s="2" t="s">
        <v>1271</v>
      </c>
      <c r="D1600" s="7" t="s">
        <v>1272</v>
      </c>
      <c r="E1600" s="4" t="s">
        <v>779</v>
      </c>
      <c r="F1600" s="2">
        <v>82</v>
      </c>
      <c r="G1600" s="2" t="s">
        <v>1399</v>
      </c>
      <c r="H1600" s="2" t="s">
        <v>1400</v>
      </c>
      <c r="I1600" s="4" t="s">
        <v>60</v>
      </c>
      <c r="J1600" s="112">
        <f>IF($H1600&lt;&gt;"Y",0,ROUND(MIN(Dashboard!$R$24,IF(IFERROR(VLOOKUP($B1600,Dashboard!$Q$28:$S$60,2,FALSE),0)&gt;0,IFERROR(VLOOKUP($B1600,Dashboard!$Q$28:$S$60,2,FALSE),0),$Z1600*IF($U1600&lt;&gt;"",ROUND((Dashboard!$R$4/$U1600)*VLOOKUP($I1600,Dashboard!$Q$9:$R$13,2,FALSE)*IF(ISNUMBER(SEARCH("Duals",$B1600)),2,IF(ISNUMBER(SEARCH("Triples",$B1600)),3,IF(ISNUMBER(SEARCH("Quads",$B1600)),4,1))),2),ROUND(VLOOKUP($I1600,Dashboard!$Q$15:$R$20,2,FALSE)*IF($E1600="Red",Dashboard!$R$6,IF($E1600="Gold",Dashboard!$R$7,Dashboard!$R$5))*IF(ISNUMBER(SEARCH("Duals",$B1600)),2,IF(ISNUMBER(SEARCH("Triples",$B1600)),3,IF(ISNUMBER(SEARCH("Quads",$B1600)),4,1))),2))*IF(IFERROR(VLOOKUP($B1600,Dashboard!$Q$28:$S$60,3,FALSE),0)&gt;0,VLOOKUP($B1600,Dashboard!$Q$28:$S$60,3,FALSE),1))),0))</f>
        <v>12</v>
      </c>
      <c r="K1600" s="2" t="str">
        <f>IF(Characters!G50="","",Characters!G50)</f>
        <v>C 51/82</v>
      </c>
      <c r="L1600" s="2">
        <f t="shared" si="312"/>
        <v>1</v>
      </c>
      <c r="M1600" s="2">
        <f t="shared" si="313"/>
        <v>0</v>
      </c>
      <c r="N1600" s="2">
        <f t="shared" si="314"/>
        <v>1</v>
      </c>
      <c r="O1600" s="2">
        <f t="shared" si="315"/>
        <v>0</v>
      </c>
      <c r="P1600" s="112">
        <f t="shared" si="316"/>
        <v>12</v>
      </c>
      <c r="Q1600" s="112">
        <f t="shared" si="317"/>
        <v>0</v>
      </c>
      <c r="R1600" s="53"/>
      <c r="S1600" s="53" t="str">
        <f t="shared" si="318"/>
        <v>Characters|Characters Floor 82 Parallel|C-49|Floor 82</v>
      </c>
      <c r="T1600" s="57" t="str">
        <f>IF($S1600="","",IFERROR(VLOOKUP($S1600,'Pop Estimates (Non-#d)'!$N$2:$O$500,2,FALSE),""))</f>
        <v/>
      </c>
      <c r="U1600" s="57">
        <f t="shared" si="319"/>
        <v>82</v>
      </c>
      <c r="V1600" s="53" t="str">
        <f t="shared" si="320"/>
        <v>Jonah Vogelbaum</v>
      </c>
      <c r="W1600" s="53" t="str">
        <f t="shared" si="321"/>
        <v>Jonah Vogelbaum</v>
      </c>
      <c r="X1600" s="53" t="str">
        <f t="shared" si="322"/>
        <v>Jonah Vogelbaum</v>
      </c>
      <c r="Y1600" s="57">
        <f>IF($X1600="","",IFERROR(VLOOKUP($X1600,'Char Popularity'!$A$2:$C$500,2,FALSE),""))</f>
        <v>3</v>
      </c>
      <c r="Z1600" s="56">
        <f>IF($X1600="",1,IFERROR(VLOOKUP($X1600,'Char Popularity'!$A$2:$C$500,3,FALSE),1))</f>
        <v>1</v>
      </c>
      <c r="AA1600" s="62">
        <f>IF($H1600&lt;&gt;"Y",0,(IF($F1600&lt;&gt;"",ROUND(Dashboard!$R$4/$F1600,1),IF(AND($I1600="Base",$E1600="Base"),Dashboard!$R$5,IF(AND($I1600="Base",$E1600="Red"),Dashboard!$R$6,IF(AND($I1600="Base",$E1600="Gold"),Dashboard!$R$7,VLOOKUP($I1600,Dashboard!$Q$16:$R$21,2,FALSE)))))*VLOOKUP($I1600,Dashboard!$Q$9:$R$13,2,FALSE)*IF(AND($I1600="Auto",$F1600="",OR($B1600="Autographs Duals",$B1600="Autographs Triples",$B1600="Autographs Quads",$B1600="Autographs Quads (Inscribed)")),IF($B1600="Autographs Duals",2,IF($B1600="Autographs Triples",3,4)),1)))</f>
        <v>12.2</v>
      </c>
      <c r="AB1600" s="62">
        <f t="shared" si="323"/>
        <v>12.2</v>
      </c>
      <c r="AC1600" s="62">
        <f t="shared" si="324"/>
        <v>0</v>
      </c>
    </row>
    <row r="1601" spans="1:29" ht="42.95" customHeight="1" x14ac:dyDescent="0.25">
      <c r="A1601" s="4" t="s">
        <v>21</v>
      </c>
      <c r="B1601" s="7" t="s">
        <v>93</v>
      </c>
      <c r="C1601" s="2" t="s">
        <v>1273</v>
      </c>
      <c r="D1601" s="7" t="s">
        <v>1274</v>
      </c>
      <c r="E1601" s="4" t="s">
        <v>779</v>
      </c>
      <c r="F1601" s="2">
        <v>82</v>
      </c>
      <c r="G1601" s="2" t="s">
        <v>1399</v>
      </c>
      <c r="H1601" s="2" t="s">
        <v>1400</v>
      </c>
      <c r="I1601" s="4" t="s">
        <v>60</v>
      </c>
      <c r="J1601" s="112">
        <f>IF($H1601&lt;&gt;"Y",0,ROUND(MIN(Dashboard!$R$24,IF(IFERROR(VLOOKUP($B1601,Dashboard!$Q$28:$S$60,2,FALSE),0)&gt;0,IFERROR(VLOOKUP($B1601,Dashboard!$Q$28:$S$60,2,FALSE),0),$Z1601*IF($U1601&lt;&gt;"",ROUND((Dashboard!$R$4/$U1601)*VLOOKUP($I1601,Dashboard!$Q$9:$R$13,2,FALSE)*IF(ISNUMBER(SEARCH("Duals",$B1601)),2,IF(ISNUMBER(SEARCH("Triples",$B1601)),3,IF(ISNUMBER(SEARCH("Quads",$B1601)),4,1))),2),ROUND(VLOOKUP($I1601,Dashboard!$Q$15:$R$20,2,FALSE)*IF($E1601="Red",Dashboard!$R$6,IF($E1601="Gold",Dashboard!$R$7,Dashboard!$R$5))*IF(ISNUMBER(SEARCH("Duals",$B1601)),2,IF(ISNUMBER(SEARCH("Triples",$B1601)),3,IF(ISNUMBER(SEARCH("Quads",$B1601)),4,1))),2))*IF(IFERROR(VLOOKUP($B1601,Dashboard!$Q$28:$S$60,3,FALSE),0)&gt;0,VLOOKUP($B1601,Dashboard!$Q$28:$S$60,3,FALSE),1))),0))</f>
        <v>12</v>
      </c>
      <c r="K1601" s="2" t="str">
        <f>IF(Characters!G51="","",Characters!G51)</f>
        <v>C 05/82</v>
      </c>
      <c r="L1601" s="2">
        <f t="shared" si="312"/>
        <v>1</v>
      </c>
      <c r="M1601" s="2">
        <f t="shared" si="313"/>
        <v>0</v>
      </c>
      <c r="N1601" s="2">
        <f t="shared" si="314"/>
        <v>1</v>
      </c>
      <c r="O1601" s="2">
        <f t="shared" si="315"/>
        <v>0</v>
      </c>
      <c r="P1601" s="112">
        <f t="shared" si="316"/>
        <v>12</v>
      </c>
      <c r="Q1601" s="112">
        <f t="shared" si="317"/>
        <v>0</v>
      </c>
      <c r="R1601" s="53"/>
      <c r="S1601" s="53" t="str">
        <f t="shared" si="318"/>
        <v>Characters|Characters Floor 82 Parallel|C-50|Floor 82</v>
      </c>
      <c r="T1601" s="57" t="str">
        <f>IF($S1601="","",IFERROR(VLOOKUP($S1601,'Pop Estimates (Non-#d)'!$N$2:$O$500,2,FALSE),""))</f>
        <v/>
      </c>
      <c r="U1601" s="57">
        <f t="shared" si="319"/>
        <v>82</v>
      </c>
      <c r="V1601" s="53" t="str">
        <f t="shared" si="320"/>
        <v>Doppelganger</v>
      </c>
      <c r="W1601" s="53" t="str">
        <f t="shared" si="321"/>
        <v>Doppelganger</v>
      </c>
      <c r="X1601" s="53" t="str">
        <f t="shared" si="322"/>
        <v>Doppelganger</v>
      </c>
      <c r="Y1601" s="57">
        <f>IF($X1601="","",IFERROR(VLOOKUP($X1601,'Char Popularity'!$A$2:$C$500,2,FALSE),""))</f>
        <v>3</v>
      </c>
      <c r="Z1601" s="56">
        <f>IF($X1601="",1,IFERROR(VLOOKUP($X1601,'Char Popularity'!$A$2:$C$500,3,FALSE),1))</f>
        <v>1</v>
      </c>
      <c r="AA1601" s="62">
        <f>IF($H1601&lt;&gt;"Y",0,(IF($F1601&lt;&gt;"",ROUND(Dashboard!$R$4/$F1601,1),IF(AND($I1601="Base",$E1601="Base"),Dashboard!$R$5,IF(AND($I1601="Base",$E1601="Red"),Dashboard!$R$6,IF(AND($I1601="Base",$E1601="Gold"),Dashboard!$R$7,VLOOKUP($I1601,Dashboard!$Q$16:$R$21,2,FALSE)))))*VLOOKUP($I1601,Dashboard!$Q$9:$R$13,2,FALSE)*IF(AND($I1601="Auto",$F1601="",OR($B1601="Autographs Duals",$B1601="Autographs Triples",$B1601="Autographs Quads",$B1601="Autographs Quads (Inscribed)")),IF($B1601="Autographs Duals",2,IF($B1601="Autographs Triples",3,4)),1)))</f>
        <v>12.2</v>
      </c>
      <c r="AB1601" s="62">
        <f t="shared" si="323"/>
        <v>12.2</v>
      </c>
      <c r="AC1601" s="62">
        <f t="shared" si="324"/>
        <v>0</v>
      </c>
    </row>
    <row r="1602" spans="1:29" ht="42.95" customHeight="1" x14ac:dyDescent="0.25">
      <c r="A1602" s="4" t="s">
        <v>21</v>
      </c>
      <c r="B1602" s="7" t="s">
        <v>795</v>
      </c>
      <c r="C1602" s="2" t="s">
        <v>409</v>
      </c>
      <c r="D1602" s="7" t="s">
        <v>263</v>
      </c>
      <c r="E1602" s="4" t="s">
        <v>829</v>
      </c>
      <c r="F1602" s="2">
        <v>4</v>
      </c>
      <c r="G1602" s="2" t="s">
        <v>1400</v>
      </c>
      <c r="H1602" s="2" t="s">
        <v>1399</v>
      </c>
      <c r="I1602" s="4" t="s">
        <v>60</v>
      </c>
      <c r="J1602" s="112">
        <f>IF($H1602&lt;&gt;"Y",0,ROUND(MIN(Dashboard!$R$24,IF(IFERROR(VLOOKUP($B1602,Dashboard!$Q$28:$S$60,2,FALSE),0)&gt;0,IFERROR(VLOOKUP($B1602,Dashboard!$Q$28:$S$60,2,FALSE),0),$Z1602*IF($U1602&lt;&gt;"",ROUND((Dashboard!$R$4/$U1602)*VLOOKUP($I1602,Dashboard!$Q$9:$R$13,2,FALSE)*IF(ISNUMBER(SEARCH("Duals",$B1602)),2,IF(ISNUMBER(SEARCH("Triples",$B1602)),3,IF(ISNUMBER(SEARCH("Quads",$B1602)),4,1))),2),ROUND(VLOOKUP($I1602,Dashboard!$Q$15:$R$20,2,FALSE)*IF($E1602="Red",Dashboard!$R$6,IF($E1602="Gold",Dashboard!$R$7,Dashboard!$R$5))*IF(ISNUMBER(SEARCH("Duals",$B1602)),2,IF(ISNUMBER(SEARCH("Triples",$B1602)),3,IF(ISNUMBER(SEARCH("Quads",$B1602)),4,1))),2))*IF(IFERROR(VLOOKUP($B1602,Dashboard!$Q$28:$S$60,3,FALSE),0)&gt;0,VLOOKUP($B1602,Dashboard!$Q$28:$S$60,3,FALSE),1))),0))</f>
        <v>0</v>
      </c>
      <c r="K1602" s="2" t="str">
        <f>IF(Characters!J2="","",Characters!J2)</f>
        <v/>
      </c>
      <c r="L1602" s="2">
        <f t="shared" ref="L1602:L1665" si="325">IF(AND($K1602&lt;&gt;"",LEFT($K1602,1)&lt;&gt;"Y"),1,0)</f>
        <v>0</v>
      </c>
      <c r="M1602" s="2">
        <f t="shared" ref="M1602:M1665" si="326">IF(LEFT($K1602,1)="Y",1,0)</f>
        <v>0</v>
      </c>
      <c r="N1602" s="2">
        <f t="shared" ref="N1602:N1665" si="327">$L1602+$M1602</f>
        <v>0</v>
      </c>
      <c r="O1602" s="2">
        <f t="shared" ref="O1602:O1665" si="328">IF($H1602="Y",1-$N1602,0)</f>
        <v>0</v>
      </c>
      <c r="P1602" s="112">
        <f t="shared" ref="P1602:P1665" si="329">IF($L1602=1,$J1602,0)</f>
        <v>0</v>
      </c>
      <c r="Q1602" s="112">
        <f t="shared" ref="Q1602:Q1665" si="330">IF($M1602=1,$J1602,0)</f>
        <v>0</v>
      </c>
      <c r="R1602" s="53"/>
      <c r="S1602" s="53" t="str">
        <f t="shared" ref="S1602:S1665" si="331">IF($A1602="","",$A1602&amp;"|"&amp;$B1602&amp;"|"&amp;$C1602&amp;"|"&amp;$E1602)</f>
        <v>Characters|Characters Printing Plates Parallel|C-1|Printing Plate</v>
      </c>
      <c r="T1602" s="57" t="str">
        <f>IF($S1602="","",IFERROR(VLOOKUP($S1602,'Pop Estimates (Non-#d)'!$N$2:$O$500,2,FALSE),""))</f>
        <v/>
      </c>
      <c r="U1602" s="57">
        <f t="shared" ref="U1602:U1665" si="332">IF($A1602="","",IF($F1602&lt;&gt;"",$F1602,$T1602))</f>
        <v>4</v>
      </c>
      <c r="V1602" s="53" t="str">
        <f t="shared" ref="V1602:V1665" si="333">IF($A1602="","",IF(ISNUMBER(SEARCH(" as ",$D1602)),MID($D1602,SEARCH(" as ",$D1602)+4,255),IF(ISNUMBER(SEARCH("/",$D1602)),LEFT($D1602,FIND("/",$D1602&amp;"/")-1),"")))</f>
        <v>Hughie Campbell</v>
      </c>
      <c r="W1602" s="53" t="str">
        <f t="shared" ref="W1602:W1665" si="334">IF($V1602="","",TRIM(IFERROR(MID($V1602,SEARCH("(", $V1602)+1,SEARCH(")",$V1602)-SEARCH("(", $V1602)-1),$V1602)))</f>
        <v>Hughie Campbell</v>
      </c>
      <c r="X1602" s="53" t="str">
        <f t="shared" ref="X1602:X1665" si="335">IF($W1602="","",TRIM(LEFT($W1602&amp;"""",FIND("""",$W1602&amp;"""")-1)))</f>
        <v>Hughie Campbell</v>
      </c>
      <c r="Y1602" s="57">
        <f>IF($X1602="","",IFERROR(VLOOKUP($X1602,'Char Popularity'!$A$2:$C$500,2,FALSE),""))</f>
        <v>5</v>
      </c>
      <c r="Z1602" s="56">
        <f>IF($X1602="",1,IFERROR(VLOOKUP($X1602,'Char Popularity'!$A$2:$C$500,3,FALSE),1))</f>
        <v>1.2</v>
      </c>
      <c r="AA1602" s="62">
        <f>IF($H1602&lt;&gt;"Y",0,(IF($F1602&lt;&gt;"",ROUND(Dashboard!$R$4/$F1602,1),IF(AND($I1602="Base",$E1602="Base"),Dashboard!$R$5,IF(AND($I1602="Base",$E1602="Red"),Dashboard!$R$6,IF(AND($I1602="Base",$E1602="Gold"),Dashboard!$R$7,VLOOKUP($I1602,Dashboard!$Q$16:$R$21,2,FALSE)))))*VLOOKUP($I1602,Dashboard!$Q$9:$R$13,2,FALSE)*IF(AND($I1602="Auto",$F1602="",OR($B1602="Autographs Duals",$B1602="Autographs Triples",$B1602="Autographs Quads",$B1602="Autographs Quads (Inscribed)")),IF($B1602="Autographs Duals",2,IF($B1602="Autographs Triples",3,4)),1)))</f>
        <v>0</v>
      </c>
      <c r="AB1602" s="62">
        <f t="shared" ref="AB1602:AB1665" si="336">IF($L1602=1,$AA1602,0)</f>
        <v>0</v>
      </c>
      <c r="AC1602" s="62">
        <f t="shared" ref="AC1602:AC1665" si="337">IF($M1602=1,$AA1602,0)</f>
        <v>0</v>
      </c>
    </row>
    <row r="1603" spans="1:29" ht="42.95" customHeight="1" x14ac:dyDescent="0.25">
      <c r="A1603" s="4" t="s">
        <v>21</v>
      </c>
      <c r="B1603" s="7" t="s">
        <v>795</v>
      </c>
      <c r="C1603" s="2" t="s">
        <v>419</v>
      </c>
      <c r="D1603" s="7" t="s">
        <v>222</v>
      </c>
      <c r="E1603" s="4" t="s">
        <v>829</v>
      </c>
      <c r="F1603" s="2">
        <v>4</v>
      </c>
      <c r="G1603" s="2" t="s">
        <v>1400</v>
      </c>
      <c r="H1603" s="2" t="s">
        <v>1399</v>
      </c>
      <c r="I1603" s="4" t="s">
        <v>60</v>
      </c>
      <c r="J1603" s="112">
        <f>IF($H1603&lt;&gt;"Y",0,ROUND(MIN(Dashboard!$R$24,IF(IFERROR(VLOOKUP($B1603,Dashboard!$Q$28:$S$60,2,FALSE),0)&gt;0,IFERROR(VLOOKUP($B1603,Dashboard!$Q$28:$S$60,2,FALSE),0),$Z1603*IF($U1603&lt;&gt;"",ROUND((Dashboard!$R$4/$U1603)*VLOOKUP($I1603,Dashboard!$Q$9:$R$13,2,FALSE)*IF(ISNUMBER(SEARCH("Duals",$B1603)),2,IF(ISNUMBER(SEARCH("Triples",$B1603)),3,IF(ISNUMBER(SEARCH("Quads",$B1603)),4,1))),2),ROUND(VLOOKUP($I1603,Dashboard!$Q$15:$R$20,2,FALSE)*IF($E1603="Red",Dashboard!$R$6,IF($E1603="Gold",Dashboard!$R$7,Dashboard!$R$5))*IF(ISNUMBER(SEARCH("Duals",$B1603)),2,IF(ISNUMBER(SEARCH("Triples",$B1603)),3,IF(ISNUMBER(SEARCH("Quads",$B1603)),4,1))),2))*IF(IFERROR(VLOOKUP($B1603,Dashboard!$Q$28:$S$60,3,FALSE),0)&gt;0,VLOOKUP($B1603,Dashboard!$Q$28:$S$60,3,FALSE),1))),0))</f>
        <v>0</v>
      </c>
      <c r="K1603" s="2" t="str">
        <f>IF(Characters!J3="","",Characters!J3)</f>
        <v/>
      </c>
      <c r="L1603" s="2">
        <f t="shared" si="325"/>
        <v>0</v>
      </c>
      <c r="M1603" s="2">
        <f t="shared" si="326"/>
        <v>0</v>
      </c>
      <c r="N1603" s="2">
        <f t="shared" si="327"/>
        <v>0</v>
      </c>
      <c r="O1603" s="2">
        <f t="shared" si="328"/>
        <v>0</v>
      </c>
      <c r="P1603" s="112">
        <f t="shared" si="329"/>
        <v>0</v>
      </c>
      <c r="Q1603" s="112">
        <f t="shared" si="330"/>
        <v>0</v>
      </c>
      <c r="R1603" s="53"/>
      <c r="S1603" s="53" t="str">
        <f t="shared" si="331"/>
        <v>Characters|Characters Printing Plates Parallel|C-2|Printing Plate</v>
      </c>
      <c r="T1603" s="57" t="str">
        <f>IF($S1603="","",IFERROR(VLOOKUP($S1603,'Pop Estimates (Non-#d)'!$N$2:$O$500,2,FALSE),""))</f>
        <v/>
      </c>
      <c r="U1603" s="57">
        <f t="shared" si="332"/>
        <v>4</v>
      </c>
      <c r="V1603" s="53" t="str">
        <f t="shared" si="333"/>
        <v>Homelander</v>
      </c>
      <c r="W1603" s="53" t="str">
        <f t="shared" si="334"/>
        <v>Homelander</v>
      </c>
      <c r="X1603" s="53" t="str">
        <f t="shared" si="335"/>
        <v>Homelander</v>
      </c>
      <c r="Y1603" s="57">
        <f>IF($X1603="","",IFERROR(VLOOKUP($X1603,'Char Popularity'!$A$2:$C$500,2,FALSE),""))</f>
        <v>5</v>
      </c>
      <c r="Z1603" s="56">
        <f>IF($X1603="",1,IFERROR(VLOOKUP($X1603,'Char Popularity'!$A$2:$C$500,3,FALSE),1))</f>
        <v>1.2</v>
      </c>
      <c r="AA1603" s="62">
        <f>IF($H1603&lt;&gt;"Y",0,(IF($F1603&lt;&gt;"",ROUND(Dashboard!$R$4/$F1603,1),IF(AND($I1603="Base",$E1603="Base"),Dashboard!$R$5,IF(AND($I1603="Base",$E1603="Red"),Dashboard!$R$6,IF(AND($I1603="Base",$E1603="Gold"),Dashboard!$R$7,VLOOKUP($I1603,Dashboard!$Q$16:$R$21,2,FALSE)))))*VLOOKUP($I1603,Dashboard!$Q$9:$R$13,2,FALSE)*IF(AND($I1603="Auto",$F1603="",OR($B1603="Autographs Duals",$B1603="Autographs Triples",$B1603="Autographs Quads",$B1603="Autographs Quads (Inscribed)")),IF($B1603="Autographs Duals",2,IF($B1603="Autographs Triples",3,4)),1)))</f>
        <v>0</v>
      </c>
      <c r="AB1603" s="62">
        <f t="shared" si="336"/>
        <v>0</v>
      </c>
      <c r="AC1603" s="62">
        <f t="shared" si="337"/>
        <v>0</v>
      </c>
    </row>
    <row r="1604" spans="1:29" ht="42.95" customHeight="1" x14ac:dyDescent="0.25">
      <c r="A1604" s="4" t="s">
        <v>21</v>
      </c>
      <c r="B1604" s="7" t="s">
        <v>795</v>
      </c>
      <c r="C1604" s="2" t="s">
        <v>425</v>
      </c>
      <c r="D1604" s="7" t="s">
        <v>274</v>
      </c>
      <c r="E1604" s="4" t="s">
        <v>829</v>
      </c>
      <c r="F1604" s="2">
        <v>4</v>
      </c>
      <c r="G1604" s="2" t="s">
        <v>1400</v>
      </c>
      <c r="H1604" s="2" t="s">
        <v>1399</v>
      </c>
      <c r="I1604" s="4" t="s">
        <v>60</v>
      </c>
      <c r="J1604" s="112">
        <f>IF($H1604&lt;&gt;"Y",0,ROUND(MIN(Dashboard!$R$24,IF(IFERROR(VLOOKUP($B1604,Dashboard!$Q$28:$S$60,2,FALSE),0)&gt;0,IFERROR(VLOOKUP($B1604,Dashboard!$Q$28:$S$60,2,FALSE),0),$Z1604*IF($U1604&lt;&gt;"",ROUND((Dashboard!$R$4/$U1604)*VLOOKUP($I1604,Dashboard!$Q$9:$R$13,2,FALSE)*IF(ISNUMBER(SEARCH("Duals",$B1604)),2,IF(ISNUMBER(SEARCH("Triples",$B1604)),3,IF(ISNUMBER(SEARCH("Quads",$B1604)),4,1))),2),ROUND(VLOOKUP($I1604,Dashboard!$Q$15:$R$20,2,FALSE)*IF($E1604="Red",Dashboard!$R$6,IF($E1604="Gold",Dashboard!$R$7,Dashboard!$R$5))*IF(ISNUMBER(SEARCH("Duals",$B1604)),2,IF(ISNUMBER(SEARCH("Triples",$B1604)),3,IF(ISNUMBER(SEARCH("Quads",$B1604)),4,1))),2))*IF(IFERROR(VLOOKUP($B1604,Dashboard!$Q$28:$S$60,3,FALSE),0)&gt;0,VLOOKUP($B1604,Dashboard!$Q$28:$S$60,3,FALSE),1))),0))</f>
        <v>0</v>
      </c>
      <c r="K1604" s="2" t="str">
        <f>IF(Characters!J4="","",Characters!J4)</f>
        <v/>
      </c>
      <c r="L1604" s="2">
        <f t="shared" si="325"/>
        <v>0</v>
      </c>
      <c r="M1604" s="2">
        <f t="shared" si="326"/>
        <v>0</v>
      </c>
      <c r="N1604" s="2">
        <f t="shared" si="327"/>
        <v>0</v>
      </c>
      <c r="O1604" s="2">
        <f t="shared" si="328"/>
        <v>0</v>
      </c>
      <c r="P1604" s="112">
        <f t="shared" si="329"/>
        <v>0</v>
      </c>
      <c r="Q1604" s="112">
        <f t="shared" si="330"/>
        <v>0</v>
      </c>
      <c r="R1604" s="53"/>
      <c r="S1604" s="53" t="str">
        <f t="shared" si="331"/>
        <v>Characters|Characters Printing Plates Parallel|C-3|Printing Plate</v>
      </c>
      <c r="T1604" s="57" t="str">
        <f>IF($S1604="","",IFERROR(VLOOKUP($S1604,'Pop Estimates (Non-#d)'!$N$2:$O$500,2,FALSE),""))</f>
        <v/>
      </c>
      <c r="U1604" s="57">
        <f t="shared" si="332"/>
        <v>4</v>
      </c>
      <c r="V1604" s="53" t="str">
        <f t="shared" si="333"/>
        <v>Billy Butcher</v>
      </c>
      <c r="W1604" s="53" t="str">
        <f t="shared" si="334"/>
        <v>Billy Butcher</v>
      </c>
      <c r="X1604" s="53" t="str">
        <f t="shared" si="335"/>
        <v>Billy Butcher</v>
      </c>
      <c r="Y1604" s="57">
        <f>IF($X1604="","",IFERROR(VLOOKUP($X1604,'Char Popularity'!$A$2:$C$500,2,FALSE),""))</f>
        <v>5</v>
      </c>
      <c r="Z1604" s="56">
        <f>IF($X1604="",1,IFERROR(VLOOKUP($X1604,'Char Popularity'!$A$2:$C$500,3,FALSE),1))</f>
        <v>1.2</v>
      </c>
      <c r="AA1604" s="62">
        <f>IF($H1604&lt;&gt;"Y",0,(IF($F1604&lt;&gt;"",ROUND(Dashboard!$R$4/$F1604,1),IF(AND($I1604="Base",$E1604="Base"),Dashboard!$R$5,IF(AND($I1604="Base",$E1604="Red"),Dashboard!$R$6,IF(AND($I1604="Base",$E1604="Gold"),Dashboard!$R$7,VLOOKUP($I1604,Dashboard!$Q$16:$R$21,2,FALSE)))))*VLOOKUP($I1604,Dashboard!$Q$9:$R$13,2,FALSE)*IF(AND($I1604="Auto",$F1604="",OR($B1604="Autographs Duals",$B1604="Autographs Triples",$B1604="Autographs Quads",$B1604="Autographs Quads (Inscribed)")),IF($B1604="Autographs Duals",2,IF($B1604="Autographs Triples",3,4)),1)))</f>
        <v>0</v>
      </c>
      <c r="AB1604" s="62">
        <f t="shared" si="336"/>
        <v>0</v>
      </c>
      <c r="AC1604" s="62">
        <f t="shared" si="337"/>
        <v>0</v>
      </c>
    </row>
    <row r="1605" spans="1:29" ht="42.95" customHeight="1" x14ac:dyDescent="0.25">
      <c r="A1605" s="4" t="s">
        <v>21</v>
      </c>
      <c r="B1605" s="7" t="s">
        <v>795</v>
      </c>
      <c r="C1605" s="2" t="s">
        <v>428</v>
      </c>
      <c r="D1605" s="7" t="s">
        <v>248</v>
      </c>
      <c r="E1605" s="4" t="s">
        <v>829</v>
      </c>
      <c r="F1605" s="2">
        <v>4</v>
      </c>
      <c r="G1605" s="2" t="s">
        <v>1400</v>
      </c>
      <c r="H1605" s="2" t="s">
        <v>1399</v>
      </c>
      <c r="I1605" s="4" t="s">
        <v>60</v>
      </c>
      <c r="J1605" s="112">
        <f>IF($H1605&lt;&gt;"Y",0,ROUND(MIN(Dashboard!$R$24,IF(IFERROR(VLOOKUP($B1605,Dashboard!$Q$28:$S$60,2,FALSE),0)&gt;0,IFERROR(VLOOKUP($B1605,Dashboard!$Q$28:$S$60,2,FALSE),0),$Z1605*IF($U1605&lt;&gt;"",ROUND((Dashboard!$R$4/$U1605)*VLOOKUP($I1605,Dashboard!$Q$9:$R$13,2,FALSE)*IF(ISNUMBER(SEARCH("Duals",$B1605)),2,IF(ISNUMBER(SEARCH("Triples",$B1605)),3,IF(ISNUMBER(SEARCH("Quads",$B1605)),4,1))),2),ROUND(VLOOKUP($I1605,Dashboard!$Q$15:$R$20,2,FALSE)*IF($E1605="Red",Dashboard!$R$6,IF($E1605="Gold",Dashboard!$R$7,Dashboard!$R$5))*IF(ISNUMBER(SEARCH("Duals",$B1605)),2,IF(ISNUMBER(SEARCH("Triples",$B1605)),3,IF(ISNUMBER(SEARCH("Quads",$B1605)),4,1))),2))*IF(IFERROR(VLOOKUP($B1605,Dashboard!$Q$28:$S$60,3,FALSE),0)&gt;0,VLOOKUP($B1605,Dashboard!$Q$28:$S$60,3,FALSE),1))),0))</f>
        <v>0</v>
      </c>
      <c r="K1605" s="2" t="str">
        <f>IF(Characters!J5="","",Characters!J5)</f>
        <v/>
      </c>
      <c r="L1605" s="2">
        <f t="shared" si="325"/>
        <v>0</v>
      </c>
      <c r="M1605" s="2">
        <f t="shared" si="326"/>
        <v>0</v>
      </c>
      <c r="N1605" s="2">
        <f t="shared" si="327"/>
        <v>0</v>
      </c>
      <c r="O1605" s="2">
        <f t="shared" si="328"/>
        <v>0</v>
      </c>
      <c r="P1605" s="112">
        <f t="shared" si="329"/>
        <v>0</v>
      </c>
      <c r="Q1605" s="112">
        <f t="shared" si="330"/>
        <v>0</v>
      </c>
      <c r="R1605" s="53"/>
      <c r="S1605" s="53" t="str">
        <f t="shared" si="331"/>
        <v>Characters|Characters Printing Plates Parallel|C-4|Printing Plate</v>
      </c>
      <c r="T1605" s="57" t="str">
        <f>IF($S1605="","",IFERROR(VLOOKUP($S1605,'Pop Estimates (Non-#d)'!$N$2:$O$500,2,FALSE),""))</f>
        <v/>
      </c>
      <c r="U1605" s="57">
        <f t="shared" si="332"/>
        <v>4</v>
      </c>
      <c r="V1605" s="53" t="str">
        <f t="shared" si="333"/>
        <v>Starlight</v>
      </c>
      <c r="W1605" s="53" t="str">
        <f t="shared" si="334"/>
        <v>Starlight</v>
      </c>
      <c r="X1605" s="53" t="str">
        <f t="shared" si="335"/>
        <v>Starlight</v>
      </c>
      <c r="Y1605" s="57">
        <f>IF($X1605="","",IFERROR(VLOOKUP($X1605,'Char Popularity'!$A$2:$C$500,2,FALSE),""))</f>
        <v>5</v>
      </c>
      <c r="Z1605" s="56">
        <f>IF($X1605="",1,IFERROR(VLOOKUP($X1605,'Char Popularity'!$A$2:$C$500,3,FALSE),1))</f>
        <v>1.2</v>
      </c>
      <c r="AA1605" s="62">
        <f>IF($H1605&lt;&gt;"Y",0,(IF($F1605&lt;&gt;"",ROUND(Dashboard!$R$4/$F1605,1),IF(AND($I1605="Base",$E1605="Base"),Dashboard!$R$5,IF(AND($I1605="Base",$E1605="Red"),Dashboard!$R$6,IF(AND($I1605="Base",$E1605="Gold"),Dashboard!$R$7,VLOOKUP($I1605,Dashboard!$Q$16:$R$21,2,FALSE)))))*VLOOKUP($I1605,Dashboard!$Q$9:$R$13,2,FALSE)*IF(AND($I1605="Auto",$F1605="",OR($B1605="Autographs Duals",$B1605="Autographs Triples",$B1605="Autographs Quads",$B1605="Autographs Quads (Inscribed)")),IF($B1605="Autographs Duals",2,IF($B1605="Autographs Triples",3,4)),1)))</f>
        <v>0</v>
      </c>
      <c r="AB1605" s="62">
        <f t="shared" si="336"/>
        <v>0</v>
      </c>
      <c r="AC1605" s="62">
        <f t="shared" si="337"/>
        <v>0</v>
      </c>
    </row>
    <row r="1606" spans="1:29" ht="42.95" customHeight="1" x14ac:dyDescent="0.25">
      <c r="A1606" s="4" t="s">
        <v>21</v>
      </c>
      <c r="B1606" s="7" t="s">
        <v>795</v>
      </c>
      <c r="C1606" s="2" t="s">
        <v>434</v>
      </c>
      <c r="D1606" s="7" t="s">
        <v>267</v>
      </c>
      <c r="E1606" s="4" t="s">
        <v>829</v>
      </c>
      <c r="F1606" s="2">
        <v>4</v>
      </c>
      <c r="G1606" s="2" t="s">
        <v>1400</v>
      </c>
      <c r="H1606" s="2" t="s">
        <v>1399</v>
      </c>
      <c r="I1606" s="4" t="s">
        <v>60</v>
      </c>
      <c r="J1606" s="112">
        <f>IF($H1606&lt;&gt;"Y",0,ROUND(MIN(Dashboard!$R$24,IF(IFERROR(VLOOKUP($B1606,Dashboard!$Q$28:$S$60,2,FALSE),0)&gt;0,IFERROR(VLOOKUP($B1606,Dashboard!$Q$28:$S$60,2,FALSE),0),$Z1606*IF($U1606&lt;&gt;"",ROUND((Dashboard!$R$4/$U1606)*VLOOKUP($I1606,Dashboard!$Q$9:$R$13,2,FALSE)*IF(ISNUMBER(SEARCH("Duals",$B1606)),2,IF(ISNUMBER(SEARCH("Triples",$B1606)),3,IF(ISNUMBER(SEARCH("Quads",$B1606)),4,1))),2),ROUND(VLOOKUP($I1606,Dashboard!$Q$15:$R$20,2,FALSE)*IF($E1606="Red",Dashboard!$R$6,IF($E1606="Gold",Dashboard!$R$7,Dashboard!$R$5))*IF(ISNUMBER(SEARCH("Duals",$B1606)),2,IF(ISNUMBER(SEARCH("Triples",$B1606)),3,IF(ISNUMBER(SEARCH("Quads",$B1606)),4,1))),2))*IF(IFERROR(VLOOKUP($B1606,Dashboard!$Q$28:$S$60,3,FALSE),0)&gt;0,VLOOKUP($B1606,Dashboard!$Q$28:$S$60,3,FALSE),1))),0))</f>
        <v>0</v>
      </c>
      <c r="K1606" s="2" t="str">
        <f>IF(Characters!J6="","",Characters!J6)</f>
        <v/>
      </c>
      <c r="L1606" s="2">
        <f t="shared" si="325"/>
        <v>0</v>
      </c>
      <c r="M1606" s="2">
        <f t="shared" si="326"/>
        <v>0</v>
      </c>
      <c r="N1606" s="2">
        <f t="shared" si="327"/>
        <v>0</v>
      </c>
      <c r="O1606" s="2">
        <f t="shared" si="328"/>
        <v>0</v>
      </c>
      <c r="P1606" s="112">
        <f t="shared" si="329"/>
        <v>0</v>
      </c>
      <c r="Q1606" s="112">
        <f t="shared" si="330"/>
        <v>0</v>
      </c>
      <c r="R1606" s="53"/>
      <c r="S1606" s="53" t="str">
        <f t="shared" si="331"/>
        <v>Characters|Characters Printing Plates Parallel|C-5|Printing Plate</v>
      </c>
      <c r="T1606" s="57" t="str">
        <f>IF($S1606="","",IFERROR(VLOOKUP($S1606,'Pop Estimates (Non-#d)'!$N$2:$O$500,2,FALSE),""))</f>
        <v/>
      </c>
      <c r="U1606" s="57">
        <f t="shared" si="332"/>
        <v>4</v>
      </c>
      <c r="V1606" s="53" t="str">
        <f t="shared" si="333"/>
        <v>A-Train</v>
      </c>
      <c r="W1606" s="53" t="str">
        <f t="shared" si="334"/>
        <v>A-Train</v>
      </c>
      <c r="X1606" s="53" t="str">
        <f t="shared" si="335"/>
        <v>A-Train</v>
      </c>
      <c r="Y1606" s="57">
        <f>IF($X1606="","",IFERROR(VLOOKUP($X1606,'Char Popularity'!$A$2:$C$500,2,FALSE),""))</f>
        <v>4</v>
      </c>
      <c r="Z1606" s="56">
        <f>IF($X1606="",1,IFERROR(VLOOKUP($X1606,'Char Popularity'!$A$2:$C$500,3,FALSE),1))</f>
        <v>1.1000000000000001</v>
      </c>
      <c r="AA1606" s="62">
        <f>IF($H1606&lt;&gt;"Y",0,(IF($F1606&lt;&gt;"",ROUND(Dashboard!$R$4/$F1606,1),IF(AND($I1606="Base",$E1606="Base"),Dashboard!$R$5,IF(AND($I1606="Base",$E1606="Red"),Dashboard!$R$6,IF(AND($I1606="Base",$E1606="Gold"),Dashboard!$R$7,VLOOKUP($I1606,Dashboard!$Q$16:$R$21,2,FALSE)))))*VLOOKUP($I1606,Dashboard!$Q$9:$R$13,2,FALSE)*IF(AND($I1606="Auto",$F1606="",OR($B1606="Autographs Duals",$B1606="Autographs Triples",$B1606="Autographs Quads",$B1606="Autographs Quads (Inscribed)")),IF($B1606="Autographs Duals",2,IF($B1606="Autographs Triples",3,4)),1)))</f>
        <v>0</v>
      </c>
      <c r="AB1606" s="62">
        <f t="shared" si="336"/>
        <v>0</v>
      </c>
      <c r="AC1606" s="62">
        <f t="shared" si="337"/>
        <v>0</v>
      </c>
    </row>
    <row r="1607" spans="1:29" ht="42.95" customHeight="1" x14ac:dyDescent="0.25">
      <c r="A1607" s="4" t="s">
        <v>21</v>
      </c>
      <c r="B1607" s="7" t="s">
        <v>795</v>
      </c>
      <c r="C1607" s="2" t="s">
        <v>435</v>
      </c>
      <c r="D1607" s="7" t="s">
        <v>250</v>
      </c>
      <c r="E1607" s="4" t="s">
        <v>829</v>
      </c>
      <c r="F1607" s="2">
        <v>4</v>
      </c>
      <c r="G1607" s="2" t="s">
        <v>1400</v>
      </c>
      <c r="H1607" s="2" t="s">
        <v>1399</v>
      </c>
      <c r="I1607" s="4" t="s">
        <v>60</v>
      </c>
      <c r="J1607" s="112">
        <f>IF($H1607&lt;&gt;"Y",0,ROUND(MIN(Dashboard!$R$24,IF(IFERROR(VLOOKUP($B1607,Dashboard!$Q$28:$S$60,2,FALSE),0)&gt;0,IFERROR(VLOOKUP($B1607,Dashboard!$Q$28:$S$60,2,FALSE),0),$Z1607*IF($U1607&lt;&gt;"",ROUND((Dashboard!$R$4/$U1607)*VLOOKUP($I1607,Dashboard!$Q$9:$R$13,2,FALSE)*IF(ISNUMBER(SEARCH("Duals",$B1607)),2,IF(ISNUMBER(SEARCH("Triples",$B1607)),3,IF(ISNUMBER(SEARCH("Quads",$B1607)),4,1))),2),ROUND(VLOOKUP($I1607,Dashboard!$Q$15:$R$20,2,FALSE)*IF($E1607="Red",Dashboard!$R$6,IF($E1607="Gold",Dashboard!$R$7,Dashboard!$R$5))*IF(ISNUMBER(SEARCH("Duals",$B1607)),2,IF(ISNUMBER(SEARCH("Triples",$B1607)),3,IF(ISNUMBER(SEARCH("Quads",$B1607)),4,1))),2))*IF(IFERROR(VLOOKUP($B1607,Dashboard!$Q$28:$S$60,3,FALSE),0)&gt;0,VLOOKUP($B1607,Dashboard!$Q$28:$S$60,3,FALSE),1))),0))</f>
        <v>0</v>
      </c>
      <c r="K1607" s="2" t="str">
        <f>IF(Characters!J7="","",Characters!J7)</f>
        <v/>
      </c>
      <c r="L1607" s="2">
        <f t="shared" si="325"/>
        <v>0</v>
      </c>
      <c r="M1607" s="2">
        <f t="shared" si="326"/>
        <v>0</v>
      </c>
      <c r="N1607" s="2">
        <f t="shared" si="327"/>
        <v>0</v>
      </c>
      <c r="O1607" s="2">
        <f t="shared" si="328"/>
        <v>0</v>
      </c>
      <c r="P1607" s="112">
        <f t="shared" si="329"/>
        <v>0</v>
      </c>
      <c r="Q1607" s="112">
        <f t="shared" si="330"/>
        <v>0</v>
      </c>
      <c r="R1607" s="53"/>
      <c r="S1607" s="53" t="str">
        <f t="shared" si="331"/>
        <v>Characters|Characters Printing Plates Parallel|C-6|Printing Plate</v>
      </c>
      <c r="T1607" s="57" t="str">
        <f>IF($S1607="","",IFERROR(VLOOKUP($S1607,'Pop Estimates (Non-#d)'!$N$2:$O$500,2,FALSE),""))</f>
        <v/>
      </c>
      <c r="U1607" s="57">
        <f t="shared" si="332"/>
        <v>4</v>
      </c>
      <c r="V1607" s="53" t="str">
        <f t="shared" si="333"/>
        <v>Madelyn Stillwell</v>
      </c>
      <c r="W1607" s="53" t="str">
        <f t="shared" si="334"/>
        <v>Madelyn Stillwell</v>
      </c>
      <c r="X1607" s="53" t="str">
        <f t="shared" si="335"/>
        <v>Madelyn Stillwell</v>
      </c>
      <c r="Y1607" s="57">
        <f>IF($X1607="","",IFERROR(VLOOKUP($X1607,'Char Popularity'!$A$2:$C$500,2,FALSE),""))</f>
        <v>3</v>
      </c>
      <c r="Z1607" s="56">
        <f>IF($X1607="",1,IFERROR(VLOOKUP($X1607,'Char Popularity'!$A$2:$C$500,3,FALSE),1))</f>
        <v>1</v>
      </c>
      <c r="AA1607" s="62">
        <f>IF($H1607&lt;&gt;"Y",0,(IF($F1607&lt;&gt;"",ROUND(Dashboard!$R$4/$F1607,1),IF(AND($I1607="Base",$E1607="Base"),Dashboard!$R$5,IF(AND($I1607="Base",$E1607="Red"),Dashboard!$R$6,IF(AND($I1607="Base",$E1607="Gold"),Dashboard!$R$7,VLOOKUP($I1607,Dashboard!$Q$16:$R$21,2,FALSE)))))*VLOOKUP($I1607,Dashboard!$Q$9:$R$13,2,FALSE)*IF(AND($I1607="Auto",$F1607="",OR($B1607="Autographs Duals",$B1607="Autographs Triples",$B1607="Autographs Quads",$B1607="Autographs Quads (Inscribed)")),IF($B1607="Autographs Duals",2,IF($B1607="Autographs Triples",3,4)),1)))</f>
        <v>0</v>
      </c>
      <c r="AB1607" s="62">
        <f t="shared" si="336"/>
        <v>0</v>
      </c>
      <c r="AC1607" s="62">
        <f t="shared" si="337"/>
        <v>0</v>
      </c>
    </row>
    <row r="1608" spans="1:29" ht="42.95" customHeight="1" x14ac:dyDescent="0.25">
      <c r="A1608" s="4" t="s">
        <v>21</v>
      </c>
      <c r="B1608" s="7" t="s">
        <v>795</v>
      </c>
      <c r="C1608" s="2" t="s">
        <v>436</v>
      </c>
      <c r="D1608" s="7" t="s">
        <v>230</v>
      </c>
      <c r="E1608" s="4" t="s">
        <v>829</v>
      </c>
      <c r="F1608" s="2">
        <v>4</v>
      </c>
      <c r="G1608" s="2" t="s">
        <v>1400</v>
      </c>
      <c r="H1608" s="2" t="s">
        <v>1399</v>
      </c>
      <c r="I1608" s="4" t="s">
        <v>60</v>
      </c>
      <c r="J1608" s="112">
        <f>IF($H1608&lt;&gt;"Y",0,ROUND(MIN(Dashboard!$R$24,IF(IFERROR(VLOOKUP($B1608,Dashboard!$Q$28:$S$60,2,FALSE),0)&gt;0,IFERROR(VLOOKUP($B1608,Dashboard!$Q$28:$S$60,2,FALSE),0),$Z1608*IF($U1608&lt;&gt;"",ROUND((Dashboard!$R$4/$U1608)*VLOOKUP($I1608,Dashboard!$Q$9:$R$13,2,FALSE)*IF(ISNUMBER(SEARCH("Duals",$B1608)),2,IF(ISNUMBER(SEARCH("Triples",$B1608)),3,IF(ISNUMBER(SEARCH("Quads",$B1608)),4,1))),2),ROUND(VLOOKUP($I1608,Dashboard!$Q$15:$R$20,2,FALSE)*IF($E1608="Red",Dashboard!$R$6,IF($E1608="Gold",Dashboard!$R$7,Dashboard!$R$5))*IF(ISNUMBER(SEARCH("Duals",$B1608)),2,IF(ISNUMBER(SEARCH("Triples",$B1608)),3,IF(ISNUMBER(SEARCH("Quads",$B1608)),4,1))),2))*IF(IFERROR(VLOOKUP($B1608,Dashboard!$Q$28:$S$60,3,FALSE),0)&gt;0,VLOOKUP($B1608,Dashboard!$Q$28:$S$60,3,FALSE),1))),0))</f>
        <v>0</v>
      </c>
      <c r="K1608" s="2" t="str">
        <f>IF(Characters!J8="","",Characters!J8)</f>
        <v/>
      </c>
      <c r="L1608" s="2">
        <f t="shared" si="325"/>
        <v>0</v>
      </c>
      <c r="M1608" s="2">
        <f t="shared" si="326"/>
        <v>0</v>
      </c>
      <c r="N1608" s="2">
        <f t="shared" si="327"/>
        <v>0</v>
      </c>
      <c r="O1608" s="2">
        <f t="shared" si="328"/>
        <v>0</v>
      </c>
      <c r="P1608" s="112">
        <f t="shared" si="329"/>
        <v>0</v>
      </c>
      <c r="Q1608" s="112">
        <f t="shared" si="330"/>
        <v>0</v>
      </c>
      <c r="R1608" s="53"/>
      <c r="S1608" s="53" t="str">
        <f t="shared" si="331"/>
        <v>Characters|Characters Printing Plates Parallel|C-7|Printing Plate</v>
      </c>
      <c r="T1608" s="57" t="str">
        <f>IF($S1608="","",IFERROR(VLOOKUP($S1608,'Pop Estimates (Non-#d)'!$N$2:$O$500,2,FALSE),""))</f>
        <v/>
      </c>
      <c r="U1608" s="57">
        <f t="shared" si="332"/>
        <v>4</v>
      </c>
      <c r="V1608" s="53" t="str">
        <f t="shared" si="333"/>
        <v>The Deep</v>
      </c>
      <c r="W1608" s="53" t="str">
        <f t="shared" si="334"/>
        <v>The Deep</v>
      </c>
      <c r="X1608" s="53" t="str">
        <f t="shared" si="335"/>
        <v>The Deep</v>
      </c>
      <c r="Y1608" s="57">
        <f>IF($X1608="","",IFERROR(VLOOKUP($X1608,'Char Popularity'!$A$2:$C$500,2,FALSE),""))</f>
        <v>4</v>
      </c>
      <c r="Z1608" s="56">
        <f>IF($X1608="",1,IFERROR(VLOOKUP($X1608,'Char Popularity'!$A$2:$C$500,3,FALSE),1))</f>
        <v>1.1000000000000001</v>
      </c>
      <c r="AA1608" s="62">
        <f>IF($H1608&lt;&gt;"Y",0,(IF($F1608&lt;&gt;"",ROUND(Dashboard!$R$4/$F1608,1),IF(AND($I1608="Base",$E1608="Base"),Dashboard!$R$5,IF(AND($I1608="Base",$E1608="Red"),Dashboard!$R$6,IF(AND($I1608="Base",$E1608="Gold"),Dashboard!$R$7,VLOOKUP($I1608,Dashboard!$Q$16:$R$21,2,FALSE)))))*VLOOKUP($I1608,Dashboard!$Q$9:$R$13,2,FALSE)*IF(AND($I1608="Auto",$F1608="",OR($B1608="Autographs Duals",$B1608="Autographs Triples",$B1608="Autographs Quads",$B1608="Autographs Quads (Inscribed)")),IF($B1608="Autographs Duals",2,IF($B1608="Autographs Triples",3,4)),1)))</f>
        <v>0</v>
      </c>
      <c r="AB1608" s="62">
        <f t="shared" si="336"/>
        <v>0</v>
      </c>
      <c r="AC1608" s="62">
        <f t="shared" si="337"/>
        <v>0</v>
      </c>
    </row>
    <row r="1609" spans="1:29" ht="42.95" customHeight="1" x14ac:dyDescent="0.25">
      <c r="A1609" s="4" t="s">
        <v>21</v>
      </c>
      <c r="B1609" s="7" t="s">
        <v>795</v>
      </c>
      <c r="C1609" s="2" t="s">
        <v>437</v>
      </c>
      <c r="D1609" s="7" t="s">
        <v>276</v>
      </c>
      <c r="E1609" s="4" t="s">
        <v>829</v>
      </c>
      <c r="F1609" s="2">
        <v>4</v>
      </c>
      <c r="G1609" s="2" t="s">
        <v>1400</v>
      </c>
      <c r="H1609" s="2" t="s">
        <v>1399</v>
      </c>
      <c r="I1609" s="4" t="s">
        <v>60</v>
      </c>
      <c r="J1609" s="112">
        <f>IF($H1609&lt;&gt;"Y",0,ROUND(MIN(Dashboard!$R$24,IF(IFERROR(VLOOKUP($B1609,Dashboard!$Q$28:$S$60,2,FALSE),0)&gt;0,IFERROR(VLOOKUP($B1609,Dashboard!$Q$28:$S$60,2,FALSE),0),$Z1609*IF($U1609&lt;&gt;"",ROUND((Dashboard!$R$4/$U1609)*VLOOKUP($I1609,Dashboard!$Q$9:$R$13,2,FALSE)*IF(ISNUMBER(SEARCH("Duals",$B1609)),2,IF(ISNUMBER(SEARCH("Triples",$B1609)),3,IF(ISNUMBER(SEARCH("Quads",$B1609)),4,1))),2),ROUND(VLOOKUP($I1609,Dashboard!$Q$15:$R$20,2,FALSE)*IF($E1609="Red",Dashboard!$R$6,IF($E1609="Gold",Dashboard!$R$7,Dashboard!$R$5))*IF(ISNUMBER(SEARCH("Duals",$B1609)),2,IF(ISNUMBER(SEARCH("Triples",$B1609)),3,IF(ISNUMBER(SEARCH("Quads",$B1609)),4,1))),2))*IF(IFERROR(VLOOKUP($B1609,Dashboard!$Q$28:$S$60,3,FALSE),0)&gt;0,VLOOKUP($B1609,Dashboard!$Q$28:$S$60,3,FALSE),1))),0))</f>
        <v>0</v>
      </c>
      <c r="K1609" s="2" t="str">
        <f>IF(Characters!J9="","",Characters!J9)</f>
        <v/>
      </c>
      <c r="L1609" s="2">
        <f t="shared" si="325"/>
        <v>0</v>
      </c>
      <c r="M1609" s="2">
        <f t="shared" si="326"/>
        <v>0</v>
      </c>
      <c r="N1609" s="2">
        <f t="shared" si="327"/>
        <v>0</v>
      </c>
      <c r="O1609" s="2">
        <f t="shared" si="328"/>
        <v>0</v>
      </c>
      <c r="P1609" s="112">
        <f t="shared" si="329"/>
        <v>0</v>
      </c>
      <c r="Q1609" s="112">
        <f t="shared" si="330"/>
        <v>0</v>
      </c>
      <c r="R1609" s="53"/>
      <c r="S1609" s="53" t="str">
        <f t="shared" si="331"/>
        <v>Characters|Characters Printing Plates Parallel|C-8|Printing Plate</v>
      </c>
      <c r="T1609" s="57" t="str">
        <f>IF($S1609="","",IFERROR(VLOOKUP($S1609,'Pop Estimates (Non-#d)'!$N$2:$O$500,2,FALSE),""))</f>
        <v/>
      </c>
      <c r="U1609" s="57">
        <f t="shared" si="332"/>
        <v>4</v>
      </c>
      <c r="V1609" s="53" t="str">
        <f t="shared" si="333"/>
        <v>Mother's Milk</v>
      </c>
      <c r="W1609" s="53" t="str">
        <f t="shared" si="334"/>
        <v>Mother's Milk</v>
      </c>
      <c r="X1609" s="53" t="str">
        <f t="shared" si="335"/>
        <v>Mother's Milk</v>
      </c>
      <c r="Y1609" s="57">
        <f>IF($X1609="","",IFERROR(VLOOKUP($X1609,'Char Popularity'!$A$2:$C$500,2,FALSE),""))</f>
        <v>4</v>
      </c>
      <c r="Z1609" s="56">
        <f>IF($X1609="",1,IFERROR(VLOOKUP($X1609,'Char Popularity'!$A$2:$C$500,3,FALSE),1))</f>
        <v>1.1000000000000001</v>
      </c>
      <c r="AA1609" s="62">
        <f>IF($H1609&lt;&gt;"Y",0,(IF($F1609&lt;&gt;"",ROUND(Dashboard!$R$4/$F1609,1),IF(AND($I1609="Base",$E1609="Base"),Dashboard!$R$5,IF(AND($I1609="Base",$E1609="Red"),Dashboard!$R$6,IF(AND($I1609="Base",$E1609="Gold"),Dashboard!$R$7,VLOOKUP($I1609,Dashboard!$Q$16:$R$21,2,FALSE)))))*VLOOKUP($I1609,Dashboard!$Q$9:$R$13,2,FALSE)*IF(AND($I1609="Auto",$F1609="",OR($B1609="Autographs Duals",$B1609="Autographs Triples",$B1609="Autographs Quads",$B1609="Autographs Quads (Inscribed)")),IF($B1609="Autographs Duals",2,IF($B1609="Autographs Triples",3,4)),1)))</f>
        <v>0</v>
      </c>
      <c r="AB1609" s="62">
        <f t="shared" si="336"/>
        <v>0</v>
      </c>
      <c r="AC1609" s="62">
        <f t="shared" si="337"/>
        <v>0</v>
      </c>
    </row>
    <row r="1610" spans="1:29" ht="42.95" customHeight="1" x14ac:dyDescent="0.25">
      <c r="A1610" s="4" t="s">
        <v>21</v>
      </c>
      <c r="B1610" s="7" t="s">
        <v>795</v>
      </c>
      <c r="C1610" s="2" t="s">
        <v>438</v>
      </c>
      <c r="D1610" s="7" t="s">
        <v>244</v>
      </c>
      <c r="E1610" s="4" t="s">
        <v>829</v>
      </c>
      <c r="F1610" s="2">
        <v>4</v>
      </c>
      <c r="G1610" s="2" t="s">
        <v>1400</v>
      </c>
      <c r="H1610" s="2" t="s">
        <v>1399</v>
      </c>
      <c r="I1610" s="4" t="s">
        <v>60</v>
      </c>
      <c r="J1610" s="112">
        <f>IF($H1610&lt;&gt;"Y",0,ROUND(MIN(Dashboard!$R$24,IF(IFERROR(VLOOKUP($B1610,Dashboard!$Q$28:$S$60,2,FALSE),0)&gt;0,IFERROR(VLOOKUP($B1610,Dashboard!$Q$28:$S$60,2,FALSE),0),$Z1610*IF($U1610&lt;&gt;"",ROUND((Dashboard!$R$4/$U1610)*VLOOKUP($I1610,Dashboard!$Q$9:$R$13,2,FALSE)*IF(ISNUMBER(SEARCH("Duals",$B1610)),2,IF(ISNUMBER(SEARCH("Triples",$B1610)),3,IF(ISNUMBER(SEARCH("Quads",$B1610)),4,1))),2),ROUND(VLOOKUP($I1610,Dashboard!$Q$15:$R$20,2,FALSE)*IF($E1610="Red",Dashboard!$R$6,IF($E1610="Gold",Dashboard!$R$7,Dashboard!$R$5))*IF(ISNUMBER(SEARCH("Duals",$B1610)),2,IF(ISNUMBER(SEARCH("Triples",$B1610)),3,IF(ISNUMBER(SEARCH("Quads",$B1610)),4,1))),2))*IF(IFERROR(VLOOKUP($B1610,Dashboard!$Q$28:$S$60,3,FALSE),0)&gt;0,VLOOKUP($B1610,Dashboard!$Q$28:$S$60,3,FALSE),1))),0))</f>
        <v>0</v>
      </c>
      <c r="K1610" s="2" t="str">
        <f>IF(Characters!J10="","",Characters!J10)</f>
        <v/>
      </c>
      <c r="L1610" s="2">
        <f t="shared" si="325"/>
        <v>0</v>
      </c>
      <c r="M1610" s="2">
        <f t="shared" si="326"/>
        <v>0</v>
      </c>
      <c r="N1610" s="2">
        <f t="shared" si="327"/>
        <v>0</v>
      </c>
      <c r="O1610" s="2">
        <f t="shared" si="328"/>
        <v>0</v>
      </c>
      <c r="P1610" s="112">
        <f t="shared" si="329"/>
        <v>0</v>
      </c>
      <c r="Q1610" s="112">
        <f t="shared" si="330"/>
        <v>0</v>
      </c>
      <c r="R1610" s="53"/>
      <c r="S1610" s="53" t="str">
        <f t="shared" si="331"/>
        <v>Characters|Characters Printing Plates Parallel|C-9|Printing Plate</v>
      </c>
      <c r="T1610" s="57" t="str">
        <f>IF($S1610="","",IFERROR(VLOOKUP($S1610,'Pop Estimates (Non-#d)'!$N$2:$O$500,2,FALSE),""))</f>
        <v/>
      </c>
      <c r="U1610" s="57">
        <f t="shared" si="332"/>
        <v>4</v>
      </c>
      <c r="V1610" s="53" t="str">
        <f t="shared" si="333"/>
        <v>Queen Maeve</v>
      </c>
      <c r="W1610" s="53" t="str">
        <f t="shared" si="334"/>
        <v>Queen Maeve</v>
      </c>
      <c r="X1610" s="53" t="str">
        <f t="shared" si="335"/>
        <v>Queen Maeve</v>
      </c>
      <c r="Y1610" s="57">
        <f>IF($X1610="","",IFERROR(VLOOKUP($X1610,'Char Popularity'!$A$2:$C$500,2,FALSE),""))</f>
        <v>4</v>
      </c>
      <c r="Z1610" s="56">
        <f>IF($X1610="",1,IFERROR(VLOOKUP($X1610,'Char Popularity'!$A$2:$C$500,3,FALSE),1))</f>
        <v>1.1000000000000001</v>
      </c>
      <c r="AA1610" s="62">
        <f>IF($H1610&lt;&gt;"Y",0,(IF($F1610&lt;&gt;"",ROUND(Dashboard!$R$4/$F1610,1),IF(AND($I1610="Base",$E1610="Base"),Dashboard!$R$5,IF(AND($I1610="Base",$E1610="Red"),Dashboard!$R$6,IF(AND($I1610="Base",$E1610="Gold"),Dashboard!$R$7,VLOOKUP($I1610,Dashboard!$Q$16:$R$21,2,FALSE)))))*VLOOKUP($I1610,Dashboard!$Q$9:$R$13,2,FALSE)*IF(AND($I1610="Auto",$F1610="",OR($B1610="Autographs Duals",$B1610="Autographs Triples",$B1610="Autographs Quads",$B1610="Autographs Quads (Inscribed)")),IF($B1610="Autographs Duals",2,IF($B1610="Autographs Triples",3,4)),1)))</f>
        <v>0</v>
      </c>
      <c r="AB1610" s="62">
        <f t="shared" si="336"/>
        <v>0</v>
      </c>
      <c r="AC1610" s="62">
        <f t="shared" si="337"/>
        <v>0</v>
      </c>
    </row>
    <row r="1611" spans="1:29" ht="42.95" customHeight="1" x14ac:dyDescent="0.25">
      <c r="A1611" s="4" t="s">
        <v>21</v>
      </c>
      <c r="B1611" s="7" t="s">
        <v>795</v>
      </c>
      <c r="C1611" s="2" t="s">
        <v>410</v>
      </c>
      <c r="D1611" s="7" t="s">
        <v>270</v>
      </c>
      <c r="E1611" s="4" t="s">
        <v>829</v>
      </c>
      <c r="F1611" s="2">
        <v>4</v>
      </c>
      <c r="G1611" s="2" t="s">
        <v>1400</v>
      </c>
      <c r="H1611" s="2" t="s">
        <v>1399</v>
      </c>
      <c r="I1611" s="4" t="s">
        <v>60</v>
      </c>
      <c r="J1611" s="112">
        <f>IF($H1611&lt;&gt;"Y",0,ROUND(MIN(Dashboard!$R$24,IF(IFERROR(VLOOKUP($B1611,Dashboard!$Q$28:$S$60,2,FALSE),0)&gt;0,IFERROR(VLOOKUP($B1611,Dashboard!$Q$28:$S$60,2,FALSE),0),$Z1611*IF($U1611&lt;&gt;"",ROUND((Dashboard!$R$4/$U1611)*VLOOKUP($I1611,Dashboard!$Q$9:$R$13,2,FALSE)*IF(ISNUMBER(SEARCH("Duals",$B1611)),2,IF(ISNUMBER(SEARCH("Triples",$B1611)),3,IF(ISNUMBER(SEARCH("Quads",$B1611)),4,1))),2),ROUND(VLOOKUP($I1611,Dashboard!$Q$15:$R$20,2,FALSE)*IF($E1611="Red",Dashboard!$R$6,IF($E1611="Gold",Dashboard!$R$7,Dashboard!$R$5))*IF(ISNUMBER(SEARCH("Duals",$B1611)),2,IF(ISNUMBER(SEARCH("Triples",$B1611)),3,IF(ISNUMBER(SEARCH("Quads",$B1611)),4,1))),2))*IF(IFERROR(VLOOKUP($B1611,Dashboard!$Q$28:$S$60,3,FALSE),0)&gt;0,VLOOKUP($B1611,Dashboard!$Q$28:$S$60,3,FALSE),1))),0))</f>
        <v>0</v>
      </c>
      <c r="K1611" s="2" t="str">
        <f>IF(Characters!J11="","",Characters!J11)</f>
        <v/>
      </c>
      <c r="L1611" s="2">
        <f t="shared" si="325"/>
        <v>0</v>
      </c>
      <c r="M1611" s="2">
        <f t="shared" si="326"/>
        <v>0</v>
      </c>
      <c r="N1611" s="2">
        <f t="shared" si="327"/>
        <v>0</v>
      </c>
      <c r="O1611" s="2">
        <f t="shared" si="328"/>
        <v>0</v>
      </c>
      <c r="P1611" s="112">
        <f t="shared" si="329"/>
        <v>0</v>
      </c>
      <c r="Q1611" s="112">
        <f t="shared" si="330"/>
        <v>0</v>
      </c>
      <c r="R1611" s="53"/>
      <c r="S1611" s="53" t="str">
        <f t="shared" si="331"/>
        <v>Characters|Characters Printing Plates Parallel|C-10|Printing Plate</v>
      </c>
      <c r="T1611" s="57" t="str">
        <f>IF($S1611="","",IFERROR(VLOOKUP($S1611,'Pop Estimates (Non-#d)'!$N$2:$O$500,2,FALSE),""))</f>
        <v/>
      </c>
      <c r="U1611" s="57">
        <f t="shared" si="332"/>
        <v>4</v>
      </c>
      <c r="V1611" s="53" t="str">
        <f t="shared" si="333"/>
        <v>Kimiko</v>
      </c>
      <c r="W1611" s="53" t="str">
        <f t="shared" si="334"/>
        <v>Kimiko</v>
      </c>
      <c r="X1611" s="53" t="str">
        <f t="shared" si="335"/>
        <v>Kimiko</v>
      </c>
      <c r="Y1611" s="57">
        <f>IF($X1611="","",IFERROR(VLOOKUP($X1611,'Char Popularity'!$A$2:$C$500,2,FALSE),""))</f>
        <v>4</v>
      </c>
      <c r="Z1611" s="56">
        <f>IF($X1611="",1,IFERROR(VLOOKUP($X1611,'Char Popularity'!$A$2:$C$500,3,FALSE),1))</f>
        <v>1.1000000000000001</v>
      </c>
      <c r="AA1611" s="62">
        <f>IF($H1611&lt;&gt;"Y",0,(IF($F1611&lt;&gt;"",ROUND(Dashboard!$R$4/$F1611,1),IF(AND($I1611="Base",$E1611="Base"),Dashboard!$R$5,IF(AND($I1611="Base",$E1611="Red"),Dashboard!$R$6,IF(AND($I1611="Base",$E1611="Gold"),Dashboard!$R$7,VLOOKUP($I1611,Dashboard!$Q$16:$R$21,2,FALSE)))))*VLOOKUP($I1611,Dashboard!$Q$9:$R$13,2,FALSE)*IF(AND($I1611="Auto",$F1611="",OR($B1611="Autographs Duals",$B1611="Autographs Triples",$B1611="Autographs Quads",$B1611="Autographs Quads (Inscribed)")),IF($B1611="Autographs Duals",2,IF($B1611="Autographs Triples",3,4)),1)))</f>
        <v>0</v>
      </c>
      <c r="AB1611" s="62">
        <f t="shared" si="336"/>
        <v>0</v>
      </c>
      <c r="AC1611" s="62">
        <f t="shared" si="337"/>
        <v>0</v>
      </c>
    </row>
    <row r="1612" spans="1:29" ht="42.95" customHeight="1" x14ac:dyDescent="0.25">
      <c r="A1612" s="4" t="s">
        <v>21</v>
      </c>
      <c r="B1612" s="7" t="s">
        <v>795</v>
      </c>
      <c r="C1612" s="2" t="s">
        <v>411</v>
      </c>
      <c r="D1612" s="7" t="s">
        <v>238</v>
      </c>
      <c r="E1612" s="4" t="s">
        <v>829</v>
      </c>
      <c r="F1612" s="2">
        <v>4</v>
      </c>
      <c r="G1612" s="2" t="s">
        <v>1400</v>
      </c>
      <c r="H1612" s="2" t="s">
        <v>1399</v>
      </c>
      <c r="I1612" s="4" t="s">
        <v>60</v>
      </c>
      <c r="J1612" s="112">
        <f>IF($H1612&lt;&gt;"Y",0,ROUND(MIN(Dashboard!$R$24,IF(IFERROR(VLOOKUP($B1612,Dashboard!$Q$28:$S$60,2,FALSE),0)&gt;0,IFERROR(VLOOKUP($B1612,Dashboard!$Q$28:$S$60,2,FALSE),0),$Z1612*IF($U1612&lt;&gt;"",ROUND((Dashboard!$R$4/$U1612)*VLOOKUP($I1612,Dashboard!$Q$9:$R$13,2,FALSE)*IF(ISNUMBER(SEARCH("Duals",$B1612)),2,IF(ISNUMBER(SEARCH("Triples",$B1612)),3,IF(ISNUMBER(SEARCH("Quads",$B1612)),4,1))),2),ROUND(VLOOKUP($I1612,Dashboard!$Q$15:$R$20,2,FALSE)*IF($E1612="Red",Dashboard!$R$6,IF($E1612="Gold",Dashboard!$R$7,Dashboard!$R$5))*IF(ISNUMBER(SEARCH("Duals",$B1612)),2,IF(ISNUMBER(SEARCH("Triples",$B1612)),3,IF(ISNUMBER(SEARCH("Quads",$B1612)),4,1))),2))*IF(IFERROR(VLOOKUP($B1612,Dashboard!$Q$28:$S$60,3,FALSE),0)&gt;0,VLOOKUP($B1612,Dashboard!$Q$28:$S$60,3,FALSE),1))),0))</f>
        <v>0</v>
      </c>
      <c r="K1612" s="2" t="str">
        <f>IF(Characters!J12="","",Characters!J12)</f>
        <v/>
      </c>
      <c r="L1612" s="2">
        <f t="shared" si="325"/>
        <v>0</v>
      </c>
      <c r="M1612" s="2">
        <f t="shared" si="326"/>
        <v>0</v>
      </c>
      <c r="N1612" s="2">
        <f t="shared" si="327"/>
        <v>0</v>
      </c>
      <c r="O1612" s="2">
        <f t="shared" si="328"/>
        <v>0</v>
      </c>
      <c r="P1612" s="112">
        <f t="shared" si="329"/>
        <v>0</v>
      </c>
      <c r="Q1612" s="112">
        <f t="shared" si="330"/>
        <v>0</v>
      </c>
      <c r="R1612" s="53"/>
      <c r="S1612" s="53" t="str">
        <f t="shared" si="331"/>
        <v>Characters|Characters Printing Plates Parallel|C-11|Printing Plate</v>
      </c>
      <c r="T1612" s="57" t="str">
        <f>IF($S1612="","",IFERROR(VLOOKUP($S1612,'Pop Estimates (Non-#d)'!$N$2:$O$500,2,FALSE),""))</f>
        <v/>
      </c>
      <c r="U1612" s="57">
        <f t="shared" si="332"/>
        <v>4</v>
      </c>
      <c r="V1612" s="53" t="str">
        <f t="shared" si="333"/>
        <v>Frenchie</v>
      </c>
      <c r="W1612" s="53" t="str">
        <f t="shared" si="334"/>
        <v>Frenchie</v>
      </c>
      <c r="X1612" s="53" t="str">
        <f t="shared" si="335"/>
        <v>Frenchie</v>
      </c>
      <c r="Y1612" s="57">
        <f>IF($X1612="","",IFERROR(VLOOKUP($X1612,'Char Popularity'!$A$2:$C$500,2,FALSE),""))</f>
        <v>4</v>
      </c>
      <c r="Z1612" s="56">
        <f>IF($X1612="",1,IFERROR(VLOOKUP($X1612,'Char Popularity'!$A$2:$C$500,3,FALSE),1))</f>
        <v>1.1000000000000001</v>
      </c>
      <c r="AA1612" s="62">
        <f>IF($H1612&lt;&gt;"Y",0,(IF($F1612&lt;&gt;"",ROUND(Dashboard!$R$4/$F1612,1),IF(AND($I1612="Base",$E1612="Base"),Dashboard!$R$5,IF(AND($I1612="Base",$E1612="Red"),Dashboard!$R$6,IF(AND($I1612="Base",$E1612="Gold"),Dashboard!$R$7,VLOOKUP($I1612,Dashboard!$Q$16:$R$21,2,FALSE)))))*VLOOKUP($I1612,Dashboard!$Q$9:$R$13,2,FALSE)*IF(AND($I1612="Auto",$F1612="",OR($B1612="Autographs Duals",$B1612="Autographs Triples",$B1612="Autographs Quads",$B1612="Autographs Quads (Inscribed)")),IF($B1612="Autographs Duals",2,IF($B1612="Autographs Triples",3,4)),1)))</f>
        <v>0</v>
      </c>
      <c r="AB1612" s="62">
        <f t="shared" si="336"/>
        <v>0</v>
      </c>
      <c r="AC1612" s="62">
        <f t="shared" si="337"/>
        <v>0</v>
      </c>
    </row>
    <row r="1613" spans="1:29" ht="42.95" customHeight="1" x14ac:dyDescent="0.25">
      <c r="A1613" s="4" t="s">
        <v>21</v>
      </c>
      <c r="B1613" s="7" t="s">
        <v>795</v>
      </c>
      <c r="C1613" s="2" t="s">
        <v>412</v>
      </c>
      <c r="D1613" s="7" t="s">
        <v>283</v>
      </c>
      <c r="E1613" s="4" t="s">
        <v>829</v>
      </c>
      <c r="F1613" s="2">
        <v>4</v>
      </c>
      <c r="G1613" s="2" t="s">
        <v>1400</v>
      </c>
      <c r="H1613" s="2" t="s">
        <v>1399</v>
      </c>
      <c r="I1613" s="4" t="s">
        <v>60</v>
      </c>
      <c r="J1613" s="112">
        <f>IF($H1613&lt;&gt;"Y",0,ROUND(MIN(Dashboard!$R$24,IF(IFERROR(VLOOKUP($B1613,Dashboard!$Q$28:$S$60,2,FALSE),0)&gt;0,IFERROR(VLOOKUP($B1613,Dashboard!$Q$28:$S$60,2,FALSE),0),$Z1613*IF($U1613&lt;&gt;"",ROUND((Dashboard!$R$4/$U1613)*VLOOKUP($I1613,Dashboard!$Q$9:$R$13,2,FALSE)*IF(ISNUMBER(SEARCH("Duals",$B1613)),2,IF(ISNUMBER(SEARCH("Triples",$B1613)),3,IF(ISNUMBER(SEARCH("Quads",$B1613)),4,1))),2),ROUND(VLOOKUP($I1613,Dashboard!$Q$15:$R$20,2,FALSE)*IF($E1613="Red",Dashboard!$R$6,IF($E1613="Gold",Dashboard!$R$7,Dashboard!$R$5))*IF(ISNUMBER(SEARCH("Duals",$B1613)),2,IF(ISNUMBER(SEARCH("Triples",$B1613)),3,IF(ISNUMBER(SEARCH("Quads",$B1613)),4,1))),2))*IF(IFERROR(VLOOKUP($B1613,Dashboard!$Q$28:$S$60,3,FALSE),0)&gt;0,VLOOKUP($B1613,Dashboard!$Q$28:$S$60,3,FALSE),1))),0))</f>
        <v>0</v>
      </c>
      <c r="K1613" s="2" t="str">
        <f>IF(Characters!J13="","",Characters!J13)</f>
        <v/>
      </c>
      <c r="L1613" s="2">
        <f t="shared" si="325"/>
        <v>0</v>
      </c>
      <c r="M1613" s="2">
        <f t="shared" si="326"/>
        <v>0</v>
      </c>
      <c r="N1613" s="2">
        <f t="shared" si="327"/>
        <v>0</v>
      </c>
      <c r="O1613" s="2">
        <f t="shared" si="328"/>
        <v>0</v>
      </c>
      <c r="P1613" s="112">
        <f t="shared" si="329"/>
        <v>0</v>
      </c>
      <c r="Q1613" s="112">
        <f t="shared" si="330"/>
        <v>0</v>
      </c>
      <c r="R1613" s="53"/>
      <c r="S1613" s="53" t="str">
        <f t="shared" si="331"/>
        <v>Characters|Characters Printing Plates Parallel|C-12|Printing Plate</v>
      </c>
      <c r="T1613" s="57" t="str">
        <f>IF($S1613="","",IFERROR(VLOOKUP($S1613,'Pop Estimates (Non-#d)'!$N$2:$O$500,2,FALSE),""))</f>
        <v/>
      </c>
      <c r="U1613" s="57">
        <f t="shared" si="332"/>
        <v>4</v>
      </c>
      <c r="V1613" s="53" t="str">
        <f t="shared" si="333"/>
        <v>Black Noir</v>
      </c>
      <c r="W1613" s="53" t="str">
        <f t="shared" si="334"/>
        <v>Black Noir</v>
      </c>
      <c r="X1613" s="53" t="str">
        <f t="shared" si="335"/>
        <v>Black Noir</v>
      </c>
      <c r="Y1613" s="57">
        <f>IF($X1613="","",IFERROR(VLOOKUP($X1613,'Char Popularity'!$A$2:$C$500,2,FALSE),""))</f>
        <v>4</v>
      </c>
      <c r="Z1613" s="56">
        <f>IF($X1613="",1,IFERROR(VLOOKUP($X1613,'Char Popularity'!$A$2:$C$500,3,FALSE),1))</f>
        <v>1.1000000000000001</v>
      </c>
      <c r="AA1613" s="62">
        <f>IF($H1613&lt;&gt;"Y",0,(IF($F1613&lt;&gt;"",ROUND(Dashboard!$R$4/$F1613,1),IF(AND($I1613="Base",$E1613="Base"),Dashboard!$R$5,IF(AND($I1613="Base",$E1613="Red"),Dashboard!$R$6,IF(AND($I1613="Base",$E1613="Gold"),Dashboard!$R$7,VLOOKUP($I1613,Dashboard!$Q$16:$R$21,2,FALSE)))))*VLOOKUP($I1613,Dashboard!$Q$9:$R$13,2,FALSE)*IF(AND($I1613="Auto",$F1613="",OR($B1613="Autographs Duals",$B1613="Autographs Triples",$B1613="Autographs Quads",$B1613="Autographs Quads (Inscribed)")),IF($B1613="Autographs Duals",2,IF($B1613="Autographs Triples",3,4)),1)))</f>
        <v>0</v>
      </c>
      <c r="AB1613" s="62">
        <f t="shared" si="336"/>
        <v>0</v>
      </c>
      <c r="AC1613" s="62">
        <f t="shared" si="337"/>
        <v>0</v>
      </c>
    </row>
    <row r="1614" spans="1:29" ht="42.95" customHeight="1" x14ac:dyDescent="0.25">
      <c r="A1614" s="4" t="s">
        <v>21</v>
      </c>
      <c r="B1614" s="7" t="s">
        <v>795</v>
      </c>
      <c r="C1614" s="2" t="s">
        <v>413</v>
      </c>
      <c r="D1614" s="7" t="s">
        <v>216</v>
      </c>
      <c r="E1614" s="4" t="s">
        <v>829</v>
      </c>
      <c r="F1614" s="2">
        <v>4</v>
      </c>
      <c r="G1614" s="2" t="s">
        <v>1400</v>
      </c>
      <c r="H1614" s="2" t="s">
        <v>1399</v>
      </c>
      <c r="I1614" s="4" t="s">
        <v>60</v>
      </c>
      <c r="J1614" s="112">
        <f>IF($H1614&lt;&gt;"Y",0,ROUND(MIN(Dashboard!$R$24,IF(IFERROR(VLOOKUP($B1614,Dashboard!$Q$28:$S$60,2,FALSE),0)&gt;0,IFERROR(VLOOKUP($B1614,Dashboard!$Q$28:$S$60,2,FALSE),0),$Z1614*IF($U1614&lt;&gt;"",ROUND((Dashboard!$R$4/$U1614)*VLOOKUP($I1614,Dashboard!$Q$9:$R$13,2,FALSE)*IF(ISNUMBER(SEARCH("Duals",$B1614)),2,IF(ISNUMBER(SEARCH("Triples",$B1614)),3,IF(ISNUMBER(SEARCH("Quads",$B1614)),4,1))),2),ROUND(VLOOKUP($I1614,Dashboard!$Q$15:$R$20,2,FALSE)*IF($E1614="Red",Dashboard!$R$6,IF($E1614="Gold",Dashboard!$R$7,Dashboard!$R$5))*IF(ISNUMBER(SEARCH("Duals",$B1614)),2,IF(ISNUMBER(SEARCH("Triples",$B1614)),3,IF(ISNUMBER(SEARCH("Quads",$B1614)),4,1))),2))*IF(IFERROR(VLOOKUP($B1614,Dashboard!$Q$28:$S$60,3,FALSE),0)&gt;0,VLOOKUP($B1614,Dashboard!$Q$28:$S$60,3,FALSE),1))),0))</f>
        <v>0</v>
      </c>
      <c r="K1614" s="2" t="str">
        <f>IF(Characters!J14="","",Characters!J14)</f>
        <v>V Magenta</v>
      </c>
      <c r="L1614" s="2">
        <f t="shared" si="325"/>
        <v>1</v>
      </c>
      <c r="M1614" s="2">
        <f t="shared" si="326"/>
        <v>0</v>
      </c>
      <c r="N1614" s="2">
        <f t="shared" si="327"/>
        <v>1</v>
      </c>
      <c r="O1614" s="2">
        <f t="shared" si="328"/>
        <v>0</v>
      </c>
      <c r="P1614" s="112">
        <f t="shared" si="329"/>
        <v>0</v>
      </c>
      <c r="Q1614" s="112">
        <f t="shared" si="330"/>
        <v>0</v>
      </c>
      <c r="R1614" s="53"/>
      <c r="S1614" s="53" t="str">
        <f t="shared" si="331"/>
        <v>Characters|Characters Printing Plates Parallel|C-13|Printing Plate</v>
      </c>
      <c r="T1614" s="57" t="str">
        <f>IF($S1614="","",IFERROR(VLOOKUP($S1614,'Pop Estimates (Non-#d)'!$N$2:$O$500,2,FALSE),""))</f>
        <v/>
      </c>
      <c r="U1614" s="57">
        <f t="shared" si="332"/>
        <v>4</v>
      </c>
      <c r="V1614" s="53" t="str">
        <f t="shared" si="333"/>
        <v>Translucent</v>
      </c>
      <c r="W1614" s="53" t="str">
        <f t="shared" si="334"/>
        <v>Translucent</v>
      </c>
      <c r="X1614" s="53" t="str">
        <f t="shared" si="335"/>
        <v>Translucent</v>
      </c>
      <c r="Y1614" s="57">
        <f>IF($X1614="","",IFERROR(VLOOKUP($X1614,'Char Popularity'!$A$2:$C$500,2,FALSE),""))</f>
        <v>2</v>
      </c>
      <c r="Z1614" s="56">
        <f>IF($X1614="",1,IFERROR(VLOOKUP($X1614,'Char Popularity'!$A$2:$C$500,3,FALSE),1))</f>
        <v>0.9</v>
      </c>
      <c r="AA1614" s="62">
        <f>IF($H1614&lt;&gt;"Y",0,(IF($F1614&lt;&gt;"",ROUND(Dashboard!$R$4/$F1614,1),IF(AND($I1614="Base",$E1614="Base"),Dashboard!$R$5,IF(AND($I1614="Base",$E1614="Red"),Dashboard!$R$6,IF(AND($I1614="Base",$E1614="Gold"),Dashboard!$R$7,VLOOKUP($I1614,Dashboard!$Q$16:$R$21,2,FALSE)))))*VLOOKUP($I1614,Dashboard!$Q$9:$R$13,2,FALSE)*IF(AND($I1614="Auto",$F1614="",OR($B1614="Autographs Duals",$B1614="Autographs Triples",$B1614="Autographs Quads",$B1614="Autographs Quads (Inscribed)")),IF($B1614="Autographs Duals",2,IF($B1614="Autographs Triples",3,4)),1)))</f>
        <v>0</v>
      </c>
      <c r="AB1614" s="62">
        <f t="shared" si="336"/>
        <v>0</v>
      </c>
      <c r="AC1614" s="62">
        <f t="shared" si="337"/>
        <v>0</v>
      </c>
    </row>
    <row r="1615" spans="1:29" ht="42.95" customHeight="1" x14ac:dyDescent="0.25">
      <c r="A1615" s="4" t="s">
        <v>21</v>
      </c>
      <c r="B1615" s="7" t="s">
        <v>795</v>
      </c>
      <c r="C1615" s="2" t="s">
        <v>414</v>
      </c>
      <c r="D1615" s="7" t="s">
        <v>254</v>
      </c>
      <c r="E1615" s="4" t="s">
        <v>829</v>
      </c>
      <c r="F1615" s="2">
        <v>4</v>
      </c>
      <c r="G1615" s="2" t="s">
        <v>1400</v>
      </c>
      <c r="H1615" s="2" t="s">
        <v>1399</v>
      </c>
      <c r="I1615" s="4" t="s">
        <v>60</v>
      </c>
      <c r="J1615" s="112">
        <f>IF($H1615&lt;&gt;"Y",0,ROUND(MIN(Dashboard!$R$24,IF(IFERROR(VLOOKUP($B1615,Dashboard!$Q$28:$S$60,2,FALSE),0)&gt;0,IFERROR(VLOOKUP($B1615,Dashboard!$Q$28:$S$60,2,FALSE),0),$Z1615*IF($U1615&lt;&gt;"",ROUND((Dashboard!$R$4/$U1615)*VLOOKUP($I1615,Dashboard!$Q$9:$R$13,2,FALSE)*IF(ISNUMBER(SEARCH("Duals",$B1615)),2,IF(ISNUMBER(SEARCH("Triples",$B1615)),3,IF(ISNUMBER(SEARCH("Quads",$B1615)),4,1))),2),ROUND(VLOOKUP($I1615,Dashboard!$Q$15:$R$20,2,FALSE)*IF($E1615="Red",Dashboard!$R$6,IF($E1615="Gold",Dashboard!$R$7,Dashboard!$R$5))*IF(ISNUMBER(SEARCH("Duals",$B1615)),2,IF(ISNUMBER(SEARCH("Triples",$B1615)),3,IF(ISNUMBER(SEARCH("Quads",$B1615)),4,1))),2))*IF(IFERROR(VLOOKUP($B1615,Dashboard!$Q$28:$S$60,3,FALSE),0)&gt;0,VLOOKUP($B1615,Dashboard!$Q$28:$S$60,3,FALSE),1))),0))</f>
        <v>0</v>
      </c>
      <c r="K1615" s="2" t="str">
        <f>IF(Characters!J15="","",Characters!J15)</f>
        <v/>
      </c>
      <c r="L1615" s="2">
        <f t="shared" si="325"/>
        <v>0</v>
      </c>
      <c r="M1615" s="2">
        <f t="shared" si="326"/>
        <v>0</v>
      </c>
      <c r="N1615" s="2">
        <f t="shared" si="327"/>
        <v>0</v>
      </c>
      <c r="O1615" s="2">
        <f t="shared" si="328"/>
        <v>0</v>
      </c>
      <c r="P1615" s="112">
        <f t="shared" si="329"/>
        <v>0</v>
      </c>
      <c r="Q1615" s="112">
        <f t="shared" si="330"/>
        <v>0</v>
      </c>
      <c r="R1615" s="53"/>
      <c r="S1615" s="53" t="str">
        <f t="shared" si="331"/>
        <v>Characters|Characters Printing Plates Parallel|C-14|Printing Plate</v>
      </c>
      <c r="T1615" s="57" t="str">
        <f>IF($S1615="","",IFERROR(VLOOKUP($S1615,'Pop Estimates (Non-#d)'!$N$2:$O$500,2,FALSE),""))</f>
        <v/>
      </c>
      <c r="U1615" s="57">
        <f t="shared" si="332"/>
        <v>4</v>
      </c>
      <c r="V1615" s="53" t="str">
        <f t="shared" si="333"/>
        <v>Stan Edgar</v>
      </c>
      <c r="W1615" s="53" t="str">
        <f t="shared" si="334"/>
        <v>Stan Edgar</v>
      </c>
      <c r="X1615" s="53" t="str">
        <f t="shared" si="335"/>
        <v>Stan Edgar</v>
      </c>
      <c r="Y1615" s="57">
        <f>IF($X1615="","",IFERROR(VLOOKUP($X1615,'Char Popularity'!$A$2:$C$500,2,FALSE),""))</f>
        <v>4</v>
      </c>
      <c r="Z1615" s="56">
        <f>IF($X1615="",1,IFERROR(VLOOKUP($X1615,'Char Popularity'!$A$2:$C$500,3,FALSE),1))</f>
        <v>1.1000000000000001</v>
      </c>
      <c r="AA1615" s="62">
        <f>IF($H1615&lt;&gt;"Y",0,(IF($F1615&lt;&gt;"",ROUND(Dashboard!$R$4/$F1615,1),IF(AND($I1615="Base",$E1615="Base"),Dashboard!$R$5,IF(AND($I1615="Base",$E1615="Red"),Dashboard!$R$6,IF(AND($I1615="Base",$E1615="Gold"),Dashboard!$R$7,VLOOKUP($I1615,Dashboard!$Q$16:$R$21,2,FALSE)))))*VLOOKUP($I1615,Dashboard!$Q$9:$R$13,2,FALSE)*IF(AND($I1615="Auto",$F1615="",OR($B1615="Autographs Duals",$B1615="Autographs Triples",$B1615="Autographs Quads",$B1615="Autographs Quads (Inscribed)")),IF($B1615="Autographs Duals",2,IF($B1615="Autographs Triples",3,4)),1)))</f>
        <v>0</v>
      </c>
      <c r="AB1615" s="62">
        <f t="shared" si="336"/>
        <v>0</v>
      </c>
      <c r="AC1615" s="62">
        <f t="shared" si="337"/>
        <v>0</v>
      </c>
    </row>
    <row r="1616" spans="1:29" ht="42.95" customHeight="1" x14ac:dyDescent="0.25">
      <c r="A1616" s="4" t="s">
        <v>21</v>
      </c>
      <c r="B1616" s="7" t="s">
        <v>795</v>
      </c>
      <c r="C1616" s="2" t="s">
        <v>415</v>
      </c>
      <c r="D1616" s="7" t="s">
        <v>224</v>
      </c>
      <c r="E1616" s="4" t="s">
        <v>829</v>
      </c>
      <c r="F1616" s="2">
        <v>4</v>
      </c>
      <c r="G1616" s="2" t="s">
        <v>1400</v>
      </c>
      <c r="H1616" s="2" t="s">
        <v>1399</v>
      </c>
      <c r="I1616" s="4" t="s">
        <v>60</v>
      </c>
      <c r="J1616" s="112">
        <f>IF($H1616&lt;&gt;"Y",0,ROUND(MIN(Dashboard!$R$24,IF(IFERROR(VLOOKUP($B1616,Dashboard!$Q$28:$S$60,2,FALSE),0)&gt;0,IFERROR(VLOOKUP($B1616,Dashboard!$Q$28:$S$60,2,FALSE),0),$Z1616*IF($U1616&lt;&gt;"",ROUND((Dashboard!$R$4/$U1616)*VLOOKUP($I1616,Dashboard!$Q$9:$R$13,2,FALSE)*IF(ISNUMBER(SEARCH("Duals",$B1616)),2,IF(ISNUMBER(SEARCH("Triples",$B1616)),3,IF(ISNUMBER(SEARCH("Quads",$B1616)),4,1))),2),ROUND(VLOOKUP($I1616,Dashboard!$Q$15:$R$20,2,FALSE)*IF($E1616="Red",Dashboard!$R$6,IF($E1616="Gold",Dashboard!$R$7,Dashboard!$R$5))*IF(ISNUMBER(SEARCH("Duals",$B1616)),2,IF(ISNUMBER(SEARCH("Triples",$B1616)),3,IF(ISNUMBER(SEARCH("Quads",$B1616)),4,1))),2))*IF(IFERROR(VLOOKUP($B1616,Dashboard!$Q$28:$S$60,3,FALSE),0)&gt;0,VLOOKUP($B1616,Dashboard!$Q$28:$S$60,3,FALSE),1))),0))</f>
        <v>0</v>
      </c>
      <c r="K1616" s="2" t="str">
        <f>IF(Characters!J16="","",Characters!J16)</f>
        <v/>
      </c>
      <c r="L1616" s="2">
        <f t="shared" si="325"/>
        <v>0</v>
      </c>
      <c r="M1616" s="2">
        <f t="shared" si="326"/>
        <v>0</v>
      </c>
      <c r="N1616" s="2">
        <f t="shared" si="327"/>
        <v>0</v>
      </c>
      <c r="O1616" s="2">
        <f t="shared" si="328"/>
        <v>0</v>
      </c>
      <c r="P1616" s="112">
        <f t="shared" si="329"/>
        <v>0</v>
      </c>
      <c r="Q1616" s="112">
        <f t="shared" si="330"/>
        <v>0</v>
      </c>
      <c r="R1616" s="53"/>
      <c r="S1616" s="53" t="str">
        <f t="shared" si="331"/>
        <v>Characters|Characters Printing Plates Parallel|C-15|Printing Plate</v>
      </c>
      <c r="T1616" s="57" t="str">
        <f>IF($S1616="","",IFERROR(VLOOKUP($S1616,'Pop Estimates (Non-#d)'!$N$2:$O$500,2,FALSE),""))</f>
        <v/>
      </c>
      <c r="U1616" s="57">
        <f t="shared" si="332"/>
        <v>4</v>
      </c>
      <c r="V1616" s="53" t="str">
        <f t="shared" si="333"/>
        <v>Popclaw</v>
      </c>
      <c r="W1616" s="53" t="str">
        <f t="shared" si="334"/>
        <v>Popclaw</v>
      </c>
      <c r="X1616" s="53" t="str">
        <f t="shared" si="335"/>
        <v>Popclaw</v>
      </c>
      <c r="Y1616" s="57">
        <f>IF($X1616="","",IFERROR(VLOOKUP($X1616,'Char Popularity'!$A$2:$C$500,2,FALSE),""))</f>
        <v>2</v>
      </c>
      <c r="Z1616" s="56">
        <f>IF($X1616="",1,IFERROR(VLOOKUP($X1616,'Char Popularity'!$A$2:$C$500,3,FALSE),1))</f>
        <v>0.9</v>
      </c>
      <c r="AA1616" s="62">
        <f>IF($H1616&lt;&gt;"Y",0,(IF($F1616&lt;&gt;"",ROUND(Dashboard!$R$4/$F1616,1),IF(AND($I1616="Base",$E1616="Base"),Dashboard!$R$5,IF(AND($I1616="Base",$E1616="Red"),Dashboard!$R$6,IF(AND($I1616="Base",$E1616="Gold"),Dashboard!$R$7,VLOOKUP($I1616,Dashboard!$Q$16:$R$21,2,FALSE)))))*VLOOKUP($I1616,Dashboard!$Q$9:$R$13,2,FALSE)*IF(AND($I1616="Auto",$F1616="",OR($B1616="Autographs Duals",$B1616="Autographs Triples",$B1616="Autographs Quads",$B1616="Autographs Quads (Inscribed)")),IF($B1616="Autographs Duals",2,IF($B1616="Autographs Triples",3,4)),1)))</f>
        <v>0</v>
      </c>
      <c r="AB1616" s="62">
        <f t="shared" si="336"/>
        <v>0</v>
      </c>
      <c r="AC1616" s="62">
        <f t="shared" si="337"/>
        <v>0</v>
      </c>
    </row>
    <row r="1617" spans="1:29" ht="42.95" customHeight="1" x14ac:dyDescent="0.25">
      <c r="A1617" s="4" t="s">
        <v>21</v>
      </c>
      <c r="B1617" s="7" t="s">
        <v>795</v>
      </c>
      <c r="C1617" s="2" t="s">
        <v>1217</v>
      </c>
      <c r="D1617" s="7" t="s">
        <v>1218</v>
      </c>
      <c r="E1617" s="4" t="s">
        <v>829</v>
      </c>
      <c r="F1617" s="2">
        <v>4</v>
      </c>
      <c r="G1617" s="2" t="s">
        <v>1400</v>
      </c>
      <c r="H1617" s="2" t="s">
        <v>1399</v>
      </c>
      <c r="I1617" s="4" t="s">
        <v>60</v>
      </c>
      <c r="J1617" s="112">
        <f>IF($H1617&lt;&gt;"Y",0,ROUND(MIN(Dashboard!$R$24,IF(IFERROR(VLOOKUP($B1617,Dashboard!$Q$28:$S$60,2,FALSE),0)&gt;0,IFERROR(VLOOKUP($B1617,Dashboard!$Q$28:$S$60,2,FALSE),0),$Z1617*IF($U1617&lt;&gt;"",ROUND((Dashboard!$R$4/$U1617)*VLOOKUP($I1617,Dashboard!$Q$9:$R$13,2,FALSE)*IF(ISNUMBER(SEARCH("Duals",$B1617)),2,IF(ISNUMBER(SEARCH("Triples",$B1617)),3,IF(ISNUMBER(SEARCH("Quads",$B1617)),4,1))),2),ROUND(VLOOKUP($I1617,Dashboard!$Q$15:$R$20,2,FALSE)*IF($E1617="Red",Dashboard!$R$6,IF($E1617="Gold",Dashboard!$R$7,Dashboard!$R$5))*IF(ISNUMBER(SEARCH("Duals",$B1617)),2,IF(ISNUMBER(SEARCH("Triples",$B1617)),3,IF(ISNUMBER(SEARCH("Quads",$B1617)),4,1))),2))*IF(IFERROR(VLOOKUP($B1617,Dashboard!$Q$28:$S$60,3,FALSE),0)&gt;0,VLOOKUP($B1617,Dashboard!$Q$28:$S$60,3,FALSE),1))),0))</f>
        <v>0</v>
      </c>
      <c r="K1617" s="2" t="str">
        <f>IF(Characters!J17="","",Characters!J17)</f>
        <v/>
      </c>
      <c r="L1617" s="2">
        <f t="shared" si="325"/>
        <v>0</v>
      </c>
      <c r="M1617" s="2">
        <f t="shared" si="326"/>
        <v>0</v>
      </c>
      <c r="N1617" s="2">
        <f t="shared" si="327"/>
        <v>0</v>
      </c>
      <c r="O1617" s="2">
        <f t="shared" si="328"/>
        <v>0</v>
      </c>
      <c r="P1617" s="112">
        <f t="shared" si="329"/>
        <v>0</v>
      </c>
      <c r="Q1617" s="112">
        <f t="shared" si="330"/>
        <v>0</v>
      </c>
      <c r="R1617" s="53"/>
      <c r="S1617" s="53" t="str">
        <f t="shared" si="331"/>
        <v>Characters|Characters Printing Plates Parallel|C-16|Printing Plate</v>
      </c>
      <c r="T1617" s="57" t="str">
        <f>IF($S1617="","",IFERROR(VLOOKUP($S1617,'Pop Estimates (Non-#d)'!$N$2:$O$500,2,FALSE),""))</f>
        <v/>
      </c>
      <c r="U1617" s="57">
        <f t="shared" si="332"/>
        <v>4</v>
      </c>
      <c r="V1617" s="53" t="str">
        <f t="shared" si="333"/>
        <v>Eziekiel</v>
      </c>
      <c r="W1617" s="53" t="str">
        <f t="shared" si="334"/>
        <v>Eziekiel</v>
      </c>
      <c r="X1617" s="53" t="str">
        <f t="shared" si="335"/>
        <v>Eziekiel</v>
      </c>
      <c r="Y1617" s="57">
        <f>IF($X1617="","",IFERROR(VLOOKUP($X1617,'Char Popularity'!$A$2:$C$500,2,FALSE),""))</f>
        <v>2</v>
      </c>
      <c r="Z1617" s="56">
        <f>IF($X1617="",1,IFERROR(VLOOKUP($X1617,'Char Popularity'!$A$2:$C$500,3,FALSE),1))</f>
        <v>0.9</v>
      </c>
      <c r="AA1617" s="62">
        <f>IF($H1617&lt;&gt;"Y",0,(IF($F1617&lt;&gt;"",ROUND(Dashboard!$R$4/$F1617,1),IF(AND($I1617="Base",$E1617="Base"),Dashboard!$R$5,IF(AND($I1617="Base",$E1617="Red"),Dashboard!$R$6,IF(AND($I1617="Base",$E1617="Gold"),Dashboard!$R$7,VLOOKUP($I1617,Dashboard!$Q$16:$R$21,2,FALSE)))))*VLOOKUP($I1617,Dashboard!$Q$9:$R$13,2,FALSE)*IF(AND($I1617="Auto",$F1617="",OR($B1617="Autographs Duals",$B1617="Autographs Triples",$B1617="Autographs Quads",$B1617="Autographs Quads (Inscribed)")),IF($B1617="Autographs Duals",2,IF($B1617="Autographs Triples",3,4)),1)))</f>
        <v>0</v>
      </c>
      <c r="AB1617" s="62">
        <f t="shared" si="336"/>
        <v>0</v>
      </c>
      <c r="AC1617" s="62">
        <f t="shared" si="337"/>
        <v>0</v>
      </c>
    </row>
    <row r="1618" spans="1:29" ht="42.95" customHeight="1" x14ac:dyDescent="0.25">
      <c r="A1618" s="4" t="s">
        <v>21</v>
      </c>
      <c r="B1618" s="7" t="s">
        <v>795</v>
      </c>
      <c r="C1618" s="2" t="s">
        <v>416</v>
      </c>
      <c r="D1618" s="7" t="s">
        <v>234</v>
      </c>
      <c r="E1618" s="4" t="s">
        <v>829</v>
      </c>
      <c r="F1618" s="2">
        <v>4</v>
      </c>
      <c r="G1618" s="2" t="s">
        <v>1400</v>
      </c>
      <c r="H1618" s="2" t="s">
        <v>1399</v>
      </c>
      <c r="I1618" s="4" t="s">
        <v>60</v>
      </c>
      <c r="J1618" s="112">
        <f>IF($H1618&lt;&gt;"Y",0,ROUND(MIN(Dashboard!$R$24,IF(IFERROR(VLOOKUP($B1618,Dashboard!$Q$28:$S$60,2,FALSE),0)&gt;0,IFERROR(VLOOKUP($B1618,Dashboard!$Q$28:$S$60,2,FALSE),0),$Z1618*IF($U1618&lt;&gt;"",ROUND((Dashboard!$R$4/$U1618)*VLOOKUP($I1618,Dashboard!$Q$9:$R$13,2,FALSE)*IF(ISNUMBER(SEARCH("Duals",$B1618)),2,IF(ISNUMBER(SEARCH("Triples",$B1618)),3,IF(ISNUMBER(SEARCH("Quads",$B1618)),4,1))),2),ROUND(VLOOKUP($I1618,Dashboard!$Q$15:$R$20,2,FALSE)*IF($E1618="Red",Dashboard!$R$6,IF($E1618="Gold",Dashboard!$R$7,Dashboard!$R$5))*IF(ISNUMBER(SEARCH("Duals",$B1618)),2,IF(ISNUMBER(SEARCH("Triples",$B1618)),3,IF(ISNUMBER(SEARCH("Quads",$B1618)),4,1))),2))*IF(IFERROR(VLOOKUP($B1618,Dashboard!$Q$28:$S$60,3,FALSE),0)&gt;0,VLOOKUP($B1618,Dashboard!$Q$28:$S$60,3,FALSE),1))),0))</f>
        <v>0</v>
      </c>
      <c r="K1618" s="2" t="str">
        <f>IF(Characters!J18="","",Characters!J18)</f>
        <v/>
      </c>
      <c r="L1618" s="2">
        <f t="shared" si="325"/>
        <v>0</v>
      </c>
      <c r="M1618" s="2">
        <f t="shared" si="326"/>
        <v>0</v>
      </c>
      <c r="N1618" s="2">
        <f t="shared" si="327"/>
        <v>0</v>
      </c>
      <c r="O1618" s="2">
        <f t="shared" si="328"/>
        <v>0</v>
      </c>
      <c r="P1618" s="112">
        <f t="shared" si="329"/>
        <v>0</v>
      </c>
      <c r="Q1618" s="112">
        <f t="shared" si="330"/>
        <v>0</v>
      </c>
      <c r="R1618" s="53"/>
      <c r="S1618" s="53" t="str">
        <f t="shared" si="331"/>
        <v>Characters|Characters Printing Plates Parallel|C-17|Printing Plate</v>
      </c>
      <c r="T1618" s="57" t="str">
        <f>IF($S1618="","",IFERROR(VLOOKUP($S1618,'Pop Estimates (Non-#d)'!$N$2:$O$500,2,FALSE),""))</f>
        <v/>
      </c>
      <c r="U1618" s="57">
        <f t="shared" si="332"/>
        <v>4</v>
      </c>
      <c r="V1618" s="53" t="str">
        <f t="shared" si="333"/>
        <v>Ashley Barrett</v>
      </c>
      <c r="W1618" s="53" t="str">
        <f t="shared" si="334"/>
        <v>Ashley Barrett</v>
      </c>
      <c r="X1618" s="53" t="str">
        <f t="shared" si="335"/>
        <v>Ashley Barrett</v>
      </c>
      <c r="Y1618" s="57">
        <f>IF($X1618="","",IFERROR(VLOOKUP($X1618,'Char Popularity'!$A$2:$C$500,2,FALSE),""))</f>
        <v>3</v>
      </c>
      <c r="Z1618" s="56">
        <f>IF($X1618="",1,IFERROR(VLOOKUP($X1618,'Char Popularity'!$A$2:$C$500,3,FALSE),1))</f>
        <v>1</v>
      </c>
      <c r="AA1618" s="62">
        <f>IF($H1618&lt;&gt;"Y",0,(IF($F1618&lt;&gt;"",ROUND(Dashboard!$R$4/$F1618,1),IF(AND($I1618="Base",$E1618="Base"),Dashboard!$R$5,IF(AND($I1618="Base",$E1618="Red"),Dashboard!$R$6,IF(AND($I1618="Base",$E1618="Gold"),Dashboard!$R$7,VLOOKUP($I1618,Dashboard!$Q$16:$R$21,2,FALSE)))))*VLOOKUP($I1618,Dashboard!$Q$9:$R$13,2,FALSE)*IF(AND($I1618="Auto",$F1618="",OR($B1618="Autographs Duals",$B1618="Autographs Triples",$B1618="Autographs Quads",$B1618="Autographs Quads (Inscribed)")),IF($B1618="Autographs Duals",2,IF($B1618="Autographs Triples",3,4)),1)))</f>
        <v>0</v>
      </c>
      <c r="AB1618" s="62">
        <f t="shared" si="336"/>
        <v>0</v>
      </c>
      <c r="AC1618" s="62">
        <f t="shared" si="337"/>
        <v>0</v>
      </c>
    </row>
    <row r="1619" spans="1:29" ht="42.95" customHeight="1" x14ac:dyDescent="0.25">
      <c r="A1619" s="4" t="s">
        <v>21</v>
      </c>
      <c r="B1619" s="7" t="s">
        <v>795</v>
      </c>
      <c r="C1619" s="2" t="s">
        <v>417</v>
      </c>
      <c r="D1619" s="7" t="s">
        <v>308</v>
      </c>
      <c r="E1619" s="4" t="s">
        <v>829</v>
      </c>
      <c r="F1619" s="2">
        <v>4</v>
      </c>
      <c r="G1619" s="2" t="s">
        <v>1400</v>
      </c>
      <c r="H1619" s="2" t="s">
        <v>1399</v>
      </c>
      <c r="I1619" s="4" t="s">
        <v>60</v>
      </c>
      <c r="J1619" s="112">
        <f>IF($H1619&lt;&gt;"Y",0,ROUND(MIN(Dashboard!$R$24,IF(IFERROR(VLOOKUP($B1619,Dashboard!$Q$28:$S$60,2,FALSE),0)&gt;0,IFERROR(VLOOKUP($B1619,Dashboard!$Q$28:$S$60,2,FALSE),0),$Z1619*IF($U1619&lt;&gt;"",ROUND((Dashboard!$R$4/$U1619)*VLOOKUP($I1619,Dashboard!$Q$9:$R$13,2,FALSE)*IF(ISNUMBER(SEARCH("Duals",$B1619)),2,IF(ISNUMBER(SEARCH("Triples",$B1619)),3,IF(ISNUMBER(SEARCH("Quads",$B1619)),4,1))),2),ROUND(VLOOKUP($I1619,Dashboard!$Q$15:$R$20,2,FALSE)*IF($E1619="Red",Dashboard!$R$6,IF($E1619="Gold",Dashboard!$R$7,Dashboard!$R$5))*IF(ISNUMBER(SEARCH("Duals",$B1619)),2,IF(ISNUMBER(SEARCH("Triples",$B1619)),3,IF(ISNUMBER(SEARCH("Quads",$B1619)),4,1))),2))*IF(IFERROR(VLOOKUP($B1619,Dashboard!$Q$28:$S$60,3,FALSE),0)&gt;0,VLOOKUP($B1619,Dashboard!$Q$28:$S$60,3,FALSE),1))),0))</f>
        <v>0</v>
      </c>
      <c r="K1619" s="2" t="str">
        <f>IF(Characters!J19="","",Characters!J19)</f>
        <v/>
      </c>
      <c r="L1619" s="2">
        <f t="shared" si="325"/>
        <v>0</v>
      </c>
      <c r="M1619" s="2">
        <f t="shared" si="326"/>
        <v>0</v>
      </c>
      <c r="N1619" s="2">
        <f t="shared" si="327"/>
        <v>0</v>
      </c>
      <c r="O1619" s="2">
        <f t="shared" si="328"/>
        <v>0</v>
      </c>
      <c r="P1619" s="112">
        <f t="shared" si="329"/>
        <v>0</v>
      </c>
      <c r="Q1619" s="112">
        <f t="shared" si="330"/>
        <v>0</v>
      </c>
      <c r="R1619" s="53"/>
      <c r="S1619" s="53" t="str">
        <f t="shared" si="331"/>
        <v>Characters|Characters Printing Plates Parallel|C-18|Printing Plate</v>
      </c>
      <c r="T1619" s="57" t="str">
        <f>IF($S1619="","",IFERROR(VLOOKUP($S1619,'Pop Estimates (Non-#d)'!$N$2:$O$500,2,FALSE),""))</f>
        <v/>
      </c>
      <c r="U1619" s="57">
        <f t="shared" si="332"/>
        <v>4</v>
      </c>
      <c r="V1619" s="53" t="str">
        <f t="shared" si="333"/>
        <v>Becca Butcher</v>
      </c>
      <c r="W1619" s="53" t="str">
        <f t="shared" si="334"/>
        <v>Becca Butcher</v>
      </c>
      <c r="X1619" s="53" t="str">
        <f t="shared" si="335"/>
        <v>Becca Butcher</v>
      </c>
      <c r="Y1619" s="57">
        <f>IF($X1619="","",IFERROR(VLOOKUP($X1619,'Char Popularity'!$A$2:$C$500,2,FALSE),""))</f>
        <v>3</v>
      </c>
      <c r="Z1619" s="56">
        <f>IF($X1619="",1,IFERROR(VLOOKUP($X1619,'Char Popularity'!$A$2:$C$500,3,FALSE),1))</f>
        <v>1</v>
      </c>
      <c r="AA1619" s="62">
        <f>IF($H1619&lt;&gt;"Y",0,(IF($F1619&lt;&gt;"",ROUND(Dashboard!$R$4/$F1619,1),IF(AND($I1619="Base",$E1619="Base"),Dashboard!$R$5,IF(AND($I1619="Base",$E1619="Red"),Dashboard!$R$6,IF(AND($I1619="Base",$E1619="Gold"),Dashboard!$R$7,VLOOKUP($I1619,Dashboard!$Q$16:$R$21,2,FALSE)))))*VLOOKUP($I1619,Dashboard!$Q$9:$R$13,2,FALSE)*IF(AND($I1619="Auto",$F1619="",OR($B1619="Autographs Duals",$B1619="Autographs Triples",$B1619="Autographs Quads",$B1619="Autographs Quads (Inscribed)")),IF($B1619="Autographs Duals",2,IF($B1619="Autographs Triples",3,4)),1)))</f>
        <v>0</v>
      </c>
      <c r="AB1619" s="62">
        <f t="shared" si="336"/>
        <v>0</v>
      </c>
      <c r="AC1619" s="62">
        <f t="shared" si="337"/>
        <v>0</v>
      </c>
    </row>
    <row r="1620" spans="1:29" ht="42.95" customHeight="1" x14ac:dyDescent="0.25">
      <c r="A1620" s="4" t="s">
        <v>21</v>
      </c>
      <c r="B1620" s="7" t="s">
        <v>795</v>
      </c>
      <c r="C1620" s="2" t="s">
        <v>418</v>
      </c>
      <c r="D1620" s="7" t="s">
        <v>301</v>
      </c>
      <c r="E1620" s="4" t="s">
        <v>829</v>
      </c>
      <c r="F1620" s="2">
        <v>4</v>
      </c>
      <c r="G1620" s="2" t="s">
        <v>1400</v>
      </c>
      <c r="H1620" s="2" t="s">
        <v>1399</v>
      </c>
      <c r="I1620" s="4" t="s">
        <v>60</v>
      </c>
      <c r="J1620" s="112">
        <f>IF($H1620&lt;&gt;"Y",0,ROUND(MIN(Dashboard!$R$24,IF(IFERROR(VLOOKUP($B1620,Dashboard!$Q$28:$S$60,2,FALSE),0)&gt;0,IFERROR(VLOOKUP($B1620,Dashboard!$Q$28:$S$60,2,FALSE),0),$Z1620*IF($U1620&lt;&gt;"",ROUND((Dashboard!$R$4/$U1620)*VLOOKUP($I1620,Dashboard!$Q$9:$R$13,2,FALSE)*IF(ISNUMBER(SEARCH("Duals",$B1620)),2,IF(ISNUMBER(SEARCH("Triples",$B1620)),3,IF(ISNUMBER(SEARCH("Quads",$B1620)),4,1))),2),ROUND(VLOOKUP($I1620,Dashboard!$Q$15:$R$20,2,FALSE)*IF($E1620="Red",Dashboard!$R$6,IF($E1620="Gold",Dashboard!$R$7,Dashboard!$R$5))*IF(ISNUMBER(SEARCH("Duals",$B1620)),2,IF(ISNUMBER(SEARCH("Triples",$B1620)),3,IF(ISNUMBER(SEARCH("Quads",$B1620)),4,1))),2))*IF(IFERROR(VLOOKUP($B1620,Dashboard!$Q$28:$S$60,3,FALSE),0)&gt;0,VLOOKUP($B1620,Dashboard!$Q$28:$S$60,3,FALSE),1))),0))</f>
        <v>0</v>
      </c>
      <c r="K1620" s="2" t="str">
        <f>IF(Characters!J20="","",Characters!J20)</f>
        <v>V Cyan</v>
      </c>
      <c r="L1620" s="2">
        <f t="shared" si="325"/>
        <v>1</v>
      </c>
      <c r="M1620" s="2">
        <f t="shared" si="326"/>
        <v>0</v>
      </c>
      <c r="N1620" s="2">
        <f t="shared" si="327"/>
        <v>1</v>
      </c>
      <c r="O1620" s="2">
        <f t="shared" si="328"/>
        <v>0</v>
      </c>
      <c r="P1620" s="112">
        <f t="shared" si="329"/>
        <v>0</v>
      </c>
      <c r="Q1620" s="112">
        <f t="shared" si="330"/>
        <v>0</v>
      </c>
      <c r="R1620" s="53"/>
      <c r="S1620" s="53" t="str">
        <f t="shared" si="331"/>
        <v>Characters|Characters Printing Plates Parallel|C-19|Printing Plate</v>
      </c>
      <c r="T1620" s="57" t="str">
        <f>IF($S1620="","",IFERROR(VLOOKUP($S1620,'Pop Estimates (Non-#d)'!$N$2:$O$500,2,FALSE),""))</f>
        <v/>
      </c>
      <c r="U1620" s="57">
        <f t="shared" si="332"/>
        <v>4</v>
      </c>
      <c r="V1620" s="53" t="str">
        <f t="shared" si="333"/>
        <v>Lamplighter</v>
      </c>
      <c r="W1620" s="53" t="str">
        <f t="shared" si="334"/>
        <v>Lamplighter</v>
      </c>
      <c r="X1620" s="53" t="str">
        <f t="shared" si="335"/>
        <v>Lamplighter</v>
      </c>
      <c r="Y1620" s="57">
        <f>IF($X1620="","",IFERROR(VLOOKUP($X1620,'Char Popularity'!$A$2:$C$500,2,FALSE),""))</f>
        <v>2</v>
      </c>
      <c r="Z1620" s="56">
        <f>IF($X1620="",1,IFERROR(VLOOKUP($X1620,'Char Popularity'!$A$2:$C$500,3,FALSE),1))</f>
        <v>0.9</v>
      </c>
      <c r="AA1620" s="62">
        <f>IF($H1620&lt;&gt;"Y",0,(IF($F1620&lt;&gt;"",ROUND(Dashboard!$R$4/$F1620,1),IF(AND($I1620="Base",$E1620="Base"),Dashboard!$R$5,IF(AND($I1620="Base",$E1620="Red"),Dashboard!$R$6,IF(AND($I1620="Base",$E1620="Gold"),Dashboard!$R$7,VLOOKUP($I1620,Dashboard!$Q$16:$R$21,2,FALSE)))))*VLOOKUP($I1620,Dashboard!$Q$9:$R$13,2,FALSE)*IF(AND($I1620="Auto",$F1620="",OR($B1620="Autographs Duals",$B1620="Autographs Triples",$B1620="Autographs Quads",$B1620="Autographs Quads (Inscribed)")),IF($B1620="Autographs Duals",2,IF($B1620="Autographs Triples",3,4)),1)))</f>
        <v>0</v>
      </c>
      <c r="AB1620" s="62">
        <f t="shared" si="336"/>
        <v>0</v>
      </c>
      <c r="AC1620" s="62">
        <f t="shared" si="337"/>
        <v>0</v>
      </c>
    </row>
    <row r="1621" spans="1:29" ht="42.95" customHeight="1" x14ac:dyDescent="0.25">
      <c r="A1621" s="4" t="s">
        <v>21</v>
      </c>
      <c r="B1621" s="7" t="s">
        <v>795</v>
      </c>
      <c r="C1621" s="2" t="s">
        <v>420</v>
      </c>
      <c r="D1621" s="7" t="s">
        <v>260</v>
      </c>
      <c r="E1621" s="4" t="s">
        <v>829</v>
      </c>
      <c r="F1621" s="2">
        <v>4</v>
      </c>
      <c r="G1621" s="2" t="s">
        <v>1400</v>
      </c>
      <c r="H1621" s="2" t="s">
        <v>1399</v>
      </c>
      <c r="I1621" s="4" t="s">
        <v>60</v>
      </c>
      <c r="J1621" s="112">
        <f>IF($H1621&lt;&gt;"Y",0,ROUND(MIN(Dashboard!$R$24,IF(IFERROR(VLOOKUP($B1621,Dashboard!$Q$28:$S$60,2,FALSE),0)&gt;0,IFERROR(VLOOKUP($B1621,Dashboard!$Q$28:$S$60,2,FALSE),0),$Z1621*IF($U1621&lt;&gt;"",ROUND((Dashboard!$R$4/$U1621)*VLOOKUP($I1621,Dashboard!$Q$9:$R$13,2,FALSE)*IF(ISNUMBER(SEARCH("Duals",$B1621)),2,IF(ISNUMBER(SEARCH("Triples",$B1621)),3,IF(ISNUMBER(SEARCH("Quads",$B1621)),4,1))),2),ROUND(VLOOKUP($I1621,Dashboard!$Q$15:$R$20,2,FALSE)*IF($E1621="Red",Dashboard!$R$6,IF($E1621="Gold",Dashboard!$R$7,Dashboard!$R$5))*IF(ISNUMBER(SEARCH("Duals",$B1621)),2,IF(ISNUMBER(SEARCH("Triples",$B1621)),3,IF(ISNUMBER(SEARCH("Quads",$B1621)),4,1))),2))*IF(IFERROR(VLOOKUP($B1621,Dashboard!$Q$28:$S$60,3,FALSE),0)&gt;0,VLOOKUP($B1621,Dashboard!$Q$28:$S$60,3,FALSE),1))),0))</f>
        <v>0</v>
      </c>
      <c r="K1621" s="2" t="str">
        <f>IF(Characters!J21="","",Characters!J21)</f>
        <v/>
      </c>
      <c r="L1621" s="2">
        <f t="shared" si="325"/>
        <v>0</v>
      </c>
      <c r="M1621" s="2">
        <f t="shared" si="326"/>
        <v>0</v>
      </c>
      <c r="N1621" s="2">
        <f t="shared" si="327"/>
        <v>0</v>
      </c>
      <c r="O1621" s="2">
        <f t="shared" si="328"/>
        <v>0</v>
      </c>
      <c r="P1621" s="112">
        <f t="shared" si="329"/>
        <v>0</v>
      </c>
      <c r="Q1621" s="112">
        <f t="shared" si="330"/>
        <v>0</v>
      </c>
      <c r="R1621" s="53"/>
      <c r="S1621" s="53" t="str">
        <f t="shared" si="331"/>
        <v>Characters|Characters Printing Plates Parallel|C-20|Printing Plate</v>
      </c>
      <c r="T1621" s="57" t="str">
        <f>IF($S1621="","",IFERROR(VLOOKUP($S1621,'Pop Estimates (Non-#d)'!$N$2:$O$500,2,FALSE),""))</f>
        <v/>
      </c>
      <c r="U1621" s="57">
        <f t="shared" si="332"/>
        <v>4</v>
      </c>
      <c r="V1621" s="53" t="str">
        <f t="shared" si="333"/>
        <v>Cherie</v>
      </c>
      <c r="W1621" s="53" t="str">
        <f t="shared" si="334"/>
        <v>Cherie</v>
      </c>
      <c r="X1621" s="53" t="str">
        <f t="shared" si="335"/>
        <v>Cherie</v>
      </c>
      <c r="Y1621" s="57">
        <f>IF($X1621="","",IFERROR(VLOOKUP($X1621,'Char Popularity'!$A$2:$C$500,2,FALSE),""))</f>
        <v>3</v>
      </c>
      <c r="Z1621" s="56">
        <f>IF($X1621="",1,IFERROR(VLOOKUP($X1621,'Char Popularity'!$A$2:$C$500,3,FALSE),1))</f>
        <v>1</v>
      </c>
      <c r="AA1621" s="62">
        <f>IF($H1621&lt;&gt;"Y",0,(IF($F1621&lt;&gt;"",ROUND(Dashboard!$R$4/$F1621,1),IF(AND($I1621="Base",$E1621="Base"),Dashboard!$R$5,IF(AND($I1621="Base",$E1621="Red"),Dashboard!$R$6,IF(AND($I1621="Base",$E1621="Gold"),Dashboard!$R$7,VLOOKUP($I1621,Dashboard!$Q$16:$R$21,2,FALSE)))))*VLOOKUP($I1621,Dashboard!$Q$9:$R$13,2,FALSE)*IF(AND($I1621="Auto",$F1621="",OR($B1621="Autographs Duals",$B1621="Autographs Triples",$B1621="Autographs Quads",$B1621="Autographs Quads (Inscribed)")),IF($B1621="Autographs Duals",2,IF($B1621="Autographs Triples",3,4)),1)))</f>
        <v>0</v>
      </c>
      <c r="AB1621" s="62">
        <f t="shared" si="336"/>
        <v>0</v>
      </c>
      <c r="AC1621" s="62">
        <f t="shared" si="337"/>
        <v>0</v>
      </c>
    </row>
    <row r="1622" spans="1:29" ht="42.95" customHeight="1" x14ac:dyDescent="0.25">
      <c r="A1622" s="4" t="s">
        <v>21</v>
      </c>
      <c r="B1622" s="7" t="s">
        <v>795</v>
      </c>
      <c r="C1622" s="2" t="s">
        <v>421</v>
      </c>
      <c r="D1622" s="7" t="s">
        <v>288</v>
      </c>
      <c r="E1622" s="4" t="s">
        <v>829</v>
      </c>
      <c r="F1622" s="2">
        <v>4</v>
      </c>
      <c r="G1622" s="2" t="s">
        <v>1400</v>
      </c>
      <c r="H1622" s="2" t="s">
        <v>1399</v>
      </c>
      <c r="I1622" s="4" t="s">
        <v>60</v>
      </c>
      <c r="J1622" s="112">
        <f>IF($H1622&lt;&gt;"Y",0,ROUND(MIN(Dashboard!$R$24,IF(IFERROR(VLOOKUP($B1622,Dashboard!$Q$28:$S$60,2,FALSE),0)&gt;0,IFERROR(VLOOKUP($B1622,Dashboard!$Q$28:$S$60,2,FALSE),0),$Z1622*IF($U1622&lt;&gt;"",ROUND((Dashboard!$R$4/$U1622)*VLOOKUP($I1622,Dashboard!$Q$9:$R$13,2,FALSE)*IF(ISNUMBER(SEARCH("Duals",$B1622)),2,IF(ISNUMBER(SEARCH("Triples",$B1622)),3,IF(ISNUMBER(SEARCH("Quads",$B1622)),4,1))),2),ROUND(VLOOKUP($I1622,Dashboard!$Q$15:$R$20,2,FALSE)*IF($E1622="Red",Dashboard!$R$6,IF($E1622="Gold",Dashboard!$R$7,Dashboard!$R$5))*IF(ISNUMBER(SEARCH("Duals",$B1622)),2,IF(ISNUMBER(SEARCH("Triples",$B1622)),3,IF(ISNUMBER(SEARCH("Quads",$B1622)),4,1))),2))*IF(IFERROR(VLOOKUP($B1622,Dashboard!$Q$28:$S$60,3,FALSE),0)&gt;0,VLOOKUP($B1622,Dashboard!$Q$28:$S$60,3,FALSE),1))),0))</f>
        <v>0</v>
      </c>
      <c r="K1622" s="2" t="str">
        <f>IF(Characters!J22="","",Characters!J22)</f>
        <v/>
      </c>
      <c r="L1622" s="2">
        <f t="shared" si="325"/>
        <v>0</v>
      </c>
      <c r="M1622" s="2">
        <f t="shared" si="326"/>
        <v>0</v>
      </c>
      <c r="N1622" s="2">
        <f t="shared" si="327"/>
        <v>0</v>
      </c>
      <c r="O1622" s="2">
        <f t="shared" si="328"/>
        <v>0</v>
      </c>
      <c r="P1622" s="112">
        <f t="shared" si="329"/>
        <v>0</v>
      </c>
      <c r="Q1622" s="112">
        <f t="shared" si="330"/>
        <v>0</v>
      </c>
      <c r="R1622" s="53"/>
      <c r="S1622" s="53" t="str">
        <f t="shared" si="331"/>
        <v>Characters|Characters Printing Plates Parallel|C-21|Printing Plate</v>
      </c>
      <c r="T1622" s="57" t="str">
        <f>IF($S1622="","",IFERROR(VLOOKUP($S1622,'Pop Estimates (Non-#d)'!$N$2:$O$500,2,FALSE),""))</f>
        <v/>
      </c>
      <c r="U1622" s="57">
        <f t="shared" si="332"/>
        <v>4</v>
      </c>
      <c r="V1622" s="53" t="str">
        <f t="shared" si="333"/>
        <v>Shockwave</v>
      </c>
      <c r="W1622" s="53" t="str">
        <f t="shared" si="334"/>
        <v>Shockwave</v>
      </c>
      <c r="X1622" s="53" t="str">
        <f t="shared" si="335"/>
        <v>Shockwave</v>
      </c>
      <c r="Y1622" s="57">
        <f>IF($X1622="","",IFERROR(VLOOKUP($X1622,'Char Popularity'!$A$2:$C$500,2,FALSE),""))</f>
        <v>2</v>
      </c>
      <c r="Z1622" s="56">
        <f>IF($X1622="",1,IFERROR(VLOOKUP($X1622,'Char Popularity'!$A$2:$C$500,3,FALSE),1))</f>
        <v>0.9</v>
      </c>
      <c r="AA1622" s="62">
        <f>IF($H1622&lt;&gt;"Y",0,(IF($F1622&lt;&gt;"",ROUND(Dashboard!$R$4/$F1622,1),IF(AND($I1622="Base",$E1622="Base"),Dashboard!$R$5,IF(AND($I1622="Base",$E1622="Red"),Dashboard!$R$6,IF(AND($I1622="Base",$E1622="Gold"),Dashboard!$R$7,VLOOKUP($I1622,Dashboard!$Q$16:$R$21,2,FALSE)))))*VLOOKUP($I1622,Dashboard!$Q$9:$R$13,2,FALSE)*IF(AND($I1622="Auto",$F1622="",OR($B1622="Autographs Duals",$B1622="Autographs Triples",$B1622="Autographs Quads",$B1622="Autographs Quads (Inscribed)")),IF($B1622="Autographs Duals",2,IF($B1622="Autographs Triples",3,4)),1)))</f>
        <v>0</v>
      </c>
      <c r="AB1622" s="62">
        <f t="shared" si="336"/>
        <v>0</v>
      </c>
      <c r="AC1622" s="62">
        <f t="shared" si="337"/>
        <v>0</v>
      </c>
    </row>
    <row r="1623" spans="1:29" ht="42.95" customHeight="1" x14ac:dyDescent="0.25">
      <c r="A1623" s="4" t="s">
        <v>21</v>
      </c>
      <c r="B1623" s="7" t="s">
        <v>795</v>
      </c>
      <c r="C1623" s="2" t="s">
        <v>422</v>
      </c>
      <c r="D1623" s="7" t="s">
        <v>228</v>
      </c>
      <c r="E1623" s="4" t="s">
        <v>829</v>
      </c>
      <c r="F1623" s="2">
        <v>4</v>
      </c>
      <c r="G1623" s="2" t="s">
        <v>1400</v>
      </c>
      <c r="H1623" s="2" t="s">
        <v>1399</v>
      </c>
      <c r="I1623" s="4" t="s">
        <v>60</v>
      </c>
      <c r="J1623" s="112">
        <f>IF($H1623&lt;&gt;"Y",0,ROUND(MIN(Dashboard!$R$24,IF(IFERROR(VLOOKUP($B1623,Dashboard!$Q$28:$S$60,2,FALSE),0)&gt;0,IFERROR(VLOOKUP($B1623,Dashboard!$Q$28:$S$60,2,FALSE),0),$Z1623*IF($U1623&lt;&gt;"",ROUND((Dashboard!$R$4/$U1623)*VLOOKUP($I1623,Dashboard!$Q$9:$R$13,2,FALSE)*IF(ISNUMBER(SEARCH("Duals",$B1623)),2,IF(ISNUMBER(SEARCH("Triples",$B1623)),3,IF(ISNUMBER(SEARCH("Quads",$B1623)),4,1))),2),ROUND(VLOOKUP($I1623,Dashboard!$Q$15:$R$20,2,FALSE)*IF($E1623="Red",Dashboard!$R$6,IF($E1623="Gold",Dashboard!$R$7,Dashboard!$R$5))*IF(ISNUMBER(SEARCH("Duals",$B1623)),2,IF(ISNUMBER(SEARCH("Triples",$B1623)),3,IF(ISNUMBER(SEARCH("Quads",$B1623)),4,1))),2))*IF(IFERROR(VLOOKUP($B1623,Dashboard!$Q$28:$S$60,3,FALSE),0)&gt;0,VLOOKUP($B1623,Dashboard!$Q$28:$S$60,3,FALSE),1))),0))</f>
        <v>0</v>
      </c>
      <c r="K1623" s="2" t="str">
        <f>IF(Characters!J23="","",Characters!J23)</f>
        <v/>
      </c>
      <c r="L1623" s="2">
        <f t="shared" si="325"/>
        <v>0</v>
      </c>
      <c r="M1623" s="2">
        <f t="shared" si="326"/>
        <v>0</v>
      </c>
      <c r="N1623" s="2">
        <f t="shared" si="327"/>
        <v>0</v>
      </c>
      <c r="O1623" s="2">
        <f t="shared" si="328"/>
        <v>0</v>
      </c>
      <c r="P1623" s="112">
        <f t="shared" si="329"/>
        <v>0</v>
      </c>
      <c r="Q1623" s="112">
        <f t="shared" si="330"/>
        <v>0</v>
      </c>
      <c r="R1623" s="53"/>
      <c r="S1623" s="53" t="str">
        <f t="shared" si="331"/>
        <v>Characters|Characters Printing Plates Parallel|C-22|Printing Plate</v>
      </c>
      <c r="T1623" s="57" t="str">
        <f>IF($S1623="","",IFERROR(VLOOKUP($S1623,'Pop Estimates (Non-#d)'!$N$2:$O$500,2,FALSE),""))</f>
        <v/>
      </c>
      <c r="U1623" s="57">
        <f t="shared" si="332"/>
        <v>4</v>
      </c>
      <c r="V1623" s="53" t="str">
        <f t="shared" si="333"/>
        <v>Ryan</v>
      </c>
      <c r="W1623" s="53" t="str">
        <f t="shared" si="334"/>
        <v>Ryan</v>
      </c>
      <c r="X1623" s="53" t="str">
        <f t="shared" si="335"/>
        <v>Ryan</v>
      </c>
      <c r="Y1623" s="57">
        <f>IF($X1623="","",IFERROR(VLOOKUP($X1623,'Char Popularity'!$A$2:$C$500,2,FALSE),""))</f>
        <v>4</v>
      </c>
      <c r="Z1623" s="56">
        <f>IF($X1623="",1,IFERROR(VLOOKUP($X1623,'Char Popularity'!$A$2:$C$500,3,FALSE),1))</f>
        <v>1.1000000000000001</v>
      </c>
      <c r="AA1623" s="62">
        <f>IF($H1623&lt;&gt;"Y",0,(IF($F1623&lt;&gt;"",ROUND(Dashboard!$R$4/$F1623,1),IF(AND($I1623="Base",$E1623="Base"),Dashboard!$R$5,IF(AND($I1623="Base",$E1623="Red"),Dashboard!$R$6,IF(AND($I1623="Base",$E1623="Gold"),Dashboard!$R$7,VLOOKUP($I1623,Dashboard!$Q$16:$R$21,2,FALSE)))))*VLOOKUP($I1623,Dashboard!$Q$9:$R$13,2,FALSE)*IF(AND($I1623="Auto",$F1623="",OR($B1623="Autographs Duals",$B1623="Autographs Triples",$B1623="Autographs Quads",$B1623="Autographs Quads (Inscribed)")),IF($B1623="Autographs Duals",2,IF($B1623="Autographs Triples",3,4)),1)))</f>
        <v>0</v>
      </c>
      <c r="AB1623" s="62">
        <f t="shared" si="336"/>
        <v>0</v>
      </c>
      <c r="AC1623" s="62">
        <f t="shared" si="337"/>
        <v>0</v>
      </c>
    </row>
    <row r="1624" spans="1:29" ht="42.95" customHeight="1" x14ac:dyDescent="0.25">
      <c r="A1624" s="4" t="s">
        <v>21</v>
      </c>
      <c r="B1624" s="7" t="s">
        <v>795</v>
      </c>
      <c r="C1624" s="2" t="s">
        <v>423</v>
      </c>
      <c r="D1624" s="7" t="s">
        <v>301</v>
      </c>
      <c r="E1624" s="4" t="s">
        <v>829</v>
      </c>
      <c r="F1624" s="2">
        <v>4</v>
      </c>
      <c r="G1624" s="2" t="s">
        <v>1400</v>
      </c>
      <c r="H1624" s="2" t="s">
        <v>1399</v>
      </c>
      <c r="I1624" s="4" t="s">
        <v>60</v>
      </c>
      <c r="J1624" s="112">
        <f>IF($H1624&lt;&gt;"Y",0,ROUND(MIN(Dashboard!$R$24,IF(IFERROR(VLOOKUP($B1624,Dashboard!$Q$28:$S$60,2,FALSE),0)&gt;0,IFERROR(VLOOKUP($B1624,Dashboard!$Q$28:$S$60,2,FALSE),0),$Z1624*IF($U1624&lt;&gt;"",ROUND((Dashboard!$R$4/$U1624)*VLOOKUP($I1624,Dashboard!$Q$9:$R$13,2,FALSE)*IF(ISNUMBER(SEARCH("Duals",$B1624)),2,IF(ISNUMBER(SEARCH("Triples",$B1624)),3,IF(ISNUMBER(SEARCH("Quads",$B1624)),4,1))),2),ROUND(VLOOKUP($I1624,Dashboard!$Q$15:$R$20,2,FALSE)*IF($E1624="Red",Dashboard!$R$6,IF($E1624="Gold",Dashboard!$R$7,Dashboard!$R$5))*IF(ISNUMBER(SEARCH("Duals",$B1624)),2,IF(ISNUMBER(SEARCH("Triples",$B1624)),3,IF(ISNUMBER(SEARCH("Quads",$B1624)),4,1))),2))*IF(IFERROR(VLOOKUP($B1624,Dashboard!$Q$28:$S$60,3,FALSE),0)&gt;0,VLOOKUP($B1624,Dashboard!$Q$28:$S$60,3,FALSE),1))),0))</f>
        <v>0</v>
      </c>
      <c r="K1624" s="2" t="str">
        <f>IF(Characters!J24="","",Characters!J24)</f>
        <v/>
      </c>
      <c r="L1624" s="2">
        <f t="shared" si="325"/>
        <v>0</v>
      </c>
      <c r="M1624" s="2">
        <f t="shared" si="326"/>
        <v>0</v>
      </c>
      <c r="N1624" s="2">
        <f t="shared" si="327"/>
        <v>0</v>
      </c>
      <c r="O1624" s="2">
        <f t="shared" si="328"/>
        <v>0</v>
      </c>
      <c r="P1624" s="112">
        <f t="shared" si="329"/>
        <v>0</v>
      </c>
      <c r="Q1624" s="112">
        <f t="shared" si="330"/>
        <v>0</v>
      </c>
      <c r="R1624" s="53"/>
      <c r="S1624" s="53" t="str">
        <f t="shared" si="331"/>
        <v>Characters|Characters Printing Plates Parallel|C-23|Printing Plate</v>
      </c>
      <c r="T1624" s="57" t="str">
        <f>IF($S1624="","",IFERROR(VLOOKUP($S1624,'Pop Estimates (Non-#d)'!$N$2:$O$500,2,FALSE),""))</f>
        <v/>
      </c>
      <c r="U1624" s="57">
        <f t="shared" si="332"/>
        <v>4</v>
      </c>
      <c r="V1624" s="53" t="str">
        <f t="shared" si="333"/>
        <v>Lamplighter</v>
      </c>
      <c r="W1624" s="53" t="str">
        <f t="shared" si="334"/>
        <v>Lamplighter</v>
      </c>
      <c r="X1624" s="53" t="str">
        <f t="shared" si="335"/>
        <v>Lamplighter</v>
      </c>
      <c r="Y1624" s="57">
        <f>IF($X1624="","",IFERROR(VLOOKUP($X1624,'Char Popularity'!$A$2:$C$500,2,FALSE),""))</f>
        <v>2</v>
      </c>
      <c r="Z1624" s="56">
        <f>IF($X1624="",1,IFERROR(VLOOKUP($X1624,'Char Popularity'!$A$2:$C$500,3,FALSE),1))</f>
        <v>0.9</v>
      </c>
      <c r="AA1624" s="62">
        <f>IF($H1624&lt;&gt;"Y",0,(IF($F1624&lt;&gt;"",ROUND(Dashboard!$R$4/$F1624,1),IF(AND($I1624="Base",$E1624="Base"),Dashboard!$R$5,IF(AND($I1624="Base",$E1624="Red"),Dashboard!$R$6,IF(AND($I1624="Base",$E1624="Gold"),Dashboard!$R$7,VLOOKUP($I1624,Dashboard!$Q$16:$R$21,2,FALSE)))))*VLOOKUP($I1624,Dashboard!$Q$9:$R$13,2,FALSE)*IF(AND($I1624="Auto",$F1624="",OR($B1624="Autographs Duals",$B1624="Autographs Triples",$B1624="Autographs Quads",$B1624="Autographs Quads (Inscribed)")),IF($B1624="Autographs Duals",2,IF($B1624="Autographs Triples",3,4)),1)))</f>
        <v>0</v>
      </c>
      <c r="AB1624" s="62">
        <f t="shared" si="336"/>
        <v>0</v>
      </c>
      <c r="AC1624" s="62">
        <f t="shared" si="337"/>
        <v>0</v>
      </c>
    </row>
    <row r="1625" spans="1:29" ht="42.95" customHeight="1" x14ac:dyDescent="0.25">
      <c r="A1625" s="4" t="s">
        <v>21</v>
      </c>
      <c r="B1625" s="7" t="s">
        <v>795</v>
      </c>
      <c r="C1625" s="2" t="s">
        <v>1226</v>
      </c>
      <c r="D1625" s="7" t="s">
        <v>1227</v>
      </c>
      <c r="E1625" s="4" t="s">
        <v>829</v>
      </c>
      <c r="F1625" s="2">
        <v>4</v>
      </c>
      <c r="G1625" s="2" t="s">
        <v>1400</v>
      </c>
      <c r="H1625" s="2" t="s">
        <v>1399</v>
      </c>
      <c r="I1625" s="4" t="s">
        <v>60</v>
      </c>
      <c r="J1625" s="112">
        <f>IF($H1625&lt;&gt;"Y",0,ROUND(MIN(Dashboard!$R$24,IF(IFERROR(VLOOKUP($B1625,Dashboard!$Q$28:$S$60,2,FALSE),0)&gt;0,IFERROR(VLOOKUP($B1625,Dashboard!$Q$28:$S$60,2,FALSE),0),$Z1625*IF($U1625&lt;&gt;"",ROUND((Dashboard!$R$4/$U1625)*VLOOKUP($I1625,Dashboard!$Q$9:$R$13,2,FALSE)*IF(ISNUMBER(SEARCH("Duals",$B1625)),2,IF(ISNUMBER(SEARCH("Triples",$B1625)),3,IF(ISNUMBER(SEARCH("Quads",$B1625)),4,1))),2),ROUND(VLOOKUP($I1625,Dashboard!$Q$15:$R$20,2,FALSE)*IF($E1625="Red",Dashboard!$R$6,IF($E1625="Gold",Dashboard!$R$7,Dashboard!$R$5))*IF(ISNUMBER(SEARCH("Duals",$B1625)),2,IF(ISNUMBER(SEARCH("Triples",$B1625)),3,IF(ISNUMBER(SEARCH("Quads",$B1625)),4,1))),2))*IF(IFERROR(VLOOKUP($B1625,Dashboard!$Q$28:$S$60,3,FALSE),0)&gt;0,VLOOKUP($B1625,Dashboard!$Q$28:$S$60,3,FALSE),1))),0))</f>
        <v>0</v>
      </c>
      <c r="K1625" s="2" t="str">
        <f>IF(Characters!J25="","",Characters!J25)</f>
        <v/>
      </c>
      <c r="L1625" s="2">
        <f t="shared" si="325"/>
        <v>0</v>
      </c>
      <c r="M1625" s="2">
        <f t="shared" si="326"/>
        <v>0</v>
      </c>
      <c r="N1625" s="2">
        <f t="shared" si="327"/>
        <v>0</v>
      </c>
      <c r="O1625" s="2">
        <f t="shared" si="328"/>
        <v>0</v>
      </c>
      <c r="P1625" s="112">
        <f t="shared" si="329"/>
        <v>0</v>
      </c>
      <c r="Q1625" s="112">
        <f t="shared" si="330"/>
        <v>0</v>
      </c>
      <c r="R1625" s="53"/>
      <c r="S1625" s="53" t="str">
        <f t="shared" si="331"/>
        <v>Characters|Characters Printing Plates Parallel|C-24|Printing Plate</v>
      </c>
      <c r="T1625" s="57" t="str">
        <f>IF($S1625="","",IFERROR(VLOOKUP($S1625,'Pop Estimates (Non-#d)'!$N$2:$O$500,2,FALSE),""))</f>
        <v/>
      </c>
      <c r="U1625" s="57">
        <f t="shared" si="332"/>
        <v>4</v>
      </c>
      <c r="V1625" s="53" t="str">
        <f t="shared" si="333"/>
        <v>Victoria Neuman</v>
      </c>
      <c r="W1625" s="53" t="str">
        <f t="shared" si="334"/>
        <v>Victoria Neuman</v>
      </c>
      <c r="X1625" s="53" t="str">
        <f t="shared" si="335"/>
        <v>Victoria Neuman</v>
      </c>
      <c r="Y1625" s="57">
        <f>IF($X1625="","",IFERROR(VLOOKUP($X1625,'Char Popularity'!$A$2:$C$500,2,FALSE),""))</f>
        <v>4</v>
      </c>
      <c r="Z1625" s="56">
        <f>IF($X1625="",1,IFERROR(VLOOKUP($X1625,'Char Popularity'!$A$2:$C$500,3,FALSE),1))</f>
        <v>1.1000000000000001</v>
      </c>
      <c r="AA1625" s="62">
        <f>IF($H1625&lt;&gt;"Y",0,(IF($F1625&lt;&gt;"",ROUND(Dashboard!$R$4/$F1625,1),IF(AND($I1625="Base",$E1625="Base"),Dashboard!$R$5,IF(AND($I1625="Base",$E1625="Red"),Dashboard!$R$6,IF(AND($I1625="Base",$E1625="Gold"),Dashboard!$R$7,VLOOKUP($I1625,Dashboard!$Q$16:$R$21,2,FALSE)))))*VLOOKUP($I1625,Dashboard!$Q$9:$R$13,2,FALSE)*IF(AND($I1625="Auto",$F1625="",OR($B1625="Autographs Duals",$B1625="Autographs Triples",$B1625="Autographs Quads",$B1625="Autographs Quads (Inscribed)")),IF($B1625="Autographs Duals",2,IF($B1625="Autographs Triples",3,4)),1)))</f>
        <v>0</v>
      </c>
      <c r="AB1625" s="62">
        <f t="shared" si="336"/>
        <v>0</v>
      </c>
      <c r="AC1625" s="62">
        <f t="shared" si="337"/>
        <v>0</v>
      </c>
    </row>
    <row r="1626" spans="1:29" ht="42.95" customHeight="1" x14ac:dyDescent="0.25">
      <c r="A1626" s="4" t="s">
        <v>21</v>
      </c>
      <c r="B1626" s="7" t="s">
        <v>795</v>
      </c>
      <c r="C1626" s="2" t="s">
        <v>1229</v>
      </c>
      <c r="D1626" s="7" t="s">
        <v>1230</v>
      </c>
      <c r="E1626" s="4" t="s">
        <v>829</v>
      </c>
      <c r="F1626" s="2">
        <v>4</v>
      </c>
      <c r="G1626" s="2" t="s">
        <v>1400</v>
      </c>
      <c r="H1626" s="2" t="s">
        <v>1399</v>
      </c>
      <c r="I1626" s="4" t="s">
        <v>60</v>
      </c>
      <c r="J1626" s="112">
        <f>IF($H1626&lt;&gt;"Y",0,ROUND(MIN(Dashboard!$R$24,IF(IFERROR(VLOOKUP($B1626,Dashboard!$Q$28:$S$60,2,FALSE),0)&gt;0,IFERROR(VLOOKUP($B1626,Dashboard!$Q$28:$S$60,2,FALSE),0),$Z1626*IF($U1626&lt;&gt;"",ROUND((Dashboard!$R$4/$U1626)*VLOOKUP($I1626,Dashboard!$Q$9:$R$13,2,FALSE)*IF(ISNUMBER(SEARCH("Duals",$B1626)),2,IF(ISNUMBER(SEARCH("Triples",$B1626)),3,IF(ISNUMBER(SEARCH("Quads",$B1626)),4,1))),2),ROUND(VLOOKUP($I1626,Dashboard!$Q$15:$R$20,2,FALSE)*IF($E1626="Red",Dashboard!$R$6,IF($E1626="Gold",Dashboard!$R$7,Dashboard!$R$5))*IF(ISNUMBER(SEARCH("Duals",$B1626)),2,IF(ISNUMBER(SEARCH("Triples",$B1626)),3,IF(ISNUMBER(SEARCH("Quads",$B1626)),4,1))),2))*IF(IFERROR(VLOOKUP($B1626,Dashboard!$Q$28:$S$60,3,FALSE),0)&gt;0,VLOOKUP($B1626,Dashboard!$Q$28:$S$60,3,FALSE),1))),0))</f>
        <v>0</v>
      </c>
      <c r="K1626" s="2" t="str">
        <f>IF(Characters!J26="","",Characters!J26)</f>
        <v/>
      </c>
      <c r="L1626" s="2">
        <f t="shared" si="325"/>
        <v>0</v>
      </c>
      <c r="M1626" s="2">
        <f t="shared" si="326"/>
        <v>0</v>
      </c>
      <c r="N1626" s="2">
        <f t="shared" si="327"/>
        <v>0</v>
      </c>
      <c r="O1626" s="2">
        <f t="shared" si="328"/>
        <v>0</v>
      </c>
      <c r="P1626" s="112">
        <f t="shared" si="329"/>
        <v>0</v>
      </c>
      <c r="Q1626" s="112">
        <f t="shared" si="330"/>
        <v>0</v>
      </c>
      <c r="R1626" s="53"/>
      <c r="S1626" s="53" t="str">
        <f t="shared" si="331"/>
        <v>Characters|Characters Printing Plates Parallel|C-25|Printing Plate</v>
      </c>
      <c r="T1626" s="57" t="str">
        <f>IF($S1626="","",IFERROR(VLOOKUP($S1626,'Pop Estimates (Non-#d)'!$N$2:$O$500,2,FALSE),""))</f>
        <v/>
      </c>
      <c r="U1626" s="57">
        <f t="shared" si="332"/>
        <v>4</v>
      </c>
      <c r="V1626" s="53" t="str">
        <f t="shared" si="333"/>
        <v>Donna January</v>
      </c>
      <c r="W1626" s="53" t="str">
        <f t="shared" si="334"/>
        <v>Donna January</v>
      </c>
      <c r="X1626" s="53" t="str">
        <f t="shared" si="335"/>
        <v>Donna January</v>
      </c>
      <c r="Y1626" s="57">
        <f>IF($X1626="","",IFERROR(VLOOKUP($X1626,'Char Popularity'!$A$2:$C$500,2,FALSE),""))</f>
        <v>3</v>
      </c>
      <c r="Z1626" s="56">
        <f>IF($X1626="",1,IFERROR(VLOOKUP($X1626,'Char Popularity'!$A$2:$C$500,3,FALSE),1))</f>
        <v>1</v>
      </c>
      <c r="AA1626" s="62">
        <f>IF($H1626&lt;&gt;"Y",0,(IF($F1626&lt;&gt;"",ROUND(Dashboard!$R$4/$F1626,1),IF(AND($I1626="Base",$E1626="Base"),Dashboard!$R$5,IF(AND($I1626="Base",$E1626="Red"),Dashboard!$R$6,IF(AND($I1626="Base",$E1626="Gold"),Dashboard!$R$7,VLOOKUP($I1626,Dashboard!$Q$16:$R$21,2,FALSE)))))*VLOOKUP($I1626,Dashboard!$Q$9:$R$13,2,FALSE)*IF(AND($I1626="Auto",$F1626="",OR($B1626="Autographs Duals",$B1626="Autographs Triples",$B1626="Autographs Quads",$B1626="Autographs Quads (Inscribed)")),IF($B1626="Autographs Duals",2,IF($B1626="Autographs Triples",3,4)),1)))</f>
        <v>0</v>
      </c>
      <c r="AB1626" s="62">
        <f t="shared" si="336"/>
        <v>0</v>
      </c>
      <c r="AC1626" s="62">
        <f t="shared" si="337"/>
        <v>0</v>
      </c>
    </row>
    <row r="1627" spans="1:29" ht="42.95" customHeight="1" x14ac:dyDescent="0.25">
      <c r="A1627" s="4" t="s">
        <v>21</v>
      </c>
      <c r="B1627" s="7" t="s">
        <v>795</v>
      </c>
      <c r="C1627" s="2" t="s">
        <v>1232</v>
      </c>
      <c r="D1627" s="7" t="s">
        <v>1233</v>
      </c>
      <c r="E1627" s="4" t="s">
        <v>829</v>
      </c>
      <c r="F1627" s="2">
        <v>4</v>
      </c>
      <c r="G1627" s="2" t="s">
        <v>1400</v>
      </c>
      <c r="H1627" s="2" t="s">
        <v>1399</v>
      </c>
      <c r="I1627" s="4" t="s">
        <v>60</v>
      </c>
      <c r="J1627" s="112">
        <f>IF($H1627&lt;&gt;"Y",0,ROUND(MIN(Dashboard!$R$24,IF(IFERROR(VLOOKUP($B1627,Dashboard!$Q$28:$S$60,2,FALSE),0)&gt;0,IFERROR(VLOOKUP($B1627,Dashboard!$Q$28:$S$60,2,FALSE),0),$Z1627*IF($U1627&lt;&gt;"",ROUND((Dashboard!$R$4/$U1627)*VLOOKUP($I1627,Dashboard!$Q$9:$R$13,2,FALSE)*IF(ISNUMBER(SEARCH("Duals",$B1627)),2,IF(ISNUMBER(SEARCH("Triples",$B1627)),3,IF(ISNUMBER(SEARCH("Quads",$B1627)),4,1))),2),ROUND(VLOOKUP($I1627,Dashboard!$Q$15:$R$20,2,FALSE)*IF($E1627="Red",Dashboard!$R$6,IF($E1627="Gold",Dashboard!$R$7,Dashboard!$R$5))*IF(ISNUMBER(SEARCH("Duals",$B1627)),2,IF(ISNUMBER(SEARCH("Triples",$B1627)),3,IF(ISNUMBER(SEARCH("Quads",$B1627)),4,1))),2))*IF(IFERROR(VLOOKUP($B1627,Dashboard!$Q$28:$S$60,3,FALSE),0)&gt;0,VLOOKUP($B1627,Dashboard!$Q$28:$S$60,3,FALSE),1))),0))</f>
        <v>0</v>
      </c>
      <c r="K1627" s="2" t="str">
        <f>IF(Characters!J27="","",Characters!J27)</f>
        <v/>
      </c>
      <c r="L1627" s="2">
        <f t="shared" si="325"/>
        <v>0</v>
      </c>
      <c r="M1627" s="2">
        <f t="shared" si="326"/>
        <v>0</v>
      </c>
      <c r="N1627" s="2">
        <f t="shared" si="327"/>
        <v>0</v>
      </c>
      <c r="O1627" s="2">
        <f t="shared" si="328"/>
        <v>0</v>
      </c>
      <c r="P1627" s="112">
        <f t="shared" si="329"/>
        <v>0</v>
      </c>
      <c r="Q1627" s="112">
        <f t="shared" si="330"/>
        <v>0</v>
      </c>
      <c r="R1627" s="53"/>
      <c r="S1627" s="53" t="str">
        <f t="shared" si="331"/>
        <v>Characters|Characters Printing Plates Parallel|C-26|Printing Plate</v>
      </c>
      <c r="T1627" s="57" t="str">
        <f>IF($S1627="","",IFERROR(VLOOKUP($S1627,'Pop Estimates (Non-#d)'!$N$2:$O$500,2,FALSE),""))</f>
        <v/>
      </c>
      <c r="U1627" s="57">
        <f t="shared" si="332"/>
        <v>4</v>
      </c>
      <c r="V1627" s="53" t="str">
        <f t="shared" si="333"/>
        <v>Mesmer</v>
      </c>
      <c r="W1627" s="53" t="str">
        <f t="shared" si="334"/>
        <v>Mesmer</v>
      </c>
      <c r="X1627" s="53" t="str">
        <f t="shared" si="335"/>
        <v>Mesmer</v>
      </c>
      <c r="Y1627" s="57">
        <f>IF($X1627="","",IFERROR(VLOOKUP($X1627,'Char Popularity'!$A$2:$C$500,2,FALSE),""))</f>
        <v>2</v>
      </c>
      <c r="Z1627" s="56">
        <f>IF($X1627="",1,IFERROR(VLOOKUP($X1627,'Char Popularity'!$A$2:$C$500,3,FALSE),1))</f>
        <v>0.9</v>
      </c>
      <c r="AA1627" s="62">
        <f>IF($H1627&lt;&gt;"Y",0,(IF($F1627&lt;&gt;"",ROUND(Dashboard!$R$4/$F1627,1),IF(AND($I1627="Base",$E1627="Base"),Dashboard!$R$5,IF(AND($I1627="Base",$E1627="Red"),Dashboard!$R$6,IF(AND($I1627="Base",$E1627="Gold"),Dashboard!$R$7,VLOOKUP($I1627,Dashboard!$Q$16:$R$21,2,FALSE)))))*VLOOKUP($I1627,Dashboard!$Q$9:$R$13,2,FALSE)*IF(AND($I1627="Auto",$F1627="",OR($B1627="Autographs Duals",$B1627="Autographs Triples",$B1627="Autographs Quads",$B1627="Autographs Quads (Inscribed)")),IF($B1627="Autographs Duals",2,IF($B1627="Autographs Triples",3,4)),1)))</f>
        <v>0</v>
      </c>
      <c r="AB1627" s="62">
        <f t="shared" si="336"/>
        <v>0</v>
      </c>
      <c r="AC1627" s="62">
        <f t="shared" si="337"/>
        <v>0</v>
      </c>
    </row>
    <row r="1628" spans="1:29" ht="42.95" customHeight="1" x14ac:dyDescent="0.25">
      <c r="A1628" s="4" t="s">
        <v>21</v>
      </c>
      <c r="B1628" s="7" t="s">
        <v>795</v>
      </c>
      <c r="C1628" s="2" t="s">
        <v>1234</v>
      </c>
      <c r="D1628" s="7" t="s">
        <v>1235</v>
      </c>
      <c r="E1628" s="4" t="s">
        <v>829</v>
      </c>
      <c r="F1628" s="2">
        <v>4</v>
      </c>
      <c r="G1628" s="2" t="s">
        <v>1400</v>
      </c>
      <c r="H1628" s="2" t="s">
        <v>1399</v>
      </c>
      <c r="I1628" s="4" t="s">
        <v>60</v>
      </c>
      <c r="J1628" s="112">
        <f>IF($H1628&lt;&gt;"Y",0,ROUND(MIN(Dashboard!$R$24,IF(IFERROR(VLOOKUP($B1628,Dashboard!$Q$28:$S$60,2,FALSE),0)&gt;0,IFERROR(VLOOKUP($B1628,Dashboard!$Q$28:$S$60,2,FALSE),0),$Z1628*IF($U1628&lt;&gt;"",ROUND((Dashboard!$R$4/$U1628)*VLOOKUP($I1628,Dashboard!$Q$9:$R$13,2,FALSE)*IF(ISNUMBER(SEARCH("Duals",$B1628)),2,IF(ISNUMBER(SEARCH("Triples",$B1628)),3,IF(ISNUMBER(SEARCH("Quads",$B1628)),4,1))),2),ROUND(VLOOKUP($I1628,Dashboard!$Q$15:$R$20,2,FALSE)*IF($E1628="Red",Dashboard!$R$6,IF($E1628="Gold",Dashboard!$R$7,Dashboard!$R$5))*IF(ISNUMBER(SEARCH("Duals",$B1628)),2,IF(ISNUMBER(SEARCH("Triples",$B1628)),3,IF(ISNUMBER(SEARCH("Quads",$B1628)),4,1))),2))*IF(IFERROR(VLOOKUP($B1628,Dashboard!$Q$28:$S$60,3,FALSE),0)&gt;0,VLOOKUP($B1628,Dashboard!$Q$28:$S$60,3,FALSE),1))),0))</f>
        <v>0</v>
      </c>
      <c r="K1628" s="2" t="str">
        <f>IF(Characters!J28="","",Characters!J28)</f>
        <v/>
      </c>
      <c r="L1628" s="2">
        <f t="shared" si="325"/>
        <v>0</v>
      </c>
      <c r="M1628" s="2">
        <f t="shared" si="326"/>
        <v>0</v>
      </c>
      <c r="N1628" s="2">
        <f t="shared" si="327"/>
        <v>0</v>
      </c>
      <c r="O1628" s="2">
        <f t="shared" si="328"/>
        <v>0</v>
      </c>
      <c r="P1628" s="112">
        <f t="shared" si="329"/>
        <v>0</v>
      </c>
      <c r="Q1628" s="112">
        <f t="shared" si="330"/>
        <v>0</v>
      </c>
      <c r="R1628" s="53"/>
      <c r="S1628" s="53" t="str">
        <f t="shared" si="331"/>
        <v>Characters|Characters Printing Plates Parallel|C-27|Printing Plate</v>
      </c>
      <c r="T1628" s="57" t="str">
        <f>IF($S1628="","",IFERROR(VLOOKUP($S1628,'Pop Estimates (Non-#d)'!$N$2:$O$500,2,FALSE),""))</f>
        <v/>
      </c>
      <c r="U1628" s="57">
        <f t="shared" si="332"/>
        <v>4</v>
      </c>
      <c r="V1628" s="53" t="str">
        <f t="shared" si="333"/>
        <v>Hughie Campbell Sr.</v>
      </c>
      <c r="W1628" s="53" t="str">
        <f t="shared" si="334"/>
        <v>Hughie Campbell Sr.</v>
      </c>
      <c r="X1628" s="53" t="str">
        <f t="shared" si="335"/>
        <v>Hughie Campbell Sr.</v>
      </c>
      <c r="Y1628" s="57">
        <f>IF($X1628="","",IFERROR(VLOOKUP($X1628,'Char Popularity'!$A$2:$C$500,2,FALSE),""))</f>
        <v>3</v>
      </c>
      <c r="Z1628" s="56">
        <f>IF($X1628="",1,IFERROR(VLOOKUP($X1628,'Char Popularity'!$A$2:$C$500,3,FALSE),1))</f>
        <v>1</v>
      </c>
      <c r="AA1628" s="62">
        <f>IF($H1628&lt;&gt;"Y",0,(IF($F1628&lt;&gt;"",ROUND(Dashboard!$R$4/$F1628,1),IF(AND($I1628="Base",$E1628="Base"),Dashboard!$R$5,IF(AND($I1628="Base",$E1628="Red"),Dashboard!$R$6,IF(AND($I1628="Base",$E1628="Gold"),Dashboard!$R$7,VLOOKUP($I1628,Dashboard!$Q$16:$R$21,2,FALSE)))))*VLOOKUP($I1628,Dashboard!$Q$9:$R$13,2,FALSE)*IF(AND($I1628="Auto",$F1628="",OR($B1628="Autographs Duals",$B1628="Autographs Triples",$B1628="Autographs Quads",$B1628="Autographs Quads (Inscribed)")),IF($B1628="Autographs Duals",2,IF($B1628="Autographs Triples",3,4)),1)))</f>
        <v>0</v>
      </c>
      <c r="AB1628" s="62">
        <f t="shared" si="336"/>
        <v>0</v>
      </c>
      <c r="AC1628" s="62">
        <f t="shared" si="337"/>
        <v>0</v>
      </c>
    </row>
    <row r="1629" spans="1:29" ht="42.95" customHeight="1" x14ac:dyDescent="0.25">
      <c r="A1629" s="4" t="s">
        <v>21</v>
      </c>
      <c r="B1629" s="7" t="s">
        <v>795</v>
      </c>
      <c r="C1629" s="2" t="s">
        <v>1236</v>
      </c>
      <c r="D1629" s="7" t="s">
        <v>1237</v>
      </c>
      <c r="E1629" s="4" t="s">
        <v>829</v>
      </c>
      <c r="F1629" s="2">
        <v>4</v>
      </c>
      <c r="G1629" s="2" t="s">
        <v>1400</v>
      </c>
      <c r="H1629" s="2" t="s">
        <v>1399</v>
      </c>
      <c r="I1629" s="4" t="s">
        <v>60</v>
      </c>
      <c r="J1629" s="112">
        <f>IF($H1629&lt;&gt;"Y",0,ROUND(MIN(Dashboard!$R$24,IF(IFERROR(VLOOKUP($B1629,Dashboard!$Q$28:$S$60,2,FALSE),0)&gt;0,IFERROR(VLOOKUP($B1629,Dashboard!$Q$28:$S$60,2,FALSE),0),$Z1629*IF($U1629&lt;&gt;"",ROUND((Dashboard!$R$4/$U1629)*VLOOKUP($I1629,Dashboard!$Q$9:$R$13,2,FALSE)*IF(ISNUMBER(SEARCH("Duals",$B1629)),2,IF(ISNUMBER(SEARCH("Triples",$B1629)),3,IF(ISNUMBER(SEARCH("Quads",$B1629)),4,1))),2),ROUND(VLOOKUP($I1629,Dashboard!$Q$15:$R$20,2,FALSE)*IF($E1629="Red",Dashboard!$R$6,IF($E1629="Gold",Dashboard!$R$7,Dashboard!$R$5))*IF(ISNUMBER(SEARCH("Duals",$B1629)),2,IF(ISNUMBER(SEARCH("Triples",$B1629)),3,IF(ISNUMBER(SEARCH("Quads",$B1629)),4,1))),2))*IF(IFERROR(VLOOKUP($B1629,Dashboard!$Q$28:$S$60,3,FALSE),0)&gt;0,VLOOKUP($B1629,Dashboard!$Q$28:$S$60,3,FALSE),1))),0))</f>
        <v>0</v>
      </c>
      <c r="K1629" s="2" t="str">
        <f>IF(Characters!J29="","",Characters!J29)</f>
        <v/>
      </c>
      <c r="L1629" s="2">
        <f t="shared" si="325"/>
        <v>0</v>
      </c>
      <c r="M1629" s="2">
        <f t="shared" si="326"/>
        <v>0</v>
      </c>
      <c r="N1629" s="2">
        <f t="shared" si="327"/>
        <v>0</v>
      </c>
      <c r="O1629" s="2">
        <f t="shared" si="328"/>
        <v>0</v>
      </c>
      <c r="P1629" s="112">
        <f t="shared" si="329"/>
        <v>0</v>
      </c>
      <c r="Q1629" s="112">
        <f t="shared" si="330"/>
        <v>0</v>
      </c>
      <c r="R1629" s="53"/>
      <c r="S1629" s="53" t="str">
        <f t="shared" si="331"/>
        <v>Characters|Characters Printing Plates Parallel|C-28|Printing Plate</v>
      </c>
      <c r="T1629" s="57" t="str">
        <f>IF($S1629="","",IFERROR(VLOOKUP($S1629,'Pop Estimates (Non-#d)'!$N$2:$O$500,2,FALSE),""))</f>
        <v/>
      </c>
      <c r="U1629" s="57">
        <f t="shared" si="332"/>
        <v>4</v>
      </c>
      <c r="V1629" s="53" t="str">
        <f t="shared" si="333"/>
        <v>Susan Rayner</v>
      </c>
      <c r="W1629" s="53" t="str">
        <f t="shared" si="334"/>
        <v>Susan Rayner</v>
      </c>
      <c r="X1629" s="53" t="str">
        <f t="shared" si="335"/>
        <v>Susan Rayner</v>
      </c>
      <c r="Y1629" s="57">
        <f>IF($X1629="","",IFERROR(VLOOKUP($X1629,'Char Popularity'!$A$2:$C$500,2,FALSE),""))</f>
        <v>3</v>
      </c>
      <c r="Z1629" s="56">
        <f>IF($X1629="",1,IFERROR(VLOOKUP($X1629,'Char Popularity'!$A$2:$C$500,3,FALSE),1))</f>
        <v>1</v>
      </c>
      <c r="AA1629" s="62">
        <f>IF($H1629&lt;&gt;"Y",0,(IF($F1629&lt;&gt;"",ROUND(Dashboard!$R$4/$F1629,1),IF(AND($I1629="Base",$E1629="Base"),Dashboard!$R$5,IF(AND($I1629="Base",$E1629="Red"),Dashboard!$R$6,IF(AND($I1629="Base",$E1629="Gold"),Dashboard!$R$7,VLOOKUP($I1629,Dashboard!$Q$16:$R$21,2,FALSE)))))*VLOOKUP($I1629,Dashboard!$Q$9:$R$13,2,FALSE)*IF(AND($I1629="Auto",$F1629="",OR($B1629="Autographs Duals",$B1629="Autographs Triples",$B1629="Autographs Quads",$B1629="Autographs Quads (Inscribed)")),IF($B1629="Autographs Duals",2,IF($B1629="Autographs Triples",3,4)),1)))</f>
        <v>0</v>
      </c>
      <c r="AB1629" s="62">
        <f t="shared" si="336"/>
        <v>0</v>
      </c>
      <c r="AC1629" s="62">
        <f t="shared" si="337"/>
        <v>0</v>
      </c>
    </row>
    <row r="1630" spans="1:29" ht="42.95" customHeight="1" x14ac:dyDescent="0.25">
      <c r="A1630" s="4" t="s">
        <v>21</v>
      </c>
      <c r="B1630" s="7" t="s">
        <v>795</v>
      </c>
      <c r="C1630" s="2" t="s">
        <v>424</v>
      </c>
      <c r="D1630" s="7" t="s">
        <v>1600</v>
      </c>
      <c r="E1630" s="4" t="s">
        <v>829</v>
      </c>
      <c r="F1630" s="2">
        <v>4</v>
      </c>
      <c r="G1630" s="2" t="s">
        <v>1400</v>
      </c>
      <c r="H1630" s="2" t="s">
        <v>1399</v>
      </c>
      <c r="I1630" s="4" t="s">
        <v>60</v>
      </c>
      <c r="J1630" s="112">
        <f>IF($H1630&lt;&gt;"Y",0,ROUND(MIN(Dashboard!$R$24,IF(IFERROR(VLOOKUP($B1630,Dashboard!$Q$28:$S$60,2,FALSE),0)&gt;0,IFERROR(VLOOKUP($B1630,Dashboard!$Q$28:$S$60,2,FALSE),0),$Z1630*IF($U1630&lt;&gt;"",ROUND((Dashboard!$R$4/$U1630)*VLOOKUP($I1630,Dashboard!$Q$9:$R$13,2,FALSE)*IF(ISNUMBER(SEARCH("Duals",$B1630)),2,IF(ISNUMBER(SEARCH("Triples",$B1630)),3,IF(ISNUMBER(SEARCH("Quads",$B1630)),4,1))),2),ROUND(VLOOKUP($I1630,Dashboard!$Q$15:$R$20,2,FALSE)*IF($E1630="Red",Dashboard!$R$6,IF($E1630="Gold",Dashboard!$R$7,Dashboard!$R$5))*IF(ISNUMBER(SEARCH("Duals",$B1630)),2,IF(ISNUMBER(SEARCH("Triples",$B1630)),3,IF(ISNUMBER(SEARCH("Quads",$B1630)),4,1))),2))*IF(IFERROR(VLOOKUP($B1630,Dashboard!$Q$28:$S$60,3,FALSE),0)&gt;0,VLOOKUP($B1630,Dashboard!$Q$28:$S$60,3,FALSE),1))),0))</f>
        <v>0</v>
      </c>
      <c r="K1630" s="2" t="str">
        <f>IF(Characters!J30="","",Characters!J30)</f>
        <v/>
      </c>
      <c r="L1630" s="2">
        <f t="shared" si="325"/>
        <v>0</v>
      </c>
      <c r="M1630" s="2">
        <f t="shared" si="326"/>
        <v>0</v>
      </c>
      <c r="N1630" s="2">
        <f t="shared" si="327"/>
        <v>0</v>
      </c>
      <c r="O1630" s="2">
        <f t="shared" si="328"/>
        <v>0</v>
      </c>
      <c r="P1630" s="112">
        <f t="shared" si="329"/>
        <v>0</v>
      </c>
      <c r="Q1630" s="112">
        <f t="shared" si="330"/>
        <v>0</v>
      </c>
      <c r="R1630" s="53"/>
      <c r="S1630" s="53" t="str">
        <f t="shared" si="331"/>
        <v>Characters|Characters Printing Plates Parallel|C-29|Printing Plate</v>
      </c>
      <c r="T1630" s="57" t="str">
        <f>IF($S1630="","",IFERROR(VLOOKUP($S1630,'Pop Estimates (Non-#d)'!$N$2:$O$500,2,FALSE),""))</f>
        <v/>
      </c>
      <c r="U1630" s="57">
        <f t="shared" si="332"/>
        <v>4</v>
      </c>
      <c r="V1630" s="53" t="str">
        <f t="shared" si="333"/>
        <v>Robin</v>
      </c>
      <c r="W1630" s="53" t="str">
        <f t="shared" si="334"/>
        <v>Robin</v>
      </c>
      <c r="X1630" s="53" t="str">
        <f t="shared" si="335"/>
        <v>Robin</v>
      </c>
      <c r="Y1630" s="57">
        <f>IF($X1630="","",IFERROR(VLOOKUP($X1630,'Char Popularity'!$A$2:$C$500,2,FALSE),""))</f>
        <v>3</v>
      </c>
      <c r="Z1630" s="56">
        <f>IF($X1630="",1,IFERROR(VLOOKUP($X1630,'Char Popularity'!$A$2:$C$500,3,FALSE),1))</f>
        <v>1</v>
      </c>
      <c r="AA1630" s="62">
        <f>IF($H1630&lt;&gt;"Y",0,(IF($F1630&lt;&gt;"",ROUND(Dashboard!$R$4/$F1630,1),IF(AND($I1630="Base",$E1630="Base"),Dashboard!$R$5,IF(AND($I1630="Base",$E1630="Red"),Dashboard!$R$6,IF(AND($I1630="Base",$E1630="Gold"),Dashboard!$R$7,VLOOKUP($I1630,Dashboard!$Q$16:$R$21,2,FALSE)))))*VLOOKUP($I1630,Dashboard!$Q$9:$R$13,2,FALSE)*IF(AND($I1630="Auto",$F1630="",OR($B1630="Autographs Duals",$B1630="Autographs Triples",$B1630="Autographs Quads",$B1630="Autographs Quads (Inscribed)")),IF($B1630="Autographs Duals",2,IF($B1630="Autographs Triples",3,4)),1)))</f>
        <v>0</v>
      </c>
      <c r="AB1630" s="62">
        <f t="shared" si="336"/>
        <v>0</v>
      </c>
      <c r="AC1630" s="62">
        <f t="shared" si="337"/>
        <v>0</v>
      </c>
    </row>
    <row r="1631" spans="1:29" ht="42.95" customHeight="1" x14ac:dyDescent="0.25">
      <c r="A1631" s="4" t="s">
        <v>21</v>
      </c>
      <c r="B1631" s="7" t="s">
        <v>795</v>
      </c>
      <c r="C1631" s="2" t="s">
        <v>1239</v>
      </c>
      <c r="D1631" s="7" t="s">
        <v>1233</v>
      </c>
      <c r="E1631" s="4" t="s">
        <v>829</v>
      </c>
      <c r="F1631" s="2">
        <v>4</v>
      </c>
      <c r="G1631" s="2" t="s">
        <v>1400</v>
      </c>
      <c r="H1631" s="2" t="s">
        <v>1399</v>
      </c>
      <c r="I1631" s="4" t="s">
        <v>60</v>
      </c>
      <c r="J1631" s="112">
        <f>IF($H1631&lt;&gt;"Y",0,ROUND(MIN(Dashboard!$R$24,IF(IFERROR(VLOOKUP($B1631,Dashboard!$Q$28:$S$60,2,FALSE),0)&gt;0,IFERROR(VLOOKUP($B1631,Dashboard!$Q$28:$S$60,2,FALSE),0),$Z1631*IF($U1631&lt;&gt;"",ROUND((Dashboard!$R$4/$U1631)*VLOOKUP($I1631,Dashboard!$Q$9:$R$13,2,FALSE)*IF(ISNUMBER(SEARCH("Duals",$B1631)),2,IF(ISNUMBER(SEARCH("Triples",$B1631)),3,IF(ISNUMBER(SEARCH("Quads",$B1631)),4,1))),2),ROUND(VLOOKUP($I1631,Dashboard!$Q$15:$R$20,2,FALSE)*IF($E1631="Red",Dashboard!$R$6,IF($E1631="Gold",Dashboard!$R$7,Dashboard!$R$5))*IF(ISNUMBER(SEARCH("Duals",$B1631)),2,IF(ISNUMBER(SEARCH("Triples",$B1631)),3,IF(ISNUMBER(SEARCH("Quads",$B1631)),4,1))),2))*IF(IFERROR(VLOOKUP($B1631,Dashboard!$Q$28:$S$60,3,FALSE),0)&gt;0,VLOOKUP($B1631,Dashboard!$Q$28:$S$60,3,FALSE),1))),0))</f>
        <v>0</v>
      </c>
      <c r="K1631" s="2" t="str">
        <f>IF(Characters!J31="","",Characters!J31)</f>
        <v/>
      </c>
      <c r="L1631" s="2">
        <f t="shared" si="325"/>
        <v>0</v>
      </c>
      <c r="M1631" s="2">
        <f t="shared" si="326"/>
        <v>0</v>
      </c>
      <c r="N1631" s="2">
        <f t="shared" si="327"/>
        <v>0</v>
      </c>
      <c r="O1631" s="2">
        <f t="shared" si="328"/>
        <v>0</v>
      </c>
      <c r="P1631" s="112">
        <f t="shared" si="329"/>
        <v>0</v>
      </c>
      <c r="Q1631" s="112">
        <f t="shared" si="330"/>
        <v>0</v>
      </c>
      <c r="R1631" s="53"/>
      <c r="S1631" s="53" t="str">
        <f t="shared" si="331"/>
        <v>Characters|Characters Printing Plates Parallel|C-30|Printing Plate</v>
      </c>
      <c r="T1631" s="57" t="str">
        <f>IF($S1631="","",IFERROR(VLOOKUP($S1631,'Pop Estimates (Non-#d)'!$N$2:$O$500,2,FALSE),""))</f>
        <v/>
      </c>
      <c r="U1631" s="57">
        <f t="shared" si="332"/>
        <v>4</v>
      </c>
      <c r="V1631" s="53" t="str">
        <f t="shared" si="333"/>
        <v>Mesmer</v>
      </c>
      <c r="W1631" s="53" t="str">
        <f t="shared" si="334"/>
        <v>Mesmer</v>
      </c>
      <c r="X1631" s="53" t="str">
        <f t="shared" si="335"/>
        <v>Mesmer</v>
      </c>
      <c r="Y1631" s="57">
        <f>IF($X1631="","",IFERROR(VLOOKUP($X1631,'Char Popularity'!$A$2:$C$500,2,FALSE),""))</f>
        <v>2</v>
      </c>
      <c r="Z1631" s="56">
        <f>IF($X1631="",1,IFERROR(VLOOKUP($X1631,'Char Popularity'!$A$2:$C$500,3,FALSE),1))</f>
        <v>0.9</v>
      </c>
      <c r="AA1631" s="62">
        <f>IF($H1631&lt;&gt;"Y",0,(IF($F1631&lt;&gt;"",ROUND(Dashboard!$R$4/$F1631,1),IF(AND($I1631="Base",$E1631="Base"),Dashboard!$R$5,IF(AND($I1631="Base",$E1631="Red"),Dashboard!$R$6,IF(AND($I1631="Base",$E1631="Gold"),Dashboard!$R$7,VLOOKUP($I1631,Dashboard!$Q$16:$R$21,2,FALSE)))))*VLOOKUP($I1631,Dashboard!$Q$9:$R$13,2,FALSE)*IF(AND($I1631="Auto",$F1631="",OR($B1631="Autographs Duals",$B1631="Autographs Triples",$B1631="Autographs Quads",$B1631="Autographs Quads (Inscribed)")),IF($B1631="Autographs Duals",2,IF($B1631="Autographs Triples",3,4)),1)))</f>
        <v>0</v>
      </c>
      <c r="AB1631" s="62">
        <f t="shared" si="336"/>
        <v>0</v>
      </c>
      <c r="AC1631" s="62">
        <f t="shared" si="337"/>
        <v>0</v>
      </c>
    </row>
    <row r="1632" spans="1:29" ht="42.95" customHeight="1" x14ac:dyDescent="0.25">
      <c r="A1632" s="4" t="s">
        <v>21</v>
      </c>
      <c r="B1632" s="7" t="s">
        <v>795</v>
      </c>
      <c r="C1632" s="2" t="s">
        <v>426</v>
      </c>
      <c r="D1632" s="7" t="s">
        <v>250</v>
      </c>
      <c r="E1632" s="4" t="s">
        <v>829</v>
      </c>
      <c r="F1632" s="2">
        <v>4</v>
      </c>
      <c r="G1632" s="2" t="s">
        <v>1400</v>
      </c>
      <c r="H1632" s="2" t="s">
        <v>1399</v>
      </c>
      <c r="I1632" s="4" t="s">
        <v>60</v>
      </c>
      <c r="J1632" s="112">
        <f>IF($H1632&lt;&gt;"Y",0,ROUND(MIN(Dashboard!$R$24,IF(IFERROR(VLOOKUP($B1632,Dashboard!$Q$28:$S$60,2,FALSE),0)&gt;0,IFERROR(VLOOKUP($B1632,Dashboard!$Q$28:$S$60,2,FALSE),0),$Z1632*IF($U1632&lt;&gt;"",ROUND((Dashboard!$R$4/$U1632)*VLOOKUP($I1632,Dashboard!$Q$9:$R$13,2,FALSE)*IF(ISNUMBER(SEARCH("Duals",$B1632)),2,IF(ISNUMBER(SEARCH("Triples",$B1632)),3,IF(ISNUMBER(SEARCH("Quads",$B1632)),4,1))),2),ROUND(VLOOKUP($I1632,Dashboard!$Q$15:$R$20,2,FALSE)*IF($E1632="Red",Dashboard!$R$6,IF($E1632="Gold",Dashboard!$R$7,Dashboard!$R$5))*IF(ISNUMBER(SEARCH("Duals",$B1632)),2,IF(ISNUMBER(SEARCH("Triples",$B1632)),3,IF(ISNUMBER(SEARCH("Quads",$B1632)),4,1))),2))*IF(IFERROR(VLOOKUP($B1632,Dashboard!$Q$28:$S$60,3,FALSE),0)&gt;0,VLOOKUP($B1632,Dashboard!$Q$28:$S$60,3,FALSE),1))),0))</f>
        <v>0</v>
      </c>
      <c r="K1632" s="2" t="str">
        <f>IF(Characters!J32="","",Characters!J32)</f>
        <v/>
      </c>
      <c r="L1632" s="2">
        <f t="shared" si="325"/>
        <v>0</v>
      </c>
      <c r="M1632" s="2">
        <f t="shared" si="326"/>
        <v>0</v>
      </c>
      <c r="N1632" s="2">
        <f t="shared" si="327"/>
        <v>0</v>
      </c>
      <c r="O1632" s="2">
        <f t="shared" si="328"/>
        <v>0</v>
      </c>
      <c r="P1632" s="112">
        <f t="shared" si="329"/>
        <v>0</v>
      </c>
      <c r="Q1632" s="112">
        <f t="shared" si="330"/>
        <v>0</v>
      </c>
      <c r="R1632" s="53"/>
      <c r="S1632" s="53" t="str">
        <f t="shared" si="331"/>
        <v>Characters|Characters Printing Plates Parallel|C-31|Printing Plate</v>
      </c>
      <c r="T1632" s="57" t="str">
        <f>IF($S1632="","",IFERROR(VLOOKUP($S1632,'Pop Estimates (Non-#d)'!$N$2:$O$500,2,FALSE),""))</f>
        <v/>
      </c>
      <c r="U1632" s="57">
        <f t="shared" si="332"/>
        <v>4</v>
      </c>
      <c r="V1632" s="53" t="str">
        <f t="shared" si="333"/>
        <v>Madelyn Stillwell</v>
      </c>
      <c r="W1632" s="53" t="str">
        <f t="shared" si="334"/>
        <v>Madelyn Stillwell</v>
      </c>
      <c r="X1632" s="53" t="str">
        <f t="shared" si="335"/>
        <v>Madelyn Stillwell</v>
      </c>
      <c r="Y1632" s="57">
        <f>IF($X1632="","",IFERROR(VLOOKUP($X1632,'Char Popularity'!$A$2:$C$500,2,FALSE),""))</f>
        <v>3</v>
      </c>
      <c r="Z1632" s="56">
        <f>IF($X1632="",1,IFERROR(VLOOKUP($X1632,'Char Popularity'!$A$2:$C$500,3,FALSE),1))</f>
        <v>1</v>
      </c>
      <c r="AA1632" s="62">
        <f>IF($H1632&lt;&gt;"Y",0,(IF($F1632&lt;&gt;"",ROUND(Dashboard!$R$4/$F1632,1),IF(AND($I1632="Base",$E1632="Base"),Dashboard!$R$5,IF(AND($I1632="Base",$E1632="Red"),Dashboard!$R$6,IF(AND($I1632="Base",$E1632="Gold"),Dashboard!$R$7,VLOOKUP($I1632,Dashboard!$Q$16:$R$21,2,FALSE)))))*VLOOKUP($I1632,Dashboard!$Q$9:$R$13,2,FALSE)*IF(AND($I1632="Auto",$F1632="",OR($B1632="Autographs Duals",$B1632="Autographs Triples",$B1632="Autographs Quads",$B1632="Autographs Quads (Inscribed)")),IF($B1632="Autographs Duals",2,IF($B1632="Autographs Triples",3,4)),1)))</f>
        <v>0</v>
      </c>
      <c r="AB1632" s="62">
        <f t="shared" si="336"/>
        <v>0</v>
      </c>
      <c r="AC1632" s="62">
        <f t="shared" si="337"/>
        <v>0</v>
      </c>
    </row>
    <row r="1633" spans="1:29" ht="42.95" customHeight="1" x14ac:dyDescent="0.25">
      <c r="A1633" s="4" t="s">
        <v>21</v>
      </c>
      <c r="B1633" s="7" t="s">
        <v>795</v>
      </c>
      <c r="C1633" s="2" t="s">
        <v>1242</v>
      </c>
      <c r="D1633" s="7" t="s">
        <v>1243</v>
      </c>
      <c r="E1633" s="4" t="s">
        <v>829</v>
      </c>
      <c r="F1633" s="2">
        <v>4</v>
      </c>
      <c r="G1633" s="2" t="s">
        <v>1400</v>
      </c>
      <c r="H1633" s="2" t="s">
        <v>1399</v>
      </c>
      <c r="I1633" s="4" t="s">
        <v>60</v>
      </c>
      <c r="J1633" s="112">
        <f>IF($H1633&lt;&gt;"Y",0,ROUND(MIN(Dashboard!$R$24,IF(IFERROR(VLOOKUP($B1633,Dashboard!$Q$28:$S$60,2,FALSE),0)&gt;0,IFERROR(VLOOKUP($B1633,Dashboard!$Q$28:$S$60,2,FALSE),0),$Z1633*IF($U1633&lt;&gt;"",ROUND((Dashboard!$R$4/$U1633)*VLOOKUP($I1633,Dashboard!$Q$9:$R$13,2,FALSE)*IF(ISNUMBER(SEARCH("Duals",$B1633)),2,IF(ISNUMBER(SEARCH("Triples",$B1633)),3,IF(ISNUMBER(SEARCH("Quads",$B1633)),4,1))),2),ROUND(VLOOKUP($I1633,Dashboard!$Q$15:$R$20,2,FALSE)*IF($E1633="Red",Dashboard!$R$6,IF($E1633="Gold",Dashboard!$R$7,Dashboard!$R$5))*IF(ISNUMBER(SEARCH("Duals",$B1633)),2,IF(ISNUMBER(SEARCH("Triples",$B1633)),3,IF(ISNUMBER(SEARCH("Quads",$B1633)),4,1))),2))*IF(IFERROR(VLOOKUP($B1633,Dashboard!$Q$28:$S$60,3,FALSE),0)&gt;0,VLOOKUP($B1633,Dashboard!$Q$28:$S$60,3,FALSE),1))),0))</f>
        <v>0</v>
      </c>
      <c r="K1633" s="2" t="str">
        <f>IF(Characters!J33="","",Characters!J33)</f>
        <v>C Yellow</v>
      </c>
      <c r="L1633" s="2">
        <f t="shared" si="325"/>
        <v>1</v>
      </c>
      <c r="M1633" s="2">
        <f t="shared" si="326"/>
        <v>0</v>
      </c>
      <c r="N1633" s="2">
        <f t="shared" si="327"/>
        <v>1</v>
      </c>
      <c r="O1633" s="2">
        <f t="shared" si="328"/>
        <v>0</v>
      </c>
      <c r="P1633" s="112">
        <f t="shared" si="329"/>
        <v>0</v>
      </c>
      <c r="Q1633" s="112">
        <f t="shared" si="330"/>
        <v>0</v>
      </c>
      <c r="R1633" s="53"/>
      <c r="S1633" s="53" t="str">
        <f t="shared" si="331"/>
        <v>Characters|Characters Printing Plates Parallel|C-32|Printing Plate</v>
      </c>
      <c r="T1633" s="57" t="str">
        <f>IF($S1633="","",IFERROR(VLOOKUP($S1633,'Pop Estimates (Non-#d)'!$N$2:$O$500,2,FALSE),""))</f>
        <v/>
      </c>
      <c r="U1633" s="57">
        <f t="shared" si="332"/>
        <v>4</v>
      </c>
      <c r="V1633" s="53" t="str">
        <f t="shared" si="333"/>
        <v/>
      </c>
      <c r="W1633" s="53" t="str">
        <f t="shared" si="334"/>
        <v/>
      </c>
      <c r="X1633" s="53" t="str">
        <f t="shared" si="335"/>
        <v/>
      </c>
      <c r="Y1633" s="57" t="str">
        <f>IF($X1633="","",IFERROR(VLOOKUP($X1633,'Char Popularity'!$A$2:$C$500,2,FALSE),""))</f>
        <v/>
      </c>
      <c r="Z1633" s="56">
        <f>IF($X1633="",1,IFERROR(VLOOKUP($X1633,'Char Popularity'!$A$2:$C$500,3,FALSE),1))</f>
        <v>1</v>
      </c>
      <c r="AA1633" s="62">
        <f>IF($H1633&lt;&gt;"Y",0,(IF($F1633&lt;&gt;"",ROUND(Dashboard!$R$4/$F1633,1),IF(AND($I1633="Base",$E1633="Base"),Dashboard!$R$5,IF(AND($I1633="Base",$E1633="Red"),Dashboard!$R$6,IF(AND($I1633="Base",$E1633="Gold"),Dashboard!$R$7,VLOOKUP($I1633,Dashboard!$Q$16:$R$21,2,FALSE)))))*VLOOKUP($I1633,Dashboard!$Q$9:$R$13,2,FALSE)*IF(AND($I1633="Auto",$F1633="",OR($B1633="Autographs Duals",$B1633="Autographs Triples",$B1633="Autographs Quads",$B1633="Autographs Quads (Inscribed)")),IF($B1633="Autographs Duals",2,IF($B1633="Autographs Triples",3,4)),1)))</f>
        <v>0</v>
      </c>
      <c r="AB1633" s="62">
        <f t="shared" si="336"/>
        <v>0</v>
      </c>
      <c r="AC1633" s="62">
        <f t="shared" si="337"/>
        <v>0</v>
      </c>
    </row>
    <row r="1634" spans="1:29" ht="42.95" customHeight="1" x14ac:dyDescent="0.25">
      <c r="A1634" s="4" t="s">
        <v>21</v>
      </c>
      <c r="B1634" s="7" t="s">
        <v>795</v>
      </c>
      <c r="C1634" s="2" t="s">
        <v>1244</v>
      </c>
      <c r="D1634" s="7" t="s">
        <v>1245</v>
      </c>
      <c r="E1634" s="4" t="s">
        <v>829</v>
      </c>
      <c r="F1634" s="2">
        <v>4</v>
      </c>
      <c r="G1634" s="2" t="s">
        <v>1400</v>
      </c>
      <c r="H1634" s="2" t="s">
        <v>1399</v>
      </c>
      <c r="I1634" s="4" t="s">
        <v>60</v>
      </c>
      <c r="J1634" s="112">
        <f>IF($H1634&lt;&gt;"Y",0,ROUND(MIN(Dashboard!$R$24,IF(IFERROR(VLOOKUP($B1634,Dashboard!$Q$28:$S$60,2,FALSE),0)&gt;0,IFERROR(VLOOKUP($B1634,Dashboard!$Q$28:$S$60,2,FALSE),0),$Z1634*IF($U1634&lt;&gt;"",ROUND((Dashboard!$R$4/$U1634)*VLOOKUP($I1634,Dashboard!$Q$9:$R$13,2,FALSE)*IF(ISNUMBER(SEARCH("Duals",$B1634)),2,IF(ISNUMBER(SEARCH("Triples",$B1634)),3,IF(ISNUMBER(SEARCH("Quads",$B1634)),4,1))),2),ROUND(VLOOKUP($I1634,Dashboard!$Q$15:$R$20,2,FALSE)*IF($E1634="Red",Dashboard!$R$6,IF($E1634="Gold",Dashboard!$R$7,Dashboard!$R$5))*IF(ISNUMBER(SEARCH("Duals",$B1634)),2,IF(ISNUMBER(SEARCH("Triples",$B1634)),3,IF(ISNUMBER(SEARCH("Quads",$B1634)),4,1))),2))*IF(IFERROR(VLOOKUP($B1634,Dashboard!$Q$28:$S$60,3,FALSE),0)&gt;0,VLOOKUP($B1634,Dashboard!$Q$28:$S$60,3,FALSE),1))),0))</f>
        <v>0</v>
      </c>
      <c r="K1634" s="2" t="str">
        <f>IF(Characters!J34="","",Characters!J34)</f>
        <v/>
      </c>
      <c r="L1634" s="2">
        <f t="shared" si="325"/>
        <v>0</v>
      </c>
      <c r="M1634" s="2">
        <f t="shared" si="326"/>
        <v>0</v>
      </c>
      <c r="N1634" s="2">
        <f t="shared" si="327"/>
        <v>0</v>
      </c>
      <c r="O1634" s="2">
        <f t="shared" si="328"/>
        <v>0</v>
      </c>
      <c r="P1634" s="112">
        <f t="shared" si="329"/>
        <v>0</v>
      </c>
      <c r="Q1634" s="112">
        <f t="shared" si="330"/>
        <v>0</v>
      </c>
      <c r="R1634" s="53"/>
      <c r="S1634" s="53" t="str">
        <f t="shared" si="331"/>
        <v>Characters|Characters Printing Plates Parallel|C-33|Printing Plate</v>
      </c>
      <c r="T1634" s="57" t="str">
        <f>IF($S1634="","",IFERROR(VLOOKUP($S1634,'Pop Estimates (Non-#d)'!$N$2:$O$500,2,FALSE),""))</f>
        <v/>
      </c>
      <c r="U1634" s="57">
        <f t="shared" si="332"/>
        <v>4</v>
      </c>
      <c r="V1634" s="53" t="str">
        <f t="shared" si="333"/>
        <v>Eagle the Archer</v>
      </c>
      <c r="W1634" s="53" t="str">
        <f t="shared" si="334"/>
        <v>Eagle the Archer</v>
      </c>
      <c r="X1634" s="53" t="str">
        <f t="shared" si="335"/>
        <v>Eagle the Archer</v>
      </c>
      <c r="Y1634" s="57">
        <f>IF($X1634="","",IFERROR(VLOOKUP($X1634,'Char Popularity'!$A$2:$C$500,2,FALSE),""))</f>
        <v>3</v>
      </c>
      <c r="Z1634" s="56">
        <f>IF($X1634="",1,IFERROR(VLOOKUP($X1634,'Char Popularity'!$A$2:$C$500,3,FALSE),1))</f>
        <v>1</v>
      </c>
      <c r="AA1634" s="62">
        <f>IF($H1634&lt;&gt;"Y",0,(IF($F1634&lt;&gt;"",ROUND(Dashboard!$R$4/$F1634,1),IF(AND($I1634="Base",$E1634="Base"),Dashboard!$R$5,IF(AND($I1634="Base",$E1634="Red"),Dashboard!$R$6,IF(AND($I1634="Base",$E1634="Gold"),Dashboard!$R$7,VLOOKUP($I1634,Dashboard!$Q$16:$R$21,2,FALSE)))))*VLOOKUP($I1634,Dashboard!$Q$9:$R$13,2,FALSE)*IF(AND($I1634="Auto",$F1634="",OR($B1634="Autographs Duals",$B1634="Autographs Triples",$B1634="Autographs Quads",$B1634="Autographs Quads (Inscribed)")),IF($B1634="Autographs Duals",2,IF($B1634="Autographs Triples",3,4)),1)))</f>
        <v>0</v>
      </c>
      <c r="AB1634" s="62">
        <f t="shared" si="336"/>
        <v>0</v>
      </c>
      <c r="AC1634" s="62">
        <f t="shared" si="337"/>
        <v>0</v>
      </c>
    </row>
    <row r="1635" spans="1:29" ht="42.95" customHeight="1" x14ac:dyDescent="0.25">
      <c r="A1635" s="4" t="s">
        <v>21</v>
      </c>
      <c r="B1635" s="7" t="s">
        <v>795</v>
      </c>
      <c r="C1635" s="2" t="s">
        <v>1247</v>
      </c>
      <c r="D1635" s="7" t="s">
        <v>1248</v>
      </c>
      <c r="E1635" s="4" t="s">
        <v>829</v>
      </c>
      <c r="F1635" s="2">
        <v>4</v>
      </c>
      <c r="G1635" s="2" t="s">
        <v>1400</v>
      </c>
      <c r="H1635" s="2" t="s">
        <v>1399</v>
      </c>
      <c r="I1635" s="4" t="s">
        <v>60</v>
      </c>
      <c r="J1635" s="112">
        <f>IF($H1635&lt;&gt;"Y",0,ROUND(MIN(Dashboard!$R$24,IF(IFERROR(VLOOKUP($B1635,Dashboard!$Q$28:$S$60,2,FALSE),0)&gt;0,IFERROR(VLOOKUP($B1635,Dashboard!$Q$28:$S$60,2,FALSE),0),$Z1635*IF($U1635&lt;&gt;"",ROUND((Dashboard!$R$4/$U1635)*VLOOKUP($I1635,Dashboard!$Q$9:$R$13,2,FALSE)*IF(ISNUMBER(SEARCH("Duals",$B1635)),2,IF(ISNUMBER(SEARCH("Triples",$B1635)),3,IF(ISNUMBER(SEARCH("Quads",$B1635)),4,1))),2),ROUND(VLOOKUP($I1635,Dashboard!$Q$15:$R$20,2,FALSE)*IF($E1635="Red",Dashboard!$R$6,IF($E1635="Gold",Dashboard!$R$7,Dashboard!$R$5))*IF(ISNUMBER(SEARCH("Duals",$B1635)),2,IF(ISNUMBER(SEARCH("Triples",$B1635)),3,IF(ISNUMBER(SEARCH("Quads",$B1635)),4,1))),2))*IF(IFERROR(VLOOKUP($B1635,Dashboard!$Q$28:$S$60,3,FALSE),0)&gt;0,VLOOKUP($B1635,Dashboard!$Q$28:$S$60,3,FALSE),1))),0))</f>
        <v>0</v>
      </c>
      <c r="K1635" s="2" t="str">
        <f>IF(Characters!J35="","",Characters!J35)</f>
        <v/>
      </c>
      <c r="L1635" s="2">
        <f t="shared" si="325"/>
        <v>0</v>
      </c>
      <c r="M1635" s="2">
        <f t="shared" si="326"/>
        <v>0</v>
      </c>
      <c r="N1635" s="2">
        <f t="shared" si="327"/>
        <v>0</v>
      </c>
      <c r="O1635" s="2">
        <f t="shared" si="328"/>
        <v>0</v>
      </c>
      <c r="P1635" s="112">
        <f t="shared" si="329"/>
        <v>0</v>
      </c>
      <c r="Q1635" s="112">
        <f t="shared" si="330"/>
        <v>0</v>
      </c>
      <c r="R1635" s="53"/>
      <c r="S1635" s="53" t="str">
        <f t="shared" si="331"/>
        <v>Characters|Characters Printing Plates Parallel|C-34|Printing Plate</v>
      </c>
      <c r="T1635" s="57" t="str">
        <f>IF($S1635="","",IFERROR(VLOOKUP($S1635,'Pop Estimates (Non-#d)'!$N$2:$O$500,2,FALSE),""))</f>
        <v/>
      </c>
      <c r="U1635" s="57">
        <f t="shared" si="332"/>
        <v>4</v>
      </c>
      <c r="V1635" s="53" t="str">
        <f t="shared" si="333"/>
        <v>Carol</v>
      </c>
      <c r="W1635" s="53" t="str">
        <f t="shared" si="334"/>
        <v>Carol</v>
      </c>
      <c r="X1635" s="53" t="str">
        <f t="shared" si="335"/>
        <v>Carol</v>
      </c>
      <c r="Y1635" s="57">
        <f>IF($X1635="","",IFERROR(VLOOKUP($X1635,'Char Popularity'!$A$2:$C$500,2,FALSE),""))</f>
        <v>3</v>
      </c>
      <c r="Z1635" s="56">
        <f>IF($X1635="",1,IFERROR(VLOOKUP($X1635,'Char Popularity'!$A$2:$C$500,3,FALSE),1))</f>
        <v>1</v>
      </c>
      <c r="AA1635" s="62">
        <f>IF($H1635&lt;&gt;"Y",0,(IF($F1635&lt;&gt;"",ROUND(Dashboard!$R$4/$F1635,1),IF(AND($I1635="Base",$E1635="Base"),Dashboard!$R$5,IF(AND($I1635="Base",$E1635="Red"),Dashboard!$R$6,IF(AND($I1635="Base",$E1635="Gold"),Dashboard!$R$7,VLOOKUP($I1635,Dashboard!$Q$16:$R$21,2,FALSE)))))*VLOOKUP($I1635,Dashboard!$Q$9:$R$13,2,FALSE)*IF(AND($I1635="Auto",$F1635="",OR($B1635="Autographs Duals",$B1635="Autographs Triples",$B1635="Autographs Quads",$B1635="Autographs Quads (Inscribed)")),IF($B1635="Autographs Duals",2,IF($B1635="Autographs Triples",3,4)),1)))</f>
        <v>0</v>
      </c>
      <c r="AB1635" s="62">
        <f t="shared" si="336"/>
        <v>0</v>
      </c>
      <c r="AC1635" s="62">
        <f t="shared" si="337"/>
        <v>0</v>
      </c>
    </row>
    <row r="1636" spans="1:29" ht="42.95" customHeight="1" x14ac:dyDescent="0.25">
      <c r="A1636" s="4" t="s">
        <v>21</v>
      </c>
      <c r="B1636" s="7" t="s">
        <v>795</v>
      </c>
      <c r="C1636" s="2" t="s">
        <v>1250</v>
      </c>
      <c r="D1636" s="7" t="s">
        <v>1251</v>
      </c>
      <c r="E1636" s="4" t="s">
        <v>829</v>
      </c>
      <c r="F1636" s="2">
        <v>4</v>
      </c>
      <c r="G1636" s="2" t="s">
        <v>1400</v>
      </c>
      <c r="H1636" s="2" t="s">
        <v>1399</v>
      </c>
      <c r="I1636" s="4" t="s">
        <v>60</v>
      </c>
      <c r="J1636" s="112">
        <f>IF($H1636&lt;&gt;"Y",0,ROUND(MIN(Dashboard!$R$24,IF(IFERROR(VLOOKUP($B1636,Dashboard!$Q$28:$S$60,2,FALSE),0)&gt;0,IFERROR(VLOOKUP($B1636,Dashboard!$Q$28:$S$60,2,FALSE),0),$Z1636*IF($U1636&lt;&gt;"",ROUND((Dashboard!$R$4/$U1636)*VLOOKUP($I1636,Dashboard!$Q$9:$R$13,2,FALSE)*IF(ISNUMBER(SEARCH("Duals",$B1636)),2,IF(ISNUMBER(SEARCH("Triples",$B1636)),3,IF(ISNUMBER(SEARCH("Quads",$B1636)),4,1))),2),ROUND(VLOOKUP($I1636,Dashboard!$Q$15:$R$20,2,FALSE)*IF($E1636="Red",Dashboard!$R$6,IF($E1636="Gold",Dashboard!$R$7,Dashboard!$R$5))*IF(ISNUMBER(SEARCH("Duals",$B1636)),2,IF(ISNUMBER(SEARCH("Triples",$B1636)),3,IF(ISNUMBER(SEARCH("Quads",$B1636)),4,1))),2))*IF(IFERROR(VLOOKUP($B1636,Dashboard!$Q$28:$S$60,3,FALSE),0)&gt;0,VLOOKUP($B1636,Dashboard!$Q$28:$S$60,3,FALSE),1))),0))</f>
        <v>0</v>
      </c>
      <c r="K1636" s="2" t="str">
        <f>IF(Characters!J36="","",Characters!J36)</f>
        <v/>
      </c>
      <c r="L1636" s="2">
        <f t="shared" si="325"/>
        <v>0</v>
      </c>
      <c r="M1636" s="2">
        <f t="shared" si="326"/>
        <v>0</v>
      </c>
      <c r="N1636" s="2">
        <f t="shared" si="327"/>
        <v>0</v>
      </c>
      <c r="O1636" s="2">
        <f t="shared" si="328"/>
        <v>0</v>
      </c>
      <c r="P1636" s="112">
        <f t="shared" si="329"/>
        <v>0</v>
      </c>
      <c r="Q1636" s="112">
        <f t="shared" si="330"/>
        <v>0</v>
      </c>
      <c r="R1636" s="53"/>
      <c r="S1636" s="53" t="str">
        <f t="shared" si="331"/>
        <v>Characters|Characters Printing Plates Parallel|C-35|Printing Plate</v>
      </c>
      <c r="T1636" s="57" t="str">
        <f>IF($S1636="","",IFERROR(VLOOKUP($S1636,'Pop Estimates (Non-#d)'!$N$2:$O$500,2,FALSE),""))</f>
        <v/>
      </c>
      <c r="U1636" s="57">
        <f t="shared" si="332"/>
        <v>4</v>
      </c>
      <c r="V1636" s="53" t="str">
        <f t="shared" si="333"/>
        <v>Kenji Miyashiro</v>
      </c>
      <c r="W1636" s="53" t="str">
        <f t="shared" si="334"/>
        <v>Kenji Miyashiro</v>
      </c>
      <c r="X1636" s="53" t="str">
        <f t="shared" si="335"/>
        <v>Kenji Miyashiro</v>
      </c>
      <c r="Y1636" s="57">
        <f>IF($X1636="","",IFERROR(VLOOKUP($X1636,'Char Popularity'!$A$2:$C$500,2,FALSE),""))</f>
        <v>2</v>
      </c>
      <c r="Z1636" s="56">
        <f>IF($X1636="",1,IFERROR(VLOOKUP($X1636,'Char Popularity'!$A$2:$C$500,3,FALSE),1))</f>
        <v>0.9</v>
      </c>
      <c r="AA1636" s="62">
        <f>IF($H1636&lt;&gt;"Y",0,(IF($F1636&lt;&gt;"",ROUND(Dashboard!$R$4/$F1636,1),IF(AND($I1636="Base",$E1636="Base"),Dashboard!$R$5,IF(AND($I1636="Base",$E1636="Red"),Dashboard!$R$6,IF(AND($I1636="Base",$E1636="Gold"),Dashboard!$R$7,VLOOKUP($I1636,Dashboard!$Q$16:$R$21,2,FALSE)))))*VLOOKUP($I1636,Dashboard!$Q$9:$R$13,2,FALSE)*IF(AND($I1636="Auto",$F1636="",OR($B1636="Autographs Duals",$B1636="Autographs Triples",$B1636="Autographs Quads",$B1636="Autographs Quads (Inscribed)")),IF($B1636="Autographs Duals",2,IF($B1636="Autographs Triples",3,4)),1)))</f>
        <v>0</v>
      </c>
      <c r="AB1636" s="62">
        <f t="shared" si="336"/>
        <v>0</v>
      </c>
      <c r="AC1636" s="62">
        <f t="shared" si="337"/>
        <v>0</v>
      </c>
    </row>
    <row r="1637" spans="1:29" ht="42.95" customHeight="1" x14ac:dyDescent="0.25">
      <c r="A1637" s="4" t="s">
        <v>21</v>
      </c>
      <c r="B1637" s="7" t="s">
        <v>795</v>
      </c>
      <c r="C1637" s="2" t="s">
        <v>1253</v>
      </c>
      <c r="D1637" s="7" t="s">
        <v>1254</v>
      </c>
      <c r="E1637" s="4" t="s">
        <v>829</v>
      </c>
      <c r="F1637" s="2">
        <v>4</v>
      </c>
      <c r="G1637" s="2" t="s">
        <v>1400</v>
      </c>
      <c r="H1637" s="2" t="s">
        <v>1399</v>
      </c>
      <c r="I1637" s="4" t="s">
        <v>60</v>
      </c>
      <c r="J1637" s="112">
        <f>IF($H1637&lt;&gt;"Y",0,ROUND(MIN(Dashboard!$R$24,IF(IFERROR(VLOOKUP($B1637,Dashboard!$Q$28:$S$60,2,FALSE),0)&gt;0,IFERROR(VLOOKUP($B1637,Dashboard!$Q$28:$S$60,2,FALSE),0),$Z1637*IF($U1637&lt;&gt;"",ROUND((Dashboard!$R$4/$U1637)*VLOOKUP($I1637,Dashboard!$Q$9:$R$13,2,FALSE)*IF(ISNUMBER(SEARCH("Duals",$B1637)),2,IF(ISNUMBER(SEARCH("Triples",$B1637)),3,IF(ISNUMBER(SEARCH("Quads",$B1637)),4,1))),2),ROUND(VLOOKUP($I1637,Dashboard!$Q$15:$R$20,2,FALSE)*IF($E1637="Red",Dashboard!$R$6,IF($E1637="Gold",Dashboard!$R$7,Dashboard!$R$5))*IF(ISNUMBER(SEARCH("Duals",$B1637)),2,IF(ISNUMBER(SEARCH("Triples",$B1637)),3,IF(ISNUMBER(SEARCH("Quads",$B1637)),4,1))),2))*IF(IFERROR(VLOOKUP($B1637,Dashboard!$Q$28:$S$60,3,FALSE),0)&gt;0,VLOOKUP($B1637,Dashboard!$Q$28:$S$60,3,FALSE),1))),0))</f>
        <v>0</v>
      </c>
      <c r="K1637" s="2" t="str">
        <f>IF(Characters!J37="","",Characters!J37)</f>
        <v/>
      </c>
      <c r="L1637" s="2">
        <f t="shared" si="325"/>
        <v>0</v>
      </c>
      <c r="M1637" s="2">
        <f t="shared" si="326"/>
        <v>0</v>
      </c>
      <c r="N1637" s="2">
        <f t="shared" si="327"/>
        <v>0</v>
      </c>
      <c r="O1637" s="2">
        <f t="shared" si="328"/>
        <v>0</v>
      </c>
      <c r="P1637" s="112">
        <f t="shared" si="329"/>
        <v>0</v>
      </c>
      <c r="Q1637" s="112">
        <f t="shared" si="330"/>
        <v>0</v>
      </c>
      <c r="R1637" s="53"/>
      <c r="S1637" s="53" t="str">
        <f t="shared" si="331"/>
        <v>Characters|Characters Printing Plates Parallel|C-36|Printing Plate</v>
      </c>
      <c r="T1637" s="57" t="str">
        <f>IF($S1637="","",IFERROR(VLOOKUP($S1637,'Pop Estimates (Non-#d)'!$N$2:$O$500,2,FALSE),""))</f>
        <v/>
      </c>
      <c r="U1637" s="57">
        <f t="shared" si="332"/>
        <v>4</v>
      </c>
      <c r="V1637" s="53" t="str">
        <f t="shared" si="333"/>
        <v>Elena</v>
      </c>
      <c r="W1637" s="53" t="str">
        <f t="shared" si="334"/>
        <v>Elena</v>
      </c>
      <c r="X1637" s="53" t="str">
        <f t="shared" si="335"/>
        <v>Elena</v>
      </c>
      <c r="Y1637" s="57">
        <f>IF($X1637="","",IFERROR(VLOOKUP($X1637,'Char Popularity'!$A$2:$C$500,2,FALSE),""))</f>
        <v>3</v>
      </c>
      <c r="Z1637" s="56">
        <f>IF($X1637="",1,IFERROR(VLOOKUP($X1637,'Char Popularity'!$A$2:$C$500,3,FALSE),1))</f>
        <v>1</v>
      </c>
      <c r="AA1637" s="62">
        <f>IF($H1637&lt;&gt;"Y",0,(IF($F1637&lt;&gt;"",ROUND(Dashboard!$R$4/$F1637,1),IF(AND($I1637="Base",$E1637="Base"),Dashboard!$R$5,IF(AND($I1637="Base",$E1637="Red"),Dashboard!$R$6,IF(AND($I1637="Base",$E1637="Gold"),Dashboard!$R$7,VLOOKUP($I1637,Dashboard!$Q$16:$R$21,2,FALSE)))))*VLOOKUP($I1637,Dashboard!$Q$9:$R$13,2,FALSE)*IF(AND($I1637="Auto",$F1637="",OR($B1637="Autographs Duals",$B1637="Autographs Triples",$B1637="Autographs Quads",$B1637="Autographs Quads (Inscribed)")),IF($B1637="Autographs Duals",2,IF($B1637="Autographs Triples",3,4)),1)))</f>
        <v>0</v>
      </c>
      <c r="AB1637" s="62">
        <f t="shared" si="336"/>
        <v>0</v>
      </c>
      <c r="AC1637" s="62">
        <f t="shared" si="337"/>
        <v>0</v>
      </c>
    </row>
    <row r="1638" spans="1:29" ht="42.95" customHeight="1" x14ac:dyDescent="0.25">
      <c r="A1638" s="4" t="s">
        <v>21</v>
      </c>
      <c r="B1638" s="7" t="s">
        <v>795</v>
      </c>
      <c r="C1638" s="2" t="s">
        <v>1255</v>
      </c>
      <c r="D1638" s="7" t="s">
        <v>1256</v>
      </c>
      <c r="E1638" s="4" t="s">
        <v>829</v>
      </c>
      <c r="F1638" s="2">
        <v>4</v>
      </c>
      <c r="G1638" s="2" t="s">
        <v>1400</v>
      </c>
      <c r="H1638" s="2" t="s">
        <v>1399</v>
      </c>
      <c r="I1638" s="4" t="s">
        <v>60</v>
      </c>
      <c r="J1638" s="112">
        <f>IF($H1638&lt;&gt;"Y",0,ROUND(MIN(Dashboard!$R$24,IF(IFERROR(VLOOKUP($B1638,Dashboard!$Q$28:$S$60,2,FALSE),0)&gt;0,IFERROR(VLOOKUP($B1638,Dashboard!$Q$28:$S$60,2,FALSE),0),$Z1638*IF($U1638&lt;&gt;"",ROUND((Dashboard!$R$4/$U1638)*VLOOKUP($I1638,Dashboard!$Q$9:$R$13,2,FALSE)*IF(ISNUMBER(SEARCH("Duals",$B1638)),2,IF(ISNUMBER(SEARCH("Triples",$B1638)),3,IF(ISNUMBER(SEARCH("Quads",$B1638)),4,1))),2),ROUND(VLOOKUP($I1638,Dashboard!$Q$15:$R$20,2,FALSE)*IF($E1638="Red",Dashboard!$R$6,IF($E1638="Gold",Dashboard!$R$7,Dashboard!$R$5))*IF(ISNUMBER(SEARCH("Duals",$B1638)),2,IF(ISNUMBER(SEARCH("Triples",$B1638)),3,IF(ISNUMBER(SEARCH("Quads",$B1638)),4,1))),2))*IF(IFERROR(VLOOKUP($B1638,Dashboard!$Q$28:$S$60,3,FALSE),0)&gt;0,VLOOKUP($B1638,Dashboard!$Q$28:$S$60,3,FALSE),1))),0))</f>
        <v>0</v>
      </c>
      <c r="K1638" s="2" t="str">
        <f>IF(Characters!J38="","",Characters!J38)</f>
        <v/>
      </c>
      <c r="L1638" s="2">
        <f t="shared" si="325"/>
        <v>0</v>
      </c>
      <c r="M1638" s="2">
        <f t="shared" si="326"/>
        <v>0</v>
      </c>
      <c r="N1638" s="2">
        <f t="shared" si="327"/>
        <v>0</v>
      </c>
      <c r="O1638" s="2">
        <f t="shared" si="328"/>
        <v>0</v>
      </c>
      <c r="P1638" s="112">
        <f t="shared" si="329"/>
        <v>0</v>
      </c>
      <c r="Q1638" s="112">
        <f t="shared" si="330"/>
        <v>0</v>
      </c>
      <c r="R1638" s="53"/>
      <c r="S1638" s="53" t="str">
        <f t="shared" si="331"/>
        <v>Characters|Characters Printing Plates Parallel|C-37|Printing Plate</v>
      </c>
      <c r="T1638" s="57" t="str">
        <f>IF($S1638="","",IFERROR(VLOOKUP($S1638,'Pop Estimates (Non-#d)'!$N$2:$O$500,2,FALSE),""))</f>
        <v/>
      </c>
      <c r="U1638" s="57">
        <f t="shared" si="332"/>
        <v>4</v>
      </c>
      <c r="V1638" s="53" t="str">
        <f t="shared" si="333"/>
        <v>Nathan Franklin</v>
      </c>
      <c r="W1638" s="53" t="str">
        <f t="shared" si="334"/>
        <v>Nathan Franklin</v>
      </c>
      <c r="X1638" s="53" t="str">
        <f t="shared" si="335"/>
        <v>Nathan Franklin</v>
      </c>
      <c r="Y1638" s="57">
        <f>IF($X1638="","",IFERROR(VLOOKUP($X1638,'Char Popularity'!$A$2:$C$500,2,FALSE),""))</f>
        <v>2</v>
      </c>
      <c r="Z1638" s="56">
        <f>IF($X1638="",1,IFERROR(VLOOKUP($X1638,'Char Popularity'!$A$2:$C$500,3,FALSE),1))</f>
        <v>0.9</v>
      </c>
      <c r="AA1638" s="62">
        <f>IF($H1638&lt;&gt;"Y",0,(IF($F1638&lt;&gt;"",ROUND(Dashboard!$R$4/$F1638,1),IF(AND($I1638="Base",$E1638="Base"),Dashboard!$R$5,IF(AND($I1638="Base",$E1638="Red"),Dashboard!$R$6,IF(AND($I1638="Base",$E1638="Gold"),Dashboard!$R$7,VLOOKUP($I1638,Dashboard!$Q$16:$R$21,2,FALSE)))))*VLOOKUP($I1638,Dashboard!$Q$9:$R$13,2,FALSE)*IF(AND($I1638="Auto",$F1638="",OR($B1638="Autographs Duals",$B1638="Autographs Triples",$B1638="Autographs Quads",$B1638="Autographs Quads (Inscribed)")),IF($B1638="Autographs Duals",2,IF($B1638="Autographs Triples",3,4)),1)))</f>
        <v>0</v>
      </c>
      <c r="AB1638" s="62">
        <f t="shared" si="336"/>
        <v>0</v>
      </c>
      <c r="AC1638" s="62">
        <f t="shared" si="337"/>
        <v>0</v>
      </c>
    </row>
    <row r="1639" spans="1:29" ht="42.95" customHeight="1" x14ac:dyDescent="0.25">
      <c r="A1639" s="4" t="s">
        <v>21</v>
      </c>
      <c r="B1639" s="7" t="s">
        <v>795</v>
      </c>
      <c r="C1639" s="2" t="s">
        <v>1257</v>
      </c>
      <c r="D1639" s="7" t="s">
        <v>1235</v>
      </c>
      <c r="E1639" s="4" t="s">
        <v>829</v>
      </c>
      <c r="F1639" s="2">
        <v>4</v>
      </c>
      <c r="G1639" s="2" t="s">
        <v>1400</v>
      </c>
      <c r="H1639" s="2" t="s">
        <v>1399</v>
      </c>
      <c r="I1639" s="4" t="s">
        <v>60</v>
      </c>
      <c r="J1639" s="112">
        <f>IF($H1639&lt;&gt;"Y",0,ROUND(MIN(Dashboard!$R$24,IF(IFERROR(VLOOKUP($B1639,Dashboard!$Q$28:$S$60,2,FALSE),0)&gt;0,IFERROR(VLOOKUP($B1639,Dashboard!$Q$28:$S$60,2,FALSE),0),$Z1639*IF($U1639&lt;&gt;"",ROUND((Dashboard!$R$4/$U1639)*VLOOKUP($I1639,Dashboard!$Q$9:$R$13,2,FALSE)*IF(ISNUMBER(SEARCH("Duals",$B1639)),2,IF(ISNUMBER(SEARCH("Triples",$B1639)),3,IF(ISNUMBER(SEARCH("Quads",$B1639)),4,1))),2),ROUND(VLOOKUP($I1639,Dashboard!$Q$15:$R$20,2,FALSE)*IF($E1639="Red",Dashboard!$R$6,IF($E1639="Gold",Dashboard!$R$7,Dashboard!$R$5))*IF(ISNUMBER(SEARCH("Duals",$B1639)),2,IF(ISNUMBER(SEARCH("Triples",$B1639)),3,IF(ISNUMBER(SEARCH("Quads",$B1639)),4,1))),2))*IF(IFERROR(VLOOKUP($B1639,Dashboard!$Q$28:$S$60,3,FALSE),0)&gt;0,VLOOKUP($B1639,Dashboard!$Q$28:$S$60,3,FALSE),1))),0))</f>
        <v>0</v>
      </c>
      <c r="K1639" s="2" t="str">
        <f>IF(Characters!J39="","",Characters!J39)</f>
        <v/>
      </c>
      <c r="L1639" s="2">
        <f t="shared" si="325"/>
        <v>0</v>
      </c>
      <c r="M1639" s="2">
        <f t="shared" si="326"/>
        <v>0</v>
      </c>
      <c r="N1639" s="2">
        <f t="shared" si="327"/>
        <v>0</v>
      </c>
      <c r="O1639" s="2">
        <f t="shared" si="328"/>
        <v>0</v>
      </c>
      <c r="P1639" s="112">
        <f t="shared" si="329"/>
        <v>0</v>
      </c>
      <c r="Q1639" s="112">
        <f t="shared" si="330"/>
        <v>0</v>
      </c>
      <c r="R1639" s="53"/>
      <c r="S1639" s="53" t="str">
        <f t="shared" si="331"/>
        <v>Characters|Characters Printing Plates Parallel|C-38|Printing Plate</v>
      </c>
      <c r="T1639" s="57" t="str">
        <f>IF($S1639="","",IFERROR(VLOOKUP($S1639,'Pop Estimates (Non-#d)'!$N$2:$O$500,2,FALSE),""))</f>
        <v/>
      </c>
      <c r="U1639" s="57">
        <f t="shared" si="332"/>
        <v>4</v>
      </c>
      <c r="V1639" s="53" t="str">
        <f t="shared" si="333"/>
        <v>Hughie Campbell Sr.</v>
      </c>
      <c r="W1639" s="53" t="str">
        <f t="shared" si="334"/>
        <v>Hughie Campbell Sr.</v>
      </c>
      <c r="X1639" s="53" t="str">
        <f t="shared" si="335"/>
        <v>Hughie Campbell Sr.</v>
      </c>
      <c r="Y1639" s="57">
        <f>IF($X1639="","",IFERROR(VLOOKUP($X1639,'Char Popularity'!$A$2:$C$500,2,FALSE),""))</f>
        <v>3</v>
      </c>
      <c r="Z1639" s="56">
        <f>IF($X1639="",1,IFERROR(VLOOKUP($X1639,'Char Popularity'!$A$2:$C$500,3,FALSE),1))</f>
        <v>1</v>
      </c>
      <c r="AA1639" s="62">
        <f>IF($H1639&lt;&gt;"Y",0,(IF($F1639&lt;&gt;"",ROUND(Dashboard!$R$4/$F1639,1),IF(AND($I1639="Base",$E1639="Base"),Dashboard!$R$5,IF(AND($I1639="Base",$E1639="Red"),Dashboard!$R$6,IF(AND($I1639="Base",$E1639="Gold"),Dashboard!$R$7,VLOOKUP($I1639,Dashboard!$Q$16:$R$21,2,FALSE)))))*VLOOKUP($I1639,Dashboard!$Q$9:$R$13,2,FALSE)*IF(AND($I1639="Auto",$F1639="",OR($B1639="Autographs Duals",$B1639="Autographs Triples",$B1639="Autographs Quads",$B1639="Autographs Quads (Inscribed)")),IF($B1639="Autographs Duals",2,IF($B1639="Autographs Triples",3,4)),1)))</f>
        <v>0</v>
      </c>
      <c r="AB1639" s="62">
        <f t="shared" si="336"/>
        <v>0</v>
      </c>
      <c r="AC1639" s="62">
        <f t="shared" si="337"/>
        <v>0</v>
      </c>
    </row>
    <row r="1640" spans="1:29" ht="42.95" customHeight="1" x14ac:dyDescent="0.25">
      <c r="A1640" s="4" t="s">
        <v>21</v>
      </c>
      <c r="B1640" s="7" t="s">
        <v>795</v>
      </c>
      <c r="C1640" s="2" t="s">
        <v>427</v>
      </c>
      <c r="D1640" s="7" t="s">
        <v>283</v>
      </c>
      <c r="E1640" s="4" t="s">
        <v>829</v>
      </c>
      <c r="F1640" s="2">
        <v>4</v>
      </c>
      <c r="G1640" s="2" t="s">
        <v>1400</v>
      </c>
      <c r="H1640" s="2" t="s">
        <v>1399</v>
      </c>
      <c r="I1640" s="4" t="s">
        <v>60</v>
      </c>
      <c r="J1640" s="112">
        <f>IF($H1640&lt;&gt;"Y",0,ROUND(MIN(Dashboard!$R$24,IF(IFERROR(VLOOKUP($B1640,Dashboard!$Q$28:$S$60,2,FALSE),0)&gt;0,IFERROR(VLOOKUP($B1640,Dashboard!$Q$28:$S$60,2,FALSE),0),$Z1640*IF($U1640&lt;&gt;"",ROUND((Dashboard!$R$4/$U1640)*VLOOKUP($I1640,Dashboard!$Q$9:$R$13,2,FALSE)*IF(ISNUMBER(SEARCH("Duals",$B1640)),2,IF(ISNUMBER(SEARCH("Triples",$B1640)),3,IF(ISNUMBER(SEARCH("Quads",$B1640)),4,1))),2),ROUND(VLOOKUP($I1640,Dashboard!$Q$15:$R$20,2,FALSE)*IF($E1640="Red",Dashboard!$R$6,IF($E1640="Gold",Dashboard!$R$7,Dashboard!$R$5))*IF(ISNUMBER(SEARCH("Duals",$B1640)),2,IF(ISNUMBER(SEARCH("Triples",$B1640)),3,IF(ISNUMBER(SEARCH("Quads",$B1640)),4,1))),2))*IF(IFERROR(VLOOKUP($B1640,Dashboard!$Q$28:$S$60,3,FALSE),0)&gt;0,VLOOKUP($B1640,Dashboard!$Q$28:$S$60,3,FALSE),1))),0))</f>
        <v>0</v>
      </c>
      <c r="K1640" s="2" t="str">
        <f>IF(Characters!J40="","",Characters!J40)</f>
        <v>Black</v>
      </c>
      <c r="L1640" s="2">
        <f t="shared" si="325"/>
        <v>1</v>
      </c>
      <c r="M1640" s="2">
        <f t="shared" si="326"/>
        <v>0</v>
      </c>
      <c r="N1640" s="2">
        <f t="shared" si="327"/>
        <v>1</v>
      </c>
      <c r="O1640" s="2">
        <f t="shared" si="328"/>
        <v>0</v>
      </c>
      <c r="P1640" s="112">
        <f t="shared" si="329"/>
        <v>0</v>
      </c>
      <c r="Q1640" s="112">
        <f t="shared" si="330"/>
        <v>0</v>
      </c>
      <c r="R1640" s="53"/>
      <c r="S1640" s="53" t="str">
        <f t="shared" si="331"/>
        <v>Characters|Characters Printing Plates Parallel|C-39|Printing Plate</v>
      </c>
      <c r="T1640" s="57" t="str">
        <f>IF($S1640="","",IFERROR(VLOOKUP($S1640,'Pop Estimates (Non-#d)'!$N$2:$O$500,2,FALSE),""))</f>
        <v/>
      </c>
      <c r="U1640" s="57">
        <f t="shared" si="332"/>
        <v>4</v>
      </c>
      <c r="V1640" s="53" t="str">
        <f t="shared" si="333"/>
        <v>Black Noir</v>
      </c>
      <c r="W1640" s="53" t="str">
        <f t="shared" si="334"/>
        <v>Black Noir</v>
      </c>
      <c r="X1640" s="53" t="str">
        <f t="shared" si="335"/>
        <v>Black Noir</v>
      </c>
      <c r="Y1640" s="57">
        <f>IF($X1640="","",IFERROR(VLOOKUP($X1640,'Char Popularity'!$A$2:$C$500,2,FALSE),""))</f>
        <v>4</v>
      </c>
      <c r="Z1640" s="56">
        <f>IF($X1640="",1,IFERROR(VLOOKUP($X1640,'Char Popularity'!$A$2:$C$500,3,FALSE),1))</f>
        <v>1.1000000000000001</v>
      </c>
      <c r="AA1640" s="62">
        <f>IF($H1640&lt;&gt;"Y",0,(IF($F1640&lt;&gt;"",ROUND(Dashboard!$R$4/$F1640,1),IF(AND($I1640="Base",$E1640="Base"),Dashboard!$R$5,IF(AND($I1640="Base",$E1640="Red"),Dashboard!$R$6,IF(AND($I1640="Base",$E1640="Gold"),Dashboard!$R$7,VLOOKUP($I1640,Dashboard!$Q$16:$R$21,2,FALSE)))))*VLOOKUP($I1640,Dashboard!$Q$9:$R$13,2,FALSE)*IF(AND($I1640="Auto",$F1640="",OR($B1640="Autographs Duals",$B1640="Autographs Triples",$B1640="Autographs Quads",$B1640="Autographs Quads (Inscribed)")),IF($B1640="Autographs Duals",2,IF($B1640="Autographs Triples",3,4)),1)))</f>
        <v>0</v>
      </c>
      <c r="AB1640" s="62">
        <f t="shared" si="336"/>
        <v>0</v>
      </c>
      <c r="AC1640" s="62">
        <f t="shared" si="337"/>
        <v>0</v>
      </c>
    </row>
    <row r="1641" spans="1:29" ht="42.95" customHeight="1" x14ac:dyDescent="0.25">
      <c r="A1641" s="4" t="s">
        <v>21</v>
      </c>
      <c r="B1641" s="7" t="s">
        <v>795</v>
      </c>
      <c r="C1641" s="2" t="s">
        <v>429</v>
      </c>
      <c r="D1641" s="7" t="s">
        <v>238</v>
      </c>
      <c r="E1641" s="4" t="s">
        <v>829</v>
      </c>
      <c r="F1641" s="2">
        <v>4</v>
      </c>
      <c r="G1641" s="2" t="s">
        <v>1400</v>
      </c>
      <c r="H1641" s="2" t="s">
        <v>1399</v>
      </c>
      <c r="I1641" s="4" t="s">
        <v>60</v>
      </c>
      <c r="J1641" s="112">
        <f>IF($H1641&lt;&gt;"Y",0,ROUND(MIN(Dashboard!$R$24,IF(IFERROR(VLOOKUP($B1641,Dashboard!$Q$28:$S$60,2,FALSE),0)&gt;0,IFERROR(VLOOKUP($B1641,Dashboard!$Q$28:$S$60,2,FALSE),0),$Z1641*IF($U1641&lt;&gt;"",ROUND((Dashboard!$R$4/$U1641)*VLOOKUP($I1641,Dashboard!$Q$9:$R$13,2,FALSE)*IF(ISNUMBER(SEARCH("Duals",$B1641)),2,IF(ISNUMBER(SEARCH("Triples",$B1641)),3,IF(ISNUMBER(SEARCH("Quads",$B1641)),4,1))),2),ROUND(VLOOKUP($I1641,Dashboard!$Q$15:$R$20,2,FALSE)*IF($E1641="Red",Dashboard!$R$6,IF($E1641="Gold",Dashboard!$R$7,Dashboard!$R$5))*IF(ISNUMBER(SEARCH("Duals",$B1641)),2,IF(ISNUMBER(SEARCH("Triples",$B1641)),3,IF(ISNUMBER(SEARCH("Quads",$B1641)),4,1))),2))*IF(IFERROR(VLOOKUP($B1641,Dashboard!$Q$28:$S$60,3,FALSE),0)&gt;0,VLOOKUP($B1641,Dashboard!$Q$28:$S$60,3,FALSE),1))),0))</f>
        <v>0</v>
      </c>
      <c r="K1641" s="2" t="str">
        <f>IF(Characters!J41="","",Characters!J41)</f>
        <v/>
      </c>
      <c r="L1641" s="2">
        <f t="shared" si="325"/>
        <v>0</v>
      </c>
      <c r="M1641" s="2">
        <f t="shared" si="326"/>
        <v>0</v>
      </c>
      <c r="N1641" s="2">
        <f t="shared" si="327"/>
        <v>0</v>
      </c>
      <c r="O1641" s="2">
        <f t="shared" si="328"/>
        <v>0</v>
      </c>
      <c r="P1641" s="112">
        <f t="shared" si="329"/>
        <v>0</v>
      </c>
      <c r="Q1641" s="112">
        <f t="shared" si="330"/>
        <v>0</v>
      </c>
      <c r="R1641" s="53"/>
      <c r="S1641" s="53" t="str">
        <f t="shared" si="331"/>
        <v>Characters|Characters Printing Plates Parallel|C-40|Printing Plate</v>
      </c>
      <c r="T1641" s="57" t="str">
        <f>IF($S1641="","",IFERROR(VLOOKUP($S1641,'Pop Estimates (Non-#d)'!$N$2:$O$500,2,FALSE),""))</f>
        <v/>
      </c>
      <c r="U1641" s="57">
        <f t="shared" si="332"/>
        <v>4</v>
      </c>
      <c r="V1641" s="53" t="str">
        <f t="shared" si="333"/>
        <v>Frenchie</v>
      </c>
      <c r="W1641" s="53" t="str">
        <f t="shared" si="334"/>
        <v>Frenchie</v>
      </c>
      <c r="X1641" s="53" t="str">
        <f t="shared" si="335"/>
        <v>Frenchie</v>
      </c>
      <c r="Y1641" s="57">
        <f>IF($X1641="","",IFERROR(VLOOKUP($X1641,'Char Popularity'!$A$2:$C$500,2,FALSE),""))</f>
        <v>4</v>
      </c>
      <c r="Z1641" s="56">
        <f>IF($X1641="",1,IFERROR(VLOOKUP($X1641,'Char Popularity'!$A$2:$C$500,3,FALSE),1))</f>
        <v>1.1000000000000001</v>
      </c>
      <c r="AA1641" s="62">
        <f>IF($H1641&lt;&gt;"Y",0,(IF($F1641&lt;&gt;"",ROUND(Dashboard!$R$4/$F1641,1),IF(AND($I1641="Base",$E1641="Base"),Dashboard!$R$5,IF(AND($I1641="Base",$E1641="Red"),Dashboard!$R$6,IF(AND($I1641="Base",$E1641="Gold"),Dashboard!$R$7,VLOOKUP($I1641,Dashboard!$Q$16:$R$21,2,FALSE)))))*VLOOKUP($I1641,Dashboard!$Q$9:$R$13,2,FALSE)*IF(AND($I1641="Auto",$F1641="",OR($B1641="Autographs Duals",$B1641="Autographs Triples",$B1641="Autographs Quads",$B1641="Autographs Quads (Inscribed)")),IF($B1641="Autographs Duals",2,IF($B1641="Autographs Triples",3,4)),1)))</f>
        <v>0</v>
      </c>
      <c r="AB1641" s="62">
        <f t="shared" si="336"/>
        <v>0</v>
      </c>
      <c r="AC1641" s="62">
        <f t="shared" si="337"/>
        <v>0</v>
      </c>
    </row>
    <row r="1642" spans="1:29" ht="42.95" customHeight="1" x14ac:dyDescent="0.25">
      <c r="A1642" s="4" t="s">
        <v>21</v>
      </c>
      <c r="B1642" s="7" t="s">
        <v>795</v>
      </c>
      <c r="C1642" s="2" t="s">
        <v>1260</v>
      </c>
      <c r="D1642" s="7" t="s">
        <v>539</v>
      </c>
      <c r="E1642" s="4" t="s">
        <v>829</v>
      </c>
      <c r="F1642" s="2">
        <v>4</v>
      </c>
      <c r="G1642" s="2" t="s">
        <v>1400</v>
      </c>
      <c r="H1642" s="2" t="s">
        <v>1399</v>
      </c>
      <c r="I1642" s="4" t="s">
        <v>60</v>
      </c>
      <c r="J1642" s="112">
        <f>IF($H1642&lt;&gt;"Y",0,ROUND(MIN(Dashboard!$R$24,IF(IFERROR(VLOOKUP($B1642,Dashboard!$Q$28:$S$60,2,FALSE),0)&gt;0,IFERROR(VLOOKUP($B1642,Dashboard!$Q$28:$S$60,2,FALSE),0),$Z1642*IF($U1642&lt;&gt;"",ROUND((Dashboard!$R$4/$U1642)*VLOOKUP($I1642,Dashboard!$Q$9:$R$13,2,FALSE)*IF(ISNUMBER(SEARCH("Duals",$B1642)),2,IF(ISNUMBER(SEARCH("Triples",$B1642)),3,IF(ISNUMBER(SEARCH("Quads",$B1642)),4,1))),2),ROUND(VLOOKUP($I1642,Dashboard!$Q$15:$R$20,2,FALSE)*IF($E1642="Red",Dashboard!$R$6,IF($E1642="Gold",Dashboard!$R$7,Dashboard!$R$5))*IF(ISNUMBER(SEARCH("Duals",$B1642)),2,IF(ISNUMBER(SEARCH("Triples",$B1642)),3,IF(ISNUMBER(SEARCH("Quads",$B1642)),4,1))),2))*IF(IFERROR(VLOOKUP($B1642,Dashboard!$Q$28:$S$60,3,FALSE),0)&gt;0,VLOOKUP($B1642,Dashboard!$Q$28:$S$60,3,FALSE),1))),0))</f>
        <v>0</v>
      </c>
      <c r="K1642" s="2" t="str">
        <f>IF(Characters!J42="","",Characters!J42)</f>
        <v/>
      </c>
      <c r="L1642" s="2">
        <f t="shared" si="325"/>
        <v>0</v>
      </c>
      <c r="M1642" s="2">
        <f t="shared" si="326"/>
        <v>0</v>
      </c>
      <c r="N1642" s="2">
        <f t="shared" si="327"/>
        <v>0</v>
      </c>
      <c r="O1642" s="2">
        <f t="shared" si="328"/>
        <v>0</v>
      </c>
      <c r="P1642" s="112">
        <f t="shared" si="329"/>
        <v>0</v>
      </c>
      <c r="Q1642" s="112">
        <f t="shared" si="330"/>
        <v>0</v>
      </c>
      <c r="R1642" s="53"/>
      <c r="S1642" s="53" t="str">
        <f t="shared" si="331"/>
        <v>Characters|Characters Printing Plates Parallel|C-41|Printing Plate</v>
      </c>
      <c r="T1642" s="57" t="str">
        <f>IF($S1642="","",IFERROR(VLOOKUP($S1642,'Pop Estimates (Non-#d)'!$N$2:$O$500,2,FALSE),""))</f>
        <v/>
      </c>
      <c r="U1642" s="57">
        <f t="shared" si="332"/>
        <v>4</v>
      </c>
      <c r="V1642" s="53" t="str">
        <f t="shared" si="333"/>
        <v/>
      </c>
      <c r="W1642" s="53" t="str">
        <f t="shared" si="334"/>
        <v/>
      </c>
      <c r="X1642" s="53" t="str">
        <f t="shared" si="335"/>
        <v/>
      </c>
      <c r="Y1642" s="57" t="str">
        <f>IF($X1642="","",IFERROR(VLOOKUP($X1642,'Char Popularity'!$A$2:$C$500,2,FALSE),""))</f>
        <v/>
      </c>
      <c r="Z1642" s="56">
        <f>IF($X1642="",1,IFERROR(VLOOKUP($X1642,'Char Popularity'!$A$2:$C$500,3,FALSE),1))</f>
        <v>1</v>
      </c>
      <c r="AA1642" s="62">
        <f>IF($H1642&lt;&gt;"Y",0,(IF($F1642&lt;&gt;"",ROUND(Dashboard!$R$4/$F1642,1),IF(AND($I1642="Base",$E1642="Base"),Dashboard!$R$5,IF(AND($I1642="Base",$E1642="Red"),Dashboard!$R$6,IF(AND($I1642="Base",$E1642="Gold"),Dashboard!$R$7,VLOOKUP($I1642,Dashboard!$Q$16:$R$21,2,FALSE)))))*VLOOKUP($I1642,Dashboard!$Q$9:$R$13,2,FALSE)*IF(AND($I1642="Auto",$F1642="",OR($B1642="Autographs Duals",$B1642="Autographs Triples",$B1642="Autographs Quads",$B1642="Autographs Quads (Inscribed)")),IF($B1642="Autographs Duals",2,IF($B1642="Autographs Triples",3,4)),1)))</f>
        <v>0</v>
      </c>
      <c r="AB1642" s="62">
        <f t="shared" si="336"/>
        <v>0</v>
      </c>
      <c r="AC1642" s="62">
        <f t="shared" si="337"/>
        <v>0</v>
      </c>
    </row>
    <row r="1643" spans="1:29" ht="42.95" customHeight="1" x14ac:dyDescent="0.25">
      <c r="A1643" s="4" t="s">
        <v>21</v>
      </c>
      <c r="B1643" s="7" t="s">
        <v>795</v>
      </c>
      <c r="C1643" s="2" t="s">
        <v>430</v>
      </c>
      <c r="D1643" s="7" t="s">
        <v>288</v>
      </c>
      <c r="E1643" s="4" t="s">
        <v>829</v>
      </c>
      <c r="F1643" s="2">
        <v>4</v>
      </c>
      <c r="G1643" s="2" t="s">
        <v>1400</v>
      </c>
      <c r="H1643" s="2" t="s">
        <v>1399</v>
      </c>
      <c r="I1643" s="4" t="s">
        <v>60</v>
      </c>
      <c r="J1643" s="112">
        <f>IF($H1643&lt;&gt;"Y",0,ROUND(MIN(Dashboard!$R$24,IF(IFERROR(VLOOKUP($B1643,Dashboard!$Q$28:$S$60,2,FALSE),0)&gt;0,IFERROR(VLOOKUP($B1643,Dashboard!$Q$28:$S$60,2,FALSE),0),$Z1643*IF($U1643&lt;&gt;"",ROUND((Dashboard!$R$4/$U1643)*VLOOKUP($I1643,Dashboard!$Q$9:$R$13,2,FALSE)*IF(ISNUMBER(SEARCH("Duals",$B1643)),2,IF(ISNUMBER(SEARCH("Triples",$B1643)),3,IF(ISNUMBER(SEARCH("Quads",$B1643)),4,1))),2),ROUND(VLOOKUP($I1643,Dashboard!$Q$15:$R$20,2,FALSE)*IF($E1643="Red",Dashboard!$R$6,IF($E1643="Gold",Dashboard!$R$7,Dashboard!$R$5))*IF(ISNUMBER(SEARCH("Duals",$B1643)),2,IF(ISNUMBER(SEARCH("Triples",$B1643)),3,IF(ISNUMBER(SEARCH("Quads",$B1643)),4,1))),2))*IF(IFERROR(VLOOKUP($B1643,Dashboard!$Q$28:$S$60,3,FALSE),0)&gt;0,VLOOKUP($B1643,Dashboard!$Q$28:$S$60,3,FALSE),1))),0))</f>
        <v>0</v>
      </c>
      <c r="K1643" s="2" t="str">
        <f>IF(Characters!J43="","",Characters!J43)</f>
        <v/>
      </c>
      <c r="L1643" s="2">
        <f t="shared" si="325"/>
        <v>0</v>
      </c>
      <c r="M1643" s="2">
        <f t="shared" si="326"/>
        <v>0</v>
      </c>
      <c r="N1643" s="2">
        <f t="shared" si="327"/>
        <v>0</v>
      </c>
      <c r="O1643" s="2">
        <f t="shared" si="328"/>
        <v>0</v>
      </c>
      <c r="P1643" s="112">
        <f t="shared" si="329"/>
        <v>0</v>
      </c>
      <c r="Q1643" s="112">
        <f t="shared" si="330"/>
        <v>0</v>
      </c>
      <c r="R1643" s="53"/>
      <c r="S1643" s="53" t="str">
        <f t="shared" si="331"/>
        <v>Characters|Characters Printing Plates Parallel|C-42|Printing Plate</v>
      </c>
      <c r="T1643" s="57" t="str">
        <f>IF($S1643="","",IFERROR(VLOOKUP($S1643,'Pop Estimates (Non-#d)'!$N$2:$O$500,2,FALSE),""))</f>
        <v/>
      </c>
      <c r="U1643" s="57">
        <f t="shared" si="332"/>
        <v>4</v>
      </c>
      <c r="V1643" s="53" t="str">
        <f t="shared" si="333"/>
        <v>Shockwave</v>
      </c>
      <c r="W1643" s="53" t="str">
        <f t="shared" si="334"/>
        <v>Shockwave</v>
      </c>
      <c r="X1643" s="53" t="str">
        <f t="shared" si="335"/>
        <v>Shockwave</v>
      </c>
      <c r="Y1643" s="57">
        <f>IF($X1643="","",IFERROR(VLOOKUP($X1643,'Char Popularity'!$A$2:$C$500,2,FALSE),""))</f>
        <v>2</v>
      </c>
      <c r="Z1643" s="56">
        <f>IF($X1643="",1,IFERROR(VLOOKUP($X1643,'Char Popularity'!$A$2:$C$500,3,FALSE),1))</f>
        <v>0.9</v>
      </c>
      <c r="AA1643" s="62">
        <f>IF($H1643&lt;&gt;"Y",0,(IF($F1643&lt;&gt;"",ROUND(Dashboard!$R$4/$F1643,1),IF(AND($I1643="Base",$E1643="Base"),Dashboard!$R$5,IF(AND($I1643="Base",$E1643="Red"),Dashboard!$R$6,IF(AND($I1643="Base",$E1643="Gold"),Dashboard!$R$7,VLOOKUP($I1643,Dashboard!$Q$16:$R$21,2,FALSE)))))*VLOOKUP($I1643,Dashboard!$Q$9:$R$13,2,FALSE)*IF(AND($I1643="Auto",$F1643="",OR($B1643="Autographs Duals",$B1643="Autographs Triples",$B1643="Autographs Quads",$B1643="Autographs Quads (Inscribed)")),IF($B1643="Autographs Duals",2,IF($B1643="Autographs Triples",3,4)),1)))</f>
        <v>0</v>
      </c>
      <c r="AB1643" s="62">
        <f t="shared" si="336"/>
        <v>0</v>
      </c>
      <c r="AC1643" s="62">
        <f t="shared" si="337"/>
        <v>0</v>
      </c>
    </row>
    <row r="1644" spans="1:29" ht="42.95" customHeight="1" x14ac:dyDescent="0.25">
      <c r="A1644" s="4" t="s">
        <v>21</v>
      </c>
      <c r="B1644" s="7" t="s">
        <v>795</v>
      </c>
      <c r="C1644" s="2" t="s">
        <v>1263</v>
      </c>
      <c r="D1644" s="7" t="s">
        <v>542</v>
      </c>
      <c r="E1644" s="4" t="s">
        <v>829</v>
      </c>
      <c r="F1644" s="2">
        <v>4</v>
      </c>
      <c r="G1644" s="2" t="s">
        <v>1400</v>
      </c>
      <c r="H1644" s="2" t="s">
        <v>1399</v>
      </c>
      <c r="I1644" s="4" t="s">
        <v>60</v>
      </c>
      <c r="J1644" s="112">
        <f>IF($H1644&lt;&gt;"Y",0,ROUND(MIN(Dashboard!$R$24,IF(IFERROR(VLOOKUP($B1644,Dashboard!$Q$28:$S$60,2,FALSE),0)&gt;0,IFERROR(VLOOKUP($B1644,Dashboard!$Q$28:$S$60,2,FALSE),0),$Z1644*IF($U1644&lt;&gt;"",ROUND((Dashboard!$R$4/$U1644)*VLOOKUP($I1644,Dashboard!$Q$9:$R$13,2,FALSE)*IF(ISNUMBER(SEARCH("Duals",$B1644)),2,IF(ISNUMBER(SEARCH("Triples",$B1644)),3,IF(ISNUMBER(SEARCH("Quads",$B1644)),4,1))),2),ROUND(VLOOKUP($I1644,Dashboard!$Q$15:$R$20,2,FALSE)*IF($E1644="Red",Dashboard!$R$6,IF($E1644="Gold",Dashboard!$R$7,Dashboard!$R$5))*IF(ISNUMBER(SEARCH("Duals",$B1644)),2,IF(ISNUMBER(SEARCH("Triples",$B1644)),3,IF(ISNUMBER(SEARCH("Quads",$B1644)),4,1))),2))*IF(IFERROR(VLOOKUP($B1644,Dashboard!$Q$28:$S$60,3,FALSE),0)&gt;0,VLOOKUP($B1644,Dashboard!$Q$28:$S$60,3,FALSE),1))),0))</f>
        <v>0</v>
      </c>
      <c r="K1644" s="2" t="str">
        <f>IF(Characters!J44="","",Characters!J44)</f>
        <v/>
      </c>
      <c r="L1644" s="2">
        <f t="shared" si="325"/>
        <v>0</v>
      </c>
      <c r="M1644" s="2">
        <f t="shared" si="326"/>
        <v>0</v>
      </c>
      <c r="N1644" s="2">
        <f t="shared" si="327"/>
        <v>0</v>
      </c>
      <c r="O1644" s="2">
        <f t="shared" si="328"/>
        <v>0</v>
      </c>
      <c r="P1644" s="112">
        <f t="shared" si="329"/>
        <v>0</v>
      </c>
      <c r="Q1644" s="112">
        <f t="shared" si="330"/>
        <v>0</v>
      </c>
      <c r="R1644" s="53"/>
      <c r="S1644" s="53" t="str">
        <f t="shared" si="331"/>
        <v>Characters|Characters Printing Plates Parallel|C-43|Printing Plate</v>
      </c>
      <c r="T1644" s="57" t="str">
        <f>IF($S1644="","",IFERROR(VLOOKUP($S1644,'Pop Estimates (Non-#d)'!$N$2:$O$500,2,FALSE),""))</f>
        <v/>
      </c>
      <c r="U1644" s="57">
        <f t="shared" si="332"/>
        <v>4</v>
      </c>
      <c r="V1644" s="53" t="str">
        <f t="shared" si="333"/>
        <v/>
      </c>
      <c r="W1644" s="53" t="str">
        <f t="shared" si="334"/>
        <v/>
      </c>
      <c r="X1644" s="53" t="str">
        <f t="shared" si="335"/>
        <v/>
      </c>
      <c r="Y1644" s="57" t="str">
        <f>IF($X1644="","",IFERROR(VLOOKUP($X1644,'Char Popularity'!$A$2:$C$500,2,FALSE),""))</f>
        <v/>
      </c>
      <c r="Z1644" s="56">
        <f>IF($X1644="",1,IFERROR(VLOOKUP($X1644,'Char Popularity'!$A$2:$C$500,3,FALSE),1))</f>
        <v>1</v>
      </c>
      <c r="AA1644" s="62">
        <f>IF($H1644&lt;&gt;"Y",0,(IF($F1644&lt;&gt;"",ROUND(Dashboard!$R$4/$F1644,1),IF(AND($I1644="Base",$E1644="Base"),Dashboard!$R$5,IF(AND($I1644="Base",$E1644="Red"),Dashboard!$R$6,IF(AND($I1644="Base",$E1644="Gold"),Dashboard!$R$7,VLOOKUP($I1644,Dashboard!$Q$16:$R$21,2,FALSE)))))*VLOOKUP($I1644,Dashboard!$Q$9:$R$13,2,FALSE)*IF(AND($I1644="Auto",$F1644="",OR($B1644="Autographs Duals",$B1644="Autographs Triples",$B1644="Autographs Quads",$B1644="Autographs Quads (Inscribed)")),IF($B1644="Autographs Duals",2,IF($B1644="Autographs Triples",3,4)),1)))</f>
        <v>0</v>
      </c>
      <c r="AB1644" s="62">
        <f t="shared" si="336"/>
        <v>0</v>
      </c>
      <c r="AC1644" s="62">
        <f t="shared" si="337"/>
        <v>0</v>
      </c>
    </row>
    <row r="1645" spans="1:29" ht="42.95" customHeight="1" x14ac:dyDescent="0.25">
      <c r="A1645" s="4" t="s">
        <v>21</v>
      </c>
      <c r="B1645" s="7" t="s">
        <v>795</v>
      </c>
      <c r="C1645" s="2" t="s">
        <v>1265</v>
      </c>
      <c r="D1645" s="7" t="s">
        <v>1266</v>
      </c>
      <c r="E1645" s="4" t="s">
        <v>829</v>
      </c>
      <c r="F1645" s="2">
        <v>4</v>
      </c>
      <c r="G1645" s="2" t="s">
        <v>1400</v>
      </c>
      <c r="H1645" s="2" t="s">
        <v>1399</v>
      </c>
      <c r="I1645" s="4" t="s">
        <v>60</v>
      </c>
      <c r="J1645" s="112">
        <f>IF($H1645&lt;&gt;"Y",0,ROUND(MIN(Dashboard!$R$24,IF(IFERROR(VLOOKUP($B1645,Dashboard!$Q$28:$S$60,2,FALSE),0)&gt;0,IFERROR(VLOOKUP($B1645,Dashboard!$Q$28:$S$60,2,FALSE),0),$Z1645*IF($U1645&lt;&gt;"",ROUND((Dashboard!$R$4/$U1645)*VLOOKUP($I1645,Dashboard!$Q$9:$R$13,2,FALSE)*IF(ISNUMBER(SEARCH("Duals",$B1645)),2,IF(ISNUMBER(SEARCH("Triples",$B1645)),3,IF(ISNUMBER(SEARCH("Quads",$B1645)),4,1))),2),ROUND(VLOOKUP($I1645,Dashboard!$Q$15:$R$20,2,FALSE)*IF($E1645="Red",Dashboard!$R$6,IF($E1645="Gold",Dashboard!$R$7,Dashboard!$R$5))*IF(ISNUMBER(SEARCH("Duals",$B1645)),2,IF(ISNUMBER(SEARCH("Triples",$B1645)),3,IF(ISNUMBER(SEARCH("Quads",$B1645)),4,1))),2))*IF(IFERROR(VLOOKUP($B1645,Dashboard!$Q$28:$S$60,3,FALSE),0)&gt;0,VLOOKUP($B1645,Dashboard!$Q$28:$S$60,3,FALSE),1))),0))</f>
        <v>0</v>
      </c>
      <c r="K1645" s="2" t="str">
        <f>IF(Characters!J45="","",Characters!J45)</f>
        <v/>
      </c>
      <c r="L1645" s="2">
        <f t="shared" si="325"/>
        <v>0</v>
      </c>
      <c r="M1645" s="2">
        <f t="shared" si="326"/>
        <v>0</v>
      </c>
      <c r="N1645" s="2">
        <f t="shared" si="327"/>
        <v>0</v>
      </c>
      <c r="O1645" s="2">
        <f t="shared" si="328"/>
        <v>0</v>
      </c>
      <c r="P1645" s="112">
        <f t="shared" si="329"/>
        <v>0</v>
      </c>
      <c r="Q1645" s="112">
        <f t="shared" si="330"/>
        <v>0</v>
      </c>
      <c r="R1645" s="53"/>
      <c r="S1645" s="53" t="str">
        <f t="shared" si="331"/>
        <v>Characters|Characters Printing Plates Parallel|C-44|Printing Plate</v>
      </c>
      <c r="T1645" s="57" t="str">
        <f>IF($S1645="","",IFERROR(VLOOKUP($S1645,'Pop Estimates (Non-#d)'!$N$2:$O$500,2,FALSE),""))</f>
        <v/>
      </c>
      <c r="U1645" s="57">
        <f t="shared" si="332"/>
        <v>4</v>
      </c>
      <c r="V1645" s="53" t="str">
        <f t="shared" si="333"/>
        <v>Cindy</v>
      </c>
      <c r="W1645" s="53" t="str">
        <f t="shared" si="334"/>
        <v>Cindy</v>
      </c>
      <c r="X1645" s="53" t="str">
        <f t="shared" si="335"/>
        <v>Cindy</v>
      </c>
      <c r="Y1645" s="57">
        <f>IF($X1645="","",IFERROR(VLOOKUP($X1645,'Char Popularity'!$A$2:$C$500,2,FALSE),""))</f>
        <v>3</v>
      </c>
      <c r="Z1645" s="56">
        <f>IF($X1645="",1,IFERROR(VLOOKUP($X1645,'Char Popularity'!$A$2:$C$500,3,FALSE),1))</f>
        <v>1</v>
      </c>
      <c r="AA1645" s="62">
        <f>IF($H1645&lt;&gt;"Y",0,(IF($F1645&lt;&gt;"",ROUND(Dashboard!$R$4/$F1645,1),IF(AND($I1645="Base",$E1645="Base"),Dashboard!$R$5,IF(AND($I1645="Base",$E1645="Red"),Dashboard!$R$6,IF(AND($I1645="Base",$E1645="Gold"),Dashboard!$R$7,VLOOKUP($I1645,Dashboard!$Q$16:$R$21,2,FALSE)))))*VLOOKUP($I1645,Dashboard!$Q$9:$R$13,2,FALSE)*IF(AND($I1645="Auto",$F1645="",OR($B1645="Autographs Duals",$B1645="Autographs Triples",$B1645="Autographs Quads",$B1645="Autographs Quads (Inscribed)")),IF($B1645="Autographs Duals",2,IF($B1645="Autographs Triples",3,4)),1)))</f>
        <v>0</v>
      </c>
      <c r="AB1645" s="62">
        <f t="shared" si="336"/>
        <v>0</v>
      </c>
      <c r="AC1645" s="62">
        <f t="shared" si="337"/>
        <v>0</v>
      </c>
    </row>
    <row r="1646" spans="1:29" ht="42.95" customHeight="1" x14ac:dyDescent="0.25">
      <c r="A1646" s="4" t="s">
        <v>21</v>
      </c>
      <c r="B1646" s="7" t="s">
        <v>795</v>
      </c>
      <c r="C1646" s="2" t="s">
        <v>431</v>
      </c>
      <c r="D1646" s="7" t="s">
        <v>234</v>
      </c>
      <c r="E1646" s="4" t="s">
        <v>829</v>
      </c>
      <c r="F1646" s="2">
        <v>4</v>
      </c>
      <c r="G1646" s="2" t="s">
        <v>1400</v>
      </c>
      <c r="H1646" s="2" t="s">
        <v>1399</v>
      </c>
      <c r="I1646" s="4" t="s">
        <v>60</v>
      </c>
      <c r="J1646" s="112">
        <f>IF($H1646&lt;&gt;"Y",0,ROUND(MIN(Dashboard!$R$24,IF(IFERROR(VLOOKUP($B1646,Dashboard!$Q$28:$S$60,2,FALSE),0)&gt;0,IFERROR(VLOOKUP($B1646,Dashboard!$Q$28:$S$60,2,FALSE),0),$Z1646*IF($U1646&lt;&gt;"",ROUND((Dashboard!$R$4/$U1646)*VLOOKUP($I1646,Dashboard!$Q$9:$R$13,2,FALSE)*IF(ISNUMBER(SEARCH("Duals",$B1646)),2,IF(ISNUMBER(SEARCH("Triples",$B1646)),3,IF(ISNUMBER(SEARCH("Quads",$B1646)),4,1))),2),ROUND(VLOOKUP($I1646,Dashboard!$Q$15:$R$20,2,FALSE)*IF($E1646="Red",Dashboard!$R$6,IF($E1646="Gold",Dashboard!$R$7,Dashboard!$R$5))*IF(ISNUMBER(SEARCH("Duals",$B1646)),2,IF(ISNUMBER(SEARCH("Triples",$B1646)),3,IF(ISNUMBER(SEARCH("Quads",$B1646)),4,1))),2))*IF(IFERROR(VLOOKUP($B1646,Dashboard!$Q$28:$S$60,3,FALSE),0)&gt;0,VLOOKUP($B1646,Dashboard!$Q$28:$S$60,3,FALSE),1))),0))</f>
        <v>0</v>
      </c>
      <c r="K1646" s="2" t="str">
        <f>IF(Characters!J46="","",Characters!J46)</f>
        <v/>
      </c>
      <c r="L1646" s="2">
        <f t="shared" si="325"/>
        <v>0</v>
      </c>
      <c r="M1646" s="2">
        <f t="shared" si="326"/>
        <v>0</v>
      </c>
      <c r="N1646" s="2">
        <f t="shared" si="327"/>
        <v>0</v>
      </c>
      <c r="O1646" s="2">
        <f t="shared" si="328"/>
        <v>0</v>
      </c>
      <c r="P1646" s="112">
        <f t="shared" si="329"/>
        <v>0</v>
      </c>
      <c r="Q1646" s="112">
        <f t="shared" si="330"/>
        <v>0</v>
      </c>
      <c r="R1646" s="53"/>
      <c r="S1646" s="53" t="str">
        <f t="shared" si="331"/>
        <v>Characters|Characters Printing Plates Parallel|C-45|Printing Plate</v>
      </c>
      <c r="T1646" s="57" t="str">
        <f>IF($S1646="","",IFERROR(VLOOKUP($S1646,'Pop Estimates (Non-#d)'!$N$2:$O$500,2,FALSE),""))</f>
        <v/>
      </c>
      <c r="U1646" s="57">
        <f t="shared" si="332"/>
        <v>4</v>
      </c>
      <c r="V1646" s="53" t="str">
        <f t="shared" si="333"/>
        <v>Ashley Barrett</v>
      </c>
      <c r="W1646" s="53" t="str">
        <f t="shared" si="334"/>
        <v>Ashley Barrett</v>
      </c>
      <c r="X1646" s="53" t="str">
        <f t="shared" si="335"/>
        <v>Ashley Barrett</v>
      </c>
      <c r="Y1646" s="57">
        <f>IF($X1646="","",IFERROR(VLOOKUP($X1646,'Char Popularity'!$A$2:$C$500,2,FALSE),""))</f>
        <v>3</v>
      </c>
      <c r="Z1646" s="56">
        <f>IF($X1646="",1,IFERROR(VLOOKUP($X1646,'Char Popularity'!$A$2:$C$500,3,FALSE),1))</f>
        <v>1</v>
      </c>
      <c r="AA1646" s="62">
        <f>IF($H1646&lt;&gt;"Y",0,(IF($F1646&lt;&gt;"",ROUND(Dashboard!$R$4/$F1646,1),IF(AND($I1646="Base",$E1646="Base"),Dashboard!$R$5,IF(AND($I1646="Base",$E1646="Red"),Dashboard!$R$6,IF(AND($I1646="Base",$E1646="Gold"),Dashboard!$R$7,VLOOKUP($I1646,Dashboard!$Q$16:$R$21,2,FALSE)))))*VLOOKUP($I1646,Dashboard!$Q$9:$R$13,2,FALSE)*IF(AND($I1646="Auto",$F1646="",OR($B1646="Autographs Duals",$B1646="Autographs Triples",$B1646="Autographs Quads",$B1646="Autographs Quads (Inscribed)")),IF($B1646="Autographs Duals",2,IF($B1646="Autographs Triples",3,4)),1)))</f>
        <v>0</v>
      </c>
      <c r="AB1646" s="62">
        <f t="shared" si="336"/>
        <v>0</v>
      </c>
      <c r="AC1646" s="62">
        <f t="shared" si="337"/>
        <v>0</v>
      </c>
    </row>
    <row r="1647" spans="1:29" ht="42.95" customHeight="1" x14ac:dyDescent="0.25">
      <c r="A1647" s="4" t="s">
        <v>21</v>
      </c>
      <c r="B1647" s="7" t="s">
        <v>795</v>
      </c>
      <c r="C1647" s="2" t="s">
        <v>432</v>
      </c>
      <c r="D1647" s="7" t="s">
        <v>248</v>
      </c>
      <c r="E1647" s="4" t="s">
        <v>829</v>
      </c>
      <c r="F1647" s="2">
        <v>4</v>
      </c>
      <c r="G1647" s="2" t="s">
        <v>1400</v>
      </c>
      <c r="H1647" s="2" t="s">
        <v>1399</v>
      </c>
      <c r="I1647" s="4" t="s">
        <v>60</v>
      </c>
      <c r="J1647" s="112">
        <f>IF($H1647&lt;&gt;"Y",0,ROUND(MIN(Dashboard!$R$24,IF(IFERROR(VLOOKUP($B1647,Dashboard!$Q$28:$S$60,2,FALSE),0)&gt;0,IFERROR(VLOOKUP($B1647,Dashboard!$Q$28:$S$60,2,FALSE),0),$Z1647*IF($U1647&lt;&gt;"",ROUND((Dashboard!$R$4/$U1647)*VLOOKUP($I1647,Dashboard!$Q$9:$R$13,2,FALSE)*IF(ISNUMBER(SEARCH("Duals",$B1647)),2,IF(ISNUMBER(SEARCH("Triples",$B1647)),3,IF(ISNUMBER(SEARCH("Quads",$B1647)),4,1))),2),ROUND(VLOOKUP($I1647,Dashboard!$Q$15:$R$20,2,FALSE)*IF($E1647="Red",Dashboard!$R$6,IF($E1647="Gold",Dashboard!$R$7,Dashboard!$R$5))*IF(ISNUMBER(SEARCH("Duals",$B1647)),2,IF(ISNUMBER(SEARCH("Triples",$B1647)),3,IF(ISNUMBER(SEARCH("Quads",$B1647)),4,1))),2))*IF(IFERROR(VLOOKUP($B1647,Dashboard!$Q$28:$S$60,3,FALSE),0)&gt;0,VLOOKUP($B1647,Dashboard!$Q$28:$S$60,3,FALSE),1))),0))</f>
        <v>0</v>
      </c>
      <c r="K1647" s="2" t="str">
        <f>IF(Characters!J47="","",Characters!J47)</f>
        <v/>
      </c>
      <c r="L1647" s="2">
        <f t="shared" si="325"/>
        <v>0</v>
      </c>
      <c r="M1647" s="2">
        <f t="shared" si="326"/>
        <v>0</v>
      </c>
      <c r="N1647" s="2">
        <f t="shared" si="327"/>
        <v>0</v>
      </c>
      <c r="O1647" s="2">
        <f t="shared" si="328"/>
        <v>0</v>
      </c>
      <c r="P1647" s="112">
        <f t="shared" si="329"/>
        <v>0</v>
      </c>
      <c r="Q1647" s="112">
        <f t="shared" si="330"/>
        <v>0</v>
      </c>
      <c r="R1647" s="53"/>
      <c r="S1647" s="53" t="str">
        <f t="shared" si="331"/>
        <v>Characters|Characters Printing Plates Parallel|C-46|Printing Plate</v>
      </c>
      <c r="T1647" s="57" t="str">
        <f>IF($S1647="","",IFERROR(VLOOKUP($S1647,'Pop Estimates (Non-#d)'!$N$2:$O$500,2,FALSE),""))</f>
        <v/>
      </c>
      <c r="U1647" s="57">
        <f t="shared" si="332"/>
        <v>4</v>
      </c>
      <c r="V1647" s="53" t="str">
        <f t="shared" si="333"/>
        <v>Starlight</v>
      </c>
      <c r="W1647" s="53" t="str">
        <f t="shared" si="334"/>
        <v>Starlight</v>
      </c>
      <c r="X1647" s="53" t="str">
        <f t="shared" si="335"/>
        <v>Starlight</v>
      </c>
      <c r="Y1647" s="57">
        <f>IF($X1647="","",IFERROR(VLOOKUP($X1647,'Char Popularity'!$A$2:$C$500,2,FALSE),""))</f>
        <v>5</v>
      </c>
      <c r="Z1647" s="56">
        <f>IF($X1647="",1,IFERROR(VLOOKUP($X1647,'Char Popularity'!$A$2:$C$500,3,FALSE),1))</f>
        <v>1.2</v>
      </c>
      <c r="AA1647" s="62">
        <f>IF($H1647&lt;&gt;"Y",0,(IF($F1647&lt;&gt;"",ROUND(Dashboard!$R$4/$F1647,1),IF(AND($I1647="Base",$E1647="Base"),Dashboard!$R$5,IF(AND($I1647="Base",$E1647="Red"),Dashboard!$R$6,IF(AND($I1647="Base",$E1647="Gold"),Dashboard!$R$7,VLOOKUP($I1647,Dashboard!$Q$16:$R$21,2,FALSE)))))*VLOOKUP($I1647,Dashboard!$Q$9:$R$13,2,FALSE)*IF(AND($I1647="Auto",$F1647="",OR($B1647="Autographs Duals",$B1647="Autographs Triples",$B1647="Autographs Quads",$B1647="Autographs Quads (Inscribed)")),IF($B1647="Autographs Duals",2,IF($B1647="Autographs Triples",3,4)),1)))</f>
        <v>0</v>
      </c>
      <c r="AB1647" s="62">
        <f t="shared" si="336"/>
        <v>0</v>
      </c>
      <c r="AC1647" s="62">
        <f t="shared" si="337"/>
        <v>0</v>
      </c>
    </row>
    <row r="1648" spans="1:29" ht="42.95" customHeight="1" x14ac:dyDescent="0.25">
      <c r="A1648" s="4" t="s">
        <v>21</v>
      </c>
      <c r="B1648" s="7" t="s">
        <v>795</v>
      </c>
      <c r="C1648" s="2" t="s">
        <v>433</v>
      </c>
      <c r="D1648" s="7" t="s">
        <v>222</v>
      </c>
      <c r="E1648" s="4" t="s">
        <v>829</v>
      </c>
      <c r="F1648" s="2">
        <v>4</v>
      </c>
      <c r="G1648" s="2" t="s">
        <v>1400</v>
      </c>
      <c r="H1648" s="2" t="s">
        <v>1399</v>
      </c>
      <c r="I1648" s="4" t="s">
        <v>60</v>
      </c>
      <c r="J1648" s="112">
        <f>IF($H1648&lt;&gt;"Y",0,ROUND(MIN(Dashboard!$R$24,IF(IFERROR(VLOOKUP($B1648,Dashboard!$Q$28:$S$60,2,FALSE),0)&gt;0,IFERROR(VLOOKUP($B1648,Dashboard!$Q$28:$S$60,2,FALSE),0),$Z1648*IF($U1648&lt;&gt;"",ROUND((Dashboard!$R$4/$U1648)*VLOOKUP($I1648,Dashboard!$Q$9:$R$13,2,FALSE)*IF(ISNUMBER(SEARCH("Duals",$B1648)),2,IF(ISNUMBER(SEARCH("Triples",$B1648)),3,IF(ISNUMBER(SEARCH("Quads",$B1648)),4,1))),2),ROUND(VLOOKUP($I1648,Dashboard!$Q$15:$R$20,2,FALSE)*IF($E1648="Red",Dashboard!$R$6,IF($E1648="Gold",Dashboard!$R$7,Dashboard!$R$5))*IF(ISNUMBER(SEARCH("Duals",$B1648)),2,IF(ISNUMBER(SEARCH("Triples",$B1648)),3,IF(ISNUMBER(SEARCH("Quads",$B1648)),4,1))),2))*IF(IFERROR(VLOOKUP($B1648,Dashboard!$Q$28:$S$60,3,FALSE),0)&gt;0,VLOOKUP($B1648,Dashboard!$Q$28:$S$60,3,FALSE),1))),0))</f>
        <v>0</v>
      </c>
      <c r="K1648" s="2" t="str">
        <f>IF(Characters!J48="","",Characters!J48)</f>
        <v/>
      </c>
      <c r="L1648" s="2">
        <f t="shared" si="325"/>
        <v>0</v>
      </c>
      <c r="M1648" s="2">
        <f t="shared" si="326"/>
        <v>0</v>
      </c>
      <c r="N1648" s="2">
        <f t="shared" si="327"/>
        <v>0</v>
      </c>
      <c r="O1648" s="2">
        <f t="shared" si="328"/>
        <v>0</v>
      </c>
      <c r="P1648" s="112">
        <f t="shared" si="329"/>
        <v>0</v>
      </c>
      <c r="Q1648" s="112">
        <f t="shared" si="330"/>
        <v>0</v>
      </c>
      <c r="R1648" s="53"/>
      <c r="S1648" s="53" t="str">
        <f t="shared" si="331"/>
        <v>Characters|Characters Printing Plates Parallel|C-47|Printing Plate</v>
      </c>
      <c r="T1648" s="57" t="str">
        <f>IF($S1648="","",IFERROR(VLOOKUP($S1648,'Pop Estimates (Non-#d)'!$N$2:$O$500,2,FALSE),""))</f>
        <v/>
      </c>
      <c r="U1648" s="57">
        <f t="shared" si="332"/>
        <v>4</v>
      </c>
      <c r="V1648" s="53" t="str">
        <f t="shared" si="333"/>
        <v>Homelander</v>
      </c>
      <c r="W1648" s="53" t="str">
        <f t="shared" si="334"/>
        <v>Homelander</v>
      </c>
      <c r="X1648" s="53" t="str">
        <f t="shared" si="335"/>
        <v>Homelander</v>
      </c>
      <c r="Y1648" s="57">
        <f>IF($X1648="","",IFERROR(VLOOKUP($X1648,'Char Popularity'!$A$2:$C$500,2,FALSE),""))</f>
        <v>5</v>
      </c>
      <c r="Z1648" s="56">
        <f>IF($X1648="",1,IFERROR(VLOOKUP($X1648,'Char Popularity'!$A$2:$C$500,3,FALSE),1))</f>
        <v>1.2</v>
      </c>
      <c r="AA1648" s="62">
        <f>IF($H1648&lt;&gt;"Y",0,(IF($F1648&lt;&gt;"",ROUND(Dashboard!$R$4/$F1648,1),IF(AND($I1648="Base",$E1648="Base"),Dashboard!$R$5,IF(AND($I1648="Base",$E1648="Red"),Dashboard!$R$6,IF(AND($I1648="Base",$E1648="Gold"),Dashboard!$R$7,VLOOKUP($I1648,Dashboard!$Q$16:$R$21,2,FALSE)))))*VLOOKUP($I1648,Dashboard!$Q$9:$R$13,2,FALSE)*IF(AND($I1648="Auto",$F1648="",OR($B1648="Autographs Duals",$B1648="Autographs Triples",$B1648="Autographs Quads",$B1648="Autographs Quads (Inscribed)")),IF($B1648="Autographs Duals",2,IF($B1648="Autographs Triples",3,4)),1)))</f>
        <v>0</v>
      </c>
      <c r="AB1648" s="62">
        <f t="shared" si="336"/>
        <v>0</v>
      </c>
      <c r="AC1648" s="62">
        <f t="shared" si="337"/>
        <v>0</v>
      </c>
    </row>
    <row r="1649" spans="1:29" ht="42.95" customHeight="1" x14ac:dyDescent="0.25">
      <c r="A1649" s="4" t="s">
        <v>21</v>
      </c>
      <c r="B1649" s="7" t="s">
        <v>795</v>
      </c>
      <c r="C1649" s="2" t="s">
        <v>1269</v>
      </c>
      <c r="D1649" s="7" t="s">
        <v>1601</v>
      </c>
      <c r="E1649" s="4" t="s">
        <v>829</v>
      </c>
      <c r="F1649" s="2">
        <v>4</v>
      </c>
      <c r="G1649" s="2" t="s">
        <v>1400</v>
      </c>
      <c r="H1649" s="2" t="s">
        <v>1399</v>
      </c>
      <c r="I1649" s="4" t="s">
        <v>60</v>
      </c>
      <c r="J1649" s="112">
        <f>IF($H1649&lt;&gt;"Y",0,ROUND(MIN(Dashboard!$R$24,IF(IFERROR(VLOOKUP($B1649,Dashboard!$Q$28:$S$60,2,FALSE),0)&gt;0,IFERROR(VLOOKUP($B1649,Dashboard!$Q$28:$S$60,2,FALSE),0),$Z1649*IF($U1649&lt;&gt;"",ROUND((Dashboard!$R$4/$U1649)*VLOOKUP($I1649,Dashboard!$Q$9:$R$13,2,FALSE)*IF(ISNUMBER(SEARCH("Duals",$B1649)),2,IF(ISNUMBER(SEARCH("Triples",$B1649)),3,IF(ISNUMBER(SEARCH("Quads",$B1649)),4,1))),2),ROUND(VLOOKUP($I1649,Dashboard!$Q$15:$R$20,2,FALSE)*IF($E1649="Red",Dashboard!$R$6,IF($E1649="Gold",Dashboard!$R$7,Dashboard!$R$5))*IF(ISNUMBER(SEARCH("Duals",$B1649)),2,IF(ISNUMBER(SEARCH("Triples",$B1649)),3,IF(ISNUMBER(SEARCH("Quads",$B1649)),4,1))),2))*IF(IFERROR(VLOOKUP($B1649,Dashboard!$Q$28:$S$60,3,FALSE),0)&gt;0,VLOOKUP($B1649,Dashboard!$Q$28:$S$60,3,FALSE),1))),0))</f>
        <v>0</v>
      </c>
      <c r="K1649" s="2" t="str">
        <f>IF(Characters!J49="","",Characters!J49)</f>
        <v/>
      </c>
      <c r="L1649" s="2">
        <f t="shared" si="325"/>
        <v>0</v>
      </c>
      <c r="M1649" s="2">
        <f t="shared" si="326"/>
        <v>0</v>
      </c>
      <c r="N1649" s="2">
        <f t="shared" si="327"/>
        <v>0</v>
      </c>
      <c r="O1649" s="2">
        <f t="shared" si="328"/>
        <v>0</v>
      </c>
      <c r="P1649" s="112">
        <f t="shared" si="329"/>
        <v>0</v>
      </c>
      <c r="Q1649" s="112">
        <f t="shared" si="330"/>
        <v>0</v>
      </c>
      <c r="R1649" s="53"/>
      <c r="S1649" s="53" t="str">
        <f t="shared" si="331"/>
        <v>Characters|Characters Printing Plates Parallel|C-48|Printing Plate</v>
      </c>
      <c r="T1649" s="57" t="str">
        <f>IF($S1649="","",IFERROR(VLOOKUP($S1649,'Pop Estimates (Non-#d)'!$N$2:$O$500,2,FALSE),""))</f>
        <v/>
      </c>
      <c r="U1649" s="57">
        <f t="shared" si="332"/>
        <v>4</v>
      </c>
      <c r="V1649" s="53" t="str">
        <f t="shared" si="333"/>
        <v>Gecko</v>
      </c>
      <c r="W1649" s="53" t="str">
        <f t="shared" si="334"/>
        <v>Gecko</v>
      </c>
      <c r="X1649" s="53" t="str">
        <f t="shared" si="335"/>
        <v>Gecko</v>
      </c>
      <c r="Y1649" s="57">
        <f>IF($X1649="","",IFERROR(VLOOKUP($X1649,'Char Popularity'!$A$2:$C$500,2,FALSE),""))</f>
        <v>2</v>
      </c>
      <c r="Z1649" s="56">
        <f>IF($X1649="",1,IFERROR(VLOOKUP($X1649,'Char Popularity'!$A$2:$C$500,3,FALSE),1))</f>
        <v>0.9</v>
      </c>
      <c r="AA1649" s="62">
        <f>IF($H1649&lt;&gt;"Y",0,(IF($F1649&lt;&gt;"",ROUND(Dashboard!$R$4/$F1649,1),IF(AND($I1649="Base",$E1649="Base"),Dashboard!$R$5,IF(AND($I1649="Base",$E1649="Red"),Dashboard!$R$6,IF(AND($I1649="Base",$E1649="Gold"),Dashboard!$R$7,VLOOKUP($I1649,Dashboard!$Q$16:$R$21,2,FALSE)))))*VLOOKUP($I1649,Dashboard!$Q$9:$R$13,2,FALSE)*IF(AND($I1649="Auto",$F1649="",OR($B1649="Autographs Duals",$B1649="Autographs Triples",$B1649="Autographs Quads",$B1649="Autographs Quads (Inscribed)")),IF($B1649="Autographs Duals",2,IF($B1649="Autographs Triples",3,4)),1)))</f>
        <v>0</v>
      </c>
      <c r="AB1649" s="62">
        <f t="shared" si="336"/>
        <v>0</v>
      </c>
      <c r="AC1649" s="62">
        <f t="shared" si="337"/>
        <v>0</v>
      </c>
    </row>
    <row r="1650" spans="1:29" ht="42.95" customHeight="1" x14ac:dyDescent="0.25">
      <c r="A1650" s="4" t="s">
        <v>21</v>
      </c>
      <c r="B1650" s="7" t="s">
        <v>795</v>
      </c>
      <c r="C1650" s="2" t="s">
        <v>1271</v>
      </c>
      <c r="D1650" s="7" t="s">
        <v>1272</v>
      </c>
      <c r="E1650" s="4" t="s">
        <v>829</v>
      </c>
      <c r="F1650" s="2">
        <v>4</v>
      </c>
      <c r="G1650" s="2" t="s">
        <v>1400</v>
      </c>
      <c r="H1650" s="2" t="s">
        <v>1399</v>
      </c>
      <c r="I1650" s="4" t="s">
        <v>60</v>
      </c>
      <c r="J1650" s="112">
        <f>IF($H1650&lt;&gt;"Y",0,ROUND(MIN(Dashboard!$R$24,IF(IFERROR(VLOOKUP($B1650,Dashboard!$Q$28:$S$60,2,FALSE),0)&gt;0,IFERROR(VLOOKUP($B1650,Dashboard!$Q$28:$S$60,2,FALSE),0),$Z1650*IF($U1650&lt;&gt;"",ROUND((Dashboard!$R$4/$U1650)*VLOOKUP($I1650,Dashboard!$Q$9:$R$13,2,FALSE)*IF(ISNUMBER(SEARCH("Duals",$B1650)),2,IF(ISNUMBER(SEARCH("Triples",$B1650)),3,IF(ISNUMBER(SEARCH("Quads",$B1650)),4,1))),2),ROUND(VLOOKUP($I1650,Dashboard!$Q$15:$R$20,2,FALSE)*IF($E1650="Red",Dashboard!$R$6,IF($E1650="Gold",Dashboard!$R$7,Dashboard!$R$5))*IF(ISNUMBER(SEARCH("Duals",$B1650)),2,IF(ISNUMBER(SEARCH("Triples",$B1650)),3,IF(ISNUMBER(SEARCH("Quads",$B1650)),4,1))),2))*IF(IFERROR(VLOOKUP($B1650,Dashboard!$Q$28:$S$60,3,FALSE),0)&gt;0,VLOOKUP($B1650,Dashboard!$Q$28:$S$60,3,FALSE),1))),0))</f>
        <v>0</v>
      </c>
      <c r="K1650" s="2" t="str">
        <f>IF(Characters!J50="","",Characters!J50)</f>
        <v/>
      </c>
      <c r="L1650" s="2">
        <f t="shared" si="325"/>
        <v>0</v>
      </c>
      <c r="M1650" s="2">
        <f t="shared" si="326"/>
        <v>0</v>
      </c>
      <c r="N1650" s="2">
        <f t="shared" si="327"/>
        <v>0</v>
      </c>
      <c r="O1650" s="2">
        <f t="shared" si="328"/>
        <v>0</v>
      </c>
      <c r="P1650" s="112">
        <f t="shared" si="329"/>
        <v>0</v>
      </c>
      <c r="Q1650" s="112">
        <f t="shared" si="330"/>
        <v>0</v>
      </c>
      <c r="R1650" s="53"/>
      <c r="S1650" s="53" t="str">
        <f t="shared" si="331"/>
        <v>Characters|Characters Printing Plates Parallel|C-49|Printing Plate</v>
      </c>
      <c r="T1650" s="57" t="str">
        <f>IF($S1650="","",IFERROR(VLOOKUP($S1650,'Pop Estimates (Non-#d)'!$N$2:$O$500,2,FALSE),""))</f>
        <v/>
      </c>
      <c r="U1650" s="57">
        <f t="shared" si="332"/>
        <v>4</v>
      </c>
      <c r="V1650" s="53" t="str">
        <f t="shared" si="333"/>
        <v>Jonah Vogelbaum</v>
      </c>
      <c r="W1650" s="53" t="str">
        <f t="shared" si="334"/>
        <v>Jonah Vogelbaum</v>
      </c>
      <c r="X1650" s="53" t="str">
        <f t="shared" si="335"/>
        <v>Jonah Vogelbaum</v>
      </c>
      <c r="Y1650" s="57">
        <f>IF($X1650="","",IFERROR(VLOOKUP($X1650,'Char Popularity'!$A$2:$C$500,2,FALSE),""))</f>
        <v>3</v>
      </c>
      <c r="Z1650" s="56">
        <f>IF($X1650="",1,IFERROR(VLOOKUP($X1650,'Char Popularity'!$A$2:$C$500,3,FALSE),1))</f>
        <v>1</v>
      </c>
      <c r="AA1650" s="62">
        <f>IF($H1650&lt;&gt;"Y",0,(IF($F1650&lt;&gt;"",ROUND(Dashboard!$R$4/$F1650,1),IF(AND($I1650="Base",$E1650="Base"),Dashboard!$R$5,IF(AND($I1650="Base",$E1650="Red"),Dashboard!$R$6,IF(AND($I1650="Base",$E1650="Gold"),Dashboard!$R$7,VLOOKUP($I1650,Dashboard!$Q$16:$R$21,2,FALSE)))))*VLOOKUP($I1650,Dashboard!$Q$9:$R$13,2,FALSE)*IF(AND($I1650="Auto",$F1650="",OR($B1650="Autographs Duals",$B1650="Autographs Triples",$B1650="Autographs Quads",$B1650="Autographs Quads (Inscribed)")),IF($B1650="Autographs Duals",2,IF($B1650="Autographs Triples",3,4)),1)))</f>
        <v>0</v>
      </c>
      <c r="AB1650" s="62">
        <f t="shared" si="336"/>
        <v>0</v>
      </c>
      <c r="AC1650" s="62">
        <f t="shared" si="337"/>
        <v>0</v>
      </c>
    </row>
    <row r="1651" spans="1:29" ht="42.95" customHeight="1" x14ac:dyDescent="0.25">
      <c r="A1651" s="4" t="s">
        <v>21</v>
      </c>
      <c r="B1651" s="7" t="s">
        <v>795</v>
      </c>
      <c r="C1651" s="2" t="s">
        <v>1273</v>
      </c>
      <c r="D1651" s="7" t="s">
        <v>1274</v>
      </c>
      <c r="E1651" s="4" t="s">
        <v>829</v>
      </c>
      <c r="F1651" s="2">
        <v>4</v>
      </c>
      <c r="G1651" s="2" t="s">
        <v>1400</v>
      </c>
      <c r="H1651" s="2" t="s">
        <v>1399</v>
      </c>
      <c r="I1651" s="4" t="s">
        <v>60</v>
      </c>
      <c r="J1651" s="112">
        <f>IF($H1651&lt;&gt;"Y",0,ROUND(MIN(Dashboard!$R$24,IF(IFERROR(VLOOKUP($B1651,Dashboard!$Q$28:$S$60,2,FALSE),0)&gt;0,IFERROR(VLOOKUP($B1651,Dashboard!$Q$28:$S$60,2,FALSE),0),$Z1651*IF($U1651&lt;&gt;"",ROUND((Dashboard!$R$4/$U1651)*VLOOKUP($I1651,Dashboard!$Q$9:$R$13,2,FALSE)*IF(ISNUMBER(SEARCH("Duals",$B1651)),2,IF(ISNUMBER(SEARCH("Triples",$B1651)),3,IF(ISNUMBER(SEARCH("Quads",$B1651)),4,1))),2),ROUND(VLOOKUP($I1651,Dashboard!$Q$15:$R$20,2,FALSE)*IF($E1651="Red",Dashboard!$R$6,IF($E1651="Gold",Dashboard!$R$7,Dashboard!$R$5))*IF(ISNUMBER(SEARCH("Duals",$B1651)),2,IF(ISNUMBER(SEARCH("Triples",$B1651)),3,IF(ISNUMBER(SEARCH("Quads",$B1651)),4,1))),2))*IF(IFERROR(VLOOKUP($B1651,Dashboard!$Q$28:$S$60,3,FALSE),0)&gt;0,VLOOKUP($B1651,Dashboard!$Q$28:$S$60,3,FALSE),1))),0))</f>
        <v>0</v>
      </c>
      <c r="K1651" s="2" t="str">
        <f>IF(Characters!J51="","",Characters!J51)</f>
        <v/>
      </c>
      <c r="L1651" s="2">
        <f t="shared" si="325"/>
        <v>0</v>
      </c>
      <c r="M1651" s="2">
        <f t="shared" si="326"/>
        <v>0</v>
      </c>
      <c r="N1651" s="2">
        <f t="shared" si="327"/>
        <v>0</v>
      </c>
      <c r="O1651" s="2">
        <f t="shared" si="328"/>
        <v>0</v>
      </c>
      <c r="P1651" s="112">
        <f t="shared" si="329"/>
        <v>0</v>
      </c>
      <c r="Q1651" s="112">
        <f t="shared" si="330"/>
        <v>0</v>
      </c>
      <c r="R1651" s="53"/>
      <c r="S1651" s="53" t="str">
        <f t="shared" si="331"/>
        <v>Characters|Characters Printing Plates Parallel|C-50|Printing Plate</v>
      </c>
      <c r="T1651" s="57" t="str">
        <f>IF($S1651="","",IFERROR(VLOOKUP($S1651,'Pop Estimates (Non-#d)'!$N$2:$O$500,2,FALSE),""))</f>
        <v/>
      </c>
      <c r="U1651" s="57">
        <f t="shared" si="332"/>
        <v>4</v>
      </c>
      <c r="V1651" s="53" t="str">
        <f t="shared" si="333"/>
        <v>Doppelganger</v>
      </c>
      <c r="W1651" s="53" t="str">
        <f t="shared" si="334"/>
        <v>Doppelganger</v>
      </c>
      <c r="X1651" s="53" t="str">
        <f t="shared" si="335"/>
        <v>Doppelganger</v>
      </c>
      <c r="Y1651" s="57">
        <f>IF($X1651="","",IFERROR(VLOOKUP($X1651,'Char Popularity'!$A$2:$C$500,2,FALSE),""))</f>
        <v>3</v>
      </c>
      <c r="Z1651" s="56">
        <f>IF($X1651="",1,IFERROR(VLOOKUP($X1651,'Char Popularity'!$A$2:$C$500,3,FALSE),1))</f>
        <v>1</v>
      </c>
      <c r="AA1651" s="62">
        <f>IF($H1651&lt;&gt;"Y",0,(IF($F1651&lt;&gt;"",ROUND(Dashboard!$R$4/$F1651,1),IF(AND($I1651="Base",$E1651="Base"),Dashboard!$R$5,IF(AND($I1651="Base",$E1651="Red"),Dashboard!$R$6,IF(AND($I1651="Base",$E1651="Gold"),Dashboard!$R$7,VLOOKUP($I1651,Dashboard!$Q$16:$R$21,2,FALSE)))))*VLOOKUP($I1651,Dashboard!$Q$9:$R$13,2,FALSE)*IF(AND($I1651="Auto",$F1651="",OR($B1651="Autographs Duals",$B1651="Autographs Triples",$B1651="Autographs Quads",$B1651="Autographs Quads (Inscribed)")),IF($B1651="Autographs Duals",2,IF($B1651="Autographs Triples",3,4)),1)))</f>
        <v>0</v>
      </c>
      <c r="AB1651" s="62">
        <f t="shared" si="336"/>
        <v>0</v>
      </c>
      <c r="AC1651" s="62">
        <f t="shared" si="337"/>
        <v>0</v>
      </c>
    </row>
    <row r="1652" spans="1:29" ht="28.7" customHeight="1" x14ac:dyDescent="0.25">
      <c r="A1652" s="4" t="s">
        <v>21</v>
      </c>
      <c r="B1652" s="7" t="s">
        <v>87</v>
      </c>
      <c r="C1652" s="2" t="s">
        <v>409</v>
      </c>
      <c r="D1652" s="7" t="s">
        <v>263</v>
      </c>
      <c r="E1652" s="4" t="s">
        <v>823</v>
      </c>
      <c r="F1652" s="2"/>
      <c r="G1652" s="2" t="s">
        <v>1399</v>
      </c>
      <c r="H1652" s="2" t="s">
        <v>1400</v>
      </c>
      <c r="I1652" s="4" t="s">
        <v>60</v>
      </c>
      <c r="J1652" s="112">
        <f>IF($H1652&lt;&gt;"Y",0,ROUND(MIN(Dashboard!$R$24,IF(IFERROR(VLOOKUP($B1652,Dashboard!$Q$28:$S$60,2,FALSE),0)&gt;0,IFERROR(VLOOKUP($B1652,Dashboard!$Q$28:$S$60,2,FALSE),0),$Z1652*IF($U1652&lt;&gt;"",ROUND((Dashboard!$R$4/$U1652)*VLOOKUP($I1652,Dashboard!$Q$9:$R$13,2,FALSE)*IF(ISNUMBER(SEARCH("Duals",$B1652)),2,IF(ISNUMBER(SEARCH("Triples",$B1652)),3,IF(ISNUMBER(SEARCH("Quads",$B1652)),4,1))),2),ROUND(VLOOKUP($I1652,Dashboard!$Q$15:$R$20,2,FALSE)*IF($E1652="Red",Dashboard!$R$6,IF($E1652="Gold",Dashboard!$R$7,Dashboard!$R$5))*IF(ISNUMBER(SEARCH("Duals",$B1652)),2,IF(ISNUMBER(SEARCH("Triples",$B1652)),3,IF(ISNUMBER(SEARCH("Quads",$B1652)),4,1))),2))*IF(IFERROR(VLOOKUP($B1652,Dashboard!$Q$28:$S$60,3,FALSE),0)&gt;0,VLOOKUP($B1652,Dashboard!$Q$28:$S$60,3,FALSE),1))),0))</f>
        <v>2</v>
      </c>
      <c r="K1652" s="2" t="str">
        <f>IF(Characters!D2="","",Characters!D2)</f>
        <v>h</v>
      </c>
      <c r="L1652" s="2">
        <f t="shared" si="325"/>
        <v>1</v>
      </c>
      <c r="M1652" s="2">
        <f t="shared" si="326"/>
        <v>0</v>
      </c>
      <c r="N1652" s="2">
        <f t="shared" si="327"/>
        <v>1</v>
      </c>
      <c r="O1652" s="2">
        <f t="shared" si="328"/>
        <v>0</v>
      </c>
      <c r="P1652" s="112">
        <f t="shared" si="329"/>
        <v>2</v>
      </c>
      <c r="Q1652" s="112">
        <f t="shared" si="330"/>
        <v>0</v>
      </c>
      <c r="R1652" s="53"/>
      <c r="S1652" s="53" t="str">
        <f t="shared" si="331"/>
        <v>Characters|Characters Red Parallel|C-1|Red</v>
      </c>
      <c r="T1652" s="57" t="str">
        <f>IF($S1652="","",IFERROR(VLOOKUP($S1652,'Pop Estimates (Non-#d)'!$N$2:$O$500,2,FALSE),""))</f>
        <v/>
      </c>
      <c r="U1652" s="57" t="str">
        <f t="shared" si="332"/>
        <v/>
      </c>
      <c r="V1652" s="53" t="str">
        <f t="shared" si="333"/>
        <v>Hughie Campbell</v>
      </c>
      <c r="W1652" s="53" t="str">
        <f t="shared" si="334"/>
        <v>Hughie Campbell</v>
      </c>
      <c r="X1652" s="53" t="str">
        <f t="shared" si="335"/>
        <v>Hughie Campbell</v>
      </c>
      <c r="Y1652" s="57">
        <f>IF($X1652="","",IFERROR(VLOOKUP($X1652,'Char Popularity'!$A$2:$C$500,2,FALSE),""))</f>
        <v>5</v>
      </c>
      <c r="Z1652" s="56">
        <f>IF($X1652="",1,IFERROR(VLOOKUP($X1652,'Char Popularity'!$A$2:$C$500,3,FALSE),1))</f>
        <v>1.2</v>
      </c>
      <c r="AA1652" s="62">
        <f>IF($H1652&lt;&gt;"Y",0,(IF($F1652&lt;&gt;"",ROUND(Dashboard!$R$4/$F1652,1),IF(AND($I1652="Base",$E1652="Base"),Dashboard!$R$5,IF(AND($I1652="Base",$E1652="Red"),Dashboard!$R$6,IF(AND($I1652="Base",$E1652="Gold"),Dashboard!$R$7,VLOOKUP($I1652,Dashboard!$Q$16:$R$21,2,FALSE)))))*VLOOKUP($I1652,Dashboard!$Q$9:$R$13,2,FALSE)*IF(AND($I1652="Auto",$F1652="",OR($B1652="Autographs Duals",$B1652="Autographs Triples",$B1652="Autographs Quads",$B1652="Autographs Quads (Inscribed)")),IF($B1652="Autographs Duals",2,IF($B1652="Autographs Triples",3,4)),1)))</f>
        <v>2</v>
      </c>
      <c r="AB1652" s="62">
        <f t="shared" si="336"/>
        <v>2</v>
      </c>
      <c r="AC1652" s="62">
        <f t="shared" si="337"/>
        <v>0</v>
      </c>
    </row>
    <row r="1653" spans="1:29" ht="28.7" customHeight="1" x14ac:dyDescent="0.25">
      <c r="A1653" s="4" t="s">
        <v>21</v>
      </c>
      <c r="B1653" s="7" t="s">
        <v>87</v>
      </c>
      <c r="C1653" s="2" t="s">
        <v>419</v>
      </c>
      <c r="D1653" s="7" t="s">
        <v>222</v>
      </c>
      <c r="E1653" s="4" t="s">
        <v>823</v>
      </c>
      <c r="F1653" s="2"/>
      <c r="G1653" s="2" t="s">
        <v>1399</v>
      </c>
      <c r="H1653" s="2" t="s">
        <v>1400</v>
      </c>
      <c r="I1653" s="4" t="s">
        <v>60</v>
      </c>
      <c r="J1653" s="112">
        <f>IF($H1653&lt;&gt;"Y",0,ROUND(MIN(Dashboard!$R$24,IF(IFERROR(VLOOKUP($B1653,Dashboard!$Q$28:$S$60,2,FALSE),0)&gt;0,IFERROR(VLOOKUP($B1653,Dashboard!$Q$28:$S$60,2,FALSE),0),$Z1653*IF($U1653&lt;&gt;"",ROUND((Dashboard!$R$4/$U1653)*VLOOKUP($I1653,Dashboard!$Q$9:$R$13,2,FALSE)*IF(ISNUMBER(SEARCH("Duals",$B1653)),2,IF(ISNUMBER(SEARCH("Triples",$B1653)),3,IF(ISNUMBER(SEARCH("Quads",$B1653)),4,1))),2),ROUND(VLOOKUP($I1653,Dashboard!$Q$15:$R$20,2,FALSE)*IF($E1653="Red",Dashboard!$R$6,IF($E1653="Gold",Dashboard!$R$7,Dashboard!$R$5))*IF(ISNUMBER(SEARCH("Duals",$B1653)),2,IF(ISNUMBER(SEARCH("Triples",$B1653)),3,IF(ISNUMBER(SEARCH("Quads",$B1653)),4,1))),2))*IF(IFERROR(VLOOKUP($B1653,Dashboard!$Q$28:$S$60,3,FALSE),0)&gt;0,VLOOKUP($B1653,Dashboard!$Q$28:$S$60,3,FALSE),1))),0))</f>
        <v>2</v>
      </c>
      <c r="K1653" s="2" t="str">
        <f>IF(Characters!D3="","",Characters!D3)</f>
        <v>h</v>
      </c>
      <c r="L1653" s="2">
        <f t="shared" si="325"/>
        <v>1</v>
      </c>
      <c r="M1653" s="2">
        <f t="shared" si="326"/>
        <v>0</v>
      </c>
      <c r="N1653" s="2">
        <f t="shared" si="327"/>
        <v>1</v>
      </c>
      <c r="O1653" s="2">
        <f t="shared" si="328"/>
        <v>0</v>
      </c>
      <c r="P1653" s="112">
        <f t="shared" si="329"/>
        <v>2</v>
      </c>
      <c r="Q1653" s="112">
        <f t="shared" si="330"/>
        <v>0</v>
      </c>
      <c r="R1653" s="53"/>
      <c r="S1653" s="53" t="str">
        <f t="shared" si="331"/>
        <v>Characters|Characters Red Parallel|C-2|Red</v>
      </c>
      <c r="T1653" s="57" t="str">
        <f>IF($S1653="","",IFERROR(VLOOKUP($S1653,'Pop Estimates (Non-#d)'!$N$2:$O$500,2,FALSE),""))</f>
        <v/>
      </c>
      <c r="U1653" s="57" t="str">
        <f t="shared" si="332"/>
        <v/>
      </c>
      <c r="V1653" s="53" t="str">
        <f t="shared" si="333"/>
        <v>Homelander</v>
      </c>
      <c r="W1653" s="53" t="str">
        <f t="shared" si="334"/>
        <v>Homelander</v>
      </c>
      <c r="X1653" s="53" t="str">
        <f t="shared" si="335"/>
        <v>Homelander</v>
      </c>
      <c r="Y1653" s="57">
        <f>IF($X1653="","",IFERROR(VLOOKUP($X1653,'Char Popularity'!$A$2:$C$500,2,FALSE),""))</f>
        <v>5</v>
      </c>
      <c r="Z1653" s="56">
        <f>IF($X1653="",1,IFERROR(VLOOKUP($X1653,'Char Popularity'!$A$2:$C$500,3,FALSE),1))</f>
        <v>1.2</v>
      </c>
      <c r="AA1653" s="62">
        <f>IF($H1653&lt;&gt;"Y",0,(IF($F1653&lt;&gt;"",ROUND(Dashboard!$R$4/$F1653,1),IF(AND($I1653="Base",$E1653="Base"),Dashboard!$R$5,IF(AND($I1653="Base",$E1653="Red"),Dashboard!$R$6,IF(AND($I1653="Base",$E1653="Gold"),Dashboard!$R$7,VLOOKUP($I1653,Dashboard!$Q$16:$R$21,2,FALSE)))))*VLOOKUP($I1653,Dashboard!$Q$9:$R$13,2,FALSE)*IF(AND($I1653="Auto",$F1653="",OR($B1653="Autographs Duals",$B1653="Autographs Triples",$B1653="Autographs Quads",$B1653="Autographs Quads (Inscribed)")),IF($B1653="Autographs Duals",2,IF($B1653="Autographs Triples",3,4)),1)))</f>
        <v>2</v>
      </c>
      <c r="AB1653" s="62">
        <f t="shared" si="336"/>
        <v>2</v>
      </c>
      <c r="AC1653" s="62">
        <f t="shared" si="337"/>
        <v>0</v>
      </c>
    </row>
    <row r="1654" spans="1:29" ht="28.7" customHeight="1" x14ac:dyDescent="0.25">
      <c r="A1654" s="4" t="s">
        <v>21</v>
      </c>
      <c r="B1654" s="7" t="s">
        <v>87</v>
      </c>
      <c r="C1654" s="2" t="s">
        <v>425</v>
      </c>
      <c r="D1654" s="7" t="s">
        <v>274</v>
      </c>
      <c r="E1654" s="4" t="s">
        <v>823</v>
      </c>
      <c r="F1654" s="2"/>
      <c r="G1654" s="2" t="s">
        <v>1399</v>
      </c>
      <c r="H1654" s="2" t="s">
        <v>1400</v>
      </c>
      <c r="I1654" s="4" t="s">
        <v>60</v>
      </c>
      <c r="J1654" s="112">
        <f>IF($H1654&lt;&gt;"Y",0,ROUND(MIN(Dashboard!$R$24,IF(IFERROR(VLOOKUP($B1654,Dashboard!$Q$28:$S$60,2,FALSE),0)&gt;0,IFERROR(VLOOKUP($B1654,Dashboard!$Q$28:$S$60,2,FALSE),0),$Z1654*IF($U1654&lt;&gt;"",ROUND((Dashboard!$R$4/$U1654)*VLOOKUP($I1654,Dashboard!$Q$9:$R$13,2,FALSE)*IF(ISNUMBER(SEARCH("Duals",$B1654)),2,IF(ISNUMBER(SEARCH("Triples",$B1654)),3,IF(ISNUMBER(SEARCH("Quads",$B1654)),4,1))),2),ROUND(VLOOKUP($I1654,Dashboard!$Q$15:$R$20,2,FALSE)*IF($E1654="Red",Dashboard!$R$6,IF($E1654="Gold",Dashboard!$R$7,Dashboard!$R$5))*IF(ISNUMBER(SEARCH("Duals",$B1654)),2,IF(ISNUMBER(SEARCH("Triples",$B1654)),3,IF(ISNUMBER(SEARCH("Quads",$B1654)),4,1))),2))*IF(IFERROR(VLOOKUP($B1654,Dashboard!$Q$28:$S$60,3,FALSE),0)&gt;0,VLOOKUP($B1654,Dashboard!$Q$28:$S$60,3,FALSE),1))),0))</f>
        <v>2</v>
      </c>
      <c r="K1654" s="2" t="str">
        <f>IF(Characters!D4="","",Characters!D4)</f>
        <v>h</v>
      </c>
      <c r="L1654" s="2">
        <f t="shared" si="325"/>
        <v>1</v>
      </c>
      <c r="M1654" s="2">
        <f t="shared" si="326"/>
        <v>0</v>
      </c>
      <c r="N1654" s="2">
        <f t="shared" si="327"/>
        <v>1</v>
      </c>
      <c r="O1654" s="2">
        <f t="shared" si="328"/>
        <v>0</v>
      </c>
      <c r="P1654" s="112">
        <f t="shared" si="329"/>
        <v>2</v>
      </c>
      <c r="Q1654" s="112">
        <f t="shared" si="330"/>
        <v>0</v>
      </c>
      <c r="R1654" s="53"/>
      <c r="S1654" s="53" t="str">
        <f t="shared" si="331"/>
        <v>Characters|Characters Red Parallel|C-3|Red</v>
      </c>
      <c r="T1654" s="57" t="str">
        <f>IF($S1654="","",IFERROR(VLOOKUP($S1654,'Pop Estimates (Non-#d)'!$N$2:$O$500,2,FALSE),""))</f>
        <v/>
      </c>
      <c r="U1654" s="57" t="str">
        <f t="shared" si="332"/>
        <v/>
      </c>
      <c r="V1654" s="53" t="str">
        <f t="shared" si="333"/>
        <v>Billy Butcher</v>
      </c>
      <c r="W1654" s="53" t="str">
        <f t="shared" si="334"/>
        <v>Billy Butcher</v>
      </c>
      <c r="X1654" s="53" t="str">
        <f t="shared" si="335"/>
        <v>Billy Butcher</v>
      </c>
      <c r="Y1654" s="57">
        <f>IF($X1654="","",IFERROR(VLOOKUP($X1654,'Char Popularity'!$A$2:$C$500,2,FALSE),""))</f>
        <v>5</v>
      </c>
      <c r="Z1654" s="56">
        <f>IF($X1654="",1,IFERROR(VLOOKUP($X1654,'Char Popularity'!$A$2:$C$500,3,FALSE),1))</f>
        <v>1.2</v>
      </c>
      <c r="AA1654" s="62">
        <f>IF($H1654&lt;&gt;"Y",0,(IF($F1654&lt;&gt;"",ROUND(Dashboard!$R$4/$F1654,1),IF(AND($I1654="Base",$E1654="Base"),Dashboard!$R$5,IF(AND($I1654="Base",$E1654="Red"),Dashboard!$R$6,IF(AND($I1654="Base",$E1654="Gold"),Dashboard!$R$7,VLOOKUP($I1654,Dashboard!$Q$16:$R$21,2,FALSE)))))*VLOOKUP($I1654,Dashboard!$Q$9:$R$13,2,FALSE)*IF(AND($I1654="Auto",$F1654="",OR($B1654="Autographs Duals",$B1654="Autographs Triples",$B1654="Autographs Quads",$B1654="Autographs Quads (Inscribed)")),IF($B1654="Autographs Duals",2,IF($B1654="Autographs Triples",3,4)),1)))</f>
        <v>2</v>
      </c>
      <c r="AB1654" s="62">
        <f t="shared" si="336"/>
        <v>2</v>
      </c>
      <c r="AC1654" s="62">
        <f t="shared" si="337"/>
        <v>0</v>
      </c>
    </row>
    <row r="1655" spans="1:29" ht="28.7" customHeight="1" x14ac:dyDescent="0.25">
      <c r="A1655" s="4" t="s">
        <v>21</v>
      </c>
      <c r="B1655" s="7" t="s">
        <v>87</v>
      </c>
      <c r="C1655" s="2" t="s">
        <v>428</v>
      </c>
      <c r="D1655" s="7" t="s">
        <v>248</v>
      </c>
      <c r="E1655" s="4" t="s">
        <v>823</v>
      </c>
      <c r="F1655" s="2"/>
      <c r="G1655" s="2" t="s">
        <v>1399</v>
      </c>
      <c r="H1655" s="2" t="s">
        <v>1400</v>
      </c>
      <c r="I1655" s="4" t="s">
        <v>60</v>
      </c>
      <c r="J1655" s="112">
        <f>IF($H1655&lt;&gt;"Y",0,ROUND(MIN(Dashboard!$R$24,IF(IFERROR(VLOOKUP($B1655,Dashboard!$Q$28:$S$60,2,FALSE),0)&gt;0,IFERROR(VLOOKUP($B1655,Dashboard!$Q$28:$S$60,2,FALSE),0),$Z1655*IF($U1655&lt;&gt;"",ROUND((Dashboard!$R$4/$U1655)*VLOOKUP($I1655,Dashboard!$Q$9:$R$13,2,FALSE)*IF(ISNUMBER(SEARCH("Duals",$B1655)),2,IF(ISNUMBER(SEARCH("Triples",$B1655)),3,IF(ISNUMBER(SEARCH("Quads",$B1655)),4,1))),2),ROUND(VLOOKUP($I1655,Dashboard!$Q$15:$R$20,2,FALSE)*IF($E1655="Red",Dashboard!$R$6,IF($E1655="Gold",Dashboard!$R$7,Dashboard!$R$5))*IF(ISNUMBER(SEARCH("Duals",$B1655)),2,IF(ISNUMBER(SEARCH("Triples",$B1655)),3,IF(ISNUMBER(SEARCH("Quads",$B1655)),4,1))),2))*IF(IFERROR(VLOOKUP($B1655,Dashboard!$Q$28:$S$60,3,FALSE),0)&gt;0,VLOOKUP($B1655,Dashboard!$Q$28:$S$60,3,FALSE),1))),0))</f>
        <v>2</v>
      </c>
      <c r="K1655" s="2" t="str">
        <f>IF(Characters!D5="","",Characters!D5)</f>
        <v>h</v>
      </c>
      <c r="L1655" s="2">
        <f t="shared" si="325"/>
        <v>1</v>
      </c>
      <c r="M1655" s="2">
        <f t="shared" si="326"/>
        <v>0</v>
      </c>
      <c r="N1655" s="2">
        <f t="shared" si="327"/>
        <v>1</v>
      </c>
      <c r="O1655" s="2">
        <f t="shared" si="328"/>
        <v>0</v>
      </c>
      <c r="P1655" s="112">
        <f t="shared" si="329"/>
        <v>2</v>
      </c>
      <c r="Q1655" s="112">
        <f t="shared" si="330"/>
        <v>0</v>
      </c>
      <c r="R1655" s="53"/>
      <c r="S1655" s="53" t="str">
        <f t="shared" si="331"/>
        <v>Characters|Characters Red Parallel|C-4|Red</v>
      </c>
      <c r="T1655" s="57" t="str">
        <f>IF($S1655="","",IFERROR(VLOOKUP($S1655,'Pop Estimates (Non-#d)'!$N$2:$O$500,2,FALSE),""))</f>
        <v/>
      </c>
      <c r="U1655" s="57" t="str">
        <f t="shared" si="332"/>
        <v/>
      </c>
      <c r="V1655" s="53" t="str">
        <f t="shared" si="333"/>
        <v>Starlight</v>
      </c>
      <c r="W1655" s="53" t="str">
        <f t="shared" si="334"/>
        <v>Starlight</v>
      </c>
      <c r="X1655" s="53" t="str">
        <f t="shared" si="335"/>
        <v>Starlight</v>
      </c>
      <c r="Y1655" s="57">
        <f>IF($X1655="","",IFERROR(VLOOKUP($X1655,'Char Popularity'!$A$2:$C$500,2,FALSE),""))</f>
        <v>5</v>
      </c>
      <c r="Z1655" s="56">
        <f>IF($X1655="",1,IFERROR(VLOOKUP($X1655,'Char Popularity'!$A$2:$C$500,3,FALSE),1))</f>
        <v>1.2</v>
      </c>
      <c r="AA1655" s="62">
        <f>IF($H1655&lt;&gt;"Y",0,(IF($F1655&lt;&gt;"",ROUND(Dashboard!$R$4/$F1655,1),IF(AND($I1655="Base",$E1655="Base"),Dashboard!$R$5,IF(AND($I1655="Base",$E1655="Red"),Dashboard!$R$6,IF(AND($I1655="Base",$E1655="Gold"),Dashboard!$R$7,VLOOKUP($I1655,Dashboard!$Q$16:$R$21,2,FALSE)))))*VLOOKUP($I1655,Dashboard!$Q$9:$R$13,2,FALSE)*IF(AND($I1655="Auto",$F1655="",OR($B1655="Autographs Duals",$B1655="Autographs Triples",$B1655="Autographs Quads",$B1655="Autographs Quads (Inscribed)")),IF($B1655="Autographs Duals",2,IF($B1655="Autographs Triples",3,4)),1)))</f>
        <v>2</v>
      </c>
      <c r="AB1655" s="62">
        <f t="shared" si="336"/>
        <v>2</v>
      </c>
      <c r="AC1655" s="62">
        <f t="shared" si="337"/>
        <v>0</v>
      </c>
    </row>
    <row r="1656" spans="1:29" ht="28.7" customHeight="1" x14ac:dyDescent="0.25">
      <c r="A1656" s="4" t="s">
        <v>21</v>
      </c>
      <c r="B1656" s="7" t="s">
        <v>87</v>
      </c>
      <c r="C1656" s="2" t="s">
        <v>434</v>
      </c>
      <c r="D1656" s="7" t="s">
        <v>267</v>
      </c>
      <c r="E1656" s="4" t="s">
        <v>823</v>
      </c>
      <c r="F1656" s="2"/>
      <c r="G1656" s="2" t="s">
        <v>1399</v>
      </c>
      <c r="H1656" s="2" t="s">
        <v>1400</v>
      </c>
      <c r="I1656" s="4" t="s">
        <v>60</v>
      </c>
      <c r="J1656" s="112">
        <f>IF($H1656&lt;&gt;"Y",0,ROUND(MIN(Dashboard!$R$24,IF(IFERROR(VLOOKUP($B1656,Dashboard!$Q$28:$S$60,2,FALSE),0)&gt;0,IFERROR(VLOOKUP($B1656,Dashboard!$Q$28:$S$60,2,FALSE),0),$Z1656*IF($U1656&lt;&gt;"",ROUND((Dashboard!$R$4/$U1656)*VLOOKUP($I1656,Dashboard!$Q$9:$R$13,2,FALSE)*IF(ISNUMBER(SEARCH("Duals",$B1656)),2,IF(ISNUMBER(SEARCH("Triples",$B1656)),3,IF(ISNUMBER(SEARCH("Quads",$B1656)),4,1))),2),ROUND(VLOOKUP($I1656,Dashboard!$Q$15:$R$20,2,FALSE)*IF($E1656="Red",Dashboard!$R$6,IF($E1656="Gold",Dashboard!$R$7,Dashboard!$R$5))*IF(ISNUMBER(SEARCH("Duals",$B1656)),2,IF(ISNUMBER(SEARCH("Triples",$B1656)),3,IF(ISNUMBER(SEARCH("Quads",$B1656)),4,1))),2))*IF(IFERROR(VLOOKUP($B1656,Dashboard!$Q$28:$S$60,3,FALSE),0)&gt;0,VLOOKUP($B1656,Dashboard!$Q$28:$S$60,3,FALSE),1))),0))</f>
        <v>2</v>
      </c>
      <c r="K1656" s="2" t="str">
        <f>IF(Characters!D6="","",Characters!D6)</f>
        <v>h</v>
      </c>
      <c r="L1656" s="2">
        <f t="shared" si="325"/>
        <v>1</v>
      </c>
      <c r="M1656" s="2">
        <f t="shared" si="326"/>
        <v>0</v>
      </c>
      <c r="N1656" s="2">
        <f t="shared" si="327"/>
        <v>1</v>
      </c>
      <c r="O1656" s="2">
        <f t="shared" si="328"/>
        <v>0</v>
      </c>
      <c r="P1656" s="112">
        <f t="shared" si="329"/>
        <v>2</v>
      </c>
      <c r="Q1656" s="112">
        <f t="shared" si="330"/>
        <v>0</v>
      </c>
      <c r="R1656" s="53"/>
      <c r="S1656" s="53" t="str">
        <f t="shared" si="331"/>
        <v>Characters|Characters Red Parallel|C-5|Red</v>
      </c>
      <c r="T1656" s="57" t="str">
        <f>IF($S1656="","",IFERROR(VLOOKUP($S1656,'Pop Estimates (Non-#d)'!$N$2:$O$500,2,FALSE),""))</f>
        <v/>
      </c>
      <c r="U1656" s="57" t="str">
        <f t="shared" si="332"/>
        <v/>
      </c>
      <c r="V1656" s="53" t="str">
        <f t="shared" si="333"/>
        <v>A-Train</v>
      </c>
      <c r="W1656" s="53" t="str">
        <f t="shared" si="334"/>
        <v>A-Train</v>
      </c>
      <c r="X1656" s="53" t="str">
        <f t="shared" si="335"/>
        <v>A-Train</v>
      </c>
      <c r="Y1656" s="57">
        <f>IF($X1656="","",IFERROR(VLOOKUP($X1656,'Char Popularity'!$A$2:$C$500,2,FALSE),""))</f>
        <v>4</v>
      </c>
      <c r="Z1656" s="56">
        <f>IF($X1656="",1,IFERROR(VLOOKUP($X1656,'Char Popularity'!$A$2:$C$500,3,FALSE),1))</f>
        <v>1.1000000000000001</v>
      </c>
      <c r="AA1656" s="62">
        <f>IF($H1656&lt;&gt;"Y",0,(IF($F1656&lt;&gt;"",ROUND(Dashboard!$R$4/$F1656,1),IF(AND($I1656="Base",$E1656="Base"),Dashboard!$R$5,IF(AND($I1656="Base",$E1656="Red"),Dashboard!$R$6,IF(AND($I1656="Base",$E1656="Gold"),Dashboard!$R$7,VLOOKUP($I1656,Dashboard!$Q$16:$R$21,2,FALSE)))))*VLOOKUP($I1656,Dashboard!$Q$9:$R$13,2,FALSE)*IF(AND($I1656="Auto",$F1656="",OR($B1656="Autographs Duals",$B1656="Autographs Triples",$B1656="Autographs Quads",$B1656="Autographs Quads (Inscribed)")),IF($B1656="Autographs Duals",2,IF($B1656="Autographs Triples",3,4)),1)))</f>
        <v>2</v>
      </c>
      <c r="AB1656" s="62">
        <f t="shared" si="336"/>
        <v>2</v>
      </c>
      <c r="AC1656" s="62">
        <f t="shared" si="337"/>
        <v>0</v>
      </c>
    </row>
    <row r="1657" spans="1:29" ht="28.7" customHeight="1" x14ac:dyDescent="0.25">
      <c r="A1657" s="4" t="s">
        <v>21</v>
      </c>
      <c r="B1657" s="7" t="s">
        <v>87</v>
      </c>
      <c r="C1657" s="2" t="s">
        <v>435</v>
      </c>
      <c r="D1657" s="7" t="s">
        <v>250</v>
      </c>
      <c r="E1657" s="4" t="s">
        <v>823</v>
      </c>
      <c r="F1657" s="2"/>
      <c r="G1657" s="2" t="s">
        <v>1399</v>
      </c>
      <c r="H1657" s="2" t="s">
        <v>1400</v>
      </c>
      <c r="I1657" s="4" t="s">
        <v>60</v>
      </c>
      <c r="J1657" s="112">
        <f>IF($H1657&lt;&gt;"Y",0,ROUND(MIN(Dashboard!$R$24,IF(IFERROR(VLOOKUP($B1657,Dashboard!$Q$28:$S$60,2,FALSE),0)&gt;0,IFERROR(VLOOKUP($B1657,Dashboard!$Q$28:$S$60,2,FALSE),0),$Z1657*IF($U1657&lt;&gt;"",ROUND((Dashboard!$R$4/$U1657)*VLOOKUP($I1657,Dashboard!$Q$9:$R$13,2,FALSE)*IF(ISNUMBER(SEARCH("Duals",$B1657)),2,IF(ISNUMBER(SEARCH("Triples",$B1657)),3,IF(ISNUMBER(SEARCH("Quads",$B1657)),4,1))),2),ROUND(VLOOKUP($I1657,Dashboard!$Q$15:$R$20,2,FALSE)*IF($E1657="Red",Dashboard!$R$6,IF($E1657="Gold",Dashboard!$R$7,Dashboard!$R$5))*IF(ISNUMBER(SEARCH("Duals",$B1657)),2,IF(ISNUMBER(SEARCH("Triples",$B1657)),3,IF(ISNUMBER(SEARCH("Quads",$B1657)),4,1))),2))*IF(IFERROR(VLOOKUP($B1657,Dashboard!$Q$28:$S$60,3,FALSE),0)&gt;0,VLOOKUP($B1657,Dashboard!$Q$28:$S$60,3,FALSE),1))),0))</f>
        <v>2</v>
      </c>
      <c r="K1657" s="2" t="str">
        <f>IF(Characters!D7="","",Characters!D7)</f>
        <v>h</v>
      </c>
      <c r="L1657" s="2">
        <f t="shared" si="325"/>
        <v>1</v>
      </c>
      <c r="M1657" s="2">
        <f t="shared" si="326"/>
        <v>0</v>
      </c>
      <c r="N1657" s="2">
        <f t="shared" si="327"/>
        <v>1</v>
      </c>
      <c r="O1657" s="2">
        <f t="shared" si="328"/>
        <v>0</v>
      </c>
      <c r="P1657" s="112">
        <f t="shared" si="329"/>
        <v>2</v>
      </c>
      <c r="Q1657" s="112">
        <f t="shared" si="330"/>
        <v>0</v>
      </c>
      <c r="R1657" s="53"/>
      <c r="S1657" s="53" t="str">
        <f t="shared" si="331"/>
        <v>Characters|Characters Red Parallel|C-6|Red</v>
      </c>
      <c r="T1657" s="57" t="str">
        <f>IF($S1657="","",IFERROR(VLOOKUP($S1657,'Pop Estimates (Non-#d)'!$N$2:$O$500,2,FALSE),""))</f>
        <v/>
      </c>
      <c r="U1657" s="57" t="str">
        <f t="shared" si="332"/>
        <v/>
      </c>
      <c r="V1657" s="53" t="str">
        <f t="shared" si="333"/>
        <v>Madelyn Stillwell</v>
      </c>
      <c r="W1657" s="53" t="str">
        <f t="shared" si="334"/>
        <v>Madelyn Stillwell</v>
      </c>
      <c r="X1657" s="53" t="str">
        <f t="shared" si="335"/>
        <v>Madelyn Stillwell</v>
      </c>
      <c r="Y1657" s="57">
        <f>IF($X1657="","",IFERROR(VLOOKUP($X1657,'Char Popularity'!$A$2:$C$500,2,FALSE),""))</f>
        <v>3</v>
      </c>
      <c r="Z1657" s="56">
        <f>IF($X1657="",1,IFERROR(VLOOKUP($X1657,'Char Popularity'!$A$2:$C$500,3,FALSE),1))</f>
        <v>1</v>
      </c>
      <c r="AA1657" s="62">
        <f>IF($H1657&lt;&gt;"Y",0,(IF($F1657&lt;&gt;"",ROUND(Dashboard!$R$4/$F1657,1),IF(AND($I1657="Base",$E1657="Base"),Dashboard!$R$5,IF(AND($I1657="Base",$E1657="Red"),Dashboard!$R$6,IF(AND($I1657="Base",$E1657="Gold"),Dashboard!$R$7,VLOOKUP($I1657,Dashboard!$Q$16:$R$21,2,FALSE)))))*VLOOKUP($I1657,Dashboard!$Q$9:$R$13,2,FALSE)*IF(AND($I1657="Auto",$F1657="",OR($B1657="Autographs Duals",$B1657="Autographs Triples",$B1657="Autographs Quads",$B1657="Autographs Quads (Inscribed)")),IF($B1657="Autographs Duals",2,IF($B1657="Autographs Triples",3,4)),1)))</f>
        <v>2</v>
      </c>
      <c r="AB1657" s="62">
        <f t="shared" si="336"/>
        <v>2</v>
      </c>
      <c r="AC1657" s="62">
        <f t="shared" si="337"/>
        <v>0</v>
      </c>
    </row>
    <row r="1658" spans="1:29" ht="28.7" customHeight="1" x14ac:dyDescent="0.25">
      <c r="A1658" s="4" t="s">
        <v>21</v>
      </c>
      <c r="B1658" s="7" t="s">
        <v>87</v>
      </c>
      <c r="C1658" s="2" t="s">
        <v>436</v>
      </c>
      <c r="D1658" s="7" t="s">
        <v>230</v>
      </c>
      <c r="E1658" s="4" t="s">
        <v>823</v>
      </c>
      <c r="F1658" s="2"/>
      <c r="G1658" s="2" t="s">
        <v>1399</v>
      </c>
      <c r="H1658" s="2" t="s">
        <v>1400</v>
      </c>
      <c r="I1658" s="4" t="s">
        <v>60</v>
      </c>
      <c r="J1658" s="112">
        <f>IF($H1658&lt;&gt;"Y",0,ROUND(MIN(Dashboard!$R$24,IF(IFERROR(VLOOKUP($B1658,Dashboard!$Q$28:$S$60,2,FALSE),0)&gt;0,IFERROR(VLOOKUP($B1658,Dashboard!$Q$28:$S$60,2,FALSE),0),$Z1658*IF($U1658&lt;&gt;"",ROUND((Dashboard!$R$4/$U1658)*VLOOKUP($I1658,Dashboard!$Q$9:$R$13,2,FALSE)*IF(ISNUMBER(SEARCH("Duals",$B1658)),2,IF(ISNUMBER(SEARCH("Triples",$B1658)),3,IF(ISNUMBER(SEARCH("Quads",$B1658)),4,1))),2),ROUND(VLOOKUP($I1658,Dashboard!$Q$15:$R$20,2,FALSE)*IF($E1658="Red",Dashboard!$R$6,IF($E1658="Gold",Dashboard!$R$7,Dashboard!$R$5))*IF(ISNUMBER(SEARCH("Duals",$B1658)),2,IF(ISNUMBER(SEARCH("Triples",$B1658)),3,IF(ISNUMBER(SEARCH("Quads",$B1658)),4,1))),2))*IF(IFERROR(VLOOKUP($B1658,Dashboard!$Q$28:$S$60,3,FALSE),0)&gt;0,VLOOKUP($B1658,Dashboard!$Q$28:$S$60,3,FALSE),1))),0))</f>
        <v>2</v>
      </c>
      <c r="K1658" s="2" t="str">
        <f>IF(Characters!D8="","",Characters!D8)</f>
        <v>h</v>
      </c>
      <c r="L1658" s="2">
        <f t="shared" si="325"/>
        <v>1</v>
      </c>
      <c r="M1658" s="2">
        <f t="shared" si="326"/>
        <v>0</v>
      </c>
      <c r="N1658" s="2">
        <f t="shared" si="327"/>
        <v>1</v>
      </c>
      <c r="O1658" s="2">
        <f t="shared" si="328"/>
        <v>0</v>
      </c>
      <c r="P1658" s="112">
        <f t="shared" si="329"/>
        <v>2</v>
      </c>
      <c r="Q1658" s="112">
        <f t="shared" si="330"/>
        <v>0</v>
      </c>
      <c r="R1658" s="53"/>
      <c r="S1658" s="53" t="str">
        <f t="shared" si="331"/>
        <v>Characters|Characters Red Parallel|C-7|Red</v>
      </c>
      <c r="T1658" s="57" t="str">
        <f>IF($S1658="","",IFERROR(VLOOKUP($S1658,'Pop Estimates (Non-#d)'!$N$2:$O$500,2,FALSE),""))</f>
        <v/>
      </c>
      <c r="U1658" s="57" t="str">
        <f t="shared" si="332"/>
        <v/>
      </c>
      <c r="V1658" s="53" t="str">
        <f t="shared" si="333"/>
        <v>The Deep</v>
      </c>
      <c r="W1658" s="53" t="str">
        <f t="shared" si="334"/>
        <v>The Deep</v>
      </c>
      <c r="X1658" s="53" t="str">
        <f t="shared" si="335"/>
        <v>The Deep</v>
      </c>
      <c r="Y1658" s="57">
        <f>IF($X1658="","",IFERROR(VLOOKUP($X1658,'Char Popularity'!$A$2:$C$500,2,FALSE),""))</f>
        <v>4</v>
      </c>
      <c r="Z1658" s="56">
        <f>IF($X1658="",1,IFERROR(VLOOKUP($X1658,'Char Popularity'!$A$2:$C$500,3,FALSE),1))</f>
        <v>1.1000000000000001</v>
      </c>
      <c r="AA1658" s="62">
        <f>IF($H1658&lt;&gt;"Y",0,(IF($F1658&lt;&gt;"",ROUND(Dashboard!$R$4/$F1658,1),IF(AND($I1658="Base",$E1658="Base"),Dashboard!$R$5,IF(AND($I1658="Base",$E1658="Red"),Dashboard!$R$6,IF(AND($I1658="Base",$E1658="Gold"),Dashboard!$R$7,VLOOKUP($I1658,Dashboard!$Q$16:$R$21,2,FALSE)))))*VLOOKUP($I1658,Dashboard!$Q$9:$R$13,2,FALSE)*IF(AND($I1658="Auto",$F1658="",OR($B1658="Autographs Duals",$B1658="Autographs Triples",$B1658="Autographs Quads",$B1658="Autographs Quads (Inscribed)")),IF($B1658="Autographs Duals",2,IF($B1658="Autographs Triples",3,4)),1)))</f>
        <v>2</v>
      </c>
      <c r="AB1658" s="62">
        <f t="shared" si="336"/>
        <v>2</v>
      </c>
      <c r="AC1658" s="62">
        <f t="shared" si="337"/>
        <v>0</v>
      </c>
    </row>
    <row r="1659" spans="1:29" ht="28.7" customHeight="1" x14ac:dyDescent="0.25">
      <c r="A1659" s="4" t="s">
        <v>21</v>
      </c>
      <c r="B1659" s="7" t="s">
        <v>87</v>
      </c>
      <c r="C1659" s="2" t="s">
        <v>437</v>
      </c>
      <c r="D1659" s="7" t="s">
        <v>276</v>
      </c>
      <c r="E1659" s="4" t="s">
        <v>823</v>
      </c>
      <c r="F1659" s="2"/>
      <c r="G1659" s="2" t="s">
        <v>1399</v>
      </c>
      <c r="H1659" s="2" t="s">
        <v>1400</v>
      </c>
      <c r="I1659" s="4" t="s">
        <v>60</v>
      </c>
      <c r="J1659" s="112">
        <f>IF($H1659&lt;&gt;"Y",0,ROUND(MIN(Dashboard!$R$24,IF(IFERROR(VLOOKUP($B1659,Dashboard!$Q$28:$S$60,2,FALSE),0)&gt;0,IFERROR(VLOOKUP($B1659,Dashboard!$Q$28:$S$60,2,FALSE),0),$Z1659*IF($U1659&lt;&gt;"",ROUND((Dashboard!$R$4/$U1659)*VLOOKUP($I1659,Dashboard!$Q$9:$R$13,2,FALSE)*IF(ISNUMBER(SEARCH("Duals",$B1659)),2,IF(ISNUMBER(SEARCH("Triples",$B1659)),3,IF(ISNUMBER(SEARCH("Quads",$B1659)),4,1))),2),ROUND(VLOOKUP($I1659,Dashboard!$Q$15:$R$20,2,FALSE)*IF($E1659="Red",Dashboard!$R$6,IF($E1659="Gold",Dashboard!$R$7,Dashboard!$R$5))*IF(ISNUMBER(SEARCH("Duals",$B1659)),2,IF(ISNUMBER(SEARCH("Triples",$B1659)),3,IF(ISNUMBER(SEARCH("Quads",$B1659)),4,1))),2))*IF(IFERROR(VLOOKUP($B1659,Dashboard!$Q$28:$S$60,3,FALSE),0)&gt;0,VLOOKUP($B1659,Dashboard!$Q$28:$S$60,3,FALSE),1))),0))</f>
        <v>2</v>
      </c>
      <c r="K1659" s="2" t="str">
        <f>IF(Characters!D9="","",Characters!D9)</f>
        <v>h</v>
      </c>
      <c r="L1659" s="2">
        <f t="shared" si="325"/>
        <v>1</v>
      </c>
      <c r="M1659" s="2">
        <f t="shared" si="326"/>
        <v>0</v>
      </c>
      <c r="N1659" s="2">
        <f t="shared" si="327"/>
        <v>1</v>
      </c>
      <c r="O1659" s="2">
        <f t="shared" si="328"/>
        <v>0</v>
      </c>
      <c r="P1659" s="112">
        <f t="shared" si="329"/>
        <v>2</v>
      </c>
      <c r="Q1659" s="112">
        <f t="shared" si="330"/>
        <v>0</v>
      </c>
      <c r="R1659" s="53"/>
      <c r="S1659" s="53" t="str">
        <f t="shared" si="331"/>
        <v>Characters|Characters Red Parallel|C-8|Red</v>
      </c>
      <c r="T1659" s="57" t="str">
        <f>IF($S1659="","",IFERROR(VLOOKUP($S1659,'Pop Estimates (Non-#d)'!$N$2:$O$500,2,FALSE),""))</f>
        <v/>
      </c>
      <c r="U1659" s="57" t="str">
        <f t="shared" si="332"/>
        <v/>
      </c>
      <c r="V1659" s="53" t="str">
        <f t="shared" si="333"/>
        <v>Mother's Milk</v>
      </c>
      <c r="W1659" s="53" t="str">
        <f t="shared" si="334"/>
        <v>Mother's Milk</v>
      </c>
      <c r="X1659" s="53" t="str">
        <f t="shared" si="335"/>
        <v>Mother's Milk</v>
      </c>
      <c r="Y1659" s="57">
        <f>IF($X1659="","",IFERROR(VLOOKUP($X1659,'Char Popularity'!$A$2:$C$500,2,FALSE),""))</f>
        <v>4</v>
      </c>
      <c r="Z1659" s="56">
        <f>IF($X1659="",1,IFERROR(VLOOKUP($X1659,'Char Popularity'!$A$2:$C$500,3,FALSE),1))</f>
        <v>1.1000000000000001</v>
      </c>
      <c r="AA1659" s="62">
        <f>IF($H1659&lt;&gt;"Y",0,(IF($F1659&lt;&gt;"",ROUND(Dashboard!$R$4/$F1659,1),IF(AND($I1659="Base",$E1659="Base"),Dashboard!$R$5,IF(AND($I1659="Base",$E1659="Red"),Dashboard!$R$6,IF(AND($I1659="Base",$E1659="Gold"),Dashboard!$R$7,VLOOKUP($I1659,Dashboard!$Q$16:$R$21,2,FALSE)))))*VLOOKUP($I1659,Dashboard!$Q$9:$R$13,2,FALSE)*IF(AND($I1659="Auto",$F1659="",OR($B1659="Autographs Duals",$B1659="Autographs Triples",$B1659="Autographs Quads",$B1659="Autographs Quads (Inscribed)")),IF($B1659="Autographs Duals",2,IF($B1659="Autographs Triples",3,4)),1)))</f>
        <v>2</v>
      </c>
      <c r="AB1659" s="62">
        <f t="shared" si="336"/>
        <v>2</v>
      </c>
      <c r="AC1659" s="62">
        <f t="shared" si="337"/>
        <v>0</v>
      </c>
    </row>
    <row r="1660" spans="1:29" ht="28.7" customHeight="1" x14ac:dyDescent="0.25">
      <c r="A1660" s="4" t="s">
        <v>21</v>
      </c>
      <c r="B1660" s="7" t="s">
        <v>87</v>
      </c>
      <c r="C1660" s="2" t="s">
        <v>438</v>
      </c>
      <c r="D1660" s="7" t="s">
        <v>244</v>
      </c>
      <c r="E1660" s="4" t="s">
        <v>823</v>
      </c>
      <c r="F1660" s="2"/>
      <c r="G1660" s="2" t="s">
        <v>1399</v>
      </c>
      <c r="H1660" s="2" t="s">
        <v>1400</v>
      </c>
      <c r="I1660" s="4" t="s">
        <v>60</v>
      </c>
      <c r="J1660" s="112">
        <f>IF($H1660&lt;&gt;"Y",0,ROUND(MIN(Dashboard!$R$24,IF(IFERROR(VLOOKUP($B1660,Dashboard!$Q$28:$S$60,2,FALSE),0)&gt;0,IFERROR(VLOOKUP($B1660,Dashboard!$Q$28:$S$60,2,FALSE),0),$Z1660*IF($U1660&lt;&gt;"",ROUND((Dashboard!$R$4/$U1660)*VLOOKUP($I1660,Dashboard!$Q$9:$R$13,2,FALSE)*IF(ISNUMBER(SEARCH("Duals",$B1660)),2,IF(ISNUMBER(SEARCH("Triples",$B1660)),3,IF(ISNUMBER(SEARCH("Quads",$B1660)),4,1))),2),ROUND(VLOOKUP($I1660,Dashboard!$Q$15:$R$20,2,FALSE)*IF($E1660="Red",Dashboard!$R$6,IF($E1660="Gold",Dashboard!$R$7,Dashboard!$R$5))*IF(ISNUMBER(SEARCH("Duals",$B1660)),2,IF(ISNUMBER(SEARCH("Triples",$B1660)),3,IF(ISNUMBER(SEARCH("Quads",$B1660)),4,1))),2))*IF(IFERROR(VLOOKUP($B1660,Dashboard!$Q$28:$S$60,3,FALSE),0)&gt;0,VLOOKUP($B1660,Dashboard!$Q$28:$S$60,3,FALSE),1))),0))</f>
        <v>2</v>
      </c>
      <c r="K1660" s="2" t="str">
        <f>IF(Characters!D10="","",Characters!D10)</f>
        <v>h</v>
      </c>
      <c r="L1660" s="2">
        <f t="shared" si="325"/>
        <v>1</v>
      </c>
      <c r="M1660" s="2">
        <f t="shared" si="326"/>
        <v>0</v>
      </c>
      <c r="N1660" s="2">
        <f t="shared" si="327"/>
        <v>1</v>
      </c>
      <c r="O1660" s="2">
        <f t="shared" si="328"/>
        <v>0</v>
      </c>
      <c r="P1660" s="112">
        <f t="shared" si="329"/>
        <v>2</v>
      </c>
      <c r="Q1660" s="112">
        <f t="shared" si="330"/>
        <v>0</v>
      </c>
      <c r="R1660" s="53"/>
      <c r="S1660" s="53" t="str">
        <f t="shared" si="331"/>
        <v>Characters|Characters Red Parallel|C-9|Red</v>
      </c>
      <c r="T1660" s="57" t="str">
        <f>IF($S1660="","",IFERROR(VLOOKUP($S1660,'Pop Estimates (Non-#d)'!$N$2:$O$500,2,FALSE),""))</f>
        <v/>
      </c>
      <c r="U1660" s="57" t="str">
        <f t="shared" si="332"/>
        <v/>
      </c>
      <c r="V1660" s="53" t="str">
        <f t="shared" si="333"/>
        <v>Queen Maeve</v>
      </c>
      <c r="W1660" s="53" t="str">
        <f t="shared" si="334"/>
        <v>Queen Maeve</v>
      </c>
      <c r="X1660" s="53" t="str">
        <f t="shared" si="335"/>
        <v>Queen Maeve</v>
      </c>
      <c r="Y1660" s="57">
        <f>IF($X1660="","",IFERROR(VLOOKUP($X1660,'Char Popularity'!$A$2:$C$500,2,FALSE),""))</f>
        <v>4</v>
      </c>
      <c r="Z1660" s="56">
        <f>IF($X1660="",1,IFERROR(VLOOKUP($X1660,'Char Popularity'!$A$2:$C$500,3,FALSE),1))</f>
        <v>1.1000000000000001</v>
      </c>
      <c r="AA1660" s="62">
        <f>IF($H1660&lt;&gt;"Y",0,(IF($F1660&lt;&gt;"",ROUND(Dashboard!$R$4/$F1660,1),IF(AND($I1660="Base",$E1660="Base"),Dashboard!$R$5,IF(AND($I1660="Base",$E1660="Red"),Dashboard!$R$6,IF(AND($I1660="Base",$E1660="Gold"),Dashboard!$R$7,VLOOKUP($I1660,Dashboard!$Q$16:$R$21,2,FALSE)))))*VLOOKUP($I1660,Dashboard!$Q$9:$R$13,2,FALSE)*IF(AND($I1660="Auto",$F1660="",OR($B1660="Autographs Duals",$B1660="Autographs Triples",$B1660="Autographs Quads",$B1660="Autographs Quads (Inscribed)")),IF($B1660="Autographs Duals",2,IF($B1660="Autographs Triples",3,4)),1)))</f>
        <v>2</v>
      </c>
      <c r="AB1660" s="62">
        <f t="shared" si="336"/>
        <v>2</v>
      </c>
      <c r="AC1660" s="62">
        <f t="shared" si="337"/>
        <v>0</v>
      </c>
    </row>
    <row r="1661" spans="1:29" ht="28.7" customHeight="1" x14ac:dyDescent="0.25">
      <c r="A1661" s="4" t="s">
        <v>21</v>
      </c>
      <c r="B1661" s="7" t="s">
        <v>87</v>
      </c>
      <c r="C1661" s="2" t="s">
        <v>410</v>
      </c>
      <c r="D1661" s="7" t="s">
        <v>270</v>
      </c>
      <c r="E1661" s="4" t="s">
        <v>823</v>
      </c>
      <c r="F1661" s="2"/>
      <c r="G1661" s="2" t="s">
        <v>1399</v>
      </c>
      <c r="H1661" s="2" t="s">
        <v>1400</v>
      </c>
      <c r="I1661" s="4" t="s">
        <v>60</v>
      </c>
      <c r="J1661" s="112">
        <f>IF($H1661&lt;&gt;"Y",0,ROUND(MIN(Dashboard!$R$24,IF(IFERROR(VLOOKUP($B1661,Dashboard!$Q$28:$S$60,2,FALSE),0)&gt;0,IFERROR(VLOOKUP($B1661,Dashboard!$Q$28:$S$60,2,FALSE),0),$Z1661*IF($U1661&lt;&gt;"",ROUND((Dashboard!$R$4/$U1661)*VLOOKUP($I1661,Dashboard!$Q$9:$R$13,2,FALSE)*IF(ISNUMBER(SEARCH("Duals",$B1661)),2,IF(ISNUMBER(SEARCH("Triples",$B1661)),3,IF(ISNUMBER(SEARCH("Quads",$B1661)),4,1))),2),ROUND(VLOOKUP($I1661,Dashboard!$Q$15:$R$20,2,FALSE)*IF($E1661="Red",Dashboard!$R$6,IF($E1661="Gold",Dashboard!$R$7,Dashboard!$R$5))*IF(ISNUMBER(SEARCH("Duals",$B1661)),2,IF(ISNUMBER(SEARCH("Triples",$B1661)),3,IF(ISNUMBER(SEARCH("Quads",$B1661)),4,1))),2))*IF(IFERROR(VLOOKUP($B1661,Dashboard!$Q$28:$S$60,3,FALSE),0)&gt;0,VLOOKUP($B1661,Dashboard!$Q$28:$S$60,3,FALSE),1))),0))</f>
        <v>2</v>
      </c>
      <c r="K1661" s="2" t="str">
        <f>IF(Characters!D11="","",Characters!D11)</f>
        <v>h</v>
      </c>
      <c r="L1661" s="2">
        <f t="shared" si="325"/>
        <v>1</v>
      </c>
      <c r="M1661" s="2">
        <f t="shared" si="326"/>
        <v>0</v>
      </c>
      <c r="N1661" s="2">
        <f t="shared" si="327"/>
        <v>1</v>
      </c>
      <c r="O1661" s="2">
        <f t="shared" si="328"/>
        <v>0</v>
      </c>
      <c r="P1661" s="112">
        <f t="shared" si="329"/>
        <v>2</v>
      </c>
      <c r="Q1661" s="112">
        <f t="shared" si="330"/>
        <v>0</v>
      </c>
      <c r="R1661" s="53"/>
      <c r="S1661" s="53" t="str">
        <f t="shared" si="331"/>
        <v>Characters|Characters Red Parallel|C-10|Red</v>
      </c>
      <c r="T1661" s="57" t="str">
        <f>IF($S1661="","",IFERROR(VLOOKUP($S1661,'Pop Estimates (Non-#d)'!$N$2:$O$500,2,FALSE),""))</f>
        <v/>
      </c>
      <c r="U1661" s="57" t="str">
        <f t="shared" si="332"/>
        <v/>
      </c>
      <c r="V1661" s="53" t="str">
        <f t="shared" si="333"/>
        <v>Kimiko</v>
      </c>
      <c r="W1661" s="53" t="str">
        <f t="shared" si="334"/>
        <v>Kimiko</v>
      </c>
      <c r="X1661" s="53" t="str">
        <f t="shared" si="335"/>
        <v>Kimiko</v>
      </c>
      <c r="Y1661" s="57">
        <f>IF($X1661="","",IFERROR(VLOOKUP($X1661,'Char Popularity'!$A$2:$C$500,2,FALSE),""))</f>
        <v>4</v>
      </c>
      <c r="Z1661" s="56">
        <f>IF($X1661="",1,IFERROR(VLOOKUP($X1661,'Char Popularity'!$A$2:$C$500,3,FALSE),1))</f>
        <v>1.1000000000000001</v>
      </c>
      <c r="AA1661" s="62">
        <f>IF($H1661&lt;&gt;"Y",0,(IF($F1661&lt;&gt;"",ROUND(Dashboard!$R$4/$F1661,1),IF(AND($I1661="Base",$E1661="Base"),Dashboard!$R$5,IF(AND($I1661="Base",$E1661="Red"),Dashboard!$R$6,IF(AND($I1661="Base",$E1661="Gold"),Dashboard!$R$7,VLOOKUP($I1661,Dashboard!$Q$16:$R$21,2,FALSE)))))*VLOOKUP($I1661,Dashboard!$Q$9:$R$13,2,FALSE)*IF(AND($I1661="Auto",$F1661="",OR($B1661="Autographs Duals",$B1661="Autographs Triples",$B1661="Autographs Quads",$B1661="Autographs Quads (Inscribed)")),IF($B1661="Autographs Duals",2,IF($B1661="Autographs Triples",3,4)),1)))</f>
        <v>2</v>
      </c>
      <c r="AB1661" s="62">
        <f t="shared" si="336"/>
        <v>2</v>
      </c>
      <c r="AC1661" s="62">
        <f t="shared" si="337"/>
        <v>0</v>
      </c>
    </row>
    <row r="1662" spans="1:29" ht="28.7" customHeight="1" x14ac:dyDescent="0.25">
      <c r="A1662" s="4" t="s">
        <v>21</v>
      </c>
      <c r="B1662" s="7" t="s">
        <v>87</v>
      </c>
      <c r="C1662" s="2" t="s">
        <v>411</v>
      </c>
      <c r="D1662" s="7" t="s">
        <v>238</v>
      </c>
      <c r="E1662" s="4" t="s">
        <v>823</v>
      </c>
      <c r="F1662" s="2"/>
      <c r="G1662" s="2" t="s">
        <v>1399</v>
      </c>
      <c r="H1662" s="2" t="s">
        <v>1400</v>
      </c>
      <c r="I1662" s="4" t="s">
        <v>60</v>
      </c>
      <c r="J1662" s="112">
        <f>IF($H1662&lt;&gt;"Y",0,ROUND(MIN(Dashboard!$R$24,IF(IFERROR(VLOOKUP($B1662,Dashboard!$Q$28:$S$60,2,FALSE),0)&gt;0,IFERROR(VLOOKUP($B1662,Dashboard!$Q$28:$S$60,2,FALSE),0),$Z1662*IF($U1662&lt;&gt;"",ROUND((Dashboard!$R$4/$U1662)*VLOOKUP($I1662,Dashboard!$Q$9:$R$13,2,FALSE)*IF(ISNUMBER(SEARCH("Duals",$B1662)),2,IF(ISNUMBER(SEARCH("Triples",$B1662)),3,IF(ISNUMBER(SEARCH("Quads",$B1662)),4,1))),2),ROUND(VLOOKUP($I1662,Dashboard!$Q$15:$R$20,2,FALSE)*IF($E1662="Red",Dashboard!$R$6,IF($E1662="Gold",Dashboard!$R$7,Dashboard!$R$5))*IF(ISNUMBER(SEARCH("Duals",$B1662)),2,IF(ISNUMBER(SEARCH("Triples",$B1662)),3,IF(ISNUMBER(SEARCH("Quads",$B1662)),4,1))),2))*IF(IFERROR(VLOOKUP($B1662,Dashboard!$Q$28:$S$60,3,FALSE),0)&gt;0,VLOOKUP($B1662,Dashboard!$Q$28:$S$60,3,FALSE),1))),0))</f>
        <v>2</v>
      </c>
      <c r="K1662" s="2" t="str">
        <f>IF(Characters!D12="","",Characters!D12)</f>
        <v>h</v>
      </c>
      <c r="L1662" s="2">
        <f t="shared" si="325"/>
        <v>1</v>
      </c>
      <c r="M1662" s="2">
        <f t="shared" si="326"/>
        <v>0</v>
      </c>
      <c r="N1662" s="2">
        <f t="shared" si="327"/>
        <v>1</v>
      </c>
      <c r="O1662" s="2">
        <f t="shared" si="328"/>
        <v>0</v>
      </c>
      <c r="P1662" s="112">
        <f t="shared" si="329"/>
        <v>2</v>
      </c>
      <c r="Q1662" s="112">
        <f t="shared" si="330"/>
        <v>0</v>
      </c>
      <c r="R1662" s="53"/>
      <c r="S1662" s="53" t="str">
        <f t="shared" si="331"/>
        <v>Characters|Characters Red Parallel|C-11|Red</v>
      </c>
      <c r="T1662" s="57" t="str">
        <f>IF($S1662="","",IFERROR(VLOOKUP($S1662,'Pop Estimates (Non-#d)'!$N$2:$O$500,2,FALSE),""))</f>
        <v/>
      </c>
      <c r="U1662" s="57" t="str">
        <f t="shared" si="332"/>
        <v/>
      </c>
      <c r="V1662" s="53" t="str">
        <f t="shared" si="333"/>
        <v>Frenchie</v>
      </c>
      <c r="W1662" s="53" t="str">
        <f t="shared" si="334"/>
        <v>Frenchie</v>
      </c>
      <c r="X1662" s="53" t="str">
        <f t="shared" si="335"/>
        <v>Frenchie</v>
      </c>
      <c r="Y1662" s="57">
        <f>IF($X1662="","",IFERROR(VLOOKUP($X1662,'Char Popularity'!$A$2:$C$500,2,FALSE),""))</f>
        <v>4</v>
      </c>
      <c r="Z1662" s="56">
        <f>IF($X1662="",1,IFERROR(VLOOKUP($X1662,'Char Popularity'!$A$2:$C$500,3,FALSE),1))</f>
        <v>1.1000000000000001</v>
      </c>
      <c r="AA1662" s="62">
        <f>IF($H1662&lt;&gt;"Y",0,(IF($F1662&lt;&gt;"",ROUND(Dashboard!$R$4/$F1662,1),IF(AND($I1662="Base",$E1662="Base"),Dashboard!$R$5,IF(AND($I1662="Base",$E1662="Red"),Dashboard!$R$6,IF(AND($I1662="Base",$E1662="Gold"),Dashboard!$R$7,VLOOKUP($I1662,Dashboard!$Q$16:$R$21,2,FALSE)))))*VLOOKUP($I1662,Dashboard!$Q$9:$R$13,2,FALSE)*IF(AND($I1662="Auto",$F1662="",OR($B1662="Autographs Duals",$B1662="Autographs Triples",$B1662="Autographs Quads",$B1662="Autographs Quads (Inscribed)")),IF($B1662="Autographs Duals",2,IF($B1662="Autographs Triples",3,4)),1)))</f>
        <v>2</v>
      </c>
      <c r="AB1662" s="62">
        <f t="shared" si="336"/>
        <v>2</v>
      </c>
      <c r="AC1662" s="62">
        <f t="shared" si="337"/>
        <v>0</v>
      </c>
    </row>
    <row r="1663" spans="1:29" ht="28.7" customHeight="1" x14ac:dyDescent="0.25">
      <c r="A1663" s="4" t="s">
        <v>21</v>
      </c>
      <c r="B1663" s="7" t="s">
        <v>87</v>
      </c>
      <c r="C1663" s="2" t="s">
        <v>412</v>
      </c>
      <c r="D1663" s="7" t="s">
        <v>283</v>
      </c>
      <c r="E1663" s="4" t="s">
        <v>823</v>
      </c>
      <c r="F1663" s="2"/>
      <c r="G1663" s="2" t="s">
        <v>1399</v>
      </c>
      <c r="H1663" s="2" t="s">
        <v>1400</v>
      </c>
      <c r="I1663" s="4" t="s">
        <v>60</v>
      </c>
      <c r="J1663" s="112">
        <f>IF($H1663&lt;&gt;"Y",0,ROUND(MIN(Dashboard!$R$24,IF(IFERROR(VLOOKUP($B1663,Dashboard!$Q$28:$S$60,2,FALSE),0)&gt;0,IFERROR(VLOOKUP($B1663,Dashboard!$Q$28:$S$60,2,FALSE),0),$Z1663*IF($U1663&lt;&gt;"",ROUND((Dashboard!$R$4/$U1663)*VLOOKUP($I1663,Dashboard!$Q$9:$R$13,2,FALSE)*IF(ISNUMBER(SEARCH("Duals",$B1663)),2,IF(ISNUMBER(SEARCH("Triples",$B1663)),3,IF(ISNUMBER(SEARCH("Quads",$B1663)),4,1))),2),ROUND(VLOOKUP($I1663,Dashboard!$Q$15:$R$20,2,FALSE)*IF($E1663="Red",Dashboard!$R$6,IF($E1663="Gold",Dashboard!$R$7,Dashboard!$R$5))*IF(ISNUMBER(SEARCH("Duals",$B1663)),2,IF(ISNUMBER(SEARCH("Triples",$B1663)),3,IF(ISNUMBER(SEARCH("Quads",$B1663)),4,1))),2))*IF(IFERROR(VLOOKUP($B1663,Dashboard!$Q$28:$S$60,3,FALSE),0)&gt;0,VLOOKUP($B1663,Dashboard!$Q$28:$S$60,3,FALSE),1))),0))</f>
        <v>2</v>
      </c>
      <c r="K1663" s="2" t="str">
        <f>IF(Characters!D13="","",Characters!D13)</f>
        <v>h</v>
      </c>
      <c r="L1663" s="2">
        <f t="shared" si="325"/>
        <v>1</v>
      </c>
      <c r="M1663" s="2">
        <f t="shared" si="326"/>
        <v>0</v>
      </c>
      <c r="N1663" s="2">
        <f t="shared" si="327"/>
        <v>1</v>
      </c>
      <c r="O1663" s="2">
        <f t="shared" si="328"/>
        <v>0</v>
      </c>
      <c r="P1663" s="112">
        <f t="shared" si="329"/>
        <v>2</v>
      </c>
      <c r="Q1663" s="112">
        <f t="shared" si="330"/>
        <v>0</v>
      </c>
      <c r="R1663" s="53"/>
      <c r="S1663" s="53" t="str">
        <f t="shared" si="331"/>
        <v>Characters|Characters Red Parallel|C-12|Red</v>
      </c>
      <c r="T1663" s="57" t="str">
        <f>IF($S1663="","",IFERROR(VLOOKUP($S1663,'Pop Estimates (Non-#d)'!$N$2:$O$500,2,FALSE),""))</f>
        <v/>
      </c>
      <c r="U1663" s="57" t="str">
        <f t="shared" si="332"/>
        <v/>
      </c>
      <c r="V1663" s="53" t="str">
        <f t="shared" si="333"/>
        <v>Black Noir</v>
      </c>
      <c r="W1663" s="53" t="str">
        <f t="shared" si="334"/>
        <v>Black Noir</v>
      </c>
      <c r="X1663" s="53" t="str">
        <f t="shared" si="335"/>
        <v>Black Noir</v>
      </c>
      <c r="Y1663" s="57">
        <f>IF($X1663="","",IFERROR(VLOOKUP($X1663,'Char Popularity'!$A$2:$C$500,2,FALSE),""))</f>
        <v>4</v>
      </c>
      <c r="Z1663" s="56">
        <f>IF($X1663="",1,IFERROR(VLOOKUP($X1663,'Char Popularity'!$A$2:$C$500,3,FALSE),1))</f>
        <v>1.1000000000000001</v>
      </c>
      <c r="AA1663" s="62">
        <f>IF($H1663&lt;&gt;"Y",0,(IF($F1663&lt;&gt;"",ROUND(Dashboard!$R$4/$F1663,1),IF(AND($I1663="Base",$E1663="Base"),Dashboard!$R$5,IF(AND($I1663="Base",$E1663="Red"),Dashboard!$R$6,IF(AND($I1663="Base",$E1663="Gold"),Dashboard!$R$7,VLOOKUP($I1663,Dashboard!$Q$16:$R$21,2,FALSE)))))*VLOOKUP($I1663,Dashboard!$Q$9:$R$13,2,FALSE)*IF(AND($I1663="Auto",$F1663="",OR($B1663="Autographs Duals",$B1663="Autographs Triples",$B1663="Autographs Quads",$B1663="Autographs Quads (Inscribed)")),IF($B1663="Autographs Duals",2,IF($B1663="Autographs Triples",3,4)),1)))</f>
        <v>2</v>
      </c>
      <c r="AB1663" s="62">
        <f t="shared" si="336"/>
        <v>2</v>
      </c>
      <c r="AC1663" s="62">
        <f t="shared" si="337"/>
        <v>0</v>
      </c>
    </row>
    <row r="1664" spans="1:29" ht="28.7" customHeight="1" x14ac:dyDescent="0.25">
      <c r="A1664" s="4" t="s">
        <v>21</v>
      </c>
      <c r="B1664" s="7" t="s">
        <v>87</v>
      </c>
      <c r="C1664" s="2" t="s">
        <v>413</v>
      </c>
      <c r="D1664" s="7" t="s">
        <v>216</v>
      </c>
      <c r="E1664" s="4" t="s">
        <v>823</v>
      </c>
      <c r="F1664" s="2"/>
      <c r="G1664" s="2" t="s">
        <v>1399</v>
      </c>
      <c r="H1664" s="2" t="s">
        <v>1400</v>
      </c>
      <c r="I1664" s="4" t="s">
        <v>60</v>
      </c>
      <c r="J1664" s="112">
        <f>IF($H1664&lt;&gt;"Y",0,ROUND(MIN(Dashboard!$R$24,IF(IFERROR(VLOOKUP($B1664,Dashboard!$Q$28:$S$60,2,FALSE),0)&gt;0,IFERROR(VLOOKUP($B1664,Dashboard!$Q$28:$S$60,2,FALSE),0),$Z1664*IF($U1664&lt;&gt;"",ROUND((Dashboard!$R$4/$U1664)*VLOOKUP($I1664,Dashboard!$Q$9:$R$13,2,FALSE)*IF(ISNUMBER(SEARCH("Duals",$B1664)),2,IF(ISNUMBER(SEARCH("Triples",$B1664)),3,IF(ISNUMBER(SEARCH("Quads",$B1664)),4,1))),2),ROUND(VLOOKUP($I1664,Dashboard!$Q$15:$R$20,2,FALSE)*IF($E1664="Red",Dashboard!$R$6,IF($E1664="Gold",Dashboard!$R$7,Dashboard!$R$5))*IF(ISNUMBER(SEARCH("Duals",$B1664)),2,IF(ISNUMBER(SEARCH("Triples",$B1664)),3,IF(ISNUMBER(SEARCH("Quads",$B1664)),4,1))),2))*IF(IFERROR(VLOOKUP($B1664,Dashboard!$Q$28:$S$60,3,FALSE),0)&gt;0,VLOOKUP($B1664,Dashboard!$Q$28:$S$60,3,FALSE),1))),0))</f>
        <v>2</v>
      </c>
      <c r="K1664" s="2" t="str">
        <f>IF(Characters!D14="","",Characters!D14)</f>
        <v>h</v>
      </c>
      <c r="L1664" s="2">
        <f t="shared" si="325"/>
        <v>1</v>
      </c>
      <c r="M1664" s="2">
        <f t="shared" si="326"/>
        <v>0</v>
      </c>
      <c r="N1664" s="2">
        <f t="shared" si="327"/>
        <v>1</v>
      </c>
      <c r="O1664" s="2">
        <f t="shared" si="328"/>
        <v>0</v>
      </c>
      <c r="P1664" s="112">
        <f t="shared" si="329"/>
        <v>2</v>
      </c>
      <c r="Q1664" s="112">
        <f t="shared" si="330"/>
        <v>0</v>
      </c>
      <c r="R1664" s="53"/>
      <c r="S1664" s="53" t="str">
        <f t="shared" si="331"/>
        <v>Characters|Characters Red Parallel|C-13|Red</v>
      </c>
      <c r="T1664" s="57" t="str">
        <f>IF($S1664="","",IFERROR(VLOOKUP($S1664,'Pop Estimates (Non-#d)'!$N$2:$O$500,2,FALSE),""))</f>
        <v/>
      </c>
      <c r="U1664" s="57" t="str">
        <f t="shared" si="332"/>
        <v/>
      </c>
      <c r="V1664" s="53" t="str">
        <f t="shared" si="333"/>
        <v>Translucent</v>
      </c>
      <c r="W1664" s="53" t="str">
        <f t="shared" si="334"/>
        <v>Translucent</v>
      </c>
      <c r="X1664" s="53" t="str">
        <f t="shared" si="335"/>
        <v>Translucent</v>
      </c>
      <c r="Y1664" s="57">
        <f>IF($X1664="","",IFERROR(VLOOKUP($X1664,'Char Popularity'!$A$2:$C$500,2,FALSE),""))</f>
        <v>2</v>
      </c>
      <c r="Z1664" s="56">
        <f>IF($X1664="",1,IFERROR(VLOOKUP($X1664,'Char Popularity'!$A$2:$C$500,3,FALSE),1))</f>
        <v>0.9</v>
      </c>
      <c r="AA1664" s="62">
        <f>IF($H1664&lt;&gt;"Y",0,(IF($F1664&lt;&gt;"",ROUND(Dashboard!$R$4/$F1664,1),IF(AND($I1664="Base",$E1664="Base"),Dashboard!$R$5,IF(AND($I1664="Base",$E1664="Red"),Dashboard!$R$6,IF(AND($I1664="Base",$E1664="Gold"),Dashboard!$R$7,VLOOKUP($I1664,Dashboard!$Q$16:$R$21,2,FALSE)))))*VLOOKUP($I1664,Dashboard!$Q$9:$R$13,2,FALSE)*IF(AND($I1664="Auto",$F1664="",OR($B1664="Autographs Duals",$B1664="Autographs Triples",$B1664="Autographs Quads",$B1664="Autographs Quads (Inscribed)")),IF($B1664="Autographs Duals",2,IF($B1664="Autographs Triples",3,4)),1)))</f>
        <v>2</v>
      </c>
      <c r="AB1664" s="62">
        <f t="shared" si="336"/>
        <v>2</v>
      </c>
      <c r="AC1664" s="62">
        <f t="shared" si="337"/>
        <v>0</v>
      </c>
    </row>
    <row r="1665" spans="1:29" ht="28.7" customHeight="1" x14ac:dyDescent="0.25">
      <c r="A1665" s="4" t="s">
        <v>21</v>
      </c>
      <c r="B1665" s="7" t="s">
        <v>87</v>
      </c>
      <c r="C1665" s="2" t="s">
        <v>414</v>
      </c>
      <c r="D1665" s="7" t="s">
        <v>254</v>
      </c>
      <c r="E1665" s="4" t="s">
        <v>823</v>
      </c>
      <c r="F1665" s="2"/>
      <c r="G1665" s="2" t="s">
        <v>1399</v>
      </c>
      <c r="H1665" s="2" t="s">
        <v>1400</v>
      </c>
      <c r="I1665" s="4" t="s">
        <v>60</v>
      </c>
      <c r="J1665" s="112">
        <f>IF($H1665&lt;&gt;"Y",0,ROUND(MIN(Dashboard!$R$24,IF(IFERROR(VLOOKUP($B1665,Dashboard!$Q$28:$S$60,2,FALSE),0)&gt;0,IFERROR(VLOOKUP($B1665,Dashboard!$Q$28:$S$60,2,FALSE),0),$Z1665*IF($U1665&lt;&gt;"",ROUND((Dashboard!$R$4/$U1665)*VLOOKUP($I1665,Dashboard!$Q$9:$R$13,2,FALSE)*IF(ISNUMBER(SEARCH("Duals",$B1665)),2,IF(ISNUMBER(SEARCH("Triples",$B1665)),3,IF(ISNUMBER(SEARCH("Quads",$B1665)),4,1))),2),ROUND(VLOOKUP($I1665,Dashboard!$Q$15:$R$20,2,FALSE)*IF($E1665="Red",Dashboard!$R$6,IF($E1665="Gold",Dashboard!$R$7,Dashboard!$R$5))*IF(ISNUMBER(SEARCH("Duals",$B1665)),2,IF(ISNUMBER(SEARCH("Triples",$B1665)),3,IF(ISNUMBER(SEARCH("Quads",$B1665)),4,1))),2))*IF(IFERROR(VLOOKUP($B1665,Dashboard!$Q$28:$S$60,3,FALSE),0)&gt;0,VLOOKUP($B1665,Dashboard!$Q$28:$S$60,3,FALSE),1))),0))</f>
        <v>2</v>
      </c>
      <c r="K1665" s="2" t="str">
        <f>IF(Characters!D15="","",Characters!D15)</f>
        <v>h</v>
      </c>
      <c r="L1665" s="2">
        <f t="shared" si="325"/>
        <v>1</v>
      </c>
      <c r="M1665" s="2">
        <f t="shared" si="326"/>
        <v>0</v>
      </c>
      <c r="N1665" s="2">
        <f t="shared" si="327"/>
        <v>1</v>
      </c>
      <c r="O1665" s="2">
        <f t="shared" si="328"/>
        <v>0</v>
      </c>
      <c r="P1665" s="112">
        <f t="shared" si="329"/>
        <v>2</v>
      </c>
      <c r="Q1665" s="112">
        <f t="shared" si="330"/>
        <v>0</v>
      </c>
      <c r="R1665" s="53"/>
      <c r="S1665" s="53" t="str">
        <f t="shared" si="331"/>
        <v>Characters|Characters Red Parallel|C-14|Red</v>
      </c>
      <c r="T1665" s="57" t="str">
        <f>IF($S1665="","",IFERROR(VLOOKUP($S1665,'Pop Estimates (Non-#d)'!$N$2:$O$500,2,FALSE),""))</f>
        <v/>
      </c>
      <c r="U1665" s="57" t="str">
        <f t="shared" si="332"/>
        <v/>
      </c>
      <c r="V1665" s="53" t="str">
        <f t="shared" si="333"/>
        <v>Stan Edgar</v>
      </c>
      <c r="W1665" s="53" t="str">
        <f t="shared" si="334"/>
        <v>Stan Edgar</v>
      </c>
      <c r="X1665" s="53" t="str">
        <f t="shared" si="335"/>
        <v>Stan Edgar</v>
      </c>
      <c r="Y1665" s="57">
        <f>IF($X1665="","",IFERROR(VLOOKUP($X1665,'Char Popularity'!$A$2:$C$500,2,FALSE),""))</f>
        <v>4</v>
      </c>
      <c r="Z1665" s="56">
        <f>IF($X1665="",1,IFERROR(VLOOKUP($X1665,'Char Popularity'!$A$2:$C$500,3,FALSE),1))</f>
        <v>1.1000000000000001</v>
      </c>
      <c r="AA1665" s="62">
        <f>IF($H1665&lt;&gt;"Y",0,(IF($F1665&lt;&gt;"",ROUND(Dashboard!$R$4/$F1665,1),IF(AND($I1665="Base",$E1665="Base"),Dashboard!$R$5,IF(AND($I1665="Base",$E1665="Red"),Dashboard!$R$6,IF(AND($I1665="Base",$E1665="Gold"),Dashboard!$R$7,VLOOKUP($I1665,Dashboard!$Q$16:$R$21,2,FALSE)))))*VLOOKUP($I1665,Dashboard!$Q$9:$R$13,2,FALSE)*IF(AND($I1665="Auto",$F1665="",OR($B1665="Autographs Duals",$B1665="Autographs Triples",$B1665="Autographs Quads",$B1665="Autographs Quads (Inscribed)")),IF($B1665="Autographs Duals",2,IF($B1665="Autographs Triples",3,4)),1)))</f>
        <v>2</v>
      </c>
      <c r="AB1665" s="62">
        <f t="shared" si="336"/>
        <v>2</v>
      </c>
      <c r="AC1665" s="62">
        <f t="shared" si="337"/>
        <v>0</v>
      </c>
    </row>
    <row r="1666" spans="1:29" ht="28.7" customHeight="1" x14ac:dyDescent="0.25">
      <c r="A1666" s="4" t="s">
        <v>21</v>
      </c>
      <c r="B1666" s="7" t="s">
        <v>87</v>
      </c>
      <c r="C1666" s="2" t="s">
        <v>415</v>
      </c>
      <c r="D1666" s="7" t="s">
        <v>224</v>
      </c>
      <c r="E1666" s="4" t="s">
        <v>823</v>
      </c>
      <c r="F1666" s="2"/>
      <c r="G1666" s="2" t="s">
        <v>1399</v>
      </c>
      <c r="H1666" s="2" t="s">
        <v>1400</v>
      </c>
      <c r="I1666" s="4" t="s">
        <v>60</v>
      </c>
      <c r="J1666" s="112">
        <f>IF($H1666&lt;&gt;"Y",0,ROUND(MIN(Dashboard!$R$24,IF(IFERROR(VLOOKUP($B1666,Dashboard!$Q$28:$S$60,2,FALSE),0)&gt;0,IFERROR(VLOOKUP($B1666,Dashboard!$Q$28:$S$60,2,FALSE),0),$Z1666*IF($U1666&lt;&gt;"",ROUND((Dashboard!$R$4/$U1666)*VLOOKUP($I1666,Dashboard!$Q$9:$R$13,2,FALSE)*IF(ISNUMBER(SEARCH("Duals",$B1666)),2,IF(ISNUMBER(SEARCH("Triples",$B1666)),3,IF(ISNUMBER(SEARCH("Quads",$B1666)),4,1))),2),ROUND(VLOOKUP($I1666,Dashboard!$Q$15:$R$20,2,FALSE)*IF($E1666="Red",Dashboard!$R$6,IF($E1666="Gold",Dashboard!$R$7,Dashboard!$R$5))*IF(ISNUMBER(SEARCH("Duals",$B1666)),2,IF(ISNUMBER(SEARCH("Triples",$B1666)),3,IF(ISNUMBER(SEARCH("Quads",$B1666)),4,1))),2))*IF(IFERROR(VLOOKUP($B1666,Dashboard!$Q$28:$S$60,3,FALSE),0)&gt;0,VLOOKUP($B1666,Dashboard!$Q$28:$S$60,3,FALSE),1))),0))</f>
        <v>2</v>
      </c>
      <c r="K1666" s="2" t="str">
        <f>IF(Characters!D16="","",Characters!D16)</f>
        <v>h</v>
      </c>
      <c r="L1666" s="2">
        <f t="shared" ref="L1666:L1729" si="338">IF(AND($K1666&lt;&gt;"",LEFT($K1666,1)&lt;&gt;"Y"),1,0)</f>
        <v>1</v>
      </c>
      <c r="M1666" s="2">
        <f t="shared" ref="M1666:M1729" si="339">IF(LEFT($K1666,1)="Y",1,0)</f>
        <v>0</v>
      </c>
      <c r="N1666" s="2">
        <f t="shared" ref="N1666:N1729" si="340">$L1666+$M1666</f>
        <v>1</v>
      </c>
      <c r="O1666" s="2">
        <f t="shared" ref="O1666:O1729" si="341">IF($H1666="Y",1-$N1666,0)</f>
        <v>0</v>
      </c>
      <c r="P1666" s="112">
        <f t="shared" ref="P1666:P1729" si="342">IF($L1666=1,$J1666,0)</f>
        <v>2</v>
      </c>
      <c r="Q1666" s="112">
        <f t="shared" ref="Q1666:Q1729" si="343">IF($M1666=1,$J1666,0)</f>
        <v>0</v>
      </c>
      <c r="R1666" s="53"/>
      <c r="S1666" s="53" t="str">
        <f t="shared" ref="S1666:S1729" si="344">IF($A1666="","",$A1666&amp;"|"&amp;$B1666&amp;"|"&amp;$C1666&amp;"|"&amp;$E1666)</f>
        <v>Characters|Characters Red Parallel|C-15|Red</v>
      </c>
      <c r="T1666" s="57" t="str">
        <f>IF($S1666="","",IFERROR(VLOOKUP($S1666,'Pop Estimates (Non-#d)'!$N$2:$O$500,2,FALSE),""))</f>
        <v/>
      </c>
      <c r="U1666" s="57" t="str">
        <f t="shared" ref="U1666:U1729" si="345">IF($A1666="","",IF($F1666&lt;&gt;"",$F1666,$T1666))</f>
        <v/>
      </c>
      <c r="V1666" s="53" t="str">
        <f t="shared" ref="V1666:V1729" si="346">IF($A1666="","",IF(ISNUMBER(SEARCH(" as ",$D1666)),MID($D1666,SEARCH(" as ",$D1666)+4,255),IF(ISNUMBER(SEARCH("/",$D1666)),LEFT($D1666,FIND("/",$D1666&amp;"/")-1),"")))</f>
        <v>Popclaw</v>
      </c>
      <c r="W1666" s="53" t="str">
        <f t="shared" ref="W1666:W1729" si="347">IF($V1666="","",TRIM(IFERROR(MID($V1666,SEARCH("(", $V1666)+1,SEARCH(")",$V1666)-SEARCH("(", $V1666)-1),$V1666)))</f>
        <v>Popclaw</v>
      </c>
      <c r="X1666" s="53" t="str">
        <f t="shared" ref="X1666:X1729" si="348">IF($W1666="","",TRIM(LEFT($W1666&amp;"""",FIND("""",$W1666&amp;"""")-1)))</f>
        <v>Popclaw</v>
      </c>
      <c r="Y1666" s="57">
        <f>IF($X1666="","",IFERROR(VLOOKUP($X1666,'Char Popularity'!$A$2:$C$500,2,FALSE),""))</f>
        <v>2</v>
      </c>
      <c r="Z1666" s="56">
        <f>IF($X1666="",1,IFERROR(VLOOKUP($X1666,'Char Popularity'!$A$2:$C$500,3,FALSE),1))</f>
        <v>0.9</v>
      </c>
      <c r="AA1666" s="62">
        <f>IF($H1666&lt;&gt;"Y",0,(IF($F1666&lt;&gt;"",ROUND(Dashboard!$R$4/$F1666,1),IF(AND($I1666="Base",$E1666="Base"),Dashboard!$R$5,IF(AND($I1666="Base",$E1666="Red"),Dashboard!$R$6,IF(AND($I1666="Base",$E1666="Gold"),Dashboard!$R$7,VLOOKUP($I1666,Dashboard!$Q$16:$R$21,2,FALSE)))))*VLOOKUP($I1666,Dashboard!$Q$9:$R$13,2,FALSE)*IF(AND($I1666="Auto",$F1666="",OR($B1666="Autographs Duals",$B1666="Autographs Triples",$B1666="Autographs Quads",$B1666="Autographs Quads (Inscribed)")),IF($B1666="Autographs Duals",2,IF($B1666="Autographs Triples",3,4)),1)))</f>
        <v>2</v>
      </c>
      <c r="AB1666" s="62">
        <f t="shared" ref="AB1666:AB1729" si="349">IF($L1666=1,$AA1666,0)</f>
        <v>2</v>
      </c>
      <c r="AC1666" s="62">
        <f t="shared" ref="AC1666:AC1729" si="350">IF($M1666=1,$AA1666,0)</f>
        <v>0</v>
      </c>
    </row>
    <row r="1667" spans="1:29" ht="28.7" customHeight="1" x14ac:dyDescent="0.25">
      <c r="A1667" s="4" t="s">
        <v>21</v>
      </c>
      <c r="B1667" s="7" t="s">
        <v>87</v>
      </c>
      <c r="C1667" s="2" t="s">
        <v>1217</v>
      </c>
      <c r="D1667" s="7" t="s">
        <v>1218</v>
      </c>
      <c r="E1667" s="4" t="s">
        <v>823</v>
      </c>
      <c r="F1667" s="2"/>
      <c r="G1667" s="2" t="s">
        <v>1399</v>
      </c>
      <c r="H1667" s="2" t="s">
        <v>1400</v>
      </c>
      <c r="I1667" s="4" t="s">
        <v>60</v>
      </c>
      <c r="J1667" s="112">
        <f>IF($H1667&lt;&gt;"Y",0,ROUND(MIN(Dashboard!$R$24,IF(IFERROR(VLOOKUP($B1667,Dashboard!$Q$28:$S$60,2,FALSE),0)&gt;0,IFERROR(VLOOKUP($B1667,Dashboard!$Q$28:$S$60,2,FALSE),0),$Z1667*IF($U1667&lt;&gt;"",ROUND((Dashboard!$R$4/$U1667)*VLOOKUP($I1667,Dashboard!$Q$9:$R$13,2,FALSE)*IF(ISNUMBER(SEARCH("Duals",$B1667)),2,IF(ISNUMBER(SEARCH("Triples",$B1667)),3,IF(ISNUMBER(SEARCH("Quads",$B1667)),4,1))),2),ROUND(VLOOKUP($I1667,Dashboard!$Q$15:$R$20,2,FALSE)*IF($E1667="Red",Dashboard!$R$6,IF($E1667="Gold",Dashboard!$R$7,Dashboard!$R$5))*IF(ISNUMBER(SEARCH("Duals",$B1667)),2,IF(ISNUMBER(SEARCH("Triples",$B1667)),3,IF(ISNUMBER(SEARCH("Quads",$B1667)),4,1))),2))*IF(IFERROR(VLOOKUP($B1667,Dashboard!$Q$28:$S$60,3,FALSE),0)&gt;0,VLOOKUP($B1667,Dashboard!$Q$28:$S$60,3,FALSE),1))),0))</f>
        <v>2</v>
      </c>
      <c r="K1667" s="2" t="str">
        <f>IF(Characters!D17="","",Characters!D17)</f>
        <v>h</v>
      </c>
      <c r="L1667" s="2">
        <f t="shared" si="338"/>
        <v>1</v>
      </c>
      <c r="M1667" s="2">
        <f t="shared" si="339"/>
        <v>0</v>
      </c>
      <c r="N1667" s="2">
        <f t="shared" si="340"/>
        <v>1</v>
      </c>
      <c r="O1667" s="2">
        <f t="shared" si="341"/>
        <v>0</v>
      </c>
      <c r="P1667" s="112">
        <f t="shared" si="342"/>
        <v>2</v>
      </c>
      <c r="Q1667" s="112">
        <f t="shared" si="343"/>
        <v>0</v>
      </c>
      <c r="R1667" s="53"/>
      <c r="S1667" s="53" t="str">
        <f t="shared" si="344"/>
        <v>Characters|Characters Red Parallel|C-16|Red</v>
      </c>
      <c r="T1667" s="57" t="str">
        <f>IF($S1667="","",IFERROR(VLOOKUP($S1667,'Pop Estimates (Non-#d)'!$N$2:$O$500,2,FALSE),""))</f>
        <v/>
      </c>
      <c r="U1667" s="57" t="str">
        <f t="shared" si="345"/>
        <v/>
      </c>
      <c r="V1667" s="53" t="str">
        <f t="shared" si="346"/>
        <v>Eziekiel</v>
      </c>
      <c r="W1667" s="53" t="str">
        <f t="shared" si="347"/>
        <v>Eziekiel</v>
      </c>
      <c r="X1667" s="53" t="str">
        <f t="shared" si="348"/>
        <v>Eziekiel</v>
      </c>
      <c r="Y1667" s="57">
        <f>IF($X1667="","",IFERROR(VLOOKUP($X1667,'Char Popularity'!$A$2:$C$500,2,FALSE),""))</f>
        <v>2</v>
      </c>
      <c r="Z1667" s="56">
        <f>IF($X1667="",1,IFERROR(VLOOKUP($X1667,'Char Popularity'!$A$2:$C$500,3,FALSE),1))</f>
        <v>0.9</v>
      </c>
      <c r="AA1667" s="62">
        <f>IF($H1667&lt;&gt;"Y",0,(IF($F1667&lt;&gt;"",ROUND(Dashboard!$R$4/$F1667,1),IF(AND($I1667="Base",$E1667="Base"),Dashboard!$R$5,IF(AND($I1667="Base",$E1667="Red"),Dashboard!$R$6,IF(AND($I1667="Base",$E1667="Gold"),Dashboard!$R$7,VLOOKUP($I1667,Dashboard!$Q$16:$R$21,2,FALSE)))))*VLOOKUP($I1667,Dashboard!$Q$9:$R$13,2,FALSE)*IF(AND($I1667="Auto",$F1667="",OR($B1667="Autographs Duals",$B1667="Autographs Triples",$B1667="Autographs Quads",$B1667="Autographs Quads (Inscribed)")),IF($B1667="Autographs Duals",2,IF($B1667="Autographs Triples",3,4)),1)))</f>
        <v>2</v>
      </c>
      <c r="AB1667" s="62">
        <f t="shared" si="349"/>
        <v>2</v>
      </c>
      <c r="AC1667" s="62">
        <f t="shared" si="350"/>
        <v>0</v>
      </c>
    </row>
    <row r="1668" spans="1:29" ht="28.7" customHeight="1" x14ac:dyDescent="0.25">
      <c r="A1668" s="4" t="s">
        <v>21</v>
      </c>
      <c r="B1668" s="7" t="s">
        <v>87</v>
      </c>
      <c r="C1668" s="2" t="s">
        <v>416</v>
      </c>
      <c r="D1668" s="7" t="s">
        <v>234</v>
      </c>
      <c r="E1668" s="4" t="s">
        <v>823</v>
      </c>
      <c r="F1668" s="2"/>
      <c r="G1668" s="2" t="s">
        <v>1399</v>
      </c>
      <c r="H1668" s="2" t="s">
        <v>1400</v>
      </c>
      <c r="I1668" s="4" t="s">
        <v>60</v>
      </c>
      <c r="J1668" s="112">
        <f>IF($H1668&lt;&gt;"Y",0,ROUND(MIN(Dashboard!$R$24,IF(IFERROR(VLOOKUP($B1668,Dashboard!$Q$28:$S$60,2,FALSE),0)&gt;0,IFERROR(VLOOKUP($B1668,Dashboard!$Q$28:$S$60,2,FALSE),0),$Z1668*IF($U1668&lt;&gt;"",ROUND((Dashboard!$R$4/$U1668)*VLOOKUP($I1668,Dashboard!$Q$9:$R$13,2,FALSE)*IF(ISNUMBER(SEARCH("Duals",$B1668)),2,IF(ISNUMBER(SEARCH("Triples",$B1668)),3,IF(ISNUMBER(SEARCH("Quads",$B1668)),4,1))),2),ROUND(VLOOKUP($I1668,Dashboard!$Q$15:$R$20,2,FALSE)*IF($E1668="Red",Dashboard!$R$6,IF($E1668="Gold",Dashboard!$R$7,Dashboard!$R$5))*IF(ISNUMBER(SEARCH("Duals",$B1668)),2,IF(ISNUMBER(SEARCH("Triples",$B1668)),3,IF(ISNUMBER(SEARCH("Quads",$B1668)),4,1))),2))*IF(IFERROR(VLOOKUP($B1668,Dashboard!$Q$28:$S$60,3,FALSE),0)&gt;0,VLOOKUP($B1668,Dashboard!$Q$28:$S$60,3,FALSE),1))),0))</f>
        <v>2</v>
      </c>
      <c r="K1668" s="2" t="str">
        <f>IF(Characters!D18="","",Characters!D18)</f>
        <v>h</v>
      </c>
      <c r="L1668" s="2">
        <f t="shared" si="338"/>
        <v>1</v>
      </c>
      <c r="M1668" s="2">
        <f t="shared" si="339"/>
        <v>0</v>
      </c>
      <c r="N1668" s="2">
        <f t="shared" si="340"/>
        <v>1</v>
      </c>
      <c r="O1668" s="2">
        <f t="shared" si="341"/>
        <v>0</v>
      </c>
      <c r="P1668" s="112">
        <f t="shared" si="342"/>
        <v>2</v>
      </c>
      <c r="Q1668" s="112">
        <f t="shared" si="343"/>
        <v>0</v>
      </c>
      <c r="R1668" s="53"/>
      <c r="S1668" s="53" t="str">
        <f t="shared" si="344"/>
        <v>Characters|Characters Red Parallel|C-17|Red</v>
      </c>
      <c r="T1668" s="57" t="str">
        <f>IF($S1668="","",IFERROR(VLOOKUP($S1668,'Pop Estimates (Non-#d)'!$N$2:$O$500,2,FALSE),""))</f>
        <v/>
      </c>
      <c r="U1668" s="57" t="str">
        <f t="shared" si="345"/>
        <v/>
      </c>
      <c r="V1668" s="53" t="str">
        <f t="shared" si="346"/>
        <v>Ashley Barrett</v>
      </c>
      <c r="W1668" s="53" t="str">
        <f t="shared" si="347"/>
        <v>Ashley Barrett</v>
      </c>
      <c r="X1668" s="53" t="str">
        <f t="shared" si="348"/>
        <v>Ashley Barrett</v>
      </c>
      <c r="Y1668" s="57">
        <f>IF($X1668="","",IFERROR(VLOOKUP($X1668,'Char Popularity'!$A$2:$C$500,2,FALSE),""))</f>
        <v>3</v>
      </c>
      <c r="Z1668" s="56">
        <f>IF($X1668="",1,IFERROR(VLOOKUP($X1668,'Char Popularity'!$A$2:$C$500,3,FALSE),1))</f>
        <v>1</v>
      </c>
      <c r="AA1668" s="62">
        <f>IF($H1668&lt;&gt;"Y",0,(IF($F1668&lt;&gt;"",ROUND(Dashboard!$R$4/$F1668,1),IF(AND($I1668="Base",$E1668="Base"),Dashboard!$R$5,IF(AND($I1668="Base",$E1668="Red"),Dashboard!$R$6,IF(AND($I1668="Base",$E1668="Gold"),Dashboard!$R$7,VLOOKUP($I1668,Dashboard!$Q$16:$R$21,2,FALSE)))))*VLOOKUP($I1668,Dashboard!$Q$9:$R$13,2,FALSE)*IF(AND($I1668="Auto",$F1668="",OR($B1668="Autographs Duals",$B1668="Autographs Triples",$B1668="Autographs Quads",$B1668="Autographs Quads (Inscribed)")),IF($B1668="Autographs Duals",2,IF($B1668="Autographs Triples",3,4)),1)))</f>
        <v>2</v>
      </c>
      <c r="AB1668" s="62">
        <f t="shared" si="349"/>
        <v>2</v>
      </c>
      <c r="AC1668" s="62">
        <f t="shared" si="350"/>
        <v>0</v>
      </c>
    </row>
    <row r="1669" spans="1:29" ht="28.7" customHeight="1" x14ac:dyDescent="0.25">
      <c r="A1669" s="4" t="s">
        <v>21</v>
      </c>
      <c r="B1669" s="7" t="s">
        <v>87</v>
      </c>
      <c r="C1669" s="2" t="s">
        <v>417</v>
      </c>
      <c r="D1669" s="7" t="s">
        <v>308</v>
      </c>
      <c r="E1669" s="4" t="s">
        <v>823</v>
      </c>
      <c r="F1669" s="2"/>
      <c r="G1669" s="2" t="s">
        <v>1399</v>
      </c>
      <c r="H1669" s="2" t="s">
        <v>1400</v>
      </c>
      <c r="I1669" s="4" t="s">
        <v>60</v>
      </c>
      <c r="J1669" s="112">
        <f>IF($H1669&lt;&gt;"Y",0,ROUND(MIN(Dashboard!$R$24,IF(IFERROR(VLOOKUP($B1669,Dashboard!$Q$28:$S$60,2,FALSE),0)&gt;0,IFERROR(VLOOKUP($B1669,Dashboard!$Q$28:$S$60,2,FALSE),0),$Z1669*IF($U1669&lt;&gt;"",ROUND((Dashboard!$R$4/$U1669)*VLOOKUP($I1669,Dashboard!$Q$9:$R$13,2,FALSE)*IF(ISNUMBER(SEARCH("Duals",$B1669)),2,IF(ISNUMBER(SEARCH("Triples",$B1669)),3,IF(ISNUMBER(SEARCH("Quads",$B1669)),4,1))),2),ROUND(VLOOKUP($I1669,Dashboard!$Q$15:$R$20,2,FALSE)*IF($E1669="Red",Dashboard!$R$6,IF($E1669="Gold",Dashboard!$R$7,Dashboard!$R$5))*IF(ISNUMBER(SEARCH("Duals",$B1669)),2,IF(ISNUMBER(SEARCH("Triples",$B1669)),3,IF(ISNUMBER(SEARCH("Quads",$B1669)),4,1))),2))*IF(IFERROR(VLOOKUP($B1669,Dashboard!$Q$28:$S$60,3,FALSE),0)&gt;0,VLOOKUP($B1669,Dashboard!$Q$28:$S$60,3,FALSE),1))),0))</f>
        <v>2</v>
      </c>
      <c r="K1669" s="2" t="str">
        <f>IF(Characters!D19="","",Characters!D19)</f>
        <v>h</v>
      </c>
      <c r="L1669" s="2">
        <f t="shared" si="338"/>
        <v>1</v>
      </c>
      <c r="M1669" s="2">
        <f t="shared" si="339"/>
        <v>0</v>
      </c>
      <c r="N1669" s="2">
        <f t="shared" si="340"/>
        <v>1</v>
      </c>
      <c r="O1669" s="2">
        <f t="shared" si="341"/>
        <v>0</v>
      </c>
      <c r="P1669" s="112">
        <f t="shared" si="342"/>
        <v>2</v>
      </c>
      <c r="Q1669" s="112">
        <f t="shared" si="343"/>
        <v>0</v>
      </c>
      <c r="R1669" s="53"/>
      <c r="S1669" s="53" t="str">
        <f t="shared" si="344"/>
        <v>Characters|Characters Red Parallel|C-18|Red</v>
      </c>
      <c r="T1669" s="57" t="str">
        <f>IF($S1669="","",IFERROR(VLOOKUP($S1669,'Pop Estimates (Non-#d)'!$N$2:$O$500,2,FALSE),""))</f>
        <v/>
      </c>
      <c r="U1669" s="57" t="str">
        <f t="shared" si="345"/>
        <v/>
      </c>
      <c r="V1669" s="53" t="str">
        <f t="shared" si="346"/>
        <v>Becca Butcher</v>
      </c>
      <c r="W1669" s="53" t="str">
        <f t="shared" si="347"/>
        <v>Becca Butcher</v>
      </c>
      <c r="X1669" s="53" t="str">
        <f t="shared" si="348"/>
        <v>Becca Butcher</v>
      </c>
      <c r="Y1669" s="57">
        <f>IF($X1669="","",IFERROR(VLOOKUP($X1669,'Char Popularity'!$A$2:$C$500,2,FALSE),""))</f>
        <v>3</v>
      </c>
      <c r="Z1669" s="56">
        <f>IF($X1669="",1,IFERROR(VLOOKUP($X1669,'Char Popularity'!$A$2:$C$500,3,FALSE),1))</f>
        <v>1</v>
      </c>
      <c r="AA1669" s="62">
        <f>IF($H1669&lt;&gt;"Y",0,(IF($F1669&lt;&gt;"",ROUND(Dashboard!$R$4/$F1669,1),IF(AND($I1669="Base",$E1669="Base"),Dashboard!$R$5,IF(AND($I1669="Base",$E1669="Red"),Dashboard!$R$6,IF(AND($I1669="Base",$E1669="Gold"),Dashboard!$R$7,VLOOKUP($I1669,Dashboard!$Q$16:$R$21,2,FALSE)))))*VLOOKUP($I1669,Dashboard!$Q$9:$R$13,2,FALSE)*IF(AND($I1669="Auto",$F1669="",OR($B1669="Autographs Duals",$B1669="Autographs Triples",$B1669="Autographs Quads",$B1669="Autographs Quads (Inscribed)")),IF($B1669="Autographs Duals",2,IF($B1669="Autographs Triples",3,4)),1)))</f>
        <v>2</v>
      </c>
      <c r="AB1669" s="62">
        <f t="shared" si="349"/>
        <v>2</v>
      </c>
      <c r="AC1669" s="62">
        <f t="shared" si="350"/>
        <v>0</v>
      </c>
    </row>
    <row r="1670" spans="1:29" ht="28.7" customHeight="1" x14ac:dyDescent="0.25">
      <c r="A1670" s="4" t="s">
        <v>21</v>
      </c>
      <c r="B1670" s="7" t="s">
        <v>87</v>
      </c>
      <c r="C1670" s="2" t="s">
        <v>418</v>
      </c>
      <c r="D1670" s="7" t="s">
        <v>301</v>
      </c>
      <c r="E1670" s="4" t="s">
        <v>823</v>
      </c>
      <c r="F1670" s="2"/>
      <c r="G1670" s="2" t="s">
        <v>1399</v>
      </c>
      <c r="H1670" s="2" t="s">
        <v>1400</v>
      </c>
      <c r="I1670" s="4" t="s">
        <v>60</v>
      </c>
      <c r="J1670" s="112">
        <f>IF($H1670&lt;&gt;"Y",0,ROUND(MIN(Dashboard!$R$24,IF(IFERROR(VLOOKUP($B1670,Dashboard!$Q$28:$S$60,2,FALSE),0)&gt;0,IFERROR(VLOOKUP($B1670,Dashboard!$Q$28:$S$60,2,FALSE),0),$Z1670*IF($U1670&lt;&gt;"",ROUND((Dashboard!$R$4/$U1670)*VLOOKUP($I1670,Dashboard!$Q$9:$R$13,2,FALSE)*IF(ISNUMBER(SEARCH("Duals",$B1670)),2,IF(ISNUMBER(SEARCH("Triples",$B1670)),3,IF(ISNUMBER(SEARCH("Quads",$B1670)),4,1))),2),ROUND(VLOOKUP($I1670,Dashboard!$Q$15:$R$20,2,FALSE)*IF($E1670="Red",Dashboard!$R$6,IF($E1670="Gold",Dashboard!$R$7,Dashboard!$R$5))*IF(ISNUMBER(SEARCH("Duals",$B1670)),2,IF(ISNUMBER(SEARCH("Triples",$B1670)),3,IF(ISNUMBER(SEARCH("Quads",$B1670)),4,1))),2))*IF(IFERROR(VLOOKUP($B1670,Dashboard!$Q$28:$S$60,3,FALSE),0)&gt;0,VLOOKUP($B1670,Dashboard!$Q$28:$S$60,3,FALSE),1))),0))</f>
        <v>2</v>
      </c>
      <c r="K1670" s="2" t="str">
        <f>IF(Characters!D20="","",Characters!D20)</f>
        <v>h</v>
      </c>
      <c r="L1670" s="2">
        <f t="shared" si="338"/>
        <v>1</v>
      </c>
      <c r="M1670" s="2">
        <f t="shared" si="339"/>
        <v>0</v>
      </c>
      <c r="N1670" s="2">
        <f t="shared" si="340"/>
        <v>1</v>
      </c>
      <c r="O1670" s="2">
        <f t="shared" si="341"/>
        <v>0</v>
      </c>
      <c r="P1670" s="112">
        <f t="shared" si="342"/>
        <v>2</v>
      </c>
      <c r="Q1670" s="112">
        <f t="shared" si="343"/>
        <v>0</v>
      </c>
      <c r="R1670" s="53"/>
      <c r="S1670" s="53" t="str">
        <f t="shared" si="344"/>
        <v>Characters|Characters Red Parallel|C-19|Red</v>
      </c>
      <c r="T1670" s="57" t="str">
        <f>IF($S1670="","",IFERROR(VLOOKUP($S1670,'Pop Estimates (Non-#d)'!$N$2:$O$500,2,FALSE),""))</f>
        <v/>
      </c>
      <c r="U1670" s="57" t="str">
        <f t="shared" si="345"/>
        <v/>
      </c>
      <c r="V1670" s="53" t="str">
        <f t="shared" si="346"/>
        <v>Lamplighter</v>
      </c>
      <c r="W1670" s="53" t="str">
        <f t="shared" si="347"/>
        <v>Lamplighter</v>
      </c>
      <c r="X1670" s="53" t="str">
        <f t="shared" si="348"/>
        <v>Lamplighter</v>
      </c>
      <c r="Y1670" s="57">
        <f>IF($X1670="","",IFERROR(VLOOKUP($X1670,'Char Popularity'!$A$2:$C$500,2,FALSE),""))</f>
        <v>2</v>
      </c>
      <c r="Z1670" s="56">
        <f>IF($X1670="",1,IFERROR(VLOOKUP($X1670,'Char Popularity'!$A$2:$C$500,3,FALSE),1))</f>
        <v>0.9</v>
      </c>
      <c r="AA1670" s="62">
        <f>IF($H1670&lt;&gt;"Y",0,(IF($F1670&lt;&gt;"",ROUND(Dashboard!$R$4/$F1670,1),IF(AND($I1670="Base",$E1670="Base"),Dashboard!$R$5,IF(AND($I1670="Base",$E1670="Red"),Dashboard!$R$6,IF(AND($I1670="Base",$E1670="Gold"),Dashboard!$R$7,VLOOKUP($I1670,Dashboard!$Q$16:$R$21,2,FALSE)))))*VLOOKUP($I1670,Dashboard!$Q$9:$R$13,2,FALSE)*IF(AND($I1670="Auto",$F1670="",OR($B1670="Autographs Duals",$B1670="Autographs Triples",$B1670="Autographs Quads",$B1670="Autographs Quads (Inscribed)")),IF($B1670="Autographs Duals",2,IF($B1670="Autographs Triples",3,4)),1)))</f>
        <v>2</v>
      </c>
      <c r="AB1670" s="62">
        <f t="shared" si="349"/>
        <v>2</v>
      </c>
      <c r="AC1670" s="62">
        <f t="shared" si="350"/>
        <v>0</v>
      </c>
    </row>
    <row r="1671" spans="1:29" ht="28.7" customHeight="1" x14ac:dyDescent="0.25">
      <c r="A1671" s="4" t="s">
        <v>21</v>
      </c>
      <c r="B1671" s="7" t="s">
        <v>87</v>
      </c>
      <c r="C1671" s="2" t="s">
        <v>420</v>
      </c>
      <c r="D1671" s="7" t="s">
        <v>260</v>
      </c>
      <c r="E1671" s="4" t="s">
        <v>823</v>
      </c>
      <c r="F1671" s="2"/>
      <c r="G1671" s="2" t="s">
        <v>1399</v>
      </c>
      <c r="H1671" s="2" t="s">
        <v>1400</v>
      </c>
      <c r="I1671" s="4" t="s">
        <v>60</v>
      </c>
      <c r="J1671" s="112">
        <f>IF($H1671&lt;&gt;"Y",0,ROUND(MIN(Dashboard!$R$24,IF(IFERROR(VLOOKUP($B1671,Dashboard!$Q$28:$S$60,2,FALSE),0)&gt;0,IFERROR(VLOOKUP($B1671,Dashboard!$Q$28:$S$60,2,FALSE),0),$Z1671*IF($U1671&lt;&gt;"",ROUND((Dashboard!$R$4/$U1671)*VLOOKUP($I1671,Dashboard!$Q$9:$R$13,2,FALSE)*IF(ISNUMBER(SEARCH("Duals",$B1671)),2,IF(ISNUMBER(SEARCH("Triples",$B1671)),3,IF(ISNUMBER(SEARCH("Quads",$B1671)),4,1))),2),ROUND(VLOOKUP($I1671,Dashboard!$Q$15:$R$20,2,FALSE)*IF($E1671="Red",Dashboard!$R$6,IF($E1671="Gold",Dashboard!$R$7,Dashboard!$R$5))*IF(ISNUMBER(SEARCH("Duals",$B1671)),2,IF(ISNUMBER(SEARCH("Triples",$B1671)),3,IF(ISNUMBER(SEARCH("Quads",$B1671)),4,1))),2))*IF(IFERROR(VLOOKUP($B1671,Dashboard!$Q$28:$S$60,3,FALSE),0)&gt;0,VLOOKUP($B1671,Dashboard!$Q$28:$S$60,3,FALSE),1))),0))</f>
        <v>2</v>
      </c>
      <c r="K1671" s="2" t="str">
        <f>IF(Characters!D21="","",Characters!D21)</f>
        <v>h</v>
      </c>
      <c r="L1671" s="2">
        <f t="shared" si="338"/>
        <v>1</v>
      </c>
      <c r="M1671" s="2">
        <f t="shared" si="339"/>
        <v>0</v>
      </c>
      <c r="N1671" s="2">
        <f t="shared" si="340"/>
        <v>1</v>
      </c>
      <c r="O1671" s="2">
        <f t="shared" si="341"/>
        <v>0</v>
      </c>
      <c r="P1671" s="112">
        <f t="shared" si="342"/>
        <v>2</v>
      </c>
      <c r="Q1671" s="112">
        <f t="shared" si="343"/>
        <v>0</v>
      </c>
      <c r="R1671" s="53"/>
      <c r="S1671" s="53" t="str">
        <f t="shared" si="344"/>
        <v>Characters|Characters Red Parallel|C-20|Red</v>
      </c>
      <c r="T1671" s="57" t="str">
        <f>IF($S1671="","",IFERROR(VLOOKUP($S1671,'Pop Estimates (Non-#d)'!$N$2:$O$500,2,FALSE),""))</f>
        <v/>
      </c>
      <c r="U1671" s="57" t="str">
        <f t="shared" si="345"/>
        <v/>
      </c>
      <c r="V1671" s="53" t="str">
        <f t="shared" si="346"/>
        <v>Cherie</v>
      </c>
      <c r="W1671" s="53" t="str">
        <f t="shared" si="347"/>
        <v>Cherie</v>
      </c>
      <c r="X1671" s="53" t="str">
        <f t="shared" si="348"/>
        <v>Cherie</v>
      </c>
      <c r="Y1671" s="57">
        <f>IF($X1671="","",IFERROR(VLOOKUP($X1671,'Char Popularity'!$A$2:$C$500,2,FALSE),""))</f>
        <v>3</v>
      </c>
      <c r="Z1671" s="56">
        <f>IF($X1671="",1,IFERROR(VLOOKUP($X1671,'Char Popularity'!$A$2:$C$500,3,FALSE),1))</f>
        <v>1</v>
      </c>
      <c r="AA1671" s="62">
        <f>IF($H1671&lt;&gt;"Y",0,(IF($F1671&lt;&gt;"",ROUND(Dashboard!$R$4/$F1671,1),IF(AND($I1671="Base",$E1671="Base"),Dashboard!$R$5,IF(AND($I1671="Base",$E1671="Red"),Dashboard!$R$6,IF(AND($I1671="Base",$E1671="Gold"),Dashboard!$R$7,VLOOKUP($I1671,Dashboard!$Q$16:$R$21,2,FALSE)))))*VLOOKUP($I1671,Dashboard!$Q$9:$R$13,2,FALSE)*IF(AND($I1671="Auto",$F1671="",OR($B1671="Autographs Duals",$B1671="Autographs Triples",$B1671="Autographs Quads",$B1671="Autographs Quads (Inscribed)")),IF($B1671="Autographs Duals",2,IF($B1671="Autographs Triples",3,4)),1)))</f>
        <v>2</v>
      </c>
      <c r="AB1671" s="62">
        <f t="shared" si="349"/>
        <v>2</v>
      </c>
      <c r="AC1671" s="62">
        <f t="shared" si="350"/>
        <v>0</v>
      </c>
    </row>
    <row r="1672" spans="1:29" ht="28.7" customHeight="1" x14ac:dyDescent="0.25">
      <c r="A1672" s="4" t="s">
        <v>21</v>
      </c>
      <c r="B1672" s="7" t="s">
        <v>87</v>
      </c>
      <c r="C1672" s="2" t="s">
        <v>421</v>
      </c>
      <c r="D1672" s="7" t="s">
        <v>288</v>
      </c>
      <c r="E1672" s="4" t="s">
        <v>823</v>
      </c>
      <c r="F1672" s="2"/>
      <c r="G1672" s="2" t="s">
        <v>1399</v>
      </c>
      <c r="H1672" s="2" t="s">
        <v>1400</v>
      </c>
      <c r="I1672" s="4" t="s">
        <v>60</v>
      </c>
      <c r="J1672" s="112">
        <f>IF($H1672&lt;&gt;"Y",0,ROUND(MIN(Dashboard!$R$24,IF(IFERROR(VLOOKUP($B1672,Dashboard!$Q$28:$S$60,2,FALSE),0)&gt;0,IFERROR(VLOOKUP($B1672,Dashboard!$Q$28:$S$60,2,FALSE),0),$Z1672*IF($U1672&lt;&gt;"",ROUND((Dashboard!$R$4/$U1672)*VLOOKUP($I1672,Dashboard!$Q$9:$R$13,2,FALSE)*IF(ISNUMBER(SEARCH("Duals",$B1672)),2,IF(ISNUMBER(SEARCH("Triples",$B1672)),3,IF(ISNUMBER(SEARCH("Quads",$B1672)),4,1))),2),ROUND(VLOOKUP($I1672,Dashboard!$Q$15:$R$20,2,FALSE)*IF($E1672="Red",Dashboard!$R$6,IF($E1672="Gold",Dashboard!$R$7,Dashboard!$R$5))*IF(ISNUMBER(SEARCH("Duals",$B1672)),2,IF(ISNUMBER(SEARCH("Triples",$B1672)),3,IF(ISNUMBER(SEARCH("Quads",$B1672)),4,1))),2))*IF(IFERROR(VLOOKUP($B1672,Dashboard!$Q$28:$S$60,3,FALSE),0)&gt;0,VLOOKUP($B1672,Dashboard!$Q$28:$S$60,3,FALSE),1))),0))</f>
        <v>2</v>
      </c>
      <c r="K1672" s="2" t="str">
        <f>IF(Characters!D22="","",Characters!D22)</f>
        <v>h</v>
      </c>
      <c r="L1672" s="2">
        <f t="shared" si="338"/>
        <v>1</v>
      </c>
      <c r="M1672" s="2">
        <f t="shared" si="339"/>
        <v>0</v>
      </c>
      <c r="N1672" s="2">
        <f t="shared" si="340"/>
        <v>1</v>
      </c>
      <c r="O1672" s="2">
        <f t="shared" si="341"/>
        <v>0</v>
      </c>
      <c r="P1672" s="112">
        <f t="shared" si="342"/>
        <v>2</v>
      </c>
      <c r="Q1672" s="112">
        <f t="shared" si="343"/>
        <v>0</v>
      </c>
      <c r="R1672" s="53"/>
      <c r="S1672" s="53" t="str">
        <f t="shared" si="344"/>
        <v>Characters|Characters Red Parallel|C-21|Red</v>
      </c>
      <c r="T1672" s="57" t="str">
        <f>IF($S1672="","",IFERROR(VLOOKUP($S1672,'Pop Estimates (Non-#d)'!$N$2:$O$500,2,FALSE),""))</f>
        <v/>
      </c>
      <c r="U1672" s="57" t="str">
        <f t="shared" si="345"/>
        <v/>
      </c>
      <c r="V1672" s="53" t="str">
        <f t="shared" si="346"/>
        <v>Shockwave</v>
      </c>
      <c r="W1672" s="53" t="str">
        <f t="shared" si="347"/>
        <v>Shockwave</v>
      </c>
      <c r="X1672" s="53" t="str">
        <f t="shared" si="348"/>
        <v>Shockwave</v>
      </c>
      <c r="Y1672" s="57">
        <f>IF($X1672="","",IFERROR(VLOOKUP($X1672,'Char Popularity'!$A$2:$C$500,2,FALSE),""))</f>
        <v>2</v>
      </c>
      <c r="Z1672" s="56">
        <f>IF($X1672="",1,IFERROR(VLOOKUP($X1672,'Char Popularity'!$A$2:$C$500,3,FALSE),1))</f>
        <v>0.9</v>
      </c>
      <c r="AA1672" s="62">
        <f>IF($H1672&lt;&gt;"Y",0,(IF($F1672&lt;&gt;"",ROUND(Dashboard!$R$4/$F1672,1),IF(AND($I1672="Base",$E1672="Base"),Dashboard!$R$5,IF(AND($I1672="Base",$E1672="Red"),Dashboard!$R$6,IF(AND($I1672="Base",$E1672="Gold"),Dashboard!$R$7,VLOOKUP($I1672,Dashboard!$Q$16:$R$21,2,FALSE)))))*VLOOKUP($I1672,Dashboard!$Q$9:$R$13,2,FALSE)*IF(AND($I1672="Auto",$F1672="",OR($B1672="Autographs Duals",$B1672="Autographs Triples",$B1672="Autographs Quads",$B1672="Autographs Quads (Inscribed)")),IF($B1672="Autographs Duals",2,IF($B1672="Autographs Triples",3,4)),1)))</f>
        <v>2</v>
      </c>
      <c r="AB1672" s="62">
        <f t="shared" si="349"/>
        <v>2</v>
      </c>
      <c r="AC1672" s="62">
        <f t="shared" si="350"/>
        <v>0</v>
      </c>
    </row>
    <row r="1673" spans="1:29" ht="28.7" customHeight="1" x14ac:dyDescent="0.25">
      <c r="A1673" s="4" t="s">
        <v>21</v>
      </c>
      <c r="B1673" s="7" t="s">
        <v>87</v>
      </c>
      <c r="C1673" s="2" t="s">
        <v>422</v>
      </c>
      <c r="D1673" s="7" t="s">
        <v>228</v>
      </c>
      <c r="E1673" s="4" t="s">
        <v>823</v>
      </c>
      <c r="F1673" s="2"/>
      <c r="G1673" s="2" t="s">
        <v>1399</v>
      </c>
      <c r="H1673" s="2" t="s">
        <v>1400</v>
      </c>
      <c r="I1673" s="4" t="s">
        <v>60</v>
      </c>
      <c r="J1673" s="112">
        <f>IF($H1673&lt;&gt;"Y",0,ROUND(MIN(Dashboard!$R$24,IF(IFERROR(VLOOKUP($B1673,Dashboard!$Q$28:$S$60,2,FALSE),0)&gt;0,IFERROR(VLOOKUP($B1673,Dashboard!$Q$28:$S$60,2,FALSE),0),$Z1673*IF($U1673&lt;&gt;"",ROUND((Dashboard!$R$4/$U1673)*VLOOKUP($I1673,Dashboard!$Q$9:$R$13,2,FALSE)*IF(ISNUMBER(SEARCH("Duals",$B1673)),2,IF(ISNUMBER(SEARCH("Triples",$B1673)),3,IF(ISNUMBER(SEARCH("Quads",$B1673)),4,1))),2),ROUND(VLOOKUP($I1673,Dashboard!$Q$15:$R$20,2,FALSE)*IF($E1673="Red",Dashboard!$R$6,IF($E1673="Gold",Dashboard!$R$7,Dashboard!$R$5))*IF(ISNUMBER(SEARCH("Duals",$B1673)),2,IF(ISNUMBER(SEARCH("Triples",$B1673)),3,IF(ISNUMBER(SEARCH("Quads",$B1673)),4,1))),2))*IF(IFERROR(VLOOKUP($B1673,Dashboard!$Q$28:$S$60,3,FALSE),0)&gt;0,VLOOKUP($B1673,Dashboard!$Q$28:$S$60,3,FALSE),1))),0))</f>
        <v>2</v>
      </c>
      <c r="K1673" s="2" t="str">
        <f>IF(Characters!D23="","",Characters!D23)</f>
        <v>h</v>
      </c>
      <c r="L1673" s="2">
        <f t="shared" si="338"/>
        <v>1</v>
      </c>
      <c r="M1673" s="2">
        <f t="shared" si="339"/>
        <v>0</v>
      </c>
      <c r="N1673" s="2">
        <f t="shared" si="340"/>
        <v>1</v>
      </c>
      <c r="O1673" s="2">
        <f t="shared" si="341"/>
        <v>0</v>
      </c>
      <c r="P1673" s="112">
        <f t="shared" si="342"/>
        <v>2</v>
      </c>
      <c r="Q1673" s="112">
        <f t="shared" si="343"/>
        <v>0</v>
      </c>
      <c r="R1673" s="53"/>
      <c r="S1673" s="53" t="str">
        <f t="shared" si="344"/>
        <v>Characters|Characters Red Parallel|C-22|Red</v>
      </c>
      <c r="T1673" s="57" t="str">
        <f>IF($S1673="","",IFERROR(VLOOKUP($S1673,'Pop Estimates (Non-#d)'!$N$2:$O$500,2,FALSE),""))</f>
        <v/>
      </c>
      <c r="U1673" s="57" t="str">
        <f t="shared" si="345"/>
        <v/>
      </c>
      <c r="V1673" s="53" t="str">
        <f t="shared" si="346"/>
        <v>Ryan</v>
      </c>
      <c r="W1673" s="53" t="str">
        <f t="shared" si="347"/>
        <v>Ryan</v>
      </c>
      <c r="X1673" s="53" t="str">
        <f t="shared" si="348"/>
        <v>Ryan</v>
      </c>
      <c r="Y1673" s="57">
        <f>IF($X1673="","",IFERROR(VLOOKUP($X1673,'Char Popularity'!$A$2:$C$500,2,FALSE),""))</f>
        <v>4</v>
      </c>
      <c r="Z1673" s="56">
        <f>IF($X1673="",1,IFERROR(VLOOKUP($X1673,'Char Popularity'!$A$2:$C$500,3,FALSE),1))</f>
        <v>1.1000000000000001</v>
      </c>
      <c r="AA1673" s="62">
        <f>IF($H1673&lt;&gt;"Y",0,(IF($F1673&lt;&gt;"",ROUND(Dashboard!$R$4/$F1673,1),IF(AND($I1673="Base",$E1673="Base"),Dashboard!$R$5,IF(AND($I1673="Base",$E1673="Red"),Dashboard!$R$6,IF(AND($I1673="Base",$E1673="Gold"),Dashboard!$R$7,VLOOKUP($I1673,Dashboard!$Q$16:$R$21,2,FALSE)))))*VLOOKUP($I1673,Dashboard!$Q$9:$R$13,2,FALSE)*IF(AND($I1673="Auto",$F1673="",OR($B1673="Autographs Duals",$B1673="Autographs Triples",$B1673="Autographs Quads",$B1673="Autographs Quads (Inscribed)")),IF($B1673="Autographs Duals",2,IF($B1673="Autographs Triples",3,4)),1)))</f>
        <v>2</v>
      </c>
      <c r="AB1673" s="62">
        <f t="shared" si="349"/>
        <v>2</v>
      </c>
      <c r="AC1673" s="62">
        <f t="shared" si="350"/>
        <v>0</v>
      </c>
    </row>
    <row r="1674" spans="1:29" ht="28.7" customHeight="1" x14ac:dyDescent="0.25">
      <c r="A1674" s="4" t="s">
        <v>21</v>
      </c>
      <c r="B1674" s="7" t="s">
        <v>87</v>
      </c>
      <c r="C1674" s="2" t="s">
        <v>423</v>
      </c>
      <c r="D1674" s="7" t="s">
        <v>301</v>
      </c>
      <c r="E1674" s="4" t="s">
        <v>823</v>
      </c>
      <c r="F1674" s="2"/>
      <c r="G1674" s="2" t="s">
        <v>1399</v>
      </c>
      <c r="H1674" s="2" t="s">
        <v>1400</v>
      </c>
      <c r="I1674" s="4" t="s">
        <v>60</v>
      </c>
      <c r="J1674" s="112">
        <f>IF($H1674&lt;&gt;"Y",0,ROUND(MIN(Dashboard!$R$24,IF(IFERROR(VLOOKUP($B1674,Dashboard!$Q$28:$S$60,2,FALSE),0)&gt;0,IFERROR(VLOOKUP($B1674,Dashboard!$Q$28:$S$60,2,FALSE),0),$Z1674*IF($U1674&lt;&gt;"",ROUND((Dashboard!$R$4/$U1674)*VLOOKUP($I1674,Dashboard!$Q$9:$R$13,2,FALSE)*IF(ISNUMBER(SEARCH("Duals",$B1674)),2,IF(ISNUMBER(SEARCH("Triples",$B1674)),3,IF(ISNUMBER(SEARCH("Quads",$B1674)),4,1))),2),ROUND(VLOOKUP($I1674,Dashboard!$Q$15:$R$20,2,FALSE)*IF($E1674="Red",Dashboard!$R$6,IF($E1674="Gold",Dashboard!$R$7,Dashboard!$R$5))*IF(ISNUMBER(SEARCH("Duals",$B1674)),2,IF(ISNUMBER(SEARCH("Triples",$B1674)),3,IF(ISNUMBER(SEARCH("Quads",$B1674)),4,1))),2))*IF(IFERROR(VLOOKUP($B1674,Dashboard!$Q$28:$S$60,3,FALSE),0)&gt;0,VLOOKUP($B1674,Dashboard!$Q$28:$S$60,3,FALSE),1))),0))</f>
        <v>2</v>
      </c>
      <c r="K1674" s="2" t="str">
        <f>IF(Characters!D24="","",Characters!D24)</f>
        <v>h</v>
      </c>
      <c r="L1674" s="2">
        <f t="shared" si="338"/>
        <v>1</v>
      </c>
      <c r="M1674" s="2">
        <f t="shared" si="339"/>
        <v>0</v>
      </c>
      <c r="N1674" s="2">
        <f t="shared" si="340"/>
        <v>1</v>
      </c>
      <c r="O1674" s="2">
        <f t="shared" si="341"/>
        <v>0</v>
      </c>
      <c r="P1674" s="112">
        <f t="shared" si="342"/>
        <v>2</v>
      </c>
      <c r="Q1674" s="112">
        <f t="shared" si="343"/>
        <v>0</v>
      </c>
      <c r="R1674" s="53"/>
      <c r="S1674" s="53" t="str">
        <f t="shared" si="344"/>
        <v>Characters|Characters Red Parallel|C-23|Red</v>
      </c>
      <c r="T1674" s="57" t="str">
        <f>IF($S1674="","",IFERROR(VLOOKUP($S1674,'Pop Estimates (Non-#d)'!$N$2:$O$500,2,FALSE),""))</f>
        <v/>
      </c>
      <c r="U1674" s="57" t="str">
        <f t="shared" si="345"/>
        <v/>
      </c>
      <c r="V1674" s="53" t="str">
        <f t="shared" si="346"/>
        <v>Lamplighter</v>
      </c>
      <c r="W1674" s="53" t="str">
        <f t="shared" si="347"/>
        <v>Lamplighter</v>
      </c>
      <c r="X1674" s="53" t="str">
        <f t="shared" si="348"/>
        <v>Lamplighter</v>
      </c>
      <c r="Y1674" s="57">
        <f>IF($X1674="","",IFERROR(VLOOKUP($X1674,'Char Popularity'!$A$2:$C$500,2,FALSE),""))</f>
        <v>2</v>
      </c>
      <c r="Z1674" s="56">
        <f>IF($X1674="",1,IFERROR(VLOOKUP($X1674,'Char Popularity'!$A$2:$C$500,3,FALSE),1))</f>
        <v>0.9</v>
      </c>
      <c r="AA1674" s="62">
        <f>IF($H1674&lt;&gt;"Y",0,(IF($F1674&lt;&gt;"",ROUND(Dashboard!$R$4/$F1674,1),IF(AND($I1674="Base",$E1674="Base"),Dashboard!$R$5,IF(AND($I1674="Base",$E1674="Red"),Dashboard!$R$6,IF(AND($I1674="Base",$E1674="Gold"),Dashboard!$R$7,VLOOKUP($I1674,Dashboard!$Q$16:$R$21,2,FALSE)))))*VLOOKUP($I1674,Dashboard!$Q$9:$R$13,2,FALSE)*IF(AND($I1674="Auto",$F1674="",OR($B1674="Autographs Duals",$B1674="Autographs Triples",$B1674="Autographs Quads",$B1674="Autographs Quads (Inscribed)")),IF($B1674="Autographs Duals",2,IF($B1674="Autographs Triples",3,4)),1)))</f>
        <v>2</v>
      </c>
      <c r="AB1674" s="62">
        <f t="shared" si="349"/>
        <v>2</v>
      </c>
      <c r="AC1674" s="62">
        <f t="shared" si="350"/>
        <v>0</v>
      </c>
    </row>
    <row r="1675" spans="1:29" ht="28.7" customHeight="1" x14ac:dyDescent="0.25">
      <c r="A1675" s="4" t="s">
        <v>21</v>
      </c>
      <c r="B1675" s="7" t="s">
        <v>87</v>
      </c>
      <c r="C1675" s="2" t="s">
        <v>1226</v>
      </c>
      <c r="D1675" s="7" t="s">
        <v>1227</v>
      </c>
      <c r="E1675" s="4" t="s">
        <v>823</v>
      </c>
      <c r="F1675" s="2"/>
      <c r="G1675" s="2" t="s">
        <v>1399</v>
      </c>
      <c r="H1675" s="2" t="s">
        <v>1400</v>
      </c>
      <c r="I1675" s="4" t="s">
        <v>60</v>
      </c>
      <c r="J1675" s="112">
        <f>IF($H1675&lt;&gt;"Y",0,ROUND(MIN(Dashboard!$R$24,IF(IFERROR(VLOOKUP($B1675,Dashboard!$Q$28:$S$60,2,FALSE),0)&gt;0,IFERROR(VLOOKUP($B1675,Dashboard!$Q$28:$S$60,2,FALSE),0),$Z1675*IF($U1675&lt;&gt;"",ROUND((Dashboard!$R$4/$U1675)*VLOOKUP($I1675,Dashboard!$Q$9:$R$13,2,FALSE)*IF(ISNUMBER(SEARCH("Duals",$B1675)),2,IF(ISNUMBER(SEARCH("Triples",$B1675)),3,IF(ISNUMBER(SEARCH("Quads",$B1675)),4,1))),2),ROUND(VLOOKUP($I1675,Dashboard!$Q$15:$R$20,2,FALSE)*IF($E1675="Red",Dashboard!$R$6,IF($E1675="Gold",Dashboard!$R$7,Dashboard!$R$5))*IF(ISNUMBER(SEARCH("Duals",$B1675)),2,IF(ISNUMBER(SEARCH("Triples",$B1675)),3,IF(ISNUMBER(SEARCH("Quads",$B1675)),4,1))),2))*IF(IFERROR(VLOOKUP($B1675,Dashboard!$Q$28:$S$60,3,FALSE),0)&gt;0,VLOOKUP($B1675,Dashboard!$Q$28:$S$60,3,FALSE),1))),0))</f>
        <v>2</v>
      </c>
      <c r="K1675" s="2" t="str">
        <f>IF(Characters!D25="","",Characters!D25)</f>
        <v>h</v>
      </c>
      <c r="L1675" s="2">
        <f t="shared" si="338"/>
        <v>1</v>
      </c>
      <c r="M1675" s="2">
        <f t="shared" si="339"/>
        <v>0</v>
      </c>
      <c r="N1675" s="2">
        <f t="shared" si="340"/>
        <v>1</v>
      </c>
      <c r="O1675" s="2">
        <f t="shared" si="341"/>
        <v>0</v>
      </c>
      <c r="P1675" s="112">
        <f t="shared" si="342"/>
        <v>2</v>
      </c>
      <c r="Q1675" s="112">
        <f t="shared" si="343"/>
        <v>0</v>
      </c>
      <c r="R1675" s="53"/>
      <c r="S1675" s="53" t="str">
        <f t="shared" si="344"/>
        <v>Characters|Characters Red Parallel|C-24|Red</v>
      </c>
      <c r="T1675" s="57" t="str">
        <f>IF($S1675="","",IFERROR(VLOOKUP($S1675,'Pop Estimates (Non-#d)'!$N$2:$O$500,2,FALSE),""))</f>
        <v/>
      </c>
      <c r="U1675" s="57" t="str">
        <f t="shared" si="345"/>
        <v/>
      </c>
      <c r="V1675" s="53" t="str">
        <f t="shared" si="346"/>
        <v>Victoria Neuman</v>
      </c>
      <c r="W1675" s="53" t="str">
        <f t="shared" si="347"/>
        <v>Victoria Neuman</v>
      </c>
      <c r="X1675" s="53" t="str">
        <f t="shared" si="348"/>
        <v>Victoria Neuman</v>
      </c>
      <c r="Y1675" s="57">
        <f>IF($X1675="","",IFERROR(VLOOKUP($X1675,'Char Popularity'!$A$2:$C$500,2,FALSE),""))</f>
        <v>4</v>
      </c>
      <c r="Z1675" s="56">
        <f>IF($X1675="",1,IFERROR(VLOOKUP($X1675,'Char Popularity'!$A$2:$C$500,3,FALSE),1))</f>
        <v>1.1000000000000001</v>
      </c>
      <c r="AA1675" s="62">
        <f>IF($H1675&lt;&gt;"Y",0,(IF($F1675&lt;&gt;"",ROUND(Dashboard!$R$4/$F1675,1),IF(AND($I1675="Base",$E1675="Base"),Dashboard!$R$5,IF(AND($I1675="Base",$E1675="Red"),Dashboard!$R$6,IF(AND($I1675="Base",$E1675="Gold"),Dashboard!$R$7,VLOOKUP($I1675,Dashboard!$Q$16:$R$21,2,FALSE)))))*VLOOKUP($I1675,Dashboard!$Q$9:$R$13,2,FALSE)*IF(AND($I1675="Auto",$F1675="",OR($B1675="Autographs Duals",$B1675="Autographs Triples",$B1675="Autographs Quads",$B1675="Autographs Quads (Inscribed)")),IF($B1675="Autographs Duals",2,IF($B1675="Autographs Triples",3,4)),1)))</f>
        <v>2</v>
      </c>
      <c r="AB1675" s="62">
        <f t="shared" si="349"/>
        <v>2</v>
      </c>
      <c r="AC1675" s="62">
        <f t="shared" si="350"/>
        <v>0</v>
      </c>
    </row>
    <row r="1676" spans="1:29" ht="28.7" customHeight="1" x14ac:dyDescent="0.25">
      <c r="A1676" s="4" t="s">
        <v>21</v>
      </c>
      <c r="B1676" s="7" t="s">
        <v>87</v>
      </c>
      <c r="C1676" s="2" t="s">
        <v>1229</v>
      </c>
      <c r="D1676" s="7" t="s">
        <v>1230</v>
      </c>
      <c r="E1676" s="4" t="s">
        <v>823</v>
      </c>
      <c r="F1676" s="2"/>
      <c r="G1676" s="2" t="s">
        <v>1399</v>
      </c>
      <c r="H1676" s="2" t="s">
        <v>1400</v>
      </c>
      <c r="I1676" s="4" t="s">
        <v>60</v>
      </c>
      <c r="J1676" s="112">
        <f>IF($H1676&lt;&gt;"Y",0,ROUND(MIN(Dashboard!$R$24,IF(IFERROR(VLOOKUP($B1676,Dashboard!$Q$28:$S$60,2,FALSE),0)&gt;0,IFERROR(VLOOKUP($B1676,Dashboard!$Q$28:$S$60,2,FALSE),0),$Z1676*IF($U1676&lt;&gt;"",ROUND((Dashboard!$R$4/$U1676)*VLOOKUP($I1676,Dashboard!$Q$9:$R$13,2,FALSE)*IF(ISNUMBER(SEARCH("Duals",$B1676)),2,IF(ISNUMBER(SEARCH("Triples",$B1676)),3,IF(ISNUMBER(SEARCH("Quads",$B1676)),4,1))),2),ROUND(VLOOKUP($I1676,Dashboard!$Q$15:$R$20,2,FALSE)*IF($E1676="Red",Dashboard!$R$6,IF($E1676="Gold",Dashboard!$R$7,Dashboard!$R$5))*IF(ISNUMBER(SEARCH("Duals",$B1676)),2,IF(ISNUMBER(SEARCH("Triples",$B1676)),3,IF(ISNUMBER(SEARCH("Quads",$B1676)),4,1))),2))*IF(IFERROR(VLOOKUP($B1676,Dashboard!$Q$28:$S$60,3,FALSE),0)&gt;0,VLOOKUP($B1676,Dashboard!$Q$28:$S$60,3,FALSE),1))),0))</f>
        <v>2</v>
      </c>
      <c r="K1676" s="2" t="str">
        <f>IF(Characters!D26="","",Characters!D26)</f>
        <v>h</v>
      </c>
      <c r="L1676" s="2">
        <f t="shared" si="338"/>
        <v>1</v>
      </c>
      <c r="M1676" s="2">
        <f t="shared" si="339"/>
        <v>0</v>
      </c>
      <c r="N1676" s="2">
        <f t="shared" si="340"/>
        <v>1</v>
      </c>
      <c r="O1676" s="2">
        <f t="shared" si="341"/>
        <v>0</v>
      </c>
      <c r="P1676" s="112">
        <f t="shared" si="342"/>
        <v>2</v>
      </c>
      <c r="Q1676" s="112">
        <f t="shared" si="343"/>
        <v>0</v>
      </c>
      <c r="R1676" s="53"/>
      <c r="S1676" s="53" t="str">
        <f t="shared" si="344"/>
        <v>Characters|Characters Red Parallel|C-25|Red</v>
      </c>
      <c r="T1676" s="57" t="str">
        <f>IF($S1676="","",IFERROR(VLOOKUP($S1676,'Pop Estimates (Non-#d)'!$N$2:$O$500,2,FALSE),""))</f>
        <v/>
      </c>
      <c r="U1676" s="57" t="str">
        <f t="shared" si="345"/>
        <v/>
      </c>
      <c r="V1676" s="53" t="str">
        <f t="shared" si="346"/>
        <v>Donna January</v>
      </c>
      <c r="W1676" s="53" t="str">
        <f t="shared" si="347"/>
        <v>Donna January</v>
      </c>
      <c r="X1676" s="53" t="str">
        <f t="shared" si="348"/>
        <v>Donna January</v>
      </c>
      <c r="Y1676" s="57">
        <f>IF($X1676="","",IFERROR(VLOOKUP($X1676,'Char Popularity'!$A$2:$C$500,2,FALSE),""))</f>
        <v>3</v>
      </c>
      <c r="Z1676" s="56">
        <f>IF($X1676="",1,IFERROR(VLOOKUP($X1676,'Char Popularity'!$A$2:$C$500,3,FALSE),1))</f>
        <v>1</v>
      </c>
      <c r="AA1676" s="62">
        <f>IF($H1676&lt;&gt;"Y",0,(IF($F1676&lt;&gt;"",ROUND(Dashboard!$R$4/$F1676,1),IF(AND($I1676="Base",$E1676="Base"),Dashboard!$R$5,IF(AND($I1676="Base",$E1676="Red"),Dashboard!$R$6,IF(AND($I1676="Base",$E1676="Gold"),Dashboard!$R$7,VLOOKUP($I1676,Dashboard!$Q$16:$R$21,2,FALSE)))))*VLOOKUP($I1676,Dashboard!$Q$9:$R$13,2,FALSE)*IF(AND($I1676="Auto",$F1676="",OR($B1676="Autographs Duals",$B1676="Autographs Triples",$B1676="Autographs Quads",$B1676="Autographs Quads (Inscribed)")),IF($B1676="Autographs Duals",2,IF($B1676="Autographs Triples",3,4)),1)))</f>
        <v>2</v>
      </c>
      <c r="AB1676" s="62">
        <f t="shared" si="349"/>
        <v>2</v>
      </c>
      <c r="AC1676" s="62">
        <f t="shared" si="350"/>
        <v>0</v>
      </c>
    </row>
    <row r="1677" spans="1:29" ht="28.7" customHeight="1" x14ac:dyDescent="0.25">
      <c r="A1677" s="4" t="s">
        <v>21</v>
      </c>
      <c r="B1677" s="7" t="s">
        <v>87</v>
      </c>
      <c r="C1677" s="2" t="s">
        <v>1232</v>
      </c>
      <c r="D1677" s="7" t="s">
        <v>1233</v>
      </c>
      <c r="E1677" s="4" t="s">
        <v>823</v>
      </c>
      <c r="F1677" s="2"/>
      <c r="G1677" s="2" t="s">
        <v>1399</v>
      </c>
      <c r="H1677" s="2" t="s">
        <v>1400</v>
      </c>
      <c r="I1677" s="4" t="s">
        <v>60</v>
      </c>
      <c r="J1677" s="112">
        <f>IF($H1677&lt;&gt;"Y",0,ROUND(MIN(Dashboard!$R$24,IF(IFERROR(VLOOKUP($B1677,Dashboard!$Q$28:$S$60,2,FALSE),0)&gt;0,IFERROR(VLOOKUP($B1677,Dashboard!$Q$28:$S$60,2,FALSE),0),$Z1677*IF($U1677&lt;&gt;"",ROUND((Dashboard!$R$4/$U1677)*VLOOKUP($I1677,Dashboard!$Q$9:$R$13,2,FALSE)*IF(ISNUMBER(SEARCH("Duals",$B1677)),2,IF(ISNUMBER(SEARCH("Triples",$B1677)),3,IF(ISNUMBER(SEARCH("Quads",$B1677)),4,1))),2),ROUND(VLOOKUP($I1677,Dashboard!$Q$15:$R$20,2,FALSE)*IF($E1677="Red",Dashboard!$R$6,IF($E1677="Gold",Dashboard!$R$7,Dashboard!$R$5))*IF(ISNUMBER(SEARCH("Duals",$B1677)),2,IF(ISNUMBER(SEARCH("Triples",$B1677)),3,IF(ISNUMBER(SEARCH("Quads",$B1677)),4,1))),2))*IF(IFERROR(VLOOKUP($B1677,Dashboard!$Q$28:$S$60,3,FALSE),0)&gt;0,VLOOKUP($B1677,Dashboard!$Q$28:$S$60,3,FALSE),1))),0))</f>
        <v>2</v>
      </c>
      <c r="K1677" s="2" t="str">
        <f>IF(Characters!D27="","",Characters!D27)</f>
        <v>h</v>
      </c>
      <c r="L1677" s="2">
        <f t="shared" si="338"/>
        <v>1</v>
      </c>
      <c r="M1677" s="2">
        <f t="shared" si="339"/>
        <v>0</v>
      </c>
      <c r="N1677" s="2">
        <f t="shared" si="340"/>
        <v>1</v>
      </c>
      <c r="O1677" s="2">
        <f t="shared" si="341"/>
        <v>0</v>
      </c>
      <c r="P1677" s="112">
        <f t="shared" si="342"/>
        <v>2</v>
      </c>
      <c r="Q1677" s="112">
        <f t="shared" si="343"/>
        <v>0</v>
      </c>
      <c r="R1677" s="53"/>
      <c r="S1677" s="53" t="str">
        <f t="shared" si="344"/>
        <v>Characters|Characters Red Parallel|C-26|Red</v>
      </c>
      <c r="T1677" s="57" t="str">
        <f>IF($S1677="","",IFERROR(VLOOKUP($S1677,'Pop Estimates (Non-#d)'!$N$2:$O$500,2,FALSE),""))</f>
        <v/>
      </c>
      <c r="U1677" s="57" t="str">
        <f t="shared" si="345"/>
        <v/>
      </c>
      <c r="V1677" s="53" t="str">
        <f t="shared" si="346"/>
        <v>Mesmer</v>
      </c>
      <c r="W1677" s="53" t="str">
        <f t="shared" si="347"/>
        <v>Mesmer</v>
      </c>
      <c r="X1677" s="53" t="str">
        <f t="shared" si="348"/>
        <v>Mesmer</v>
      </c>
      <c r="Y1677" s="57">
        <f>IF($X1677="","",IFERROR(VLOOKUP($X1677,'Char Popularity'!$A$2:$C$500,2,FALSE),""))</f>
        <v>2</v>
      </c>
      <c r="Z1677" s="56">
        <f>IF($X1677="",1,IFERROR(VLOOKUP($X1677,'Char Popularity'!$A$2:$C$500,3,FALSE),1))</f>
        <v>0.9</v>
      </c>
      <c r="AA1677" s="62">
        <f>IF($H1677&lt;&gt;"Y",0,(IF($F1677&lt;&gt;"",ROUND(Dashboard!$R$4/$F1677,1),IF(AND($I1677="Base",$E1677="Base"),Dashboard!$R$5,IF(AND($I1677="Base",$E1677="Red"),Dashboard!$R$6,IF(AND($I1677="Base",$E1677="Gold"),Dashboard!$R$7,VLOOKUP($I1677,Dashboard!$Q$16:$R$21,2,FALSE)))))*VLOOKUP($I1677,Dashboard!$Q$9:$R$13,2,FALSE)*IF(AND($I1677="Auto",$F1677="",OR($B1677="Autographs Duals",$B1677="Autographs Triples",$B1677="Autographs Quads",$B1677="Autographs Quads (Inscribed)")),IF($B1677="Autographs Duals",2,IF($B1677="Autographs Triples",3,4)),1)))</f>
        <v>2</v>
      </c>
      <c r="AB1677" s="62">
        <f t="shared" si="349"/>
        <v>2</v>
      </c>
      <c r="AC1677" s="62">
        <f t="shared" si="350"/>
        <v>0</v>
      </c>
    </row>
    <row r="1678" spans="1:29" ht="28.7" customHeight="1" x14ac:dyDescent="0.25">
      <c r="A1678" s="4" t="s">
        <v>21</v>
      </c>
      <c r="B1678" s="7" t="s">
        <v>87</v>
      </c>
      <c r="C1678" s="2" t="s">
        <v>1234</v>
      </c>
      <c r="D1678" s="7" t="s">
        <v>1235</v>
      </c>
      <c r="E1678" s="4" t="s">
        <v>823</v>
      </c>
      <c r="F1678" s="2"/>
      <c r="G1678" s="2" t="s">
        <v>1399</v>
      </c>
      <c r="H1678" s="2" t="s">
        <v>1400</v>
      </c>
      <c r="I1678" s="4" t="s">
        <v>60</v>
      </c>
      <c r="J1678" s="112">
        <f>IF($H1678&lt;&gt;"Y",0,ROUND(MIN(Dashboard!$R$24,IF(IFERROR(VLOOKUP($B1678,Dashboard!$Q$28:$S$60,2,FALSE),0)&gt;0,IFERROR(VLOOKUP($B1678,Dashboard!$Q$28:$S$60,2,FALSE),0),$Z1678*IF($U1678&lt;&gt;"",ROUND((Dashboard!$R$4/$U1678)*VLOOKUP($I1678,Dashboard!$Q$9:$R$13,2,FALSE)*IF(ISNUMBER(SEARCH("Duals",$B1678)),2,IF(ISNUMBER(SEARCH("Triples",$B1678)),3,IF(ISNUMBER(SEARCH("Quads",$B1678)),4,1))),2),ROUND(VLOOKUP($I1678,Dashboard!$Q$15:$R$20,2,FALSE)*IF($E1678="Red",Dashboard!$R$6,IF($E1678="Gold",Dashboard!$R$7,Dashboard!$R$5))*IF(ISNUMBER(SEARCH("Duals",$B1678)),2,IF(ISNUMBER(SEARCH("Triples",$B1678)),3,IF(ISNUMBER(SEARCH("Quads",$B1678)),4,1))),2))*IF(IFERROR(VLOOKUP($B1678,Dashboard!$Q$28:$S$60,3,FALSE),0)&gt;0,VLOOKUP($B1678,Dashboard!$Q$28:$S$60,3,FALSE),1))),0))</f>
        <v>2</v>
      </c>
      <c r="K1678" s="2" t="str">
        <f>IF(Characters!D28="","",Characters!D28)</f>
        <v>h</v>
      </c>
      <c r="L1678" s="2">
        <f t="shared" si="338"/>
        <v>1</v>
      </c>
      <c r="M1678" s="2">
        <f t="shared" si="339"/>
        <v>0</v>
      </c>
      <c r="N1678" s="2">
        <f t="shared" si="340"/>
        <v>1</v>
      </c>
      <c r="O1678" s="2">
        <f t="shared" si="341"/>
        <v>0</v>
      </c>
      <c r="P1678" s="112">
        <f t="shared" si="342"/>
        <v>2</v>
      </c>
      <c r="Q1678" s="112">
        <f t="shared" si="343"/>
        <v>0</v>
      </c>
      <c r="R1678" s="53"/>
      <c r="S1678" s="53" t="str">
        <f t="shared" si="344"/>
        <v>Characters|Characters Red Parallel|C-27|Red</v>
      </c>
      <c r="T1678" s="57" t="str">
        <f>IF($S1678="","",IFERROR(VLOOKUP($S1678,'Pop Estimates (Non-#d)'!$N$2:$O$500,2,FALSE),""))</f>
        <v/>
      </c>
      <c r="U1678" s="57" t="str">
        <f t="shared" si="345"/>
        <v/>
      </c>
      <c r="V1678" s="53" t="str">
        <f t="shared" si="346"/>
        <v>Hughie Campbell Sr.</v>
      </c>
      <c r="W1678" s="53" t="str">
        <f t="shared" si="347"/>
        <v>Hughie Campbell Sr.</v>
      </c>
      <c r="X1678" s="53" t="str">
        <f t="shared" si="348"/>
        <v>Hughie Campbell Sr.</v>
      </c>
      <c r="Y1678" s="57">
        <f>IF($X1678="","",IFERROR(VLOOKUP($X1678,'Char Popularity'!$A$2:$C$500,2,FALSE),""))</f>
        <v>3</v>
      </c>
      <c r="Z1678" s="56">
        <f>IF($X1678="",1,IFERROR(VLOOKUP($X1678,'Char Popularity'!$A$2:$C$500,3,FALSE),1))</f>
        <v>1</v>
      </c>
      <c r="AA1678" s="62">
        <f>IF($H1678&lt;&gt;"Y",0,(IF($F1678&lt;&gt;"",ROUND(Dashboard!$R$4/$F1678,1),IF(AND($I1678="Base",$E1678="Base"),Dashboard!$R$5,IF(AND($I1678="Base",$E1678="Red"),Dashboard!$R$6,IF(AND($I1678="Base",$E1678="Gold"),Dashboard!$R$7,VLOOKUP($I1678,Dashboard!$Q$16:$R$21,2,FALSE)))))*VLOOKUP($I1678,Dashboard!$Q$9:$R$13,2,FALSE)*IF(AND($I1678="Auto",$F1678="",OR($B1678="Autographs Duals",$B1678="Autographs Triples",$B1678="Autographs Quads",$B1678="Autographs Quads (Inscribed)")),IF($B1678="Autographs Duals",2,IF($B1678="Autographs Triples",3,4)),1)))</f>
        <v>2</v>
      </c>
      <c r="AB1678" s="62">
        <f t="shared" si="349"/>
        <v>2</v>
      </c>
      <c r="AC1678" s="62">
        <f t="shared" si="350"/>
        <v>0</v>
      </c>
    </row>
    <row r="1679" spans="1:29" ht="28.7" customHeight="1" x14ac:dyDescent="0.25">
      <c r="A1679" s="4" t="s">
        <v>21</v>
      </c>
      <c r="B1679" s="7" t="s">
        <v>87</v>
      </c>
      <c r="C1679" s="2" t="s">
        <v>1236</v>
      </c>
      <c r="D1679" s="7" t="s">
        <v>1237</v>
      </c>
      <c r="E1679" s="4" t="s">
        <v>823</v>
      </c>
      <c r="F1679" s="2"/>
      <c r="G1679" s="2" t="s">
        <v>1399</v>
      </c>
      <c r="H1679" s="2" t="s">
        <v>1400</v>
      </c>
      <c r="I1679" s="4" t="s">
        <v>60</v>
      </c>
      <c r="J1679" s="112">
        <f>IF($H1679&lt;&gt;"Y",0,ROUND(MIN(Dashboard!$R$24,IF(IFERROR(VLOOKUP($B1679,Dashboard!$Q$28:$S$60,2,FALSE),0)&gt;0,IFERROR(VLOOKUP($B1679,Dashboard!$Q$28:$S$60,2,FALSE),0),$Z1679*IF($U1679&lt;&gt;"",ROUND((Dashboard!$R$4/$U1679)*VLOOKUP($I1679,Dashboard!$Q$9:$R$13,2,FALSE)*IF(ISNUMBER(SEARCH("Duals",$B1679)),2,IF(ISNUMBER(SEARCH("Triples",$B1679)),3,IF(ISNUMBER(SEARCH("Quads",$B1679)),4,1))),2),ROUND(VLOOKUP($I1679,Dashboard!$Q$15:$R$20,2,FALSE)*IF($E1679="Red",Dashboard!$R$6,IF($E1679="Gold",Dashboard!$R$7,Dashboard!$R$5))*IF(ISNUMBER(SEARCH("Duals",$B1679)),2,IF(ISNUMBER(SEARCH("Triples",$B1679)),3,IF(ISNUMBER(SEARCH("Quads",$B1679)),4,1))),2))*IF(IFERROR(VLOOKUP($B1679,Dashboard!$Q$28:$S$60,3,FALSE),0)&gt;0,VLOOKUP($B1679,Dashboard!$Q$28:$S$60,3,FALSE),1))),0))</f>
        <v>2</v>
      </c>
      <c r="K1679" s="2" t="str">
        <f>IF(Characters!D29="","",Characters!D29)</f>
        <v>h</v>
      </c>
      <c r="L1679" s="2">
        <f t="shared" si="338"/>
        <v>1</v>
      </c>
      <c r="M1679" s="2">
        <f t="shared" si="339"/>
        <v>0</v>
      </c>
      <c r="N1679" s="2">
        <f t="shared" si="340"/>
        <v>1</v>
      </c>
      <c r="O1679" s="2">
        <f t="shared" si="341"/>
        <v>0</v>
      </c>
      <c r="P1679" s="112">
        <f t="shared" si="342"/>
        <v>2</v>
      </c>
      <c r="Q1679" s="112">
        <f t="shared" si="343"/>
        <v>0</v>
      </c>
      <c r="R1679" s="53"/>
      <c r="S1679" s="53" t="str">
        <f t="shared" si="344"/>
        <v>Characters|Characters Red Parallel|C-28|Red</v>
      </c>
      <c r="T1679" s="57" t="str">
        <f>IF($S1679="","",IFERROR(VLOOKUP($S1679,'Pop Estimates (Non-#d)'!$N$2:$O$500,2,FALSE),""))</f>
        <v/>
      </c>
      <c r="U1679" s="57" t="str">
        <f t="shared" si="345"/>
        <v/>
      </c>
      <c r="V1679" s="53" t="str">
        <f t="shared" si="346"/>
        <v>Susan Rayner</v>
      </c>
      <c r="W1679" s="53" t="str">
        <f t="shared" si="347"/>
        <v>Susan Rayner</v>
      </c>
      <c r="X1679" s="53" t="str">
        <f t="shared" si="348"/>
        <v>Susan Rayner</v>
      </c>
      <c r="Y1679" s="57">
        <f>IF($X1679="","",IFERROR(VLOOKUP($X1679,'Char Popularity'!$A$2:$C$500,2,FALSE),""))</f>
        <v>3</v>
      </c>
      <c r="Z1679" s="56">
        <f>IF($X1679="",1,IFERROR(VLOOKUP($X1679,'Char Popularity'!$A$2:$C$500,3,FALSE),1))</f>
        <v>1</v>
      </c>
      <c r="AA1679" s="62">
        <f>IF($H1679&lt;&gt;"Y",0,(IF($F1679&lt;&gt;"",ROUND(Dashboard!$R$4/$F1679,1),IF(AND($I1679="Base",$E1679="Base"),Dashboard!$R$5,IF(AND($I1679="Base",$E1679="Red"),Dashboard!$R$6,IF(AND($I1679="Base",$E1679="Gold"),Dashboard!$R$7,VLOOKUP($I1679,Dashboard!$Q$16:$R$21,2,FALSE)))))*VLOOKUP($I1679,Dashboard!$Q$9:$R$13,2,FALSE)*IF(AND($I1679="Auto",$F1679="",OR($B1679="Autographs Duals",$B1679="Autographs Triples",$B1679="Autographs Quads",$B1679="Autographs Quads (Inscribed)")),IF($B1679="Autographs Duals",2,IF($B1679="Autographs Triples",3,4)),1)))</f>
        <v>2</v>
      </c>
      <c r="AB1679" s="62">
        <f t="shared" si="349"/>
        <v>2</v>
      </c>
      <c r="AC1679" s="62">
        <f t="shared" si="350"/>
        <v>0</v>
      </c>
    </row>
    <row r="1680" spans="1:29" ht="28.7" customHeight="1" x14ac:dyDescent="0.25">
      <c r="A1680" s="4" t="s">
        <v>21</v>
      </c>
      <c r="B1680" s="7" t="s">
        <v>87</v>
      </c>
      <c r="C1680" s="2" t="s">
        <v>424</v>
      </c>
      <c r="D1680" s="7" t="s">
        <v>1600</v>
      </c>
      <c r="E1680" s="4" t="s">
        <v>823</v>
      </c>
      <c r="F1680" s="2"/>
      <c r="G1680" s="2" t="s">
        <v>1399</v>
      </c>
      <c r="H1680" s="2" t="s">
        <v>1400</v>
      </c>
      <c r="I1680" s="4" t="s">
        <v>60</v>
      </c>
      <c r="J1680" s="112">
        <f>IF($H1680&lt;&gt;"Y",0,ROUND(MIN(Dashboard!$R$24,IF(IFERROR(VLOOKUP($B1680,Dashboard!$Q$28:$S$60,2,FALSE),0)&gt;0,IFERROR(VLOOKUP($B1680,Dashboard!$Q$28:$S$60,2,FALSE),0),$Z1680*IF($U1680&lt;&gt;"",ROUND((Dashboard!$R$4/$U1680)*VLOOKUP($I1680,Dashboard!$Q$9:$R$13,2,FALSE)*IF(ISNUMBER(SEARCH("Duals",$B1680)),2,IF(ISNUMBER(SEARCH("Triples",$B1680)),3,IF(ISNUMBER(SEARCH("Quads",$B1680)),4,1))),2),ROUND(VLOOKUP($I1680,Dashboard!$Q$15:$R$20,2,FALSE)*IF($E1680="Red",Dashboard!$R$6,IF($E1680="Gold",Dashboard!$R$7,Dashboard!$R$5))*IF(ISNUMBER(SEARCH("Duals",$B1680)),2,IF(ISNUMBER(SEARCH("Triples",$B1680)),3,IF(ISNUMBER(SEARCH("Quads",$B1680)),4,1))),2))*IF(IFERROR(VLOOKUP($B1680,Dashboard!$Q$28:$S$60,3,FALSE),0)&gt;0,VLOOKUP($B1680,Dashboard!$Q$28:$S$60,3,FALSE),1))),0))</f>
        <v>2</v>
      </c>
      <c r="K1680" s="2" t="str">
        <f>IF(Characters!D30="","",Characters!D30)</f>
        <v>h</v>
      </c>
      <c r="L1680" s="2">
        <f t="shared" si="338"/>
        <v>1</v>
      </c>
      <c r="M1680" s="2">
        <f t="shared" si="339"/>
        <v>0</v>
      </c>
      <c r="N1680" s="2">
        <f t="shared" si="340"/>
        <v>1</v>
      </c>
      <c r="O1680" s="2">
        <f t="shared" si="341"/>
        <v>0</v>
      </c>
      <c r="P1680" s="112">
        <f t="shared" si="342"/>
        <v>2</v>
      </c>
      <c r="Q1680" s="112">
        <f t="shared" si="343"/>
        <v>0</v>
      </c>
      <c r="R1680" s="53"/>
      <c r="S1680" s="53" t="str">
        <f t="shared" si="344"/>
        <v>Characters|Characters Red Parallel|C-29|Red</v>
      </c>
      <c r="T1680" s="57" t="str">
        <f>IF($S1680="","",IFERROR(VLOOKUP($S1680,'Pop Estimates (Non-#d)'!$N$2:$O$500,2,FALSE),""))</f>
        <v/>
      </c>
      <c r="U1680" s="57" t="str">
        <f t="shared" si="345"/>
        <v/>
      </c>
      <c r="V1680" s="53" t="str">
        <f t="shared" si="346"/>
        <v>Robin</v>
      </c>
      <c r="W1680" s="53" t="str">
        <f t="shared" si="347"/>
        <v>Robin</v>
      </c>
      <c r="X1680" s="53" t="str">
        <f t="shared" si="348"/>
        <v>Robin</v>
      </c>
      <c r="Y1680" s="57">
        <f>IF($X1680="","",IFERROR(VLOOKUP($X1680,'Char Popularity'!$A$2:$C$500,2,FALSE),""))</f>
        <v>3</v>
      </c>
      <c r="Z1680" s="56">
        <f>IF($X1680="",1,IFERROR(VLOOKUP($X1680,'Char Popularity'!$A$2:$C$500,3,FALSE),1))</f>
        <v>1</v>
      </c>
      <c r="AA1680" s="62">
        <f>IF($H1680&lt;&gt;"Y",0,(IF($F1680&lt;&gt;"",ROUND(Dashboard!$R$4/$F1680,1),IF(AND($I1680="Base",$E1680="Base"),Dashboard!$R$5,IF(AND($I1680="Base",$E1680="Red"),Dashboard!$R$6,IF(AND($I1680="Base",$E1680="Gold"),Dashboard!$R$7,VLOOKUP($I1680,Dashboard!$Q$16:$R$21,2,FALSE)))))*VLOOKUP($I1680,Dashboard!$Q$9:$R$13,2,FALSE)*IF(AND($I1680="Auto",$F1680="",OR($B1680="Autographs Duals",$B1680="Autographs Triples",$B1680="Autographs Quads",$B1680="Autographs Quads (Inscribed)")),IF($B1680="Autographs Duals",2,IF($B1680="Autographs Triples",3,4)),1)))</f>
        <v>2</v>
      </c>
      <c r="AB1680" s="62">
        <f t="shared" si="349"/>
        <v>2</v>
      </c>
      <c r="AC1680" s="62">
        <f t="shared" si="350"/>
        <v>0</v>
      </c>
    </row>
    <row r="1681" spans="1:29" ht="28.7" customHeight="1" x14ac:dyDescent="0.25">
      <c r="A1681" s="4" t="s">
        <v>21</v>
      </c>
      <c r="B1681" s="7" t="s">
        <v>87</v>
      </c>
      <c r="C1681" s="2" t="s">
        <v>1239</v>
      </c>
      <c r="D1681" s="7" t="s">
        <v>1233</v>
      </c>
      <c r="E1681" s="4" t="s">
        <v>823</v>
      </c>
      <c r="F1681" s="2"/>
      <c r="G1681" s="2" t="s">
        <v>1399</v>
      </c>
      <c r="H1681" s="2" t="s">
        <v>1400</v>
      </c>
      <c r="I1681" s="4" t="s">
        <v>60</v>
      </c>
      <c r="J1681" s="112">
        <f>IF($H1681&lt;&gt;"Y",0,ROUND(MIN(Dashboard!$R$24,IF(IFERROR(VLOOKUP($B1681,Dashboard!$Q$28:$S$60,2,FALSE),0)&gt;0,IFERROR(VLOOKUP($B1681,Dashboard!$Q$28:$S$60,2,FALSE),0),$Z1681*IF($U1681&lt;&gt;"",ROUND((Dashboard!$R$4/$U1681)*VLOOKUP($I1681,Dashboard!$Q$9:$R$13,2,FALSE)*IF(ISNUMBER(SEARCH("Duals",$B1681)),2,IF(ISNUMBER(SEARCH("Triples",$B1681)),3,IF(ISNUMBER(SEARCH("Quads",$B1681)),4,1))),2),ROUND(VLOOKUP($I1681,Dashboard!$Q$15:$R$20,2,FALSE)*IF($E1681="Red",Dashboard!$R$6,IF($E1681="Gold",Dashboard!$R$7,Dashboard!$R$5))*IF(ISNUMBER(SEARCH("Duals",$B1681)),2,IF(ISNUMBER(SEARCH("Triples",$B1681)),3,IF(ISNUMBER(SEARCH("Quads",$B1681)),4,1))),2))*IF(IFERROR(VLOOKUP($B1681,Dashboard!$Q$28:$S$60,3,FALSE),0)&gt;0,VLOOKUP($B1681,Dashboard!$Q$28:$S$60,3,FALSE),1))),0))</f>
        <v>2</v>
      </c>
      <c r="K1681" s="2" t="str">
        <f>IF(Characters!D31="","",Characters!D31)</f>
        <v>h</v>
      </c>
      <c r="L1681" s="2">
        <f t="shared" si="338"/>
        <v>1</v>
      </c>
      <c r="M1681" s="2">
        <f t="shared" si="339"/>
        <v>0</v>
      </c>
      <c r="N1681" s="2">
        <f t="shared" si="340"/>
        <v>1</v>
      </c>
      <c r="O1681" s="2">
        <f t="shared" si="341"/>
        <v>0</v>
      </c>
      <c r="P1681" s="112">
        <f t="shared" si="342"/>
        <v>2</v>
      </c>
      <c r="Q1681" s="112">
        <f t="shared" si="343"/>
        <v>0</v>
      </c>
      <c r="R1681" s="53"/>
      <c r="S1681" s="53" t="str">
        <f t="shared" si="344"/>
        <v>Characters|Characters Red Parallel|C-30|Red</v>
      </c>
      <c r="T1681" s="57" t="str">
        <f>IF($S1681="","",IFERROR(VLOOKUP($S1681,'Pop Estimates (Non-#d)'!$N$2:$O$500,2,FALSE),""))</f>
        <v/>
      </c>
      <c r="U1681" s="57" t="str">
        <f t="shared" si="345"/>
        <v/>
      </c>
      <c r="V1681" s="53" t="str">
        <f t="shared" si="346"/>
        <v>Mesmer</v>
      </c>
      <c r="W1681" s="53" t="str">
        <f t="shared" si="347"/>
        <v>Mesmer</v>
      </c>
      <c r="X1681" s="53" t="str">
        <f t="shared" si="348"/>
        <v>Mesmer</v>
      </c>
      <c r="Y1681" s="57">
        <f>IF($X1681="","",IFERROR(VLOOKUP($X1681,'Char Popularity'!$A$2:$C$500,2,FALSE),""))</f>
        <v>2</v>
      </c>
      <c r="Z1681" s="56">
        <f>IF($X1681="",1,IFERROR(VLOOKUP($X1681,'Char Popularity'!$A$2:$C$500,3,FALSE),1))</f>
        <v>0.9</v>
      </c>
      <c r="AA1681" s="62">
        <f>IF($H1681&lt;&gt;"Y",0,(IF($F1681&lt;&gt;"",ROUND(Dashboard!$R$4/$F1681,1),IF(AND($I1681="Base",$E1681="Base"),Dashboard!$R$5,IF(AND($I1681="Base",$E1681="Red"),Dashboard!$R$6,IF(AND($I1681="Base",$E1681="Gold"),Dashboard!$R$7,VLOOKUP($I1681,Dashboard!$Q$16:$R$21,2,FALSE)))))*VLOOKUP($I1681,Dashboard!$Q$9:$R$13,2,FALSE)*IF(AND($I1681="Auto",$F1681="",OR($B1681="Autographs Duals",$B1681="Autographs Triples",$B1681="Autographs Quads",$B1681="Autographs Quads (Inscribed)")),IF($B1681="Autographs Duals",2,IF($B1681="Autographs Triples",3,4)),1)))</f>
        <v>2</v>
      </c>
      <c r="AB1681" s="62">
        <f t="shared" si="349"/>
        <v>2</v>
      </c>
      <c r="AC1681" s="62">
        <f t="shared" si="350"/>
        <v>0</v>
      </c>
    </row>
    <row r="1682" spans="1:29" ht="28.7" customHeight="1" x14ac:dyDescent="0.25">
      <c r="A1682" s="4" t="s">
        <v>21</v>
      </c>
      <c r="B1682" s="7" t="s">
        <v>87</v>
      </c>
      <c r="C1682" s="2" t="s">
        <v>426</v>
      </c>
      <c r="D1682" s="7" t="s">
        <v>250</v>
      </c>
      <c r="E1682" s="4" t="s">
        <v>823</v>
      </c>
      <c r="F1682" s="2"/>
      <c r="G1682" s="2" t="s">
        <v>1399</v>
      </c>
      <c r="H1682" s="2" t="s">
        <v>1400</v>
      </c>
      <c r="I1682" s="4" t="s">
        <v>60</v>
      </c>
      <c r="J1682" s="112">
        <f>IF($H1682&lt;&gt;"Y",0,ROUND(MIN(Dashboard!$R$24,IF(IFERROR(VLOOKUP($B1682,Dashboard!$Q$28:$S$60,2,FALSE),0)&gt;0,IFERROR(VLOOKUP($B1682,Dashboard!$Q$28:$S$60,2,FALSE),0),$Z1682*IF($U1682&lt;&gt;"",ROUND((Dashboard!$R$4/$U1682)*VLOOKUP($I1682,Dashboard!$Q$9:$R$13,2,FALSE)*IF(ISNUMBER(SEARCH("Duals",$B1682)),2,IF(ISNUMBER(SEARCH("Triples",$B1682)),3,IF(ISNUMBER(SEARCH("Quads",$B1682)),4,1))),2),ROUND(VLOOKUP($I1682,Dashboard!$Q$15:$R$20,2,FALSE)*IF($E1682="Red",Dashboard!$R$6,IF($E1682="Gold",Dashboard!$R$7,Dashboard!$R$5))*IF(ISNUMBER(SEARCH("Duals",$B1682)),2,IF(ISNUMBER(SEARCH("Triples",$B1682)),3,IF(ISNUMBER(SEARCH("Quads",$B1682)),4,1))),2))*IF(IFERROR(VLOOKUP($B1682,Dashboard!$Q$28:$S$60,3,FALSE),0)&gt;0,VLOOKUP($B1682,Dashboard!$Q$28:$S$60,3,FALSE),1))),0))</f>
        <v>2</v>
      </c>
      <c r="K1682" s="2" t="str">
        <f>IF(Characters!D32="","",Characters!D32)</f>
        <v>h</v>
      </c>
      <c r="L1682" s="2">
        <f t="shared" si="338"/>
        <v>1</v>
      </c>
      <c r="M1682" s="2">
        <f t="shared" si="339"/>
        <v>0</v>
      </c>
      <c r="N1682" s="2">
        <f t="shared" si="340"/>
        <v>1</v>
      </c>
      <c r="O1682" s="2">
        <f t="shared" si="341"/>
        <v>0</v>
      </c>
      <c r="P1682" s="112">
        <f t="shared" si="342"/>
        <v>2</v>
      </c>
      <c r="Q1682" s="112">
        <f t="shared" si="343"/>
        <v>0</v>
      </c>
      <c r="R1682" s="53"/>
      <c r="S1682" s="53" t="str">
        <f t="shared" si="344"/>
        <v>Characters|Characters Red Parallel|C-31|Red</v>
      </c>
      <c r="T1682" s="57" t="str">
        <f>IF($S1682="","",IFERROR(VLOOKUP($S1682,'Pop Estimates (Non-#d)'!$N$2:$O$500,2,FALSE),""))</f>
        <v/>
      </c>
      <c r="U1682" s="57" t="str">
        <f t="shared" si="345"/>
        <v/>
      </c>
      <c r="V1682" s="53" t="str">
        <f t="shared" si="346"/>
        <v>Madelyn Stillwell</v>
      </c>
      <c r="W1682" s="53" t="str">
        <f t="shared" si="347"/>
        <v>Madelyn Stillwell</v>
      </c>
      <c r="X1682" s="53" t="str">
        <f t="shared" si="348"/>
        <v>Madelyn Stillwell</v>
      </c>
      <c r="Y1682" s="57">
        <f>IF($X1682="","",IFERROR(VLOOKUP($X1682,'Char Popularity'!$A$2:$C$500,2,FALSE),""))</f>
        <v>3</v>
      </c>
      <c r="Z1682" s="56">
        <f>IF($X1682="",1,IFERROR(VLOOKUP($X1682,'Char Popularity'!$A$2:$C$500,3,FALSE),1))</f>
        <v>1</v>
      </c>
      <c r="AA1682" s="62">
        <f>IF($H1682&lt;&gt;"Y",0,(IF($F1682&lt;&gt;"",ROUND(Dashboard!$R$4/$F1682,1),IF(AND($I1682="Base",$E1682="Base"),Dashboard!$R$5,IF(AND($I1682="Base",$E1682="Red"),Dashboard!$R$6,IF(AND($I1682="Base",$E1682="Gold"),Dashboard!$R$7,VLOOKUP($I1682,Dashboard!$Q$16:$R$21,2,FALSE)))))*VLOOKUP($I1682,Dashboard!$Q$9:$R$13,2,FALSE)*IF(AND($I1682="Auto",$F1682="",OR($B1682="Autographs Duals",$B1682="Autographs Triples",$B1682="Autographs Quads",$B1682="Autographs Quads (Inscribed)")),IF($B1682="Autographs Duals",2,IF($B1682="Autographs Triples",3,4)),1)))</f>
        <v>2</v>
      </c>
      <c r="AB1682" s="62">
        <f t="shared" si="349"/>
        <v>2</v>
      </c>
      <c r="AC1682" s="62">
        <f t="shared" si="350"/>
        <v>0</v>
      </c>
    </row>
    <row r="1683" spans="1:29" ht="28.7" customHeight="1" x14ac:dyDescent="0.25">
      <c r="A1683" s="4" t="s">
        <v>21</v>
      </c>
      <c r="B1683" s="7" t="s">
        <v>87</v>
      </c>
      <c r="C1683" s="2" t="s">
        <v>1242</v>
      </c>
      <c r="D1683" s="7" t="s">
        <v>1243</v>
      </c>
      <c r="E1683" s="4" t="s">
        <v>823</v>
      </c>
      <c r="F1683" s="2"/>
      <c r="G1683" s="2" t="s">
        <v>1399</v>
      </c>
      <c r="H1683" s="2" t="s">
        <v>1400</v>
      </c>
      <c r="I1683" s="4" t="s">
        <v>60</v>
      </c>
      <c r="J1683" s="112">
        <f>IF($H1683&lt;&gt;"Y",0,ROUND(MIN(Dashboard!$R$24,IF(IFERROR(VLOOKUP($B1683,Dashboard!$Q$28:$S$60,2,FALSE),0)&gt;0,IFERROR(VLOOKUP($B1683,Dashboard!$Q$28:$S$60,2,FALSE),0),$Z1683*IF($U1683&lt;&gt;"",ROUND((Dashboard!$R$4/$U1683)*VLOOKUP($I1683,Dashboard!$Q$9:$R$13,2,FALSE)*IF(ISNUMBER(SEARCH("Duals",$B1683)),2,IF(ISNUMBER(SEARCH("Triples",$B1683)),3,IF(ISNUMBER(SEARCH("Quads",$B1683)),4,1))),2),ROUND(VLOOKUP($I1683,Dashboard!$Q$15:$R$20,2,FALSE)*IF($E1683="Red",Dashboard!$R$6,IF($E1683="Gold",Dashboard!$R$7,Dashboard!$R$5))*IF(ISNUMBER(SEARCH("Duals",$B1683)),2,IF(ISNUMBER(SEARCH("Triples",$B1683)),3,IF(ISNUMBER(SEARCH("Quads",$B1683)),4,1))),2))*IF(IFERROR(VLOOKUP($B1683,Dashboard!$Q$28:$S$60,3,FALSE),0)&gt;0,VLOOKUP($B1683,Dashboard!$Q$28:$S$60,3,FALSE),1))),0))</f>
        <v>2</v>
      </c>
      <c r="K1683" s="2" t="str">
        <f>IF(Characters!D33="","",Characters!D33)</f>
        <v>h</v>
      </c>
      <c r="L1683" s="2">
        <f t="shared" si="338"/>
        <v>1</v>
      </c>
      <c r="M1683" s="2">
        <f t="shared" si="339"/>
        <v>0</v>
      </c>
      <c r="N1683" s="2">
        <f t="shared" si="340"/>
        <v>1</v>
      </c>
      <c r="O1683" s="2">
        <f t="shared" si="341"/>
        <v>0</v>
      </c>
      <c r="P1683" s="112">
        <f t="shared" si="342"/>
        <v>2</v>
      </c>
      <c r="Q1683" s="112">
        <f t="shared" si="343"/>
        <v>0</v>
      </c>
      <c r="R1683" s="53"/>
      <c r="S1683" s="53" t="str">
        <f t="shared" si="344"/>
        <v>Characters|Characters Red Parallel|C-32|Red</v>
      </c>
      <c r="T1683" s="57" t="str">
        <f>IF($S1683="","",IFERROR(VLOOKUP($S1683,'Pop Estimates (Non-#d)'!$N$2:$O$500,2,FALSE),""))</f>
        <v/>
      </c>
      <c r="U1683" s="57" t="str">
        <f t="shared" si="345"/>
        <v/>
      </c>
      <c r="V1683" s="53" t="str">
        <f t="shared" si="346"/>
        <v/>
      </c>
      <c r="W1683" s="53" t="str">
        <f t="shared" si="347"/>
        <v/>
      </c>
      <c r="X1683" s="53" t="str">
        <f t="shared" si="348"/>
        <v/>
      </c>
      <c r="Y1683" s="57" t="str">
        <f>IF($X1683="","",IFERROR(VLOOKUP($X1683,'Char Popularity'!$A$2:$C$500,2,FALSE),""))</f>
        <v/>
      </c>
      <c r="Z1683" s="56">
        <f>IF($X1683="",1,IFERROR(VLOOKUP($X1683,'Char Popularity'!$A$2:$C$500,3,FALSE),1))</f>
        <v>1</v>
      </c>
      <c r="AA1683" s="62">
        <f>IF($H1683&lt;&gt;"Y",0,(IF($F1683&lt;&gt;"",ROUND(Dashboard!$R$4/$F1683,1),IF(AND($I1683="Base",$E1683="Base"),Dashboard!$R$5,IF(AND($I1683="Base",$E1683="Red"),Dashboard!$R$6,IF(AND($I1683="Base",$E1683="Gold"),Dashboard!$R$7,VLOOKUP($I1683,Dashboard!$Q$16:$R$21,2,FALSE)))))*VLOOKUP($I1683,Dashboard!$Q$9:$R$13,2,FALSE)*IF(AND($I1683="Auto",$F1683="",OR($B1683="Autographs Duals",$B1683="Autographs Triples",$B1683="Autographs Quads",$B1683="Autographs Quads (Inscribed)")),IF($B1683="Autographs Duals",2,IF($B1683="Autographs Triples",3,4)),1)))</f>
        <v>2</v>
      </c>
      <c r="AB1683" s="62">
        <f t="shared" si="349"/>
        <v>2</v>
      </c>
      <c r="AC1683" s="62">
        <f t="shared" si="350"/>
        <v>0</v>
      </c>
    </row>
    <row r="1684" spans="1:29" ht="28.7" customHeight="1" x14ac:dyDescent="0.25">
      <c r="A1684" s="4" t="s">
        <v>21</v>
      </c>
      <c r="B1684" s="7" t="s">
        <v>87</v>
      </c>
      <c r="C1684" s="2" t="s">
        <v>1244</v>
      </c>
      <c r="D1684" s="7" t="s">
        <v>1245</v>
      </c>
      <c r="E1684" s="4" t="s">
        <v>823</v>
      </c>
      <c r="F1684" s="2"/>
      <c r="G1684" s="2" t="s">
        <v>1399</v>
      </c>
      <c r="H1684" s="2" t="s">
        <v>1400</v>
      </c>
      <c r="I1684" s="4" t="s">
        <v>60</v>
      </c>
      <c r="J1684" s="112">
        <f>IF($H1684&lt;&gt;"Y",0,ROUND(MIN(Dashboard!$R$24,IF(IFERROR(VLOOKUP($B1684,Dashboard!$Q$28:$S$60,2,FALSE),0)&gt;0,IFERROR(VLOOKUP($B1684,Dashboard!$Q$28:$S$60,2,FALSE),0),$Z1684*IF($U1684&lt;&gt;"",ROUND((Dashboard!$R$4/$U1684)*VLOOKUP($I1684,Dashboard!$Q$9:$R$13,2,FALSE)*IF(ISNUMBER(SEARCH("Duals",$B1684)),2,IF(ISNUMBER(SEARCH("Triples",$B1684)),3,IF(ISNUMBER(SEARCH("Quads",$B1684)),4,1))),2),ROUND(VLOOKUP($I1684,Dashboard!$Q$15:$R$20,2,FALSE)*IF($E1684="Red",Dashboard!$R$6,IF($E1684="Gold",Dashboard!$R$7,Dashboard!$R$5))*IF(ISNUMBER(SEARCH("Duals",$B1684)),2,IF(ISNUMBER(SEARCH("Triples",$B1684)),3,IF(ISNUMBER(SEARCH("Quads",$B1684)),4,1))),2))*IF(IFERROR(VLOOKUP($B1684,Dashboard!$Q$28:$S$60,3,FALSE),0)&gt;0,VLOOKUP($B1684,Dashboard!$Q$28:$S$60,3,FALSE),1))),0))</f>
        <v>2</v>
      </c>
      <c r="K1684" s="2" t="str">
        <f>IF(Characters!D34="","",Characters!D34)</f>
        <v>h</v>
      </c>
      <c r="L1684" s="2">
        <f t="shared" si="338"/>
        <v>1</v>
      </c>
      <c r="M1684" s="2">
        <f t="shared" si="339"/>
        <v>0</v>
      </c>
      <c r="N1684" s="2">
        <f t="shared" si="340"/>
        <v>1</v>
      </c>
      <c r="O1684" s="2">
        <f t="shared" si="341"/>
        <v>0</v>
      </c>
      <c r="P1684" s="112">
        <f t="shared" si="342"/>
        <v>2</v>
      </c>
      <c r="Q1684" s="112">
        <f t="shared" si="343"/>
        <v>0</v>
      </c>
      <c r="R1684" s="53"/>
      <c r="S1684" s="53" t="str">
        <f t="shared" si="344"/>
        <v>Characters|Characters Red Parallel|C-33|Red</v>
      </c>
      <c r="T1684" s="57" t="str">
        <f>IF($S1684="","",IFERROR(VLOOKUP($S1684,'Pop Estimates (Non-#d)'!$N$2:$O$500,2,FALSE),""))</f>
        <v/>
      </c>
      <c r="U1684" s="57" t="str">
        <f t="shared" si="345"/>
        <v/>
      </c>
      <c r="V1684" s="53" t="str">
        <f t="shared" si="346"/>
        <v>Eagle the Archer</v>
      </c>
      <c r="W1684" s="53" t="str">
        <f t="shared" si="347"/>
        <v>Eagle the Archer</v>
      </c>
      <c r="X1684" s="53" t="str">
        <f t="shared" si="348"/>
        <v>Eagle the Archer</v>
      </c>
      <c r="Y1684" s="57">
        <f>IF($X1684="","",IFERROR(VLOOKUP($X1684,'Char Popularity'!$A$2:$C$500,2,FALSE),""))</f>
        <v>3</v>
      </c>
      <c r="Z1684" s="56">
        <f>IF($X1684="",1,IFERROR(VLOOKUP($X1684,'Char Popularity'!$A$2:$C$500,3,FALSE),1))</f>
        <v>1</v>
      </c>
      <c r="AA1684" s="62">
        <f>IF($H1684&lt;&gt;"Y",0,(IF($F1684&lt;&gt;"",ROUND(Dashboard!$R$4/$F1684,1),IF(AND($I1684="Base",$E1684="Base"),Dashboard!$R$5,IF(AND($I1684="Base",$E1684="Red"),Dashboard!$R$6,IF(AND($I1684="Base",$E1684="Gold"),Dashboard!$R$7,VLOOKUP($I1684,Dashboard!$Q$16:$R$21,2,FALSE)))))*VLOOKUP($I1684,Dashboard!$Q$9:$R$13,2,FALSE)*IF(AND($I1684="Auto",$F1684="",OR($B1684="Autographs Duals",$B1684="Autographs Triples",$B1684="Autographs Quads",$B1684="Autographs Quads (Inscribed)")),IF($B1684="Autographs Duals",2,IF($B1684="Autographs Triples",3,4)),1)))</f>
        <v>2</v>
      </c>
      <c r="AB1684" s="62">
        <f t="shared" si="349"/>
        <v>2</v>
      </c>
      <c r="AC1684" s="62">
        <f t="shared" si="350"/>
        <v>0</v>
      </c>
    </row>
    <row r="1685" spans="1:29" ht="28.7" customHeight="1" x14ac:dyDescent="0.25">
      <c r="A1685" s="4" t="s">
        <v>21</v>
      </c>
      <c r="B1685" s="7" t="s">
        <v>87</v>
      </c>
      <c r="C1685" s="2" t="s">
        <v>1247</v>
      </c>
      <c r="D1685" s="7" t="s">
        <v>1248</v>
      </c>
      <c r="E1685" s="4" t="s">
        <v>823</v>
      </c>
      <c r="F1685" s="2"/>
      <c r="G1685" s="2" t="s">
        <v>1399</v>
      </c>
      <c r="H1685" s="2" t="s">
        <v>1400</v>
      </c>
      <c r="I1685" s="4" t="s">
        <v>60</v>
      </c>
      <c r="J1685" s="112">
        <f>IF($H1685&lt;&gt;"Y",0,ROUND(MIN(Dashboard!$R$24,IF(IFERROR(VLOOKUP($B1685,Dashboard!$Q$28:$S$60,2,FALSE),0)&gt;0,IFERROR(VLOOKUP($B1685,Dashboard!$Q$28:$S$60,2,FALSE),0),$Z1685*IF($U1685&lt;&gt;"",ROUND((Dashboard!$R$4/$U1685)*VLOOKUP($I1685,Dashboard!$Q$9:$R$13,2,FALSE)*IF(ISNUMBER(SEARCH("Duals",$B1685)),2,IF(ISNUMBER(SEARCH("Triples",$B1685)),3,IF(ISNUMBER(SEARCH("Quads",$B1685)),4,1))),2),ROUND(VLOOKUP($I1685,Dashboard!$Q$15:$R$20,2,FALSE)*IF($E1685="Red",Dashboard!$R$6,IF($E1685="Gold",Dashboard!$R$7,Dashboard!$R$5))*IF(ISNUMBER(SEARCH("Duals",$B1685)),2,IF(ISNUMBER(SEARCH("Triples",$B1685)),3,IF(ISNUMBER(SEARCH("Quads",$B1685)),4,1))),2))*IF(IFERROR(VLOOKUP($B1685,Dashboard!$Q$28:$S$60,3,FALSE),0)&gt;0,VLOOKUP($B1685,Dashboard!$Q$28:$S$60,3,FALSE),1))),0))</f>
        <v>2</v>
      </c>
      <c r="K1685" s="2" t="str">
        <f>IF(Characters!D35="","",Characters!D35)</f>
        <v>h</v>
      </c>
      <c r="L1685" s="2">
        <f t="shared" si="338"/>
        <v>1</v>
      </c>
      <c r="M1685" s="2">
        <f t="shared" si="339"/>
        <v>0</v>
      </c>
      <c r="N1685" s="2">
        <f t="shared" si="340"/>
        <v>1</v>
      </c>
      <c r="O1685" s="2">
        <f t="shared" si="341"/>
        <v>0</v>
      </c>
      <c r="P1685" s="112">
        <f t="shared" si="342"/>
        <v>2</v>
      </c>
      <c r="Q1685" s="112">
        <f t="shared" si="343"/>
        <v>0</v>
      </c>
      <c r="R1685" s="53"/>
      <c r="S1685" s="53" t="str">
        <f t="shared" si="344"/>
        <v>Characters|Characters Red Parallel|C-34|Red</v>
      </c>
      <c r="T1685" s="57" t="str">
        <f>IF($S1685="","",IFERROR(VLOOKUP($S1685,'Pop Estimates (Non-#d)'!$N$2:$O$500,2,FALSE),""))</f>
        <v/>
      </c>
      <c r="U1685" s="57" t="str">
        <f t="shared" si="345"/>
        <v/>
      </c>
      <c r="V1685" s="53" t="str">
        <f t="shared" si="346"/>
        <v>Carol</v>
      </c>
      <c r="W1685" s="53" t="str">
        <f t="shared" si="347"/>
        <v>Carol</v>
      </c>
      <c r="X1685" s="53" t="str">
        <f t="shared" si="348"/>
        <v>Carol</v>
      </c>
      <c r="Y1685" s="57">
        <f>IF($X1685="","",IFERROR(VLOOKUP($X1685,'Char Popularity'!$A$2:$C$500,2,FALSE),""))</f>
        <v>3</v>
      </c>
      <c r="Z1685" s="56">
        <f>IF($X1685="",1,IFERROR(VLOOKUP($X1685,'Char Popularity'!$A$2:$C$500,3,FALSE),1))</f>
        <v>1</v>
      </c>
      <c r="AA1685" s="62">
        <f>IF($H1685&lt;&gt;"Y",0,(IF($F1685&lt;&gt;"",ROUND(Dashboard!$R$4/$F1685,1),IF(AND($I1685="Base",$E1685="Base"),Dashboard!$R$5,IF(AND($I1685="Base",$E1685="Red"),Dashboard!$R$6,IF(AND($I1685="Base",$E1685="Gold"),Dashboard!$R$7,VLOOKUP($I1685,Dashboard!$Q$16:$R$21,2,FALSE)))))*VLOOKUP($I1685,Dashboard!$Q$9:$R$13,2,FALSE)*IF(AND($I1685="Auto",$F1685="",OR($B1685="Autographs Duals",$B1685="Autographs Triples",$B1685="Autographs Quads",$B1685="Autographs Quads (Inscribed)")),IF($B1685="Autographs Duals",2,IF($B1685="Autographs Triples",3,4)),1)))</f>
        <v>2</v>
      </c>
      <c r="AB1685" s="62">
        <f t="shared" si="349"/>
        <v>2</v>
      </c>
      <c r="AC1685" s="62">
        <f t="shared" si="350"/>
        <v>0</v>
      </c>
    </row>
    <row r="1686" spans="1:29" ht="28.7" customHeight="1" x14ac:dyDescent="0.25">
      <c r="A1686" s="4" t="s">
        <v>21</v>
      </c>
      <c r="B1686" s="7" t="s">
        <v>87</v>
      </c>
      <c r="C1686" s="2" t="s">
        <v>1250</v>
      </c>
      <c r="D1686" s="7" t="s">
        <v>1251</v>
      </c>
      <c r="E1686" s="4" t="s">
        <v>823</v>
      </c>
      <c r="F1686" s="2"/>
      <c r="G1686" s="2" t="s">
        <v>1399</v>
      </c>
      <c r="H1686" s="2" t="s">
        <v>1400</v>
      </c>
      <c r="I1686" s="4" t="s">
        <v>60</v>
      </c>
      <c r="J1686" s="112">
        <f>IF($H1686&lt;&gt;"Y",0,ROUND(MIN(Dashboard!$R$24,IF(IFERROR(VLOOKUP($B1686,Dashboard!$Q$28:$S$60,2,FALSE),0)&gt;0,IFERROR(VLOOKUP($B1686,Dashboard!$Q$28:$S$60,2,FALSE),0),$Z1686*IF($U1686&lt;&gt;"",ROUND((Dashboard!$R$4/$U1686)*VLOOKUP($I1686,Dashboard!$Q$9:$R$13,2,FALSE)*IF(ISNUMBER(SEARCH("Duals",$B1686)),2,IF(ISNUMBER(SEARCH("Triples",$B1686)),3,IF(ISNUMBER(SEARCH("Quads",$B1686)),4,1))),2),ROUND(VLOOKUP($I1686,Dashboard!$Q$15:$R$20,2,FALSE)*IF($E1686="Red",Dashboard!$R$6,IF($E1686="Gold",Dashboard!$R$7,Dashboard!$R$5))*IF(ISNUMBER(SEARCH("Duals",$B1686)),2,IF(ISNUMBER(SEARCH("Triples",$B1686)),3,IF(ISNUMBER(SEARCH("Quads",$B1686)),4,1))),2))*IF(IFERROR(VLOOKUP($B1686,Dashboard!$Q$28:$S$60,3,FALSE),0)&gt;0,VLOOKUP($B1686,Dashboard!$Q$28:$S$60,3,FALSE),1))),0))</f>
        <v>2</v>
      </c>
      <c r="K1686" s="2" t="str">
        <f>IF(Characters!D36="","",Characters!D36)</f>
        <v>h</v>
      </c>
      <c r="L1686" s="2">
        <f t="shared" si="338"/>
        <v>1</v>
      </c>
      <c r="M1686" s="2">
        <f t="shared" si="339"/>
        <v>0</v>
      </c>
      <c r="N1686" s="2">
        <f t="shared" si="340"/>
        <v>1</v>
      </c>
      <c r="O1686" s="2">
        <f t="shared" si="341"/>
        <v>0</v>
      </c>
      <c r="P1686" s="112">
        <f t="shared" si="342"/>
        <v>2</v>
      </c>
      <c r="Q1686" s="112">
        <f t="shared" si="343"/>
        <v>0</v>
      </c>
      <c r="R1686" s="53"/>
      <c r="S1686" s="53" t="str">
        <f t="shared" si="344"/>
        <v>Characters|Characters Red Parallel|C-35|Red</v>
      </c>
      <c r="T1686" s="57" t="str">
        <f>IF($S1686="","",IFERROR(VLOOKUP($S1686,'Pop Estimates (Non-#d)'!$N$2:$O$500,2,FALSE),""))</f>
        <v/>
      </c>
      <c r="U1686" s="57" t="str">
        <f t="shared" si="345"/>
        <v/>
      </c>
      <c r="V1686" s="53" t="str">
        <f t="shared" si="346"/>
        <v>Kenji Miyashiro</v>
      </c>
      <c r="W1686" s="53" t="str">
        <f t="shared" si="347"/>
        <v>Kenji Miyashiro</v>
      </c>
      <c r="X1686" s="53" t="str">
        <f t="shared" si="348"/>
        <v>Kenji Miyashiro</v>
      </c>
      <c r="Y1686" s="57">
        <f>IF($X1686="","",IFERROR(VLOOKUP($X1686,'Char Popularity'!$A$2:$C$500,2,FALSE),""))</f>
        <v>2</v>
      </c>
      <c r="Z1686" s="56">
        <f>IF($X1686="",1,IFERROR(VLOOKUP($X1686,'Char Popularity'!$A$2:$C$500,3,FALSE),1))</f>
        <v>0.9</v>
      </c>
      <c r="AA1686" s="62">
        <f>IF($H1686&lt;&gt;"Y",0,(IF($F1686&lt;&gt;"",ROUND(Dashboard!$R$4/$F1686,1),IF(AND($I1686="Base",$E1686="Base"),Dashboard!$R$5,IF(AND($I1686="Base",$E1686="Red"),Dashboard!$R$6,IF(AND($I1686="Base",$E1686="Gold"),Dashboard!$R$7,VLOOKUP($I1686,Dashboard!$Q$16:$R$21,2,FALSE)))))*VLOOKUP($I1686,Dashboard!$Q$9:$R$13,2,FALSE)*IF(AND($I1686="Auto",$F1686="",OR($B1686="Autographs Duals",$B1686="Autographs Triples",$B1686="Autographs Quads",$B1686="Autographs Quads (Inscribed)")),IF($B1686="Autographs Duals",2,IF($B1686="Autographs Triples",3,4)),1)))</f>
        <v>2</v>
      </c>
      <c r="AB1686" s="62">
        <f t="shared" si="349"/>
        <v>2</v>
      </c>
      <c r="AC1686" s="62">
        <f t="shared" si="350"/>
        <v>0</v>
      </c>
    </row>
    <row r="1687" spans="1:29" ht="28.7" customHeight="1" x14ac:dyDescent="0.25">
      <c r="A1687" s="4" t="s">
        <v>21</v>
      </c>
      <c r="B1687" s="7" t="s">
        <v>87</v>
      </c>
      <c r="C1687" s="2" t="s">
        <v>1253</v>
      </c>
      <c r="D1687" s="7" t="s">
        <v>1254</v>
      </c>
      <c r="E1687" s="4" t="s">
        <v>823</v>
      </c>
      <c r="F1687" s="2"/>
      <c r="G1687" s="2" t="s">
        <v>1399</v>
      </c>
      <c r="H1687" s="2" t="s">
        <v>1400</v>
      </c>
      <c r="I1687" s="4" t="s">
        <v>60</v>
      </c>
      <c r="J1687" s="112">
        <f>IF($H1687&lt;&gt;"Y",0,ROUND(MIN(Dashboard!$R$24,IF(IFERROR(VLOOKUP($B1687,Dashboard!$Q$28:$S$60,2,FALSE),0)&gt;0,IFERROR(VLOOKUP($B1687,Dashboard!$Q$28:$S$60,2,FALSE),0),$Z1687*IF($U1687&lt;&gt;"",ROUND((Dashboard!$R$4/$U1687)*VLOOKUP($I1687,Dashboard!$Q$9:$R$13,2,FALSE)*IF(ISNUMBER(SEARCH("Duals",$B1687)),2,IF(ISNUMBER(SEARCH("Triples",$B1687)),3,IF(ISNUMBER(SEARCH("Quads",$B1687)),4,1))),2),ROUND(VLOOKUP($I1687,Dashboard!$Q$15:$R$20,2,FALSE)*IF($E1687="Red",Dashboard!$R$6,IF($E1687="Gold",Dashboard!$R$7,Dashboard!$R$5))*IF(ISNUMBER(SEARCH("Duals",$B1687)),2,IF(ISNUMBER(SEARCH("Triples",$B1687)),3,IF(ISNUMBER(SEARCH("Quads",$B1687)),4,1))),2))*IF(IFERROR(VLOOKUP($B1687,Dashboard!$Q$28:$S$60,3,FALSE),0)&gt;0,VLOOKUP($B1687,Dashboard!$Q$28:$S$60,3,FALSE),1))),0))</f>
        <v>2</v>
      </c>
      <c r="K1687" s="2" t="str">
        <f>IF(Characters!D37="","",Characters!D37)</f>
        <v>h</v>
      </c>
      <c r="L1687" s="2">
        <f t="shared" si="338"/>
        <v>1</v>
      </c>
      <c r="M1687" s="2">
        <f t="shared" si="339"/>
        <v>0</v>
      </c>
      <c r="N1687" s="2">
        <f t="shared" si="340"/>
        <v>1</v>
      </c>
      <c r="O1687" s="2">
        <f t="shared" si="341"/>
        <v>0</v>
      </c>
      <c r="P1687" s="112">
        <f t="shared" si="342"/>
        <v>2</v>
      </c>
      <c r="Q1687" s="112">
        <f t="shared" si="343"/>
        <v>0</v>
      </c>
      <c r="R1687" s="53"/>
      <c r="S1687" s="53" t="str">
        <f t="shared" si="344"/>
        <v>Characters|Characters Red Parallel|C-36|Red</v>
      </c>
      <c r="T1687" s="57" t="str">
        <f>IF($S1687="","",IFERROR(VLOOKUP($S1687,'Pop Estimates (Non-#d)'!$N$2:$O$500,2,FALSE),""))</f>
        <v/>
      </c>
      <c r="U1687" s="57" t="str">
        <f t="shared" si="345"/>
        <v/>
      </c>
      <c r="V1687" s="53" t="str">
        <f t="shared" si="346"/>
        <v>Elena</v>
      </c>
      <c r="W1687" s="53" t="str">
        <f t="shared" si="347"/>
        <v>Elena</v>
      </c>
      <c r="X1687" s="53" t="str">
        <f t="shared" si="348"/>
        <v>Elena</v>
      </c>
      <c r="Y1687" s="57">
        <f>IF($X1687="","",IFERROR(VLOOKUP($X1687,'Char Popularity'!$A$2:$C$500,2,FALSE),""))</f>
        <v>3</v>
      </c>
      <c r="Z1687" s="56">
        <f>IF($X1687="",1,IFERROR(VLOOKUP($X1687,'Char Popularity'!$A$2:$C$500,3,FALSE),1))</f>
        <v>1</v>
      </c>
      <c r="AA1687" s="62">
        <f>IF($H1687&lt;&gt;"Y",0,(IF($F1687&lt;&gt;"",ROUND(Dashboard!$R$4/$F1687,1),IF(AND($I1687="Base",$E1687="Base"),Dashboard!$R$5,IF(AND($I1687="Base",$E1687="Red"),Dashboard!$R$6,IF(AND($I1687="Base",$E1687="Gold"),Dashboard!$R$7,VLOOKUP($I1687,Dashboard!$Q$16:$R$21,2,FALSE)))))*VLOOKUP($I1687,Dashboard!$Q$9:$R$13,2,FALSE)*IF(AND($I1687="Auto",$F1687="",OR($B1687="Autographs Duals",$B1687="Autographs Triples",$B1687="Autographs Quads",$B1687="Autographs Quads (Inscribed)")),IF($B1687="Autographs Duals",2,IF($B1687="Autographs Triples",3,4)),1)))</f>
        <v>2</v>
      </c>
      <c r="AB1687" s="62">
        <f t="shared" si="349"/>
        <v>2</v>
      </c>
      <c r="AC1687" s="62">
        <f t="shared" si="350"/>
        <v>0</v>
      </c>
    </row>
    <row r="1688" spans="1:29" ht="28.7" customHeight="1" x14ac:dyDescent="0.25">
      <c r="A1688" s="4" t="s">
        <v>21</v>
      </c>
      <c r="B1688" s="7" t="s">
        <v>87</v>
      </c>
      <c r="C1688" s="2" t="s">
        <v>1255</v>
      </c>
      <c r="D1688" s="7" t="s">
        <v>1256</v>
      </c>
      <c r="E1688" s="4" t="s">
        <v>823</v>
      </c>
      <c r="F1688" s="2"/>
      <c r="G1688" s="2" t="s">
        <v>1399</v>
      </c>
      <c r="H1688" s="2" t="s">
        <v>1400</v>
      </c>
      <c r="I1688" s="4" t="s">
        <v>60</v>
      </c>
      <c r="J1688" s="112">
        <f>IF($H1688&lt;&gt;"Y",0,ROUND(MIN(Dashboard!$R$24,IF(IFERROR(VLOOKUP($B1688,Dashboard!$Q$28:$S$60,2,FALSE),0)&gt;0,IFERROR(VLOOKUP($B1688,Dashboard!$Q$28:$S$60,2,FALSE),0),$Z1688*IF($U1688&lt;&gt;"",ROUND((Dashboard!$R$4/$U1688)*VLOOKUP($I1688,Dashboard!$Q$9:$R$13,2,FALSE)*IF(ISNUMBER(SEARCH("Duals",$B1688)),2,IF(ISNUMBER(SEARCH("Triples",$B1688)),3,IF(ISNUMBER(SEARCH("Quads",$B1688)),4,1))),2),ROUND(VLOOKUP($I1688,Dashboard!$Q$15:$R$20,2,FALSE)*IF($E1688="Red",Dashboard!$R$6,IF($E1688="Gold",Dashboard!$R$7,Dashboard!$R$5))*IF(ISNUMBER(SEARCH("Duals",$B1688)),2,IF(ISNUMBER(SEARCH("Triples",$B1688)),3,IF(ISNUMBER(SEARCH("Quads",$B1688)),4,1))),2))*IF(IFERROR(VLOOKUP($B1688,Dashboard!$Q$28:$S$60,3,FALSE),0)&gt;0,VLOOKUP($B1688,Dashboard!$Q$28:$S$60,3,FALSE),1))),0))</f>
        <v>2</v>
      </c>
      <c r="K1688" s="2" t="str">
        <f>IF(Characters!D38="","",Characters!D38)</f>
        <v>h</v>
      </c>
      <c r="L1688" s="2">
        <f t="shared" si="338"/>
        <v>1</v>
      </c>
      <c r="M1688" s="2">
        <f t="shared" si="339"/>
        <v>0</v>
      </c>
      <c r="N1688" s="2">
        <f t="shared" si="340"/>
        <v>1</v>
      </c>
      <c r="O1688" s="2">
        <f t="shared" si="341"/>
        <v>0</v>
      </c>
      <c r="P1688" s="112">
        <f t="shared" si="342"/>
        <v>2</v>
      </c>
      <c r="Q1688" s="112">
        <f t="shared" si="343"/>
        <v>0</v>
      </c>
      <c r="R1688" s="53"/>
      <c r="S1688" s="53" t="str">
        <f t="shared" si="344"/>
        <v>Characters|Characters Red Parallel|C-37|Red</v>
      </c>
      <c r="T1688" s="57" t="str">
        <f>IF($S1688="","",IFERROR(VLOOKUP($S1688,'Pop Estimates (Non-#d)'!$N$2:$O$500,2,FALSE),""))</f>
        <v/>
      </c>
      <c r="U1688" s="57" t="str">
        <f t="shared" si="345"/>
        <v/>
      </c>
      <c r="V1688" s="53" t="str">
        <f t="shared" si="346"/>
        <v>Nathan Franklin</v>
      </c>
      <c r="W1688" s="53" t="str">
        <f t="shared" si="347"/>
        <v>Nathan Franklin</v>
      </c>
      <c r="X1688" s="53" t="str">
        <f t="shared" si="348"/>
        <v>Nathan Franklin</v>
      </c>
      <c r="Y1688" s="57">
        <f>IF($X1688="","",IFERROR(VLOOKUP($X1688,'Char Popularity'!$A$2:$C$500,2,FALSE),""))</f>
        <v>2</v>
      </c>
      <c r="Z1688" s="56">
        <f>IF($X1688="",1,IFERROR(VLOOKUP($X1688,'Char Popularity'!$A$2:$C$500,3,FALSE),1))</f>
        <v>0.9</v>
      </c>
      <c r="AA1688" s="62">
        <f>IF($H1688&lt;&gt;"Y",0,(IF($F1688&lt;&gt;"",ROUND(Dashboard!$R$4/$F1688,1),IF(AND($I1688="Base",$E1688="Base"),Dashboard!$R$5,IF(AND($I1688="Base",$E1688="Red"),Dashboard!$R$6,IF(AND($I1688="Base",$E1688="Gold"),Dashboard!$R$7,VLOOKUP($I1688,Dashboard!$Q$16:$R$21,2,FALSE)))))*VLOOKUP($I1688,Dashboard!$Q$9:$R$13,2,FALSE)*IF(AND($I1688="Auto",$F1688="",OR($B1688="Autographs Duals",$B1688="Autographs Triples",$B1688="Autographs Quads",$B1688="Autographs Quads (Inscribed)")),IF($B1688="Autographs Duals",2,IF($B1688="Autographs Triples",3,4)),1)))</f>
        <v>2</v>
      </c>
      <c r="AB1688" s="62">
        <f t="shared" si="349"/>
        <v>2</v>
      </c>
      <c r="AC1688" s="62">
        <f t="shared" si="350"/>
        <v>0</v>
      </c>
    </row>
    <row r="1689" spans="1:29" ht="28.7" customHeight="1" x14ac:dyDescent="0.25">
      <c r="A1689" s="4" t="s">
        <v>21</v>
      </c>
      <c r="B1689" s="7" t="s">
        <v>87</v>
      </c>
      <c r="C1689" s="2" t="s">
        <v>1257</v>
      </c>
      <c r="D1689" s="7" t="s">
        <v>1235</v>
      </c>
      <c r="E1689" s="4" t="s">
        <v>823</v>
      </c>
      <c r="F1689" s="2"/>
      <c r="G1689" s="2" t="s">
        <v>1399</v>
      </c>
      <c r="H1689" s="2" t="s">
        <v>1400</v>
      </c>
      <c r="I1689" s="4" t="s">
        <v>60</v>
      </c>
      <c r="J1689" s="112">
        <f>IF($H1689&lt;&gt;"Y",0,ROUND(MIN(Dashboard!$R$24,IF(IFERROR(VLOOKUP($B1689,Dashboard!$Q$28:$S$60,2,FALSE),0)&gt;0,IFERROR(VLOOKUP($B1689,Dashboard!$Q$28:$S$60,2,FALSE),0),$Z1689*IF($U1689&lt;&gt;"",ROUND((Dashboard!$R$4/$U1689)*VLOOKUP($I1689,Dashboard!$Q$9:$R$13,2,FALSE)*IF(ISNUMBER(SEARCH("Duals",$B1689)),2,IF(ISNUMBER(SEARCH("Triples",$B1689)),3,IF(ISNUMBER(SEARCH("Quads",$B1689)),4,1))),2),ROUND(VLOOKUP($I1689,Dashboard!$Q$15:$R$20,2,FALSE)*IF($E1689="Red",Dashboard!$R$6,IF($E1689="Gold",Dashboard!$R$7,Dashboard!$R$5))*IF(ISNUMBER(SEARCH("Duals",$B1689)),2,IF(ISNUMBER(SEARCH("Triples",$B1689)),3,IF(ISNUMBER(SEARCH("Quads",$B1689)),4,1))),2))*IF(IFERROR(VLOOKUP($B1689,Dashboard!$Q$28:$S$60,3,FALSE),0)&gt;0,VLOOKUP($B1689,Dashboard!$Q$28:$S$60,3,FALSE),1))),0))</f>
        <v>2</v>
      </c>
      <c r="K1689" s="2" t="str">
        <f>IF(Characters!D39="","",Characters!D39)</f>
        <v>h</v>
      </c>
      <c r="L1689" s="2">
        <f t="shared" si="338"/>
        <v>1</v>
      </c>
      <c r="M1689" s="2">
        <f t="shared" si="339"/>
        <v>0</v>
      </c>
      <c r="N1689" s="2">
        <f t="shared" si="340"/>
        <v>1</v>
      </c>
      <c r="O1689" s="2">
        <f t="shared" si="341"/>
        <v>0</v>
      </c>
      <c r="P1689" s="112">
        <f t="shared" si="342"/>
        <v>2</v>
      </c>
      <c r="Q1689" s="112">
        <f t="shared" si="343"/>
        <v>0</v>
      </c>
      <c r="R1689" s="53"/>
      <c r="S1689" s="53" t="str">
        <f t="shared" si="344"/>
        <v>Characters|Characters Red Parallel|C-38|Red</v>
      </c>
      <c r="T1689" s="57" t="str">
        <f>IF($S1689="","",IFERROR(VLOOKUP($S1689,'Pop Estimates (Non-#d)'!$N$2:$O$500,2,FALSE),""))</f>
        <v/>
      </c>
      <c r="U1689" s="57" t="str">
        <f t="shared" si="345"/>
        <v/>
      </c>
      <c r="V1689" s="53" t="str">
        <f t="shared" si="346"/>
        <v>Hughie Campbell Sr.</v>
      </c>
      <c r="W1689" s="53" t="str">
        <f t="shared" si="347"/>
        <v>Hughie Campbell Sr.</v>
      </c>
      <c r="X1689" s="53" t="str">
        <f t="shared" si="348"/>
        <v>Hughie Campbell Sr.</v>
      </c>
      <c r="Y1689" s="57">
        <f>IF($X1689="","",IFERROR(VLOOKUP($X1689,'Char Popularity'!$A$2:$C$500,2,FALSE),""))</f>
        <v>3</v>
      </c>
      <c r="Z1689" s="56">
        <f>IF($X1689="",1,IFERROR(VLOOKUP($X1689,'Char Popularity'!$A$2:$C$500,3,FALSE),1))</f>
        <v>1</v>
      </c>
      <c r="AA1689" s="62">
        <f>IF($H1689&lt;&gt;"Y",0,(IF($F1689&lt;&gt;"",ROUND(Dashboard!$R$4/$F1689,1),IF(AND($I1689="Base",$E1689="Base"),Dashboard!$R$5,IF(AND($I1689="Base",$E1689="Red"),Dashboard!$R$6,IF(AND($I1689="Base",$E1689="Gold"),Dashboard!$R$7,VLOOKUP($I1689,Dashboard!$Q$16:$R$21,2,FALSE)))))*VLOOKUP($I1689,Dashboard!$Q$9:$R$13,2,FALSE)*IF(AND($I1689="Auto",$F1689="",OR($B1689="Autographs Duals",$B1689="Autographs Triples",$B1689="Autographs Quads",$B1689="Autographs Quads (Inscribed)")),IF($B1689="Autographs Duals",2,IF($B1689="Autographs Triples",3,4)),1)))</f>
        <v>2</v>
      </c>
      <c r="AB1689" s="62">
        <f t="shared" si="349"/>
        <v>2</v>
      </c>
      <c r="AC1689" s="62">
        <f t="shared" si="350"/>
        <v>0</v>
      </c>
    </row>
    <row r="1690" spans="1:29" ht="28.7" customHeight="1" x14ac:dyDescent="0.25">
      <c r="A1690" s="4" t="s">
        <v>21</v>
      </c>
      <c r="B1690" s="7" t="s">
        <v>87</v>
      </c>
      <c r="C1690" s="2" t="s">
        <v>427</v>
      </c>
      <c r="D1690" s="7" t="s">
        <v>283</v>
      </c>
      <c r="E1690" s="4" t="s">
        <v>823</v>
      </c>
      <c r="F1690" s="2"/>
      <c r="G1690" s="2" t="s">
        <v>1399</v>
      </c>
      <c r="H1690" s="2" t="s">
        <v>1400</v>
      </c>
      <c r="I1690" s="4" t="s">
        <v>60</v>
      </c>
      <c r="J1690" s="112">
        <f>IF($H1690&lt;&gt;"Y",0,ROUND(MIN(Dashboard!$R$24,IF(IFERROR(VLOOKUP($B1690,Dashboard!$Q$28:$S$60,2,FALSE),0)&gt;0,IFERROR(VLOOKUP($B1690,Dashboard!$Q$28:$S$60,2,FALSE),0),$Z1690*IF($U1690&lt;&gt;"",ROUND((Dashboard!$R$4/$U1690)*VLOOKUP($I1690,Dashboard!$Q$9:$R$13,2,FALSE)*IF(ISNUMBER(SEARCH("Duals",$B1690)),2,IF(ISNUMBER(SEARCH("Triples",$B1690)),3,IF(ISNUMBER(SEARCH("Quads",$B1690)),4,1))),2),ROUND(VLOOKUP($I1690,Dashboard!$Q$15:$R$20,2,FALSE)*IF($E1690="Red",Dashboard!$R$6,IF($E1690="Gold",Dashboard!$R$7,Dashboard!$R$5))*IF(ISNUMBER(SEARCH("Duals",$B1690)),2,IF(ISNUMBER(SEARCH("Triples",$B1690)),3,IF(ISNUMBER(SEARCH("Quads",$B1690)),4,1))),2))*IF(IFERROR(VLOOKUP($B1690,Dashboard!$Q$28:$S$60,3,FALSE),0)&gt;0,VLOOKUP($B1690,Dashboard!$Q$28:$S$60,3,FALSE),1))),0))</f>
        <v>2</v>
      </c>
      <c r="K1690" s="2" t="str">
        <f>IF(Characters!D40="","",Characters!D40)</f>
        <v>h</v>
      </c>
      <c r="L1690" s="2">
        <f t="shared" si="338"/>
        <v>1</v>
      </c>
      <c r="M1690" s="2">
        <f t="shared" si="339"/>
        <v>0</v>
      </c>
      <c r="N1690" s="2">
        <f t="shared" si="340"/>
        <v>1</v>
      </c>
      <c r="O1690" s="2">
        <f t="shared" si="341"/>
        <v>0</v>
      </c>
      <c r="P1690" s="112">
        <f t="shared" si="342"/>
        <v>2</v>
      </c>
      <c r="Q1690" s="112">
        <f t="shared" si="343"/>
        <v>0</v>
      </c>
      <c r="R1690" s="53"/>
      <c r="S1690" s="53" t="str">
        <f t="shared" si="344"/>
        <v>Characters|Characters Red Parallel|C-39|Red</v>
      </c>
      <c r="T1690" s="57" t="str">
        <f>IF($S1690="","",IFERROR(VLOOKUP($S1690,'Pop Estimates (Non-#d)'!$N$2:$O$500,2,FALSE),""))</f>
        <v/>
      </c>
      <c r="U1690" s="57" t="str">
        <f t="shared" si="345"/>
        <v/>
      </c>
      <c r="V1690" s="53" t="str">
        <f t="shared" si="346"/>
        <v>Black Noir</v>
      </c>
      <c r="W1690" s="53" t="str">
        <f t="shared" si="347"/>
        <v>Black Noir</v>
      </c>
      <c r="X1690" s="53" t="str">
        <f t="shared" si="348"/>
        <v>Black Noir</v>
      </c>
      <c r="Y1690" s="57">
        <f>IF($X1690="","",IFERROR(VLOOKUP($X1690,'Char Popularity'!$A$2:$C$500,2,FALSE),""))</f>
        <v>4</v>
      </c>
      <c r="Z1690" s="56">
        <f>IF($X1690="",1,IFERROR(VLOOKUP($X1690,'Char Popularity'!$A$2:$C$500,3,FALSE),1))</f>
        <v>1.1000000000000001</v>
      </c>
      <c r="AA1690" s="62">
        <f>IF($H1690&lt;&gt;"Y",0,(IF($F1690&lt;&gt;"",ROUND(Dashboard!$R$4/$F1690,1),IF(AND($I1690="Base",$E1690="Base"),Dashboard!$R$5,IF(AND($I1690="Base",$E1690="Red"),Dashboard!$R$6,IF(AND($I1690="Base",$E1690="Gold"),Dashboard!$R$7,VLOOKUP($I1690,Dashboard!$Q$16:$R$21,2,FALSE)))))*VLOOKUP($I1690,Dashboard!$Q$9:$R$13,2,FALSE)*IF(AND($I1690="Auto",$F1690="",OR($B1690="Autographs Duals",$B1690="Autographs Triples",$B1690="Autographs Quads",$B1690="Autographs Quads (Inscribed)")),IF($B1690="Autographs Duals",2,IF($B1690="Autographs Triples",3,4)),1)))</f>
        <v>2</v>
      </c>
      <c r="AB1690" s="62">
        <f t="shared" si="349"/>
        <v>2</v>
      </c>
      <c r="AC1690" s="62">
        <f t="shared" si="350"/>
        <v>0</v>
      </c>
    </row>
    <row r="1691" spans="1:29" ht="28.7" customHeight="1" x14ac:dyDescent="0.25">
      <c r="A1691" s="4" t="s">
        <v>21</v>
      </c>
      <c r="B1691" s="7" t="s">
        <v>87</v>
      </c>
      <c r="C1691" s="2" t="s">
        <v>429</v>
      </c>
      <c r="D1691" s="7" t="s">
        <v>238</v>
      </c>
      <c r="E1691" s="4" t="s">
        <v>823</v>
      </c>
      <c r="F1691" s="2"/>
      <c r="G1691" s="2" t="s">
        <v>1399</v>
      </c>
      <c r="H1691" s="2" t="s">
        <v>1400</v>
      </c>
      <c r="I1691" s="4" t="s">
        <v>60</v>
      </c>
      <c r="J1691" s="112">
        <f>IF($H1691&lt;&gt;"Y",0,ROUND(MIN(Dashboard!$R$24,IF(IFERROR(VLOOKUP($B1691,Dashboard!$Q$28:$S$60,2,FALSE),0)&gt;0,IFERROR(VLOOKUP($B1691,Dashboard!$Q$28:$S$60,2,FALSE),0),$Z1691*IF($U1691&lt;&gt;"",ROUND((Dashboard!$R$4/$U1691)*VLOOKUP($I1691,Dashboard!$Q$9:$R$13,2,FALSE)*IF(ISNUMBER(SEARCH("Duals",$B1691)),2,IF(ISNUMBER(SEARCH("Triples",$B1691)),3,IF(ISNUMBER(SEARCH("Quads",$B1691)),4,1))),2),ROUND(VLOOKUP($I1691,Dashboard!$Q$15:$R$20,2,FALSE)*IF($E1691="Red",Dashboard!$R$6,IF($E1691="Gold",Dashboard!$R$7,Dashboard!$R$5))*IF(ISNUMBER(SEARCH("Duals",$B1691)),2,IF(ISNUMBER(SEARCH("Triples",$B1691)),3,IF(ISNUMBER(SEARCH("Quads",$B1691)),4,1))),2))*IF(IFERROR(VLOOKUP($B1691,Dashboard!$Q$28:$S$60,3,FALSE),0)&gt;0,VLOOKUP($B1691,Dashboard!$Q$28:$S$60,3,FALSE),1))),0))</f>
        <v>2</v>
      </c>
      <c r="K1691" s="2" t="str">
        <f>IF(Characters!D41="","",Characters!D41)</f>
        <v>h</v>
      </c>
      <c r="L1691" s="2">
        <f t="shared" si="338"/>
        <v>1</v>
      </c>
      <c r="M1691" s="2">
        <f t="shared" si="339"/>
        <v>0</v>
      </c>
      <c r="N1691" s="2">
        <f t="shared" si="340"/>
        <v>1</v>
      </c>
      <c r="O1691" s="2">
        <f t="shared" si="341"/>
        <v>0</v>
      </c>
      <c r="P1691" s="112">
        <f t="shared" si="342"/>
        <v>2</v>
      </c>
      <c r="Q1691" s="112">
        <f t="shared" si="343"/>
        <v>0</v>
      </c>
      <c r="R1691" s="53"/>
      <c r="S1691" s="53" t="str">
        <f t="shared" si="344"/>
        <v>Characters|Characters Red Parallel|C-40|Red</v>
      </c>
      <c r="T1691" s="57" t="str">
        <f>IF($S1691="","",IFERROR(VLOOKUP($S1691,'Pop Estimates (Non-#d)'!$N$2:$O$500,2,FALSE),""))</f>
        <v/>
      </c>
      <c r="U1691" s="57" t="str">
        <f t="shared" si="345"/>
        <v/>
      </c>
      <c r="V1691" s="53" t="str">
        <f t="shared" si="346"/>
        <v>Frenchie</v>
      </c>
      <c r="W1691" s="53" t="str">
        <f t="shared" si="347"/>
        <v>Frenchie</v>
      </c>
      <c r="X1691" s="53" t="str">
        <f t="shared" si="348"/>
        <v>Frenchie</v>
      </c>
      <c r="Y1691" s="57">
        <f>IF($X1691="","",IFERROR(VLOOKUP($X1691,'Char Popularity'!$A$2:$C$500,2,FALSE),""))</f>
        <v>4</v>
      </c>
      <c r="Z1691" s="56">
        <f>IF($X1691="",1,IFERROR(VLOOKUP($X1691,'Char Popularity'!$A$2:$C$500,3,FALSE),1))</f>
        <v>1.1000000000000001</v>
      </c>
      <c r="AA1691" s="62">
        <f>IF($H1691&lt;&gt;"Y",0,(IF($F1691&lt;&gt;"",ROUND(Dashboard!$R$4/$F1691,1),IF(AND($I1691="Base",$E1691="Base"),Dashboard!$R$5,IF(AND($I1691="Base",$E1691="Red"),Dashboard!$R$6,IF(AND($I1691="Base",$E1691="Gold"),Dashboard!$R$7,VLOOKUP($I1691,Dashboard!$Q$16:$R$21,2,FALSE)))))*VLOOKUP($I1691,Dashboard!$Q$9:$R$13,2,FALSE)*IF(AND($I1691="Auto",$F1691="",OR($B1691="Autographs Duals",$B1691="Autographs Triples",$B1691="Autographs Quads",$B1691="Autographs Quads (Inscribed)")),IF($B1691="Autographs Duals",2,IF($B1691="Autographs Triples",3,4)),1)))</f>
        <v>2</v>
      </c>
      <c r="AB1691" s="62">
        <f t="shared" si="349"/>
        <v>2</v>
      </c>
      <c r="AC1691" s="62">
        <f t="shared" si="350"/>
        <v>0</v>
      </c>
    </row>
    <row r="1692" spans="1:29" ht="28.7" customHeight="1" x14ac:dyDescent="0.25">
      <c r="A1692" s="4" t="s">
        <v>21</v>
      </c>
      <c r="B1692" s="7" t="s">
        <v>87</v>
      </c>
      <c r="C1692" s="2" t="s">
        <v>1260</v>
      </c>
      <c r="D1692" s="7" t="s">
        <v>539</v>
      </c>
      <c r="E1692" s="4" t="s">
        <v>823</v>
      </c>
      <c r="F1692" s="2"/>
      <c r="G1692" s="2" t="s">
        <v>1399</v>
      </c>
      <c r="H1692" s="2" t="s">
        <v>1400</v>
      </c>
      <c r="I1692" s="4" t="s">
        <v>60</v>
      </c>
      <c r="J1692" s="112">
        <f>IF($H1692&lt;&gt;"Y",0,ROUND(MIN(Dashboard!$R$24,IF(IFERROR(VLOOKUP($B1692,Dashboard!$Q$28:$S$60,2,FALSE),0)&gt;0,IFERROR(VLOOKUP($B1692,Dashboard!$Q$28:$S$60,2,FALSE),0),$Z1692*IF($U1692&lt;&gt;"",ROUND((Dashboard!$R$4/$U1692)*VLOOKUP($I1692,Dashboard!$Q$9:$R$13,2,FALSE)*IF(ISNUMBER(SEARCH("Duals",$B1692)),2,IF(ISNUMBER(SEARCH("Triples",$B1692)),3,IF(ISNUMBER(SEARCH("Quads",$B1692)),4,1))),2),ROUND(VLOOKUP($I1692,Dashboard!$Q$15:$R$20,2,FALSE)*IF($E1692="Red",Dashboard!$R$6,IF($E1692="Gold",Dashboard!$R$7,Dashboard!$R$5))*IF(ISNUMBER(SEARCH("Duals",$B1692)),2,IF(ISNUMBER(SEARCH("Triples",$B1692)),3,IF(ISNUMBER(SEARCH("Quads",$B1692)),4,1))),2))*IF(IFERROR(VLOOKUP($B1692,Dashboard!$Q$28:$S$60,3,FALSE),0)&gt;0,VLOOKUP($B1692,Dashboard!$Q$28:$S$60,3,FALSE),1))),0))</f>
        <v>2</v>
      </c>
      <c r="K1692" s="2" t="str">
        <f>IF(Characters!D42="","",Characters!D42)</f>
        <v>h</v>
      </c>
      <c r="L1692" s="2">
        <f t="shared" si="338"/>
        <v>1</v>
      </c>
      <c r="M1692" s="2">
        <f t="shared" si="339"/>
        <v>0</v>
      </c>
      <c r="N1692" s="2">
        <f t="shared" si="340"/>
        <v>1</v>
      </c>
      <c r="O1692" s="2">
        <f t="shared" si="341"/>
        <v>0</v>
      </c>
      <c r="P1692" s="112">
        <f t="shared" si="342"/>
        <v>2</v>
      </c>
      <c r="Q1692" s="112">
        <f t="shared" si="343"/>
        <v>0</v>
      </c>
      <c r="R1692" s="53"/>
      <c r="S1692" s="53" t="str">
        <f t="shared" si="344"/>
        <v>Characters|Characters Red Parallel|C-41|Red</v>
      </c>
      <c r="T1692" s="57" t="str">
        <f>IF($S1692="","",IFERROR(VLOOKUP($S1692,'Pop Estimates (Non-#d)'!$N$2:$O$500,2,FALSE),""))</f>
        <v/>
      </c>
      <c r="U1692" s="57" t="str">
        <f t="shared" si="345"/>
        <v/>
      </c>
      <c r="V1692" s="53" t="str">
        <f t="shared" si="346"/>
        <v/>
      </c>
      <c r="W1692" s="53" t="str">
        <f t="shared" si="347"/>
        <v/>
      </c>
      <c r="X1692" s="53" t="str">
        <f t="shared" si="348"/>
        <v/>
      </c>
      <c r="Y1692" s="57" t="str">
        <f>IF($X1692="","",IFERROR(VLOOKUP($X1692,'Char Popularity'!$A$2:$C$500,2,FALSE),""))</f>
        <v/>
      </c>
      <c r="Z1692" s="56">
        <f>IF($X1692="",1,IFERROR(VLOOKUP($X1692,'Char Popularity'!$A$2:$C$500,3,FALSE),1))</f>
        <v>1</v>
      </c>
      <c r="AA1692" s="62">
        <f>IF($H1692&lt;&gt;"Y",0,(IF($F1692&lt;&gt;"",ROUND(Dashboard!$R$4/$F1692,1),IF(AND($I1692="Base",$E1692="Base"),Dashboard!$R$5,IF(AND($I1692="Base",$E1692="Red"),Dashboard!$R$6,IF(AND($I1692="Base",$E1692="Gold"),Dashboard!$R$7,VLOOKUP($I1692,Dashboard!$Q$16:$R$21,2,FALSE)))))*VLOOKUP($I1692,Dashboard!$Q$9:$R$13,2,FALSE)*IF(AND($I1692="Auto",$F1692="",OR($B1692="Autographs Duals",$B1692="Autographs Triples",$B1692="Autographs Quads",$B1692="Autographs Quads (Inscribed)")),IF($B1692="Autographs Duals",2,IF($B1692="Autographs Triples",3,4)),1)))</f>
        <v>2</v>
      </c>
      <c r="AB1692" s="62">
        <f t="shared" si="349"/>
        <v>2</v>
      </c>
      <c r="AC1692" s="62">
        <f t="shared" si="350"/>
        <v>0</v>
      </c>
    </row>
    <row r="1693" spans="1:29" ht="28.7" customHeight="1" x14ac:dyDescent="0.25">
      <c r="A1693" s="4" t="s">
        <v>21</v>
      </c>
      <c r="B1693" s="7" t="s">
        <v>87</v>
      </c>
      <c r="C1693" s="2" t="s">
        <v>430</v>
      </c>
      <c r="D1693" s="7" t="s">
        <v>288</v>
      </c>
      <c r="E1693" s="4" t="s">
        <v>823</v>
      </c>
      <c r="F1693" s="2"/>
      <c r="G1693" s="2" t="s">
        <v>1399</v>
      </c>
      <c r="H1693" s="2" t="s">
        <v>1400</v>
      </c>
      <c r="I1693" s="4" t="s">
        <v>60</v>
      </c>
      <c r="J1693" s="112">
        <f>IF($H1693&lt;&gt;"Y",0,ROUND(MIN(Dashboard!$R$24,IF(IFERROR(VLOOKUP($B1693,Dashboard!$Q$28:$S$60,2,FALSE),0)&gt;0,IFERROR(VLOOKUP($B1693,Dashboard!$Q$28:$S$60,2,FALSE),0),$Z1693*IF($U1693&lt;&gt;"",ROUND((Dashboard!$R$4/$U1693)*VLOOKUP($I1693,Dashboard!$Q$9:$R$13,2,FALSE)*IF(ISNUMBER(SEARCH("Duals",$B1693)),2,IF(ISNUMBER(SEARCH("Triples",$B1693)),3,IF(ISNUMBER(SEARCH("Quads",$B1693)),4,1))),2),ROUND(VLOOKUP($I1693,Dashboard!$Q$15:$R$20,2,FALSE)*IF($E1693="Red",Dashboard!$R$6,IF($E1693="Gold",Dashboard!$R$7,Dashboard!$R$5))*IF(ISNUMBER(SEARCH("Duals",$B1693)),2,IF(ISNUMBER(SEARCH("Triples",$B1693)),3,IF(ISNUMBER(SEARCH("Quads",$B1693)),4,1))),2))*IF(IFERROR(VLOOKUP($B1693,Dashboard!$Q$28:$S$60,3,FALSE),0)&gt;0,VLOOKUP($B1693,Dashboard!$Q$28:$S$60,3,FALSE),1))),0))</f>
        <v>2</v>
      </c>
      <c r="K1693" s="2" t="str">
        <f>IF(Characters!D43="","",Characters!D43)</f>
        <v>h</v>
      </c>
      <c r="L1693" s="2">
        <f t="shared" si="338"/>
        <v>1</v>
      </c>
      <c r="M1693" s="2">
        <f t="shared" si="339"/>
        <v>0</v>
      </c>
      <c r="N1693" s="2">
        <f t="shared" si="340"/>
        <v>1</v>
      </c>
      <c r="O1693" s="2">
        <f t="shared" si="341"/>
        <v>0</v>
      </c>
      <c r="P1693" s="112">
        <f t="shared" si="342"/>
        <v>2</v>
      </c>
      <c r="Q1693" s="112">
        <f t="shared" si="343"/>
        <v>0</v>
      </c>
      <c r="R1693" s="53"/>
      <c r="S1693" s="53" t="str">
        <f t="shared" si="344"/>
        <v>Characters|Characters Red Parallel|C-42|Red</v>
      </c>
      <c r="T1693" s="57" t="str">
        <f>IF($S1693="","",IFERROR(VLOOKUP($S1693,'Pop Estimates (Non-#d)'!$N$2:$O$500,2,FALSE),""))</f>
        <v/>
      </c>
      <c r="U1693" s="57" t="str">
        <f t="shared" si="345"/>
        <v/>
      </c>
      <c r="V1693" s="53" t="str">
        <f t="shared" si="346"/>
        <v>Shockwave</v>
      </c>
      <c r="W1693" s="53" t="str">
        <f t="shared" si="347"/>
        <v>Shockwave</v>
      </c>
      <c r="X1693" s="53" t="str">
        <f t="shared" si="348"/>
        <v>Shockwave</v>
      </c>
      <c r="Y1693" s="57">
        <f>IF($X1693="","",IFERROR(VLOOKUP($X1693,'Char Popularity'!$A$2:$C$500,2,FALSE),""))</f>
        <v>2</v>
      </c>
      <c r="Z1693" s="56">
        <f>IF($X1693="",1,IFERROR(VLOOKUP($X1693,'Char Popularity'!$A$2:$C$500,3,FALSE),1))</f>
        <v>0.9</v>
      </c>
      <c r="AA1693" s="62">
        <f>IF($H1693&lt;&gt;"Y",0,(IF($F1693&lt;&gt;"",ROUND(Dashboard!$R$4/$F1693,1),IF(AND($I1693="Base",$E1693="Base"),Dashboard!$R$5,IF(AND($I1693="Base",$E1693="Red"),Dashboard!$R$6,IF(AND($I1693="Base",$E1693="Gold"),Dashboard!$R$7,VLOOKUP($I1693,Dashboard!$Q$16:$R$21,2,FALSE)))))*VLOOKUP($I1693,Dashboard!$Q$9:$R$13,2,FALSE)*IF(AND($I1693="Auto",$F1693="",OR($B1693="Autographs Duals",$B1693="Autographs Triples",$B1693="Autographs Quads",$B1693="Autographs Quads (Inscribed)")),IF($B1693="Autographs Duals",2,IF($B1693="Autographs Triples",3,4)),1)))</f>
        <v>2</v>
      </c>
      <c r="AB1693" s="62">
        <f t="shared" si="349"/>
        <v>2</v>
      </c>
      <c r="AC1693" s="62">
        <f t="shared" si="350"/>
        <v>0</v>
      </c>
    </row>
    <row r="1694" spans="1:29" ht="28.7" customHeight="1" x14ac:dyDescent="0.25">
      <c r="A1694" s="4" t="s">
        <v>21</v>
      </c>
      <c r="B1694" s="7" t="s">
        <v>87</v>
      </c>
      <c r="C1694" s="2" t="s">
        <v>1263</v>
      </c>
      <c r="D1694" s="7" t="s">
        <v>542</v>
      </c>
      <c r="E1694" s="4" t="s">
        <v>823</v>
      </c>
      <c r="F1694" s="2"/>
      <c r="G1694" s="2" t="s">
        <v>1399</v>
      </c>
      <c r="H1694" s="2" t="s">
        <v>1400</v>
      </c>
      <c r="I1694" s="4" t="s">
        <v>60</v>
      </c>
      <c r="J1694" s="112">
        <f>IF($H1694&lt;&gt;"Y",0,ROUND(MIN(Dashboard!$R$24,IF(IFERROR(VLOOKUP($B1694,Dashboard!$Q$28:$S$60,2,FALSE),0)&gt;0,IFERROR(VLOOKUP($B1694,Dashboard!$Q$28:$S$60,2,FALSE),0),$Z1694*IF($U1694&lt;&gt;"",ROUND((Dashboard!$R$4/$U1694)*VLOOKUP($I1694,Dashboard!$Q$9:$R$13,2,FALSE)*IF(ISNUMBER(SEARCH("Duals",$B1694)),2,IF(ISNUMBER(SEARCH("Triples",$B1694)),3,IF(ISNUMBER(SEARCH("Quads",$B1694)),4,1))),2),ROUND(VLOOKUP($I1694,Dashboard!$Q$15:$R$20,2,FALSE)*IF($E1694="Red",Dashboard!$R$6,IF($E1694="Gold",Dashboard!$R$7,Dashboard!$R$5))*IF(ISNUMBER(SEARCH("Duals",$B1694)),2,IF(ISNUMBER(SEARCH("Triples",$B1694)),3,IF(ISNUMBER(SEARCH("Quads",$B1694)),4,1))),2))*IF(IFERROR(VLOOKUP($B1694,Dashboard!$Q$28:$S$60,3,FALSE),0)&gt;0,VLOOKUP($B1694,Dashboard!$Q$28:$S$60,3,FALSE),1))),0))</f>
        <v>2</v>
      </c>
      <c r="K1694" s="2" t="str">
        <f>IF(Characters!D44="","",Characters!D44)</f>
        <v>h</v>
      </c>
      <c r="L1694" s="2">
        <f t="shared" si="338"/>
        <v>1</v>
      </c>
      <c r="M1694" s="2">
        <f t="shared" si="339"/>
        <v>0</v>
      </c>
      <c r="N1694" s="2">
        <f t="shared" si="340"/>
        <v>1</v>
      </c>
      <c r="O1694" s="2">
        <f t="shared" si="341"/>
        <v>0</v>
      </c>
      <c r="P1694" s="112">
        <f t="shared" si="342"/>
        <v>2</v>
      </c>
      <c r="Q1694" s="112">
        <f t="shared" si="343"/>
        <v>0</v>
      </c>
      <c r="R1694" s="53"/>
      <c r="S1694" s="53" t="str">
        <f t="shared" si="344"/>
        <v>Characters|Characters Red Parallel|C-43|Red</v>
      </c>
      <c r="T1694" s="57" t="str">
        <f>IF($S1694="","",IFERROR(VLOOKUP($S1694,'Pop Estimates (Non-#d)'!$N$2:$O$500,2,FALSE),""))</f>
        <v/>
      </c>
      <c r="U1694" s="57" t="str">
        <f t="shared" si="345"/>
        <v/>
      </c>
      <c r="V1694" s="53" t="str">
        <f t="shared" si="346"/>
        <v/>
      </c>
      <c r="W1694" s="53" t="str">
        <f t="shared" si="347"/>
        <v/>
      </c>
      <c r="X1694" s="53" t="str">
        <f t="shared" si="348"/>
        <v/>
      </c>
      <c r="Y1694" s="57" t="str">
        <f>IF($X1694="","",IFERROR(VLOOKUP($X1694,'Char Popularity'!$A$2:$C$500,2,FALSE),""))</f>
        <v/>
      </c>
      <c r="Z1694" s="56">
        <f>IF($X1694="",1,IFERROR(VLOOKUP($X1694,'Char Popularity'!$A$2:$C$500,3,FALSE),1))</f>
        <v>1</v>
      </c>
      <c r="AA1694" s="62">
        <f>IF($H1694&lt;&gt;"Y",0,(IF($F1694&lt;&gt;"",ROUND(Dashboard!$R$4/$F1694,1),IF(AND($I1694="Base",$E1694="Base"),Dashboard!$R$5,IF(AND($I1694="Base",$E1694="Red"),Dashboard!$R$6,IF(AND($I1694="Base",$E1694="Gold"),Dashboard!$R$7,VLOOKUP($I1694,Dashboard!$Q$16:$R$21,2,FALSE)))))*VLOOKUP($I1694,Dashboard!$Q$9:$R$13,2,FALSE)*IF(AND($I1694="Auto",$F1694="",OR($B1694="Autographs Duals",$B1694="Autographs Triples",$B1694="Autographs Quads",$B1694="Autographs Quads (Inscribed)")),IF($B1694="Autographs Duals",2,IF($B1694="Autographs Triples",3,4)),1)))</f>
        <v>2</v>
      </c>
      <c r="AB1694" s="62">
        <f t="shared" si="349"/>
        <v>2</v>
      </c>
      <c r="AC1694" s="62">
        <f t="shared" si="350"/>
        <v>0</v>
      </c>
    </row>
    <row r="1695" spans="1:29" ht="28.7" customHeight="1" x14ac:dyDescent="0.25">
      <c r="A1695" s="4" t="s">
        <v>21</v>
      </c>
      <c r="B1695" s="7" t="s">
        <v>87</v>
      </c>
      <c r="C1695" s="2" t="s">
        <v>1265</v>
      </c>
      <c r="D1695" s="7" t="s">
        <v>1266</v>
      </c>
      <c r="E1695" s="4" t="s">
        <v>823</v>
      </c>
      <c r="F1695" s="2"/>
      <c r="G1695" s="2" t="s">
        <v>1399</v>
      </c>
      <c r="H1695" s="2" t="s">
        <v>1400</v>
      </c>
      <c r="I1695" s="4" t="s">
        <v>60</v>
      </c>
      <c r="J1695" s="112">
        <f>IF($H1695&lt;&gt;"Y",0,ROUND(MIN(Dashboard!$R$24,IF(IFERROR(VLOOKUP($B1695,Dashboard!$Q$28:$S$60,2,FALSE),0)&gt;0,IFERROR(VLOOKUP($B1695,Dashboard!$Q$28:$S$60,2,FALSE),0),$Z1695*IF($U1695&lt;&gt;"",ROUND((Dashboard!$R$4/$U1695)*VLOOKUP($I1695,Dashboard!$Q$9:$R$13,2,FALSE)*IF(ISNUMBER(SEARCH("Duals",$B1695)),2,IF(ISNUMBER(SEARCH("Triples",$B1695)),3,IF(ISNUMBER(SEARCH("Quads",$B1695)),4,1))),2),ROUND(VLOOKUP($I1695,Dashboard!$Q$15:$R$20,2,FALSE)*IF($E1695="Red",Dashboard!$R$6,IF($E1695="Gold",Dashboard!$R$7,Dashboard!$R$5))*IF(ISNUMBER(SEARCH("Duals",$B1695)),2,IF(ISNUMBER(SEARCH("Triples",$B1695)),3,IF(ISNUMBER(SEARCH("Quads",$B1695)),4,1))),2))*IF(IFERROR(VLOOKUP($B1695,Dashboard!$Q$28:$S$60,3,FALSE),0)&gt;0,VLOOKUP($B1695,Dashboard!$Q$28:$S$60,3,FALSE),1))),0))</f>
        <v>2</v>
      </c>
      <c r="K1695" s="2" t="str">
        <f>IF(Characters!D45="","",Characters!D45)</f>
        <v>h</v>
      </c>
      <c r="L1695" s="2">
        <f t="shared" si="338"/>
        <v>1</v>
      </c>
      <c r="M1695" s="2">
        <f t="shared" si="339"/>
        <v>0</v>
      </c>
      <c r="N1695" s="2">
        <f t="shared" si="340"/>
        <v>1</v>
      </c>
      <c r="O1695" s="2">
        <f t="shared" si="341"/>
        <v>0</v>
      </c>
      <c r="P1695" s="112">
        <f t="shared" si="342"/>
        <v>2</v>
      </c>
      <c r="Q1695" s="112">
        <f t="shared" si="343"/>
        <v>0</v>
      </c>
      <c r="R1695" s="53"/>
      <c r="S1695" s="53" t="str">
        <f t="shared" si="344"/>
        <v>Characters|Characters Red Parallel|C-44|Red</v>
      </c>
      <c r="T1695" s="57" t="str">
        <f>IF($S1695="","",IFERROR(VLOOKUP($S1695,'Pop Estimates (Non-#d)'!$N$2:$O$500,2,FALSE),""))</f>
        <v/>
      </c>
      <c r="U1695" s="57" t="str">
        <f t="shared" si="345"/>
        <v/>
      </c>
      <c r="V1695" s="53" t="str">
        <f t="shared" si="346"/>
        <v>Cindy</v>
      </c>
      <c r="W1695" s="53" t="str">
        <f t="shared" si="347"/>
        <v>Cindy</v>
      </c>
      <c r="X1695" s="53" t="str">
        <f t="shared" si="348"/>
        <v>Cindy</v>
      </c>
      <c r="Y1695" s="57">
        <f>IF($X1695="","",IFERROR(VLOOKUP($X1695,'Char Popularity'!$A$2:$C$500,2,FALSE),""))</f>
        <v>3</v>
      </c>
      <c r="Z1695" s="56">
        <f>IF($X1695="",1,IFERROR(VLOOKUP($X1695,'Char Popularity'!$A$2:$C$500,3,FALSE),1))</f>
        <v>1</v>
      </c>
      <c r="AA1695" s="62">
        <f>IF($H1695&lt;&gt;"Y",0,(IF($F1695&lt;&gt;"",ROUND(Dashboard!$R$4/$F1695,1),IF(AND($I1695="Base",$E1695="Base"),Dashboard!$R$5,IF(AND($I1695="Base",$E1695="Red"),Dashboard!$R$6,IF(AND($I1695="Base",$E1695="Gold"),Dashboard!$R$7,VLOOKUP($I1695,Dashboard!$Q$16:$R$21,2,FALSE)))))*VLOOKUP($I1695,Dashboard!$Q$9:$R$13,2,FALSE)*IF(AND($I1695="Auto",$F1695="",OR($B1695="Autographs Duals",$B1695="Autographs Triples",$B1695="Autographs Quads",$B1695="Autographs Quads (Inscribed)")),IF($B1695="Autographs Duals",2,IF($B1695="Autographs Triples",3,4)),1)))</f>
        <v>2</v>
      </c>
      <c r="AB1695" s="62">
        <f t="shared" si="349"/>
        <v>2</v>
      </c>
      <c r="AC1695" s="62">
        <f t="shared" si="350"/>
        <v>0</v>
      </c>
    </row>
    <row r="1696" spans="1:29" ht="28.7" customHeight="1" x14ac:dyDescent="0.25">
      <c r="A1696" s="4" t="s">
        <v>21</v>
      </c>
      <c r="B1696" s="7" t="s">
        <v>87</v>
      </c>
      <c r="C1696" s="2" t="s">
        <v>431</v>
      </c>
      <c r="D1696" s="7" t="s">
        <v>234</v>
      </c>
      <c r="E1696" s="4" t="s">
        <v>823</v>
      </c>
      <c r="F1696" s="2"/>
      <c r="G1696" s="2" t="s">
        <v>1399</v>
      </c>
      <c r="H1696" s="2" t="s">
        <v>1400</v>
      </c>
      <c r="I1696" s="4" t="s">
        <v>60</v>
      </c>
      <c r="J1696" s="112">
        <f>IF($H1696&lt;&gt;"Y",0,ROUND(MIN(Dashboard!$R$24,IF(IFERROR(VLOOKUP($B1696,Dashboard!$Q$28:$S$60,2,FALSE),0)&gt;0,IFERROR(VLOOKUP($B1696,Dashboard!$Q$28:$S$60,2,FALSE),0),$Z1696*IF($U1696&lt;&gt;"",ROUND((Dashboard!$R$4/$U1696)*VLOOKUP($I1696,Dashboard!$Q$9:$R$13,2,FALSE)*IF(ISNUMBER(SEARCH("Duals",$B1696)),2,IF(ISNUMBER(SEARCH("Triples",$B1696)),3,IF(ISNUMBER(SEARCH("Quads",$B1696)),4,1))),2),ROUND(VLOOKUP($I1696,Dashboard!$Q$15:$R$20,2,FALSE)*IF($E1696="Red",Dashboard!$R$6,IF($E1696="Gold",Dashboard!$R$7,Dashboard!$R$5))*IF(ISNUMBER(SEARCH("Duals",$B1696)),2,IF(ISNUMBER(SEARCH("Triples",$B1696)),3,IF(ISNUMBER(SEARCH("Quads",$B1696)),4,1))),2))*IF(IFERROR(VLOOKUP($B1696,Dashboard!$Q$28:$S$60,3,FALSE),0)&gt;0,VLOOKUP($B1696,Dashboard!$Q$28:$S$60,3,FALSE),1))),0))</f>
        <v>2</v>
      </c>
      <c r="K1696" s="2" t="str">
        <f>IF(Characters!D46="","",Characters!D46)</f>
        <v>h</v>
      </c>
      <c r="L1696" s="2">
        <f t="shared" si="338"/>
        <v>1</v>
      </c>
      <c r="M1696" s="2">
        <f t="shared" si="339"/>
        <v>0</v>
      </c>
      <c r="N1696" s="2">
        <f t="shared" si="340"/>
        <v>1</v>
      </c>
      <c r="O1696" s="2">
        <f t="shared" si="341"/>
        <v>0</v>
      </c>
      <c r="P1696" s="112">
        <f t="shared" si="342"/>
        <v>2</v>
      </c>
      <c r="Q1696" s="112">
        <f t="shared" si="343"/>
        <v>0</v>
      </c>
      <c r="R1696" s="53"/>
      <c r="S1696" s="53" t="str">
        <f t="shared" si="344"/>
        <v>Characters|Characters Red Parallel|C-45|Red</v>
      </c>
      <c r="T1696" s="57" t="str">
        <f>IF($S1696="","",IFERROR(VLOOKUP($S1696,'Pop Estimates (Non-#d)'!$N$2:$O$500,2,FALSE),""))</f>
        <v/>
      </c>
      <c r="U1696" s="57" t="str">
        <f t="shared" si="345"/>
        <v/>
      </c>
      <c r="V1696" s="53" t="str">
        <f t="shared" si="346"/>
        <v>Ashley Barrett</v>
      </c>
      <c r="W1696" s="53" t="str">
        <f t="shared" si="347"/>
        <v>Ashley Barrett</v>
      </c>
      <c r="X1696" s="53" t="str">
        <f t="shared" si="348"/>
        <v>Ashley Barrett</v>
      </c>
      <c r="Y1696" s="57">
        <f>IF($X1696="","",IFERROR(VLOOKUP($X1696,'Char Popularity'!$A$2:$C$500,2,FALSE),""))</f>
        <v>3</v>
      </c>
      <c r="Z1696" s="56">
        <f>IF($X1696="",1,IFERROR(VLOOKUP($X1696,'Char Popularity'!$A$2:$C$500,3,FALSE),1))</f>
        <v>1</v>
      </c>
      <c r="AA1696" s="62">
        <f>IF($H1696&lt;&gt;"Y",0,(IF($F1696&lt;&gt;"",ROUND(Dashboard!$R$4/$F1696,1),IF(AND($I1696="Base",$E1696="Base"),Dashboard!$R$5,IF(AND($I1696="Base",$E1696="Red"),Dashboard!$R$6,IF(AND($I1696="Base",$E1696="Gold"),Dashboard!$R$7,VLOOKUP($I1696,Dashboard!$Q$16:$R$21,2,FALSE)))))*VLOOKUP($I1696,Dashboard!$Q$9:$R$13,2,FALSE)*IF(AND($I1696="Auto",$F1696="",OR($B1696="Autographs Duals",$B1696="Autographs Triples",$B1696="Autographs Quads",$B1696="Autographs Quads (Inscribed)")),IF($B1696="Autographs Duals",2,IF($B1696="Autographs Triples",3,4)),1)))</f>
        <v>2</v>
      </c>
      <c r="AB1696" s="62">
        <f t="shared" si="349"/>
        <v>2</v>
      </c>
      <c r="AC1696" s="62">
        <f t="shared" si="350"/>
        <v>0</v>
      </c>
    </row>
    <row r="1697" spans="1:29" ht="28.7" customHeight="1" x14ac:dyDescent="0.25">
      <c r="A1697" s="4" t="s">
        <v>21</v>
      </c>
      <c r="B1697" s="7" t="s">
        <v>87</v>
      </c>
      <c r="C1697" s="2" t="s">
        <v>432</v>
      </c>
      <c r="D1697" s="7" t="s">
        <v>248</v>
      </c>
      <c r="E1697" s="4" t="s">
        <v>823</v>
      </c>
      <c r="F1697" s="2"/>
      <c r="G1697" s="2" t="s">
        <v>1399</v>
      </c>
      <c r="H1697" s="2" t="s">
        <v>1400</v>
      </c>
      <c r="I1697" s="4" t="s">
        <v>60</v>
      </c>
      <c r="J1697" s="112">
        <f>IF($H1697&lt;&gt;"Y",0,ROUND(MIN(Dashboard!$R$24,IF(IFERROR(VLOOKUP($B1697,Dashboard!$Q$28:$S$60,2,FALSE),0)&gt;0,IFERROR(VLOOKUP($B1697,Dashboard!$Q$28:$S$60,2,FALSE),0),$Z1697*IF($U1697&lt;&gt;"",ROUND((Dashboard!$R$4/$U1697)*VLOOKUP($I1697,Dashboard!$Q$9:$R$13,2,FALSE)*IF(ISNUMBER(SEARCH("Duals",$B1697)),2,IF(ISNUMBER(SEARCH("Triples",$B1697)),3,IF(ISNUMBER(SEARCH("Quads",$B1697)),4,1))),2),ROUND(VLOOKUP($I1697,Dashboard!$Q$15:$R$20,2,FALSE)*IF($E1697="Red",Dashboard!$R$6,IF($E1697="Gold",Dashboard!$R$7,Dashboard!$R$5))*IF(ISNUMBER(SEARCH("Duals",$B1697)),2,IF(ISNUMBER(SEARCH("Triples",$B1697)),3,IF(ISNUMBER(SEARCH("Quads",$B1697)),4,1))),2))*IF(IFERROR(VLOOKUP($B1697,Dashboard!$Q$28:$S$60,3,FALSE),0)&gt;0,VLOOKUP($B1697,Dashboard!$Q$28:$S$60,3,FALSE),1))),0))</f>
        <v>2</v>
      </c>
      <c r="K1697" s="2" t="str">
        <f>IF(Characters!D47="","",Characters!D47)</f>
        <v>h</v>
      </c>
      <c r="L1697" s="2">
        <f t="shared" si="338"/>
        <v>1</v>
      </c>
      <c r="M1697" s="2">
        <f t="shared" si="339"/>
        <v>0</v>
      </c>
      <c r="N1697" s="2">
        <f t="shared" si="340"/>
        <v>1</v>
      </c>
      <c r="O1697" s="2">
        <f t="shared" si="341"/>
        <v>0</v>
      </c>
      <c r="P1697" s="112">
        <f t="shared" si="342"/>
        <v>2</v>
      </c>
      <c r="Q1697" s="112">
        <f t="shared" si="343"/>
        <v>0</v>
      </c>
      <c r="R1697" s="53"/>
      <c r="S1697" s="53" t="str">
        <f t="shared" si="344"/>
        <v>Characters|Characters Red Parallel|C-46|Red</v>
      </c>
      <c r="T1697" s="57" t="str">
        <f>IF($S1697="","",IFERROR(VLOOKUP($S1697,'Pop Estimates (Non-#d)'!$N$2:$O$500,2,FALSE),""))</f>
        <v/>
      </c>
      <c r="U1697" s="57" t="str">
        <f t="shared" si="345"/>
        <v/>
      </c>
      <c r="V1697" s="53" t="str">
        <f t="shared" si="346"/>
        <v>Starlight</v>
      </c>
      <c r="W1697" s="53" t="str">
        <f t="shared" si="347"/>
        <v>Starlight</v>
      </c>
      <c r="X1697" s="53" t="str">
        <f t="shared" si="348"/>
        <v>Starlight</v>
      </c>
      <c r="Y1697" s="57">
        <f>IF($X1697="","",IFERROR(VLOOKUP($X1697,'Char Popularity'!$A$2:$C$500,2,FALSE),""))</f>
        <v>5</v>
      </c>
      <c r="Z1697" s="56">
        <f>IF($X1697="",1,IFERROR(VLOOKUP($X1697,'Char Popularity'!$A$2:$C$500,3,FALSE),1))</f>
        <v>1.2</v>
      </c>
      <c r="AA1697" s="62">
        <f>IF($H1697&lt;&gt;"Y",0,(IF($F1697&lt;&gt;"",ROUND(Dashboard!$R$4/$F1697,1),IF(AND($I1697="Base",$E1697="Base"),Dashboard!$R$5,IF(AND($I1697="Base",$E1697="Red"),Dashboard!$R$6,IF(AND($I1697="Base",$E1697="Gold"),Dashboard!$R$7,VLOOKUP($I1697,Dashboard!$Q$16:$R$21,2,FALSE)))))*VLOOKUP($I1697,Dashboard!$Q$9:$R$13,2,FALSE)*IF(AND($I1697="Auto",$F1697="",OR($B1697="Autographs Duals",$B1697="Autographs Triples",$B1697="Autographs Quads",$B1697="Autographs Quads (Inscribed)")),IF($B1697="Autographs Duals",2,IF($B1697="Autographs Triples",3,4)),1)))</f>
        <v>2</v>
      </c>
      <c r="AB1697" s="62">
        <f t="shared" si="349"/>
        <v>2</v>
      </c>
      <c r="AC1697" s="62">
        <f t="shared" si="350"/>
        <v>0</v>
      </c>
    </row>
    <row r="1698" spans="1:29" ht="28.7" customHeight="1" x14ac:dyDescent="0.25">
      <c r="A1698" s="4" t="s">
        <v>21</v>
      </c>
      <c r="B1698" s="7" t="s">
        <v>87</v>
      </c>
      <c r="C1698" s="2" t="s">
        <v>433</v>
      </c>
      <c r="D1698" s="7" t="s">
        <v>222</v>
      </c>
      <c r="E1698" s="4" t="s">
        <v>823</v>
      </c>
      <c r="F1698" s="2"/>
      <c r="G1698" s="2" t="s">
        <v>1399</v>
      </c>
      <c r="H1698" s="2" t="s">
        <v>1400</v>
      </c>
      <c r="I1698" s="4" t="s">
        <v>60</v>
      </c>
      <c r="J1698" s="112">
        <f>IF($H1698&lt;&gt;"Y",0,ROUND(MIN(Dashboard!$R$24,IF(IFERROR(VLOOKUP($B1698,Dashboard!$Q$28:$S$60,2,FALSE),0)&gt;0,IFERROR(VLOOKUP($B1698,Dashboard!$Q$28:$S$60,2,FALSE),0),$Z1698*IF($U1698&lt;&gt;"",ROUND((Dashboard!$R$4/$U1698)*VLOOKUP($I1698,Dashboard!$Q$9:$R$13,2,FALSE)*IF(ISNUMBER(SEARCH("Duals",$B1698)),2,IF(ISNUMBER(SEARCH("Triples",$B1698)),3,IF(ISNUMBER(SEARCH("Quads",$B1698)),4,1))),2),ROUND(VLOOKUP($I1698,Dashboard!$Q$15:$R$20,2,FALSE)*IF($E1698="Red",Dashboard!$R$6,IF($E1698="Gold",Dashboard!$R$7,Dashboard!$R$5))*IF(ISNUMBER(SEARCH("Duals",$B1698)),2,IF(ISNUMBER(SEARCH("Triples",$B1698)),3,IF(ISNUMBER(SEARCH("Quads",$B1698)),4,1))),2))*IF(IFERROR(VLOOKUP($B1698,Dashboard!$Q$28:$S$60,3,FALSE),0)&gt;0,VLOOKUP($B1698,Dashboard!$Q$28:$S$60,3,FALSE),1))),0))</f>
        <v>2</v>
      </c>
      <c r="K1698" s="2" t="str">
        <f>IF(Characters!D48="","",Characters!D48)</f>
        <v>h</v>
      </c>
      <c r="L1698" s="2">
        <f t="shared" si="338"/>
        <v>1</v>
      </c>
      <c r="M1698" s="2">
        <f t="shared" si="339"/>
        <v>0</v>
      </c>
      <c r="N1698" s="2">
        <f t="shared" si="340"/>
        <v>1</v>
      </c>
      <c r="O1698" s="2">
        <f t="shared" si="341"/>
        <v>0</v>
      </c>
      <c r="P1698" s="112">
        <f t="shared" si="342"/>
        <v>2</v>
      </c>
      <c r="Q1698" s="112">
        <f t="shared" si="343"/>
        <v>0</v>
      </c>
      <c r="R1698" s="53"/>
      <c r="S1698" s="53" t="str">
        <f t="shared" si="344"/>
        <v>Characters|Characters Red Parallel|C-47|Red</v>
      </c>
      <c r="T1698" s="57" t="str">
        <f>IF($S1698="","",IFERROR(VLOOKUP($S1698,'Pop Estimates (Non-#d)'!$N$2:$O$500,2,FALSE),""))</f>
        <v/>
      </c>
      <c r="U1698" s="57" t="str">
        <f t="shared" si="345"/>
        <v/>
      </c>
      <c r="V1698" s="53" t="str">
        <f t="shared" si="346"/>
        <v>Homelander</v>
      </c>
      <c r="W1698" s="53" t="str">
        <f t="shared" si="347"/>
        <v>Homelander</v>
      </c>
      <c r="X1698" s="53" t="str">
        <f t="shared" si="348"/>
        <v>Homelander</v>
      </c>
      <c r="Y1698" s="57">
        <f>IF($X1698="","",IFERROR(VLOOKUP($X1698,'Char Popularity'!$A$2:$C$500,2,FALSE),""))</f>
        <v>5</v>
      </c>
      <c r="Z1698" s="56">
        <f>IF($X1698="",1,IFERROR(VLOOKUP($X1698,'Char Popularity'!$A$2:$C$500,3,FALSE),1))</f>
        <v>1.2</v>
      </c>
      <c r="AA1698" s="62">
        <f>IF($H1698&lt;&gt;"Y",0,(IF($F1698&lt;&gt;"",ROUND(Dashboard!$R$4/$F1698,1),IF(AND($I1698="Base",$E1698="Base"),Dashboard!$R$5,IF(AND($I1698="Base",$E1698="Red"),Dashboard!$R$6,IF(AND($I1698="Base",$E1698="Gold"),Dashboard!$R$7,VLOOKUP($I1698,Dashboard!$Q$16:$R$21,2,FALSE)))))*VLOOKUP($I1698,Dashboard!$Q$9:$R$13,2,FALSE)*IF(AND($I1698="Auto",$F1698="",OR($B1698="Autographs Duals",$B1698="Autographs Triples",$B1698="Autographs Quads",$B1698="Autographs Quads (Inscribed)")),IF($B1698="Autographs Duals",2,IF($B1698="Autographs Triples",3,4)),1)))</f>
        <v>2</v>
      </c>
      <c r="AB1698" s="62">
        <f t="shared" si="349"/>
        <v>2</v>
      </c>
      <c r="AC1698" s="62">
        <f t="shared" si="350"/>
        <v>0</v>
      </c>
    </row>
    <row r="1699" spans="1:29" ht="28.7" customHeight="1" x14ac:dyDescent="0.25">
      <c r="A1699" s="4" t="s">
        <v>21</v>
      </c>
      <c r="B1699" s="7" t="s">
        <v>87</v>
      </c>
      <c r="C1699" s="2" t="s">
        <v>1269</v>
      </c>
      <c r="D1699" s="7" t="s">
        <v>1601</v>
      </c>
      <c r="E1699" s="4" t="s">
        <v>823</v>
      </c>
      <c r="F1699" s="2"/>
      <c r="G1699" s="2" t="s">
        <v>1399</v>
      </c>
      <c r="H1699" s="2" t="s">
        <v>1400</v>
      </c>
      <c r="I1699" s="4" t="s">
        <v>60</v>
      </c>
      <c r="J1699" s="112">
        <f>IF($H1699&lt;&gt;"Y",0,ROUND(MIN(Dashboard!$R$24,IF(IFERROR(VLOOKUP($B1699,Dashboard!$Q$28:$S$60,2,FALSE),0)&gt;0,IFERROR(VLOOKUP($B1699,Dashboard!$Q$28:$S$60,2,FALSE),0),$Z1699*IF($U1699&lt;&gt;"",ROUND((Dashboard!$R$4/$U1699)*VLOOKUP($I1699,Dashboard!$Q$9:$R$13,2,FALSE)*IF(ISNUMBER(SEARCH("Duals",$B1699)),2,IF(ISNUMBER(SEARCH("Triples",$B1699)),3,IF(ISNUMBER(SEARCH("Quads",$B1699)),4,1))),2),ROUND(VLOOKUP($I1699,Dashboard!$Q$15:$R$20,2,FALSE)*IF($E1699="Red",Dashboard!$R$6,IF($E1699="Gold",Dashboard!$R$7,Dashboard!$R$5))*IF(ISNUMBER(SEARCH("Duals",$B1699)),2,IF(ISNUMBER(SEARCH("Triples",$B1699)),3,IF(ISNUMBER(SEARCH("Quads",$B1699)),4,1))),2))*IF(IFERROR(VLOOKUP($B1699,Dashboard!$Q$28:$S$60,3,FALSE),0)&gt;0,VLOOKUP($B1699,Dashboard!$Q$28:$S$60,3,FALSE),1))),0))</f>
        <v>2</v>
      </c>
      <c r="K1699" s="2" t="str">
        <f>IF(Characters!D49="","",Characters!D49)</f>
        <v>h</v>
      </c>
      <c r="L1699" s="2">
        <f t="shared" si="338"/>
        <v>1</v>
      </c>
      <c r="M1699" s="2">
        <f t="shared" si="339"/>
        <v>0</v>
      </c>
      <c r="N1699" s="2">
        <f t="shared" si="340"/>
        <v>1</v>
      </c>
      <c r="O1699" s="2">
        <f t="shared" si="341"/>
        <v>0</v>
      </c>
      <c r="P1699" s="112">
        <f t="shared" si="342"/>
        <v>2</v>
      </c>
      <c r="Q1699" s="112">
        <f t="shared" si="343"/>
        <v>0</v>
      </c>
      <c r="R1699" s="53"/>
      <c r="S1699" s="53" t="str">
        <f t="shared" si="344"/>
        <v>Characters|Characters Red Parallel|C-48|Red</v>
      </c>
      <c r="T1699" s="57" t="str">
        <f>IF($S1699="","",IFERROR(VLOOKUP($S1699,'Pop Estimates (Non-#d)'!$N$2:$O$500,2,FALSE),""))</f>
        <v/>
      </c>
      <c r="U1699" s="57" t="str">
        <f t="shared" si="345"/>
        <v/>
      </c>
      <c r="V1699" s="53" t="str">
        <f t="shared" si="346"/>
        <v>Gecko</v>
      </c>
      <c r="W1699" s="53" t="str">
        <f t="shared" si="347"/>
        <v>Gecko</v>
      </c>
      <c r="X1699" s="53" t="str">
        <f t="shared" si="348"/>
        <v>Gecko</v>
      </c>
      <c r="Y1699" s="57">
        <f>IF($X1699="","",IFERROR(VLOOKUP($X1699,'Char Popularity'!$A$2:$C$500,2,FALSE),""))</f>
        <v>2</v>
      </c>
      <c r="Z1699" s="56">
        <f>IF($X1699="",1,IFERROR(VLOOKUP($X1699,'Char Popularity'!$A$2:$C$500,3,FALSE),1))</f>
        <v>0.9</v>
      </c>
      <c r="AA1699" s="62">
        <f>IF($H1699&lt;&gt;"Y",0,(IF($F1699&lt;&gt;"",ROUND(Dashboard!$R$4/$F1699,1),IF(AND($I1699="Base",$E1699="Base"),Dashboard!$R$5,IF(AND($I1699="Base",$E1699="Red"),Dashboard!$R$6,IF(AND($I1699="Base",$E1699="Gold"),Dashboard!$R$7,VLOOKUP($I1699,Dashboard!$Q$16:$R$21,2,FALSE)))))*VLOOKUP($I1699,Dashboard!$Q$9:$R$13,2,FALSE)*IF(AND($I1699="Auto",$F1699="",OR($B1699="Autographs Duals",$B1699="Autographs Triples",$B1699="Autographs Quads",$B1699="Autographs Quads (Inscribed)")),IF($B1699="Autographs Duals",2,IF($B1699="Autographs Triples",3,4)),1)))</f>
        <v>2</v>
      </c>
      <c r="AB1699" s="62">
        <f t="shared" si="349"/>
        <v>2</v>
      </c>
      <c r="AC1699" s="62">
        <f t="shared" si="350"/>
        <v>0</v>
      </c>
    </row>
    <row r="1700" spans="1:29" ht="28.7" customHeight="1" x14ac:dyDescent="0.25">
      <c r="A1700" s="4" t="s">
        <v>21</v>
      </c>
      <c r="B1700" s="7" t="s">
        <v>87</v>
      </c>
      <c r="C1700" s="2" t="s">
        <v>1271</v>
      </c>
      <c r="D1700" s="7" t="s">
        <v>1272</v>
      </c>
      <c r="E1700" s="4" t="s">
        <v>823</v>
      </c>
      <c r="F1700" s="2"/>
      <c r="G1700" s="2" t="s">
        <v>1399</v>
      </c>
      <c r="H1700" s="2" t="s">
        <v>1400</v>
      </c>
      <c r="I1700" s="4" t="s">
        <v>60</v>
      </c>
      <c r="J1700" s="112">
        <f>IF($H1700&lt;&gt;"Y",0,ROUND(MIN(Dashboard!$R$24,IF(IFERROR(VLOOKUP($B1700,Dashboard!$Q$28:$S$60,2,FALSE),0)&gt;0,IFERROR(VLOOKUP($B1700,Dashboard!$Q$28:$S$60,2,FALSE),0),$Z1700*IF($U1700&lt;&gt;"",ROUND((Dashboard!$R$4/$U1700)*VLOOKUP($I1700,Dashboard!$Q$9:$R$13,2,FALSE)*IF(ISNUMBER(SEARCH("Duals",$B1700)),2,IF(ISNUMBER(SEARCH("Triples",$B1700)),3,IF(ISNUMBER(SEARCH("Quads",$B1700)),4,1))),2),ROUND(VLOOKUP($I1700,Dashboard!$Q$15:$R$20,2,FALSE)*IF($E1700="Red",Dashboard!$R$6,IF($E1700="Gold",Dashboard!$R$7,Dashboard!$R$5))*IF(ISNUMBER(SEARCH("Duals",$B1700)),2,IF(ISNUMBER(SEARCH("Triples",$B1700)),3,IF(ISNUMBER(SEARCH("Quads",$B1700)),4,1))),2))*IF(IFERROR(VLOOKUP($B1700,Dashboard!$Q$28:$S$60,3,FALSE),0)&gt;0,VLOOKUP($B1700,Dashboard!$Q$28:$S$60,3,FALSE),1))),0))</f>
        <v>2</v>
      </c>
      <c r="K1700" s="2" t="str">
        <f>IF(Characters!D50="","",Characters!D50)</f>
        <v>h</v>
      </c>
      <c r="L1700" s="2">
        <f t="shared" si="338"/>
        <v>1</v>
      </c>
      <c r="M1700" s="2">
        <f t="shared" si="339"/>
        <v>0</v>
      </c>
      <c r="N1700" s="2">
        <f t="shared" si="340"/>
        <v>1</v>
      </c>
      <c r="O1700" s="2">
        <f t="shared" si="341"/>
        <v>0</v>
      </c>
      <c r="P1700" s="112">
        <f t="shared" si="342"/>
        <v>2</v>
      </c>
      <c r="Q1700" s="112">
        <f t="shared" si="343"/>
        <v>0</v>
      </c>
      <c r="R1700" s="53"/>
      <c r="S1700" s="53" t="str">
        <f t="shared" si="344"/>
        <v>Characters|Characters Red Parallel|C-49|Red</v>
      </c>
      <c r="T1700" s="57" t="str">
        <f>IF($S1700="","",IFERROR(VLOOKUP($S1700,'Pop Estimates (Non-#d)'!$N$2:$O$500,2,FALSE),""))</f>
        <v/>
      </c>
      <c r="U1700" s="57" t="str">
        <f t="shared" si="345"/>
        <v/>
      </c>
      <c r="V1700" s="53" t="str">
        <f t="shared" si="346"/>
        <v>Jonah Vogelbaum</v>
      </c>
      <c r="W1700" s="53" t="str">
        <f t="shared" si="347"/>
        <v>Jonah Vogelbaum</v>
      </c>
      <c r="X1700" s="53" t="str">
        <f t="shared" si="348"/>
        <v>Jonah Vogelbaum</v>
      </c>
      <c r="Y1700" s="57">
        <f>IF($X1700="","",IFERROR(VLOOKUP($X1700,'Char Popularity'!$A$2:$C$500,2,FALSE),""))</f>
        <v>3</v>
      </c>
      <c r="Z1700" s="56">
        <f>IF($X1700="",1,IFERROR(VLOOKUP($X1700,'Char Popularity'!$A$2:$C$500,3,FALSE),1))</f>
        <v>1</v>
      </c>
      <c r="AA1700" s="62">
        <f>IF($H1700&lt;&gt;"Y",0,(IF($F1700&lt;&gt;"",ROUND(Dashboard!$R$4/$F1700,1),IF(AND($I1700="Base",$E1700="Base"),Dashboard!$R$5,IF(AND($I1700="Base",$E1700="Red"),Dashboard!$R$6,IF(AND($I1700="Base",$E1700="Gold"),Dashboard!$R$7,VLOOKUP($I1700,Dashboard!$Q$16:$R$21,2,FALSE)))))*VLOOKUP($I1700,Dashboard!$Q$9:$R$13,2,FALSE)*IF(AND($I1700="Auto",$F1700="",OR($B1700="Autographs Duals",$B1700="Autographs Triples",$B1700="Autographs Quads",$B1700="Autographs Quads (Inscribed)")),IF($B1700="Autographs Duals",2,IF($B1700="Autographs Triples",3,4)),1)))</f>
        <v>2</v>
      </c>
      <c r="AB1700" s="62">
        <f t="shared" si="349"/>
        <v>2</v>
      </c>
      <c r="AC1700" s="62">
        <f t="shared" si="350"/>
        <v>0</v>
      </c>
    </row>
    <row r="1701" spans="1:29" ht="28.7" customHeight="1" x14ac:dyDescent="0.25">
      <c r="A1701" s="4" t="s">
        <v>21</v>
      </c>
      <c r="B1701" s="7" t="s">
        <v>87</v>
      </c>
      <c r="C1701" s="2" t="s">
        <v>1273</v>
      </c>
      <c r="D1701" s="7" t="s">
        <v>1274</v>
      </c>
      <c r="E1701" s="4" t="s">
        <v>823</v>
      </c>
      <c r="F1701" s="2"/>
      <c r="G1701" s="2" t="s">
        <v>1399</v>
      </c>
      <c r="H1701" s="2" t="s">
        <v>1400</v>
      </c>
      <c r="I1701" s="4" t="s">
        <v>60</v>
      </c>
      <c r="J1701" s="112">
        <f>IF($H1701&lt;&gt;"Y",0,ROUND(MIN(Dashboard!$R$24,IF(IFERROR(VLOOKUP($B1701,Dashboard!$Q$28:$S$60,2,FALSE),0)&gt;0,IFERROR(VLOOKUP($B1701,Dashboard!$Q$28:$S$60,2,FALSE),0),$Z1701*IF($U1701&lt;&gt;"",ROUND((Dashboard!$R$4/$U1701)*VLOOKUP($I1701,Dashboard!$Q$9:$R$13,2,FALSE)*IF(ISNUMBER(SEARCH("Duals",$B1701)),2,IF(ISNUMBER(SEARCH("Triples",$B1701)),3,IF(ISNUMBER(SEARCH("Quads",$B1701)),4,1))),2),ROUND(VLOOKUP($I1701,Dashboard!$Q$15:$R$20,2,FALSE)*IF($E1701="Red",Dashboard!$R$6,IF($E1701="Gold",Dashboard!$R$7,Dashboard!$R$5))*IF(ISNUMBER(SEARCH("Duals",$B1701)),2,IF(ISNUMBER(SEARCH("Triples",$B1701)),3,IF(ISNUMBER(SEARCH("Quads",$B1701)),4,1))),2))*IF(IFERROR(VLOOKUP($B1701,Dashboard!$Q$28:$S$60,3,FALSE),0)&gt;0,VLOOKUP($B1701,Dashboard!$Q$28:$S$60,3,FALSE),1))),0))</f>
        <v>2</v>
      </c>
      <c r="K1701" s="2" t="str">
        <f>IF(Characters!D51="","",Characters!D51)</f>
        <v>h</v>
      </c>
      <c r="L1701" s="2">
        <f t="shared" si="338"/>
        <v>1</v>
      </c>
      <c r="M1701" s="2">
        <f t="shared" si="339"/>
        <v>0</v>
      </c>
      <c r="N1701" s="2">
        <f t="shared" si="340"/>
        <v>1</v>
      </c>
      <c r="O1701" s="2">
        <f t="shared" si="341"/>
        <v>0</v>
      </c>
      <c r="P1701" s="112">
        <f t="shared" si="342"/>
        <v>2</v>
      </c>
      <c r="Q1701" s="112">
        <f t="shared" si="343"/>
        <v>0</v>
      </c>
      <c r="R1701" s="53"/>
      <c r="S1701" s="53" t="str">
        <f t="shared" si="344"/>
        <v>Characters|Characters Red Parallel|C-50|Red</v>
      </c>
      <c r="T1701" s="57" t="str">
        <f>IF($S1701="","",IFERROR(VLOOKUP($S1701,'Pop Estimates (Non-#d)'!$N$2:$O$500,2,FALSE),""))</f>
        <v/>
      </c>
      <c r="U1701" s="57" t="str">
        <f t="shared" si="345"/>
        <v/>
      </c>
      <c r="V1701" s="53" t="str">
        <f t="shared" si="346"/>
        <v>Doppelganger</v>
      </c>
      <c r="W1701" s="53" t="str">
        <f t="shared" si="347"/>
        <v>Doppelganger</v>
      </c>
      <c r="X1701" s="53" t="str">
        <f t="shared" si="348"/>
        <v>Doppelganger</v>
      </c>
      <c r="Y1701" s="57">
        <f>IF($X1701="","",IFERROR(VLOOKUP($X1701,'Char Popularity'!$A$2:$C$500,2,FALSE),""))</f>
        <v>3</v>
      </c>
      <c r="Z1701" s="56">
        <f>IF($X1701="",1,IFERROR(VLOOKUP($X1701,'Char Popularity'!$A$2:$C$500,3,FALSE),1))</f>
        <v>1</v>
      </c>
      <c r="AA1701" s="62">
        <f>IF($H1701&lt;&gt;"Y",0,(IF($F1701&lt;&gt;"",ROUND(Dashboard!$R$4/$F1701,1),IF(AND($I1701="Base",$E1701="Base"),Dashboard!$R$5,IF(AND($I1701="Base",$E1701="Red"),Dashboard!$R$6,IF(AND($I1701="Base",$E1701="Gold"),Dashboard!$R$7,VLOOKUP($I1701,Dashboard!$Q$16:$R$21,2,FALSE)))))*VLOOKUP($I1701,Dashboard!$Q$9:$R$13,2,FALSE)*IF(AND($I1701="Auto",$F1701="",OR($B1701="Autographs Duals",$B1701="Autographs Triples",$B1701="Autographs Quads",$B1701="Autographs Quads (Inscribed)")),IF($B1701="Autographs Duals",2,IF($B1701="Autographs Triples",3,4)),1)))</f>
        <v>2</v>
      </c>
      <c r="AB1701" s="62">
        <f t="shared" si="349"/>
        <v>2</v>
      </c>
      <c r="AC1701" s="62">
        <f t="shared" si="350"/>
        <v>0</v>
      </c>
    </row>
    <row r="1702" spans="1:29" ht="42.95" customHeight="1" x14ac:dyDescent="0.25">
      <c r="A1702" s="4" t="s">
        <v>21</v>
      </c>
      <c r="B1702" s="7" t="s">
        <v>97</v>
      </c>
      <c r="C1702" s="2" t="s">
        <v>409</v>
      </c>
      <c r="D1702" s="7" t="s">
        <v>263</v>
      </c>
      <c r="E1702" s="4" t="s">
        <v>689</v>
      </c>
      <c r="F1702" s="2">
        <v>7</v>
      </c>
      <c r="G1702" s="2" t="s">
        <v>1399</v>
      </c>
      <c r="H1702" s="2" t="s">
        <v>1400</v>
      </c>
      <c r="I1702" s="4" t="s">
        <v>60</v>
      </c>
      <c r="J1702" s="112">
        <f>IF($H1702&lt;&gt;"Y",0,ROUND(MIN(Dashboard!$R$24,IF(IFERROR(VLOOKUP($B1702,Dashboard!$Q$28:$S$60,2,FALSE),0)&gt;0,IFERROR(VLOOKUP($B1702,Dashboard!$Q$28:$S$60,2,FALSE),0),$Z1702*IF($U1702&lt;&gt;"",ROUND((Dashboard!$R$4/$U1702)*VLOOKUP($I1702,Dashboard!$Q$9:$R$13,2,FALSE)*IF(ISNUMBER(SEARCH("Duals",$B1702)),2,IF(ISNUMBER(SEARCH("Triples",$B1702)),3,IF(ISNUMBER(SEARCH("Quads",$B1702)),4,1))),2),ROUND(VLOOKUP($I1702,Dashboard!$Q$15:$R$20,2,FALSE)*IF($E1702="Red",Dashboard!$R$6,IF($E1702="Gold",Dashboard!$R$7,Dashboard!$R$5))*IF(ISNUMBER(SEARCH("Duals",$B1702)),2,IF(ISNUMBER(SEARCH("Triples",$B1702)),3,IF(ISNUMBER(SEARCH("Quads",$B1702)),4,1))),2))*IF(IFERROR(VLOOKUP($B1702,Dashboard!$Q$28:$S$60,3,FALSE),0)&gt;0,VLOOKUP($B1702,Dashboard!$Q$28:$S$60,3,FALSE),1))),0))</f>
        <v>171</v>
      </c>
      <c r="K1702" s="2" t="str">
        <f>IF(Characters!I2="","",Characters!I2)</f>
        <v/>
      </c>
      <c r="L1702" s="2">
        <f t="shared" si="338"/>
        <v>0</v>
      </c>
      <c r="M1702" s="2">
        <f t="shared" si="339"/>
        <v>0</v>
      </c>
      <c r="N1702" s="2">
        <f t="shared" si="340"/>
        <v>0</v>
      </c>
      <c r="O1702" s="2">
        <f t="shared" si="341"/>
        <v>1</v>
      </c>
      <c r="P1702" s="112">
        <f t="shared" si="342"/>
        <v>0</v>
      </c>
      <c r="Q1702" s="112">
        <f t="shared" si="343"/>
        <v>0</v>
      </c>
      <c r="R1702" s="53"/>
      <c r="S1702" s="53" t="str">
        <f t="shared" si="344"/>
        <v>Characters|Characters The Seven Parallel|C-1|The Seven</v>
      </c>
      <c r="T1702" s="57" t="str">
        <f>IF($S1702="","",IFERROR(VLOOKUP($S1702,'Pop Estimates (Non-#d)'!$N$2:$O$500,2,FALSE),""))</f>
        <v/>
      </c>
      <c r="U1702" s="57">
        <f t="shared" si="345"/>
        <v>7</v>
      </c>
      <c r="V1702" s="53" t="str">
        <f t="shared" si="346"/>
        <v>Hughie Campbell</v>
      </c>
      <c r="W1702" s="53" t="str">
        <f t="shared" si="347"/>
        <v>Hughie Campbell</v>
      </c>
      <c r="X1702" s="53" t="str">
        <f t="shared" si="348"/>
        <v>Hughie Campbell</v>
      </c>
      <c r="Y1702" s="57">
        <f>IF($X1702="","",IFERROR(VLOOKUP($X1702,'Char Popularity'!$A$2:$C$500,2,FALSE),""))</f>
        <v>5</v>
      </c>
      <c r="Z1702" s="56">
        <f>IF($X1702="",1,IFERROR(VLOOKUP($X1702,'Char Popularity'!$A$2:$C$500,3,FALSE),1))</f>
        <v>1.2</v>
      </c>
      <c r="AA1702" s="62">
        <f>IF($H1702&lt;&gt;"Y",0,(IF($F1702&lt;&gt;"",ROUND(Dashboard!$R$4/$F1702,1),IF(AND($I1702="Base",$E1702="Base"),Dashboard!$R$5,IF(AND($I1702="Base",$E1702="Red"),Dashboard!$R$6,IF(AND($I1702="Base",$E1702="Gold"),Dashboard!$R$7,VLOOKUP($I1702,Dashboard!$Q$16:$R$21,2,FALSE)))))*VLOOKUP($I1702,Dashboard!$Q$9:$R$13,2,FALSE)*IF(AND($I1702="Auto",$F1702="",OR($B1702="Autographs Duals",$B1702="Autographs Triples",$B1702="Autographs Quads",$B1702="Autographs Quads (Inscribed)")),IF($B1702="Autographs Duals",2,IF($B1702="Autographs Triples",3,4)),1)))</f>
        <v>142.9</v>
      </c>
      <c r="AB1702" s="62">
        <f t="shared" si="349"/>
        <v>0</v>
      </c>
      <c r="AC1702" s="62">
        <f t="shared" si="350"/>
        <v>0</v>
      </c>
    </row>
    <row r="1703" spans="1:29" ht="42.95" customHeight="1" x14ac:dyDescent="0.25">
      <c r="A1703" s="4" t="s">
        <v>21</v>
      </c>
      <c r="B1703" s="7" t="s">
        <v>97</v>
      </c>
      <c r="C1703" s="2" t="s">
        <v>419</v>
      </c>
      <c r="D1703" s="7" t="s">
        <v>222</v>
      </c>
      <c r="E1703" s="4" t="s">
        <v>689</v>
      </c>
      <c r="F1703" s="2">
        <v>7</v>
      </c>
      <c r="G1703" s="2" t="s">
        <v>1399</v>
      </c>
      <c r="H1703" s="2" t="s">
        <v>1400</v>
      </c>
      <c r="I1703" s="4" t="s">
        <v>60</v>
      </c>
      <c r="J1703" s="112">
        <f>IF($H1703&lt;&gt;"Y",0,ROUND(MIN(Dashboard!$R$24,IF(IFERROR(VLOOKUP($B1703,Dashboard!$Q$28:$S$60,2,FALSE),0)&gt;0,IFERROR(VLOOKUP($B1703,Dashboard!$Q$28:$S$60,2,FALSE),0),$Z1703*IF($U1703&lt;&gt;"",ROUND((Dashboard!$R$4/$U1703)*VLOOKUP($I1703,Dashboard!$Q$9:$R$13,2,FALSE)*IF(ISNUMBER(SEARCH("Duals",$B1703)),2,IF(ISNUMBER(SEARCH("Triples",$B1703)),3,IF(ISNUMBER(SEARCH("Quads",$B1703)),4,1))),2),ROUND(VLOOKUP($I1703,Dashboard!$Q$15:$R$20,2,FALSE)*IF($E1703="Red",Dashboard!$R$6,IF($E1703="Gold",Dashboard!$R$7,Dashboard!$R$5))*IF(ISNUMBER(SEARCH("Duals",$B1703)),2,IF(ISNUMBER(SEARCH("Triples",$B1703)),3,IF(ISNUMBER(SEARCH("Quads",$B1703)),4,1))),2))*IF(IFERROR(VLOOKUP($B1703,Dashboard!$Q$28:$S$60,3,FALSE),0)&gt;0,VLOOKUP($B1703,Dashboard!$Q$28:$S$60,3,FALSE),1))),0))</f>
        <v>171</v>
      </c>
      <c r="K1703" s="2" t="str">
        <f>IF(Characters!I3="","",Characters!I3)</f>
        <v/>
      </c>
      <c r="L1703" s="2">
        <f t="shared" si="338"/>
        <v>0</v>
      </c>
      <c r="M1703" s="2">
        <f t="shared" si="339"/>
        <v>0</v>
      </c>
      <c r="N1703" s="2">
        <f t="shared" si="340"/>
        <v>0</v>
      </c>
      <c r="O1703" s="2">
        <f t="shared" si="341"/>
        <v>1</v>
      </c>
      <c r="P1703" s="112">
        <f t="shared" si="342"/>
        <v>0</v>
      </c>
      <c r="Q1703" s="112">
        <f t="shared" si="343"/>
        <v>0</v>
      </c>
      <c r="R1703" s="53"/>
      <c r="S1703" s="53" t="str">
        <f t="shared" si="344"/>
        <v>Characters|Characters The Seven Parallel|C-2|The Seven</v>
      </c>
      <c r="T1703" s="57" t="str">
        <f>IF($S1703="","",IFERROR(VLOOKUP($S1703,'Pop Estimates (Non-#d)'!$N$2:$O$500,2,FALSE),""))</f>
        <v/>
      </c>
      <c r="U1703" s="57">
        <f t="shared" si="345"/>
        <v>7</v>
      </c>
      <c r="V1703" s="53" t="str">
        <f t="shared" si="346"/>
        <v>Homelander</v>
      </c>
      <c r="W1703" s="53" t="str">
        <f t="shared" si="347"/>
        <v>Homelander</v>
      </c>
      <c r="X1703" s="53" t="str">
        <f t="shared" si="348"/>
        <v>Homelander</v>
      </c>
      <c r="Y1703" s="57">
        <f>IF($X1703="","",IFERROR(VLOOKUP($X1703,'Char Popularity'!$A$2:$C$500,2,FALSE),""))</f>
        <v>5</v>
      </c>
      <c r="Z1703" s="56">
        <f>IF($X1703="",1,IFERROR(VLOOKUP($X1703,'Char Popularity'!$A$2:$C$500,3,FALSE),1))</f>
        <v>1.2</v>
      </c>
      <c r="AA1703" s="62">
        <f>IF($H1703&lt;&gt;"Y",0,(IF($F1703&lt;&gt;"",ROUND(Dashboard!$R$4/$F1703,1),IF(AND($I1703="Base",$E1703="Base"),Dashboard!$R$5,IF(AND($I1703="Base",$E1703="Red"),Dashboard!$R$6,IF(AND($I1703="Base",$E1703="Gold"),Dashboard!$R$7,VLOOKUP($I1703,Dashboard!$Q$16:$R$21,2,FALSE)))))*VLOOKUP($I1703,Dashboard!$Q$9:$R$13,2,FALSE)*IF(AND($I1703="Auto",$F1703="",OR($B1703="Autographs Duals",$B1703="Autographs Triples",$B1703="Autographs Quads",$B1703="Autographs Quads (Inscribed)")),IF($B1703="Autographs Duals",2,IF($B1703="Autographs Triples",3,4)),1)))</f>
        <v>142.9</v>
      </c>
      <c r="AB1703" s="62">
        <f t="shared" si="349"/>
        <v>0</v>
      </c>
      <c r="AC1703" s="62">
        <f t="shared" si="350"/>
        <v>0</v>
      </c>
    </row>
    <row r="1704" spans="1:29" ht="42.95" customHeight="1" x14ac:dyDescent="0.25">
      <c r="A1704" s="4" t="s">
        <v>21</v>
      </c>
      <c r="B1704" s="7" t="s">
        <v>97</v>
      </c>
      <c r="C1704" s="2" t="s">
        <v>425</v>
      </c>
      <c r="D1704" s="7" t="s">
        <v>274</v>
      </c>
      <c r="E1704" s="4" t="s">
        <v>689</v>
      </c>
      <c r="F1704" s="2">
        <v>7</v>
      </c>
      <c r="G1704" s="2" t="s">
        <v>1399</v>
      </c>
      <c r="H1704" s="2" t="s">
        <v>1400</v>
      </c>
      <c r="I1704" s="4" t="s">
        <v>60</v>
      </c>
      <c r="J1704" s="112">
        <f>IF($H1704&lt;&gt;"Y",0,ROUND(MIN(Dashboard!$R$24,IF(IFERROR(VLOOKUP($B1704,Dashboard!$Q$28:$S$60,2,FALSE),0)&gt;0,IFERROR(VLOOKUP($B1704,Dashboard!$Q$28:$S$60,2,FALSE),0),$Z1704*IF($U1704&lt;&gt;"",ROUND((Dashboard!$R$4/$U1704)*VLOOKUP($I1704,Dashboard!$Q$9:$R$13,2,FALSE)*IF(ISNUMBER(SEARCH("Duals",$B1704)),2,IF(ISNUMBER(SEARCH("Triples",$B1704)),3,IF(ISNUMBER(SEARCH("Quads",$B1704)),4,1))),2),ROUND(VLOOKUP($I1704,Dashboard!$Q$15:$R$20,2,FALSE)*IF($E1704="Red",Dashboard!$R$6,IF($E1704="Gold",Dashboard!$R$7,Dashboard!$R$5))*IF(ISNUMBER(SEARCH("Duals",$B1704)),2,IF(ISNUMBER(SEARCH("Triples",$B1704)),3,IF(ISNUMBER(SEARCH("Quads",$B1704)),4,1))),2))*IF(IFERROR(VLOOKUP($B1704,Dashboard!$Q$28:$S$60,3,FALSE),0)&gt;0,VLOOKUP($B1704,Dashboard!$Q$28:$S$60,3,FALSE),1))),0))</f>
        <v>171</v>
      </c>
      <c r="K1704" s="2" t="str">
        <f>IF(Characters!I4="","",Characters!I4)</f>
        <v/>
      </c>
      <c r="L1704" s="2">
        <f t="shared" si="338"/>
        <v>0</v>
      </c>
      <c r="M1704" s="2">
        <f t="shared" si="339"/>
        <v>0</v>
      </c>
      <c r="N1704" s="2">
        <f t="shared" si="340"/>
        <v>0</v>
      </c>
      <c r="O1704" s="2">
        <f t="shared" si="341"/>
        <v>1</v>
      </c>
      <c r="P1704" s="112">
        <f t="shared" si="342"/>
        <v>0</v>
      </c>
      <c r="Q1704" s="112">
        <f t="shared" si="343"/>
        <v>0</v>
      </c>
      <c r="R1704" s="53"/>
      <c r="S1704" s="53" t="str">
        <f t="shared" si="344"/>
        <v>Characters|Characters The Seven Parallel|C-3|The Seven</v>
      </c>
      <c r="T1704" s="57" t="str">
        <f>IF($S1704="","",IFERROR(VLOOKUP($S1704,'Pop Estimates (Non-#d)'!$N$2:$O$500,2,FALSE),""))</f>
        <v/>
      </c>
      <c r="U1704" s="57">
        <f t="shared" si="345"/>
        <v>7</v>
      </c>
      <c r="V1704" s="53" t="str">
        <f t="shared" si="346"/>
        <v>Billy Butcher</v>
      </c>
      <c r="W1704" s="53" t="str">
        <f t="shared" si="347"/>
        <v>Billy Butcher</v>
      </c>
      <c r="X1704" s="53" t="str">
        <f t="shared" si="348"/>
        <v>Billy Butcher</v>
      </c>
      <c r="Y1704" s="57">
        <f>IF($X1704="","",IFERROR(VLOOKUP($X1704,'Char Popularity'!$A$2:$C$500,2,FALSE),""))</f>
        <v>5</v>
      </c>
      <c r="Z1704" s="56">
        <f>IF($X1704="",1,IFERROR(VLOOKUP($X1704,'Char Popularity'!$A$2:$C$500,3,FALSE),1))</f>
        <v>1.2</v>
      </c>
      <c r="AA1704" s="62">
        <f>IF($H1704&lt;&gt;"Y",0,(IF($F1704&lt;&gt;"",ROUND(Dashboard!$R$4/$F1704,1),IF(AND($I1704="Base",$E1704="Base"),Dashboard!$R$5,IF(AND($I1704="Base",$E1704="Red"),Dashboard!$R$6,IF(AND($I1704="Base",$E1704="Gold"),Dashboard!$R$7,VLOOKUP($I1704,Dashboard!$Q$16:$R$21,2,FALSE)))))*VLOOKUP($I1704,Dashboard!$Q$9:$R$13,2,FALSE)*IF(AND($I1704="Auto",$F1704="",OR($B1704="Autographs Duals",$B1704="Autographs Triples",$B1704="Autographs Quads",$B1704="Autographs Quads (Inscribed)")),IF($B1704="Autographs Duals",2,IF($B1704="Autographs Triples",3,4)),1)))</f>
        <v>142.9</v>
      </c>
      <c r="AB1704" s="62">
        <f t="shared" si="349"/>
        <v>0</v>
      </c>
      <c r="AC1704" s="62">
        <f t="shared" si="350"/>
        <v>0</v>
      </c>
    </row>
    <row r="1705" spans="1:29" ht="42.95" customHeight="1" x14ac:dyDescent="0.25">
      <c r="A1705" s="4" t="s">
        <v>21</v>
      </c>
      <c r="B1705" s="7" t="s">
        <v>97</v>
      </c>
      <c r="C1705" s="2" t="s">
        <v>428</v>
      </c>
      <c r="D1705" s="7" t="s">
        <v>248</v>
      </c>
      <c r="E1705" s="4" t="s">
        <v>689</v>
      </c>
      <c r="F1705" s="2">
        <v>7</v>
      </c>
      <c r="G1705" s="2" t="s">
        <v>1399</v>
      </c>
      <c r="H1705" s="2" t="s">
        <v>1400</v>
      </c>
      <c r="I1705" s="4" t="s">
        <v>60</v>
      </c>
      <c r="J1705" s="112">
        <f>IF($H1705&lt;&gt;"Y",0,ROUND(MIN(Dashboard!$R$24,IF(IFERROR(VLOOKUP($B1705,Dashboard!$Q$28:$S$60,2,FALSE),0)&gt;0,IFERROR(VLOOKUP($B1705,Dashboard!$Q$28:$S$60,2,FALSE),0),$Z1705*IF($U1705&lt;&gt;"",ROUND((Dashboard!$R$4/$U1705)*VLOOKUP($I1705,Dashboard!$Q$9:$R$13,2,FALSE)*IF(ISNUMBER(SEARCH("Duals",$B1705)),2,IF(ISNUMBER(SEARCH("Triples",$B1705)),3,IF(ISNUMBER(SEARCH("Quads",$B1705)),4,1))),2),ROUND(VLOOKUP($I1705,Dashboard!$Q$15:$R$20,2,FALSE)*IF($E1705="Red",Dashboard!$R$6,IF($E1705="Gold",Dashboard!$R$7,Dashboard!$R$5))*IF(ISNUMBER(SEARCH("Duals",$B1705)),2,IF(ISNUMBER(SEARCH("Triples",$B1705)),3,IF(ISNUMBER(SEARCH("Quads",$B1705)),4,1))),2))*IF(IFERROR(VLOOKUP($B1705,Dashboard!$Q$28:$S$60,3,FALSE),0)&gt;0,VLOOKUP($B1705,Dashboard!$Q$28:$S$60,3,FALSE),1))),0))</f>
        <v>171</v>
      </c>
      <c r="K1705" s="2" t="str">
        <f>IF(Characters!I5="","",Characters!I5)</f>
        <v/>
      </c>
      <c r="L1705" s="2">
        <f t="shared" si="338"/>
        <v>0</v>
      </c>
      <c r="M1705" s="2">
        <f t="shared" si="339"/>
        <v>0</v>
      </c>
      <c r="N1705" s="2">
        <f t="shared" si="340"/>
        <v>0</v>
      </c>
      <c r="O1705" s="2">
        <f t="shared" si="341"/>
        <v>1</v>
      </c>
      <c r="P1705" s="112">
        <f t="shared" si="342"/>
        <v>0</v>
      </c>
      <c r="Q1705" s="112">
        <f t="shared" si="343"/>
        <v>0</v>
      </c>
      <c r="R1705" s="53"/>
      <c r="S1705" s="53" t="str">
        <f t="shared" si="344"/>
        <v>Characters|Characters The Seven Parallel|C-4|The Seven</v>
      </c>
      <c r="T1705" s="57" t="str">
        <f>IF($S1705="","",IFERROR(VLOOKUP($S1705,'Pop Estimates (Non-#d)'!$N$2:$O$500,2,FALSE),""))</f>
        <v/>
      </c>
      <c r="U1705" s="57">
        <f t="shared" si="345"/>
        <v>7</v>
      </c>
      <c r="V1705" s="53" t="str">
        <f t="shared" si="346"/>
        <v>Starlight</v>
      </c>
      <c r="W1705" s="53" t="str">
        <f t="shared" si="347"/>
        <v>Starlight</v>
      </c>
      <c r="X1705" s="53" t="str">
        <f t="shared" si="348"/>
        <v>Starlight</v>
      </c>
      <c r="Y1705" s="57">
        <f>IF($X1705="","",IFERROR(VLOOKUP($X1705,'Char Popularity'!$A$2:$C$500,2,FALSE),""))</f>
        <v>5</v>
      </c>
      <c r="Z1705" s="56">
        <f>IF($X1705="",1,IFERROR(VLOOKUP($X1705,'Char Popularity'!$A$2:$C$500,3,FALSE),1))</f>
        <v>1.2</v>
      </c>
      <c r="AA1705" s="62">
        <f>IF($H1705&lt;&gt;"Y",0,(IF($F1705&lt;&gt;"",ROUND(Dashboard!$R$4/$F1705,1),IF(AND($I1705="Base",$E1705="Base"),Dashboard!$R$5,IF(AND($I1705="Base",$E1705="Red"),Dashboard!$R$6,IF(AND($I1705="Base",$E1705="Gold"),Dashboard!$R$7,VLOOKUP($I1705,Dashboard!$Q$16:$R$21,2,FALSE)))))*VLOOKUP($I1705,Dashboard!$Q$9:$R$13,2,FALSE)*IF(AND($I1705="Auto",$F1705="",OR($B1705="Autographs Duals",$B1705="Autographs Triples",$B1705="Autographs Quads",$B1705="Autographs Quads (Inscribed)")),IF($B1705="Autographs Duals",2,IF($B1705="Autographs Triples",3,4)),1)))</f>
        <v>142.9</v>
      </c>
      <c r="AB1705" s="62">
        <f t="shared" si="349"/>
        <v>0</v>
      </c>
      <c r="AC1705" s="62">
        <f t="shared" si="350"/>
        <v>0</v>
      </c>
    </row>
    <row r="1706" spans="1:29" ht="42.95" customHeight="1" x14ac:dyDescent="0.25">
      <c r="A1706" s="4" t="s">
        <v>21</v>
      </c>
      <c r="B1706" s="7" t="s">
        <v>97</v>
      </c>
      <c r="C1706" s="2" t="s">
        <v>434</v>
      </c>
      <c r="D1706" s="7" t="s">
        <v>267</v>
      </c>
      <c r="E1706" s="4" t="s">
        <v>689</v>
      </c>
      <c r="F1706" s="2">
        <v>7</v>
      </c>
      <c r="G1706" s="2" t="s">
        <v>1399</v>
      </c>
      <c r="H1706" s="2" t="s">
        <v>1400</v>
      </c>
      <c r="I1706" s="4" t="s">
        <v>60</v>
      </c>
      <c r="J1706" s="112">
        <f>IF($H1706&lt;&gt;"Y",0,ROUND(MIN(Dashboard!$R$24,IF(IFERROR(VLOOKUP($B1706,Dashboard!$Q$28:$S$60,2,FALSE),0)&gt;0,IFERROR(VLOOKUP($B1706,Dashboard!$Q$28:$S$60,2,FALSE),0),$Z1706*IF($U1706&lt;&gt;"",ROUND((Dashboard!$R$4/$U1706)*VLOOKUP($I1706,Dashboard!$Q$9:$R$13,2,FALSE)*IF(ISNUMBER(SEARCH("Duals",$B1706)),2,IF(ISNUMBER(SEARCH("Triples",$B1706)),3,IF(ISNUMBER(SEARCH("Quads",$B1706)),4,1))),2),ROUND(VLOOKUP($I1706,Dashboard!$Q$15:$R$20,2,FALSE)*IF($E1706="Red",Dashboard!$R$6,IF($E1706="Gold",Dashboard!$R$7,Dashboard!$R$5))*IF(ISNUMBER(SEARCH("Duals",$B1706)),2,IF(ISNUMBER(SEARCH("Triples",$B1706)),3,IF(ISNUMBER(SEARCH("Quads",$B1706)),4,1))),2))*IF(IFERROR(VLOOKUP($B1706,Dashboard!$Q$28:$S$60,3,FALSE),0)&gt;0,VLOOKUP($B1706,Dashboard!$Q$28:$S$60,3,FALSE),1))),0))</f>
        <v>157</v>
      </c>
      <c r="K1706" s="2" t="str">
        <f>IF(Characters!I6="","",Characters!I6)</f>
        <v/>
      </c>
      <c r="L1706" s="2">
        <f t="shared" si="338"/>
        <v>0</v>
      </c>
      <c r="M1706" s="2">
        <f t="shared" si="339"/>
        <v>0</v>
      </c>
      <c r="N1706" s="2">
        <f t="shared" si="340"/>
        <v>0</v>
      </c>
      <c r="O1706" s="2">
        <f t="shared" si="341"/>
        <v>1</v>
      </c>
      <c r="P1706" s="112">
        <f t="shared" si="342"/>
        <v>0</v>
      </c>
      <c r="Q1706" s="112">
        <f t="shared" si="343"/>
        <v>0</v>
      </c>
      <c r="R1706" s="53"/>
      <c r="S1706" s="53" t="str">
        <f t="shared" si="344"/>
        <v>Characters|Characters The Seven Parallel|C-5|The Seven</v>
      </c>
      <c r="T1706" s="57" t="str">
        <f>IF($S1706="","",IFERROR(VLOOKUP($S1706,'Pop Estimates (Non-#d)'!$N$2:$O$500,2,FALSE),""))</f>
        <v/>
      </c>
      <c r="U1706" s="57">
        <f t="shared" si="345"/>
        <v>7</v>
      </c>
      <c r="V1706" s="53" t="str">
        <f t="shared" si="346"/>
        <v>A-Train</v>
      </c>
      <c r="W1706" s="53" t="str">
        <f t="shared" si="347"/>
        <v>A-Train</v>
      </c>
      <c r="X1706" s="53" t="str">
        <f t="shared" si="348"/>
        <v>A-Train</v>
      </c>
      <c r="Y1706" s="57">
        <f>IF($X1706="","",IFERROR(VLOOKUP($X1706,'Char Popularity'!$A$2:$C$500,2,FALSE),""))</f>
        <v>4</v>
      </c>
      <c r="Z1706" s="56">
        <f>IF($X1706="",1,IFERROR(VLOOKUP($X1706,'Char Popularity'!$A$2:$C$500,3,FALSE),1))</f>
        <v>1.1000000000000001</v>
      </c>
      <c r="AA1706" s="62">
        <f>IF($H1706&lt;&gt;"Y",0,(IF($F1706&lt;&gt;"",ROUND(Dashboard!$R$4/$F1706,1),IF(AND($I1706="Base",$E1706="Base"),Dashboard!$R$5,IF(AND($I1706="Base",$E1706="Red"),Dashboard!$R$6,IF(AND($I1706="Base",$E1706="Gold"),Dashboard!$R$7,VLOOKUP($I1706,Dashboard!$Q$16:$R$21,2,FALSE)))))*VLOOKUP($I1706,Dashboard!$Q$9:$R$13,2,FALSE)*IF(AND($I1706="Auto",$F1706="",OR($B1706="Autographs Duals",$B1706="Autographs Triples",$B1706="Autographs Quads",$B1706="Autographs Quads (Inscribed)")),IF($B1706="Autographs Duals",2,IF($B1706="Autographs Triples",3,4)),1)))</f>
        <v>142.9</v>
      </c>
      <c r="AB1706" s="62">
        <f t="shared" si="349"/>
        <v>0</v>
      </c>
      <c r="AC1706" s="62">
        <f t="shared" si="350"/>
        <v>0</v>
      </c>
    </row>
    <row r="1707" spans="1:29" ht="42.95" customHeight="1" x14ac:dyDescent="0.25">
      <c r="A1707" s="4" t="s">
        <v>21</v>
      </c>
      <c r="B1707" s="7" t="s">
        <v>97</v>
      </c>
      <c r="C1707" s="2" t="s">
        <v>435</v>
      </c>
      <c r="D1707" s="7" t="s">
        <v>250</v>
      </c>
      <c r="E1707" s="4" t="s">
        <v>689</v>
      </c>
      <c r="F1707" s="2">
        <v>7</v>
      </c>
      <c r="G1707" s="2" t="s">
        <v>1399</v>
      </c>
      <c r="H1707" s="2" t="s">
        <v>1400</v>
      </c>
      <c r="I1707" s="4" t="s">
        <v>60</v>
      </c>
      <c r="J1707" s="112">
        <f>IF($H1707&lt;&gt;"Y",0,ROUND(MIN(Dashboard!$R$24,IF(IFERROR(VLOOKUP($B1707,Dashboard!$Q$28:$S$60,2,FALSE),0)&gt;0,IFERROR(VLOOKUP($B1707,Dashboard!$Q$28:$S$60,2,FALSE),0),$Z1707*IF($U1707&lt;&gt;"",ROUND((Dashboard!$R$4/$U1707)*VLOOKUP($I1707,Dashboard!$Q$9:$R$13,2,FALSE)*IF(ISNUMBER(SEARCH("Duals",$B1707)),2,IF(ISNUMBER(SEARCH("Triples",$B1707)),3,IF(ISNUMBER(SEARCH("Quads",$B1707)),4,1))),2),ROUND(VLOOKUP($I1707,Dashboard!$Q$15:$R$20,2,FALSE)*IF($E1707="Red",Dashboard!$R$6,IF($E1707="Gold",Dashboard!$R$7,Dashboard!$R$5))*IF(ISNUMBER(SEARCH("Duals",$B1707)),2,IF(ISNUMBER(SEARCH("Triples",$B1707)),3,IF(ISNUMBER(SEARCH("Quads",$B1707)),4,1))),2))*IF(IFERROR(VLOOKUP($B1707,Dashboard!$Q$28:$S$60,3,FALSE),0)&gt;0,VLOOKUP($B1707,Dashboard!$Q$28:$S$60,3,FALSE),1))),0))</f>
        <v>143</v>
      </c>
      <c r="K1707" s="2" t="str">
        <f>IF(Characters!I7="","",Characters!I7)</f>
        <v/>
      </c>
      <c r="L1707" s="2">
        <f t="shared" si="338"/>
        <v>0</v>
      </c>
      <c r="M1707" s="2">
        <f t="shared" si="339"/>
        <v>0</v>
      </c>
      <c r="N1707" s="2">
        <f t="shared" si="340"/>
        <v>0</v>
      </c>
      <c r="O1707" s="2">
        <f t="shared" si="341"/>
        <v>1</v>
      </c>
      <c r="P1707" s="112">
        <f t="shared" si="342"/>
        <v>0</v>
      </c>
      <c r="Q1707" s="112">
        <f t="shared" si="343"/>
        <v>0</v>
      </c>
      <c r="R1707" s="53"/>
      <c r="S1707" s="53" t="str">
        <f t="shared" si="344"/>
        <v>Characters|Characters The Seven Parallel|C-6|The Seven</v>
      </c>
      <c r="T1707" s="57" t="str">
        <f>IF($S1707="","",IFERROR(VLOOKUP($S1707,'Pop Estimates (Non-#d)'!$N$2:$O$500,2,FALSE),""))</f>
        <v/>
      </c>
      <c r="U1707" s="57">
        <f t="shared" si="345"/>
        <v>7</v>
      </c>
      <c r="V1707" s="53" t="str">
        <f t="shared" si="346"/>
        <v>Madelyn Stillwell</v>
      </c>
      <c r="W1707" s="53" t="str">
        <f t="shared" si="347"/>
        <v>Madelyn Stillwell</v>
      </c>
      <c r="X1707" s="53" t="str">
        <f t="shared" si="348"/>
        <v>Madelyn Stillwell</v>
      </c>
      <c r="Y1707" s="57">
        <f>IF($X1707="","",IFERROR(VLOOKUP($X1707,'Char Popularity'!$A$2:$C$500,2,FALSE),""))</f>
        <v>3</v>
      </c>
      <c r="Z1707" s="56">
        <f>IF($X1707="",1,IFERROR(VLOOKUP($X1707,'Char Popularity'!$A$2:$C$500,3,FALSE),1))</f>
        <v>1</v>
      </c>
      <c r="AA1707" s="62">
        <f>IF($H1707&lt;&gt;"Y",0,(IF($F1707&lt;&gt;"",ROUND(Dashboard!$R$4/$F1707,1),IF(AND($I1707="Base",$E1707="Base"),Dashboard!$R$5,IF(AND($I1707="Base",$E1707="Red"),Dashboard!$R$6,IF(AND($I1707="Base",$E1707="Gold"),Dashboard!$R$7,VLOOKUP($I1707,Dashboard!$Q$16:$R$21,2,FALSE)))))*VLOOKUP($I1707,Dashboard!$Q$9:$R$13,2,FALSE)*IF(AND($I1707="Auto",$F1707="",OR($B1707="Autographs Duals",$B1707="Autographs Triples",$B1707="Autographs Quads",$B1707="Autographs Quads (Inscribed)")),IF($B1707="Autographs Duals",2,IF($B1707="Autographs Triples",3,4)),1)))</f>
        <v>142.9</v>
      </c>
      <c r="AB1707" s="62">
        <f t="shared" si="349"/>
        <v>0</v>
      </c>
      <c r="AC1707" s="62">
        <f t="shared" si="350"/>
        <v>0</v>
      </c>
    </row>
    <row r="1708" spans="1:29" ht="42.95" customHeight="1" x14ac:dyDescent="0.25">
      <c r="A1708" s="4" t="s">
        <v>21</v>
      </c>
      <c r="B1708" s="7" t="s">
        <v>97</v>
      </c>
      <c r="C1708" s="2" t="s">
        <v>436</v>
      </c>
      <c r="D1708" s="7" t="s">
        <v>230</v>
      </c>
      <c r="E1708" s="4" t="s">
        <v>689</v>
      </c>
      <c r="F1708" s="2">
        <v>7</v>
      </c>
      <c r="G1708" s="2" t="s">
        <v>1399</v>
      </c>
      <c r="H1708" s="2" t="s">
        <v>1400</v>
      </c>
      <c r="I1708" s="4" t="s">
        <v>60</v>
      </c>
      <c r="J1708" s="112">
        <f>IF($H1708&lt;&gt;"Y",0,ROUND(MIN(Dashboard!$R$24,IF(IFERROR(VLOOKUP($B1708,Dashboard!$Q$28:$S$60,2,FALSE),0)&gt;0,IFERROR(VLOOKUP($B1708,Dashboard!$Q$28:$S$60,2,FALSE),0),$Z1708*IF($U1708&lt;&gt;"",ROUND((Dashboard!$R$4/$U1708)*VLOOKUP($I1708,Dashboard!$Q$9:$R$13,2,FALSE)*IF(ISNUMBER(SEARCH("Duals",$B1708)),2,IF(ISNUMBER(SEARCH("Triples",$B1708)),3,IF(ISNUMBER(SEARCH("Quads",$B1708)),4,1))),2),ROUND(VLOOKUP($I1708,Dashboard!$Q$15:$R$20,2,FALSE)*IF($E1708="Red",Dashboard!$R$6,IF($E1708="Gold",Dashboard!$R$7,Dashboard!$R$5))*IF(ISNUMBER(SEARCH("Duals",$B1708)),2,IF(ISNUMBER(SEARCH("Triples",$B1708)),3,IF(ISNUMBER(SEARCH("Quads",$B1708)),4,1))),2))*IF(IFERROR(VLOOKUP($B1708,Dashboard!$Q$28:$S$60,3,FALSE),0)&gt;0,VLOOKUP($B1708,Dashboard!$Q$28:$S$60,3,FALSE),1))),0))</f>
        <v>157</v>
      </c>
      <c r="K1708" s="2" t="str">
        <f>IF(Characters!I8="","",Characters!I8)</f>
        <v/>
      </c>
      <c r="L1708" s="2">
        <f t="shared" si="338"/>
        <v>0</v>
      </c>
      <c r="M1708" s="2">
        <f t="shared" si="339"/>
        <v>0</v>
      </c>
      <c r="N1708" s="2">
        <f t="shared" si="340"/>
        <v>0</v>
      </c>
      <c r="O1708" s="2">
        <f t="shared" si="341"/>
        <v>1</v>
      </c>
      <c r="P1708" s="112">
        <f t="shared" si="342"/>
        <v>0</v>
      </c>
      <c r="Q1708" s="112">
        <f t="shared" si="343"/>
        <v>0</v>
      </c>
      <c r="R1708" s="53"/>
      <c r="S1708" s="53" t="str">
        <f t="shared" si="344"/>
        <v>Characters|Characters The Seven Parallel|C-7|The Seven</v>
      </c>
      <c r="T1708" s="57" t="str">
        <f>IF($S1708="","",IFERROR(VLOOKUP($S1708,'Pop Estimates (Non-#d)'!$N$2:$O$500,2,FALSE),""))</f>
        <v/>
      </c>
      <c r="U1708" s="57">
        <f t="shared" si="345"/>
        <v>7</v>
      </c>
      <c r="V1708" s="53" t="str">
        <f t="shared" si="346"/>
        <v>The Deep</v>
      </c>
      <c r="W1708" s="53" t="str">
        <f t="shared" si="347"/>
        <v>The Deep</v>
      </c>
      <c r="X1708" s="53" t="str">
        <f t="shared" si="348"/>
        <v>The Deep</v>
      </c>
      <c r="Y1708" s="57">
        <f>IF($X1708="","",IFERROR(VLOOKUP($X1708,'Char Popularity'!$A$2:$C$500,2,FALSE),""))</f>
        <v>4</v>
      </c>
      <c r="Z1708" s="56">
        <f>IF($X1708="",1,IFERROR(VLOOKUP($X1708,'Char Popularity'!$A$2:$C$500,3,FALSE),1))</f>
        <v>1.1000000000000001</v>
      </c>
      <c r="AA1708" s="62">
        <f>IF($H1708&lt;&gt;"Y",0,(IF($F1708&lt;&gt;"",ROUND(Dashboard!$R$4/$F1708,1),IF(AND($I1708="Base",$E1708="Base"),Dashboard!$R$5,IF(AND($I1708="Base",$E1708="Red"),Dashboard!$R$6,IF(AND($I1708="Base",$E1708="Gold"),Dashboard!$R$7,VLOOKUP($I1708,Dashboard!$Q$16:$R$21,2,FALSE)))))*VLOOKUP($I1708,Dashboard!$Q$9:$R$13,2,FALSE)*IF(AND($I1708="Auto",$F1708="",OR($B1708="Autographs Duals",$B1708="Autographs Triples",$B1708="Autographs Quads",$B1708="Autographs Quads (Inscribed)")),IF($B1708="Autographs Duals",2,IF($B1708="Autographs Triples",3,4)),1)))</f>
        <v>142.9</v>
      </c>
      <c r="AB1708" s="62">
        <f t="shared" si="349"/>
        <v>0</v>
      </c>
      <c r="AC1708" s="62">
        <f t="shared" si="350"/>
        <v>0</v>
      </c>
    </row>
    <row r="1709" spans="1:29" ht="42.95" customHeight="1" x14ac:dyDescent="0.25">
      <c r="A1709" s="4" t="s">
        <v>21</v>
      </c>
      <c r="B1709" s="7" t="s">
        <v>97</v>
      </c>
      <c r="C1709" s="2" t="s">
        <v>437</v>
      </c>
      <c r="D1709" s="7" t="s">
        <v>276</v>
      </c>
      <c r="E1709" s="4" t="s">
        <v>689</v>
      </c>
      <c r="F1709" s="2">
        <v>7</v>
      </c>
      <c r="G1709" s="2" t="s">
        <v>1399</v>
      </c>
      <c r="H1709" s="2" t="s">
        <v>1400</v>
      </c>
      <c r="I1709" s="4" t="s">
        <v>60</v>
      </c>
      <c r="J1709" s="112">
        <f>IF($H1709&lt;&gt;"Y",0,ROUND(MIN(Dashboard!$R$24,IF(IFERROR(VLOOKUP($B1709,Dashboard!$Q$28:$S$60,2,FALSE),0)&gt;0,IFERROR(VLOOKUP($B1709,Dashboard!$Q$28:$S$60,2,FALSE),0),$Z1709*IF($U1709&lt;&gt;"",ROUND((Dashboard!$R$4/$U1709)*VLOOKUP($I1709,Dashboard!$Q$9:$R$13,2,FALSE)*IF(ISNUMBER(SEARCH("Duals",$B1709)),2,IF(ISNUMBER(SEARCH("Triples",$B1709)),3,IF(ISNUMBER(SEARCH("Quads",$B1709)),4,1))),2),ROUND(VLOOKUP($I1709,Dashboard!$Q$15:$R$20,2,FALSE)*IF($E1709="Red",Dashboard!$R$6,IF($E1709="Gold",Dashboard!$R$7,Dashboard!$R$5))*IF(ISNUMBER(SEARCH("Duals",$B1709)),2,IF(ISNUMBER(SEARCH("Triples",$B1709)),3,IF(ISNUMBER(SEARCH("Quads",$B1709)),4,1))),2))*IF(IFERROR(VLOOKUP($B1709,Dashboard!$Q$28:$S$60,3,FALSE),0)&gt;0,VLOOKUP($B1709,Dashboard!$Q$28:$S$60,3,FALSE),1))),0))</f>
        <v>157</v>
      </c>
      <c r="K1709" s="2" t="str">
        <f>IF(Characters!I9="","",Characters!I9)</f>
        <v/>
      </c>
      <c r="L1709" s="2">
        <f t="shared" si="338"/>
        <v>0</v>
      </c>
      <c r="M1709" s="2">
        <f t="shared" si="339"/>
        <v>0</v>
      </c>
      <c r="N1709" s="2">
        <f t="shared" si="340"/>
        <v>0</v>
      </c>
      <c r="O1709" s="2">
        <f t="shared" si="341"/>
        <v>1</v>
      </c>
      <c r="P1709" s="112">
        <f t="shared" si="342"/>
        <v>0</v>
      </c>
      <c r="Q1709" s="112">
        <f t="shared" si="343"/>
        <v>0</v>
      </c>
      <c r="R1709" s="53"/>
      <c r="S1709" s="53" t="str">
        <f t="shared" si="344"/>
        <v>Characters|Characters The Seven Parallel|C-8|The Seven</v>
      </c>
      <c r="T1709" s="57" t="str">
        <f>IF($S1709="","",IFERROR(VLOOKUP($S1709,'Pop Estimates (Non-#d)'!$N$2:$O$500,2,FALSE),""))</f>
        <v/>
      </c>
      <c r="U1709" s="57">
        <f t="shared" si="345"/>
        <v>7</v>
      </c>
      <c r="V1709" s="53" t="str">
        <f t="shared" si="346"/>
        <v>Mother's Milk</v>
      </c>
      <c r="W1709" s="53" t="str">
        <f t="shared" si="347"/>
        <v>Mother's Milk</v>
      </c>
      <c r="X1709" s="53" t="str">
        <f t="shared" si="348"/>
        <v>Mother's Milk</v>
      </c>
      <c r="Y1709" s="57">
        <f>IF($X1709="","",IFERROR(VLOOKUP($X1709,'Char Popularity'!$A$2:$C$500,2,FALSE),""))</f>
        <v>4</v>
      </c>
      <c r="Z1709" s="56">
        <f>IF($X1709="",1,IFERROR(VLOOKUP($X1709,'Char Popularity'!$A$2:$C$500,3,FALSE),1))</f>
        <v>1.1000000000000001</v>
      </c>
      <c r="AA1709" s="62">
        <f>IF($H1709&lt;&gt;"Y",0,(IF($F1709&lt;&gt;"",ROUND(Dashboard!$R$4/$F1709,1),IF(AND($I1709="Base",$E1709="Base"),Dashboard!$R$5,IF(AND($I1709="Base",$E1709="Red"),Dashboard!$R$6,IF(AND($I1709="Base",$E1709="Gold"),Dashboard!$R$7,VLOOKUP($I1709,Dashboard!$Q$16:$R$21,2,FALSE)))))*VLOOKUP($I1709,Dashboard!$Q$9:$R$13,2,FALSE)*IF(AND($I1709="Auto",$F1709="",OR($B1709="Autographs Duals",$B1709="Autographs Triples",$B1709="Autographs Quads",$B1709="Autographs Quads (Inscribed)")),IF($B1709="Autographs Duals",2,IF($B1709="Autographs Triples",3,4)),1)))</f>
        <v>142.9</v>
      </c>
      <c r="AB1709" s="62">
        <f t="shared" si="349"/>
        <v>0</v>
      </c>
      <c r="AC1709" s="62">
        <f t="shared" si="350"/>
        <v>0</v>
      </c>
    </row>
    <row r="1710" spans="1:29" ht="42.95" customHeight="1" x14ac:dyDescent="0.25">
      <c r="A1710" s="4" t="s">
        <v>21</v>
      </c>
      <c r="B1710" s="7" t="s">
        <v>97</v>
      </c>
      <c r="C1710" s="2" t="s">
        <v>438</v>
      </c>
      <c r="D1710" s="7" t="s">
        <v>244</v>
      </c>
      <c r="E1710" s="4" t="s">
        <v>689</v>
      </c>
      <c r="F1710" s="2">
        <v>7</v>
      </c>
      <c r="G1710" s="2" t="s">
        <v>1399</v>
      </c>
      <c r="H1710" s="2" t="s">
        <v>1400</v>
      </c>
      <c r="I1710" s="4" t="s">
        <v>60</v>
      </c>
      <c r="J1710" s="112">
        <f>IF($H1710&lt;&gt;"Y",0,ROUND(MIN(Dashboard!$R$24,IF(IFERROR(VLOOKUP($B1710,Dashboard!$Q$28:$S$60,2,FALSE),0)&gt;0,IFERROR(VLOOKUP($B1710,Dashboard!$Q$28:$S$60,2,FALSE),0),$Z1710*IF($U1710&lt;&gt;"",ROUND((Dashboard!$R$4/$U1710)*VLOOKUP($I1710,Dashboard!$Q$9:$R$13,2,FALSE)*IF(ISNUMBER(SEARCH("Duals",$B1710)),2,IF(ISNUMBER(SEARCH("Triples",$B1710)),3,IF(ISNUMBER(SEARCH("Quads",$B1710)),4,1))),2),ROUND(VLOOKUP($I1710,Dashboard!$Q$15:$R$20,2,FALSE)*IF($E1710="Red",Dashboard!$R$6,IF($E1710="Gold",Dashboard!$R$7,Dashboard!$R$5))*IF(ISNUMBER(SEARCH("Duals",$B1710)),2,IF(ISNUMBER(SEARCH("Triples",$B1710)),3,IF(ISNUMBER(SEARCH("Quads",$B1710)),4,1))),2))*IF(IFERROR(VLOOKUP($B1710,Dashboard!$Q$28:$S$60,3,FALSE),0)&gt;0,VLOOKUP($B1710,Dashboard!$Q$28:$S$60,3,FALSE),1))),0))</f>
        <v>157</v>
      </c>
      <c r="K1710" s="2" t="str">
        <f>IF(Characters!I10="","",Characters!I10)</f>
        <v/>
      </c>
      <c r="L1710" s="2">
        <f t="shared" si="338"/>
        <v>0</v>
      </c>
      <c r="M1710" s="2">
        <f t="shared" si="339"/>
        <v>0</v>
      </c>
      <c r="N1710" s="2">
        <f t="shared" si="340"/>
        <v>0</v>
      </c>
      <c r="O1710" s="2">
        <f t="shared" si="341"/>
        <v>1</v>
      </c>
      <c r="P1710" s="112">
        <f t="shared" si="342"/>
        <v>0</v>
      </c>
      <c r="Q1710" s="112">
        <f t="shared" si="343"/>
        <v>0</v>
      </c>
      <c r="R1710" s="53"/>
      <c r="S1710" s="53" t="str">
        <f t="shared" si="344"/>
        <v>Characters|Characters The Seven Parallel|C-9|The Seven</v>
      </c>
      <c r="T1710" s="57" t="str">
        <f>IF($S1710="","",IFERROR(VLOOKUP($S1710,'Pop Estimates (Non-#d)'!$N$2:$O$500,2,FALSE),""))</f>
        <v/>
      </c>
      <c r="U1710" s="57">
        <f t="shared" si="345"/>
        <v>7</v>
      </c>
      <c r="V1710" s="53" t="str">
        <f t="shared" si="346"/>
        <v>Queen Maeve</v>
      </c>
      <c r="W1710" s="53" t="str">
        <f t="shared" si="347"/>
        <v>Queen Maeve</v>
      </c>
      <c r="X1710" s="53" t="str">
        <f t="shared" si="348"/>
        <v>Queen Maeve</v>
      </c>
      <c r="Y1710" s="57">
        <f>IF($X1710="","",IFERROR(VLOOKUP($X1710,'Char Popularity'!$A$2:$C$500,2,FALSE),""))</f>
        <v>4</v>
      </c>
      <c r="Z1710" s="56">
        <f>IF($X1710="",1,IFERROR(VLOOKUP($X1710,'Char Popularity'!$A$2:$C$500,3,FALSE),1))</f>
        <v>1.1000000000000001</v>
      </c>
      <c r="AA1710" s="62">
        <f>IF($H1710&lt;&gt;"Y",0,(IF($F1710&lt;&gt;"",ROUND(Dashboard!$R$4/$F1710,1),IF(AND($I1710="Base",$E1710="Base"),Dashboard!$R$5,IF(AND($I1710="Base",$E1710="Red"),Dashboard!$R$6,IF(AND($I1710="Base",$E1710="Gold"),Dashboard!$R$7,VLOOKUP($I1710,Dashboard!$Q$16:$R$21,2,FALSE)))))*VLOOKUP($I1710,Dashboard!$Q$9:$R$13,2,FALSE)*IF(AND($I1710="Auto",$F1710="",OR($B1710="Autographs Duals",$B1710="Autographs Triples",$B1710="Autographs Quads",$B1710="Autographs Quads (Inscribed)")),IF($B1710="Autographs Duals",2,IF($B1710="Autographs Triples",3,4)),1)))</f>
        <v>142.9</v>
      </c>
      <c r="AB1710" s="62">
        <f t="shared" si="349"/>
        <v>0</v>
      </c>
      <c r="AC1710" s="62">
        <f t="shared" si="350"/>
        <v>0</v>
      </c>
    </row>
    <row r="1711" spans="1:29" ht="42.95" customHeight="1" x14ac:dyDescent="0.25">
      <c r="A1711" s="4" t="s">
        <v>21</v>
      </c>
      <c r="B1711" s="7" t="s">
        <v>97</v>
      </c>
      <c r="C1711" s="2" t="s">
        <v>410</v>
      </c>
      <c r="D1711" s="7" t="s">
        <v>270</v>
      </c>
      <c r="E1711" s="4" t="s">
        <v>689</v>
      </c>
      <c r="F1711" s="2">
        <v>7</v>
      </c>
      <c r="G1711" s="2" t="s">
        <v>1399</v>
      </c>
      <c r="H1711" s="2" t="s">
        <v>1400</v>
      </c>
      <c r="I1711" s="4" t="s">
        <v>60</v>
      </c>
      <c r="J1711" s="112">
        <f>IF($H1711&lt;&gt;"Y",0,ROUND(MIN(Dashboard!$R$24,IF(IFERROR(VLOOKUP($B1711,Dashboard!$Q$28:$S$60,2,FALSE),0)&gt;0,IFERROR(VLOOKUP($B1711,Dashboard!$Q$28:$S$60,2,FALSE),0),$Z1711*IF($U1711&lt;&gt;"",ROUND((Dashboard!$R$4/$U1711)*VLOOKUP($I1711,Dashboard!$Q$9:$R$13,2,FALSE)*IF(ISNUMBER(SEARCH("Duals",$B1711)),2,IF(ISNUMBER(SEARCH("Triples",$B1711)),3,IF(ISNUMBER(SEARCH("Quads",$B1711)),4,1))),2),ROUND(VLOOKUP($I1711,Dashboard!$Q$15:$R$20,2,FALSE)*IF($E1711="Red",Dashboard!$R$6,IF($E1711="Gold",Dashboard!$R$7,Dashboard!$R$5))*IF(ISNUMBER(SEARCH("Duals",$B1711)),2,IF(ISNUMBER(SEARCH("Triples",$B1711)),3,IF(ISNUMBER(SEARCH("Quads",$B1711)),4,1))),2))*IF(IFERROR(VLOOKUP($B1711,Dashboard!$Q$28:$S$60,3,FALSE),0)&gt;0,VLOOKUP($B1711,Dashboard!$Q$28:$S$60,3,FALSE),1))),0))</f>
        <v>157</v>
      </c>
      <c r="K1711" s="2" t="str">
        <f>IF(Characters!I11="","",Characters!I11)</f>
        <v/>
      </c>
      <c r="L1711" s="2">
        <f t="shared" si="338"/>
        <v>0</v>
      </c>
      <c r="M1711" s="2">
        <f t="shared" si="339"/>
        <v>0</v>
      </c>
      <c r="N1711" s="2">
        <f t="shared" si="340"/>
        <v>0</v>
      </c>
      <c r="O1711" s="2">
        <f t="shared" si="341"/>
        <v>1</v>
      </c>
      <c r="P1711" s="112">
        <f t="shared" si="342"/>
        <v>0</v>
      </c>
      <c r="Q1711" s="112">
        <f t="shared" si="343"/>
        <v>0</v>
      </c>
      <c r="R1711" s="53"/>
      <c r="S1711" s="53" t="str">
        <f t="shared" si="344"/>
        <v>Characters|Characters The Seven Parallel|C-10|The Seven</v>
      </c>
      <c r="T1711" s="57" t="str">
        <f>IF($S1711="","",IFERROR(VLOOKUP($S1711,'Pop Estimates (Non-#d)'!$N$2:$O$500,2,FALSE),""))</f>
        <v/>
      </c>
      <c r="U1711" s="57">
        <f t="shared" si="345"/>
        <v>7</v>
      </c>
      <c r="V1711" s="53" t="str">
        <f t="shared" si="346"/>
        <v>Kimiko</v>
      </c>
      <c r="W1711" s="53" t="str">
        <f t="shared" si="347"/>
        <v>Kimiko</v>
      </c>
      <c r="X1711" s="53" t="str">
        <f t="shared" si="348"/>
        <v>Kimiko</v>
      </c>
      <c r="Y1711" s="57">
        <f>IF($X1711="","",IFERROR(VLOOKUP($X1711,'Char Popularity'!$A$2:$C$500,2,FALSE),""))</f>
        <v>4</v>
      </c>
      <c r="Z1711" s="56">
        <f>IF($X1711="",1,IFERROR(VLOOKUP($X1711,'Char Popularity'!$A$2:$C$500,3,FALSE),1))</f>
        <v>1.1000000000000001</v>
      </c>
      <c r="AA1711" s="62">
        <f>IF($H1711&lt;&gt;"Y",0,(IF($F1711&lt;&gt;"",ROUND(Dashboard!$R$4/$F1711,1),IF(AND($I1711="Base",$E1711="Base"),Dashboard!$R$5,IF(AND($I1711="Base",$E1711="Red"),Dashboard!$R$6,IF(AND($I1711="Base",$E1711="Gold"),Dashboard!$R$7,VLOOKUP($I1711,Dashboard!$Q$16:$R$21,2,FALSE)))))*VLOOKUP($I1711,Dashboard!$Q$9:$R$13,2,FALSE)*IF(AND($I1711="Auto",$F1711="",OR($B1711="Autographs Duals",$B1711="Autographs Triples",$B1711="Autographs Quads",$B1711="Autographs Quads (Inscribed)")),IF($B1711="Autographs Duals",2,IF($B1711="Autographs Triples",3,4)),1)))</f>
        <v>142.9</v>
      </c>
      <c r="AB1711" s="62">
        <f t="shared" si="349"/>
        <v>0</v>
      </c>
      <c r="AC1711" s="62">
        <f t="shared" si="350"/>
        <v>0</v>
      </c>
    </row>
    <row r="1712" spans="1:29" ht="42.95" customHeight="1" x14ac:dyDescent="0.25">
      <c r="A1712" s="4" t="s">
        <v>21</v>
      </c>
      <c r="B1712" s="7" t="s">
        <v>97</v>
      </c>
      <c r="C1712" s="2" t="s">
        <v>411</v>
      </c>
      <c r="D1712" s="7" t="s">
        <v>238</v>
      </c>
      <c r="E1712" s="4" t="s">
        <v>689</v>
      </c>
      <c r="F1712" s="2">
        <v>7</v>
      </c>
      <c r="G1712" s="2" t="s">
        <v>1399</v>
      </c>
      <c r="H1712" s="2" t="s">
        <v>1400</v>
      </c>
      <c r="I1712" s="4" t="s">
        <v>60</v>
      </c>
      <c r="J1712" s="112">
        <f>IF($H1712&lt;&gt;"Y",0,ROUND(MIN(Dashboard!$R$24,IF(IFERROR(VLOOKUP($B1712,Dashboard!$Q$28:$S$60,2,FALSE),0)&gt;0,IFERROR(VLOOKUP($B1712,Dashboard!$Q$28:$S$60,2,FALSE),0),$Z1712*IF($U1712&lt;&gt;"",ROUND((Dashboard!$R$4/$U1712)*VLOOKUP($I1712,Dashboard!$Q$9:$R$13,2,FALSE)*IF(ISNUMBER(SEARCH("Duals",$B1712)),2,IF(ISNUMBER(SEARCH("Triples",$B1712)),3,IF(ISNUMBER(SEARCH("Quads",$B1712)),4,1))),2),ROUND(VLOOKUP($I1712,Dashboard!$Q$15:$R$20,2,FALSE)*IF($E1712="Red",Dashboard!$R$6,IF($E1712="Gold",Dashboard!$R$7,Dashboard!$R$5))*IF(ISNUMBER(SEARCH("Duals",$B1712)),2,IF(ISNUMBER(SEARCH("Triples",$B1712)),3,IF(ISNUMBER(SEARCH("Quads",$B1712)),4,1))),2))*IF(IFERROR(VLOOKUP($B1712,Dashboard!$Q$28:$S$60,3,FALSE),0)&gt;0,VLOOKUP($B1712,Dashboard!$Q$28:$S$60,3,FALSE),1))),0))</f>
        <v>157</v>
      </c>
      <c r="K1712" s="2" t="str">
        <f>IF(Characters!I12="","",Characters!I12)</f>
        <v/>
      </c>
      <c r="L1712" s="2">
        <f t="shared" si="338"/>
        <v>0</v>
      </c>
      <c r="M1712" s="2">
        <f t="shared" si="339"/>
        <v>0</v>
      </c>
      <c r="N1712" s="2">
        <f t="shared" si="340"/>
        <v>0</v>
      </c>
      <c r="O1712" s="2">
        <f t="shared" si="341"/>
        <v>1</v>
      </c>
      <c r="P1712" s="112">
        <f t="shared" si="342"/>
        <v>0</v>
      </c>
      <c r="Q1712" s="112">
        <f t="shared" si="343"/>
        <v>0</v>
      </c>
      <c r="R1712" s="53"/>
      <c r="S1712" s="53" t="str">
        <f t="shared" si="344"/>
        <v>Characters|Characters The Seven Parallel|C-11|The Seven</v>
      </c>
      <c r="T1712" s="57" t="str">
        <f>IF($S1712="","",IFERROR(VLOOKUP($S1712,'Pop Estimates (Non-#d)'!$N$2:$O$500,2,FALSE),""))</f>
        <v/>
      </c>
      <c r="U1712" s="57">
        <f t="shared" si="345"/>
        <v>7</v>
      </c>
      <c r="V1712" s="53" t="str">
        <f t="shared" si="346"/>
        <v>Frenchie</v>
      </c>
      <c r="W1712" s="53" t="str">
        <f t="shared" si="347"/>
        <v>Frenchie</v>
      </c>
      <c r="X1712" s="53" t="str">
        <f t="shared" si="348"/>
        <v>Frenchie</v>
      </c>
      <c r="Y1712" s="57">
        <f>IF($X1712="","",IFERROR(VLOOKUP($X1712,'Char Popularity'!$A$2:$C$500,2,FALSE),""))</f>
        <v>4</v>
      </c>
      <c r="Z1712" s="56">
        <f>IF($X1712="",1,IFERROR(VLOOKUP($X1712,'Char Popularity'!$A$2:$C$500,3,FALSE),1))</f>
        <v>1.1000000000000001</v>
      </c>
      <c r="AA1712" s="62">
        <f>IF($H1712&lt;&gt;"Y",0,(IF($F1712&lt;&gt;"",ROUND(Dashboard!$R$4/$F1712,1),IF(AND($I1712="Base",$E1712="Base"),Dashboard!$R$5,IF(AND($I1712="Base",$E1712="Red"),Dashboard!$R$6,IF(AND($I1712="Base",$E1712="Gold"),Dashboard!$R$7,VLOOKUP($I1712,Dashboard!$Q$16:$R$21,2,FALSE)))))*VLOOKUP($I1712,Dashboard!$Q$9:$R$13,2,FALSE)*IF(AND($I1712="Auto",$F1712="",OR($B1712="Autographs Duals",$B1712="Autographs Triples",$B1712="Autographs Quads",$B1712="Autographs Quads (Inscribed)")),IF($B1712="Autographs Duals",2,IF($B1712="Autographs Triples",3,4)),1)))</f>
        <v>142.9</v>
      </c>
      <c r="AB1712" s="62">
        <f t="shared" si="349"/>
        <v>0</v>
      </c>
      <c r="AC1712" s="62">
        <f t="shared" si="350"/>
        <v>0</v>
      </c>
    </row>
    <row r="1713" spans="1:29" ht="42.95" customHeight="1" x14ac:dyDescent="0.25">
      <c r="A1713" s="4" t="s">
        <v>21</v>
      </c>
      <c r="B1713" s="7" t="s">
        <v>97</v>
      </c>
      <c r="C1713" s="2" t="s">
        <v>412</v>
      </c>
      <c r="D1713" s="7" t="s">
        <v>283</v>
      </c>
      <c r="E1713" s="4" t="s">
        <v>689</v>
      </c>
      <c r="F1713" s="2">
        <v>7</v>
      </c>
      <c r="G1713" s="2" t="s">
        <v>1399</v>
      </c>
      <c r="H1713" s="2" t="s">
        <v>1400</v>
      </c>
      <c r="I1713" s="4" t="s">
        <v>60</v>
      </c>
      <c r="J1713" s="112">
        <f>IF($H1713&lt;&gt;"Y",0,ROUND(MIN(Dashboard!$R$24,IF(IFERROR(VLOOKUP($B1713,Dashboard!$Q$28:$S$60,2,FALSE),0)&gt;0,IFERROR(VLOOKUP($B1713,Dashboard!$Q$28:$S$60,2,FALSE),0),$Z1713*IF($U1713&lt;&gt;"",ROUND((Dashboard!$R$4/$U1713)*VLOOKUP($I1713,Dashboard!$Q$9:$R$13,2,FALSE)*IF(ISNUMBER(SEARCH("Duals",$B1713)),2,IF(ISNUMBER(SEARCH("Triples",$B1713)),3,IF(ISNUMBER(SEARCH("Quads",$B1713)),4,1))),2),ROUND(VLOOKUP($I1713,Dashboard!$Q$15:$R$20,2,FALSE)*IF($E1713="Red",Dashboard!$R$6,IF($E1713="Gold",Dashboard!$R$7,Dashboard!$R$5))*IF(ISNUMBER(SEARCH("Duals",$B1713)),2,IF(ISNUMBER(SEARCH("Triples",$B1713)),3,IF(ISNUMBER(SEARCH("Quads",$B1713)),4,1))),2))*IF(IFERROR(VLOOKUP($B1713,Dashboard!$Q$28:$S$60,3,FALSE),0)&gt;0,VLOOKUP($B1713,Dashboard!$Q$28:$S$60,3,FALSE),1))),0))</f>
        <v>157</v>
      </c>
      <c r="K1713" s="2" t="str">
        <f>IF(Characters!I13="","",Characters!I13)</f>
        <v/>
      </c>
      <c r="L1713" s="2">
        <f t="shared" si="338"/>
        <v>0</v>
      </c>
      <c r="M1713" s="2">
        <f t="shared" si="339"/>
        <v>0</v>
      </c>
      <c r="N1713" s="2">
        <f t="shared" si="340"/>
        <v>0</v>
      </c>
      <c r="O1713" s="2">
        <f t="shared" si="341"/>
        <v>1</v>
      </c>
      <c r="P1713" s="112">
        <f t="shared" si="342"/>
        <v>0</v>
      </c>
      <c r="Q1713" s="112">
        <f t="shared" si="343"/>
        <v>0</v>
      </c>
      <c r="R1713" s="53"/>
      <c r="S1713" s="53" t="str">
        <f t="shared" si="344"/>
        <v>Characters|Characters The Seven Parallel|C-12|The Seven</v>
      </c>
      <c r="T1713" s="57" t="str">
        <f>IF($S1713="","",IFERROR(VLOOKUP($S1713,'Pop Estimates (Non-#d)'!$N$2:$O$500,2,FALSE),""))</f>
        <v/>
      </c>
      <c r="U1713" s="57">
        <f t="shared" si="345"/>
        <v>7</v>
      </c>
      <c r="V1713" s="53" t="str">
        <f t="shared" si="346"/>
        <v>Black Noir</v>
      </c>
      <c r="W1713" s="53" t="str">
        <f t="shared" si="347"/>
        <v>Black Noir</v>
      </c>
      <c r="X1713" s="53" t="str">
        <f t="shared" si="348"/>
        <v>Black Noir</v>
      </c>
      <c r="Y1713" s="57">
        <f>IF($X1713="","",IFERROR(VLOOKUP($X1713,'Char Popularity'!$A$2:$C$500,2,FALSE),""))</f>
        <v>4</v>
      </c>
      <c r="Z1713" s="56">
        <f>IF($X1713="",1,IFERROR(VLOOKUP($X1713,'Char Popularity'!$A$2:$C$500,3,FALSE),1))</f>
        <v>1.1000000000000001</v>
      </c>
      <c r="AA1713" s="62">
        <f>IF($H1713&lt;&gt;"Y",0,(IF($F1713&lt;&gt;"",ROUND(Dashboard!$R$4/$F1713,1),IF(AND($I1713="Base",$E1713="Base"),Dashboard!$R$5,IF(AND($I1713="Base",$E1713="Red"),Dashboard!$R$6,IF(AND($I1713="Base",$E1713="Gold"),Dashboard!$R$7,VLOOKUP($I1713,Dashboard!$Q$16:$R$21,2,FALSE)))))*VLOOKUP($I1713,Dashboard!$Q$9:$R$13,2,FALSE)*IF(AND($I1713="Auto",$F1713="",OR($B1713="Autographs Duals",$B1713="Autographs Triples",$B1713="Autographs Quads",$B1713="Autographs Quads (Inscribed)")),IF($B1713="Autographs Duals",2,IF($B1713="Autographs Triples",3,4)),1)))</f>
        <v>142.9</v>
      </c>
      <c r="AB1713" s="62">
        <f t="shared" si="349"/>
        <v>0</v>
      </c>
      <c r="AC1713" s="62">
        <f t="shared" si="350"/>
        <v>0</v>
      </c>
    </row>
    <row r="1714" spans="1:29" ht="42.95" customHeight="1" x14ac:dyDescent="0.25">
      <c r="A1714" s="4" t="s">
        <v>21</v>
      </c>
      <c r="B1714" s="7" t="s">
        <v>97</v>
      </c>
      <c r="C1714" s="2" t="s">
        <v>413</v>
      </c>
      <c r="D1714" s="7" t="s">
        <v>216</v>
      </c>
      <c r="E1714" s="4" t="s">
        <v>689</v>
      </c>
      <c r="F1714" s="2">
        <v>7</v>
      </c>
      <c r="G1714" s="2" t="s">
        <v>1399</v>
      </c>
      <c r="H1714" s="2" t="s">
        <v>1400</v>
      </c>
      <c r="I1714" s="4" t="s">
        <v>60</v>
      </c>
      <c r="J1714" s="112">
        <f>IF($H1714&lt;&gt;"Y",0,ROUND(MIN(Dashboard!$R$24,IF(IFERROR(VLOOKUP($B1714,Dashboard!$Q$28:$S$60,2,FALSE),0)&gt;0,IFERROR(VLOOKUP($B1714,Dashboard!$Q$28:$S$60,2,FALSE),0),$Z1714*IF($U1714&lt;&gt;"",ROUND((Dashboard!$R$4/$U1714)*VLOOKUP($I1714,Dashboard!$Q$9:$R$13,2,FALSE)*IF(ISNUMBER(SEARCH("Duals",$B1714)),2,IF(ISNUMBER(SEARCH("Triples",$B1714)),3,IF(ISNUMBER(SEARCH("Quads",$B1714)),4,1))),2),ROUND(VLOOKUP($I1714,Dashboard!$Q$15:$R$20,2,FALSE)*IF($E1714="Red",Dashboard!$R$6,IF($E1714="Gold",Dashboard!$R$7,Dashboard!$R$5))*IF(ISNUMBER(SEARCH("Duals",$B1714)),2,IF(ISNUMBER(SEARCH("Triples",$B1714)),3,IF(ISNUMBER(SEARCH("Quads",$B1714)),4,1))),2))*IF(IFERROR(VLOOKUP($B1714,Dashboard!$Q$28:$S$60,3,FALSE),0)&gt;0,VLOOKUP($B1714,Dashboard!$Q$28:$S$60,3,FALSE),1))),0))</f>
        <v>129</v>
      </c>
      <c r="K1714" s="2" t="str">
        <f>IF(Characters!I14="","",Characters!I14)</f>
        <v/>
      </c>
      <c r="L1714" s="2">
        <f t="shared" si="338"/>
        <v>0</v>
      </c>
      <c r="M1714" s="2">
        <f t="shared" si="339"/>
        <v>0</v>
      </c>
      <c r="N1714" s="2">
        <f t="shared" si="340"/>
        <v>0</v>
      </c>
      <c r="O1714" s="2">
        <f t="shared" si="341"/>
        <v>1</v>
      </c>
      <c r="P1714" s="112">
        <f t="shared" si="342"/>
        <v>0</v>
      </c>
      <c r="Q1714" s="112">
        <f t="shared" si="343"/>
        <v>0</v>
      </c>
      <c r="R1714" s="53"/>
      <c r="S1714" s="53" t="str">
        <f t="shared" si="344"/>
        <v>Characters|Characters The Seven Parallel|C-13|The Seven</v>
      </c>
      <c r="T1714" s="57" t="str">
        <f>IF($S1714="","",IFERROR(VLOOKUP($S1714,'Pop Estimates (Non-#d)'!$N$2:$O$500,2,FALSE),""))</f>
        <v/>
      </c>
      <c r="U1714" s="57">
        <f t="shared" si="345"/>
        <v>7</v>
      </c>
      <c r="V1714" s="53" t="str">
        <f t="shared" si="346"/>
        <v>Translucent</v>
      </c>
      <c r="W1714" s="53" t="str">
        <f t="shared" si="347"/>
        <v>Translucent</v>
      </c>
      <c r="X1714" s="53" t="str">
        <f t="shared" si="348"/>
        <v>Translucent</v>
      </c>
      <c r="Y1714" s="57">
        <f>IF($X1714="","",IFERROR(VLOOKUP($X1714,'Char Popularity'!$A$2:$C$500,2,FALSE),""))</f>
        <v>2</v>
      </c>
      <c r="Z1714" s="56">
        <f>IF($X1714="",1,IFERROR(VLOOKUP($X1714,'Char Popularity'!$A$2:$C$500,3,FALSE),1))</f>
        <v>0.9</v>
      </c>
      <c r="AA1714" s="62">
        <f>IF($H1714&lt;&gt;"Y",0,(IF($F1714&lt;&gt;"",ROUND(Dashboard!$R$4/$F1714,1),IF(AND($I1714="Base",$E1714="Base"),Dashboard!$R$5,IF(AND($I1714="Base",$E1714="Red"),Dashboard!$R$6,IF(AND($I1714="Base",$E1714="Gold"),Dashboard!$R$7,VLOOKUP($I1714,Dashboard!$Q$16:$R$21,2,FALSE)))))*VLOOKUP($I1714,Dashboard!$Q$9:$R$13,2,FALSE)*IF(AND($I1714="Auto",$F1714="",OR($B1714="Autographs Duals",$B1714="Autographs Triples",$B1714="Autographs Quads",$B1714="Autographs Quads (Inscribed)")),IF($B1714="Autographs Duals",2,IF($B1714="Autographs Triples",3,4)),1)))</f>
        <v>142.9</v>
      </c>
      <c r="AB1714" s="62">
        <f t="shared" si="349"/>
        <v>0</v>
      </c>
      <c r="AC1714" s="62">
        <f t="shared" si="350"/>
        <v>0</v>
      </c>
    </row>
    <row r="1715" spans="1:29" ht="42.95" customHeight="1" x14ac:dyDescent="0.25">
      <c r="A1715" s="4" t="s">
        <v>21</v>
      </c>
      <c r="B1715" s="7" t="s">
        <v>97</v>
      </c>
      <c r="C1715" s="2" t="s">
        <v>414</v>
      </c>
      <c r="D1715" s="7" t="s">
        <v>254</v>
      </c>
      <c r="E1715" s="4" t="s">
        <v>689</v>
      </c>
      <c r="F1715" s="2">
        <v>7</v>
      </c>
      <c r="G1715" s="2" t="s">
        <v>1399</v>
      </c>
      <c r="H1715" s="2" t="s">
        <v>1400</v>
      </c>
      <c r="I1715" s="4" t="s">
        <v>60</v>
      </c>
      <c r="J1715" s="112">
        <f>IF($H1715&lt;&gt;"Y",0,ROUND(MIN(Dashboard!$R$24,IF(IFERROR(VLOOKUP($B1715,Dashboard!$Q$28:$S$60,2,FALSE),0)&gt;0,IFERROR(VLOOKUP($B1715,Dashboard!$Q$28:$S$60,2,FALSE),0),$Z1715*IF($U1715&lt;&gt;"",ROUND((Dashboard!$R$4/$U1715)*VLOOKUP($I1715,Dashboard!$Q$9:$R$13,2,FALSE)*IF(ISNUMBER(SEARCH("Duals",$B1715)),2,IF(ISNUMBER(SEARCH("Triples",$B1715)),3,IF(ISNUMBER(SEARCH("Quads",$B1715)),4,1))),2),ROUND(VLOOKUP($I1715,Dashboard!$Q$15:$R$20,2,FALSE)*IF($E1715="Red",Dashboard!$R$6,IF($E1715="Gold",Dashboard!$R$7,Dashboard!$R$5))*IF(ISNUMBER(SEARCH("Duals",$B1715)),2,IF(ISNUMBER(SEARCH("Triples",$B1715)),3,IF(ISNUMBER(SEARCH("Quads",$B1715)),4,1))),2))*IF(IFERROR(VLOOKUP($B1715,Dashboard!$Q$28:$S$60,3,FALSE),0)&gt;0,VLOOKUP($B1715,Dashboard!$Q$28:$S$60,3,FALSE),1))),0))</f>
        <v>157</v>
      </c>
      <c r="K1715" s="2" t="str">
        <f>IF(Characters!I15="","",Characters!I15)</f>
        <v/>
      </c>
      <c r="L1715" s="2">
        <f t="shared" si="338"/>
        <v>0</v>
      </c>
      <c r="M1715" s="2">
        <f t="shared" si="339"/>
        <v>0</v>
      </c>
      <c r="N1715" s="2">
        <f t="shared" si="340"/>
        <v>0</v>
      </c>
      <c r="O1715" s="2">
        <f t="shared" si="341"/>
        <v>1</v>
      </c>
      <c r="P1715" s="112">
        <f t="shared" si="342"/>
        <v>0</v>
      </c>
      <c r="Q1715" s="112">
        <f t="shared" si="343"/>
        <v>0</v>
      </c>
      <c r="R1715" s="53"/>
      <c r="S1715" s="53" t="str">
        <f t="shared" si="344"/>
        <v>Characters|Characters The Seven Parallel|C-14|The Seven</v>
      </c>
      <c r="T1715" s="57" t="str">
        <f>IF($S1715="","",IFERROR(VLOOKUP($S1715,'Pop Estimates (Non-#d)'!$N$2:$O$500,2,FALSE),""))</f>
        <v/>
      </c>
      <c r="U1715" s="57">
        <f t="shared" si="345"/>
        <v>7</v>
      </c>
      <c r="V1715" s="53" t="str">
        <f t="shared" si="346"/>
        <v>Stan Edgar</v>
      </c>
      <c r="W1715" s="53" t="str">
        <f t="shared" si="347"/>
        <v>Stan Edgar</v>
      </c>
      <c r="X1715" s="53" t="str">
        <f t="shared" si="348"/>
        <v>Stan Edgar</v>
      </c>
      <c r="Y1715" s="57">
        <f>IF($X1715="","",IFERROR(VLOOKUP($X1715,'Char Popularity'!$A$2:$C$500,2,FALSE),""))</f>
        <v>4</v>
      </c>
      <c r="Z1715" s="56">
        <f>IF($X1715="",1,IFERROR(VLOOKUP($X1715,'Char Popularity'!$A$2:$C$500,3,FALSE),1))</f>
        <v>1.1000000000000001</v>
      </c>
      <c r="AA1715" s="62">
        <f>IF($H1715&lt;&gt;"Y",0,(IF($F1715&lt;&gt;"",ROUND(Dashboard!$R$4/$F1715,1),IF(AND($I1715="Base",$E1715="Base"),Dashboard!$R$5,IF(AND($I1715="Base",$E1715="Red"),Dashboard!$R$6,IF(AND($I1715="Base",$E1715="Gold"),Dashboard!$R$7,VLOOKUP($I1715,Dashboard!$Q$16:$R$21,2,FALSE)))))*VLOOKUP($I1715,Dashboard!$Q$9:$R$13,2,FALSE)*IF(AND($I1715="Auto",$F1715="",OR($B1715="Autographs Duals",$B1715="Autographs Triples",$B1715="Autographs Quads",$B1715="Autographs Quads (Inscribed)")),IF($B1715="Autographs Duals",2,IF($B1715="Autographs Triples",3,4)),1)))</f>
        <v>142.9</v>
      </c>
      <c r="AB1715" s="62">
        <f t="shared" si="349"/>
        <v>0</v>
      </c>
      <c r="AC1715" s="62">
        <f t="shared" si="350"/>
        <v>0</v>
      </c>
    </row>
    <row r="1716" spans="1:29" ht="42.95" customHeight="1" x14ac:dyDescent="0.25">
      <c r="A1716" s="4" t="s">
        <v>21</v>
      </c>
      <c r="B1716" s="7" t="s">
        <v>97</v>
      </c>
      <c r="C1716" s="2" t="s">
        <v>415</v>
      </c>
      <c r="D1716" s="7" t="s">
        <v>224</v>
      </c>
      <c r="E1716" s="4" t="s">
        <v>689</v>
      </c>
      <c r="F1716" s="2">
        <v>7</v>
      </c>
      <c r="G1716" s="2" t="s">
        <v>1399</v>
      </c>
      <c r="H1716" s="2" t="s">
        <v>1400</v>
      </c>
      <c r="I1716" s="4" t="s">
        <v>60</v>
      </c>
      <c r="J1716" s="112">
        <f>IF($H1716&lt;&gt;"Y",0,ROUND(MIN(Dashboard!$R$24,IF(IFERROR(VLOOKUP($B1716,Dashboard!$Q$28:$S$60,2,FALSE),0)&gt;0,IFERROR(VLOOKUP($B1716,Dashboard!$Q$28:$S$60,2,FALSE),0),$Z1716*IF($U1716&lt;&gt;"",ROUND((Dashboard!$R$4/$U1716)*VLOOKUP($I1716,Dashboard!$Q$9:$R$13,2,FALSE)*IF(ISNUMBER(SEARCH("Duals",$B1716)),2,IF(ISNUMBER(SEARCH("Triples",$B1716)),3,IF(ISNUMBER(SEARCH("Quads",$B1716)),4,1))),2),ROUND(VLOOKUP($I1716,Dashboard!$Q$15:$R$20,2,FALSE)*IF($E1716="Red",Dashboard!$R$6,IF($E1716="Gold",Dashboard!$R$7,Dashboard!$R$5))*IF(ISNUMBER(SEARCH("Duals",$B1716)),2,IF(ISNUMBER(SEARCH("Triples",$B1716)),3,IF(ISNUMBER(SEARCH("Quads",$B1716)),4,1))),2))*IF(IFERROR(VLOOKUP($B1716,Dashboard!$Q$28:$S$60,3,FALSE),0)&gt;0,VLOOKUP($B1716,Dashboard!$Q$28:$S$60,3,FALSE),1))),0))</f>
        <v>129</v>
      </c>
      <c r="K1716" s="2" t="str">
        <f>IF(Characters!I16="","",Characters!I16)</f>
        <v>C 1/7</v>
      </c>
      <c r="L1716" s="2">
        <f t="shared" si="338"/>
        <v>1</v>
      </c>
      <c r="M1716" s="2">
        <f t="shared" si="339"/>
        <v>0</v>
      </c>
      <c r="N1716" s="2">
        <f t="shared" si="340"/>
        <v>1</v>
      </c>
      <c r="O1716" s="2">
        <f t="shared" si="341"/>
        <v>0</v>
      </c>
      <c r="P1716" s="112">
        <f t="shared" si="342"/>
        <v>129</v>
      </c>
      <c r="Q1716" s="112">
        <f t="shared" si="343"/>
        <v>0</v>
      </c>
      <c r="R1716" s="53"/>
      <c r="S1716" s="53" t="str">
        <f t="shared" si="344"/>
        <v>Characters|Characters The Seven Parallel|C-15|The Seven</v>
      </c>
      <c r="T1716" s="57" t="str">
        <f>IF($S1716="","",IFERROR(VLOOKUP($S1716,'Pop Estimates (Non-#d)'!$N$2:$O$500,2,FALSE),""))</f>
        <v/>
      </c>
      <c r="U1716" s="57">
        <f t="shared" si="345"/>
        <v>7</v>
      </c>
      <c r="V1716" s="53" t="str">
        <f t="shared" si="346"/>
        <v>Popclaw</v>
      </c>
      <c r="W1716" s="53" t="str">
        <f t="shared" si="347"/>
        <v>Popclaw</v>
      </c>
      <c r="X1716" s="53" t="str">
        <f t="shared" si="348"/>
        <v>Popclaw</v>
      </c>
      <c r="Y1716" s="57">
        <f>IF($X1716="","",IFERROR(VLOOKUP($X1716,'Char Popularity'!$A$2:$C$500,2,FALSE),""))</f>
        <v>2</v>
      </c>
      <c r="Z1716" s="56">
        <f>IF($X1716="",1,IFERROR(VLOOKUP($X1716,'Char Popularity'!$A$2:$C$500,3,FALSE),1))</f>
        <v>0.9</v>
      </c>
      <c r="AA1716" s="62">
        <f>IF($H1716&lt;&gt;"Y",0,(IF($F1716&lt;&gt;"",ROUND(Dashboard!$R$4/$F1716,1),IF(AND($I1716="Base",$E1716="Base"),Dashboard!$R$5,IF(AND($I1716="Base",$E1716="Red"),Dashboard!$R$6,IF(AND($I1716="Base",$E1716="Gold"),Dashboard!$R$7,VLOOKUP($I1716,Dashboard!$Q$16:$R$21,2,FALSE)))))*VLOOKUP($I1716,Dashboard!$Q$9:$R$13,2,FALSE)*IF(AND($I1716="Auto",$F1716="",OR($B1716="Autographs Duals",$B1716="Autographs Triples",$B1716="Autographs Quads",$B1716="Autographs Quads (Inscribed)")),IF($B1716="Autographs Duals",2,IF($B1716="Autographs Triples",3,4)),1)))</f>
        <v>142.9</v>
      </c>
      <c r="AB1716" s="62">
        <f t="shared" si="349"/>
        <v>142.9</v>
      </c>
      <c r="AC1716" s="62">
        <f t="shared" si="350"/>
        <v>0</v>
      </c>
    </row>
    <row r="1717" spans="1:29" ht="42.95" customHeight="1" x14ac:dyDescent="0.25">
      <c r="A1717" s="4" t="s">
        <v>21</v>
      </c>
      <c r="B1717" s="7" t="s">
        <v>97</v>
      </c>
      <c r="C1717" s="2" t="s">
        <v>1217</v>
      </c>
      <c r="D1717" s="7" t="s">
        <v>1218</v>
      </c>
      <c r="E1717" s="4" t="s">
        <v>689</v>
      </c>
      <c r="F1717" s="2">
        <v>7</v>
      </c>
      <c r="G1717" s="2" t="s">
        <v>1399</v>
      </c>
      <c r="H1717" s="2" t="s">
        <v>1400</v>
      </c>
      <c r="I1717" s="4" t="s">
        <v>60</v>
      </c>
      <c r="J1717" s="112">
        <f>IF($H1717&lt;&gt;"Y",0,ROUND(MIN(Dashboard!$R$24,IF(IFERROR(VLOOKUP($B1717,Dashboard!$Q$28:$S$60,2,FALSE),0)&gt;0,IFERROR(VLOOKUP($B1717,Dashboard!$Q$28:$S$60,2,FALSE),0),$Z1717*IF($U1717&lt;&gt;"",ROUND((Dashboard!$R$4/$U1717)*VLOOKUP($I1717,Dashboard!$Q$9:$R$13,2,FALSE)*IF(ISNUMBER(SEARCH("Duals",$B1717)),2,IF(ISNUMBER(SEARCH("Triples",$B1717)),3,IF(ISNUMBER(SEARCH("Quads",$B1717)),4,1))),2),ROUND(VLOOKUP($I1717,Dashboard!$Q$15:$R$20,2,FALSE)*IF($E1717="Red",Dashboard!$R$6,IF($E1717="Gold",Dashboard!$R$7,Dashboard!$R$5))*IF(ISNUMBER(SEARCH("Duals",$B1717)),2,IF(ISNUMBER(SEARCH("Triples",$B1717)),3,IF(ISNUMBER(SEARCH("Quads",$B1717)),4,1))),2))*IF(IFERROR(VLOOKUP($B1717,Dashboard!$Q$28:$S$60,3,FALSE),0)&gt;0,VLOOKUP($B1717,Dashboard!$Q$28:$S$60,3,FALSE),1))),0))</f>
        <v>129</v>
      </c>
      <c r="K1717" s="2" t="str">
        <f>IF(Characters!I17="","",Characters!I17)</f>
        <v>V 4/7</v>
      </c>
      <c r="L1717" s="2">
        <f t="shared" si="338"/>
        <v>1</v>
      </c>
      <c r="M1717" s="2">
        <f t="shared" si="339"/>
        <v>0</v>
      </c>
      <c r="N1717" s="2">
        <f t="shared" si="340"/>
        <v>1</v>
      </c>
      <c r="O1717" s="2">
        <f t="shared" si="341"/>
        <v>0</v>
      </c>
      <c r="P1717" s="112">
        <f t="shared" si="342"/>
        <v>129</v>
      </c>
      <c r="Q1717" s="112">
        <f t="shared" si="343"/>
        <v>0</v>
      </c>
      <c r="R1717" s="53"/>
      <c r="S1717" s="53" t="str">
        <f t="shared" si="344"/>
        <v>Characters|Characters The Seven Parallel|C-16|The Seven</v>
      </c>
      <c r="T1717" s="57" t="str">
        <f>IF($S1717="","",IFERROR(VLOOKUP($S1717,'Pop Estimates (Non-#d)'!$N$2:$O$500,2,FALSE),""))</f>
        <v/>
      </c>
      <c r="U1717" s="57">
        <f t="shared" si="345"/>
        <v>7</v>
      </c>
      <c r="V1717" s="53" t="str">
        <f t="shared" si="346"/>
        <v>Eziekiel</v>
      </c>
      <c r="W1717" s="53" t="str">
        <f t="shared" si="347"/>
        <v>Eziekiel</v>
      </c>
      <c r="X1717" s="53" t="str">
        <f t="shared" si="348"/>
        <v>Eziekiel</v>
      </c>
      <c r="Y1717" s="57">
        <f>IF($X1717="","",IFERROR(VLOOKUP($X1717,'Char Popularity'!$A$2:$C$500,2,FALSE),""))</f>
        <v>2</v>
      </c>
      <c r="Z1717" s="56">
        <f>IF($X1717="",1,IFERROR(VLOOKUP($X1717,'Char Popularity'!$A$2:$C$500,3,FALSE),1))</f>
        <v>0.9</v>
      </c>
      <c r="AA1717" s="62">
        <f>IF($H1717&lt;&gt;"Y",0,(IF($F1717&lt;&gt;"",ROUND(Dashboard!$R$4/$F1717,1),IF(AND($I1717="Base",$E1717="Base"),Dashboard!$R$5,IF(AND($I1717="Base",$E1717="Red"),Dashboard!$R$6,IF(AND($I1717="Base",$E1717="Gold"),Dashboard!$R$7,VLOOKUP($I1717,Dashboard!$Q$16:$R$21,2,FALSE)))))*VLOOKUP($I1717,Dashboard!$Q$9:$R$13,2,FALSE)*IF(AND($I1717="Auto",$F1717="",OR($B1717="Autographs Duals",$B1717="Autographs Triples",$B1717="Autographs Quads",$B1717="Autographs Quads (Inscribed)")),IF($B1717="Autographs Duals",2,IF($B1717="Autographs Triples",3,4)),1)))</f>
        <v>142.9</v>
      </c>
      <c r="AB1717" s="62">
        <f t="shared" si="349"/>
        <v>142.9</v>
      </c>
      <c r="AC1717" s="62">
        <f t="shared" si="350"/>
        <v>0</v>
      </c>
    </row>
    <row r="1718" spans="1:29" ht="42.95" customHeight="1" x14ac:dyDescent="0.25">
      <c r="A1718" s="4" t="s">
        <v>21</v>
      </c>
      <c r="B1718" s="7" t="s">
        <v>97</v>
      </c>
      <c r="C1718" s="2" t="s">
        <v>416</v>
      </c>
      <c r="D1718" s="7" t="s">
        <v>234</v>
      </c>
      <c r="E1718" s="4" t="s">
        <v>689</v>
      </c>
      <c r="F1718" s="2">
        <v>7</v>
      </c>
      <c r="G1718" s="2" t="s">
        <v>1399</v>
      </c>
      <c r="H1718" s="2" t="s">
        <v>1400</v>
      </c>
      <c r="I1718" s="4" t="s">
        <v>60</v>
      </c>
      <c r="J1718" s="112">
        <f>IF($H1718&lt;&gt;"Y",0,ROUND(MIN(Dashboard!$R$24,IF(IFERROR(VLOOKUP($B1718,Dashboard!$Q$28:$S$60,2,FALSE),0)&gt;0,IFERROR(VLOOKUP($B1718,Dashboard!$Q$28:$S$60,2,FALSE),0),$Z1718*IF($U1718&lt;&gt;"",ROUND((Dashboard!$R$4/$U1718)*VLOOKUP($I1718,Dashboard!$Q$9:$R$13,2,FALSE)*IF(ISNUMBER(SEARCH("Duals",$B1718)),2,IF(ISNUMBER(SEARCH("Triples",$B1718)),3,IF(ISNUMBER(SEARCH("Quads",$B1718)),4,1))),2),ROUND(VLOOKUP($I1718,Dashboard!$Q$15:$R$20,2,FALSE)*IF($E1718="Red",Dashboard!$R$6,IF($E1718="Gold",Dashboard!$R$7,Dashboard!$R$5))*IF(ISNUMBER(SEARCH("Duals",$B1718)),2,IF(ISNUMBER(SEARCH("Triples",$B1718)),3,IF(ISNUMBER(SEARCH("Quads",$B1718)),4,1))),2))*IF(IFERROR(VLOOKUP($B1718,Dashboard!$Q$28:$S$60,3,FALSE),0)&gt;0,VLOOKUP($B1718,Dashboard!$Q$28:$S$60,3,FALSE),1))),0))</f>
        <v>143</v>
      </c>
      <c r="K1718" s="2" t="str">
        <f>IF(Characters!I18="","",Characters!I18)</f>
        <v/>
      </c>
      <c r="L1718" s="2">
        <f t="shared" si="338"/>
        <v>0</v>
      </c>
      <c r="M1718" s="2">
        <f t="shared" si="339"/>
        <v>0</v>
      </c>
      <c r="N1718" s="2">
        <f t="shared" si="340"/>
        <v>0</v>
      </c>
      <c r="O1718" s="2">
        <f t="shared" si="341"/>
        <v>1</v>
      </c>
      <c r="P1718" s="112">
        <f t="shared" si="342"/>
        <v>0</v>
      </c>
      <c r="Q1718" s="112">
        <f t="shared" si="343"/>
        <v>0</v>
      </c>
      <c r="R1718" s="53"/>
      <c r="S1718" s="53" t="str">
        <f t="shared" si="344"/>
        <v>Characters|Characters The Seven Parallel|C-17|The Seven</v>
      </c>
      <c r="T1718" s="57" t="str">
        <f>IF($S1718="","",IFERROR(VLOOKUP($S1718,'Pop Estimates (Non-#d)'!$N$2:$O$500,2,FALSE),""))</f>
        <v/>
      </c>
      <c r="U1718" s="57">
        <f t="shared" si="345"/>
        <v>7</v>
      </c>
      <c r="V1718" s="53" t="str">
        <f t="shared" si="346"/>
        <v>Ashley Barrett</v>
      </c>
      <c r="W1718" s="53" t="str">
        <f t="shared" si="347"/>
        <v>Ashley Barrett</v>
      </c>
      <c r="X1718" s="53" t="str">
        <f t="shared" si="348"/>
        <v>Ashley Barrett</v>
      </c>
      <c r="Y1718" s="57">
        <f>IF($X1718="","",IFERROR(VLOOKUP($X1718,'Char Popularity'!$A$2:$C$500,2,FALSE),""))</f>
        <v>3</v>
      </c>
      <c r="Z1718" s="56">
        <f>IF($X1718="",1,IFERROR(VLOOKUP($X1718,'Char Popularity'!$A$2:$C$500,3,FALSE),1))</f>
        <v>1</v>
      </c>
      <c r="AA1718" s="62">
        <f>IF($H1718&lt;&gt;"Y",0,(IF($F1718&lt;&gt;"",ROUND(Dashboard!$R$4/$F1718,1),IF(AND($I1718="Base",$E1718="Base"),Dashboard!$R$5,IF(AND($I1718="Base",$E1718="Red"),Dashboard!$R$6,IF(AND($I1718="Base",$E1718="Gold"),Dashboard!$R$7,VLOOKUP($I1718,Dashboard!$Q$16:$R$21,2,FALSE)))))*VLOOKUP($I1718,Dashboard!$Q$9:$R$13,2,FALSE)*IF(AND($I1718="Auto",$F1718="",OR($B1718="Autographs Duals",$B1718="Autographs Triples",$B1718="Autographs Quads",$B1718="Autographs Quads (Inscribed)")),IF($B1718="Autographs Duals",2,IF($B1718="Autographs Triples",3,4)),1)))</f>
        <v>142.9</v>
      </c>
      <c r="AB1718" s="62">
        <f t="shared" si="349"/>
        <v>0</v>
      </c>
      <c r="AC1718" s="62">
        <f t="shared" si="350"/>
        <v>0</v>
      </c>
    </row>
    <row r="1719" spans="1:29" ht="42.95" customHeight="1" x14ac:dyDescent="0.25">
      <c r="A1719" s="4" t="s">
        <v>21</v>
      </c>
      <c r="B1719" s="7" t="s">
        <v>97</v>
      </c>
      <c r="C1719" s="2" t="s">
        <v>417</v>
      </c>
      <c r="D1719" s="7" t="s">
        <v>308</v>
      </c>
      <c r="E1719" s="4" t="s">
        <v>689</v>
      </c>
      <c r="F1719" s="2">
        <v>7</v>
      </c>
      <c r="G1719" s="2" t="s">
        <v>1399</v>
      </c>
      <c r="H1719" s="2" t="s">
        <v>1400</v>
      </c>
      <c r="I1719" s="4" t="s">
        <v>60</v>
      </c>
      <c r="J1719" s="112">
        <f>IF($H1719&lt;&gt;"Y",0,ROUND(MIN(Dashboard!$R$24,IF(IFERROR(VLOOKUP($B1719,Dashboard!$Q$28:$S$60,2,FALSE),0)&gt;0,IFERROR(VLOOKUP($B1719,Dashboard!$Q$28:$S$60,2,FALSE),0),$Z1719*IF($U1719&lt;&gt;"",ROUND((Dashboard!$R$4/$U1719)*VLOOKUP($I1719,Dashboard!$Q$9:$R$13,2,FALSE)*IF(ISNUMBER(SEARCH("Duals",$B1719)),2,IF(ISNUMBER(SEARCH("Triples",$B1719)),3,IF(ISNUMBER(SEARCH("Quads",$B1719)),4,1))),2),ROUND(VLOOKUP($I1719,Dashboard!$Q$15:$R$20,2,FALSE)*IF($E1719="Red",Dashboard!$R$6,IF($E1719="Gold",Dashboard!$R$7,Dashboard!$R$5))*IF(ISNUMBER(SEARCH("Duals",$B1719)),2,IF(ISNUMBER(SEARCH("Triples",$B1719)),3,IF(ISNUMBER(SEARCH("Quads",$B1719)),4,1))),2))*IF(IFERROR(VLOOKUP($B1719,Dashboard!$Q$28:$S$60,3,FALSE),0)&gt;0,VLOOKUP($B1719,Dashboard!$Q$28:$S$60,3,FALSE),1))),0))</f>
        <v>143</v>
      </c>
      <c r="K1719" s="2" t="str">
        <f>IF(Characters!I19="","",Characters!I19)</f>
        <v/>
      </c>
      <c r="L1719" s="2">
        <f t="shared" si="338"/>
        <v>0</v>
      </c>
      <c r="M1719" s="2">
        <f t="shared" si="339"/>
        <v>0</v>
      </c>
      <c r="N1719" s="2">
        <f t="shared" si="340"/>
        <v>0</v>
      </c>
      <c r="O1719" s="2">
        <f t="shared" si="341"/>
        <v>1</v>
      </c>
      <c r="P1719" s="112">
        <f t="shared" si="342"/>
        <v>0</v>
      </c>
      <c r="Q1719" s="112">
        <f t="shared" si="343"/>
        <v>0</v>
      </c>
      <c r="R1719" s="53"/>
      <c r="S1719" s="53" t="str">
        <f t="shared" si="344"/>
        <v>Characters|Characters The Seven Parallel|C-18|The Seven</v>
      </c>
      <c r="T1719" s="57" t="str">
        <f>IF($S1719="","",IFERROR(VLOOKUP($S1719,'Pop Estimates (Non-#d)'!$N$2:$O$500,2,FALSE),""))</f>
        <v/>
      </c>
      <c r="U1719" s="57">
        <f t="shared" si="345"/>
        <v>7</v>
      </c>
      <c r="V1719" s="53" t="str">
        <f t="shared" si="346"/>
        <v>Becca Butcher</v>
      </c>
      <c r="W1719" s="53" t="str">
        <f t="shared" si="347"/>
        <v>Becca Butcher</v>
      </c>
      <c r="X1719" s="53" t="str">
        <f t="shared" si="348"/>
        <v>Becca Butcher</v>
      </c>
      <c r="Y1719" s="57">
        <f>IF($X1719="","",IFERROR(VLOOKUP($X1719,'Char Popularity'!$A$2:$C$500,2,FALSE),""))</f>
        <v>3</v>
      </c>
      <c r="Z1719" s="56">
        <f>IF($X1719="",1,IFERROR(VLOOKUP($X1719,'Char Popularity'!$A$2:$C$500,3,FALSE),1))</f>
        <v>1</v>
      </c>
      <c r="AA1719" s="62">
        <f>IF($H1719&lt;&gt;"Y",0,(IF($F1719&lt;&gt;"",ROUND(Dashboard!$R$4/$F1719,1),IF(AND($I1719="Base",$E1719="Base"),Dashboard!$R$5,IF(AND($I1719="Base",$E1719="Red"),Dashboard!$R$6,IF(AND($I1719="Base",$E1719="Gold"),Dashboard!$R$7,VLOOKUP($I1719,Dashboard!$Q$16:$R$21,2,FALSE)))))*VLOOKUP($I1719,Dashboard!$Q$9:$R$13,2,FALSE)*IF(AND($I1719="Auto",$F1719="",OR($B1719="Autographs Duals",$B1719="Autographs Triples",$B1719="Autographs Quads",$B1719="Autographs Quads (Inscribed)")),IF($B1719="Autographs Duals",2,IF($B1719="Autographs Triples",3,4)),1)))</f>
        <v>142.9</v>
      </c>
      <c r="AB1719" s="62">
        <f t="shared" si="349"/>
        <v>0</v>
      </c>
      <c r="AC1719" s="62">
        <f t="shared" si="350"/>
        <v>0</v>
      </c>
    </row>
    <row r="1720" spans="1:29" ht="42.95" customHeight="1" x14ac:dyDescent="0.25">
      <c r="A1720" s="4" t="s">
        <v>21</v>
      </c>
      <c r="B1720" s="7" t="s">
        <v>97</v>
      </c>
      <c r="C1720" s="2" t="s">
        <v>418</v>
      </c>
      <c r="D1720" s="7" t="s">
        <v>301</v>
      </c>
      <c r="E1720" s="4" t="s">
        <v>689</v>
      </c>
      <c r="F1720" s="2">
        <v>7</v>
      </c>
      <c r="G1720" s="2" t="s">
        <v>1399</v>
      </c>
      <c r="H1720" s="2" t="s">
        <v>1400</v>
      </c>
      <c r="I1720" s="4" t="s">
        <v>60</v>
      </c>
      <c r="J1720" s="112">
        <f>IF($H1720&lt;&gt;"Y",0,ROUND(MIN(Dashboard!$R$24,IF(IFERROR(VLOOKUP($B1720,Dashboard!$Q$28:$S$60,2,FALSE),0)&gt;0,IFERROR(VLOOKUP($B1720,Dashboard!$Q$28:$S$60,2,FALSE),0),$Z1720*IF($U1720&lt;&gt;"",ROUND((Dashboard!$R$4/$U1720)*VLOOKUP($I1720,Dashboard!$Q$9:$R$13,2,FALSE)*IF(ISNUMBER(SEARCH("Duals",$B1720)),2,IF(ISNUMBER(SEARCH("Triples",$B1720)),3,IF(ISNUMBER(SEARCH("Quads",$B1720)),4,1))),2),ROUND(VLOOKUP($I1720,Dashboard!$Q$15:$R$20,2,FALSE)*IF($E1720="Red",Dashboard!$R$6,IF($E1720="Gold",Dashboard!$R$7,Dashboard!$R$5))*IF(ISNUMBER(SEARCH("Duals",$B1720)),2,IF(ISNUMBER(SEARCH("Triples",$B1720)),3,IF(ISNUMBER(SEARCH("Quads",$B1720)),4,1))),2))*IF(IFERROR(VLOOKUP($B1720,Dashboard!$Q$28:$S$60,3,FALSE),0)&gt;0,VLOOKUP($B1720,Dashboard!$Q$28:$S$60,3,FALSE),1))),0))</f>
        <v>129</v>
      </c>
      <c r="K1720" s="2" t="str">
        <f>IF(Characters!I20="","",Characters!I20)</f>
        <v/>
      </c>
      <c r="L1720" s="2">
        <f t="shared" si="338"/>
        <v>0</v>
      </c>
      <c r="M1720" s="2">
        <f t="shared" si="339"/>
        <v>0</v>
      </c>
      <c r="N1720" s="2">
        <f t="shared" si="340"/>
        <v>0</v>
      </c>
      <c r="O1720" s="2">
        <f t="shared" si="341"/>
        <v>1</v>
      </c>
      <c r="P1720" s="112">
        <f t="shared" si="342"/>
        <v>0</v>
      </c>
      <c r="Q1720" s="112">
        <f t="shared" si="343"/>
        <v>0</v>
      </c>
      <c r="R1720" s="53"/>
      <c r="S1720" s="53" t="str">
        <f t="shared" si="344"/>
        <v>Characters|Characters The Seven Parallel|C-19|The Seven</v>
      </c>
      <c r="T1720" s="57" t="str">
        <f>IF($S1720="","",IFERROR(VLOOKUP($S1720,'Pop Estimates (Non-#d)'!$N$2:$O$500,2,FALSE),""))</f>
        <v/>
      </c>
      <c r="U1720" s="57">
        <f t="shared" si="345"/>
        <v>7</v>
      </c>
      <c r="V1720" s="53" t="str">
        <f t="shared" si="346"/>
        <v>Lamplighter</v>
      </c>
      <c r="W1720" s="53" t="str">
        <f t="shared" si="347"/>
        <v>Lamplighter</v>
      </c>
      <c r="X1720" s="53" t="str">
        <f t="shared" si="348"/>
        <v>Lamplighter</v>
      </c>
      <c r="Y1720" s="57">
        <f>IF($X1720="","",IFERROR(VLOOKUP($X1720,'Char Popularity'!$A$2:$C$500,2,FALSE),""))</f>
        <v>2</v>
      </c>
      <c r="Z1720" s="56">
        <f>IF($X1720="",1,IFERROR(VLOOKUP($X1720,'Char Popularity'!$A$2:$C$500,3,FALSE),1))</f>
        <v>0.9</v>
      </c>
      <c r="AA1720" s="62">
        <f>IF($H1720&lt;&gt;"Y",0,(IF($F1720&lt;&gt;"",ROUND(Dashboard!$R$4/$F1720,1),IF(AND($I1720="Base",$E1720="Base"),Dashboard!$R$5,IF(AND($I1720="Base",$E1720="Red"),Dashboard!$R$6,IF(AND($I1720="Base",$E1720="Gold"),Dashboard!$R$7,VLOOKUP($I1720,Dashboard!$Q$16:$R$21,2,FALSE)))))*VLOOKUP($I1720,Dashboard!$Q$9:$R$13,2,FALSE)*IF(AND($I1720="Auto",$F1720="",OR($B1720="Autographs Duals",$B1720="Autographs Triples",$B1720="Autographs Quads",$B1720="Autographs Quads (Inscribed)")),IF($B1720="Autographs Duals",2,IF($B1720="Autographs Triples",3,4)),1)))</f>
        <v>142.9</v>
      </c>
      <c r="AB1720" s="62">
        <f t="shared" si="349"/>
        <v>0</v>
      </c>
      <c r="AC1720" s="62">
        <f t="shared" si="350"/>
        <v>0</v>
      </c>
    </row>
    <row r="1721" spans="1:29" ht="42.95" customHeight="1" x14ac:dyDescent="0.25">
      <c r="A1721" s="4" t="s">
        <v>21</v>
      </c>
      <c r="B1721" s="7" t="s">
        <v>97</v>
      </c>
      <c r="C1721" s="2" t="s">
        <v>420</v>
      </c>
      <c r="D1721" s="7" t="s">
        <v>260</v>
      </c>
      <c r="E1721" s="4" t="s">
        <v>689</v>
      </c>
      <c r="F1721" s="2">
        <v>7</v>
      </c>
      <c r="G1721" s="2" t="s">
        <v>1399</v>
      </c>
      <c r="H1721" s="2" t="s">
        <v>1400</v>
      </c>
      <c r="I1721" s="4" t="s">
        <v>60</v>
      </c>
      <c r="J1721" s="112">
        <f>IF($H1721&lt;&gt;"Y",0,ROUND(MIN(Dashboard!$R$24,IF(IFERROR(VLOOKUP($B1721,Dashboard!$Q$28:$S$60,2,FALSE),0)&gt;0,IFERROR(VLOOKUP($B1721,Dashboard!$Q$28:$S$60,2,FALSE),0),$Z1721*IF($U1721&lt;&gt;"",ROUND((Dashboard!$R$4/$U1721)*VLOOKUP($I1721,Dashboard!$Q$9:$R$13,2,FALSE)*IF(ISNUMBER(SEARCH("Duals",$B1721)),2,IF(ISNUMBER(SEARCH("Triples",$B1721)),3,IF(ISNUMBER(SEARCH("Quads",$B1721)),4,1))),2),ROUND(VLOOKUP($I1721,Dashboard!$Q$15:$R$20,2,FALSE)*IF($E1721="Red",Dashboard!$R$6,IF($E1721="Gold",Dashboard!$R$7,Dashboard!$R$5))*IF(ISNUMBER(SEARCH("Duals",$B1721)),2,IF(ISNUMBER(SEARCH("Triples",$B1721)),3,IF(ISNUMBER(SEARCH("Quads",$B1721)),4,1))),2))*IF(IFERROR(VLOOKUP($B1721,Dashboard!$Q$28:$S$60,3,FALSE),0)&gt;0,VLOOKUP($B1721,Dashboard!$Q$28:$S$60,3,FALSE),1))),0))</f>
        <v>143</v>
      </c>
      <c r="K1721" s="2" t="str">
        <f>IF(Characters!I21="","",Characters!I21)</f>
        <v/>
      </c>
      <c r="L1721" s="2">
        <f t="shared" si="338"/>
        <v>0</v>
      </c>
      <c r="M1721" s="2">
        <f t="shared" si="339"/>
        <v>0</v>
      </c>
      <c r="N1721" s="2">
        <f t="shared" si="340"/>
        <v>0</v>
      </c>
      <c r="O1721" s="2">
        <f t="shared" si="341"/>
        <v>1</v>
      </c>
      <c r="P1721" s="112">
        <f t="shared" si="342"/>
        <v>0</v>
      </c>
      <c r="Q1721" s="112">
        <f t="shared" si="343"/>
        <v>0</v>
      </c>
      <c r="R1721" s="53"/>
      <c r="S1721" s="53" t="str">
        <f t="shared" si="344"/>
        <v>Characters|Characters The Seven Parallel|C-20|The Seven</v>
      </c>
      <c r="T1721" s="57" t="str">
        <f>IF($S1721="","",IFERROR(VLOOKUP($S1721,'Pop Estimates (Non-#d)'!$N$2:$O$500,2,FALSE),""))</f>
        <v/>
      </c>
      <c r="U1721" s="57">
        <f t="shared" si="345"/>
        <v>7</v>
      </c>
      <c r="V1721" s="53" t="str">
        <f t="shared" si="346"/>
        <v>Cherie</v>
      </c>
      <c r="W1721" s="53" t="str">
        <f t="shared" si="347"/>
        <v>Cherie</v>
      </c>
      <c r="X1721" s="53" t="str">
        <f t="shared" si="348"/>
        <v>Cherie</v>
      </c>
      <c r="Y1721" s="57">
        <f>IF($X1721="","",IFERROR(VLOOKUP($X1721,'Char Popularity'!$A$2:$C$500,2,FALSE),""))</f>
        <v>3</v>
      </c>
      <c r="Z1721" s="56">
        <f>IF($X1721="",1,IFERROR(VLOOKUP($X1721,'Char Popularity'!$A$2:$C$500,3,FALSE),1))</f>
        <v>1</v>
      </c>
      <c r="AA1721" s="62">
        <f>IF($H1721&lt;&gt;"Y",0,(IF($F1721&lt;&gt;"",ROUND(Dashboard!$R$4/$F1721,1),IF(AND($I1721="Base",$E1721="Base"),Dashboard!$R$5,IF(AND($I1721="Base",$E1721="Red"),Dashboard!$R$6,IF(AND($I1721="Base",$E1721="Gold"),Dashboard!$R$7,VLOOKUP($I1721,Dashboard!$Q$16:$R$21,2,FALSE)))))*VLOOKUP($I1721,Dashboard!$Q$9:$R$13,2,FALSE)*IF(AND($I1721="Auto",$F1721="",OR($B1721="Autographs Duals",$B1721="Autographs Triples",$B1721="Autographs Quads",$B1721="Autographs Quads (Inscribed)")),IF($B1721="Autographs Duals",2,IF($B1721="Autographs Triples",3,4)),1)))</f>
        <v>142.9</v>
      </c>
      <c r="AB1721" s="62">
        <f t="shared" si="349"/>
        <v>0</v>
      </c>
      <c r="AC1721" s="62">
        <f t="shared" si="350"/>
        <v>0</v>
      </c>
    </row>
    <row r="1722" spans="1:29" ht="42.95" customHeight="1" x14ac:dyDescent="0.25">
      <c r="A1722" s="4" t="s">
        <v>21</v>
      </c>
      <c r="B1722" s="7" t="s">
        <v>97</v>
      </c>
      <c r="C1722" s="2" t="s">
        <v>421</v>
      </c>
      <c r="D1722" s="7" t="s">
        <v>288</v>
      </c>
      <c r="E1722" s="4" t="s">
        <v>689</v>
      </c>
      <c r="F1722" s="2">
        <v>7</v>
      </c>
      <c r="G1722" s="2" t="s">
        <v>1399</v>
      </c>
      <c r="H1722" s="2" t="s">
        <v>1400</v>
      </c>
      <c r="I1722" s="4" t="s">
        <v>60</v>
      </c>
      <c r="J1722" s="112">
        <f>IF($H1722&lt;&gt;"Y",0,ROUND(MIN(Dashboard!$R$24,IF(IFERROR(VLOOKUP($B1722,Dashboard!$Q$28:$S$60,2,FALSE),0)&gt;0,IFERROR(VLOOKUP($B1722,Dashboard!$Q$28:$S$60,2,FALSE),0),$Z1722*IF($U1722&lt;&gt;"",ROUND((Dashboard!$R$4/$U1722)*VLOOKUP($I1722,Dashboard!$Q$9:$R$13,2,FALSE)*IF(ISNUMBER(SEARCH("Duals",$B1722)),2,IF(ISNUMBER(SEARCH("Triples",$B1722)),3,IF(ISNUMBER(SEARCH("Quads",$B1722)),4,1))),2),ROUND(VLOOKUP($I1722,Dashboard!$Q$15:$R$20,2,FALSE)*IF($E1722="Red",Dashboard!$R$6,IF($E1722="Gold",Dashboard!$R$7,Dashboard!$R$5))*IF(ISNUMBER(SEARCH("Duals",$B1722)),2,IF(ISNUMBER(SEARCH("Triples",$B1722)),3,IF(ISNUMBER(SEARCH("Quads",$B1722)),4,1))),2))*IF(IFERROR(VLOOKUP($B1722,Dashboard!$Q$28:$S$60,3,FALSE),0)&gt;0,VLOOKUP($B1722,Dashboard!$Q$28:$S$60,3,FALSE),1))),0))</f>
        <v>129</v>
      </c>
      <c r="K1722" s="2" t="str">
        <f>IF(Characters!I22="","",Characters!I22)</f>
        <v/>
      </c>
      <c r="L1722" s="2">
        <f t="shared" si="338"/>
        <v>0</v>
      </c>
      <c r="M1722" s="2">
        <f t="shared" si="339"/>
        <v>0</v>
      </c>
      <c r="N1722" s="2">
        <f t="shared" si="340"/>
        <v>0</v>
      </c>
      <c r="O1722" s="2">
        <f t="shared" si="341"/>
        <v>1</v>
      </c>
      <c r="P1722" s="112">
        <f t="shared" si="342"/>
        <v>0</v>
      </c>
      <c r="Q1722" s="112">
        <f t="shared" si="343"/>
        <v>0</v>
      </c>
      <c r="R1722" s="53"/>
      <c r="S1722" s="53" t="str">
        <f t="shared" si="344"/>
        <v>Characters|Characters The Seven Parallel|C-21|The Seven</v>
      </c>
      <c r="T1722" s="57" t="str">
        <f>IF($S1722="","",IFERROR(VLOOKUP($S1722,'Pop Estimates (Non-#d)'!$N$2:$O$500,2,FALSE),""))</f>
        <v/>
      </c>
      <c r="U1722" s="57">
        <f t="shared" si="345"/>
        <v>7</v>
      </c>
      <c r="V1722" s="53" t="str">
        <f t="shared" si="346"/>
        <v>Shockwave</v>
      </c>
      <c r="W1722" s="53" t="str">
        <f t="shared" si="347"/>
        <v>Shockwave</v>
      </c>
      <c r="X1722" s="53" t="str">
        <f t="shared" si="348"/>
        <v>Shockwave</v>
      </c>
      <c r="Y1722" s="57">
        <f>IF($X1722="","",IFERROR(VLOOKUP($X1722,'Char Popularity'!$A$2:$C$500,2,FALSE),""))</f>
        <v>2</v>
      </c>
      <c r="Z1722" s="56">
        <f>IF($X1722="",1,IFERROR(VLOOKUP($X1722,'Char Popularity'!$A$2:$C$500,3,FALSE),1))</f>
        <v>0.9</v>
      </c>
      <c r="AA1722" s="62">
        <f>IF($H1722&lt;&gt;"Y",0,(IF($F1722&lt;&gt;"",ROUND(Dashboard!$R$4/$F1722,1),IF(AND($I1722="Base",$E1722="Base"),Dashboard!$R$5,IF(AND($I1722="Base",$E1722="Red"),Dashboard!$R$6,IF(AND($I1722="Base",$E1722="Gold"),Dashboard!$R$7,VLOOKUP($I1722,Dashboard!$Q$16:$R$21,2,FALSE)))))*VLOOKUP($I1722,Dashboard!$Q$9:$R$13,2,FALSE)*IF(AND($I1722="Auto",$F1722="",OR($B1722="Autographs Duals",$B1722="Autographs Triples",$B1722="Autographs Quads",$B1722="Autographs Quads (Inscribed)")),IF($B1722="Autographs Duals",2,IF($B1722="Autographs Triples",3,4)),1)))</f>
        <v>142.9</v>
      </c>
      <c r="AB1722" s="62">
        <f t="shared" si="349"/>
        <v>0</v>
      </c>
      <c r="AC1722" s="62">
        <f t="shared" si="350"/>
        <v>0</v>
      </c>
    </row>
    <row r="1723" spans="1:29" ht="42.95" customHeight="1" x14ac:dyDescent="0.25">
      <c r="A1723" s="4" t="s">
        <v>21</v>
      </c>
      <c r="B1723" s="7" t="s">
        <v>97</v>
      </c>
      <c r="C1723" s="2" t="s">
        <v>422</v>
      </c>
      <c r="D1723" s="7" t="s">
        <v>228</v>
      </c>
      <c r="E1723" s="4" t="s">
        <v>689</v>
      </c>
      <c r="F1723" s="2">
        <v>7</v>
      </c>
      <c r="G1723" s="2" t="s">
        <v>1399</v>
      </c>
      <c r="H1723" s="2" t="s">
        <v>1400</v>
      </c>
      <c r="I1723" s="4" t="s">
        <v>60</v>
      </c>
      <c r="J1723" s="112">
        <f>IF($H1723&lt;&gt;"Y",0,ROUND(MIN(Dashboard!$R$24,IF(IFERROR(VLOOKUP($B1723,Dashboard!$Q$28:$S$60,2,FALSE),0)&gt;0,IFERROR(VLOOKUP($B1723,Dashboard!$Q$28:$S$60,2,FALSE),0),$Z1723*IF($U1723&lt;&gt;"",ROUND((Dashboard!$R$4/$U1723)*VLOOKUP($I1723,Dashboard!$Q$9:$R$13,2,FALSE)*IF(ISNUMBER(SEARCH("Duals",$B1723)),2,IF(ISNUMBER(SEARCH("Triples",$B1723)),3,IF(ISNUMBER(SEARCH("Quads",$B1723)),4,1))),2),ROUND(VLOOKUP($I1723,Dashboard!$Q$15:$R$20,2,FALSE)*IF($E1723="Red",Dashboard!$R$6,IF($E1723="Gold",Dashboard!$R$7,Dashboard!$R$5))*IF(ISNUMBER(SEARCH("Duals",$B1723)),2,IF(ISNUMBER(SEARCH("Triples",$B1723)),3,IF(ISNUMBER(SEARCH("Quads",$B1723)),4,1))),2))*IF(IFERROR(VLOOKUP($B1723,Dashboard!$Q$28:$S$60,3,FALSE),0)&gt;0,VLOOKUP($B1723,Dashboard!$Q$28:$S$60,3,FALSE),1))),0))</f>
        <v>157</v>
      </c>
      <c r="K1723" s="2" t="str">
        <f>IF(Characters!I23="","",Characters!I23)</f>
        <v/>
      </c>
      <c r="L1723" s="2">
        <f t="shared" si="338"/>
        <v>0</v>
      </c>
      <c r="M1723" s="2">
        <f t="shared" si="339"/>
        <v>0</v>
      </c>
      <c r="N1723" s="2">
        <f t="shared" si="340"/>
        <v>0</v>
      </c>
      <c r="O1723" s="2">
        <f t="shared" si="341"/>
        <v>1</v>
      </c>
      <c r="P1723" s="112">
        <f t="shared" si="342"/>
        <v>0</v>
      </c>
      <c r="Q1723" s="112">
        <f t="shared" si="343"/>
        <v>0</v>
      </c>
      <c r="R1723" s="53"/>
      <c r="S1723" s="53" t="str">
        <f t="shared" si="344"/>
        <v>Characters|Characters The Seven Parallel|C-22|The Seven</v>
      </c>
      <c r="T1723" s="57" t="str">
        <f>IF($S1723="","",IFERROR(VLOOKUP($S1723,'Pop Estimates (Non-#d)'!$N$2:$O$500,2,FALSE),""))</f>
        <v/>
      </c>
      <c r="U1723" s="57">
        <f t="shared" si="345"/>
        <v>7</v>
      </c>
      <c r="V1723" s="53" t="str">
        <f t="shared" si="346"/>
        <v>Ryan</v>
      </c>
      <c r="W1723" s="53" t="str">
        <f t="shared" si="347"/>
        <v>Ryan</v>
      </c>
      <c r="X1723" s="53" t="str">
        <f t="shared" si="348"/>
        <v>Ryan</v>
      </c>
      <c r="Y1723" s="57">
        <f>IF($X1723="","",IFERROR(VLOOKUP($X1723,'Char Popularity'!$A$2:$C$500,2,FALSE),""))</f>
        <v>4</v>
      </c>
      <c r="Z1723" s="56">
        <f>IF($X1723="",1,IFERROR(VLOOKUP($X1723,'Char Popularity'!$A$2:$C$500,3,FALSE),1))</f>
        <v>1.1000000000000001</v>
      </c>
      <c r="AA1723" s="62">
        <f>IF($H1723&lt;&gt;"Y",0,(IF($F1723&lt;&gt;"",ROUND(Dashboard!$R$4/$F1723,1),IF(AND($I1723="Base",$E1723="Base"),Dashboard!$R$5,IF(AND($I1723="Base",$E1723="Red"),Dashboard!$R$6,IF(AND($I1723="Base",$E1723="Gold"),Dashboard!$R$7,VLOOKUP($I1723,Dashboard!$Q$16:$R$21,2,FALSE)))))*VLOOKUP($I1723,Dashboard!$Q$9:$R$13,2,FALSE)*IF(AND($I1723="Auto",$F1723="",OR($B1723="Autographs Duals",$B1723="Autographs Triples",$B1723="Autographs Quads",$B1723="Autographs Quads (Inscribed)")),IF($B1723="Autographs Duals",2,IF($B1723="Autographs Triples",3,4)),1)))</f>
        <v>142.9</v>
      </c>
      <c r="AB1723" s="62">
        <f t="shared" si="349"/>
        <v>0</v>
      </c>
      <c r="AC1723" s="62">
        <f t="shared" si="350"/>
        <v>0</v>
      </c>
    </row>
    <row r="1724" spans="1:29" ht="42.95" customHeight="1" x14ac:dyDescent="0.25">
      <c r="A1724" s="4" t="s">
        <v>21</v>
      </c>
      <c r="B1724" s="7" t="s">
        <v>97</v>
      </c>
      <c r="C1724" s="2" t="s">
        <v>423</v>
      </c>
      <c r="D1724" s="7" t="s">
        <v>301</v>
      </c>
      <c r="E1724" s="4" t="s">
        <v>689</v>
      </c>
      <c r="F1724" s="2">
        <v>7</v>
      </c>
      <c r="G1724" s="2" t="s">
        <v>1399</v>
      </c>
      <c r="H1724" s="2" t="s">
        <v>1400</v>
      </c>
      <c r="I1724" s="4" t="s">
        <v>60</v>
      </c>
      <c r="J1724" s="112">
        <f>IF($H1724&lt;&gt;"Y",0,ROUND(MIN(Dashboard!$R$24,IF(IFERROR(VLOOKUP($B1724,Dashboard!$Q$28:$S$60,2,FALSE),0)&gt;0,IFERROR(VLOOKUP($B1724,Dashboard!$Q$28:$S$60,2,FALSE),0),$Z1724*IF($U1724&lt;&gt;"",ROUND((Dashboard!$R$4/$U1724)*VLOOKUP($I1724,Dashboard!$Q$9:$R$13,2,FALSE)*IF(ISNUMBER(SEARCH("Duals",$B1724)),2,IF(ISNUMBER(SEARCH("Triples",$B1724)),3,IF(ISNUMBER(SEARCH("Quads",$B1724)),4,1))),2),ROUND(VLOOKUP($I1724,Dashboard!$Q$15:$R$20,2,FALSE)*IF($E1724="Red",Dashboard!$R$6,IF($E1724="Gold",Dashboard!$R$7,Dashboard!$R$5))*IF(ISNUMBER(SEARCH("Duals",$B1724)),2,IF(ISNUMBER(SEARCH("Triples",$B1724)),3,IF(ISNUMBER(SEARCH("Quads",$B1724)),4,1))),2))*IF(IFERROR(VLOOKUP($B1724,Dashboard!$Q$28:$S$60,3,FALSE),0)&gt;0,VLOOKUP($B1724,Dashboard!$Q$28:$S$60,3,FALSE),1))),0))</f>
        <v>129</v>
      </c>
      <c r="K1724" s="2" t="str">
        <f>IF(Characters!I24="","",Characters!I24)</f>
        <v>C 3/7</v>
      </c>
      <c r="L1724" s="2">
        <f t="shared" si="338"/>
        <v>1</v>
      </c>
      <c r="M1724" s="2">
        <f t="shared" si="339"/>
        <v>0</v>
      </c>
      <c r="N1724" s="2">
        <f t="shared" si="340"/>
        <v>1</v>
      </c>
      <c r="O1724" s="2">
        <f t="shared" si="341"/>
        <v>0</v>
      </c>
      <c r="P1724" s="112">
        <f t="shared" si="342"/>
        <v>129</v>
      </c>
      <c r="Q1724" s="112">
        <f t="shared" si="343"/>
        <v>0</v>
      </c>
      <c r="R1724" s="53"/>
      <c r="S1724" s="53" t="str">
        <f t="shared" si="344"/>
        <v>Characters|Characters The Seven Parallel|C-23|The Seven</v>
      </c>
      <c r="T1724" s="57" t="str">
        <f>IF($S1724="","",IFERROR(VLOOKUP($S1724,'Pop Estimates (Non-#d)'!$N$2:$O$500,2,FALSE),""))</f>
        <v/>
      </c>
      <c r="U1724" s="57">
        <f t="shared" si="345"/>
        <v>7</v>
      </c>
      <c r="V1724" s="53" t="str">
        <f t="shared" si="346"/>
        <v>Lamplighter</v>
      </c>
      <c r="W1724" s="53" t="str">
        <f t="shared" si="347"/>
        <v>Lamplighter</v>
      </c>
      <c r="X1724" s="53" t="str">
        <f t="shared" si="348"/>
        <v>Lamplighter</v>
      </c>
      <c r="Y1724" s="57">
        <f>IF($X1724="","",IFERROR(VLOOKUP($X1724,'Char Popularity'!$A$2:$C$500,2,FALSE),""))</f>
        <v>2</v>
      </c>
      <c r="Z1724" s="56">
        <f>IF($X1724="",1,IFERROR(VLOOKUP($X1724,'Char Popularity'!$A$2:$C$500,3,FALSE),1))</f>
        <v>0.9</v>
      </c>
      <c r="AA1724" s="62">
        <f>IF($H1724&lt;&gt;"Y",0,(IF($F1724&lt;&gt;"",ROUND(Dashboard!$R$4/$F1724,1),IF(AND($I1724="Base",$E1724="Base"),Dashboard!$R$5,IF(AND($I1724="Base",$E1724="Red"),Dashboard!$R$6,IF(AND($I1724="Base",$E1724="Gold"),Dashboard!$R$7,VLOOKUP($I1724,Dashboard!$Q$16:$R$21,2,FALSE)))))*VLOOKUP($I1724,Dashboard!$Q$9:$R$13,2,FALSE)*IF(AND($I1724="Auto",$F1724="",OR($B1724="Autographs Duals",$B1724="Autographs Triples",$B1724="Autographs Quads",$B1724="Autographs Quads (Inscribed)")),IF($B1724="Autographs Duals",2,IF($B1724="Autographs Triples",3,4)),1)))</f>
        <v>142.9</v>
      </c>
      <c r="AB1724" s="62">
        <f t="shared" si="349"/>
        <v>142.9</v>
      </c>
      <c r="AC1724" s="62">
        <f t="shared" si="350"/>
        <v>0</v>
      </c>
    </row>
    <row r="1725" spans="1:29" ht="42.95" customHeight="1" x14ac:dyDescent="0.25">
      <c r="A1725" s="4" t="s">
        <v>21</v>
      </c>
      <c r="B1725" s="7" t="s">
        <v>97</v>
      </c>
      <c r="C1725" s="2" t="s">
        <v>1226</v>
      </c>
      <c r="D1725" s="7" t="s">
        <v>1227</v>
      </c>
      <c r="E1725" s="4" t="s">
        <v>689</v>
      </c>
      <c r="F1725" s="2">
        <v>7</v>
      </c>
      <c r="G1725" s="2" t="s">
        <v>1399</v>
      </c>
      <c r="H1725" s="2" t="s">
        <v>1400</v>
      </c>
      <c r="I1725" s="4" t="s">
        <v>60</v>
      </c>
      <c r="J1725" s="112">
        <f>IF($H1725&lt;&gt;"Y",0,ROUND(MIN(Dashboard!$R$24,IF(IFERROR(VLOOKUP($B1725,Dashboard!$Q$28:$S$60,2,FALSE),0)&gt;0,IFERROR(VLOOKUP($B1725,Dashboard!$Q$28:$S$60,2,FALSE),0),$Z1725*IF($U1725&lt;&gt;"",ROUND((Dashboard!$R$4/$U1725)*VLOOKUP($I1725,Dashboard!$Q$9:$R$13,2,FALSE)*IF(ISNUMBER(SEARCH("Duals",$B1725)),2,IF(ISNUMBER(SEARCH("Triples",$B1725)),3,IF(ISNUMBER(SEARCH("Quads",$B1725)),4,1))),2),ROUND(VLOOKUP($I1725,Dashboard!$Q$15:$R$20,2,FALSE)*IF($E1725="Red",Dashboard!$R$6,IF($E1725="Gold",Dashboard!$R$7,Dashboard!$R$5))*IF(ISNUMBER(SEARCH("Duals",$B1725)),2,IF(ISNUMBER(SEARCH("Triples",$B1725)),3,IF(ISNUMBER(SEARCH("Quads",$B1725)),4,1))),2))*IF(IFERROR(VLOOKUP($B1725,Dashboard!$Q$28:$S$60,3,FALSE),0)&gt;0,VLOOKUP($B1725,Dashboard!$Q$28:$S$60,3,FALSE),1))),0))</f>
        <v>157</v>
      </c>
      <c r="K1725" s="2" t="str">
        <f>IF(Characters!I25="","",Characters!I25)</f>
        <v/>
      </c>
      <c r="L1725" s="2">
        <f t="shared" si="338"/>
        <v>0</v>
      </c>
      <c r="M1725" s="2">
        <f t="shared" si="339"/>
        <v>0</v>
      </c>
      <c r="N1725" s="2">
        <f t="shared" si="340"/>
        <v>0</v>
      </c>
      <c r="O1725" s="2">
        <f t="shared" si="341"/>
        <v>1</v>
      </c>
      <c r="P1725" s="112">
        <f t="shared" si="342"/>
        <v>0</v>
      </c>
      <c r="Q1725" s="112">
        <f t="shared" si="343"/>
        <v>0</v>
      </c>
      <c r="R1725" s="53"/>
      <c r="S1725" s="53" t="str">
        <f t="shared" si="344"/>
        <v>Characters|Characters The Seven Parallel|C-24|The Seven</v>
      </c>
      <c r="T1725" s="57" t="str">
        <f>IF($S1725="","",IFERROR(VLOOKUP($S1725,'Pop Estimates (Non-#d)'!$N$2:$O$500,2,FALSE),""))</f>
        <v/>
      </c>
      <c r="U1725" s="57">
        <f t="shared" si="345"/>
        <v>7</v>
      </c>
      <c r="V1725" s="53" t="str">
        <f t="shared" si="346"/>
        <v>Victoria Neuman</v>
      </c>
      <c r="W1725" s="53" t="str">
        <f t="shared" si="347"/>
        <v>Victoria Neuman</v>
      </c>
      <c r="X1725" s="53" t="str">
        <f t="shared" si="348"/>
        <v>Victoria Neuman</v>
      </c>
      <c r="Y1725" s="57">
        <f>IF($X1725="","",IFERROR(VLOOKUP($X1725,'Char Popularity'!$A$2:$C$500,2,FALSE),""))</f>
        <v>4</v>
      </c>
      <c r="Z1725" s="56">
        <f>IF($X1725="",1,IFERROR(VLOOKUP($X1725,'Char Popularity'!$A$2:$C$500,3,FALSE),1))</f>
        <v>1.1000000000000001</v>
      </c>
      <c r="AA1725" s="62">
        <f>IF($H1725&lt;&gt;"Y",0,(IF($F1725&lt;&gt;"",ROUND(Dashboard!$R$4/$F1725,1),IF(AND($I1725="Base",$E1725="Base"),Dashboard!$R$5,IF(AND($I1725="Base",$E1725="Red"),Dashboard!$R$6,IF(AND($I1725="Base",$E1725="Gold"),Dashboard!$R$7,VLOOKUP($I1725,Dashboard!$Q$16:$R$21,2,FALSE)))))*VLOOKUP($I1725,Dashboard!$Q$9:$R$13,2,FALSE)*IF(AND($I1725="Auto",$F1725="",OR($B1725="Autographs Duals",$B1725="Autographs Triples",$B1725="Autographs Quads",$B1725="Autographs Quads (Inscribed)")),IF($B1725="Autographs Duals",2,IF($B1725="Autographs Triples",3,4)),1)))</f>
        <v>142.9</v>
      </c>
      <c r="AB1725" s="62">
        <f t="shared" si="349"/>
        <v>0</v>
      </c>
      <c r="AC1725" s="62">
        <f t="shared" si="350"/>
        <v>0</v>
      </c>
    </row>
    <row r="1726" spans="1:29" ht="42.95" customHeight="1" x14ac:dyDescent="0.25">
      <c r="A1726" s="4" t="s">
        <v>21</v>
      </c>
      <c r="B1726" s="7" t="s">
        <v>97</v>
      </c>
      <c r="C1726" s="2" t="s">
        <v>1229</v>
      </c>
      <c r="D1726" s="7" t="s">
        <v>1230</v>
      </c>
      <c r="E1726" s="4" t="s">
        <v>689</v>
      </c>
      <c r="F1726" s="2">
        <v>7</v>
      </c>
      <c r="G1726" s="2" t="s">
        <v>1399</v>
      </c>
      <c r="H1726" s="2" t="s">
        <v>1400</v>
      </c>
      <c r="I1726" s="4" t="s">
        <v>60</v>
      </c>
      <c r="J1726" s="112">
        <f>IF($H1726&lt;&gt;"Y",0,ROUND(MIN(Dashboard!$R$24,IF(IFERROR(VLOOKUP($B1726,Dashboard!$Q$28:$S$60,2,FALSE),0)&gt;0,IFERROR(VLOOKUP($B1726,Dashboard!$Q$28:$S$60,2,FALSE),0),$Z1726*IF($U1726&lt;&gt;"",ROUND((Dashboard!$R$4/$U1726)*VLOOKUP($I1726,Dashboard!$Q$9:$R$13,2,FALSE)*IF(ISNUMBER(SEARCH("Duals",$B1726)),2,IF(ISNUMBER(SEARCH("Triples",$B1726)),3,IF(ISNUMBER(SEARCH("Quads",$B1726)),4,1))),2),ROUND(VLOOKUP($I1726,Dashboard!$Q$15:$R$20,2,FALSE)*IF($E1726="Red",Dashboard!$R$6,IF($E1726="Gold",Dashboard!$R$7,Dashboard!$R$5))*IF(ISNUMBER(SEARCH("Duals",$B1726)),2,IF(ISNUMBER(SEARCH("Triples",$B1726)),3,IF(ISNUMBER(SEARCH("Quads",$B1726)),4,1))),2))*IF(IFERROR(VLOOKUP($B1726,Dashboard!$Q$28:$S$60,3,FALSE),0)&gt;0,VLOOKUP($B1726,Dashboard!$Q$28:$S$60,3,FALSE),1))),0))</f>
        <v>143</v>
      </c>
      <c r="K1726" s="2" t="str">
        <f>IF(Characters!I26="","",Characters!I26)</f>
        <v/>
      </c>
      <c r="L1726" s="2">
        <f t="shared" si="338"/>
        <v>0</v>
      </c>
      <c r="M1726" s="2">
        <f t="shared" si="339"/>
        <v>0</v>
      </c>
      <c r="N1726" s="2">
        <f t="shared" si="340"/>
        <v>0</v>
      </c>
      <c r="O1726" s="2">
        <f t="shared" si="341"/>
        <v>1</v>
      </c>
      <c r="P1726" s="112">
        <f t="shared" si="342"/>
        <v>0</v>
      </c>
      <c r="Q1726" s="112">
        <f t="shared" si="343"/>
        <v>0</v>
      </c>
      <c r="R1726" s="53"/>
      <c r="S1726" s="53" t="str">
        <f t="shared" si="344"/>
        <v>Characters|Characters The Seven Parallel|C-25|The Seven</v>
      </c>
      <c r="T1726" s="57" t="str">
        <f>IF($S1726="","",IFERROR(VLOOKUP($S1726,'Pop Estimates (Non-#d)'!$N$2:$O$500,2,FALSE),""))</f>
        <v/>
      </c>
      <c r="U1726" s="57">
        <f t="shared" si="345"/>
        <v>7</v>
      </c>
      <c r="V1726" s="53" t="str">
        <f t="shared" si="346"/>
        <v>Donna January</v>
      </c>
      <c r="W1726" s="53" t="str">
        <f t="shared" si="347"/>
        <v>Donna January</v>
      </c>
      <c r="X1726" s="53" t="str">
        <f t="shared" si="348"/>
        <v>Donna January</v>
      </c>
      <c r="Y1726" s="57">
        <f>IF($X1726="","",IFERROR(VLOOKUP($X1726,'Char Popularity'!$A$2:$C$500,2,FALSE),""))</f>
        <v>3</v>
      </c>
      <c r="Z1726" s="56">
        <f>IF($X1726="",1,IFERROR(VLOOKUP($X1726,'Char Popularity'!$A$2:$C$500,3,FALSE),1))</f>
        <v>1</v>
      </c>
      <c r="AA1726" s="62">
        <f>IF($H1726&lt;&gt;"Y",0,(IF($F1726&lt;&gt;"",ROUND(Dashboard!$R$4/$F1726,1),IF(AND($I1726="Base",$E1726="Base"),Dashboard!$R$5,IF(AND($I1726="Base",$E1726="Red"),Dashboard!$R$6,IF(AND($I1726="Base",$E1726="Gold"),Dashboard!$R$7,VLOOKUP($I1726,Dashboard!$Q$16:$R$21,2,FALSE)))))*VLOOKUP($I1726,Dashboard!$Q$9:$R$13,2,FALSE)*IF(AND($I1726="Auto",$F1726="",OR($B1726="Autographs Duals",$B1726="Autographs Triples",$B1726="Autographs Quads",$B1726="Autographs Quads (Inscribed)")),IF($B1726="Autographs Duals",2,IF($B1726="Autographs Triples",3,4)),1)))</f>
        <v>142.9</v>
      </c>
      <c r="AB1726" s="62">
        <f t="shared" si="349"/>
        <v>0</v>
      </c>
      <c r="AC1726" s="62">
        <f t="shared" si="350"/>
        <v>0</v>
      </c>
    </row>
    <row r="1727" spans="1:29" ht="42.95" customHeight="1" x14ac:dyDescent="0.25">
      <c r="A1727" s="4" t="s">
        <v>21</v>
      </c>
      <c r="B1727" s="7" t="s">
        <v>97</v>
      </c>
      <c r="C1727" s="2" t="s">
        <v>1232</v>
      </c>
      <c r="D1727" s="7" t="s">
        <v>1233</v>
      </c>
      <c r="E1727" s="4" t="s">
        <v>689</v>
      </c>
      <c r="F1727" s="2">
        <v>7</v>
      </c>
      <c r="G1727" s="2" t="s">
        <v>1399</v>
      </c>
      <c r="H1727" s="2" t="s">
        <v>1400</v>
      </c>
      <c r="I1727" s="4" t="s">
        <v>60</v>
      </c>
      <c r="J1727" s="112">
        <f>IF($H1727&lt;&gt;"Y",0,ROUND(MIN(Dashboard!$R$24,IF(IFERROR(VLOOKUP($B1727,Dashboard!$Q$28:$S$60,2,FALSE),0)&gt;0,IFERROR(VLOOKUP($B1727,Dashboard!$Q$28:$S$60,2,FALSE),0),$Z1727*IF($U1727&lt;&gt;"",ROUND((Dashboard!$R$4/$U1727)*VLOOKUP($I1727,Dashboard!$Q$9:$R$13,2,FALSE)*IF(ISNUMBER(SEARCH("Duals",$B1727)),2,IF(ISNUMBER(SEARCH("Triples",$B1727)),3,IF(ISNUMBER(SEARCH("Quads",$B1727)),4,1))),2),ROUND(VLOOKUP($I1727,Dashboard!$Q$15:$R$20,2,FALSE)*IF($E1727="Red",Dashboard!$R$6,IF($E1727="Gold",Dashboard!$R$7,Dashboard!$R$5))*IF(ISNUMBER(SEARCH("Duals",$B1727)),2,IF(ISNUMBER(SEARCH("Triples",$B1727)),3,IF(ISNUMBER(SEARCH("Quads",$B1727)),4,1))),2))*IF(IFERROR(VLOOKUP($B1727,Dashboard!$Q$28:$S$60,3,FALSE),0)&gt;0,VLOOKUP($B1727,Dashboard!$Q$28:$S$60,3,FALSE),1))),0))</f>
        <v>129</v>
      </c>
      <c r="K1727" s="2" t="str">
        <f>IF(Characters!I27="","",Characters!I27)</f>
        <v>C 7/7</v>
      </c>
      <c r="L1727" s="2">
        <f t="shared" si="338"/>
        <v>1</v>
      </c>
      <c r="M1727" s="2">
        <f t="shared" si="339"/>
        <v>0</v>
      </c>
      <c r="N1727" s="2">
        <f t="shared" si="340"/>
        <v>1</v>
      </c>
      <c r="O1727" s="2">
        <f t="shared" si="341"/>
        <v>0</v>
      </c>
      <c r="P1727" s="112">
        <f t="shared" si="342"/>
        <v>129</v>
      </c>
      <c r="Q1727" s="112">
        <f t="shared" si="343"/>
        <v>0</v>
      </c>
      <c r="R1727" s="53"/>
      <c r="S1727" s="53" t="str">
        <f t="shared" si="344"/>
        <v>Characters|Characters The Seven Parallel|C-26|The Seven</v>
      </c>
      <c r="T1727" s="57" t="str">
        <f>IF($S1727="","",IFERROR(VLOOKUP($S1727,'Pop Estimates (Non-#d)'!$N$2:$O$500,2,FALSE),""))</f>
        <v/>
      </c>
      <c r="U1727" s="57">
        <f t="shared" si="345"/>
        <v>7</v>
      </c>
      <c r="V1727" s="53" t="str">
        <f t="shared" si="346"/>
        <v>Mesmer</v>
      </c>
      <c r="W1727" s="53" t="str">
        <f t="shared" si="347"/>
        <v>Mesmer</v>
      </c>
      <c r="X1727" s="53" t="str">
        <f t="shared" si="348"/>
        <v>Mesmer</v>
      </c>
      <c r="Y1727" s="57">
        <f>IF($X1727="","",IFERROR(VLOOKUP($X1727,'Char Popularity'!$A$2:$C$500,2,FALSE),""))</f>
        <v>2</v>
      </c>
      <c r="Z1727" s="56">
        <f>IF($X1727="",1,IFERROR(VLOOKUP($X1727,'Char Popularity'!$A$2:$C$500,3,FALSE),1))</f>
        <v>0.9</v>
      </c>
      <c r="AA1727" s="62">
        <f>IF($H1727&lt;&gt;"Y",0,(IF($F1727&lt;&gt;"",ROUND(Dashboard!$R$4/$F1727,1),IF(AND($I1727="Base",$E1727="Base"),Dashboard!$R$5,IF(AND($I1727="Base",$E1727="Red"),Dashboard!$R$6,IF(AND($I1727="Base",$E1727="Gold"),Dashboard!$R$7,VLOOKUP($I1727,Dashboard!$Q$16:$R$21,2,FALSE)))))*VLOOKUP($I1727,Dashboard!$Q$9:$R$13,2,FALSE)*IF(AND($I1727="Auto",$F1727="",OR($B1727="Autographs Duals",$B1727="Autographs Triples",$B1727="Autographs Quads",$B1727="Autographs Quads (Inscribed)")),IF($B1727="Autographs Duals",2,IF($B1727="Autographs Triples",3,4)),1)))</f>
        <v>142.9</v>
      </c>
      <c r="AB1727" s="62">
        <f t="shared" si="349"/>
        <v>142.9</v>
      </c>
      <c r="AC1727" s="62">
        <f t="shared" si="350"/>
        <v>0</v>
      </c>
    </row>
    <row r="1728" spans="1:29" ht="42.95" customHeight="1" x14ac:dyDescent="0.25">
      <c r="A1728" s="4" t="s">
        <v>21</v>
      </c>
      <c r="B1728" s="7" t="s">
        <v>97</v>
      </c>
      <c r="C1728" s="2" t="s">
        <v>1234</v>
      </c>
      <c r="D1728" s="7" t="s">
        <v>1235</v>
      </c>
      <c r="E1728" s="4" t="s">
        <v>689</v>
      </c>
      <c r="F1728" s="2">
        <v>7</v>
      </c>
      <c r="G1728" s="2" t="s">
        <v>1399</v>
      </c>
      <c r="H1728" s="2" t="s">
        <v>1400</v>
      </c>
      <c r="I1728" s="4" t="s">
        <v>60</v>
      </c>
      <c r="J1728" s="112">
        <f>IF($H1728&lt;&gt;"Y",0,ROUND(MIN(Dashboard!$R$24,IF(IFERROR(VLOOKUP($B1728,Dashboard!$Q$28:$S$60,2,FALSE),0)&gt;0,IFERROR(VLOOKUP($B1728,Dashboard!$Q$28:$S$60,2,FALSE),0),$Z1728*IF($U1728&lt;&gt;"",ROUND((Dashboard!$R$4/$U1728)*VLOOKUP($I1728,Dashboard!$Q$9:$R$13,2,FALSE)*IF(ISNUMBER(SEARCH("Duals",$B1728)),2,IF(ISNUMBER(SEARCH("Triples",$B1728)),3,IF(ISNUMBER(SEARCH("Quads",$B1728)),4,1))),2),ROUND(VLOOKUP($I1728,Dashboard!$Q$15:$R$20,2,FALSE)*IF($E1728="Red",Dashboard!$R$6,IF($E1728="Gold",Dashboard!$R$7,Dashboard!$R$5))*IF(ISNUMBER(SEARCH("Duals",$B1728)),2,IF(ISNUMBER(SEARCH("Triples",$B1728)),3,IF(ISNUMBER(SEARCH("Quads",$B1728)),4,1))),2))*IF(IFERROR(VLOOKUP($B1728,Dashboard!$Q$28:$S$60,3,FALSE),0)&gt;0,VLOOKUP($B1728,Dashboard!$Q$28:$S$60,3,FALSE),1))),0))</f>
        <v>143</v>
      </c>
      <c r="K1728" s="2" t="str">
        <f>IF(Characters!I28="","",Characters!I28)</f>
        <v/>
      </c>
      <c r="L1728" s="2">
        <f t="shared" si="338"/>
        <v>0</v>
      </c>
      <c r="M1728" s="2">
        <f t="shared" si="339"/>
        <v>0</v>
      </c>
      <c r="N1728" s="2">
        <f t="shared" si="340"/>
        <v>0</v>
      </c>
      <c r="O1728" s="2">
        <f t="shared" si="341"/>
        <v>1</v>
      </c>
      <c r="P1728" s="112">
        <f t="shared" si="342"/>
        <v>0</v>
      </c>
      <c r="Q1728" s="112">
        <f t="shared" si="343"/>
        <v>0</v>
      </c>
      <c r="R1728" s="53"/>
      <c r="S1728" s="53" t="str">
        <f t="shared" si="344"/>
        <v>Characters|Characters The Seven Parallel|C-27|The Seven</v>
      </c>
      <c r="T1728" s="57" t="str">
        <f>IF($S1728="","",IFERROR(VLOOKUP($S1728,'Pop Estimates (Non-#d)'!$N$2:$O$500,2,FALSE),""))</f>
        <v/>
      </c>
      <c r="U1728" s="57">
        <f t="shared" si="345"/>
        <v>7</v>
      </c>
      <c r="V1728" s="53" t="str">
        <f t="shared" si="346"/>
        <v>Hughie Campbell Sr.</v>
      </c>
      <c r="W1728" s="53" t="str">
        <f t="shared" si="347"/>
        <v>Hughie Campbell Sr.</v>
      </c>
      <c r="X1728" s="53" t="str">
        <f t="shared" si="348"/>
        <v>Hughie Campbell Sr.</v>
      </c>
      <c r="Y1728" s="57">
        <f>IF($X1728="","",IFERROR(VLOOKUP($X1728,'Char Popularity'!$A$2:$C$500,2,FALSE),""))</f>
        <v>3</v>
      </c>
      <c r="Z1728" s="56">
        <f>IF($X1728="",1,IFERROR(VLOOKUP($X1728,'Char Popularity'!$A$2:$C$500,3,FALSE),1))</f>
        <v>1</v>
      </c>
      <c r="AA1728" s="62">
        <f>IF($H1728&lt;&gt;"Y",0,(IF($F1728&lt;&gt;"",ROUND(Dashboard!$R$4/$F1728,1),IF(AND($I1728="Base",$E1728="Base"),Dashboard!$R$5,IF(AND($I1728="Base",$E1728="Red"),Dashboard!$R$6,IF(AND($I1728="Base",$E1728="Gold"),Dashboard!$R$7,VLOOKUP($I1728,Dashboard!$Q$16:$R$21,2,FALSE)))))*VLOOKUP($I1728,Dashboard!$Q$9:$R$13,2,FALSE)*IF(AND($I1728="Auto",$F1728="",OR($B1728="Autographs Duals",$B1728="Autographs Triples",$B1728="Autographs Quads",$B1728="Autographs Quads (Inscribed)")),IF($B1728="Autographs Duals",2,IF($B1728="Autographs Triples",3,4)),1)))</f>
        <v>142.9</v>
      </c>
      <c r="AB1728" s="62">
        <f t="shared" si="349"/>
        <v>0</v>
      </c>
      <c r="AC1728" s="62">
        <f t="shared" si="350"/>
        <v>0</v>
      </c>
    </row>
    <row r="1729" spans="1:29" ht="42.95" customHeight="1" x14ac:dyDescent="0.25">
      <c r="A1729" s="4" t="s">
        <v>21</v>
      </c>
      <c r="B1729" s="7" t="s">
        <v>97</v>
      </c>
      <c r="C1729" s="2" t="s">
        <v>1236</v>
      </c>
      <c r="D1729" s="7" t="s">
        <v>1237</v>
      </c>
      <c r="E1729" s="4" t="s">
        <v>689</v>
      </c>
      <c r="F1729" s="2">
        <v>7</v>
      </c>
      <c r="G1729" s="2" t="s">
        <v>1399</v>
      </c>
      <c r="H1729" s="2" t="s">
        <v>1400</v>
      </c>
      <c r="I1729" s="4" t="s">
        <v>60</v>
      </c>
      <c r="J1729" s="112">
        <f>IF($H1729&lt;&gt;"Y",0,ROUND(MIN(Dashboard!$R$24,IF(IFERROR(VLOOKUP($B1729,Dashboard!$Q$28:$S$60,2,FALSE),0)&gt;0,IFERROR(VLOOKUP($B1729,Dashboard!$Q$28:$S$60,2,FALSE),0),$Z1729*IF($U1729&lt;&gt;"",ROUND((Dashboard!$R$4/$U1729)*VLOOKUP($I1729,Dashboard!$Q$9:$R$13,2,FALSE)*IF(ISNUMBER(SEARCH("Duals",$B1729)),2,IF(ISNUMBER(SEARCH("Triples",$B1729)),3,IF(ISNUMBER(SEARCH("Quads",$B1729)),4,1))),2),ROUND(VLOOKUP($I1729,Dashboard!$Q$15:$R$20,2,FALSE)*IF($E1729="Red",Dashboard!$R$6,IF($E1729="Gold",Dashboard!$R$7,Dashboard!$R$5))*IF(ISNUMBER(SEARCH("Duals",$B1729)),2,IF(ISNUMBER(SEARCH("Triples",$B1729)),3,IF(ISNUMBER(SEARCH("Quads",$B1729)),4,1))),2))*IF(IFERROR(VLOOKUP($B1729,Dashboard!$Q$28:$S$60,3,FALSE),0)&gt;0,VLOOKUP($B1729,Dashboard!$Q$28:$S$60,3,FALSE),1))),0))</f>
        <v>143</v>
      </c>
      <c r="K1729" s="2" t="str">
        <f>IF(Characters!I29="","",Characters!I29)</f>
        <v/>
      </c>
      <c r="L1729" s="2">
        <f t="shared" si="338"/>
        <v>0</v>
      </c>
      <c r="M1729" s="2">
        <f t="shared" si="339"/>
        <v>0</v>
      </c>
      <c r="N1729" s="2">
        <f t="shared" si="340"/>
        <v>0</v>
      </c>
      <c r="O1729" s="2">
        <f t="shared" si="341"/>
        <v>1</v>
      </c>
      <c r="P1729" s="112">
        <f t="shared" si="342"/>
        <v>0</v>
      </c>
      <c r="Q1729" s="112">
        <f t="shared" si="343"/>
        <v>0</v>
      </c>
      <c r="R1729" s="53"/>
      <c r="S1729" s="53" t="str">
        <f t="shared" si="344"/>
        <v>Characters|Characters The Seven Parallel|C-28|The Seven</v>
      </c>
      <c r="T1729" s="57" t="str">
        <f>IF($S1729="","",IFERROR(VLOOKUP($S1729,'Pop Estimates (Non-#d)'!$N$2:$O$500,2,FALSE),""))</f>
        <v/>
      </c>
      <c r="U1729" s="57">
        <f t="shared" si="345"/>
        <v>7</v>
      </c>
      <c r="V1729" s="53" t="str">
        <f t="shared" si="346"/>
        <v>Susan Rayner</v>
      </c>
      <c r="W1729" s="53" t="str">
        <f t="shared" si="347"/>
        <v>Susan Rayner</v>
      </c>
      <c r="X1729" s="53" t="str">
        <f t="shared" si="348"/>
        <v>Susan Rayner</v>
      </c>
      <c r="Y1729" s="57">
        <f>IF($X1729="","",IFERROR(VLOOKUP($X1729,'Char Popularity'!$A$2:$C$500,2,FALSE),""))</f>
        <v>3</v>
      </c>
      <c r="Z1729" s="56">
        <f>IF($X1729="",1,IFERROR(VLOOKUP($X1729,'Char Popularity'!$A$2:$C$500,3,FALSE),1))</f>
        <v>1</v>
      </c>
      <c r="AA1729" s="62">
        <f>IF($H1729&lt;&gt;"Y",0,(IF($F1729&lt;&gt;"",ROUND(Dashboard!$R$4/$F1729,1),IF(AND($I1729="Base",$E1729="Base"),Dashboard!$R$5,IF(AND($I1729="Base",$E1729="Red"),Dashboard!$R$6,IF(AND($I1729="Base",$E1729="Gold"),Dashboard!$R$7,VLOOKUP($I1729,Dashboard!$Q$16:$R$21,2,FALSE)))))*VLOOKUP($I1729,Dashboard!$Q$9:$R$13,2,FALSE)*IF(AND($I1729="Auto",$F1729="",OR($B1729="Autographs Duals",$B1729="Autographs Triples",$B1729="Autographs Quads",$B1729="Autographs Quads (Inscribed)")),IF($B1729="Autographs Duals",2,IF($B1729="Autographs Triples",3,4)),1)))</f>
        <v>142.9</v>
      </c>
      <c r="AB1729" s="62">
        <f t="shared" si="349"/>
        <v>0</v>
      </c>
      <c r="AC1729" s="62">
        <f t="shared" si="350"/>
        <v>0</v>
      </c>
    </row>
    <row r="1730" spans="1:29" ht="42.95" customHeight="1" x14ac:dyDescent="0.25">
      <c r="A1730" s="4" t="s">
        <v>21</v>
      </c>
      <c r="B1730" s="7" t="s">
        <v>97</v>
      </c>
      <c r="C1730" s="2" t="s">
        <v>424</v>
      </c>
      <c r="D1730" s="7" t="s">
        <v>1600</v>
      </c>
      <c r="E1730" s="4" t="s">
        <v>689</v>
      </c>
      <c r="F1730" s="2">
        <v>7</v>
      </c>
      <c r="G1730" s="2" t="s">
        <v>1399</v>
      </c>
      <c r="H1730" s="2" t="s">
        <v>1400</v>
      </c>
      <c r="I1730" s="4" t="s">
        <v>60</v>
      </c>
      <c r="J1730" s="112">
        <f>IF($H1730&lt;&gt;"Y",0,ROUND(MIN(Dashboard!$R$24,IF(IFERROR(VLOOKUP($B1730,Dashboard!$Q$28:$S$60,2,FALSE),0)&gt;0,IFERROR(VLOOKUP($B1730,Dashboard!$Q$28:$S$60,2,FALSE),0),$Z1730*IF($U1730&lt;&gt;"",ROUND((Dashboard!$R$4/$U1730)*VLOOKUP($I1730,Dashboard!$Q$9:$R$13,2,FALSE)*IF(ISNUMBER(SEARCH("Duals",$B1730)),2,IF(ISNUMBER(SEARCH("Triples",$B1730)),3,IF(ISNUMBER(SEARCH("Quads",$B1730)),4,1))),2),ROUND(VLOOKUP($I1730,Dashboard!$Q$15:$R$20,2,FALSE)*IF($E1730="Red",Dashboard!$R$6,IF($E1730="Gold",Dashboard!$R$7,Dashboard!$R$5))*IF(ISNUMBER(SEARCH("Duals",$B1730)),2,IF(ISNUMBER(SEARCH("Triples",$B1730)),3,IF(ISNUMBER(SEARCH("Quads",$B1730)),4,1))),2))*IF(IFERROR(VLOOKUP($B1730,Dashboard!$Q$28:$S$60,3,FALSE),0)&gt;0,VLOOKUP($B1730,Dashboard!$Q$28:$S$60,3,FALSE),1))),0))</f>
        <v>143</v>
      </c>
      <c r="K1730" s="2" t="str">
        <f>IF(Characters!I30="","",Characters!I30)</f>
        <v/>
      </c>
      <c r="L1730" s="2">
        <f t="shared" ref="L1730:L1793" si="351">IF(AND($K1730&lt;&gt;"",LEFT($K1730,1)&lt;&gt;"Y"),1,0)</f>
        <v>0</v>
      </c>
      <c r="M1730" s="2">
        <f t="shared" ref="M1730:M1793" si="352">IF(LEFT($K1730,1)="Y",1,0)</f>
        <v>0</v>
      </c>
      <c r="N1730" s="2">
        <f t="shared" ref="N1730:N1793" si="353">$L1730+$M1730</f>
        <v>0</v>
      </c>
      <c r="O1730" s="2">
        <f t="shared" ref="O1730:O1793" si="354">IF($H1730="Y",1-$N1730,0)</f>
        <v>1</v>
      </c>
      <c r="P1730" s="112">
        <f t="shared" ref="P1730:P1793" si="355">IF($L1730=1,$J1730,0)</f>
        <v>0</v>
      </c>
      <c r="Q1730" s="112">
        <f t="shared" ref="Q1730:Q1793" si="356">IF($M1730=1,$J1730,0)</f>
        <v>0</v>
      </c>
      <c r="R1730" s="53"/>
      <c r="S1730" s="53" t="str">
        <f t="shared" ref="S1730:S1793" si="357">IF($A1730="","",$A1730&amp;"|"&amp;$B1730&amp;"|"&amp;$C1730&amp;"|"&amp;$E1730)</f>
        <v>Characters|Characters The Seven Parallel|C-29|The Seven</v>
      </c>
      <c r="T1730" s="57" t="str">
        <f>IF($S1730="","",IFERROR(VLOOKUP($S1730,'Pop Estimates (Non-#d)'!$N$2:$O$500,2,FALSE),""))</f>
        <v/>
      </c>
      <c r="U1730" s="57">
        <f t="shared" ref="U1730:U1793" si="358">IF($A1730="","",IF($F1730&lt;&gt;"",$F1730,$T1730))</f>
        <v>7</v>
      </c>
      <c r="V1730" s="53" t="str">
        <f t="shared" ref="V1730:V1793" si="359">IF($A1730="","",IF(ISNUMBER(SEARCH(" as ",$D1730)),MID($D1730,SEARCH(" as ",$D1730)+4,255),IF(ISNUMBER(SEARCH("/",$D1730)),LEFT($D1730,FIND("/",$D1730&amp;"/")-1),"")))</f>
        <v>Robin</v>
      </c>
      <c r="W1730" s="53" t="str">
        <f t="shared" ref="W1730:W1793" si="360">IF($V1730="","",TRIM(IFERROR(MID($V1730,SEARCH("(", $V1730)+1,SEARCH(")",$V1730)-SEARCH("(", $V1730)-1),$V1730)))</f>
        <v>Robin</v>
      </c>
      <c r="X1730" s="53" t="str">
        <f t="shared" ref="X1730:X1793" si="361">IF($W1730="","",TRIM(LEFT($W1730&amp;"""",FIND("""",$W1730&amp;"""")-1)))</f>
        <v>Robin</v>
      </c>
      <c r="Y1730" s="57">
        <f>IF($X1730="","",IFERROR(VLOOKUP($X1730,'Char Popularity'!$A$2:$C$500,2,FALSE),""))</f>
        <v>3</v>
      </c>
      <c r="Z1730" s="56">
        <f>IF($X1730="",1,IFERROR(VLOOKUP($X1730,'Char Popularity'!$A$2:$C$500,3,FALSE),1))</f>
        <v>1</v>
      </c>
      <c r="AA1730" s="62">
        <f>IF($H1730&lt;&gt;"Y",0,(IF($F1730&lt;&gt;"",ROUND(Dashboard!$R$4/$F1730,1),IF(AND($I1730="Base",$E1730="Base"),Dashboard!$R$5,IF(AND($I1730="Base",$E1730="Red"),Dashboard!$R$6,IF(AND($I1730="Base",$E1730="Gold"),Dashboard!$R$7,VLOOKUP($I1730,Dashboard!$Q$16:$R$21,2,FALSE)))))*VLOOKUP($I1730,Dashboard!$Q$9:$R$13,2,FALSE)*IF(AND($I1730="Auto",$F1730="",OR($B1730="Autographs Duals",$B1730="Autographs Triples",$B1730="Autographs Quads",$B1730="Autographs Quads (Inscribed)")),IF($B1730="Autographs Duals",2,IF($B1730="Autographs Triples",3,4)),1)))</f>
        <v>142.9</v>
      </c>
      <c r="AB1730" s="62">
        <f t="shared" ref="AB1730:AB1793" si="362">IF($L1730=1,$AA1730,0)</f>
        <v>0</v>
      </c>
      <c r="AC1730" s="62">
        <f t="shared" ref="AC1730:AC1793" si="363">IF($M1730=1,$AA1730,0)</f>
        <v>0</v>
      </c>
    </row>
    <row r="1731" spans="1:29" ht="42.95" customHeight="1" x14ac:dyDescent="0.25">
      <c r="A1731" s="4" t="s">
        <v>21</v>
      </c>
      <c r="B1731" s="7" t="s">
        <v>97</v>
      </c>
      <c r="C1731" s="2" t="s">
        <v>1239</v>
      </c>
      <c r="D1731" s="7" t="s">
        <v>1233</v>
      </c>
      <c r="E1731" s="4" t="s">
        <v>689</v>
      </c>
      <c r="F1731" s="2">
        <v>7</v>
      </c>
      <c r="G1731" s="2" t="s">
        <v>1399</v>
      </c>
      <c r="H1731" s="2" t="s">
        <v>1400</v>
      </c>
      <c r="I1731" s="4" t="s">
        <v>60</v>
      </c>
      <c r="J1731" s="112">
        <f>IF($H1731&lt;&gt;"Y",0,ROUND(MIN(Dashboard!$R$24,IF(IFERROR(VLOOKUP($B1731,Dashboard!$Q$28:$S$60,2,FALSE),0)&gt;0,IFERROR(VLOOKUP($B1731,Dashboard!$Q$28:$S$60,2,FALSE),0),$Z1731*IF($U1731&lt;&gt;"",ROUND((Dashboard!$R$4/$U1731)*VLOOKUP($I1731,Dashboard!$Q$9:$R$13,2,FALSE)*IF(ISNUMBER(SEARCH("Duals",$B1731)),2,IF(ISNUMBER(SEARCH("Triples",$B1731)),3,IF(ISNUMBER(SEARCH("Quads",$B1731)),4,1))),2),ROUND(VLOOKUP($I1731,Dashboard!$Q$15:$R$20,2,FALSE)*IF($E1731="Red",Dashboard!$R$6,IF($E1731="Gold",Dashboard!$R$7,Dashboard!$R$5))*IF(ISNUMBER(SEARCH("Duals",$B1731)),2,IF(ISNUMBER(SEARCH("Triples",$B1731)),3,IF(ISNUMBER(SEARCH("Quads",$B1731)),4,1))),2))*IF(IFERROR(VLOOKUP($B1731,Dashboard!$Q$28:$S$60,3,FALSE),0)&gt;0,VLOOKUP($B1731,Dashboard!$Q$28:$S$60,3,FALSE),1))),0))</f>
        <v>129</v>
      </c>
      <c r="K1731" s="2" t="str">
        <f>IF(Characters!I31="","",Characters!I31)</f>
        <v/>
      </c>
      <c r="L1731" s="2">
        <f t="shared" si="351"/>
        <v>0</v>
      </c>
      <c r="M1731" s="2">
        <f t="shared" si="352"/>
        <v>0</v>
      </c>
      <c r="N1731" s="2">
        <f t="shared" si="353"/>
        <v>0</v>
      </c>
      <c r="O1731" s="2">
        <f t="shared" si="354"/>
        <v>1</v>
      </c>
      <c r="P1731" s="112">
        <f t="shared" si="355"/>
        <v>0</v>
      </c>
      <c r="Q1731" s="112">
        <f t="shared" si="356"/>
        <v>0</v>
      </c>
      <c r="R1731" s="53"/>
      <c r="S1731" s="53" t="str">
        <f t="shared" si="357"/>
        <v>Characters|Characters The Seven Parallel|C-30|The Seven</v>
      </c>
      <c r="T1731" s="57" t="str">
        <f>IF($S1731="","",IFERROR(VLOOKUP($S1731,'Pop Estimates (Non-#d)'!$N$2:$O$500,2,FALSE),""))</f>
        <v/>
      </c>
      <c r="U1731" s="57">
        <f t="shared" si="358"/>
        <v>7</v>
      </c>
      <c r="V1731" s="53" t="str">
        <f t="shared" si="359"/>
        <v>Mesmer</v>
      </c>
      <c r="W1731" s="53" t="str">
        <f t="shared" si="360"/>
        <v>Mesmer</v>
      </c>
      <c r="X1731" s="53" t="str">
        <f t="shared" si="361"/>
        <v>Mesmer</v>
      </c>
      <c r="Y1731" s="57">
        <f>IF($X1731="","",IFERROR(VLOOKUP($X1731,'Char Popularity'!$A$2:$C$500,2,FALSE),""))</f>
        <v>2</v>
      </c>
      <c r="Z1731" s="56">
        <f>IF($X1731="",1,IFERROR(VLOOKUP($X1731,'Char Popularity'!$A$2:$C$500,3,FALSE),1))</f>
        <v>0.9</v>
      </c>
      <c r="AA1731" s="62">
        <f>IF($H1731&lt;&gt;"Y",0,(IF($F1731&lt;&gt;"",ROUND(Dashboard!$R$4/$F1731,1),IF(AND($I1731="Base",$E1731="Base"),Dashboard!$R$5,IF(AND($I1731="Base",$E1731="Red"),Dashboard!$R$6,IF(AND($I1731="Base",$E1731="Gold"),Dashboard!$R$7,VLOOKUP($I1731,Dashboard!$Q$16:$R$21,2,FALSE)))))*VLOOKUP($I1731,Dashboard!$Q$9:$R$13,2,FALSE)*IF(AND($I1731="Auto",$F1731="",OR($B1731="Autographs Duals",$B1731="Autographs Triples",$B1731="Autographs Quads",$B1731="Autographs Quads (Inscribed)")),IF($B1731="Autographs Duals",2,IF($B1731="Autographs Triples",3,4)),1)))</f>
        <v>142.9</v>
      </c>
      <c r="AB1731" s="62">
        <f t="shared" si="362"/>
        <v>0</v>
      </c>
      <c r="AC1731" s="62">
        <f t="shared" si="363"/>
        <v>0</v>
      </c>
    </row>
    <row r="1732" spans="1:29" ht="42.95" customHeight="1" x14ac:dyDescent="0.25">
      <c r="A1732" s="4" t="s">
        <v>21</v>
      </c>
      <c r="B1732" s="7" t="s">
        <v>97</v>
      </c>
      <c r="C1732" s="2" t="s">
        <v>426</v>
      </c>
      <c r="D1732" s="7" t="s">
        <v>250</v>
      </c>
      <c r="E1732" s="4" t="s">
        <v>689</v>
      </c>
      <c r="F1732" s="2">
        <v>7</v>
      </c>
      <c r="G1732" s="2" t="s">
        <v>1399</v>
      </c>
      <c r="H1732" s="2" t="s">
        <v>1400</v>
      </c>
      <c r="I1732" s="4" t="s">
        <v>60</v>
      </c>
      <c r="J1732" s="112">
        <f>IF($H1732&lt;&gt;"Y",0,ROUND(MIN(Dashboard!$R$24,IF(IFERROR(VLOOKUP($B1732,Dashboard!$Q$28:$S$60,2,FALSE),0)&gt;0,IFERROR(VLOOKUP($B1732,Dashboard!$Q$28:$S$60,2,FALSE),0),$Z1732*IF($U1732&lt;&gt;"",ROUND((Dashboard!$R$4/$U1732)*VLOOKUP($I1732,Dashboard!$Q$9:$R$13,2,FALSE)*IF(ISNUMBER(SEARCH("Duals",$B1732)),2,IF(ISNUMBER(SEARCH("Triples",$B1732)),3,IF(ISNUMBER(SEARCH("Quads",$B1732)),4,1))),2),ROUND(VLOOKUP($I1732,Dashboard!$Q$15:$R$20,2,FALSE)*IF($E1732="Red",Dashboard!$R$6,IF($E1732="Gold",Dashboard!$R$7,Dashboard!$R$5))*IF(ISNUMBER(SEARCH("Duals",$B1732)),2,IF(ISNUMBER(SEARCH("Triples",$B1732)),3,IF(ISNUMBER(SEARCH("Quads",$B1732)),4,1))),2))*IF(IFERROR(VLOOKUP($B1732,Dashboard!$Q$28:$S$60,3,FALSE),0)&gt;0,VLOOKUP($B1732,Dashboard!$Q$28:$S$60,3,FALSE),1))),0))</f>
        <v>143</v>
      </c>
      <c r="K1732" s="2" t="str">
        <f>IF(Characters!I32="","",Characters!I32)</f>
        <v/>
      </c>
      <c r="L1732" s="2">
        <f t="shared" si="351"/>
        <v>0</v>
      </c>
      <c r="M1732" s="2">
        <f t="shared" si="352"/>
        <v>0</v>
      </c>
      <c r="N1732" s="2">
        <f t="shared" si="353"/>
        <v>0</v>
      </c>
      <c r="O1732" s="2">
        <f t="shared" si="354"/>
        <v>1</v>
      </c>
      <c r="P1732" s="112">
        <f t="shared" si="355"/>
        <v>0</v>
      </c>
      <c r="Q1732" s="112">
        <f t="shared" si="356"/>
        <v>0</v>
      </c>
      <c r="R1732" s="53"/>
      <c r="S1732" s="53" t="str">
        <f t="shared" si="357"/>
        <v>Characters|Characters The Seven Parallel|C-31|The Seven</v>
      </c>
      <c r="T1732" s="57" t="str">
        <f>IF($S1732="","",IFERROR(VLOOKUP($S1732,'Pop Estimates (Non-#d)'!$N$2:$O$500,2,FALSE),""))</f>
        <v/>
      </c>
      <c r="U1732" s="57">
        <f t="shared" si="358"/>
        <v>7</v>
      </c>
      <c r="V1732" s="53" t="str">
        <f t="shared" si="359"/>
        <v>Madelyn Stillwell</v>
      </c>
      <c r="W1732" s="53" t="str">
        <f t="shared" si="360"/>
        <v>Madelyn Stillwell</v>
      </c>
      <c r="X1732" s="53" t="str">
        <f t="shared" si="361"/>
        <v>Madelyn Stillwell</v>
      </c>
      <c r="Y1732" s="57">
        <f>IF($X1732="","",IFERROR(VLOOKUP($X1732,'Char Popularity'!$A$2:$C$500,2,FALSE),""))</f>
        <v>3</v>
      </c>
      <c r="Z1732" s="56">
        <f>IF($X1732="",1,IFERROR(VLOOKUP($X1732,'Char Popularity'!$A$2:$C$500,3,FALSE),1))</f>
        <v>1</v>
      </c>
      <c r="AA1732" s="62">
        <f>IF($H1732&lt;&gt;"Y",0,(IF($F1732&lt;&gt;"",ROUND(Dashboard!$R$4/$F1732,1),IF(AND($I1732="Base",$E1732="Base"),Dashboard!$R$5,IF(AND($I1732="Base",$E1732="Red"),Dashboard!$R$6,IF(AND($I1732="Base",$E1732="Gold"),Dashboard!$R$7,VLOOKUP($I1732,Dashboard!$Q$16:$R$21,2,FALSE)))))*VLOOKUP($I1732,Dashboard!$Q$9:$R$13,2,FALSE)*IF(AND($I1732="Auto",$F1732="",OR($B1732="Autographs Duals",$B1732="Autographs Triples",$B1732="Autographs Quads",$B1732="Autographs Quads (Inscribed)")),IF($B1732="Autographs Duals",2,IF($B1732="Autographs Triples",3,4)),1)))</f>
        <v>142.9</v>
      </c>
      <c r="AB1732" s="62">
        <f t="shared" si="362"/>
        <v>0</v>
      </c>
      <c r="AC1732" s="62">
        <f t="shared" si="363"/>
        <v>0</v>
      </c>
    </row>
    <row r="1733" spans="1:29" ht="42.95" customHeight="1" x14ac:dyDescent="0.25">
      <c r="A1733" s="4" t="s">
        <v>21</v>
      </c>
      <c r="B1733" s="7" t="s">
        <v>97</v>
      </c>
      <c r="C1733" s="2" t="s">
        <v>1242</v>
      </c>
      <c r="D1733" s="7" t="s">
        <v>1243</v>
      </c>
      <c r="E1733" s="4" t="s">
        <v>689</v>
      </c>
      <c r="F1733" s="2">
        <v>7</v>
      </c>
      <c r="G1733" s="2" t="s">
        <v>1399</v>
      </c>
      <c r="H1733" s="2" t="s">
        <v>1400</v>
      </c>
      <c r="I1733" s="4" t="s">
        <v>60</v>
      </c>
      <c r="J1733" s="112">
        <f>IF($H1733&lt;&gt;"Y",0,ROUND(MIN(Dashboard!$R$24,IF(IFERROR(VLOOKUP($B1733,Dashboard!$Q$28:$S$60,2,FALSE),0)&gt;0,IFERROR(VLOOKUP($B1733,Dashboard!$Q$28:$S$60,2,FALSE),0),$Z1733*IF($U1733&lt;&gt;"",ROUND((Dashboard!$R$4/$U1733)*VLOOKUP($I1733,Dashboard!$Q$9:$R$13,2,FALSE)*IF(ISNUMBER(SEARCH("Duals",$B1733)),2,IF(ISNUMBER(SEARCH("Triples",$B1733)),3,IF(ISNUMBER(SEARCH("Quads",$B1733)),4,1))),2),ROUND(VLOOKUP($I1733,Dashboard!$Q$15:$R$20,2,FALSE)*IF($E1733="Red",Dashboard!$R$6,IF($E1733="Gold",Dashboard!$R$7,Dashboard!$R$5))*IF(ISNUMBER(SEARCH("Duals",$B1733)),2,IF(ISNUMBER(SEARCH("Triples",$B1733)),3,IF(ISNUMBER(SEARCH("Quads",$B1733)),4,1))),2))*IF(IFERROR(VLOOKUP($B1733,Dashboard!$Q$28:$S$60,3,FALSE),0)&gt;0,VLOOKUP($B1733,Dashboard!$Q$28:$S$60,3,FALSE),1))),0))</f>
        <v>143</v>
      </c>
      <c r="K1733" s="2" t="str">
        <f>IF(Characters!I33="","",Characters!I33)</f>
        <v/>
      </c>
      <c r="L1733" s="2">
        <f t="shared" si="351"/>
        <v>0</v>
      </c>
      <c r="M1733" s="2">
        <f t="shared" si="352"/>
        <v>0</v>
      </c>
      <c r="N1733" s="2">
        <f t="shared" si="353"/>
        <v>0</v>
      </c>
      <c r="O1733" s="2">
        <f t="shared" si="354"/>
        <v>1</v>
      </c>
      <c r="P1733" s="112">
        <f t="shared" si="355"/>
        <v>0</v>
      </c>
      <c r="Q1733" s="112">
        <f t="shared" si="356"/>
        <v>0</v>
      </c>
      <c r="R1733" s="53"/>
      <c r="S1733" s="53" t="str">
        <f t="shared" si="357"/>
        <v>Characters|Characters The Seven Parallel|C-32|The Seven</v>
      </c>
      <c r="T1733" s="57" t="str">
        <f>IF($S1733="","",IFERROR(VLOOKUP($S1733,'Pop Estimates (Non-#d)'!$N$2:$O$500,2,FALSE),""))</f>
        <v/>
      </c>
      <c r="U1733" s="57">
        <f t="shared" si="358"/>
        <v>7</v>
      </c>
      <c r="V1733" s="53" t="str">
        <f t="shared" si="359"/>
        <v/>
      </c>
      <c r="W1733" s="53" t="str">
        <f t="shared" si="360"/>
        <v/>
      </c>
      <c r="X1733" s="53" t="str">
        <f t="shared" si="361"/>
        <v/>
      </c>
      <c r="Y1733" s="57" t="str">
        <f>IF($X1733="","",IFERROR(VLOOKUP($X1733,'Char Popularity'!$A$2:$C$500,2,FALSE),""))</f>
        <v/>
      </c>
      <c r="Z1733" s="56">
        <f>IF($X1733="",1,IFERROR(VLOOKUP($X1733,'Char Popularity'!$A$2:$C$500,3,FALSE),1))</f>
        <v>1</v>
      </c>
      <c r="AA1733" s="62">
        <f>IF($H1733&lt;&gt;"Y",0,(IF($F1733&lt;&gt;"",ROUND(Dashboard!$R$4/$F1733,1),IF(AND($I1733="Base",$E1733="Base"),Dashboard!$R$5,IF(AND($I1733="Base",$E1733="Red"),Dashboard!$R$6,IF(AND($I1733="Base",$E1733="Gold"),Dashboard!$R$7,VLOOKUP($I1733,Dashboard!$Q$16:$R$21,2,FALSE)))))*VLOOKUP($I1733,Dashboard!$Q$9:$R$13,2,FALSE)*IF(AND($I1733="Auto",$F1733="",OR($B1733="Autographs Duals",$B1733="Autographs Triples",$B1733="Autographs Quads",$B1733="Autographs Quads (Inscribed)")),IF($B1733="Autographs Duals",2,IF($B1733="Autographs Triples",3,4)),1)))</f>
        <v>142.9</v>
      </c>
      <c r="AB1733" s="62">
        <f t="shared" si="362"/>
        <v>0</v>
      </c>
      <c r="AC1733" s="62">
        <f t="shared" si="363"/>
        <v>0</v>
      </c>
    </row>
    <row r="1734" spans="1:29" ht="42.95" customHeight="1" x14ac:dyDescent="0.25">
      <c r="A1734" s="4" t="s">
        <v>21</v>
      </c>
      <c r="B1734" s="7" t="s">
        <v>97</v>
      </c>
      <c r="C1734" s="2" t="s">
        <v>1244</v>
      </c>
      <c r="D1734" s="7" t="s">
        <v>1245</v>
      </c>
      <c r="E1734" s="4" t="s">
        <v>689</v>
      </c>
      <c r="F1734" s="2">
        <v>7</v>
      </c>
      <c r="G1734" s="2" t="s">
        <v>1399</v>
      </c>
      <c r="H1734" s="2" t="s">
        <v>1400</v>
      </c>
      <c r="I1734" s="4" t="s">
        <v>60</v>
      </c>
      <c r="J1734" s="112">
        <f>IF($H1734&lt;&gt;"Y",0,ROUND(MIN(Dashboard!$R$24,IF(IFERROR(VLOOKUP($B1734,Dashboard!$Q$28:$S$60,2,FALSE),0)&gt;0,IFERROR(VLOOKUP($B1734,Dashboard!$Q$28:$S$60,2,FALSE),0),$Z1734*IF($U1734&lt;&gt;"",ROUND((Dashboard!$R$4/$U1734)*VLOOKUP($I1734,Dashboard!$Q$9:$R$13,2,FALSE)*IF(ISNUMBER(SEARCH("Duals",$B1734)),2,IF(ISNUMBER(SEARCH("Triples",$B1734)),3,IF(ISNUMBER(SEARCH("Quads",$B1734)),4,1))),2),ROUND(VLOOKUP($I1734,Dashboard!$Q$15:$R$20,2,FALSE)*IF($E1734="Red",Dashboard!$R$6,IF($E1734="Gold",Dashboard!$R$7,Dashboard!$R$5))*IF(ISNUMBER(SEARCH("Duals",$B1734)),2,IF(ISNUMBER(SEARCH("Triples",$B1734)),3,IF(ISNUMBER(SEARCH("Quads",$B1734)),4,1))),2))*IF(IFERROR(VLOOKUP($B1734,Dashboard!$Q$28:$S$60,3,FALSE),0)&gt;0,VLOOKUP($B1734,Dashboard!$Q$28:$S$60,3,FALSE),1))),0))</f>
        <v>143</v>
      </c>
      <c r="K1734" s="2" t="str">
        <f>IF(Characters!I34="","",Characters!I34)</f>
        <v/>
      </c>
      <c r="L1734" s="2">
        <f t="shared" si="351"/>
        <v>0</v>
      </c>
      <c r="M1734" s="2">
        <f t="shared" si="352"/>
        <v>0</v>
      </c>
      <c r="N1734" s="2">
        <f t="shared" si="353"/>
        <v>0</v>
      </c>
      <c r="O1734" s="2">
        <f t="shared" si="354"/>
        <v>1</v>
      </c>
      <c r="P1734" s="112">
        <f t="shared" si="355"/>
        <v>0</v>
      </c>
      <c r="Q1734" s="112">
        <f t="shared" si="356"/>
        <v>0</v>
      </c>
      <c r="R1734" s="53"/>
      <c r="S1734" s="53" t="str">
        <f t="shared" si="357"/>
        <v>Characters|Characters The Seven Parallel|C-33|The Seven</v>
      </c>
      <c r="T1734" s="57" t="str">
        <f>IF($S1734="","",IFERROR(VLOOKUP($S1734,'Pop Estimates (Non-#d)'!$N$2:$O$500,2,FALSE),""))</f>
        <v/>
      </c>
      <c r="U1734" s="57">
        <f t="shared" si="358"/>
        <v>7</v>
      </c>
      <c r="V1734" s="53" t="str">
        <f t="shared" si="359"/>
        <v>Eagle the Archer</v>
      </c>
      <c r="W1734" s="53" t="str">
        <f t="shared" si="360"/>
        <v>Eagle the Archer</v>
      </c>
      <c r="X1734" s="53" t="str">
        <f t="shared" si="361"/>
        <v>Eagle the Archer</v>
      </c>
      <c r="Y1734" s="57">
        <f>IF($X1734="","",IFERROR(VLOOKUP($X1734,'Char Popularity'!$A$2:$C$500,2,FALSE),""))</f>
        <v>3</v>
      </c>
      <c r="Z1734" s="56">
        <f>IF($X1734="",1,IFERROR(VLOOKUP($X1734,'Char Popularity'!$A$2:$C$500,3,FALSE),1))</f>
        <v>1</v>
      </c>
      <c r="AA1734" s="62">
        <f>IF($H1734&lt;&gt;"Y",0,(IF($F1734&lt;&gt;"",ROUND(Dashboard!$R$4/$F1734,1),IF(AND($I1734="Base",$E1734="Base"),Dashboard!$R$5,IF(AND($I1734="Base",$E1734="Red"),Dashboard!$R$6,IF(AND($I1734="Base",$E1734="Gold"),Dashboard!$R$7,VLOOKUP($I1734,Dashboard!$Q$16:$R$21,2,FALSE)))))*VLOOKUP($I1734,Dashboard!$Q$9:$R$13,2,FALSE)*IF(AND($I1734="Auto",$F1734="",OR($B1734="Autographs Duals",$B1734="Autographs Triples",$B1734="Autographs Quads",$B1734="Autographs Quads (Inscribed)")),IF($B1734="Autographs Duals",2,IF($B1734="Autographs Triples",3,4)),1)))</f>
        <v>142.9</v>
      </c>
      <c r="AB1734" s="62">
        <f t="shared" si="362"/>
        <v>0</v>
      </c>
      <c r="AC1734" s="62">
        <f t="shared" si="363"/>
        <v>0</v>
      </c>
    </row>
    <row r="1735" spans="1:29" ht="42.95" customHeight="1" x14ac:dyDescent="0.25">
      <c r="A1735" s="4" t="s">
        <v>21</v>
      </c>
      <c r="B1735" s="7" t="s">
        <v>97</v>
      </c>
      <c r="C1735" s="2" t="s">
        <v>1247</v>
      </c>
      <c r="D1735" s="7" t="s">
        <v>1248</v>
      </c>
      <c r="E1735" s="4" t="s">
        <v>689</v>
      </c>
      <c r="F1735" s="2">
        <v>7</v>
      </c>
      <c r="G1735" s="2" t="s">
        <v>1399</v>
      </c>
      <c r="H1735" s="2" t="s">
        <v>1400</v>
      </c>
      <c r="I1735" s="4" t="s">
        <v>60</v>
      </c>
      <c r="J1735" s="112">
        <f>IF($H1735&lt;&gt;"Y",0,ROUND(MIN(Dashboard!$R$24,IF(IFERROR(VLOOKUP($B1735,Dashboard!$Q$28:$S$60,2,FALSE),0)&gt;0,IFERROR(VLOOKUP($B1735,Dashboard!$Q$28:$S$60,2,FALSE),0),$Z1735*IF($U1735&lt;&gt;"",ROUND((Dashboard!$R$4/$U1735)*VLOOKUP($I1735,Dashboard!$Q$9:$R$13,2,FALSE)*IF(ISNUMBER(SEARCH("Duals",$B1735)),2,IF(ISNUMBER(SEARCH("Triples",$B1735)),3,IF(ISNUMBER(SEARCH("Quads",$B1735)),4,1))),2),ROUND(VLOOKUP($I1735,Dashboard!$Q$15:$R$20,2,FALSE)*IF($E1735="Red",Dashboard!$R$6,IF($E1735="Gold",Dashboard!$R$7,Dashboard!$R$5))*IF(ISNUMBER(SEARCH("Duals",$B1735)),2,IF(ISNUMBER(SEARCH("Triples",$B1735)),3,IF(ISNUMBER(SEARCH("Quads",$B1735)),4,1))),2))*IF(IFERROR(VLOOKUP($B1735,Dashboard!$Q$28:$S$60,3,FALSE),0)&gt;0,VLOOKUP($B1735,Dashboard!$Q$28:$S$60,3,FALSE),1))),0))</f>
        <v>143</v>
      </c>
      <c r="K1735" s="2" t="str">
        <f>IF(Characters!I35="","",Characters!I35)</f>
        <v/>
      </c>
      <c r="L1735" s="2">
        <f t="shared" si="351"/>
        <v>0</v>
      </c>
      <c r="M1735" s="2">
        <f t="shared" si="352"/>
        <v>0</v>
      </c>
      <c r="N1735" s="2">
        <f t="shared" si="353"/>
        <v>0</v>
      </c>
      <c r="O1735" s="2">
        <f t="shared" si="354"/>
        <v>1</v>
      </c>
      <c r="P1735" s="112">
        <f t="shared" si="355"/>
        <v>0</v>
      </c>
      <c r="Q1735" s="112">
        <f t="shared" si="356"/>
        <v>0</v>
      </c>
      <c r="R1735" s="53"/>
      <c r="S1735" s="53" t="str">
        <f t="shared" si="357"/>
        <v>Characters|Characters The Seven Parallel|C-34|The Seven</v>
      </c>
      <c r="T1735" s="57" t="str">
        <f>IF($S1735="","",IFERROR(VLOOKUP($S1735,'Pop Estimates (Non-#d)'!$N$2:$O$500,2,FALSE),""))</f>
        <v/>
      </c>
      <c r="U1735" s="57">
        <f t="shared" si="358"/>
        <v>7</v>
      </c>
      <c r="V1735" s="53" t="str">
        <f t="shared" si="359"/>
        <v>Carol</v>
      </c>
      <c r="W1735" s="53" t="str">
        <f t="shared" si="360"/>
        <v>Carol</v>
      </c>
      <c r="X1735" s="53" t="str">
        <f t="shared" si="361"/>
        <v>Carol</v>
      </c>
      <c r="Y1735" s="57">
        <f>IF($X1735="","",IFERROR(VLOOKUP($X1735,'Char Popularity'!$A$2:$C$500,2,FALSE),""))</f>
        <v>3</v>
      </c>
      <c r="Z1735" s="56">
        <f>IF($X1735="",1,IFERROR(VLOOKUP($X1735,'Char Popularity'!$A$2:$C$500,3,FALSE),1))</f>
        <v>1</v>
      </c>
      <c r="AA1735" s="62">
        <f>IF($H1735&lt;&gt;"Y",0,(IF($F1735&lt;&gt;"",ROUND(Dashboard!$R$4/$F1735,1),IF(AND($I1735="Base",$E1735="Base"),Dashboard!$R$5,IF(AND($I1735="Base",$E1735="Red"),Dashboard!$R$6,IF(AND($I1735="Base",$E1735="Gold"),Dashboard!$R$7,VLOOKUP($I1735,Dashboard!$Q$16:$R$21,2,FALSE)))))*VLOOKUP($I1735,Dashboard!$Q$9:$R$13,2,FALSE)*IF(AND($I1735="Auto",$F1735="",OR($B1735="Autographs Duals",$B1735="Autographs Triples",$B1735="Autographs Quads",$B1735="Autographs Quads (Inscribed)")),IF($B1735="Autographs Duals",2,IF($B1735="Autographs Triples",3,4)),1)))</f>
        <v>142.9</v>
      </c>
      <c r="AB1735" s="62">
        <f t="shared" si="362"/>
        <v>0</v>
      </c>
      <c r="AC1735" s="62">
        <f t="shared" si="363"/>
        <v>0</v>
      </c>
    </row>
    <row r="1736" spans="1:29" ht="42.95" customHeight="1" x14ac:dyDescent="0.25">
      <c r="A1736" s="4" t="s">
        <v>21</v>
      </c>
      <c r="B1736" s="7" t="s">
        <v>97</v>
      </c>
      <c r="C1736" s="2" t="s">
        <v>1250</v>
      </c>
      <c r="D1736" s="7" t="s">
        <v>1251</v>
      </c>
      <c r="E1736" s="4" t="s">
        <v>689</v>
      </c>
      <c r="F1736" s="2">
        <v>7</v>
      </c>
      <c r="G1736" s="2" t="s">
        <v>1399</v>
      </c>
      <c r="H1736" s="2" t="s">
        <v>1400</v>
      </c>
      <c r="I1736" s="4" t="s">
        <v>60</v>
      </c>
      <c r="J1736" s="112">
        <f>IF($H1736&lt;&gt;"Y",0,ROUND(MIN(Dashboard!$R$24,IF(IFERROR(VLOOKUP($B1736,Dashboard!$Q$28:$S$60,2,FALSE),0)&gt;0,IFERROR(VLOOKUP($B1736,Dashboard!$Q$28:$S$60,2,FALSE),0),$Z1736*IF($U1736&lt;&gt;"",ROUND((Dashboard!$R$4/$U1736)*VLOOKUP($I1736,Dashboard!$Q$9:$R$13,2,FALSE)*IF(ISNUMBER(SEARCH("Duals",$B1736)),2,IF(ISNUMBER(SEARCH("Triples",$B1736)),3,IF(ISNUMBER(SEARCH("Quads",$B1736)),4,1))),2),ROUND(VLOOKUP($I1736,Dashboard!$Q$15:$R$20,2,FALSE)*IF($E1736="Red",Dashboard!$R$6,IF($E1736="Gold",Dashboard!$R$7,Dashboard!$R$5))*IF(ISNUMBER(SEARCH("Duals",$B1736)),2,IF(ISNUMBER(SEARCH("Triples",$B1736)),3,IF(ISNUMBER(SEARCH("Quads",$B1736)),4,1))),2))*IF(IFERROR(VLOOKUP($B1736,Dashboard!$Q$28:$S$60,3,FALSE),0)&gt;0,VLOOKUP($B1736,Dashboard!$Q$28:$S$60,3,FALSE),1))),0))</f>
        <v>129</v>
      </c>
      <c r="K1736" s="2" t="str">
        <f>IF(Characters!I36="","",Characters!I36)</f>
        <v/>
      </c>
      <c r="L1736" s="2">
        <f t="shared" si="351"/>
        <v>0</v>
      </c>
      <c r="M1736" s="2">
        <f t="shared" si="352"/>
        <v>0</v>
      </c>
      <c r="N1736" s="2">
        <f t="shared" si="353"/>
        <v>0</v>
      </c>
      <c r="O1736" s="2">
        <f t="shared" si="354"/>
        <v>1</v>
      </c>
      <c r="P1736" s="112">
        <f t="shared" si="355"/>
        <v>0</v>
      </c>
      <c r="Q1736" s="112">
        <f t="shared" si="356"/>
        <v>0</v>
      </c>
      <c r="R1736" s="53"/>
      <c r="S1736" s="53" t="str">
        <f t="shared" si="357"/>
        <v>Characters|Characters The Seven Parallel|C-35|The Seven</v>
      </c>
      <c r="T1736" s="57" t="str">
        <f>IF($S1736="","",IFERROR(VLOOKUP($S1736,'Pop Estimates (Non-#d)'!$N$2:$O$500,2,FALSE),""))</f>
        <v/>
      </c>
      <c r="U1736" s="57">
        <f t="shared" si="358"/>
        <v>7</v>
      </c>
      <c r="V1736" s="53" t="str">
        <f t="shared" si="359"/>
        <v>Kenji Miyashiro</v>
      </c>
      <c r="W1736" s="53" t="str">
        <f t="shared" si="360"/>
        <v>Kenji Miyashiro</v>
      </c>
      <c r="X1736" s="53" t="str">
        <f t="shared" si="361"/>
        <v>Kenji Miyashiro</v>
      </c>
      <c r="Y1736" s="57">
        <f>IF($X1736="","",IFERROR(VLOOKUP($X1736,'Char Popularity'!$A$2:$C$500,2,FALSE),""))</f>
        <v>2</v>
      </c>
      <c r="Z1736" s="56">
        <f>IF($X1736="",1,IFERROR(VLOOKUP($X1736,'Char Popularity'!$A$2:$C$500,3,FALSE),1))</f>
        <v>0.9</v>
      </c>
      <c r="AA1736" s="62">
        <f>IF($H1736&lt;&gt;"Y",0,(IF($F1736&lt;&gt;"",ROUND(Dashboard!$R$4/$F1736,1),IF(AND($I1736="Base",$E1736="Base"),Dashboard!$R$5,IF(AND($I1736="Base",$E1736="Red"),Dashboard!$R$6,IF(AND($I1736="Base",$E1736="Gold"),Dashboard!$R$7,VLOOKUP($I1736,Dashboard!$Q$16:$R$21,2,FALSE)))))*VLOOKUP($I1736,Dashboard!$Q$9:$R$13,2,FALSE)*IF(AND($I1736="Auto",$F1736="",OR($B1736="Autographs Duals",$B1736="Autographs Triples",$B1736="Autographs Quads",$B1736="Autographs Quads (Inscribed)")),IF($B1736="Autographs Duals",2,IF($B1736="Autographs Triples",3,4)),1)))</f>
        <v>142.9</v>
      </c>
      <c r="AB1736" s="62">
        <f t="shared" si="362"/>
        <v>0</v>
      </c>
      <c r="AC1736" s="62">
        <f t="shared" si="363"/>
        <v>0</v>
      </c>
    </row>
    <row r="1737" spans="1:29" ht="42.95" customHeight="1" x14ac:dyDescent="0.25">
      <c r="A1737" s="4" t="s">
        <v>21</v>
      </c>
      <c r="B1737" s="7" t="s">
        <v>97</v>
      </c>
      <c r="C1737" s="2" t="s">
        <v>1253</v>
      </c>
      <c r="D1737" s="7" t="s">
        <v>1254</v>
      </c>
      <c r="E1737" s="4" t="s">
        <v>689</v>
      </c>
      <c r="F1737" s="2">
        <v>7</v>
      </c>
      <c r="G1737" s="2" t="s">
        <v>1399</v>
      </c>
      <c r="H1737" s="2" t="s">
        <v>1400</v>
      </c>
      <c r="I1737" s="4" t="s">
        <v>60</v>
      </c>
      <c r="J1737" s="112">
        <f>IF($H1737&lt;&gt;"Y",0,ROUND(MIN(Dashboard!$R$24,IF(IFERROR(VLOOKUP($B1737,Dashboard!$Q$28:$S$60,2,FALSE),0)&gt;0,IFERROR(VLOOKUP($B1737,Dashboard!$Q$28:$S$60,2,FALSE),0),$Z1737*IF($U1737&lt;&gt;"",ROUND((Dashboard!$R$4/$U1737)*VLOOKUP($I1737,Dashboard!$Q$9:$R$13,2,FALSE)*IF(ISNUMBER(SEARCH("Duals",$B1737)),2,IF(ISNUMBER(SEARCH("Triples",$B1737)),3,IF(ISNUMBER(SEARCH("Quads",$B1737)),4,1))),2),ROUND(VLOOKUP($I1737,Dashboard!$Q$15:$R$20,2,FALSE)*IF($E1737="Red",Dashboard!$R$6,IF($E1737="Gold",Dashboard!$R$7,Dashboard!$R$5))*IF(ISNUMBER(SEARCH("Duals",$B1737)),2,IF(ISNUMBER(SEARCH("Triples",$B1737)),3,IF(ISNUMBER(SEARCH("Quads",$B1737)),4,1))),2))*IF(IFERROR(VLOOKUP($B1737,Dashboard!$Q$28:$S$60,3,FALSE),0)&gt;0,VLOOKUP($B1737,Dashboard!$Q$28:$S$60,3,FALSE),1))),0))</f>
        <v>143</v>
      </c>
      <c r="K1737" s="2" t="str">
        <f>IF(Characters!I37="","",Characters!I37)</f>
        <v>V 6/7</v>
      </c>
      <c r="L1737" s="2">
        <f t="shared" si="351"/>
        <v>1</v>
      </c>
      <c r="M1737" s="2">
        <f t="shared" si="352"/>
        <v>0</v>
      </c>
      <c r="N1737" s="2">
        <f t="shared" si="353"/>
        <v>1</v>
      </c>
      <c r="O1737" s="2">
        <f t="shared" si="354"/>
        <v>0</v>
      </c>
      <c r="P1737" s="112">
        <f t="shared" si="355"/>
        <v>143</v>
      </c>
      <c r="Q1737" s="112">
        <f t="shared" si="356"/>
        <v>0</v>
      </c>
      <c r="R1737" s="53"/>
      <c r="S1737" s="53" t="str">
        <f t="shared" si="357"/>
        <v>Characters|Characters The Seven Parallel|C-36|The Seven</v>
      </c>
      <c r="T1737" s="57" t="str">
        <f>IF($S1737="","",IFERROR(VLOOKUP($S1737,'Pop Estimates (Non-#d)'!$N$2:$O$500,2,FALSE),""))</f>
        <v/>
      </c>
      <c r="U1737" s="57">
        <f t="shared" si="358"/>
        <v>7</v>
      </c>
      <c r="V1737" s="53" t="str">
        <f t="shared" si="359"/>
        <v>Elena</v>
      </c>
      <c r="W1737" s="53" t="str">
        <f t="shared" si="360"/>
        <v>Elena</v>
      </c>
      <c r="X1737" s="53" t="str">
        <f t="shared" si="361"/>
        <v>Elena</v>
      </c>
      <c r="Y1737" s="57">
        <f>IF($X1737="","",IFERROR(VLOOKUP($X1737,'Char Popularity'!$A$2:$C$500,2,FALSE),""))</f>
        <v>3</v>
      </c>
      <c r="Z1737" s="56">
        <f>IF($X1737="",1,IFERROR(VLOOKUP($X1737,'Char Popularity'!$A$2:$C$500,3,FALSE),1))</f>
        <v>1</v>
      </c>
      <c r="AA1737" s="62">
        <f>IF($H1737&lt;&gt;"Y",0,(IF($F1737&lt;&gt;"",ROUND(Dashboard!$R$4/$F1737,1),IF(AND($I1737="Base",$E1737="Base"),Dashboard!$R$5,IF(AND($I1737="Base",$E1737="Red"),Dashboard!$R$6,IF(AND($I1737="Base",$E1737="Gold"),Dashboard!$R$7,VLOOKUP($I1737,Dashboard!$Q$16:$R$21,2,FALSE)))))*VLOOKUP($I1737,Dashboard!$Q$9:$R$13,2,FALSE)*IF(AND($I1737="Auto",$F1737="",OR($B1737="Autographs Duals",$B1737="Autographs Triples",$B1737="Autographs Quads",$B1737="Autographs Quads (Inscribed)")),IF($B1737="Autographs Duals",2,IF($B1737="Autographs Triples",3,4)),1)))</f>
        <v>142.9</v>
      </c>
      <c r="AB1737" s="62">
        <f t="shared" si="362"/>
        <v>142.9</v>
      </c>
      <c r="AC1737" s="62">
        <f t="shared" si="363"/>
        <v>0</v>
      </c>
    </row>
    <row r="1738" spans="1:29" ht="42.95" customHeight="1" x14ac:dyDescent="0.25">
      <c r="A1738" s="4" t="s">
        <v>21</v>
      </c>
      <c r="B1738" s="7" t="s">
        <v>97</v>
      </c>
      <c r="C1738" s="2" t="s">
        <v>1255</v>
      </c>
      <c r="D1738" s="7" t="s">
        <v>1256</v>
      </c>
      <c r="E1738" s="4" t="s">
        <v>689</v>
      </c>
      <c r="F1738" s="2">
        <v>7</v>
      </c>
      <c r="G1738" s="2" t="s">
        <v>1399</v>
      </c>
      <c r="H1738" s="2" t="s">
        <v>1400</v>
      </c>
      <c r="I1738" s="4" t="s">
        <v>60</v>
      </c>
      <c r="J1738" s="112">
        <f>IF($H1738&lt;&gt;"Y",0,ROUND(MIN(Dashboard!$R$24,IF(IFERROR(VLOOKUP($B1738,Dashboard!$Q$28:$S$60,2,FALSE),0)&gt;0,IFERROR(VLOOKUP($B1738,Dashboard!$Q$28:$S$60,2,FALSE),0),$Z1738*IF($U1738&lt;&gt;"",ROUND((Dashboard!$R$4/$U1738)*VLOOKUP($I1738,Dashboard!$Q$9:$R$13,2,FALSE)*IF(ISNUMBER(SEARCH("Duals",$B1738)),2,IF(ISNUMBER(SEARCH("Triples",$B1738)),3,IF(ISNUMBER(SEARCH("Quads",$B1738)),4,1))),2),ROUND(VLOOKUP($I1738,Dashboard!$Q$15:$R$20,2,FALSE)*IF($E1738="Red",Dashboard!$R$6,IF($E1738="Gold",Dashboard!$R$7,Dashboard!$R$5))*IF(ISNUMBER(SEARCH("Duals",$B1738)),2,IF(ISNUMBER(SEARCH("Triples",$B1738)),3,IF(ISNUMBER(SEARCH("Quads",$B1738)),4,1))),2))*IF(IFERROR(VLOOKUP($B1738,Dashboard!$Q$28:$S$60,3,FALSE),0)&gt;0,VLOOKUP($B1738,Dashboard!$Q$28:$S$60,3,FALSE),1))),0))</f>
        <v>129</v>
      </c>
      <c r="K1738" s="2" t="str">
        <f>IF(Characters!I38="","",Characters!I38)</f>
        <v>C 5/7</v>
      </c>
      <c r="L1738" s="2">
        <f t="shared" si="351"/>
        <v>1</v>
      </c>
      <c r="M1738" s="2">
        <f t="shared" si="352"/>
        <v>0</v>
      </c>
      <c r="N1738" s="2">
        <f t="shared" si="353"/>
        <v>1</v>
      </c>
      <c r="O1738" s="2">
        <f t="shared" si="354"/>
        <v>0</v>
      </c>
      <c r="P1738" s="112">
        <f t="shared" si="355"/>
        <v>129</v>
      </c>
      <c r="Q1738" s="112">
        <f t="shared" si="356"/>
        <v>0</v>
      </c>
      <c r="R1738" s="53"/>
      <c r="S1738" s="53" t="str">
        <f t="shared" si="357"/>
        <v>Characters|Characters The Seven Parallel|C-37|The Seven</v>
      </c>
      <c r="T1738" s="57" t="str">
        <f>IF($S1738="","",IFERROR(VLOOKUP($S1738,'Pop Estimates (Non-#d)'!$N$2:$O$500,2,FALSE),""))</f>
        <v/>
      </c>
      <c r="U1738" s="57">
        <f t="shared" si="358"/>
        <v>7</v>
      </c>
      <c r="V1738" s="53" t="str">
        <f t="shared" si="359"/>
        <v>Nathan Franklin</v>
      </c>
      <c r="W1738" s="53" t="str">
        <f t="shared" si="360"/>
        <v>Nathan Franklin</v>
      </c>
      <c r="X1738" s="53" t="str">
        <f t="shared" si="361"/>
        <v>Nathan Franklin</v>
      </c>
      <c r="Y1738" s="57">
        <f>IF($X1738="","",IFERROR(VLOOKUP($X1738,'Char Popularity'!$A$2:$C$500,2,FALSE),""))</f>
        <v>2</v>
      </c>
      <c r="Z1738" s="56">
        <f>IF($X1738="",1,IFERROR(VLOOKUP($X1738,'Char Popularity'!$A$2:$C$500,3,FALSE),1))</f>
        <v>0.9</v>
      </c>
      <c r="AA1738" s="62">
        <f>IF($H1738&lt;&gt;"Y",0,(IF($F1738&lt;&gt;"",ROUND(Dashboard!$R$4/$F1738,1),IF(AND($I1738="Base",$E1738="Base"),Dashboard!$R$5,IF(AND($I1738="Base",$E1738="Red"),Dashboard!$R$6,IF(AND($I1738="Base",$E1738="Gold"),Dashboard!$R$7,VLOOKUP($I1738,Dashboard!$Q$16:$R$21,2,FALSE)))))*VLOOKUP($I1738,Dashboard!$Q$9:$R$13,2,FALSE)*IF(AND($I1738="Auto",$F1738="",OR($B1738="Autographs Duals",$B1738="Autographs Triples",$B1738="Autographs Quads",$B1738="Autographs Quads (Inscribed)")),IF($B1738="Autographs Duals",2,IF($B1738="Autographs Triples",3,4)),1)))</f>
        <v>142.9</v>
      </c>
      <c r="AB1738" s="62">
        <f t="shared" si="362"/>
        <v>142.9</v>
      </c>
      <c r="AC1738" s="62">
        <f t="shared" si="363"/>
        <v>0</v>
      </c>
    </row>
    <row r="1739" spans="1:29" ht="42.95" customHeight="1" x14ac:dyDescent="0.25">
      <c r="A1739" s="4" t="s">
        <v>21</v>
      </c>
      <c r="B1739" s="7" t="s">
        <v>97</v>
      </c>
      <c r="C1739" s="2" t="s">
        <v>1257</v>
      </c>
      <c r="D1739" s="7" t="s">
        <v>1235</v>
      </c>
      <c r="E1739" s="4" t="s">
        <v>689</v>
      </c>
      <c r="F1739" s="2">
        <v>7</v>
      </c>
      <c r="G1739" s="2" t="s">
        <v>1399</v>
      </c>
      <c r="H1739" s="2" t="s">
        <v>1400</v>
      </c>
      <c r="I1739" s="4" t="s">
        <v>60</v>
      </c>
      <c r="J1739" s="112">
        <f>IF($H1739&lt;&gt;"Y",0,ROUND(MIN(Dashboard!$R$24,IF(IFERROR(VLOOKUP($B1739,Dashboard!$Q$28:$S$60,2,FALSE),0)&gt;0,IFERROR(VLOOKUP($B1739,Dashboard!$Q$28:$S$60,2,FALSE),0),$Z1739*IF($U1739&lt;&gt;"",ROUND((Dashboard!$R$4/$U1739)*VLOOKUP($I1739,Dashboard!$Q$9:$R$13,2,FALSE)*IF(ISNUMBER(SEARCH("Duals",$B1739)),2,IF(ISNUMBER(SEARCH("Triples",$B1739)),3,IF(ISNUMBER(SEARCH("Quads",$B1739)),4,1))),2),ROUND(VLOOKUP($I1739,Dashboard!$Q$15:$R$20,2,FALSE)*IF($E1739="Red",Dashboard!$R$6,IF($E1739="Gold",Dashboard!$R$7,Dashboard!$R$5))*IF(ISNUMBER(SEARCH("Duals",$B1739)),2,IF(ISNUMBER(SEARCH("Triples",$B1739)),3,IF(ISNUMBER(SEARCH("Quads",$B1739)),4,1))),2))*IF(IFERROR(VLOOKUP($B1739,Dashboard!$Q$28:$S$60,3,FALSE),0)&gt;0,VLOOKUP($B1739,Dashboard!$Q$28:$S$60,3,FALSE),1))),0))</f>
        <v>143</v>
      </c>
      <c r="K1739" s="2" t="str">
        <f>IF(Characters!I39="","",Characters!I39)</f>
        <v/>
      </c>
      <c r="L1739" s="2">
        <f t="shared" si="351"/>
        <v>0</v>
      </c>
      <c r="M1739" s="2">
        <f t="shared" si="352"/>
        <v>0</v>
      </c>
      <c r="N1739" s="2">
        <f t="shared" si="353"/>
        <v>0</v>
      </c>
      <c r="O1739" s="2">
        <f t="shared" si="354"/>
        <v>1</v>
      </c>
      <c r="P1739" s="112">
        <f t="shared" si="355"/>
        <v>0</v>
      </c>
      <c r="Q1739" s="112">
        <f t="shared" si="356"/>
        <v>0</v>
      </c>
      <c r="R1739" s="53"/>
      <c r="S1739" s="53" t="str">
        <f t="shared" si="357"/>
        <v>Characters|Characters The Seven Parallel|C-38|The Seven</v>
      </c>
      <c r="T1739" s="57" t="str">
        <f>IF($S1739="","",IFERROR(VLOOKUP($S1739,'Pop Estimates (Non-#d)'!$N$2:$O$500,2,FALSE),""))</f>
        <v/>
      </c>
      <c r="U1739" s="57">
        <f t="shared" si="358"/>
        <v>7</v>
      </c>
      <c r="V1739" s="53" t="str">
        <f t="shared" si="359"/>
        <v>Hughie Campbell Sr.</v>
      </c>
      <c r="W1739" s="53" t="str">
        <f t="shared" si="360"/>
        <v>Hughie Campbell Sr.</v>
      </c>
      <c r="X1739" s="53" t="str">
        <f t="shared" si="361"/>
        <v>Hughie Campbell Sr.</v>
      </c>
      <c r="Y1739" s="57">
        <f>IF($X1739="","",IFERROR(VLOOKUP($X1739,'Char Popularity'!$A$2:$C$500,2,FALSE),""))</f>
        <v>3</v>
      </c>
      <c r="Z1739" s="56">
        <f>IF($X1739="",1,IFERROR(VLOOKUP($X1739,'Char Popularity'!$A$2:$C$500,3,FALSE),1))</f>
        <v>1</v>
      </c>
      <c r="AA1739" s="62">
        <f>IF($H1739&lt;&gt;"Y",0,(IF($F1739&lt;&gt;"",ROUND(Dashboard!$R$4/$F1739,1),IF(AND($I1739="Base",$E1739="Base"),Dashboard!$R$5,IF(AND($I1739="Base",$E1739="Red"),Dashboard!$R$6,IF(AND($I1739="Base",$E1739="Gold"),Dashboard!$R$7,VLOOKUP($I1739,Dashboard!$Q$16:$R$21,2,FALSE)))))*VLOOKUP($I1739,Dashboard!$Q$9:$R$13,2,FALSE)*IF(AND($I1739="Auto",$F1739="",OR($B1739="Autographs Duals",$B1739="Autographs Triples",$B1739="Autographs Quads",$B1739="Autographs Quads (Inscribed)")),IF($B1739="Autographs Duals",2,IF($B1739="Autographs Triples",3,4)),1)))</f>
        <v>142.9</v>
      </c>
      <c r="AB1739" s="62">
        <f t="shared" si="362"/>
        <v>0</v>
      </c>
      <c r="AC1739" s="62">
        <f t="shared" si="363"/>
        <v>0</v>
      </c>
    </row>
    <row r="1740" spans="1:29" ht="42.95" customHeight="1" x14ac:dyDescent="0.25">
      <c r="A1740" s="4" t="s">
        <v>21</v>
      </c>
      <c r="B1740" s="7" t="s">
        <v>97</v>
      </c>
      <c r="C1740" s="2" t="s">
        <v>427</v>
      </c>
      <c r="D1740" s="7" t="s">
        <v>283</v>
      </c>
      <c r="E1740" s="4" t="s">
        <v>689</v>
      </c>
      <c r="F1740" s="2">
        <v>7</v>
      </c>
      <c r="G1740" s="2" t="s">
        <v>1399</v>
      </c>
      <c r="H1740" s="2" t="s">
        <v>1400</v>
      </c>
      <c r="I1740" s="4" t="s">
        <v>60</v>
      </c>
      <c r="J1740" s="112">
        <f>IF($H1740&lt;&gt;"Y",0,ROUND(MIN(Dashboard!$R$24,IF(IFERROR(VLOOKUP($B1740,Dashboard!$Q$28:$S$60,2,FALSE),0)&gt;0,IFERROR(VLOOKUP($B1740,Dashboard!$Q$28:$S$60,2,FALSE),0),$Z1740*IF($U1740&lt;&gt;"",ROUND((Dashboard!$R$4/$U1740)*VLOOKUP($I1740,Dashboard!$Q$9:$R$13,2,FALSE)*IF(ISNUMBER(SEARCH("Duals",$B1740)),2,IF(ISNUMBER(SEARCH("Triples",$B1740)),3,IF(ISNUMBER(SEARCH("Quads",$B1740)),4,1))),2),ROUND(VLOOKUP($I1740,Dashboard!$Q$15:$R$20,2,FALSE)*IF($E1740="Red",Dashboard!$R$6,IF($E1740="Gold",Dashboard!$R$7,Dashboard!$R$5))*IF(ISNUMBER(SEARCH("Duals",$B1740)),2,IF(ISNUMBER(SEARCH("Triples",$B1740)),3,IF(ISNUMBER(SEARCH("Quads",$B1740)),4,1))),2))*IF(IFERROR(VLOOKUP($B1740,Dashboard!$Q$28:$S$60,3,FALSE),0)&gt;0,VLOOKUP($B1740,Dashboard!$Q$28:$S$60,3,FALSE),1))),0))</f>
        <v>157</v>
      </c>
      <c r="K1740" s="2" t="str">
        <f>IF(Characters!I40="","",Characters!I40)</f>
        <v/>
      </c>
      <c r="L1740" s="2">
        <f t="shared" si="351"/>
        <v>0</v>
      </c>
      <c r="M1740" s="2">
        <f t="shared" si="352"/>
        <v>0</v>
      </c>
      <c r="N1740" s="2">
        <f t="shared" si="353"/>
        <v>0</v>
      </c>
      <c r="O1740" s="2">
        <f t="shared" si="354"/>
        <v>1</v>
      </c>
      <c r="P1740" s="112">
        <f t="shared" si="355"/>
        <v>0</v>
      </c>
      <c r="Q1740" s="112">
        <f t="shared" si="356"/>
        <v>0</v>
      </c>
      <c r="R1740" s="53"/>
      <c r="S1740" s="53" t="str">
        <f t="shared" si="357"/>
        <v>Characters|Characters The Seven Parallel|C-39|The Seven</v>
      </c>
      <c r="T1740" s="57" t="str">
        <f>IF($S1740="","",IFERROR(VLOOKUP($S1740,'Pop Estimates (Non-#d)'!$N$2:$O$500,2,FALSE),""))</f>
        <v/>
      </c>
      <c r="U1740" s="57">
        <f t="shared" si="358"/>
        <v>7</v>
      </c>
      <c r="V1740" s="53" t="str">
        <f t="shared" si="359"/>
        <v>Black Noir</v>
      </c>
      <c r="W1740" s="53" t="str">
        <f t="shared" si="360"/>
        <v>Black Noir</v>
      </c>
      <c r="X1740" s="53" t="str">
        <f t="shared" si="361"/>
        <v>Black Noir</v>
      </c>
      <c r="Y1740" s="57">
        <f>IF($X1740="","",IFERROR(VLOOKUP($X1740,'Char Popularity'!$A$2:$C$500,2,FALSE),""))</f>
        <v>4</v>
      </c>
      <c r="Z1740" s="56">
        <f>IF($X1740="",1,IFERROR(VLOOKUP($X1740,'Char Popularity'!$A$2:$C$500,3,FALSE),1))</f>
        <v>1.1000000000000001</v>
      </c>
      <c r="AA1740" s="62">
        <f>IF($H1740&lt;&gt;"Y",0,(IF($F1740&lt;&gt;"",ROUND(Dashboard!$R$4/$F1740,1),IF(AND($I1740="Base",$E1740="Base"),Dashboard!$R$5,IF(AND($I1740="Base",$E1740="Red"),Dashboard!$R$6,IF(AND($I1740="Base",$E1740="Gold"),Dashboard!$R$7,VLOOKUP($I1740,Dashboard!$Q$16:$R$21,2,FALSE)))))*VLOOKUP($I1740,Dashboard!$Q$9:$R$13,2,FALSE)*IF(AND($I1740="Auto",$F1740="",OR($B1740="Autographs Duals",$B1740="Autographs Triples",$B1740="Autographs Quads",$B1740="Autographs Quads (Inscribed)")),IF($B1740="Autographs Duals",2,IF($B1740="Autographs Triples",3,4)),1)))</f>
        <v>142.9</v>
      </c>
      <c r="AB1740" s="62">
        <f t="shared" si="362"/>
        <v>0</v>
      </c>
      <c r="AC1740" s="62">
        <f t="shared" si="363"/>
        <v>0</v>
      </c>
    </row>
    <row r="1741" spans="1:29" ht="42.95" customHeight="1" x14ac:dyDescent="0.25">
      <c r="A1741" s="4" t="s">
        <v>21</v>
      </c>
      <c r="B1741" s="7" t="s">
        <v>97</v>
      </c>
      <c r="C1741" s="2" t="s">
        <v>429</v>
      </c>
      <c r="D1741" s="7" t="s">
        <v>238</v>
      </c>
      <c r="E1741" s="4" t="s">
        <v>689</v>
      </c>
      <c r="F1741" s="2">
        <v>7</v>
      </c>
      <c r="G1741" s="2" t="s">
        <v>1399</v>
      </c>
      <c r="H1741" s="2" t="s">
        <v>1400</v>
      </c>
      <c r="I1741" s="4" t="s">
        <v>60</v>
      </c>
      <c r="J1741" s="112">
        <f>IF($H1741&lt;&gt;"Y",0,ROUND(MIN(Dashboard!$R$24,IF(IFERROR(VLOOKUP($B1741,Dashboard!$Q$28:$S$60,2,FALSE),0)&gt;0,IFERROR(VLOOKUP($B1741,Dashboard!$Q$28:$S$60,2,FALSE),0),$Z1741*IF($U1741&lt;&gt;"",ROUND((Dashboard!$R$4/$U1741)*VLOOKUP($I1741,Dashboard!$Q$9:$R$13,2,FALSE)*IF(ISNUMBER(SEARCH("Duals",$B1741)),2,IF(ISNUMBER(SEARCH("Triples",$B1741)),3,IF(ISNUMBER(SEARCH("Quads",$B1741)),4,1))),2),ROUND(VLOOKUP($I1741,Dashboard!$Q$15:$R$20,2,FALSE)*IF($E1741="Red",Dashboard!$R$6,IF($E1741="Gold",Dashboard!$R$7,Dashboard!$R$5))*IF(ISNUMBER(SEARCH("Duals",$B1741)),2,IF(ISNUMBER(SEARCH("Triples",$B1741)),3,IF(ISNUMBER(SEARCH("Quads",$B1741)),4,1))),2))*IF(IFERROR(VLOOKUP($B1741,Dashboard!$Q$28:$S$60,3,FALSE),0)&gt;0,VLOOKUP($B1741,Dashboard!$Q$28:$S$60,3,FALSE),1))),0))</f>
        <v>157</v>
      </c>
      <c r="K1741" s="2" t="str">
        <f>IF(Characters!I41="","",Characters!I41)</f>
        <v/>
      </c>
      <c r="L1741" s="2">
        <f t="shared" si="351"/>
        <v>0</v>
      </c>
      <c r="M1741" s="2">
        <f t="shared" si="352"/>
        <v>0</v>
      </c>
      <c r="N1741" s="2">
        <f t="shared" si="353"/>
        <v>0</v>
      </c>
      <c r="O1741" s="2">
        <f t="shared" si="354"/>
        <v>1</v>
      </c>
      <c r="P1741" s="112">
        <f t="shared" si="355"/>
        <v>0</v>
      </c>
      <c r="Q1741" s="112">
        <f t="shared" si="356"/>
        <v>0</v>
      </c>
      <c r="R1741" s="53"/>
      <c r="S1741" s="53" t="str">
        <f t="shared" si="357"/>
        <v>Characters|Characters The Seven Parallel|C-40|The Seven</v>
      </c>
      <c r="T1741" s="57" t="str">
        <f>IF($S1741="","",IFERROR(VLOOKUP($S1741,'Pop Estimates (Non-#d)'!$N$2:$O$500,2,FALSE),""))</f>
        <v/>
      </c>
      <c r="U1741" s="57">
        <f t="shared" si="358"/>
        <v>7</v>
      </c>
      <c r="V1741" s="53" t="str">
        <f t="shared" si="359"/>
        <v>Frenchie</v>
      </c>
      <c r="W1741" s="53" t="str">
        <f t="shared" si="360"/>
        <v>Frenchie</v>
      </c>
      <c r="X1741" s="53" t="str">
        <f t="shared" si="361"/>
        <v>Frenchie</v>
      </c>
      <c r="Y1741" s="57">
        <f>IF($X1741="","",IFERROR(VLOOKUP($X1741,'Char Popularity'!$A$2:$C$500,2,FALSE),""))</f>
        <v>4</v>
      </c>
      <c r="Z1741" s="56">
        <f>IF($X1741="",1,IFERROR(VLOOKUP($X1741,'Char Popularity'!$A$2:$C$500,3,FALSE),1))</f>
        <v>1.1000000000000001</v>
      </c>
      <c r="AA1741" s="62">
        <f>IF($H1741&lt;&gt;"Y",0,(IF($F1741&lt;&gt;"",ROUND(Dashboard!$R$4/$F1741,1),IF(AND($I1741="Base",$E1741="Base"),Dashboard!$R$5,IF(AND($I1741="Base",$E1741="Red"),Dashboard!$R$6,IF(AND($I1741="Base",$E1741="Gold"),Dashboard!$R$7,VLOOKUP($I1741,Dashboard!$Q$16:$R$21,2,FALSE)))))*VLOOKUP($I1741,Dashboard!$Q$9:$R$13,2,FALSE)*IF(AND($I1741="Auto",$F1741="",OR($B1741="Autographs Duals",$B1741="Autographs Triples",$B1741="Autographs Quads",$B1741="Autographs Quads (Inscribed)")),IF($B1741="Autographs Duals",2,IF($B1741="Autographs Triples",3,4)),1)))</f>
        <v>142.9</v>
      </c>
      <c r="AB1741" s="62">
        <f t="shared" si="362"/>
        <v>0</v>
      </c>
      <c r="AC1741" s="62">
        <f t="shared" si="363"/>
        <v>0</v>
      </c>
    </row>
    <row r="1742" spans="1:29" ht="42.95" customHeight="1" x14ac:dyDescent="0.25">
      <c r="A1742" s="4" t="s">
        <v>21</v>
      </c>
      <c r="B1742" s="7" t="s">
        <v>97</v>
      </c>
      <c r="C1742" s="2" t="s">
        <v>1260</v>
      </c>
      <c r="D1742" s="7" t="s">
        <v>539</v>
      </c>
      <c r="E1742" s="4" t="s">
        <v>689</v>
      </c>
      <c r="F1742" s="2">
        <v>7</v>
      </c>
      <c r="G1742" s="2" t="s">
        <v>1399</v>
      </c>
      <c r="H1742" s="2" t="s">
        <v>1400</v>
      </c>
      <c r="I1742" s="4" t="s">
        <v>60</v>
      </c>
      <c r="J1742" s="112">
        <f>IF($H1742&lt;&gt;"Y",0,ROUND(MIN(Dashboard!$R$24,IF(IFERROR(VLOOKUP($B1742,Dashboard!$Q$28:$S$60,2,FALSE),0)&gt;0,IFERROR(VLOOKUP($B1742,Dashboard!$Q$28:$S$60,2,FALSE),0),$Z1742*IF($U1742&lt;&gt;"",ROUND((Dashboard!$R$4/$U1742)*VLOOKUP($I1742,Dashboard!$Q$9:$R$13,2,FALSE)*IF(ISNUMBER(SEARCH("Duals",$B1742)),2,IF(ISNUMBER(SEARCH("Triples",$B1742)),3,IF(ISNUMBER(SEARCH("Quads",$B1742)),4,1))),2),ROUND(VLOOKUP($I1742,Dashboard!$Q$15:$R$20,2,FALSE)*IF($E1742="Red",Dashboard!$R$6,IF($E1742="Gold",Dashboard!$R$7,Dashboard!$R$5))*IF(ISNUMBER(SEARCH("Duals",$B1742)),2,IF(ISNUMBER(SEARCH("Triples",$B1742)),3,IF(ISNUMBER(SEARCH("Quads",$B1742)),4,1))),2))*IF(IFERROR(VLOOKUP($B1742,Dashboard!$Q$28:$S$60,3,FALSE),0)&gt;0,VLOOKUP($B1742,Dashboard!$Q$28:$S$60,3,FALSE),1))),0))</f>
        <v>143</v>
      </c>
      <c r="K1742" s="2" t="str">
        <f>IF(Characters!I42="","",Characters!I42)</f>
        <v/>
      </c>
      <c r="L1742" s="2">
        <f t="shared" si="351"/>
        <v>0</v>
      </c>
      <c r="M1742" s="2">
        <f t="shared" si="352"/>
        <v>0</v>
      </c>
      <c r="N1742" s="2">
        <f t="shared" si="353"/>
        <v>0</v>
      </c>
      <c r="O1742" s="2">
        <f t="shared" si="354"/>
        <v>1</v>
      </c>
      <c r="P1742" s="112">
        <f t="shared" si="355"/>
        <v>0</v>
      </c>
      <c r="Q1742" s="112">
        <f t="shared" si="356"/>
        <v>0</v>
      </c>
      <c r="R1742" s="53"/>
      <c r="S1742" s="53" t="str">
        <f t="shared" si="357"/>
        <v>Characters|Characters The Seven Parallel|C-41|The Seven</v>
      </c>
      <c r="T1742" s="57" t="str">
        <f>IF($S1742="","",IFERROR(VLOOKUP($S1742,'Pop Estimates (Non-#d)'!$N$2:$O$500,2,FALSE),""))</f>
        <v/>
      </c>
      <c r="U1742" s="57">
        <f t="shared" si="358"/>
        <v>7</v>
      </c>
      <c r="V1742" s="53" t="str">
        <f t="shared" si="359"/>
        <v/>
      </c>
      <c r="W1742" s="53" t="str">
        <f t="shared" si="360"/>
        <v/>
      </c>
      <c r="X1742" s="53" t="str">
        <f t="shared" si="361"/>
        <v/>
      </c>
      <c r="Y1742" s="57" t="str">
        <f>IF($X1742="","",IFERROR(VLOOKUP($X1742,'Char Popularity'!$A$2:$C$500,2,FALSE),""))</f>
        <v/>
      </c>
      <c r="Z1742" s="56">
        <f>IF($X1742="",1,IFERROR(VLOOKUP($X1742,'Char Popularity'!$A$2:$C$500,3,FALSE),1))</f>
        <v>1</v>
      </c>
      <c r="AA1742" s="62">
        <f>IF($H1742&lt;&gt;"Y",0,(IF($F1742&lt;&gt;"",ROUND(Dashboard!$R$4/$F1742,1),IF(AND($I1742="Base",$E1742="Base"),Dashboard!$R$5,IF(AND($I1742="Base",$E1742="Red"),Dashboard!$R$6,IF(AND($I1742="Base",$E1742="Gold"),Dashboard!$R$7,VLOOKUP($I1742,Dashboard!$Q$16:$R$21,2,FALSE)))))*VLOOKUP($I1742,Dashboard!$Q$9:$R$13,2,FALSE)*IF(AND($I1742="Auto",$F1742="",OR($B1742="Autographs Duals",$B1742="Autographs Triples",$B1742="Autographs Quads",$B1742="Autographs Quads (Inscribed)")),IF($B1742="Autographs Duals",2,IF($B1742="Autographs Triples",3,4)),1)))</f>
        <v>142.9</v>
      </c>
      <c r="AB1742" s="62">
        <f t="shared" si="362"/>
        <v>0</v>
      </c>
      <c r="AC1742" s="62">
        <f t="shared" si="363"/>
        <v>0</v>
      </c>
    </row>
    <row r="1743" spans="1:29" ht="42.95" customHeight="1" x14ac:dyDescent="0.25">
      <c r="A1743" s="4" t="s">
        <v>21</v>
      </c>
      <c r="B1743" s="7" t="s">
        <v>97</v>
      </c>
      <c r="C1743" s="2" t="s">
        <v>430</v>
      </c>
      <c r="D1743" s="7" t="s">
        <v>288</v>
      </c>
      <c r="E1743" s="4" t="s">
        <v>689</v>
      </c>
      <c r="F1743" s="2">
        <v>7</v>
      </c>
      <c r="G1743" s="2" t="s">
        <v>1399</v>
      </c>
      <c r="H1743" s="2" t="s">
        <v>1400</v>
      </c>
      <c r="I1743" s="4" t="s">
        <v>60</v>
      </c>
      <c r="J1743" s="112">
        <f>IF($H1743&lt;&gt;"Y",0,ROUND(MIN(Dashboard!$R$24,IF(IFERROR(VLOOKUP($B1743,Dashboard!$Q$28:$S$60,2,FALSE),0)&gt;0,IFERROR(VLOOKUP($B1743,Dashboard!$Q$28:$S$60,2,FALSE),0),$Z1743*IF($U1743&lt;&gt;"",ROUND((Dashboard!$R$4/$U1743)*VLOOKUP($I1743,Dashboard!$Q$9:$R$13,2,FALSE)*IF(ISNUMBER(SEARCH("Duals",$B1743)),2,IF(ISNUMBER(SEARCH("Triples",$B1743)),3,IF(ISNUMBER(SEARCH("Quads",$B1743)),4,1))),2),ROUND(VLOOKUP($I1743,Dashboard!$Q$15:$R$20,2,FALSE)*IF($E1743="Red",Dashboard!$R$6,IF($E1743="Gold",Dashboard!$R$7,Dashboard!$R$5))*IF(ISNUMBER(SEARCH("Duals",$B1743)),2,IF(ISNUMBER(SEARCH("Triples",$B1743)),3,IF(ISNUMBER(SEARCH("Quads",$B1743)),4,1))),2))*IF(IFERROR(VLOOKUP($B1743,Dashboard!$Q$28:$S$60,3,FALSE),0)&gt;0,VLOOKUP($B1743,Dashboard!$Q$28:$S$60,3,FALSE),1))),0))</f>
        <v>129</v>
      </c>
      <c r="K1743" s="2" t="str">
        <f>IF(Characters!I43="","",Characters!I43)</f>
        <v/>
      </c>
      <c r="L1743" s="2">
        <f t="shared" si="351"/>
        <v>0</v>
      </c>
      <c r="M1743" s="2">
        <f t="shared" si="352"/>
        <v>0</v>
      </c>
      <c r="N1743" s="2">
        <f t="shared" si="353"/>
        <v>0</v>
      </c>
      <c r="O1743" s="2">
        <f t="shared" si="354"/>
        <v>1</v>
      </c>
      <c r="P1743" s="112">
        <f t="shared" si="355"/>
        <v>0</v>
      </c>
      <c r="Q1743" s="112">
        <f t="shared" si="356"/>
        <v>0</v>
      </c>
      <c r="R1743" s="53"/>
      <c r="S1743" s="53" t="str">
        <f t="shared" si="357"/>
        <v>Characters|Characters The Seven Parallel|C-42|The Seven</v>
      </c>
      <c r="T1743" s="57" t="str">
        <f>IF($S1743="","",IFERROR(VLOOKUP($S1743,'Pop Estimates (Non-#d)'!$N$2:$O$500,2,FALSE),""))</f>
        <v/>
      </c>
      <c r="U1743" s="57">
        <f t="shared" si="358"/>
        <v>7</v>
      </c>
      <c r="V1743" s="53" t="str">
        <f t="shared" si="359"/>
        <v>Shockwave</v>
      </c>
      <c r="W1743" s="53" t="str">
        <f t="shared" si="360"/>
        <v>Shockwave</v>
      </c>
      <c r="X1743" s="53" t="str">
        <f t="shared" si="361"/>
        <v>Shockwave</v>
      </c>
      <c r="Y1743" s="57">
        <f>IF($X1743="","",IFERROR(VLOOKUP($X1743,'Char Popularity'!$A$2:$C$500,2,FALSE),""))</f>
        <v>2</v>
      </c>
      <c r="Z1743" s="56">
        <f>IF($X1743="",1,IFERROR(VLOOKUP($X1743,'Char Popularity'!$A$2:$C$500,3,FALSE),1))</f>
        <v>0.9</v>
      </c>
      <c r="AA1743" s="62">
        <f>IF($H1743&lt;&gt;"Y",0,(IF($F1743&lt;&gt;"",ROUND(Dashboard!$R$4/$F1743,1),IF(AND($I1743="Base",$E1743="Base"),Dashboard!$R$5,IF(AND($I1743="Base",$E1743="Red"),Dashboard!$R$6,IF(AND($I1743="Base",$E1743="Gold"),Dashboard!$R$7,VLOOKUP($I1743,Dashboard!$Q$16:$R$21,2,FALSE)))))*VLOOKUP($I1743,Dashboard!$Q$9:$R$13,2,FALSE)*IF(AND($I1743="Auto",$F1743="",OR($B1743="Autographs Duals",$B1743="Autographs Triples",$B1743="Autographs Quads",$B1743="Autographs Quads (Inscribed)")),IF($B1743="Autographs Duals",2,IF($B1743="Autographs Triples",3,4)),1)))</f>
        <v>142.9</v>
      </c>
      <c r="AB1743" s="62">
        <f t="shared" si="362"/>
        <v>0</v>
      </c>
      <c r="AC1743" s="62">
        <f t="shared" si="363"/>
        <v>0</v>
      </c>
    </row>
    <row r="1744" spans="1:29" ht="42.95" customHeight="1" x14ac:dyDescent="0.25">
      <c r="A1744" s="4" t="s">
        <v>21</v>
      </c>
      <c r="B1744" s="7" t="s">
        <v>97</v>
      </c>
      <c r="C1744" s="2" t="s">
        <v>1263</v>
      </c>
      <c r="D1744" s="7" t="s">
        <v>542</v>
      </c>
      <c r="E1744" s="4" t="s">
        <v>689</v>
      </c>
      <c r="F1744" s="2">
        <v>7</v>
      </c>
      <c r="G1744" s="2" t="s">
        <v>1399</v>
      </c>
      <c r="H1744" s="2" t="s">
        <v>1400</v>
      </c>
      <c r="I1744" s="4" t="s">
        <v>60</v>
      </c>
      <c r="J1744" s="112">
        <f>IF($H1744&lt;&gt;"Y",0,ROUND(MIN(Dashboard!$R$24,IF(IFERROR(VLOOKUP($B1744,Dashboard!$Q$28:$S$60,2,FALSE),0)&gt;0,IFERROR(VLOOKUP($B1744,Dashboard!$Q$28:$S$60,2,FALSE),0),$Z1744*IF($U1744&lt;&gt;"",ROUND((Dashboard!$R$4/$U1744)*VLOOKUP($I1744,Dashboard!$Q$9:$R$13,2,FALSE)*IF(ISNUMBER(SEARCH("Duals",$B1744)),2,IF(ISNUMBER(SEARCH("Triples",$B1744)),3,IF(ISNUMBER(SEARCH("Quads",$B1744)),4,1))),2),ROUND(VLOOKUP($I1744,Dashboard!$Q$15:$R$20,2,FALSE)*IF($E1744="Red",Dashboard!$R$6,IF($E1744="Gold",Dashboard!$R$7,Dashboard!$R$5))*IF(ISNUMBER(SEARCH("Duals",$B1744)),2,IF(ISNUMBER(SEARCH("Triples",$B1744)),3,IF(ISNUMBER(SEARCH("Quads",$B1744)),4,1))),2))*IF(IFERROR(VLOOKUP($B1744,Dashboard!$Q$28:$S$60,3,FALSE),0)&gt;0,VLOOKUP($B1744,Dashboard!$Q$28:$S$60,3,FALSE),1))),0))</f>
        <v>143</v>
      </c>
      <c r="K1744" s="2" t="str">
        <f>IF(Characters!I44="","",Characters!I44)</f>
        <v>C 5/7</v>
      </c>
      <c r="L1744" s="2">
        <f t="shared" si="351"/>
        <v>1</v>
      </c>
      <c r="M1744" s="2">
        <f t="shared" si="352"/>
        <v>0</v>
      </c>
      <c r="N1744" s="2">
        <f t="shared" si="353"/>
        <v>1</v>
      </c>
      <c r="O1744" s="2">
        <f t="shared" si="354"/>
        <v>0</v>
      </c>
      <c r="P1744" s="112">
        <f t="shared" si="355"/>
        <v>143</v>
      </c>
      <c r="Q1744" s="112">
        <f t="shared" si="356"/>
        <v>0</v>
      </c>
      <c r="R1744" s="53"/>
      <c r="S1744" s="53" t="str">
        <f t="shared" si="357"/>
        <v>Characters|Characters The Seven Parallel|C-43|The Seven</v>
      </c>
      <c r="T1744" s="57" t="str">
        <f>IF($S1744="","",IFERROR(VLOOKUP($S1744,'Pop Estimates (Non-#d)'!$N$2:$O$500,2,FALSE),""))</f>
        <v/>
      </c>
      <c r="U1744" s="57">
        <f t="shared" si="358"/>
        <v>7</v>
      </c>
      <c r="V1744" s="53" t="str">
        <f t="shared" si="359"/>
        <v/>
      </c>
      <c r="W1744" s="53" t="str">
        <f t="shared" si="360"/>
        <v/>
      </c>
      <c r="X1744" s="53" t="str">
        <f t="shared" si="361"/>
        <v/>
      </c>
      <c r="Y1744" s="57" t="str">
        <f>IF($X1744="","",IFERROR(VLOOKUP($X1744,'Char Popularity'!$A$2:$C$500,2,FALSE),""))</f>
        <v/>
      </c>
      <c r="Z1744" s="56">
        <f>IF($X1744="",1,IFERROR(VLOOKUP($X1744,'Char Popularity'!$A$2:$C$500,3,FALSE),1))</f>
        <v>1</v>
      </c>
      <c r="AA1744" s="62">
        <f>IF($H1744&lt;&gt;"Y",0,(IF($F1744&lt;&gt;"",ROUND(Dashboard!$R$4/$F1744,1),IF(AND($I1744="Base",$E1744="Base"),Dashboard!$R$5,IF(AND($I1744="Base",$E1744="Red"),Dashboard!$R$6,IF(AND($I1744="Base",$E1744="Gold"),Dashboard!$R$7,VLOOKUP($I1744,Dashboard!$Q$16:$R$21,2,FALSE)))))*VLOOKUP($I1744,Dashboard!$Q$9:$R$13,2,FALSE)*IF(AND($I1744="Auto",$F1744="",OR($B1744="Autographs Duals",$B1744="Autographs Triples",$B1744="Autographs Quads",$B1744="Autographs Quads (Inscribed)")),IF($B1744="Autographs Duals",2,IF($B1744="Autographs Triples",3,4)),1)))</f>
        <v>142.9</v>
      </c>
      <c r="AB1744" s="62">
        <f t="shared" si="362"/>
        <v>142.9</v>
      </c>
      <c r="AC1744" s="62">
        <f t="shared" si="363"/>
        <v>0</v>
      </c>
    </row>
    <row r="1745" spans="1:29" ht="42.95" customHeight="1" x14ac:dyDescent="0.25">
      <c r="A1745" s="4" t="s">
        <v>21</v>
      </c>
      <c r="B1745" s="7" t="s">
        <v>97</v>
      </c>
      <c r="C1745" s="2" t="s">
        <v>1265</v>
      </c>
      <c r="D1745" s="7" t="s">
        <v>1266</v>
      </c>
      <c r="E1745" s="4" t="s">
        <v>689</v>
      </c>
      <c r="F1745" s="2">
        <v>7</v>
      </c>
      <c r="G1745" s="2" t="s">
        <v>1399</v>
      </c>
      <c r="H1745" s="2" t="s">
        <v>1400</v>
      </c>
      <c r="I1745" s="4" t="s">
        <v>60</v>
      </c>
      <c r="J1745" s="112">
        <f>IF($H1745&lt;&gt;"Y",0,ROUND(MIN(Dashboard!$R$24,IF(IFERROR(VLOOKUP($B1745,Dashboard!$Q$28:$S$60,2,FALSE),0)&gt;0,IFERROR(VLOOKUP($B1745,Dashboard!$Q$28:$S$60,2,FALSE),0),$Z1745*IF($U1745&lt;&gt;"",ROUND((Dashboard!$R$4/$U1745)*VLOOKUP($I1745,Dashboard!$Q$9:$R$13,2,FALSE)*IF(ISNUMBER(SEARCH("Duals",$B1745)),2,IF(ISNUMBER(SEARCH("Triples",$B1745)),3,IF(ISNUMBER(SEARCH("Quads",$B1745)),4,1))),2),ROUND(VLOOKUP($I1745,Dashboard!$Q$15:$R$20,2,FALSE)*IF($E1745="Red",Dashboard!$R$6,IF($E1745="Gold",Dashboard!$R$7,Dashboard!$R$5))*IF(ISNUMBER(SEARCH("Duals",$B1745)),2,IF(ISNUMBER(SEARCH("Triples",$B1745)),3,IF(ISNUMBER(SEARCH("Quads",$B1745)),4,1))),2))*IF(IFERROR(VLOOKUP($B1745,Dashboard!$Q$28:$S$60,3,FALSE),0)&gt;0,VLOOKUP($B1745,Dashboard!$Q$28:$S$60,3,FALSE),1))),0))</f>
        <v>143</v>
      </c>
      <c r="K1745" s="2" t="str">
        <f>IF(Characters!I45="","",Characters!I45)</f>
        <v/>
      </c>
      <c r="L1745" s="2">
        <f t="shared" si="351"/>
        <v>0</v>
      </c>
      <c r="M1745" s="2">
        <f t="shared" si="352"/>
        <v>0</v>
      </c>
      <c r="N1745" s="2">
        <f t="shared" si="353"/>
        <v>0</v>
      </c>
      <c r="O1745" s="2">
        <f t="shared" si="354"/>
        <v>1</v>
      </c>
      <c r="P1745" s="112">
        <f t="shared" si="355"/>
        <v>0</v>
      </c>
      <c r="Q1745" s="112">
        <f t="shared" si="356"/>
        <v>0</v>
      </c>
      <c r="R1745" s="53"/>
      <c r="S1745" s="53" t="str">
        <f t="shared" si="357"/>
        <v>Characters|Characters The Seven Parallel|C-44|The Seven</v>
      </c>
      <c r="T1745" s="57" t="str">
        <f>IF($S1745="","",IFERROR(VLOOKUP($S1745,'Pop Estimates (Non-#d)'!$N$2:$O$500,2,FALSE),""))</f>
        <v/>
      </c>
      <c r="U1745" s="57">
        <f t="shared" si="358"/>
        <v>7</v>
      </c>
      <c r="V1745" s="53" t="str">
        <f t="shared" si="359"/>
        <v>Cindy</v>
      </c>
      <c r="W1745" s="53" t="str">
        <f t="shared" si="360"/>
        <v>Cindy</v>
      </c>
      <c r="X1745" s="53" t="str">
        <f t="shared" si="361"/>
        <v>Cindy</v>
      </c>
      <c r="Y1745" s="57">
        <f>IF($X1745="","",IFERROR(VLOOKUP($X1745,'Char Popularity'!$A$2:$C$500,2,FALSE),""))</f>
        <v>3</v>
      </c>
      <c r="Z1745" s="56">
        <f>IF($X1745="",1,IFERROR(VLOOKUP($X1745,'Char Popularity'!$A$2:$C$500,3,FALSE),1))</f>
        <v>1</v>
      </c>
      <c r="AA1745" s="62">
        <f>IF($H1745&lt;&gt;"Y",0,(IF($F1745&lt;&gt;"",ROUND(Dashboard!$R$4/$F1745,1),IF(AND($I1745="Base",$E1745="Base"),Dashboard!$R$5,IF(AND($I1745="Base",$E1745="Red"),Dashboard!$R$6,IF(AND($I1745="Base",$E1745="Gold"),Dashboard!$R$7,VLOOKUP($I1745,Dashboard!$Q$16:$R$21,2,FALSE)))))*VLOOKUP($I1745,Dashboard!$Q$9:$R$13,2,FALSE)*IF(AND($I1745="Auto",$F1745="",OR($B1745="Autographs Duals",$B1745="Autographs Triples",$B1745="Autographs Quads",$B1745="Autographs Quads (Inscribed)")),IF($B1745="Autographs Duals",2,IF($B1745="Autographs Triples",3,4)),1)))</f>
        <v>142.9</v>
      </c>
      <c r="AB1745" s="62">
        <f t="shared" si="362"/>
        <v>0</v>
      </c>
      <c r="AC1745" s="62">
        <f t="shared" si="363"/>
        <v>0</v>
      </c>
    </row>
    <row r="1746" spans="1:29" ht="42.95" customHeight="1" x14ac:dyDescent="0.25">
      <c r="A1746" s="4" t="s">
        <v>21</v>
      </c>
      <c r="B1746" s="7" t="s">
        <v>97</v>
      </c>
      <c r="C1746" s="2" t="s">
        <v>431</v>
      </c>
      <c r="D1746" s="7" t="s">
        <v>234</v>
      </c>
      <c r="E1746" s="4" t="s">
        <v>689</v>
      </c>
      <c r="F1746" s="2">
        <v>7</v>
      </c>
      <c r="G1746" s="2" t="s">
        <v>1399</v>
      </c>
      <c r="H1746" s="2" t="s">
        <v>1400</v>
      </c>
      <c r="I1746" s="4" t="s">
        <v>60</v>
      </c>
      <c r="J1746" s="112">
        <f>IF($H1746&lt;&gt;"Y",0,ROUND(MIN(Dashboard!$R$24,IF(IFERROR(VLOOKUP($B1746,Dashboard!$Q$28:$S$60,2,FALSE),0)&gt;0,IFERROR(VLOOKUP($B1746,Dashboard!$Q$28:$S$60,2,FALSE),0),$Z1746*IF($U1746&lt;&gt;"",ROUND((Dashboard!$R$4/$U1746)*VLOOKUP($I1746,Dashboard!$Q$9:$R$13,2,FALSE)*IF(ISNUMBER(SEARCH("Duals",$B1746)),2,IF(ISNUMBER(SEARCH("Triples",$B1746)),3,IF(ISNUMBER(SEARCH("Quads",$B1746)),4,1))),2),ROUND(VLOOKUP($I1746,Dashboard!$Q$15:$R$20,2,FALSE)*IF($E1746="Red",Dashboard!$R$6,IF($E1746="Gold",Dashboard!$R$7,Dashboard!$R$5))*IF(ISNUMBER(SEARCH("Duals",$B1746)),2,IF(ISNUMBER(SEARCH("Triples",$B1746)),3,IF(ISNUMBER(SEARCH("Quads",$B1746)),4,1))),2))*IF(IFERROR(VLOOKUP($B1746,Dashboard!$Q$28:$S$60,3,FALSE),0)&gt;0,VLOOKUP($B1746,Dashboard!$Q$28:$S$60,3,FALSE),1))),0))</f>
        <v>143</v>
      </c>
      <c r="K1746" s="2" t="str">
        <f>IF(Characters!I46="","",Characters!I46)</f>
        <v/>
      </c>
      <c r="L1746" s="2">
        <f t="shared" si="351"/>
        <v>0</v>
      </c>
      <c r="M1746" s="2">
        <f t="shared" si="352"/>
        <v>0</v>
      </c>
      <c r="N1746" s="2">
        <f t="shared" si="353"/>
        <v>0</v>
      </c>
      <c r="O1746" s="2">
        <f t="shared" si="354"/>
        <v>1</v>
      </c>
      <c r="P1746" s="112">
        <f t="shared" si="355"/>
        <v>0</v>
      </c>
      <c r="Q1746" s="112">
        <f t="shared" si="356"/>
        <v>0</v>
      </c>
      <c r="R1746" s="53"/>
      <c r="S1746" s="53" t="str">
        <f t="shared" si="357"/>
        <v>Characters|Characters The Seven Parallel|C-45|The Seven</v>
      </c>
      <c r="T1746" s="57" t="str">
        <f>IF($S1746="","",IFERROR(VLOOKUP($S1746,'Pop Estimates (Non-#d)'!$N$2:$O$500,2,FALSE),""))</f>
        <v/>
      </c>
      <c r="U1746" s="57">
        <f t="shared" si="358"/>
        <v>7</v>
      </c>
      <c r="V1746" s="53" t="str">
        <f t="shared" si="359"/>
        <v>Ashley Barrett</v>
      </c>
      <c r="W1746" s="53" t="str">
        <f t="shared" si="360"/>
        <v>Ashley Barrett</v>
      </c>
      <c r="X1746" s="53" t="str">
        <f t="shared" si="361"/>
        <v>Ashley Barrett</v>
      </c>
      <c r="Y1746" s="57">
        <f>IF($X1746="","",IFERROR(VLOOKUP($X1746,'Char Popularity'!$A$2:$C$500,2,FALSE),""))</f>
        <v>3</v>
      </c>
      <c r="Z1746" s="56">
        <f>IF($X1746="",1,IFERROR(VLOOKUP($X1746,'Char Popularity'!$A$2:$C$500,3,FALSE),1))</f>
        <v>1</v>
      </c>
      <c r="AA1746" s="62">
        <f>IF($H1746&lt;&gt;"Y",0,(IF($F1746&lt;&gt;"",ROUND(Dashboard!$R$4/$F1746,1),IF(AND($I1746="Base",$E1746="Base"),Dashboard!$R$5,IF(AND($I1746="Base",$E1746="Red"),Dashboard!$R$6,IF(AND($I1746="Base",$E1746="Gold"),Dashboard!$R$7,VLOOKUP($I1746,Dashboard!$Q$16:$R$21,2,FALSE)))))*VLOOKUP($I1746,Dashboard!$Q$9:$R$13,2,FALSE)*IF(AND($I1746="Auto",$F1746="",OR($B1746="Autographs Duals",$B1746="Autographs Triples",$B1746="Autographs Quads",$B1746="Autographs Quads (Inscribed)")),IF($B1746="Autographs Duals",2,IF($B1746="Autographs Triples",3,4)),1)))</f>
        <v>142.9</v>
      </c>
      <c r="AB1746" s="62">
        <f t="shared" si="362"/>
        <v>0</v>
      </c>
      <c r="AC1746" s="62">
        <f t="shared" si="363"/>
        <v>0</v>
      </c>
    </row>
    <row r="1747" spans="1:29" ht="42.95" customHeight="1" x14ac:dyDescent="0.25">
      <c r="A1747" s="4" t="s">
        <v>21</v>
      </c>
      <c r="B1747" s="7" t="s">
        <v>97</v>
      </c>
      <c r="C1747" s="2" t="s">
        <v>432</v>
      </c>
      <c r="D1747" s="7" t="s">
        <v>248</v>
      </c>
      <c r="E1747" s="4" t="s">
        <v>689</v>
      </c>
      <c r="F1747" s="2">
        <v>7</v>
      </c>
      <c r="G1747" s="2" t="s">
        <v>1399</v>
      </c>
      <c r="H1747" s="2" t="s">
        <v>1400</v>
      </c>
      <c r="I1747" s="4" t="s">
        <v>60</v>
      </c>
      <c r="J1747" s="112">
        <f>IF($H1747&lt;&gt;"Y",0,ROUND(MIN(Dashboard!$R$24,IF(IFERROR(VLOOKUP($B1747,Dashboard!$Q$28:$S$60,2,FALSE),0)&gt;0,IFERROR(VLOOKUP($B1747,Dashboard!$Q$28:$S$60,2,FALSE),0),$Z1747*IF($U1747&lt;&gt;"",ROUND((Dashboard!$R$4/$U1747)*VLOOKUP($I1747,Dashboard!$Q$9:$R$13,2,FALSE)*IF(ISNUMBER(SEARCH("Duals",$B1747)),2,IF(ISNUMBER(SEARCH("Triples",$B1747)),3,IF(ISNUMBER(SEARCH("Quads",$B1747)),4,1))),2),ROUND(VLOOKUP($I1747,Dashboard!$Q$15:$R$20,2,FALSE)*IF($E1747="Red",Dashboard!$R$6,IF($E1747="Gold",Dashboard!$R$7,Dashboard!$R$5))*IF(ISNUMBER(SEARCH("Duals",$B1747)),2,IF(ISNUMBER(SEARCH("Triples",$B1747)),3,IF(ISNUMBER(SEARCH("Quads",$B1747)),4,1))),2))*IF(IFERROR(VLOOKUP($B1747,Dashboard!$Q$28:$S$60,3,FALSE),0)&gt;0,VLOOKUP($B1747,Dashboard!$Q$28:$S$60,3,FALSE),1))),0))</f>
        <v>171</v>
      </c>
      <c r="K1747" s="2" t="str">
        <f>IF(Characters!I47="","",Characters!I47)</f>
        <v/>
      </c>
      <c r="L1747" s="2">
        <f t="shared" si="351"/>
        <v>0</v>
      </c>
      <c r="M1747" s="2">
        <f t="shared" si="352"/>
        <v>0</v>
      </c>
      <c r="N1747" s="2">
        <f t="shared" si="353"/>
        <v>0</v>
      </c>
      <c r="O1747" s="2">
        <f t="shared" si="354"/>
        <v>1</v>
      </c>
      <c r="P1747" s="112">
        <f t="shared" si="355"/>
        <v>0</v>
      </c>
      <c r="Q1747" s="112">
        <f t="shared" si="356"/>
        <v>0</v>
      </c>
      <c r="R1747" s="53"/>
      <c r="S1747" s="53" t="str">
        <f t="shared" si="357"/>
        <v>Characters|Characters The Seven Parallel|C-46|The Seven</v>
      </c>
      <c r="T1747" s="57" t="str">
        <f>IF($S1747="","",IFERROR(VLOOKUP($S1747,'Pop Estimates (Non-#d)'!$N$2:$O$500,2,FALSE),""))</f>
        <v/>
      </c>
      <c r="U1747" s="57">
        <f t="shared" si="358"/>
        <v>7</v>
      </c>
      <c r="V1747" s="53" t="str">
        <f t="shared" si="359"/>
        <v>Starlight</v>
      </c>
      <c r="W1747" s="53" t="str">
        <f t="shared" si="360"/>
        <v>Starlight</v>
      </c>
      <c r="X1747" s="53" t="str">
        <f t="shared" si="361"/>
        <v>Starlight</v>
      </c>
      <c r="Y1747" s="57">
        <f>IF($X1747="","",IFERROR(VLOOKUP($X1747,'Char Popularity'!$A$2:$C$500,2,FALSE),""))</f>
        <v>5</v>
      </c>
      <c r="Z1747" s="56">
        <f>IF($X1747="",1,IFERROR(VLOOKUP($X1747,'Char Popularity'!$A$2:$C$500,3,FALSE),1))</f>
        <v>1.2</v>
      </c>
      <c r="AA1747" s="62">
        <f>IF($H1747&lt;&gt;"Y",0,(IF($F1747&lt;&gt;"",ROUND(Dashboard!$R$4/$F1747,1),IF(AND($I1747="Base",$E1747="Base"),Dashboard!$R$5,IF(AND($I1747="Base",$E1747="Red"),Dashboard!$R$6,IF(AND($I1747="Base",$E1747="Gold"),Dashboard!$R$7,VLOOKUP($I1747,Dashboard!$Q$16:$R$21,2,FALSE)))))*VLOOKUP($I1747,Dashboard!$Q$9:$R$13,2,FALSE)*IF(AND($I1747="Auto",$F1747="",OR($B1747="Autographs Duals",$B1747="Autographs Triples",$B1747="Autographs Quads",$B1747="Autographs Quads (Inscribed)")),IF($B1747="Autographs Duals",2,IF($B1747="Autographs Triples",3,4)),1)))</f>
        <v>142.9</v>
      </c>
      <c r="AB1747" s="62">
        <f t="shared" si="362"/>
        <v>0</v>
      </c>
      <c r="AC1747" s="62">
        <f t="shared" si="363"/>
        <v>0</v>
      </c>
    </row>
    <row r="1748" spans="1:29" ht="42.95" customHeight="1" x14ac:dyDescent="0.25">
      <c r="A1748" s="4" t="s">
        <v>21</v>
      </c>
      <c r="B1748" s="7" t="s">
        <v>97</v>
      </c>
      <c r="C1748" s="2" t="s">
        <v>433</v>
      </c>
      <c r="D1748" s="7" t="s">
        <v>222</v>
      </c>
      <c r="E1748" s="4" t="s">
        <v>689</v>
      </c>
      <c r="F1748" s="2">
        <v>7</v>
      </c>
      <c r="G1748" s="2" t="s">
        <v>1399</v>
      </c>
      <c r="H1748" s="2" t="s">
        <v>1400</v>
      </c>
      <c r="I1748" s="4" t="s">
        <v>60</v>
      </c>
      <c r="J1748" s="112">
        <f>IF($H1748&lt;&gt;"Y",0,ROUND(MIN(Dashboard!$R$24,IF(IFERROR(VLOOKUP($B1748,Dashboard!$Q$28:$S$60,2,FALSE),0)&gt;0,IFERROR(VLOOKUP($B1748,Dashboard!$Q$28:$S$60,2,FALSE),0),$Z1748*IF($U1748&lt;&gt;"",ROUND((Dashboard!$R$4/$U1748)*VLOOKUP($I1748,Dashboard!$Q$9:$R$13,2,FALSE)*IF(ISNUMBER(SEARCH("Duals",$B1748)),2,IF(ISNUMBER(SEARCH("Triples",$B1748)),3,IF(ISNUMBER(SEARCH("Quads",$B1748)),4,1))),2),ROUND(VLOOKUP($I1748,Dashboard!$Q$15:$R$20,2,FALSE)*IF($E1748="Red",Dashboard!$R$6,IF($E1748="Gold",Dashboard!$R$7,Dashboard!$R$5))*IF(ISNUMBER(SEARCH("Duals",$B1748)),2,IF(ISNUMBER(SEARCH("Triples",$B1748)),3,IF(ISNUMBER(SEARCH("Quads",$B1748)),4,1))),2))*IF(IFERROR(VLOOKUP($B1748,Dashboard!$Q$28:$S$60,3,FALSE),0)&gt;0,VLOOKUP($B1748,Dashboard!$Q$28:$S$60,3,FALSE),1))),0))</f>
        <v>171</v>
      </c>
      <c r="K1748" s="2" t="str">
        <f>IF(Characters!I48="","",Characters!I48)</f>
        <v/>
      </c>
      <c r="L1748" s="2">
        <f t="shared" si="351"/>
        <v>0</v>
      </c>
      <c r="M1748" s="2">
        <f t="shared" si="352"/>
        <v>0</v>
      </c>
      <c r="N1748" s="2">
        <f t="shared" si="353"/>
        <v>0</v>
      </c>
      <c r="O1748" s="2">
        <f t="shared" si="354"/>
        <v>1</v>
      </c>
      <c r="P1748" s="112">
        <f t="shared" si="355"/>
        <v>0</v>
      </c>
      <c r="Q1748" s="112">
        <f t="shared" si="356"/>
        <v>0</v>
      </c>
      <c r="R1748" s="53"/>
      <c r="S1748" s="53" t="str">
        <f t="shared" si="357"/>
        <v>Characters|Characters The Seven Parallel|C-47|The Seven</v>
      </c>
      <c r="T1748" s="57" t="str">
        <f>IF($S1748="","",IFERROR(VLOOKUP($S1748,'Pop Estimates (Non-#d)'!$N$2:$O$500,2,FALSE),""))</f>
        <v/>
      </c>
      <c r="U1748" s="57">
        <f t="shared" si="358"/>
        <v>7</v>
      </c>
      <c r="V1748" s="53" t="str">
        <f t="shared" si="359"/>
        <v>Homelander</v>
      </c>
      <c r="W1748" s="53" t="str">
        <f t="shared" si="360"/>
        <v>Homelander</v>
      </c>
      <c r="X1748" s="53" t="str">
        <f t="shared" si="361"/>
        <v>Homelander</v>
      </c>
      <c r="Y1748" s="57">
        <f>IF($X1748="","",IFERROR(VLOOKUP($X1748,'Char Popularity'!$A$2:$C$500,2,FALSE),""))</f>
        <v>5</v>
      </c>
      <c r="Z1748" s="56">
        <f>IF($X1748="",1,IFERROR(VLOOKUP($X1748,'Char Popularity'!$A$2:$C$500,3,FALSE),1))</f>
        <v>1.2</v>
      </c>
      <c r="AA1748" s="62">
        <f>IF($H1748&lt;&gt;"Y",0,(IF($F1748&lt;&gt;"",ROUND(Dashboard!$R$4/$F1748,1),IF(AND($I1748="Base",$E1748="Base"),Dashboard!$R$5,IF(AND($I1748="Base",$E1748="Red"),Dashboard!$R$6,IF(AND($I1748="Base",$E1748="Gold"),Dashboard!$R$7,VLOOKUP($I1748,Dashboard!$Q$16:$R$21,2,FALSE)))))*VLOOKUP($I1748,Dashboard!$Q$9:$R$13,2,FALSE)*IF(AND($I1748="Auto",$F1748="",OR($B1748="Autographs Duals",$B1748="Autographs Triples",$B1748="Autographs Quads",$B1748="Autographs Quads (Inscribed)")),IF($B1748="Autographs Duals",2,IF($B1748="Autographs Triples",3,4)),1)))</f>
        <v>142.9</v>
      </c>
      <c r="AB1748" s="62">
        <f t="shared" si="362"/>
        <v>0</v>
      </c>
      <c r="AC1748" s="62">
        <f t="shared" si="363"/>
        <v>0</v>
      </c>
    </row>
    <row r="1749" spans="1:29" ht="42.95" customHeight="1" x14ac:dyDescent="0.25">
      <c r="A1749" s="4" t="s">
        <v>21</v>
      </c>
      <c r="B1749" s="7" t="s">
        <v>97</v>
      </c>
      <c r="C1749" s="2" t="s">
        <v>1269</v>
      </c>
      <c r="D1749" s="7" t="s">
        <v>1601</v>
      </c>
      <c r="E1749" s="4" t="s">
        <v>689</v>
      </c>
      <c r="F1749" s="2">
        <v>7</v>
      </c>
      <c r="G1749" s="2" t="s">
        <v>1399</v>
      </c>
      <c r="H1749" s="2" t="s">
        <v>1400</v>
      </c>
      <c r="I1749" s="4" t="s">
        <v>60</v>
      </c>
      <c r="J1749" s="112">
        <f>IF($H1749&lt;&gt;"Y",0,ROUND(MIN(Dashboard!$R$24,IF(IFERROR(VLOOKUP($B1749,Dashboard!$Q$28:$S$60,2,FALSE),0)&gt;0,IFERROR(VLOOKUP($B1749,Dashboard!$Q$28:$S$60,2,FALSE),0),$Z1749*IF($U1749&lt;&gt;"",ROUND((Dashboard!$R$4/$U1749)*VLOOKUP($I1749,Dashboard!$Q$9:$R$13,2,FALSE)*IF(ISNUMBER(SEARCH("Duals",$B1749)),2,IF(ISNUMBER(SEARCH("Triples",$B1749)),3,IF(ISNUMBER(SEARCH("Quads",$B1749)),4,1))),2),ROUND(VLOOKUP($I1749,Dashboard!$Q$15:$R$20,2,FALSE)*IF($E1749="Red",Dashboard!$R$6,IF($E1749="Gold",Dashboard!$R$7,Dashboard!$R$5))*IF(ISNUMBER(SEARCH("Duals",$B1749)),2,IF(ISNUMBER(SEARCH("Triples",$B1749)),3,IF(ISNUMBER(SEARCH("Quads",$B1749)),4,1))),2))*IF(IFERROR(VLOOKUP($B1749,Dashboard!$Q$28:$S$60,3,FALSE),0)&gt;0,VLOOKUP($B1749,Dashboard!$Q$28:$S$60,3,FALSE),1))),0))</f>
        <v>129</v>
      </c>
      <c r="K1749" s="2" t="str">
        <f>IF(Characters!I49="","",Characters!I49)</f>
        <v>C 7/7</v>
      </c>
      <c r="L1749" s="2">
        <f t="shared" si="351"/>
        <v>1</v>
      </c>
      <c r="M1749" s="2">
        <f t="shared" si="352"/>
        <v>0</v>
      </c>
      <c r="N1749" s="2">
        <f t="shared" si="353"/>
        <v>1</v>
      </c>
      <c r="O1749" s="2">
        <f t="shared" si="354"/>
        <v>0</v>
      </c>
      <c r="P1749" s="112">
        <f t="shared" si="355"/>
        <v>129</v>
      </c>
      <c r="Q1749" s="112">
        <f t="shared" si="356"/>
        <v>0</v>
      </c>
      <c r="R1749" s="53"/>
      <c r="S1749" s="53" t="str">
        <f t="shared" si="357"/>
        <v>Characters|Characters The Seven Parallel|C-48|The Seven</v>
      </c>
      <c r="T1749" s="57" t="str">
        <f>IF($S1749="","",IFERROR(VLOOKUP($S1749,'Pop Estimates (Non-#d)'!$N$2:$O$500,2,FALSE),""))</f>
        <v/>
      </c>
      <c r="U1749" s="57">
        <f t="shared" si="358"/>
        <v>7</v>
      </c>
      <c r="V1749" s="53" t="str">
        <f t="shared" si="359"/>
        <v>Gecko</v>
      </c>
      <c r="W1749" s="53" t="str">
        <f t="shared" si="360"/>
        <v>Gecko</v>
      </c>
      <c r="X1749" s="53" t="str">
        <f t="shared" si="361"/>
        <v>Gecko</v>
      </c>
      <c r="Y1749" s="57">
        <f>IF($X1749="","",IFERROR(VLOOKUP($X1749,'Char Popularity'!$A$2:$C$500,2,FALSE),""))</f>
        <v>2</v>
      </c>
      <c r="Z1749" s="56">
        <f>IF($X1749="",1,IFERROR(VLOOKUP($X1749,'Char Popularity'!$A$2:$C$500,3,FALSE),1))</f>
        <v>0.9</v>
      </c>
      <c r="AA1749" s="62">
        <f>IF($H1749&lt;&gt;"Y",0,(IF($F1749&lt;&gt;"",ROUND(Dashboard!$R$4/$F1749,1),IF(AND($I1749="Base",$E1749="Base"),Dashboard!$R$5,IF(AND($I1749="Base",$E1749="Red"),Dashboard!$R$6,IF(AND($I1749="Base",$E1749="Gold"),Dashboard!$R$7,VLOOKUP($I1749,Dashboard!$Q$16:$R$21,2,FALSE)))))*VLOOKUP($I1749,Dashboard!$Q$9:$R$13,2,FALSE)*IF(AND($I1749="Auto",$F1749="",OR($B1749="Autographs Duals",$B1749="Autographs Triples",$B1749="Autographs Quads",$B1749="Autographs Quads (Inscribed)")),IF($B1749="Autographs Duals",2,IF($B1749="Autographs Triples",3,4)),1)))</f>
        <v>142.9</v>
      </c>
      <c r="AB1749" s="62">
        <f t="shared" si="362"/>
        <v>142.9</v>
      </c>
      <c r="AC1749" s="62">
        <f t="shared" si="363"/>
        <v>0</v>
      </c>
    </row>
    <row r="1750" spans="1:29" ht="42.95" customHeight="1" x14ac:dyDescent="0.25">
      <c r="A1750" s="4" t="s">
        <v>21</v>
      </c>
      <c r="B1750" s="7" t="s">
        <v>97</v>
      </c>
      <c r="C1750" s="2" t="s">
        <v>1271</v>
      </c>
      <c r="D1750" s="7" t="s">
        <v>1272</v>
      </c>
      <c r="E1750" s="4" t="s">
        <v>689</v>
      </c>
      <c r="F1750" s="2">
        <v>7</v>
      </c>
      <c r="G1750" s="2" t="s">
        <v>1399</v>
      </c>
      <c r="H1750" s="2" t="s">
        <v>1400</v>
      </c>
      <c r="I1750" s="4" t="s">
        <v>60</v>
      </c>
      <c r="J1750" s="112">
        <f>IF($H1750&lt;&gt;"Y",0,ROUND(MIN(Dashboard!$R$24,IF(IFERROR(VLOOKUP($B1750,Dashboard!$Q$28:$S$60,2,FALSE),0)&gt;0,IFERROR(VLOOKUP($B1750,Dashboard!$Q$28:$S$60,2,FALSE),0),$Z1750*IF($U1750&lt;&gt;"",ROUND((Dashboard!$R$4/$U1750)*VLOOKUP($I1750,Dashboard!$Q$9:$R$13,2,FALSE)*IF(ISNUMBER(SEARCH("Duals",$B1750)),2,IF(ISNUMBER(SEARCH("Triples",$B1750)),3,IF(ISNUMBER(SEARCH("Quads",$B1750)),4,1))),2),ROUND(VLOOKUP($I1750,Dashboard!$Q$15:$R$20,2,FALSE)*IF($E1750="Red",Dashboard!$R$6,IF($E1750="Gold",Dashboard!$R$7,Dashboard!$R$5))*IF(ISNUMBER(SEARCH("Duals",$B1750)),2,IF(ISNUMBER(SEARCH("Triples",$B1750)),3,IF(ISNUMBER(SEARCH("Quads",$B1750)),4,1))),2))*IF(IFERROR(VLOOKUP($B1750,Dashboard!$Q$28:$S$60,3,FALSE),0)&gt;0,VLOOKUP($B1750,Dashboard!$Q$28:$S$60,3,FALSE),1))),0))</f>
        <v>143</v>
      </c>
      <c r="K1750" s="2" t="str">
        <f>IF(Characters!I50="","",Characters!I50)</f>
        <v/>
      </c>
      <c r="L1750" s="2">
        <f t="shared" si="351"/>
        <v>0</v>
      </c>
      <c r="M1750" s="2">
        <f t="shared" si="352"/>
        <v>0</v>
      </c>
      <c r="N1750" s="2">
        <f t="shared" si="353"/>
        <v>0</v>
      </c>
      <c r="O1750" s="2">
        <f t="shared" si="354"/>
        <v>1</v>
      </c>
      <c r="P1750" s="112">
        <f t="shared" si="355"/>
        <v>0</v>
      </c>
      <c r="Q1750" s="112">
        <f t="shared" si="356"/>
        <v>0</v>
      </c>
      <c r="R1750" s="53"/>
      <c r="S1750" s="53" t="str">
        <f t="shared" si="357"/>
        <v>Characters|Characters The Seven Parallel|C-49|The Seven</v>
      </c>
      <c r="T1750" s="57" t="str">
        <f>IF($S1750="","",IFERROR(VLOOKUP($S1750,'Pop Estimates (Non-#d)'!$N$2:$O$500,2,FALSE),""))</f>
        <v/>
      </c>
      <c r="U1750" s="57">
        <f t="shared" si="358"/>
        <v>7</v>
      </c>
      <c r="V1750" s="53" t="str">
        <f t="shared" si="359"/>
        <v>Jonah Vogelbaum</v>
      </c>
      <c r="W1750" s="53" t="str">
        <f t="shared" si="360"/>
        <v>Jonah Vogelbaum</v>
      </c>
      <c r="X1750" s="53" t="str">
        <f t="shared" si="361"/>
        <v>Jonah Vogelbaum</v>
      </c>
      <c r="Y1750" s="57">
        <f>IF($X1750="","",IFERROR(VLOOKUP($X1750,'Char Popularity'!$A$2:$C$500,2,FALSE),""))</f>
        <v>3</v>
      </c>
      <c r="Z1750" s="56">
        <f>IF($X1750="",1,IFERROR(VLOOKUP($X1750,'Char Popularity'!$A$2:$C$500,3,FALSE),1))</f>
        <v>1</v>
      </c>
      <c r="AA1750" s="62">
        <f>IF($H1750&lt;&gt;"Y",0,(IF($F1750&lt;&gt;"",ROUND(Dashboard!$R$4/$F1750,1),IF(AND($I1750="Base",$E1750="Base"),Dashboard!$R$5,IF(AND($I1750="Base",$E1750="Red"),Dashboard!$R$6,IF(AND($I1750="Base",$E1750="Gold"),Dashboard!$R$7,VLOOKUP($I1750,Dashboard!$Q$16:$R$21,2,FALSE)))))*VLOOKUP($I1750,Dashboard!$Q$9:$R$13,2,FALSE)*IF(AND($I1750="Auto",$F1750="",OR($B1750="Autographs Duals",$B1750="Autographs Triples",$B1750="Autographs Quads",$B1750="Autographs Quads (Inscribed)")),IF($B1750="Autographs Duals",2,IF($B1750="Autographs Triples",3,4)),1)))</f>
        <v>142.9</v>
      </c>
      <c r="AB1750" s="62">
        <f t="shared" si="362"/>
        <v>0</v>
      </c>
      <c r="AC1750" s="62">
        <f t="shared" si="363"/>
        <v>0</v>
      </c>
    </row>
    <row r="1751" spans="1:29" ht="42.95" customHeight="1" x14ac:dyDescent="0.25">
      <c r="A1751" s="4" t="s">
        <v>21</v>
      </c>
      <c r="B1751" s="7" t="s">
        <v>97</v>
      </c>
      <c r="C1751" s="2" t="s">
        <v>1273</v>
      </c>
      <c r="D1751" s="7" t="s">
        <v>1274</v>
      </c>
      <c r="E1751" s="4" t="s">
        <v>689</v>
      </c>
      <c r="F1751" s="2">
        <v>7</v>
      </c>
      <c r="G1751" s="2" t="s">
        <v>1399</v>
      </c>
      <c r="H1751" s="2" t="s">
        <v>1400</v>
      </c>
      <c r="I1751" s="4" t="s">
        <v>60</v>
      </c>
      <c r="J1751" s="112">
        <f>IF($H1751&lt;&gt;"Y",0,ROUND(MIN(Dashboard!$R$24,IF(IFERROR(VLOOKUP($B1751,Dashboard!$Q$28:$S$60,2,FALSE),0)&gt;0,IFERROR(VLOOKUP($B1751,Dashboard!$Q$28:$S$60,2,FALSE),0),$Z1751*IF($U1751&lt;&gt;"",ROUND((Dashboard!$R$4/$U1751)*VLOOKUP($I1751,Dashboard!$Q$9:$R$13,2,FALSE)*IF(ISNUMBER(SEARCH("Duals",$B1751)),2,IF(ISNUMBER(SEARCH("Triples",$B1751)),3,IF(ISNUMBER(SEARCH("Quads",$B1751)),4,1))),2),ROUND(VLOOKUP($I1751,Dashboard!$Q$15:$R$20,2,FALSE)*IF($E1751="Red",Dashboard!$R$6,IF($E1751="Gold",Dashboard!$R$7,Dashboard!$R$5))*IF(ISNUMBER(SEARCH("Duals",$B1751)),2,IF(ISNUMBER(SEARCH("Triples",$B1751)),3,IF(ISNUMBER(SEARCH("Quads",$B1751)),4,1))),2))*IF(IFERROR(VLOOKUP($B1751,Dashboard!$Q$28:$S$60,3,FALSE),0)&gt;0,VLOOKUP($B1751,Dashboard!$Q$28:$S$60,3,FALSE),1))),0))</f>
        <v>143</v>
      </c>
      <c r="K1751" s="2" t="str">
        <f>IF(Characters!I51="","",Characters!I51)</f>
        <v/>
      </c>
      <c r="L1751" s="2">
        <f t="shared" si="351"/>
        <v>0</v>
      </c>
      <c r="M1751" s="2">
        <f t="shared" si="352"/>
        <v>0</v>
      </c>
      <c r="N1751" s="2">
        <f t="shared" si="353"/>
        <v>0</v>
      </c>
      <c r="O1751" s="2">
        <f t="shared" si="354"/>
        <v>1</v>
      </c>
      <c r="P1751" s="112">
        <f t="shared" si="355"/>
        <v>0</v>
      </c>
      <c r="Q1751" s="112">
        <f t="shared" si="356"/>
        <v>0</v>
      </c>
      <c r="R1751" s="53"/>
      <c r="S1751" s="53" t="str">
        <f t="shared" si="357"/>
        <v>Characters|Characters The Seven Parallel|C-50|The Seven</v>
      </c>
      <c r="T1751" s="57" t="str">
        <f>IF($S1751="","",IFERROR(VLOOKUP($S1751,'Pop Estimates (Non-#d)'!$N$2:$O$500,2,FALSE),""))</f>
        <v/>
      </c>
      <c r="U1751" s="57">
        <f t="shared" si="358"/>
        <v>7</v>
      </c>
      <c r="V1751" s="53" t="str">
        <f t="shared" si="359"/>
        <v>Doppelganger</v>
      </c>
      <c r="W1751" s="53" t="str">
        <f t="shared" si="360"/>
        <v>Doppelganger</v>
      </c>
      <c r="X1751" s="53" t="str">
        <f t="shared" si="361"/>
        <v>Doppelganger</v>
      </c>
      <c r="Y1751" s="57">
        <f>IF($X1751="","",IFERROR(VLOOKUP($X1751,'Char Popularity'!$A$2:$C$500,2,FALSE),""))</f>
        <v>3</v>
      </c>
      <c r="Z1751" s="56">
        <f>IF($X1751="",1,IFERROR(VLOOKUP($X1751,'Char Popularity'!$A$2:$C$500,3,FALSE),1))</f>
        <v>1</v>
      </c>
      <c r="AA1751" s="62">
        <f>IF($H1751&lt;&gt;"Y",0,(IF($F1751&lt;&gt;"",ROUND(Dashboard!$R$4/$F1751,1),IF(AND($I1751="Base",$E1751="Base"),Dashboard!$R$5,IF(AND($I1751="Base",$E1751="Red"),Dashboard!$R$6,IF(AND($I1751="Base",$E1751="Gold"),Dashboard!$R$7,VLOOKUP($I1751,Dashboard!$Q$16:$R$21,2,FALSE)))))*VLOOKUP($I1751,Dashboard!$Q$9:$R$13,2,FALSE)*IF(AND($I1751="Auto",$F1751="",OR($B1751="Autographs Duals",$B1751="Autographs Triples",$B1751="Autographs Quads",$B1751="Autographs Quads (Inscribed)")),IF($B1751="Autographs Duals",2,IF($B1751="Autographs Triples",3,4)),1)))</f>
        <v>142.9</v>
      </c>
      <c r="AB1751" s="62">
        <f t="shared" si="362"/>
        <v>0</v>
      </c>
      <c r="AC1751" s="62">
        <f t="shared" si="363"/>
        <v>0</v>
      </c>
    </row>
    <row r="1752" spans="1:29" ht="28.7" customHeight="1" x14ac:dyDescent="0.25">
      <c r="A1752" s="4" t="s">
        <v>23</v>
      </c>
      <c r="B1752" s="7" t="s">
        <v>103</v>
      </c>
      <c r="C1752" s="2" t="s">
        <v>681</v>
      </c>
      <c r="D1752" s="7" t="s">
        <v>542</v>
      </c>
      <c r="E1752" s="4" t="s">
        <v>60</v>
      </c>
      <c r="F1752" s="2"/>
      <c r="G1752" s="2" t="s">
        <v>1399</v>
      </c>
      <c r="H1752" s="2" t="s">
        <v>1400</v>
      </c>
      <c r="I1752" s="4" t="s">
        <v>62</v>
      </c>
      <c r="J1752" s="112">
        <f>IF($H1752&lt;&gt;"Y",0,ROUND(MIN(Dashboard!$R$24,IF(IFERROR(VLOOKUP($B1752,Dashboard!$Q$28:$S$60,2,FALSE),0)&gt;0,IFERROR(VLOOKUP($B1752,Dashboard!$Q$28:$S$60,2,FALSE),0),$Z1752*IF($U1752&lt;&gt;"",ROUND((Dashboard!$R$4/$U1752)*VLOOKUP($I1752,Dashboard!$Q$9:$R$13,2,FALSE)*IF(ISNUMBER(SEARCH("Duals",$B1752)),2,IF(ISNUMBER(SEARCH("Triples",$B1752)),3,IF(ISNUMBER(SEARCH("Quads",$B1752)),4,1))),2),ROUND(VLOOKUP($I1752,Dashboard!$Q$15:$R$20,2,FALSE)*IF($E1752="Red",Dashboard!$R$6,IF($E1752="Gold",Dashboard!$R$7,Dashboard!$R$5))*IF(ISNUMBER(SEARCH("Duals",$B1752)),2,IF(ISNUMBER(SEARCH("Triples",$B1752)),3,IF(ISNUMBER(SEARCH("Quads",$B1752)),4,1))),2))*IF(IFERROR(VLOOKUP($B1752,Dashboard!$Q$28:$S$60,3,FALSE),0)&gt;0,VLOOKUP($B1752,Dashboard!$Q$28:$S$60,3,FALSE),1))),0))</f>
        <v>1</v>
      </c>
      <c r="K1752" s="2" t="str">
        <f>IF('Inserts - Story'!D2="","",'Inserts - Story'!D2)</f>
        <v>h</v>
      </c>
      <c r="L1752" s="2">
        <f t="shared" si="351"/>
        <v>1</v>
      </c>
      <c r="M1752" s="2">
        <f t="shared" si="352"/>
        <v>0</v>
      </c>
      <c r="N1752" s="2">
        <f t="shared" si="353"/>
        <v>1</v>
      </c>
      <c r="O1752" s="2">
        <f t="shared" si="354"/>
        <v>0</v>
      </c>
      <c r="P1752" s="112">
        <f t="shared" si="355"/>
        <v>1</v>
      </c>
      <c r="Q1752" s="112">
        <f t="shared" si="356"/>
        <v>0</v>
      </c>
      <c r="R1752" s="53"/>
      <c r="S1752" s="53" t="str">
        <f t="shared" si="357"/>
        <v>Inserts - Story|Behind The Boys|BB-1|Base</v>
      </c>
      <c r="T1752" s="57">
        <f>IF($S1752="","",IFERROR(VLOOKUP($S1752,'Pop Estimates (Non-#d)'!$N$2:$O$500,2,FALSE),""))</f>
        <v>13680</v>
      </c>
      <c r="U1752" s="57">
        <f t="shared" si="358"/>
        <v>13680</v>
      </c>
      <c r="V1752" s="53" t="str">
        <f t="shared" si="359"/>
        <v/>
      </c>
      <c r="W1752" s="53" t="str">
        <f t="shared" si="360"/>
        <v/>
      </c>
      <c r="X1752" s="53" t="str">
        <f t="shared" si="361"/>
        <v/>
      </c>
      <c r="Y1752" s="57" t="str">
        <f>IF($X1752="","",IFERROR(VLOOKUP($X1752,'Char Popularity'!$A$2:$C$500,2,FALSE),""))</f>
        <v/>
      </c>
      <c r="Z1752" s="56">
        <f>IF($X1752="",1,IFERROR(VLOOKUP($X1752,'Char Popularity'!$A$2:$C$500,3,FALSE),1))</f>
        <v>1</v>
      </c>
      <c r="AA1752" s="62">
        <f>IF($H1752&lt;&gt;"Y",0,(IF($F1752&lt;&gt;"",ROUND(Dashboard!$R$4/$F1752,1),IF(AND($I1752="Base",$E1752="Base"),Dashboard!$R$5,IF(AND($I1752="Base",$E1752="Red"),Dashboard!$R$6,IF(AND($I1752="Base",$E1752="Gold"),Dashboard!$R$7,VLOOKUP($I1752,Dashboard!$Q$16:$R$21,2,FALSE)))))*VLOOKUP($I1752,Dashboard!$Q$9:$R$13,2,FALSE)*IF(AND($I1752="Auto",$F1752="",OR($B1752="Autographs Duals",$B1752="Autographs Triples",$B1752="Autographs Quads",$B1752="Autographs Quads (Inscribed)")),IF($B1752="Autographs Duals",2,IF($B1752="Autographs Triples",3,4)),1)))</f>
        <v>6</v>
      </c>
      <c r="AB1752" s="62">
        <f t="shared" si="362"/>
        <v>6</v>
      </c>
      <c r="AC1752" s="62">
        <f t="shared" si="363"/>
        <v>0</v>
      </c>
    </row>
    <row r="1753" spans="1:29" ht="28.7" customHeight="1" x14ac:dyDescent="0.25">
      <c r="A1753" s="4" t="s">
        <v>23</v>
      </c>
      <c r="B1753" s="7" t="s">
        <v>103</v>
      </c>
      <c r="C1753" s="2" t="s">
        <v>694</v>
      </c>
      <c r="D1753" s="7" t="s">
        <v>695</v>
      </c>
      <c r="E1753" s="4" t="s">
        <v>60</v>
      </c>
      <c r="F1753" s="2"/>
      <c r="G1753" s="2" t="s">
        <v>1399</v>
      </c>
      <c r="H1753" s="2" t="s">
        <v>1400</v>
      </c>
      <c r="I1753" s="4" t="s">
        <v>62</v>
      </c>
      <c r="J1753" s="112">
        <f>IF($H1753&lt;&gt;"Y",0,ROUND(MIN(Dashboard!$R$24,IF(IFERROR(VLOOKUP($B1753,Dashboard!$Q$28:$S$60,2,FALSE),0)&gt;0,IFERROR(VLOOKUP($B1753,Dashboard!$Q$28:$S$60,2,FALSE),0),$Z1753*IF($U1753&lt;&gt;"",ROUND((Dashboard!$R$4/$U1753)*VLOOKUP($I1753,Dashboard!$Q$9:$R$13,2,FALSE)*IF(ISNUMBER(SEARCH("Duals",$B1753)),2,IF(ISNUMBER(SEARCH("Triples",$B1753)),3,IF(ISNUMBER(SEARCH("Quads",$B1753)),4,1))),2),ROUND(VLOOKUP($I1753,Dashboard!$Q$15:$R$20,2,FALSE)*IF($E1753="Red",Dashboard!$R$6,IF($E1753="Gold",Dashboard!$R$7,Dashboard!$R$5))*IF(ISNUMBER(SEARCH("Duals",$B1753)),2,IF(ISNUMBER(SEARCH("Triples",$B1753)),3,IF(ISNUMBER(SEARCH("Quads",$B1753)),4,1))),2))*IF(IFERROR(VLOOKUP($B1753,Dashboard!$Q$28:$S$60,3,FALSE),0)&gt;0,VLOOKUP($B1753,Dashboard!$Q$28:$S$60,3,FALSE),1))),0))</f>
        <v>1</v>
      </c>
      <c r="K1753" s="2" t="str">
        <f>IF('Inserts - Story'!D3="","",'Inserts - Story'!D3)</f>
        <v>h</v>
      </c>
      <c r="L1753" s="2">
        <f t="shared" si="351"/>
        <v>1</v>
      </c>
      <c r="M1753" s="2">
        <f t="shared" si="352"/>
        <v>0</v>
      </c>
      <c r="N1753" s="2">
        <f t="shared" si="353"/>
        <v>1</v>
      </c>
      <c r="O1753" s="2">
        <f t="shared" si="354"/>
        <v>0</v>
      </c>
      <c r="P1753" s="112">
        <f t="shared" si="355"/>
        <v>1</v>
      </c>
      <c r="Q1753" s="112">
        <f t="shared" si="356"/>
        <v>0</v>
      </c>
      <c r="R1753" s="53"/>
      <c r="S1753" s="53" t="str">
        <f t="shared" si="357"/>
        <v>Inserts - Story|Behind The Boys|BB-2|Base</v>
      </c>
      <c r="T1753" s="57">
        <f>IF($S1753="","",IFERROR(VLOOKUP($S1753,'Pop Estimates (Non-#d)'!$N$2:$O$500,2,FALSE),""))</f>
        <v>13680</v>
      </c>
      <c r="U1753" s="57">
        <f t="shared" si="358"/>
        <v>13680</v>
      </c>
      <c r="V1753" s="53" t="str">
        <f t="shared" si="359"/>
        <v/>
      </c>
      <c r="W1753" s="53" t="str">
        <f t="shared" si="360"/>
        <v/>
      </c>
      <c r="X1753" s="53" t="str">
        <f t="shared" si="361"/>
        <v/>
      </c>
      <c r="Y1753" s="57" t="str">
        <f>IF($X1753="","",IFERROR(VLOOKUP($X1753,'Char Popularity'!$A$2:$C$500,2,FALSE),""))</f>
        <v/>
      </c>
      <c r="Z1753" s="56">
        <f>IF($X1753="",1,IFERROR(VLOOKUP($X1753,'Char Popularity'!$A$2:$C$500,3,FALSE),1))</f>
        <v>1</v>
      </c>
      <c r="AA1753" s="62">
        <f>IF($H1753&lt;&gt;"Y",0,(IF($F1753&lt;&gt;"",ROUND(Dashboard!$R$4/$F1753,1),IF(AND($I1753="Base",$E1753="Base"),Dashboard!$R$5,IF(AND($I1753="Base",$E1753="Red"),Dashboard!$R$6,IF(AND($I1753="Base",$E1753="Gold"),Dashboard!$R$7,VLOOKUP($I1753,Dashboard!$Q$16:$R$21,2,FALSE)))))*VLOOKUP($I1753,Dashboard!$Q$9:$R$13,2,FALSE)*IF(AND($I1753="Auto",$F1753="",OR($B1753="Autographs Duals",$B1753="Autographs Triples",$B1753="Autographs Quads",$B1753="Autographs Quads (Inscribed)")),IF($B1753="Autographs Duals",2,IF($B1753="Autographs Triples",3,4)),1)))</f>
        <v>6</v>
      </c>
      <c r="AB1753" s="62">
        <f t="shared" si="362"/>
        <v>6</v>
      </c>
      <c r="AC1753" s="62">
        <f t="shared" si="363"/>
        <v>0</v>
      </c>
    </row>
    <row r="1754" spans="1:29" ht="28.7" customHeight="1" x14ac:dyDescent="0.25">
      <c r="A1754" s="4" t="s">
        <v>23</v>
      </c>
      <c r="B1754" s="7" t="s">
        <v>103</v>
      </c>
      <c r="C1754" s="2" t="s">
        <v>696</v>
      </c>
      <c r="D1754" s="7" t="s">
        <v>697</v>
      </c>
      <c r="E1754" s="4" t="s">
        <v>60</v>
      </c>
      <c r="F1754" s="2"/>
      <c r="G1754" s="2" t="s">
        <v>1399</v>
      </c>
      <c r="H1754" s="2" t="s">
        <v>1400</v>
      </c>
      <c r="I1754" s="4" t="s">
        <v>62</v>
      </c>
      <c r="J1754" s="112">
        <f>IF($H1754&lt;&gt;"Y",0,ROUND(MIN(Dashboard!$R$24,IF(IFERROR(VLOOKUP($B1754,Dashboard!$Q$28:$S$60,2,FALSE),0)&gt;0,IFERROR(VLOOKUP($B1754,Dashboard!$Q$28:$S$60,2,FALSE),0),$Z1754*IF($U1754&lt;&gt;"",ROUND((Dashboard!$R$4/$U1754)*VLOOKUP($I1754,Dashboard!$Q$9:$R$13,2,FALSE)*IF(ISNUMBER(SEARCH("Duals",$B1754)),2,IF(ISNUMBER(SEARCH("Triples",$B1754)),3,IF(ISNUMBER(SEARCH("Quads",$B1754)),4,1))),2),ROUND(VLOOKUP($I1754,Dashboard!$Q$15:$R$20,2,FALSE)*IF($E1754="Red",Dashboard!$R$6,IF($E1754="Gold",Dashboard!$R$7,Dashboard!$R$5))*IF(ISNUMBER(SEARCH("Duals",$B1754)),2,IF(ISNUMBER(SEARCH("Triples",$B1754)),3,IF(ISNUMBER(SEARCH("Quads",$B1754)),4,1))),2))*IF(IFERROR(VLOOKUP($B1754,Dashboard!$Q$28:$S$60,3,FALSE),0)&gt;0,VLOOKUP($B1754,Dashboard!$Q$28:$S$60,3,FALSE),1))),0))</f>
        <v>1</v>
      </c>
      <c r="K1754" s="2" t="str">
        <f>IF('Inserts - Story'!D4="","",'Inserts - Story'!D4)</f>
        <v>h</v>
      </c>
      <c r="L1754" s="2">
        <f t="shared" si="351"/>
        <v>1</v>
      </c>
      <c r="M1754" s="2">
        <f t="shared" si="352"/>
        <v>0</v>
      </c>
      <c r="N1754" s="2">
        <f t="shared" si="353"/>
        <v>1</v>
      </c>
      <c r="O1754" s="2">
        <f t="shared" si="354"/>
        <v>0</v>
      </c>
      <c r="P1754" s="112">
        <f t="shared" si="355"/>
        <v>1</v>
      </c>
      <c r="Q1754" s="112">
        <f t="shared" si="356"/>
        <v>0</v>
      </c>
      <c r="R1754" s="53"/>
      <c r="S1754" s="53" t="str">
        <f t="shared" si="357"/>
        <v>Inserts - Story|Behind The Boys|BB-3|Base</v>
      </c>
      <c r="T1754" s="57">
        <f>IF($S1754="","",IFERROR(VLOOKUP($S1754,'Pop Estimates (Non-#d)'!$N$2:$O$500,2,FALSE),""))</f>
        <v>13680</v>
      </c>
      <c r="U1754" s="57">
        <f t="shared" si="358"/>
        <v>13680</v>
      </c>
      <c r="V1754" s="53" t="str">
        <f t="shared" si="359"/>
        <v/>
      </c>
      <c r="W1754" s="53" t="str">
        <f t="shared" si="360"/>
        <v/>
      </c>
      <c r="X1754" s="53" t="str">
        <f t="shared" si="361"/>
        <v/>
      </c>
      <c r="Y1754" s="57" t="str">
        <f>IF($X1754="","",IFERROR(VLOOKUP($X1754,'Char Popularity'!$A$2:$C$500,2,FALSE),""))</f>
        <v/>
      </c>
      <c r="Z1754" s="56">
        <f>IF($X1754="",1,IFERROR(VLOOKUP($X1754,'Char Popularity'!$A$2:$C$500,3,FALSE),1))</f>
        <v>1</v>
      </c>
      <c r="AA1754" s="62">
        <f>IF($H1754&lt;&gt;"Y",0,(IF($F1754&lt;&gt;"",ROUND(Dashboard!$R$4/$F1754,1),IF(AND($I1754="Base",$E1754="Base"),Dashboard!$R$5,IF(AND($I1754="Base",$E1754="Red"),Dashboard!$R$6,IF(AND($I1754="Base",$E1754="Gold"),Dashboard!$R$7,VLOOKUP($I1754,Dashboard!$Q$16:$R$21,2,FALSE)))))*VLOOKUP($I1754,Dashboard!$Q$9:$R$13,2,FALSE)*IF(AND($I1754="Auto",$F1754="",OR($B1754="Autographs Duals",$B1754="Autographs Triples",$B1754="Autographs Quads",$B1754="Autographs Quads (Inscribed)")),IF($B1754="Autographs Duals",2,IF($B1754="Autographs Triples",3,4)),1)))</f>
        <v>6</v>
      </c>
      <c r="AB1754" s="62">
        <f t="shared" si="362"/>
        <v>6</v>
      </c>
      <c r="AC1754" s="62">
        <f t="shared" si="363"/>
        <v>0</v>
      </c>
    </row>
    <row r="1755" spans="1:29" ht="28.7" customHeight="1" x14ac:dyDescent="0.25">
      <c r="A1755" s="4" t="s">
        <v>23</v>
      </c>
      <c r="B1755" s="7" t="s">
        <v>103</v>
      </c>
      <c r="C1755" s="2" t="s">
        <v>698</v>
      </c>
      <c r="D1755" s="7" t="s">
        <v>689</v>
      </c>
      <c r="E1755" s="4" t="s">
        <v>60</v>
      </c>
      <c r="F1755" s="2"/>
      <c r="G1755" s="2" t="s">
        <v>1399</v>
      </c>
      <c r="H1755" s="2" t="s">
        <v>1400</v>
      </c>
      <c r="I1755" s="4" t="s">
        <v>62</v>
      </c>
      <c r="J1755" s="112">
        <f>IF($H1755&lt;&gt;"Y",0,ROUND(MIN(Dashboard!$R$24,IF(IFERROR(VLOOKUP($B1755,Dashboard!$Q$28:$S$60,2,FALSE),0)&gt;0,IFERROR(VLOOKUP($B1755,Dashboard!$Q$28:$S$60,2,FALSE),0),$Z1755*IF($U1755&lt;&gt;"",ROUND((Dashboard!$R$4/$U1755)*VLOOKUP($I1755,Dashboard!$Q$9:$R$13,2,FALSE)*IF(ISNUMBER(SEARCH("Duals",$B1755)),2,IF(ISNUMBER(SEARCH("Triples",$B1755)),3,IF(ISNUMBER(SEARCH("Quads",$B1755)),4,1))),2),ROUND(VLOOKUP($I1755,Dashboard!$Q$15:$R$20,2,FALSE)*IF($E1755="Red",Dashboard!$R$6,IF($E1755="Gold",Dashboard!$R$7,Dashboard!$R$5))*IF(ISNUMBER(SEARCH("Duals",$B1755)),2,IF(ISNUMBER(SEARCH("Triples",$B1755)),3,IF(ISNUMBER(SEARCH("Quads",$B1755)),4,1))),2))*IF(IFERROR(VLOOKUP($B1755,Dashboard!$Q$28:$S$60,3,FALSE),0)&gt;0,VLOOKUP($B1755,Dashboard!$Q$28:$S$60,3,FALSE),1))),0))</f>
        <v>1</v>
      </c>
      <c r="K1755" s="2" t="str">
        <f>IF('Inserts - Story'!D5="","",'Inserts - Story'!D5)</f>
        <v>h</v>
      </c>
      <c r="L1755" s="2">
        <f t="shared" si="351"/>
        <v>1</v>
      </c>
      <c r="M1755" s="2">
        <f t="shared" si="352"/>
        <v>0</v>
      </c>
      <c r="N1755" s="2">
        <f t="shared" si="353"/>
        <v>1</v>
      </c>
      <c r="O1755" s="2">
        <f t="shared" si="354"/>
        <v>0</v>
      </c>
      <c r="P1755" s="112">
        <f t="shared" si="355"/>
        <v>1</v>
      </c>
      <c r="Q1755" s="112">
        <f t="shared" si="356"/>
        <v>0</v>
      </c>
      <c r="R1755" s="53"/>
      <c r="S1755" s="53" t="str">
        <f t="shared" si="357"/>
        <v>Inserts - Story|Behind The Boys|BB-4|Base</v>
      </c>
      <c r="T1755" s="57">
        <f>IF($S1755="","",IFERROR(VLOOKUP($S1755,'Pop Estimates (Non-#d)'!$N$2:$O$500,2,FALSE),""))</f>
        <v>13680</v>
      </c>
      <c r="U1755" s="57">
        <f t="shared" si="358"/>
        <v>13680</v>
      </c>
      <c r="V1755" s="53" t="str">
        <f t="shared" si="359"/>
        <v/>
      </c>
      <c r="W1755" s="53" t="str">
        <f t="shared" si="360"/>
        <v/>
      </c>
      <c r="X1755" s="53" t="str">
        <f t="shared" si="361"/>
        <v/>
      </c>
      <c r="Y1755" s="57" t="str">
        <f>IF($X1755="","",IFERROR(VLOOKUP($X1755,'Char Popularity'!$A$2:$C$500,2,FALSE),""))</f>
        <v/>
      </c>
      <c r="Z1755" s="56">
        <f>IF($X1755="",1,IFERROR(VLOOKUP($X1755,'Char Popularity'!$A$2:$C$500,3,FALSE),1))</f>
        <v>1</v>
      </c>
      <c r="AA1755" s="62">
        <f>IF($H1755&lt;&gt;"Y",0,(IF($F1755&lt;&gt;"",ROUND(Dashboard!$R$4/$F1755,1),IF(AND($I1755="Base",$E1755="Base"),Dashboard!$R$5,IF(AND($I1755="Base",$E1755="Red"),Dashboard!$R$6,IF(AND($I1755="Base",$E1755="Gold"),Dashboard!$R$7,VLOOKUP($I1755,Dashboard!$Q$16:$R$21,2,FALSE)))))*VLOOKUP($I1755,Dashboard!$Q$9:$R$13,2,FALSE)*IF(AND($I1755="Auto",$F1755="",OR($B1755="Autographs Duals",$B1755="Autographs Triples",$B1755="Autographs Quads",$B1755="Autographs Quads (Inscribed)")),IF($B1755="Autographs Duals",2,IF($B1755="Autographs Triples",3,4)),1)))</f>
        <v>6</v>
      </c>
      <c r="AB1755" s="62">
        <f t="shared" si="362"/>
        <v>6</v>
      </c>
      <c r="AC1755" s="62">
        <f t="shared" si="363"/>
        <v>0</v>
      </c>
    </row>
    <row r="1756" spans="1:29" ht="28.7" customHeight="1" x14ac:dyDescent="0.25">
      <c r="A1756" s="4" t="s">
        <v>23</v>
      </c>
      <c r="B1756" s="7" t="s">
        <v>103</v>
      </c>
      <c r="C1756" s="2" t="s">
        <v>699</v>
      </c>
      <c r="D1756" s="7" t="s">
        <v>687</v>
      </c>
      <c r="E1756" s="4" t="s">
        <v>60</v>
      </c>
      <c r="F1756" s="2"/>
      <c r="G1756" s="2" t="s">
        <v>1399</v>
      </c>
      <c r="H1756" s="2" t="s">
        <v>1400</v>
      </c>
      <c r="I1756" s="4" t="s">
        <v>62</v>
      </c>
      <c r="J1756" s="112">
        <f>IF($H1756&lt;&gt;"Y",0,ROUND(MIN(Dashboard!$R$24,IF(IFERROR(VLOOKUP($B1756,Dashboard!$Q$28:$S$60,2,FALSE),0)&gt;0,IFERROR(VLOOKUP($B1756,Dashboard!$Q$28:$S$60,2,FALSE),0),$Z1756*IF($U1756&lt;&gt;"",ROUND((Dashboard!$R$4/$U1756)*VLOOKUP($I1756,Dashboard!$Q$9:$R$13,2,FALSE)*IF(ISNUMBER(SEARCH("Duals",$B1756)),2,IF(ISNUMBER(SEARCH("Triples",$B1756)),3,IF(ISNUMBER(SEARCH("Quads",$B1756)),4,1))),2),ROUND(VLOOKUP($I1756,Dashboard!$Q$15:$R$20,2,FALSE)*IF($E1756="Red",Dashboard!$R$6,IF($E1756="Gold",Dashboard!$R$7,Dashboard!$R$5))*IF(ISNUMBER(SEARCH("Duals",$B1756)),2,IF(ISNUMBER(SEARCH("Triples",$B1756)),3,IF(ISNUMBER(SEARCH("Quads",$B1756)),4,1))),2))*IF(IFERROR(VLOOKUP($B1756,Dashboard!$Q$28:$S$60,3,FALSE),0)&gt;0,VLOOKUP($B1756,Dashboard!$Q$28:$S$60,3,FALSE),1))),0))</f>
        <v>1</v>
      </c>
      <c r="K1756" s="2" t="str">
        <f>IF('Inserts - Story'!D6="","",'Inserts - Story'!D6)</f>
        <v>h</v>
      </c>
      <c r="L1756" s="2">
        <f t="shared" si="351"/>
        <v>1</v>
      </c>
      <c r="M1756" s="2">
        <f t="shared" si="352"/>
        <v>0</v>
      </c>
      <c r="N1756" s="2">
        <f t="shared" si="353"/>
        <v>1</v>
      </c>
      <c r="O1756" s="2">
        <f t="shared" si="354"/>
        <v>0</v>
      </c>
      <c r="P1756" s="112">
        <f t="shared" si="355"/>
        <v>1</v>
      </c>
      <c r="Q1756" s="112">
        <f t="shared" si="356"/>
        <v>0</v>
      </c>
      <c r="R1756" s="53"/>
      <c r="S1756" s="53" t="str">
        <f t="shared" si="357"/>
        <v>Inserts - Story|Behind The Boys|BB-5|Base</v>
      </c>
      <c r="T1756" s="57">
        <f>IF($S1756="","",IFERROR(VLOOKUP($S1756,'Pop Estimates (Non-#d)'!$N$2:$O$500,2,FALSE),""))</f>
        <v>13680</v>
      </c>
      <c r="U1756" s="57">
        <f t="shared" si="358"/>
        <v>13680</v>
      </c>
      <c r="V1756" s="53" t="str">
        <f t="shared" si="359"/>
        <v/>
      </c>
      <c r="W1756" s="53" t="str">
        <f t="shared" si="360"/>
        <v/>
      </c>
      <c r="X1756" s="53" t="str">
        <f t="shared" si="361"/>
        <v/>
      </c>
      <c r="Y1756" s="57" t="str">
        <f>IF($X1756="","",IFERROR(VLOOKUP($X1756,'Char Popularity'!$A$2:$C$500,2,FALSE),""))</f>
        <v/>
      </c>
      <c r="Z1756" s="56">
        <f>IF($X1756="",1,IFERROR(VLOOKUP($X1756,'Char Popularity'!$A$2:$C$500,3,FALSE),1))</f>
        <v>1</v>
      </c>
      <c r="AA1756" s="62">
        <f>IF($H1756&lt;&gt;"Y",0,(IF($F1756&lt;&gt;"",ROUND(Dashboard!$R$4/$F1756,1),IF(AND($I1756="Base",$E1756="Base"),Dashboard!$R$5,IF(AND($I1756="Base",$E1756="Red"),Dashboard!$R$6,IF(AND($I1756="Base",$E1756="Gold"),Dashboard!$R$7,VLOOKUP($I1756,Dashboard!$Q$16:$R$21,2,FALSE)))))*VLOOKUP($I1756,Dashboard!$Q$9:$R$13,2,FALSE)*IF(AND($I1756="Auto",$F1756="",OR($B1756="Autographs Duals",$B1756="Autographs Triples",$B1756="Autographs Quads",$B1756="Autographs Quads (Inscribed)")),IF($B1756="Autographs Duals",2,IF($B1756="Autographs Triples",3,4)),1)))</f>
        <v>6</v>
      </c>
      <c r="AB1756" s="62">
        <f t="shared" si="362"/>
        <v>6</v>
      </c>
      <c r="AC1756" s="62">
        <f t="shared" si="363"/>
        <v>0</v>
      </c>
    </row>
    <row r="1757" spans="1:29" ht="28.7" customHeight="1" x14ac:dyDescent="0.25">
      <c r="A1757" s="4" t="s">
        <v>23</v>
      </c>
      <c r="B1757" s="7" t="s">
        <v>103</v>
      </c>
      <c r="C1757" s="2" t="s">
        <v>700</v>
      </c>
      <c r="D1757" s="7" t="s">
        <v>701</v>
      </c>
      <c r="E1757" s="4" t="s">
        <v>60</v>
      </c>
      <c r="F1757" s="2"/>
      <c r="G1757" s="2" t="s">
        <v>1399</v>
      </c>
      <c r="H1757" s="2" t="s">
        <v>1400</v>
      </c>
      <c r="I1757" s="4" t="s">
        <v>62</v>
      </c>
      <c r="J1757" s="112">
        <f>IF($H1757&lt;&gt;"Y",0,ROUND(MIN(Dashboard!$R$24,IF(IFERROR(VLOOKUP($B1757,Dashboard!$Q$28:$S$60,2,FALSE),0)&gt;0,IFERROR(VLOOKUP($B1757,Dashboard!$Q$28:$S$60,2,FALSE),0),$Z1757*IF($U1757&lt;&gt;"",ROUND((Dashboard!$R$4/$U1757)*VLOOKUP($I1757,Dashboard!$Q$9:$R$13,2,FALSE)*IF(ISNUMBER(SEARCH("Duals",$B1757)),2,IF(ISNUMBER(SEARCH("Triples",$B1757)),3,IF(ISNUMBER(SEARCH("Quads",$B1757)),4,1))),2),ROUND(VLOOKUP($I1757,Dashboard!$Q$15:$R$20,2,FALSE)*IF($E1757="Red",Dashboard!$R$6,IF($E1757="Gold",Dashboard!$R$7,Dashboard!$R$5))*IF(ISNUMBER(SEARCH("Duals",$B1757)),2,IF(ISNUMBER(SEARCH("Triples",$B1757)),3,IF(ISNUMBER(SEARCH("Quads",$B1757)),4,1))),2))*IF(IFERROR(VLOOKUP($B1757,Dashboard!$Q$28:$S$60,3,FALSE),0)&gt;0,VLOOKUP($B1757,Dashboard!$Q$28:$S$60,3,FALSE),1))),0))</f>
        <v>1</v>
      </c>
      <c r="K1757" s="2" t="str">
        <f>IF('Inserts - Story'!D7="","",'Inserts - Story'!D7)</f>
        <v>h</v>
      </c>
      <c r="L1757" s="2">
        <f t="shared" si="351"/>
        <v>1</v>
      </c>
      <c r="M1757" s="2">
        <f t="shared" si="352"/>
        <v>0</v>
      </c>
      <c r="N1757" s="2">
        <f t="shared" si="353"/>
        <v>1</v>
      </c>
      <c r="O1757" s="2">
        <f t="shared" si="354"/>
        <v>0</v>
      </c>
      <c r="P1757" s="112">
        <f t="shared" si="355"/>
        <v>1</v>
      </c>
      <c r="Q1757" s="112">
        <f t="shared" si="356"/>
        <v>0</v>
      </c>
      <c r="R1757" s="53"/>
      <c r="S1757" s="53" t="str">
        <f t="shared" si="357"/>
        <v>Inserts - Story|Behind The Boys|BB-6|Base</v>
      </c>
      <c r="T1757" s="57">
        <f>IF($S1757="","",IFERROR(VLOOKUP($S1757,'Pop Estimates (Non-#d)'!$N$2:$O$500,2,FALSE),""))</f>
        <v>13680</v>
      </c>
      <c r="U1757" s="57">
        <f t="shared" si="358"/>
        <v>13680</v>
      </c>
      <c r="V1757" s="53" t="str">
        <f t="shared" si="359"/>
        <v/>
      </c>
      <c r="W1757" s="53" t="str">
        <f t="shared" si="360"/>
        <v/>
      </c>
      <c r="X1757" s="53" t="str">
        <f t="shared" si="361"/>
        <v/>
      </c>
      <c r="Y1757" s="57" t="str">
        <f>IF($X1757="","",IFERROR(VLOOKUP($X1757,'Char Popularity'!$A$2:$C$500,2,FALSE),""))</f>
        <v/>
      </c>
      <c r="Z1757" s="56">
        <f>IF($X1757="",1,IFERROR(VLOOKUP($X1757,'Char Popularity'!$A$2:$C$500,3,FALSE),1))</f>
        <v>1</v>
      </c>
      <c r="AA1757" s="62">
        <f>IF($H1757&lt;&gt;"Y",0,(IF($F1757&lt;&gt;"",ROUND(Dashboard!$R$4/$F1757,1),IF(AND($I1757="Base",$E1757="Base"),Dashboard!$R$5,IF(AND($I1757="Base",$E1757="Red"),Dashboard!$R$6,IF(AND($I1757="Base",$E1757="Gold"),Dashboard!$R$7,VLOOKUP($I1757,Dashboard!$Q$16:$R$21,2,FALSE)))))*VLOOKUP($I1757,Dashboard!$Q$9:$R$13,2,FALSE)*IF(AND($I1757="Auto",$F1757="",OR($B1757="Autographs Duals",$B1757="Autographs Triples",$B1757="Autographs Quads",$B1757="Autographs Quads (Inscribed)")),IF($B1757="Autographs Duals",2,IF($B1757="Autographs Triples",3,4)),1)))</f>
        <v>6</v>
      </c>
      <c r="AB1757" s="62">
        <f t="shared" si="362"/>
        <v>6</v>
      </c>
      <c r="AC1757" s="62">
        <f t="shared" si="363"/>
        <v>0</v>
      </c>
    </row>
    <row r="1758" spans="1:29" ht="28.7" customHeight="1" x14ac:dyDescent="0.25">
      <c r="A1758" s="4" t="s">
        <v>23</v>
      </c>
      <c r="B1758" s="7" t="s">
        <v>103</v>
      </c>
      <c r="C1758" s="2" t="s">
        <v>702</v>
      </c>
      <c r="D1758" s="7" t="s">
        <v>703</v>
      </c>
      <c r="E1758" s="4" t="s">
        <v>60</v>
      </c>
      <c r="F1758" s="2"/>
      <c r="G1758" s="2" t="s">
        <v>1399</v>
      </c>
      <c r="H1758" s="2" t="s">
        <v>1400</v>
      </c>
      <c r="I1758" s="4" t="s">
        <v>62</v>
      </c>
      <c r="J1758" s="112">
        <f>IF($H1758&lt;&gt;"Y",0,ROUND(MIN(Dashboard!$R$24,IF(IFERROR(VLOOKUP($B1758,Dashboard!$Q$28:$S$60,2,FALSE),0)&gt;0,IFERROR(VLOOKUP($B1758,Dashboard!$Q$28:$S$60,2,FALSE),0),$Z1758*IF($U1758&lt;&gt;"",ROUND((Dashboard!$R$4/$U1758)*VLOOKUP($I1758,Dashboard!$Q$9:$R$13,2,FALSE)*IF(ISNUMBER(SEARCH("Duals",$B1758)),2,IF(ISNUMBER(SEARCH("Triples",$B1758)),3,IF(ISNUMBER(SEARCH("Quads",$B1758)),4,1))),2),ROUND(VLOOKUP($I1758,Dashboard!$Q$15:$R$20,2,FALSE)*IF($E1758="Red",Dashboard!$R$6,IF($E1758="Gold",Dashboard!$R$7,Dashboard!$R$5))*IF(ISNUMBER(SEARCH("Duals",$B1758)),2,IF(ISNUMBER(SEARCH("Triples",$B1758)),3,IF(ISNUMBER(SEARCH("Quads",$B1758)),4,1))),2))*IF(IFERROR(VLOOKUP($B1758,Dashboard!$Q$28:$S$60,3,FALSE),0)&gt;0,VLOOKUP($B1758,Dashboard!$Q$28:$S$60,3,FALSE),1))),0))</f>
        <v>1</v>
      </c>
      <c r="K1758" s="2" t="str">
        <f>IF('Inserts - Story'!D8="","",'Inserts - Story'!D8)</f>
        <v>h</v>
      </c>
      <c r="L1758" s="2">
        <f t="shared" si="351"/>
        <v>1</v>
      </c>
      <c r="M1758" s="2">
        <f t="shared" si="352"/>
        <v>0</v>
      </c>
      <c r="N1758" s="2">
        <f t="shared" si="353"/>
        <v>1</v>
      </c>
      <c r="O1758" s="2">
        <f t="shared" si="354"/>
        <v>0</v>
      </c>
      <c r="P1758" s="112">
        <f t="shared" si="355"/>
        <v>1</v>
      </c>
      <c r="Q1758" s="112">
        <f t="shared" si="356"/>
        <v>0</v>
      </c>
      <c r="R1758" s="53"/>
      <c r="S1758" s="53" t="str">
        <f t="shared" si="357"/>
        <v>Inserts - Story|Behind The Boys|BB-7|Base</v>
      </c>
      <c r="T1758" s="57">
        <f>IF($S1758="","",IFERROR(VLOOKUP($S1758,'Pop Estimates (Non-#d)'!$N$2:$O$500,2,FALSE),""))</f>
        <v>13680</v>
      </c>
      <c r="U1758" s="57">
        <f t="shared" si="358"/>
        <v>13680</v>
      </c>
      <c r="V1758" s="53" t="str">
        <f t="shared" si="359"/>
        <v/>
      </c>
      <c r="W1758" s="53" t="str">
        <f t="shared" si="360"/>
        <v/>
      </c>
      <c r="X1758" s="53" t="str">
        <f t="shared" si="361"/>
        <v/>
      </c>
      <c r="Y1758" s="57" t="str">
        <f>IF($X1758="","",IFERROR(VLOOKUP($X1758,'Char Popularity'!$A$2:$C$500,2,FALSE),""))</f>
        <v/>
      </c>
      <c r="Z1758" s="56">
        <f>IF($X1758="",1,IFERROR(VLOOKUP($X1758,'Char Popularity'!$A$2:$C$500,3,FALSE),1))</f>
        <v>1</v>
      </c>
      <c r="AA1758" s="62">
        <f>IF($H1758&lt;&gt;"Y",0,(IF($F1758&lt;&gt;"",ROUND(Dashboard!$R$4/$F1758,1),IF(AND($I1758="Base",$E1758="Base"),Dashboard!$R$5,IF(AND($I1758="Base",$E1758="Red"),Dashboard!$R$6,IF(AND($I1758="Base",$E1758="Gold"),Dashboard!$R$7,VLOOKUP($I1758,Dashboard!$Q$16:$R$21,2,FALSE)))))*VLOOKUP($I1758,Dashboard!$Q$9:$R$13,2,FALSE)*IF(AND($I1758="Auto",$F1758="",OR($B1758="Autographs Duals",$B1758="Autographs Triples",$B1758="Autographs Quads",$B1758="Autographs Quads (Inscribed)")),IF($B1758="Autographs Duals",2,IF($B1758="Autographs Triples",3,4)),1)))</f>
        <v>6</v>
      </c>
      <c r="AB1758" s="62">
        <f t="shared" si="362"/>
        <v>6</v>
      </c>
      <c r="AC1758" s="62">
        <f t="shared" si="363"/>
        <v>0</v>
      </c>
    </row>
    <row r="1759" spans="1:29" ht="28.7" customHeight="1" x14ac:dyDescent="0.25">
      <c r="A1759" s="4" t="s">
        <v>23</v>
      </c>
      <c r="B1759" s="7" t="s">
        <v>103</v>
      </c>
      <c r="C1759" s="2" t="s">
        <v>704</v>
      </c>
      <c r="D1759" s="7" t="s">
        <v>705</v>
      </c>
      <c r="E1759" s="4" t="s">
        <v>60</v>
      </c>
      <c r="F1759" s="2"/>
      <c r="G1759" s="2" t="s">
        <v>1399</v>
      </c>
      <c r="H1759" s="2" t="s">
        <v>1400</v>
      </c>
      <c r="I1759" s="4" t="s">
        <v>62</v>
      </c>
      <c r="J1759" s="112">
        <f>IF($H1759&lt;&gt;"Y",0,ROUND(MIN(Dashboard!$R$24,IF(IFERROR(VLOOKUP($B1759,Dashboard!$Q$28:$S$60,2,FALSE),0)&gt;0,IFERROR(VLOOKUP($B1759,Dashboard!$Q$28:$S$60,2,FALSE),0),$Z1759*IF($U1759&lt;&gt;"",ROUND((Dashboard!$R$4/$U1759)*VLOOKUP($I1759,Dashboard!$Q$9:$R$13,2,FALSE)*IF(ISNUMBER(SEARCH("Duals",$B1759)),2,IF(ISNUMBER(SEARCH("Triples",$B1759)),3,IF(ISNUMBER(SEARCH("Quads",$B1759)),4,1))),2),ROUND(VLOOKUP($I1759,Dashboard!$Q$15:$R$20,2,FALSE)*IF($E1759="Red",Dashboard!$R$6,IF($E1759="Gold",Dashboard!$R$7,Dashboard!$R$5))*IF(ISNUMBER(SEARCH("Duals",$B1759)),2,IF(ISNUMBER(SEARCH("Triples",$B1759)),3,IF(ISNUMBER(SEARCH("Quads",$B1759)),4,1))),2))*IF(IFERROR(VLOOKUP($B1759,Dashboard!$Q$28:$S$60,3,FALSE),0)&gt;0,VLOOKUP($B1759,Dashboard!$Q$28:$S$60,3,FALSE),1))),0))</f>
        <v>1</v>
      </c>
      <c r="K1759" s="2" t="str">
        <f>IF('Inserts - Story'!D9="","",'Inserts - Story'!D9)</f>
        <v>h</v>
      </c>
      <c r="L1759" s="2">
        <f t="shared" si="351"/>
        <v>1</v>
      </c>
      <c r="M1759" s="2">
        <f t="shared" si="352"/>
        <v>0</v>
      </c>
      <c r="N1759" s="2">
        <f t="shared" si="353"/>
        <v>1</v>
      </c>
      <c r="O1759" s="2">
        <f t="shared" si="354"/>
        <v>0</v>
      </c>
      <c r="P1759" s="112">
        <f t="shared" si="355"/>
        <v>1</v>
      </c>
      <c r="Q1759" s="112">
        <f t="shared" si="356"/>
        <v>0</v>
      </c>
      <c r="R1759" s="53"/>
      <c r="S1759" s="53" t="str">
        <f t="shared" si="357"/>
        <v>Inserts - Story|Behind The Boys|BB-8|Base</v>
      </c>
      <c r="T1759" s="57">
        <f>IF($S1759="","",IFERROR(VLOOKUP($S1759,'Pop Estimates (Non-#d)'!$N$2:$O$500,2,FALSE),""))</f>
        <v>13680</v>
      </c>
      <c r="U1759" s="57">
        <f t="shared" si="358"/>
        <v>13680</v>
      </c>
      <c r="V1759" s="53" t="str">
        <f t="shared" si="359"/>
        <v/>
      </c>
      <c r="W1759" s="53" t="str">
        <f t="shared" si="360"/>
        <v/>
      </c>
      <c r="X1759" s="53" t="str">
        <f t="shared" si="361"/>
        <v/>
      </c>
      <c r="Y1759" s="57" t="str">
        <f>IF($X1759="","",IFERROR(VLOOKUP($X1759,'Char Popularity'!$A$2:$C$500,2,FALSE),""))</f>
        <v/>
      </c>
      <c r="Z1759" s="56">
        <f>IF($X1759="",1,IFERROR(VLOOKUP($X1759,'Char Popularity'!$A$2:$C$500,3,FALSE),1))</f>
        <v>1</v>
      </c>
      <c r="AA1759" s="62">
        <f>IF($H1759&lt;&gt;"Y",0,(IF($F1759&lt;&gt;"",ROUND(Dashboard!$R$4/$F1759,1),IF(AND($I1759="Base",$E1759="Base"),Dashboard!$R$5,IF(AND($I1759="Base",$E1759="Red"),Dashboard!$R$6,IF(AND($I1759="Base",$E1759="Gold"),Dashboard!$R$7,VLOOKUP($I1759,Dashboard!$Q$16:$R$21,2,FALSE)))))*VLOOKUP($I1759,Dashboard!$Q$9:$R$13,2,FALSE)*IF(AND($I1759="Auto",$F1759="",OR($B1759="Autographs Duals",$B1759="Autographs Triples",$B1759="Autographs Quads",$B1759="Autographs Quads (Inscribed)")),IF($B1759="Autographs Duals",2,IF($B1759="Autographs Triples",3,4)),1)))</f>
        <v>6</v>
      </c>
      <c r="AB1759" s="62">
        <f t="shared" si="362"/>
        <v>6</v>
      </c>
      <c r="AC1759" s="62">
        <f t="shared" si="363"/>
        <v>0</v>
      </c>
    </row>
    <row r="1760" spans="1:29" ht="28.7" customHeight="1" x14ac:dyDescent="0.25">
      <c r="A1760" s="4" t="s">
        <v>23</v>
      </c>
      <c r="B1760" s="7" t="s">
        <v>103</v>
      </c>
      <c r="C1760" s="2" t="s">
        <v>706</v>
      </c>
      <c r="D1760" s="7" t="s">
        <v>707</v>
      </c>
      <c r="E1760" s="4" t="s">
        <v>60</v>
      </c>
      <c r="F1760" s="2"/>
      <c r="G1760" s="2" t="s">
        <v>1399</v>
      </c>
      <c r="H1760" s="2" t="s">
        <v>1400</v>
      </c>
      <c r="I1760" s="4" t="s">
        <v>62</v>
      </c>
      <c r="J1760" s="112">
        <f>IF($H1760&lt;&gt;"Y",0,ROUND(MIN(Dashboard!$R$24,IF(IFERROR(VLOOKUP($B1760,Dashboard!$Q$28:$S$60,2,FALSE),0)&gt;0,IFERROR(VLOOKUP($B1760,Dashboard!$Q$28:$S$60,2,FALSE),0),$Z1760*IF($U1760&lt;&gt;"",ROUND((Dashboard!$R$4/$U1760)*VLOOKUP($I1760,Dashboard!$Q$9:$R$13,2,FALSE)*IF(ISNUMBER(SEARCH("Duals",$B1760)),2,IF(ISNUMBER(SEARCH("Triples",$B1760)),3,IF(ISNUMBER(SEARCH("Quads",$B1760)),4,1))),2),ROUND(VLOOKUP($I1760,Dashboard!$Q$15:$R$20,2,FALSE)*IF($E1760="Red",Dashboard!$R$6,IF($E1760="Gold",Dashboard!$R$7,Dashboard!$R$5))*IF(ISNUMBER(SEARCH("Duals",$B1760)),2,IF(ISNUMBER(SEARCH("Triples",$B1760)),3,IF(ISNUMBER(SEARCH("Quads",$B1760)),4,1))),2))*IF(IFERROR(VLOOKUP($B1760,Dashboard!$Q$28:$S$60,3,FALSE),0)&gt;0,VLOOKUP($B1760,Dashboard!$Q$28:$S$60,3,FALSE),1))),0))</f>
        <v>1</v>
      </c>
      <c r="K1760" s="2" t="str">
        <f>IF('Inserts - Story'!D10="","",'Inserts - Story'!D10)</f>
        <v>h</v>
      </c>
      <c r="L1760" s="2">
        <f t="shared" si="351"/>
        <v>1</v>
      </c>
      <c r="M1760" s="2">
        <f t="shared" si="352"/>
        <v>0</v>
      </c>
      <c r="N1760" s="2">
        <f t="shared" si="353"/>
        <v>1</v>
      </c>
      <c r="O1760" s="2">
        <f t="shared" si="354"/>
        <v>0</v>
      </c>
      <c r="P1760" s="112">
        <f t="shared" si="355"/>
        <v>1</v>
      </c>
      <c r="Q1760" s="112">
        <f t="shared" si="356"/>
        <v>0</v>
      </c>
      <c r="R1760" s="53"/>
      <c r="S1760" s="53" t="str">
        <f t="shared" si="357"/>
        <v>Inserts - Story|Behind The Boys|BB-9|Base</v>
      </c>
      <c r="T1760" s="57">
        <f>IF($S1760="","",IFERROR(VLOOKUP($S1760,'Pop Estimates (Non-#d)'!$N$2:$O$500,2,FALSE),""))</f>
        <v>13680</v>
      </c>
      <c r="U1760" s="57">
        <f t="shared" si="358"/>
        <v>13680</v>
      </c>
      <c r="V1760" s="53" t="str">
        <f t="shared" si="359"/>
        <v/>
      </c>
      <c r="W1760" s="53" t="str">
        <f t="shared" si="360"/>
        <v/>
      </c>
      <c r="X1760" s="53" t="str">
        <f t="shared" si="361"/>
        <v/>
      </c>
      <c r="Y1760" s="57" t="str">
        <f>IF($X1760="","",IFERROR(VLOOKUP($X1760,'Char Popularity'!$A$2:$C$500,2,FALSE),""))</f>
        <v/>
      </c>
      <c r="Z1760" s="56">
        <f>IF($X1760="",1,IFERROR(VLOOKUP($X1760,'Char Popularity'!$A$2:$C$500,3,FALSE),1))</f>
        <v>1</v>
      </c>
      <c r="AA1760" s="62">
        <f>IF($H1760&lt;&gt;"Y",0,(IF($F1760&lt;&gt;"",ROUND(Dashboard!$R$4/$F1760,1),IF(AND($I1760="Base",$E1760="Base"),Dashboard!$R$5,IF(AND($I1760="Base",$E1760="Red"),Dashboard!$R$6,IF(AND($I1760="Base",$E1760="Gold"),Dashboard!$R$7,VLOOKUP($I1760,Dashboard!$Q$16:$R$21,2,FALSE)))))*VLOOKUP($I1760,Dashboard!$Q$9:$R$13,2,FALSE)*IF(AND($I1760="Auto",$F1760="",OR($B1760="Autographs Duals",$B1760="Autographs Triples",$B1760="Autographs Quads",$B1760="Autographs Quads (Inscribed)")),IF($B1760="Autographs Duals",2,IF($B1760="Autographs Triples",3,4)),1)))</f>
        <v>6</v>
      </c>
      <c r="AB1760" s="62">
        <f t="shared" si="362"/>
        <v>6</v>
      </c>
      <c r="AC1760" s="62">
        <f t="shared" si="363"/>
        <v>0</v>
      </c>
    </row>
    <row r="1761" spans="1:29" ht="28.7" customHeight="1" x14ac:dyDescent="0.25">
      <c r="A1761" s="4" t="s">
        <v>23</v>
      </c>
      <c r="B1761" s="7" t="s">
        <v>103</v>
      </c>
      <c r="C1761" s="2" t="s">
        <v>682</v>
      </c>
      <c r="D1761" s="7" t="s">
        <v>683</v>
      </c>
      <c r="E1761" s="4" t="s">
        <v>60</v>
      </c>
      <c r="F1761" s="2"/>
      <c r="G1761" s="2" t="s">
        <v>1399</v>
      </c>
      <c r="H1761" s="2" t="s">
        <v>1400</v>
      </c>
      <c r="I1761" s="4" t="s">
        <v>62</v>
      </c>
      <c r="J1761" s="112">
        <f>IF($H1761&lt;&gt;"Y",0,ROUND(MIN(Dashboard!$R$24,IF(IFERROR(VLOOKUP($B1761,Dashboard!$Q$28:$S$60,2,FALSE),0)&gt;0,IFERROR(VLOOKUP($B1761,Dashboard!$Q$28:$S$60,2,FALSE),0),$Z1761*IF($U1761&lt;&gt;"",ROUND((Dashboard!$R$4/$U1761)*VLOOKUP($I1761,Dashboard!$Q$9:$R$13,2,FALSE)*IF(ISNUMBER(SEARCH("Duals",$B1761)),2,IF(ISNUMBER(SEARCH("Triples",$B1761)),3,IF(ISNUMBER(SEARCH("Quads",$B1761)),4,1))),2),ROUND(VLOOKUP($I1761,Dashboard!$Q$15:$R$20,2,FALSE)*IF($E1761="Red",Dashboard!$R$6,IF($E1761="Gold",Dashboard!$R$7,Dashboard!$R$5))*IF(ISNUMBER(SEARCH("Duals",$B1761)),2,IF(ISNUMBER(SEARCH("Triples",$B1761)),3,IF(ISNUMBER(SEARCH("Quads",$B1761)),4,1))),2))*IF(IFERROR(VLOOKUP($B1761,Dashboard!$Q$28:$S$60,3,FALSE),0)&gt;0,VLOOKUP($B1761,Dashboard!$Q$28:$S$60,3,FALSE),1))),0))</f>
        <v>1</v>
      </c>
      <c r="K1761" s="2" t="str">
        <f>IF('Inserts - Story'!D11="","",'Inserts - Story'!D11)</f>
        <v>h</v>
      </c>
      <c r="L1761" s="2">
        <f t="shared" si="351"/>
        <v>1</v>
      </c>
      <c r="M1761" s="2">
        <f t="shared" si="352"/>
        <v>0</v>
      </c>
      <c r="N1761" s="2">
        <f t="shared" si="353"/>
        <v>1</v>
      </c>
      <c r="O1761" s="2">
        <f t="shared" si="354"/>
        <v>0</v>
      </c>
      <c r="P1761" s="112">
        <f t="shared" si="355"/>
        <v>1</v>
      </c>
      <c r="Q1761" s="112">
        <f t="shared" si="356"/>
        <v>0</v>
      </c>
      <c r="R1761" s="53"/>
      <c r="S1761" s="53" t="str">
        <f t="shared" si="357"/>
        <v>Inserts - Story|Behind The Boys|BB-10|Base</v>
      </c>
      <c r="T1761" s="57">
        <f>IF($S1761="","",IFERROR(VLOOKUP($S1761,'Pop Estimates (Non-#d)'!$N$2:$O$500,2,FALSE),""))</f>
        <v>13680</v>
      </c>
      <c r="U1761" s="57">
        <f t="shared" si="358"/>
        <v>13680</v>
      </c>
      <c r="V1761" s="53" t="str">
        <f t="shared" si="359"/>
        <v/>
      </c>
      <c r="W1761" s="53" t="str">
        <f t="shared" si="360"/>
        <v/>
      </c>
      <c r="X1761" s="53" t="str">
        <f t="shared" si="361"/>
        <v/>
      </c>
      <c r="Y1761" s="57" t="str">
        <f>IF($X1761="","",IFERROR(VLOOKUP($X1761,'Char Popularity'!$A$2:$C$500,2,FALSE),""))</f>
        <v/>
      </c>
      <c r="Z1761" s="56">
        <f>IF($X1761="",1,IFERROR(VLOOKUP($X1761,'Char Popularity'!$A$2:$C$500,3,FALSE),1))</f>
        <v>1</v>
      </c>
      <c r="AA1761" s="62">
        <f>IF($H1761&lt;&gt;"Y",0,(IF($F1761&lt;&gt;"",ROUND(Dashboard!$R$4/$F1761,1),IF(AND($I1761="Base",$E1761="Base"),Dashboard!$R$5,IF(AND($I1761="Base",$E1761="Red"),Dashboard!$R$6,IF(AND($I1761="Base",$E1761="Gold"),Dashboard!$R$7,VLOOKUP($I1761,Dashboard!$Q$16:$R$21,2,FALSE)))))*VLOOKUP($I1761,Dashboard!$Q$9:$R$13,2,FALSE)*IF(AND($I1761="Auto",$F1761="",OR($B1761="Autographs Duals",$B1761="Autographs Triples",$B1761="Autographs Quads",$B1761="Autographs Quads (Inscribed)")),IF($B1761="Autographs Duals",2,IF($B1761="Autographs Triples",3,4)),1)))</f>
        <v>6</v>
      </c>
      <c r="AB1761" s="62">
        <f t="shared" si="362"/>
        <v>6</v>
      </c>
      <c r="AC1761" s="62">
        <f t="shared" si="363"/>
        <v>0</v>
      </c>
    </row>
    <row r="1762" spans="1:29" ht="28.7" customHeight="1" x14ac:dyDescent="0.25">
      <c r="A1762" s="4" t="s">
        <v>23</v>
      </c>
      <c r="B1762" s="7" t="s">
        <v>103</v>
      </c>
      <c r="C1762" s="2" t="s">
        <v>684</v>
      </c>
      <c r="D1762" s="7" t="s">
        <v>685</v>
      </c>
      <c r="E1762" s="4" t="s">
        <v>60</v>
      </c>
      <c r="F1762" s="2"/>
      <c r="G1762" s="2" t="s">
        <v>1399</v>
      </c>
      <c r="H1762" s="2" t="s">
        <v>1400</v>
      </c>
      <c r="I1762" s="4" t="s">
        <v>62</v>
      </c>
      <c r="J1762" s="112">
        <f>IF($H1762&lt;&gt;"Y",0,ROUND(MIN(Dashboard!$R$24,IF(IFERROR(VLOOKUP($B1762,Dashboard!$Q$28:$S$60,2,FALSE),0)&gt;0,IFERROR(VLOOKUP($B1762,Dashboard!$Q$28:$S$60,2,FALSE),0),$Z1762*IF($U1762&lt;&gt;"",ROUND((Dashboard!$R$4/$U1762)*VLOOKUP($I1762,Dashboard!$Q$9:$R$13,2,FALSE)*IF(ISNUMBER(SEARCH("Duals",$B1762)),2,IF(ISNUMBER(SEARCH("Triples",$B1762)),3,IF(ISNUMBER(SEARCH("Quads",$B1762)),4,1))),2),ROUND(VLOOKUP($I1762,Dashboard!$Q$15:$R$20,2,FALSE)*IF($E1762="Red",Dashboard!$R$6,IF($E1762="Gold",Dashboard!$R$7,Dashboard!$R$5))*IF(ISNUMBER(SEARCH("Duals",$B1762)),2,IF(ISNUMBER(SEARCH("Triples",$B1762)),3,IF(ISNUMBER(SEARCH("Quads",$B1762)),4,1))),2))*IF(IFERROR(VLOOKUP($B1762,Dashboard!$Q$28:$S$60,3,FALSE),0)&gt;0,VLOOKUP($B1762,Dashboard!$Q$28:$S$60,3,FALSE),1))),0))</f>
        <v>1</v>
      </c>
      <c r="K1762" s="2" t="str">
        <f>IF('Inserts - Story'!D12="","",'Inserts - Story'!D12)</f>
        <v>h</v>
      </c>
      <c r="L1762" s="2">
        <f t="shared" si="351"/>
        <v>1</v>
      </c>
      <c r="M1762" s="2">
        <f t="shared" si="352"/>
        <v>0</v>
      </c>
      <c r="N1762" s="2">
        <f t="shared" si="353"/>
        <v>1</v>
      </c>
      <c r="O1762" s="2">
        <f t="shared" si="354"/>
        <v>0</v>
      </c>
      <c r="P1762" s="112">
        <f t="shared" si="355"/>
        <v>1</v>
      </c>
      <c r="Q1762" s="112">
        <f t="shared" si="356"/>
        <v>0</v>
      </c>
      <c r="R1762" s="53"/>
      <c r="S1762" s="53" t="str">
        <f t="shared" si="357"/>
        <v>Inserts - Story|Behind The Boys|BB-11|Base</v>
      </c>
      <c r="T1762" s="57">
        <f>IF($S1762="","",IFERROR(VLOOKUP($S1762,'Pop Estimates (Non-#d)'!$N$2:$O$500,2,FALSE),""))</f>
        <v>13680</v>
      </c>
      <c r="U1762" s="57">
        <f t="shared" si="358"/>
        <v>13680</v>
      </c>
      <c r="V1762" s="53" t="str">
        <f t="shared" si="359"/>
        <v/>
      </c>
      <c r="W1762" s="53" t="str">
        <f t="shared" si="360"/>
        <v/>
      </c>
      <c r="X1762" s="53" t="str">
        <f t="shared" si="361"/>
        <v/>
      </c>
      <c r="Y1762" s="57" t="str">
        <f>IF($X1762="","",IFERROR(VLOOKUP($X1762,'Char Popularity'!$A$2:$C$500,2,FALSE),""))</f>
        <v/>
      </c>
      <c r="Z1762" s="56">
        <f>IF($X1762="",1,IFERROR(VLOOKUP($X1762,'Char Popularity'!$A$2:$C$500,3,FALSE),1))</f>
        <v>1</v>
      </c>
      <c r="AA1762" s="62">
        <f>IF($H1762&lt;&gt;"Y",0,(IF($F1762&lt;&gt;"",ROUND(Dashboard!$R$4/$F1762,1),IF(AND($I1762="Base",$E1762="Base"),Dashboard!$R$5,IF(AND($I1762="Base",$E1762="Red"),Dashboard!$R$6,IF(AND($I1762="Base",$E1762="Gold"),Dashboard!$R$7,VLOOKUP($I1762,Dashboard!$Q$16:$R$21,2,FALSE)))))*VLOOKUP($I1762,Dashboard!$Q$9:$R$13,2,FALSE)*IF(AND($I1762="Auto",$F1762="",OR($B1762="Autographs Duals",$B1762="Autographs Triples",$B1762="Autographs Quads",$B1762="Autographs Quads (Inscribed)")),IF($B1762="Autographs Duals",2,IF($B1762="Autographs Triples",3,4)),1)))</f>
        <v>6</v>
      </c>
      <c r="AB1762" s="62">
        <f t="shared" si="362"/>
        <v>6</v>
      </c>
      <c r="AC1762" s="62">
        <f t="shared" si="363"/>
        <v>0</v>
      </c>
    </row>
    <row r="1763" spans="1:29" ht="28.7" customHeight="1" x14ac:dyDescent="0.25">
      <c r="A1763" s="4" t="s">
        <v>23</v>
      </c>
      <c r="B1763" s="7" t="s">
        <v>103</v>
      </c>
      <c r="C1763" s="2" t="s">
        <v>686</v>
      </c>
      <c r="D1763" s="7" t="s">
        <v>687</v>
      </c>
      <c r="E1763" s="4" t="s">
        <v>60</v>
      </c>
      <c r="F1763" s="2"/>
      <c r="G1763" s="2" t="s">
        <v>1399</v>
      </c>
      <c r="H1763" s="2" t="s">
        <v>1400</v>
      </c>
      <c r="I1763" s="4" t="s">
        <v>62</v>
      </c>
      <c r="J1763" s="112">
        <f>IF($H1763&lt;&gt;"Y",0,ROUND(MIN(Dashboard!$R$24,IF(IFERROR(VLOOKUP($B1763,Dashboard!$Q$28:$S$60,2,FALSE),0)&gt;0,IFERROR(VLOOKUP($B1763,Dashboard!$Q$28:$S$60,2,FALSE),0),$Z1763*IF($U1763&lt;&gt;"",ROUND((Dashboard!$R$4/$U1763)*VLOOKUP($I1763,Dashboard!$Q$9:$R$13,2,FALSE)*IF(ISNUMBER(SEARCH("Duals",$B1763)),2,IF(ISNUMBER(SEARCH("Triples",$B1763)),3,IF(ISNUMBER(SEARCH("Quads",$B1763)),4,1))),2),ROUND(VLOOKUP($I1763,Dashboard!$Q$15:$R$20,2,FALSE)*IF($E1763="Red",Dashboard!$R$6,IF($E1763="Gold",Dashboard!$R$7,Dashboard!$R$5))*IF(ISNUMBER(SEARCH("Duals",$B1763)),2,IF(ISNUMBER(SEARCH("Triples",$B1763)),3,IF(ISNUMBER(SEARCH("Quads",$B1763)),4,1))),2))*IF(IFERROR(VLOOKUP($B1763,Dashboard!$Q$28:$S$60,3,FALSE),0)&gt;0,VLOOKUP($B1763,Dashboard!$Q$28:$S$60,3,FALSE),1))),0))</f>
        <v>1</v>
      </c>
      <c r="K1763" s="2" t="str">
        <f>IF('Inserts - Story'!D13="","",'Inserts - Story'!D13)</f>
        <v>h</v>
      </c>
      <c r="L1763" s="2">
        <f t="shared" si="351"/>
        <v>1</v>
      </c>
      <c r="M1763" s="2">
        <f t="shared" si="352"/>
        <v>0</v>
      </c>
      <c r="N1763" s="2">
        <f t="shared" si="353"/>
        <v>1</v>
      </c>
      <c r="O1763" s="2">
        <f t="shared" si="354"/>
        <v>0</v>
      </c>
      <c r="P1763" s="112">
        <f t="shared" si="355"/>
        <v>1</v>
      </c>
      <c r="Q1763" s="112">
        <f t="shared" si="356"/>
        <v>0</v>
      </c>
      <c r="R1763" s="53"/>
      <c r="S1763" s="53" t="str">
        <f t="shared" si="357"/>
        <v>Inserts - Story|Behind The Boys|BB-12|Base</v>
      </c>
      <c r="T1763" s="57">
        <f>IF($S1763="","",IFERROR(VLOOKUP($S1763,'Pop Estimates (Non-#d)'!$N$2:$O$500,2,FALSE),""))</f>
        <v>13680</v>
      </c>
      <c r="U1763" s="57">
        <f t="shared" si="358"/>
        <v>13680</v>
      </c>
      <c r="V1763" s="53" t="str">
        <f t="shared" si="359"/>
        <v/>
      </c>
      <c r="W1763" s="53" t="str">
        <f t="shared" si="360"/>
        <v/>
      </c>
      <c r="X1763" s="53" t="str">
        <f t="shared" si="361"/>
        <v/>
      </c>
      <c r="Y1763" s="57" t="str">
        <f>IF($X1763="","",IFERROR(VLOOKUP($X1763,'Char Popularity'!$A$2:$C$500,2,FALSE),""))</f>
        <v/>
      </c>
      <c r="Z1763" s="56">
        <f>IF($X1763="",1,IFERROR(VLOOKUP($X1763,'Char Popularity'!$A$2:$C$500,3,FALSE),1))</f>
        <v>1</v>
      </c>
      <c r="AA1763" s="62">
        <f>IF($H1763&lt;&gt;"Y",0,(IF($F1763&lt;&gt;"",ROUND(Dashboard!$R$4/$F1763,1),IF(AND($I1763="Base",$E1763="Base"),Dashboard!$R$5,IF(AND($I1763="Base",$E1763="Red"),Dashboard!$R$6,IF(AND($I1763="Base",$E1763="Gold"),Dashboard!$R$7,VLOOKUP($I1763,Dashboard!$Q$16:$R$21,2,FALSE)))))*VLOOKUP($I1763,Dashboard!$Q$9:$R$13,2,FALSE)*IF(AND($I1763="Auto",$F1763="",OR($B1763="Autographs Duals",$B1763="Autographs Triples",$B1763="Autographs Quads",$B1763="Autographs Quads (Inscribed)")),IF($B1763="Autographs Duals",2,IF($B1763="Autographs Triples",3,4)),1)))</f>
        <v>6</v>
      </c>
      <c r="AB1763" s="62">
        <f t="shared" si="362"/>
        <v>6</v>
      </c>
      <c r="AC1763" s="62">
        <f t="shared" si="363"/>
        <v>0</v>
      </c>
    </row>
    <row r="1764" spans="1:29" ht="28.7" customHeight="1" x14ac:dyDescent="0.25">
      <c r="A1764" s="4" t="s">
        <v>23</v>
      </c>
      <c r="B1764" s="7" t="s">
        <v>103</v>
      </c>
      <c r="C1764" s="2" t="s">
        <v>688</v>
      </c>
      <c r="D1764" s="7" t="s">
        <v>689</v>
      </c>
      <c r="E1764" s="4" t="s">
        <v>60</v>
      </c>
      <c r="F1764" s="2"/>
      <c r="G1764" s="2" t="s">
        <v>1399</v>
      </c>
      <c r="H1764" s="2" t="s">
        <v>1400</v>
      </c>
      <c r="I1764" s="4" t="s">
        <v>62</v>
      </c>
      <c r="J1764" s="112">
        <f>IF($H1764&lt;&gt;"Y",0,ROUND(MIN(Dashboard!$R$24,IF(IFERROR(VLOOKUP($B1764,Dashboard!$Q$28:$S$60,2,FALSE),0)&gt;0,IFERROR(VLOOKUP($B1764,Dashboard!$Q$28:$S$60,2,FALSE),0),$Z1764*IF($U1764&lt;&gt;"",ROUND((Dashboard!$R$4/$U1764)*VLOOKUP($I1764,Dashboard!$Q$9:$R$13,2,FALSE)*IF(ISNUMBER(SEARCH("Duals",$B1764)),2,IF(ISNUMBER(SEARCH("Triples",$B1764)),3,IF(ISNUMBER(SEARCH("Quads",$B1764)),4,1))),2),ROUND(VLOOKUP($I1764,Dashboard!$Q$15:$R$20,2,FALSE)*IF($E1764="Red",Dashboard!$R$6,IF($E1764="Gold",Dashboard!$R$7,Dashboard!$R$5))*IF(ISNUMBER(SEARCH("Duals",$B1764)),2,IF(ISNUMBER(SEARCH("Triples",$B1764)),3,IF(ISNUMBER(SEARCH("Quads",$B1764)),4,1))),2))*IF(IFERROR(VLOOKUP($B1764,Dashboard!$Q$28:$S$60,3,FALSE),0)&gt;0,VLOOKUP($B1764,Dashboard!$Q$28:$S$60,3,FALSE),1))),0))</f>
        <v>1</v>
      </c>
      <c r="K1764" s="2" t="str">
        <f>IF('Inserts - Story'!D14="","",'Inserts - Story'!D14)</f>
        <v>h</v>
      </c>
      <c r="L1764" s="2">
        <f t="shared" si="351"/>
        <v>1</v>
      </c>
      <c r="M1764" s="2">
        <f t="shared" si="352"/>
        <v>0</v>
      </c>
      <c r="N1764" s="2">
        <f t="shared" si="353"/>
        <v>1</v>
      </c>
      <c r="O1764" s="2">
        <f t="shared" si="354"/>
        <v>0</v>
      </c>
      <c r="P1764" s="112">
        <f t="shared" si="355"/>
        <v>1</v>
      </c>
      <c r="Q1764" s="112">
        <f t="shared" si="356"/>
        <v>0</v>
      </c>
      <c r="R1764" s="53"/>
      <c r="S1764" s="53" t="str">
        <f t="shared" si="357"/>
        <v>Inserts - Story|Behind The Boys|BB-13|Base</v>
      </c>
      <c r="T1764" s="57">
        <f>IF($S1764="","",IFERROR(VLOOKUP($S1764,'Pop Estimates (Non-#d)'!$N$2:$O$500,2,FALSE),""))</f>
        <v>13680</v>
      </c>
      <c r="U1764" s="57">
        <f t="shared" si="358"/>
        <v>13680</v>
      </c>
      <c r="V1764" s="53" t="str">
        <f t="shared" si="359"/>
        <v/>
      </c>
      <c r="W1764" s="53" t="str">
        <f t="shared" si="360"/>
        <v/>
      </c>
      <c r="X1764" s="53" t="str">
        <f t="shared" si="361"/>
        <v/>
      </c>
      <c r="Y1764" s="57" t="str">
        <f>IF($X1764="","",IFERROR(VLOOKUP($X1764,'Char Popularity'!$A$2:$C$500,2,FALSE),""))</f>
        <v/>
      </c>
      <c r="Z1764" s="56">
        <f>IF($X1764="",1,IFERROR(VLOOKUP($X1764,'Char Popularity'!$A$2:$C$500,3,FALSE),1))</f>
        <v>1</v>
      </c>
      <c r="AA1764" s="62">
        <f>IF($H1764&lt;&gt;"Y",0,(IF($F1764&lt;&gt;"",ROUND(Dashboard!$R$4/$F1764,1),IF(AND($I1764="Base",$E1764="Base"),Dashboard!$R$5,IF(AND($I1764="Base",$E1764="Red"),Dashboard!$R$6,IF(AND($I1764="Base",$E1764="Gold"),Dashboard!$R$7,VLOOKUP($I1764,Dashboard!$Q$16:$R$21,2,FALSE)))))*VLOOKUP($I1764,Dashboard!$Q$9:$R$13,2,FALSE)*IF(AND($I1764="Auto",$F1764="",OR($B1764="Autographs Duals",$B1764="Autographs Triples",$B1764="Autographs Quads",$B1764="Autographs Quads (Inscribed)")),IF($B1764="Autographs Duals",2,IF($B1764="Autographs Triples",3,4)),1)))</f>
        <v>6</v>
      </c>
      <c r="AB1764" s="62">
        <f t="shared" si="362"/>
        <v>6</v>
      </c>
      <c r="AC1764" s="62">
        <f t="shared" si="363"/>
        <v>0</v>
      </c>
    </row>
    <row r="1765" spans="1:29" ht="28.7" customHeight="1" x14ac:dyDescent="0.25">
      <c r="A1765" s="4" t="s">
        <v>23</v>
      </c>
      <c r="B1765" s="7" t="s">
        <v>103</v>
      </c>
      <c r="C1765" s="2" t="s">
        <v>690</v>
      </c>
      <c r="D1765" s="7" t="s">
        <v>691</v>
      </c>
      <c r="E1765" s="4" t="s">
        <v>60</v>
      </c>
      <c r="F1765" s="2"/>
      <c r="G1765" s="2" t="s">
        <v>1399</v>
      </c>
      <c r="H1765" s="2" t="s">
        <v>1400</v>
      </c>
      <c r="I1765" s="4" t="s">
        <v>62</v>
      </c>
      <c r="J1765" s="112">
        <f>IF($H1765&lt;&gt;"Y",0,ROUND(MIN(Dashboard!$R$24,IF(IFERROR(VLOOKUP($B1765,Dashboard!$Q$28:$S$60,2,FALSE),0)&gt;0,IFERROR(VLOOKUP($B1765,Dashboard!$Q$28:$S$60,2,FALSE),0),$Z1765*IF($U1765&lt;&gt;"",ROUND((Dashboard!$R$4/$U1765)*VLOOKUP($I1765,Dashboard!$Q$9:$R$13,2,FALSE)*IF(ISNUMBER(SEARCH("Duals",$B1765)),2,IF(ISNUMBER(SEARCH("Triples",$B1765)),3,IF(ISNUMBER(SEARCH("Quads",$B1765)),4,1))),2),ROUND(VLOOKUP($I1765,Dashboard!$Q$15:$R$20,2,FALSE)*IF($E1765="Red",Dashboard!$R$6,IF($E1765="Gold",Dashboard!$R$7,Dashboard!$R$5))*IF(ISNUMBER(SEARCH("Duals",$B1765)),2,IF(ISNUMBER(SEARCH("Triples",$B1765)),3,IF(ISNUMBER(SEARCH("Quads",$B1765)),4,1))),2))*IF(IFERROR(VLOOKUP($B1765,Dashboard!$Q$28:$S$60,3,FALSE),0)&gt;0,VLOOKUP($B1765,Dashboard!$Q$28:$S$60,3,FALSE),1))),0))</f>
        <v>1</v>
      </c>
      <c r="K1765" s="2" t="str">
        <f>IF('Inserts - Story'!D15="","",'Inserts - Story'!D15)</f>
        <v>h</v>
      </c>
      <c r="L1765" s="2">
        <f t="shared" si="351"/>
        <v>1</v>
      </c>
      <c r="M1765" s="2">
        <f t="shared" si="352"/>
        <v>0</v>
      </c>
      <c r="N1765" s="2">
        <f t="shared" si="353"/>
        <v>1</v>
      </c>
      <c r="O1765" s="2">
        <f t="shared" si="354"/>
        <v>0</v>
      </c>
      <c r="P1765" s="112">
        <f t="shared" si="355"/>
        <v>1</v>
      </c>
      <c r="Q1765" s="112">
        <f t="shared" si="356"/>
        <v>0</v>
      </c>
      <c r="R1765" s="53"/>
      <c r="S1765" s="53" t="str">
        <f t="shared" si="357"/>
        <v>Inserts - Story|Behind The Boys|BB-14|Base</v>
      </c>
      <c r="T1765" s="57">
        <f>IF($S1765="","",IFERROR(VLOOKUP($S1765,'Pop Estimates (Non-#d)'!$N$2:$O$500,2,FALSE),""))</f>
        <v>13680</v>
      </c>
      <c r="U1765" s="57">
        <f t="shared" si="358"/>
        <v>13680</v>
      </c>
      <c r="V1765" s="53" t="str">
        <f t="shared" si="359"/>
        <v/>
      </c>
      <c r="W1765" s="53" t="str">
        <f t="shared" si="360"/>
        <v/>
      </c>
      <c r="X1765" s="53" t="str">
        <f t="shared" si="361"/>
        <v/>
      </c>
      <c r="Y1765" s="57" t="str">
        <f>IF($X1765="","",IFERROR(VLOOKUP($X1765,'Char Popularity'!$A$2:$C$500,2,FALSE),""))</f>
        <v/>
      </c>
      <c r="Z1765" s="56">
        <f>IF($X1765="",1,IFERROR(VLOOKUP($X1765,'Char Popularity'!$A$2:$C$500,3,FALSE),1))</f>
        <v>1</v>
      </c>
      <c r="AA1765" s="62">
        <f>IF($H1765&lt;&gt;"Y",0,(IF($F1765&lt;&gt;"",ROUND(Dashboard!$R$4/$F1765,1),IF(AND($I1765="Base",$E1765="Base"),Dashboard!$R$5,IF(AND($I1765="Base",$E1765="Red"),Dashboard!$R$6,IF(AND($I1765="Base",$E1765="Gold"),Dashboard!$R$7,VLOOKUP($I1765,Dashboard!$Q$16:$R$21,2,FALSE)))))*VLOOKUP($I1765,Dashboard!$Q$9:$R$13,2,FALSE)*IF(AND($I1765="Auto",$F1765="",OR($B1765="Autographs Duals",$B1765="Autographs Triples",$B1765="Autographs Quads",$B1765="Autographs Quads (Inscribed)")),IF($B1765="Autographs Duals",2,IF($B1765="Autographs Triples",3,4)),1)))</f>
        <v>6</v>
      </c>
      <c r="AB1765" s="62">
        <f t="shared" si="362"/>
        <v>6</v>
      </c>
      <c r="AC1765" s="62">
        <f t="shared" si="363"/>
        <v>0</v>
      </c>
    </row>
    <row r="1766" spans="1:29" ht="28.7" customHeight="1" x14ac:dyDescent="0.25">
      <c r="A1766" s="4" t="s">
        <v>23</v>
      </c>
      <c r="B1766" s="7" t="s">
        <v>103</v>
      </c>
      <c r="C1766" s="2" t="s">
        <v>692</v>
      </c>
      <c r="D1766" s="7" t="s">
        <v>693</v>
      </c>
      <c r="E1766" s="4" t="s">
        <v>60</v>
      </c>
      <c r="F1766" s="2"/>
      <c r="G1766" s="2" t="s">
        <v>1399</v>
      </c>
      <c r="H1766" s="2" t="s">
        <v>1400</v>
      </c>
      <c r="I1766" s="4" t="s">
        <v>62</v>
      </c>
      <c r="J1766" s="112">
        <f>IF($H1766&lt;&gt;"Y",0,ROUND(MIN(Dashboard!$R$24,IF(IFERROR(VLOOKUP($B1766,Dashboard!$Q$28:$S$60,2,FALSE),0)&gt;0,IFERROR(VLOOKUP($B1766,Dashboard!$Q$28:$S$60,2,FALSE),0),$Z1766*IF($U1766&lt;&gt;"",ROUND((Dashboard!$R$4/$U1766)*VLOOKUP($I1766,Dashboard!$Q$9:$R$13,2,FALSE)*IF(ISNUMBER(SEARCH("Duals",$B1766)),2,IF(ISNUMBER(SEARCH("Triples",$B1766)),3,IF(ISNUMBER(SEARCH("Quads",$B1766)),4,1))),2),ROUND(VLOOKUP($I1766,Dashboard!$Q$15:$R$20,2,FALSE)*IF($E1766="Red",Dashboard!$R$6,IF($E1766="Gold",Dashboard!$R$7,Dashboard!$R$5))*IF(ISNUMBER(SEARCH("Duals",$B1766)),2,IF(ISNUMBER(SEARCH("Triples",$B1766)),3,IF(ISNUMBER(SEARCH("Quads",$B1766)),4,1))),2))*IF(IFERROR(VLOOKUP($B1766,Dashboard!$Q$28:$S$60,3,FALSE),0)&gt;0,VLOOKUP($B1766,Dashboard!$Q$28:$S$60,3,FALSE),1))),0))</f>
        <v>1</v>
      </c>
      <c r="K1766" s="2" t="str">
        <f>IF('Inserts - Story'!D16="","",'Inserts - Story'!D16)</f>
        <v>h</v>
      </c>
      <c r="L1766" s="2">
        <f t="shared" si="351"/>
        <v>1</v>
      </c>
      <c r="M1766" s="2">
        <f t="shared" si="352"/>
        <v>0</v>
      </c>
      <c r="N1766" s="2">
        <f t="shared" si="353"/>
        <v>1</v>
      </c>
      <c r="O1766" s="2">
        <f t="shared" si="354"/>
        <v>0</v>
      </c>
      <c r="P1766" s="112">
        <f t="shared" si="355"/>
        <v>1</v>
      </c>
      <c r="Q1766" s="112">
        <f t="shared" si="356"/>
        <v>0</v>
      </c>
      <c r="R1766" s="53"/>
      <c r="S1766" s="53" t="str">
        <f t="shared" si="357"/>
        <v>Inserts - Story|Behind The Boys|BB-15|Base</v>
      </c>
      <c r="T1766" s="57">
        <f>IF($S1766="","",IFERROR(VLOOKUP($S1766,'Pop Estimates (Non-#d)'!$N$2:$O$500,2,FALSE),""))</f>
        <v>13680</v>
      </c>
      <c r="U1766" s="57">
        <f t="shared" si="358"/>
        <v>13680</v>
      </c>
      <c r="V1766" s="53" t="str">
        <f t="shared" si="359"/>
        <v/>
      </c>
      <c r="W1766" s="53" t="str">
        <f t="shared" si="360"/>
        <v/>
      </c>
      <c r="X1766" s="53" t="str">
        <f t="shared" si="361"/>
        <v/>
      </c>
      <c r="Y1766" s="57" t="str">
        <f>IF($X1766="","",IFERROR(VLOOKUP($X1766,'Char Popularity'!$A$2:$C$500,2,FALSE),""))</f>
        <v/>
      </c>
      <c r="Z1766" s="56">
        <f>IF($X1766="",1,IFERROR(VLOOKUP($X1766,'Char Popularity'!$A$2:$C$500,3,FALSE),1))</f>
        <v>1</v>
      </c>
      <c r="AA1766" s="62">
        <f>IF($H1766&lt;&gt;"Y",0,(IF($F1766&lt;&gt;"",ROUND(Dashboard!$R$4/$F1766,1),IF(AND($I1766="Base",$E1766="Base"),Dashboard!$R$5,IF(AND($I1766="Base",$E1766="Red"),Dashboard!$R$6,IF(AND($I1766="Base",$E1766="Gold"),Dashboard!$R$7,VLOOKUP($I1766,Dashboard!$Q$16:$R$21,2,FALSE)))))*VLOOKUP($I1766,Dashboard!$Q$9:$R$13,2,FALSE)*IF(AND($I1766="Auto",$F1766="",OR($B1766="Autographs Duals",$B1766="Autographs Triples",$B1766="Autographs Quads",$B1766="Autographs Quads (Inscribed)")),IF($B1766="Autographs Duals",2,IF($B1766="Autographs Triples",3,4)),1)))</f>
        <v>6</v>
      </c>
      <c r="AB1766" s="62">
        <f t="shared" si="362"/>
        <v>6</v>
      </c>
      <c r="AC1766" s="62">
        <f t="shared" si="363"/>
        <v>0</v>
      </c>
    </row>
    <row r="1767" spans="1:29" ht="42.95" customHeight="1" x14ac:dyDescent="0.25">
      <c r="A1767" s="4" t="s">
        <v>23</v>
      </c>
      <c r="B1767" s="7" t="s">
        <v>104</v>
      </c>
      <c r="C1767" s="2" t="s">
        <v>681</v>
      </c>
      <c r="D1767" s="7" t="s">
        <v>542</v>
      </c>
      <c r="E1767" s="4" t="s">
        <v>1602</v>
      </c>
      <c r="F1767" s="2">
        <v>7</v>
      </c>
      <c r="G1767" s="2" t="s">
        <v>1399</v>
      </c>
      <c r="H1767" s="2" t="s">
        <v>1400</v>
      </c>
      <c r="I1767" s="4" t="s">
        <v>62</v>
      </c>
      <c r="J1767" s="112">
        <f>IF($H1767&lt;&gt;"Y",0,ROUND(MIN(Dashboard!$R$24,IF(IFERROR(VLOOKUP($B1767,Dashboard!$Q$28:$S$60,2,FALSE),0)&gt;0,IFERROR(VLOOKUP($B1767,Dashboard!$Q$28:$S$60,2,FALSE),0),$Z1767*IF($U1767&lt;&gt;"",ROUND((Dashboard!$R$4/$U1767)*VLOOKUP($I1767,Dashboard!$Q$9:$R$13,2,FALSE)*IF(ISNUMBER(SEARCH("Duals",$B1767)),2,IF(ISNUMBER(SEARCH("Triples",$B1767)),3,IF(ISNUMBER(SEARCH("Quads",$B1767)),4,1))),2),ROUND(VLOOKUP($I1767,Dashboard!$Q$15:$R$20,2,FALSE)*IF($E1767="Red",Dashboard!$R$6,IF($E1767="Gold",Dashboard!$R$7,Dashboard!$R$5))*IF(ISNUMBER(SEARCH("Duals",$B1767)),2,IF(ISNUMBER(SEARCH("Triples",$B1767)),3,IF(ISNUMBER(SEARCH("Quads",$B1767)),4,1))),2))*IF(IFERROR(VLOOKUP($B1767,Dashboard!$Q$28:$S$60,3,FALSE),0)&gt;0,VLOOKUP($B1767,Dashboard!$Q$28:$S$60,3,FALSE),1))),0))</f>
        <v>134</v>
      </c>
      <c r="K1767" s="2" t="str">
        <f>IF('Inserts - Story'!E2="","",'Inserts - Story'!E2)</f>
        <v/>
      </c>
      <c r="L1767" s="2">
        <f t="shared" si="351"/>
        <v>0</v>
      </c>
      <c r="M1767" s="2">
        <f t="shared" si="352"/>
        <v>0</v>
      </c>
      <c r="N1767" s="2">
        <f t="shared" si="353"/>
        <v>0</v>
      </c>
      <c r="O1767" s="2">
        <f t="shared" si="354"/>
        <v>1</v>
      </c>
      <c r="P1767" s="112">
        <f t="shared" si="355"/>
        <v>0</v>
      </c>
      <c r="Q1767" s="112">
        <f t="shared" si="356"/>
        <v>0</v>
      </c>
      <c r="R1767" s="53"/>
      <c r="S1767" s="53" t="str">
        <f t="shared" si="357"/>
        <v>Inserts - Story|Behind The Boys Gold Parallel|BB-1|Gold</v>
      </c>
      <c r="T1767" s="57" t="str">
        <f>IF($S1767="","",IFERROR(VLOOKUP($S1767,'Pop Estimates (Non-#d)'!$N$2:$O$500,2,FALSE),""))</f>
        <v/>
      </c>
      <c r="U1767" s="57">
        <f t="shared" si="358"/>
        <v>7</v>
      </c>
      <c r="V1767" s="53" t="str">
        <f t="shared" si="359"/>
        <v/>
      </c>
      <c r="W1767" s="53" t="str">
        <f t="shared" si="360"/>
        <v/>
      </c>
      <c r="X1767" s="53" t="str">
        <f t="shared" si="361"/>
        <v/>
      </c>
      <c r="Y1767" s="57" t="str">
        <f>IF($X1767="","",IFERROR(VLOOKUP($X1767,'Char Popularity'!$A$2:$C$500,2,FALSE),""))</f>
        <v/>
      </c>
      <c r="Z1767" s="56">
        <f>IF($X1767="",1,IFERROR(VLOOKUP($X1767,'Char Popularity'!$A$2:$C$500,3,FALSE),1))</f>
        <v>1</v>
      </c>
      <c r="AA1767" s="62">
        <f>IF($H1767&lt;&gt;"Y",0,(IF($F1767&lt;&gt;"",ROUND(Dashboard!$R$4/$F1767,1),IF(AND($I1767="Base",$E1767="Base"),Dashboard!$R$5,IF(AND($I1767="Base",$E1767="Red"),Dashboard!$R$6,IF(AND($I1767="Base",$E1767="Gold"),Dashboard!$R$7,VLOOKUP($I1767,Dashboard!$Q$16:$R$21,2,FALSE)))))*VLOOKUP($I1767,Dashboard!$Q$9:$R$13,2,FALSE)*IF(AND($I1767="Auto",$F1767="",OR($B1767="Autographs Duals",$B1767="Autographs Triples",$B1767="Autographs Quads",$B1767="Autographs Quads (Inscribed)")),IF($B1767="Autographs Duals",2,IF($B1767="Autographs Triples",3,4)),1)))</f>
        <v>171.48</v>
      </c>
      <c r="AB1767" s="62">
        <f t="shared" si="362"/>
        <v>0</v>
      </c>
      <c r="AC1767" s="62">
        <f t="shared" si="363"/>
        <v>0</v>
      </c>
    </row>
    <row r="1768" spans="1:29" ht="42.95" customHeight="1" x14ac:dyDescent="0.25">
      <c r="A1768" s="4" t="s">
        <v>23</v>
      </c>
      <c r="B1768" s="7" t="s">
        <v>104</v>
      </c>
      <c r="C1768" s="2" t="s">
        <v>694</v>
      </c>
      <c r="D1768" s="7" t="s">
        <v>695</v>
      </c>
      <c r="E1768" s="4" t="s">
        <v>1602</v>
      </c>
      <c r="F1768" s="2">
        <v>7</v>
      </c>
      <c r="G1768" s="2" t="s">
        <v>1399</v>
      </c>
      <c r="H1768" s="2" t="s">
        <v>1400</v>
      </c>
      <c r="I1768" s="4" t="s">
        <v>62</v>
      </c>
      <c r="J1768" s="112">
        <f>IF($H1768&lt;&gt;"Y",0,ROUND(MIN(Dashboard!$R$24,IF(IFERROR(VLOOKUP($B1768,Dashboard!$Q$28:$S$60,2,FALSE),0)&gt;0,IFERROR(VLOOKUP($B1768,Dashboard!$Q$28:$S$60,2,FALSE),0),$Z1768*IF($U1768&lt;&gt;"",ROUND((Dashboard!$R$4/$U1768)*VLOOKUP($I1768,Dashboard!$Q$9:$R$13,2,FALSE)*IF(ISNUMBER(SEARCH("Duals",$B1768)),2,IF(ISNUMBER(SEARCH("Triples",$B1768)),3,IF(ISNUMBER(SEARCH("Quads",$B1768)),4,1))),2),ROUND(VLOOKUP($I1768,Dashboard!$Q$15:$R$20,2,FALSE)*IF($E1768="Red",Dashboard!$R$6,IF($E1768="Gold",Dashboard!$R$7,Dashboard!$R$5))*IF(ISNUMBER(SEARCH("Duals",$B1768)),2,IF(ISNUMBER(SEARCH("Triples",$B1768)),3,IF(ISNUMBER(SEARCH("Quads",$B1768)),4,1))),2))*IF(IFERROR(VLOOKUP($B1768,Dashboard!$Q$28:$S$60,3,FALSE),0)&gt;0,VLOOKUP($B1768,Dashboard!$Q$28:$S$60,3,FALSE),1))),0))</f>
        <v>134</v>
      </c>
      <c r="K1768" s="2" t="str">
        <f>IF('Inserts - Story'!E3="","",'Inserts - Story'!E3)</f>
        <v/>
      </c>
      <c r="L1768" s="2">
        <f t="shared" si="351"/>
        <v>0</v>
      </c>
      <c r="M1768" s="2">
        <f t="shared" si="352"/>
        <v>0</v>
      </c>
      <c r="N1768" s="2">
        <f t="shared" si="353"/>
        <v>0</v>
      </c>
      <c r="O1768" s="2">
        <f t="shared" si="354"/>
        <v>1</v>
      </c>
      <c r="P1768" s="112">
        <f t="shared" si="355"/>
        <v>0</v>
      </c>
      <c r="Q1768" s="112">
        <f t="shared" si="356"/>
        <v>0</v>
      </c>
      <c r="R1768" s="53"/>
      <c r="S1768" s="53" t="str">
        <f t="shared" si="357"/>
        <v>Inserts - Story|Behind The Boys Gold Parallel|BB-2|Gold</v>
      </c>
      <c r="T1768" s="57" t="str">
        <f>IF($S1768="","",IFERROR(VLOOKUP($S1768,'Pop Estimates (Non-#d)'!$N$2:$O$500,2,FALSE),""))</f>
        <v/>
      </c>
      <c r="U1768" s="57">
        <f t="shared" si="358"/>
        <v>7</v>
      </c>
      <c r="V1768" s="53" t="str">
        <f t="shared" si="359"/>
        <v/>
      </c>
      <c r="W1768" s="53" t="str">
        <f t="shared" si="360"/>
        <v/>
      </c>
      <c r="X1768" s="53" t="str">
        <f t="shared" si="361"/>
        <v/>
      </c>
      <c r="Y1768" s="57" t="str">
        <f>IF($X1768="","",IFERROR(VLOOKUP($X1768,'Char Popularity'!$A$2:$C$500,2,FALSE),""))</f>
        <v/>
      </c>
      <c r="Z1768" s="56">
        <f>IF($X1768="",1,IFERROR(VLOOKUP($X1768,'Char Popularity'!$A$2:$C$500,3,FALSE),1))</f>
        <v>1</v>
      </c>
      <c r="AA1768" s="62">
        <f>IF($H1768&lt;&gt;"Y",0,(IF($F1768&lt;&gt;"",ROUND(Dashboard!$R$4/$F1768,1),IF(AND($I1768="Base",$E1768="Base"),Dashboard!$R$5,IF(AND($I1768="Base",$E1768="Red"),Dashboard!$R$6,IF(AND($I1768="Base",$E1768="Gold"),Dashboard!$R$7,VLOOKUP($I1768,Dashboard!$Q$16:$R$21,2,FALSE)))))*VLOOKUP($I1768,Dashboard!$Q$9:$R$13,2,FALSE)*IF(AND($I1768="Auto",$F1768="",OR($B1768="Autographs Duals",$B1768="Autographs Triples",$B1768="Autographs Quads",$B1768="Autographs Quads (Inscribed)")),IF($B1768="Autographs Duals",2,IF($B1768="Autographs Triples",3,4)),1)))</f>
        <v>171.48</v>
      </c>
      <c r="AB1768" s="62">
        <f t="shared" si="362"/>
        <v>0</v>
      </c>
      <c r="AC1768" s="62">
        <f t="shared" si="363"/>
        <v>0</v>
      </c>
    </row>
    <row r="1769" spans="1:29" ht="42.95" customHeight="1" x14ac:dyDescent="0.25">
      <c r="A1769" s="4" t="s">
        <v>23</v>
      </c>
      <c r="B1769" s="7" t="s">
        <v>104</v>
      </c>
      <c r="C1769" s="2" t="s">
        <v>696</v>
      </c>
      <c r="D1769" s="7" t="s">
        <v>697</v>
      </c>
      <c r="E1769" s="4" t="s">
        <v>1602</v>
      </c>
      <c r="F1769" s="2">
        <v>7</v>
      </c>
      <c r="G1769" s="2" t="s">
        <v>1399</v>
      </c>
      <c r="H1769" s="2" t="s">
        <v>1400</v>
      </c>
      <c r="I1769" s="4" t="s">
        <v>62</v>
      </c>
      <c r="J1769" s="112">
        <f>IF($H1769&lt;&gt;"Y",0,ROUND(MIN(Dashboard!$R$24,IF(IFERROR(VLOOKUP($B1769,Dashboard!$Q$28:$S$60,2,FALSE),0)&gt;0,IFERROR(VLOOKUP($B1769,Dashboard!$Q$28:$S$60,2,FALSE),0),$Z1769*IF($U1769&lt;&gt;"",ROUND((Dashboard!$R$4/$U1769)*VLOOKUP($I1769,Dashboard!$Q$9:$R$13,2,FALSE)*IF(ISNUMBER(SEARCH("Duals",$B1769)),2,IF(ISNUMBER(SEARCH("Triples",$B1769)),3,IF(ISNUMBER(SEARCH("Quads",$B1769)),4,1))),2),ROUND(VLOOKUP($I1769,Dashboard!$Q$15:$R$20,2,FALSE)*IF($E1769="Red",Dashboard!$R$6,IF($E1769="Gold",Dashboard!$R$7,Dashboard!$R$5))*IF(ISNUMBER(SEARCH("Duals",$B1769)),2,IF(ISNUMBER(SEARCH("Triples",$B1769)),3,IF(ISNUMBER(SEARCH("Quads",$B1769)),4,1))),2))*IF(IFERROR(VLOOKUP($B1769,Dashboard!$Q$28:$S$60,3,FALSE),0)&gt;0,VLOOKUP($B1769,Dashboard!$Q$28:$S$60,3,FALSE),1))),0))</f>
        <v>134</v>
      </c>
      <c r="K1769" s="2" t="str">
        <f>IF('Inserts - Story'!E4="","",'Inserts - Story'!E4)</f>
        <v xml:space="preserve"> C '7/7</v>
      </c>
      <c r="L1769" s="2">
        <f t="shared" si="351"/>
        <v>1</v>
      </c>
      <c r="M1769" s="2">
        <f t="shared" si="352"/>
        <v>0</v>
      </c>
      <c r="N1769" s="2">
        <f t="shared" si="353"/>
        <v>1</v>
      </c>
      <c r="O1769" s="2">
        <f t="shared" si="354"/>
        <v>0</v>
      </c>
      <c r="P1769" s="112">
        <f t="shared" si="355"/>
        <v>134</v>
      </c>
      <c r="Q1769" s="112">
        <f t="shared" si="356"/>
        <v>0</v>
      </c>
      <c r="R1769" s="53"/>
      <c r="S1769" s="53" t="str">
        <f t="shared" si="357"/>
        <v>Inserts - Story|Behind The Boys Gold Parallel|BB-3|Gold</v>
      </c>
      <c r="T1769" s="57" t="str">
        <f>IF($S1769="","",IFERROR(VLOOKUP($S1769,'Pop Estimates (Non-#d)'!$N$2:$O$500,2,FALSE),""))</f>
        <v/>
      </c>
      <c r="U1769" s="57">
        <f t="shared" si="358"/>
        <v>7</v>
      </c>
      <c r="V1769" s="53" t="str">
        <f t="shared" si="359"/>
        <v/>
      </c>
      <c r="W1769" s="53" t="str">
        <f t="shared" si="360"/>
        <v/>
      </c>
      <c r="X1769" s="53" t="str">
        <f t="shared" si="361"/>
        <v/>
      </c>
      <c r="Y1769" s="57" t="str">
        <f>IF($X1769="","",IFERROR(VLOOKUP($X1769,'Char Popularity'!$A$2:$C$500,2,FALSE),""))</f>
        <v/>
      </c>
      <c r="Z1769" s="56">
        <f>IF($X1769="",1,IFERROR(VLOOKUP($X1769,'Char Popularity'!$A$2:$C$500,3,FALSE),1))</f>
        <v>1</v>
      </c>
      <c r="AA1769" s="62">
        <f>IF($H1769&lt;&gt;"Y",0,(IF($F1769&lt;&gt;"",ROUND(Dashboard!$R$4/$F1769,1),IF(AND($I1769="Base",$E1769="Base"),Dashboard!$R$5,IF(AND($I1769="Base",$E1769="Red"),Dashboard!$R$6,IF(AND($I1769="Base",$E1769="Gold"),Dashboard!$R$7,VLOOKUP($I1769,Dashboard!$Q$16:$R$21,2,FALSE)))))*VLOOKUP($I1769,Dashboard!$Q$9:$R$13,2,FALSE)*IF(AND($I1769="Auto",$F1769="",OR($B1769="Autographs Duals",$B1769="Autographs Triples",$B1769="Autographs Quads",$B1769="Autographs Quads (Inscribed)")),IF($B1769="Autographs Duals",2,IF($B1769="Autographs Triples",3,4)),1)))</f>
        <v>171.48</v>
      </c>
      <c r="AB1769" s="62">
        <f t="shared" si="362"/>
        <v>171.48</v>
      </c>
      <c r="AC1769" s="62">
        <f t="shared" si="363"/>
        <v>0</v>
      </c>
    </row>
    <row r="1770" spans="1:29" ht="42.95" customHeight="1" x14ac:dyDescent="0.25">
      <c r="A1770" s="4" t="s">
        <v>23</v>
      </c>
      <c r="B1770" s="7" t="s">
        <v>104</v>
      </c>
      <c r="C1770" s="2" t="s">
        <v>698</v>
      </c>
      <c r="D1770" s="7" t="s">
        <v>689</v>
      </c>
      <c r="E1770" s="4" t="s">
        <v>1602</v>
      </c>
      <c r="F1770" s="2">
        <v>7</v>
      </c>
      <c r="G1770" s="2" t="s">
        <v>1399</v>
      </c>
      <c r="H1770" s="2" t="s">
        <v>1400</v>
      </c>
      <c r="I1770" s="4" t="s">
        <v>62</v>
      </c>
      <c r="J1770" s="112">
        <f>IF($H1770&lt;&gt;"Y",0,ROUND(MIN(Dashboard!$R$24,IF(IFERROR(VLOOKUP($B1770,Dashboard!$Q$28:$S$60,2,FALSE),0)&gt;0,IFERROR(VLOOKUP($B1770,Dashboard!$Q$28:$S$60,2,FALSE),0),$Z1770*IF($U1770&lt;&gt;"",ROUND((Dashboard!$R$4/$U1770)*VLOOKUP($I1770,Dashboard!$Q$9:$R$13,2,FALSE)*IF(ISNUMBER(SEARCH("Duals",$B1770)),2,IF(ISNUMBER(SEARCH("Triples",$B1770)),3,IF(ISNUMBER(SEARCH("Quads",$B1770)),4,1))),2),ROUND(VLOOKUP($I1770,Dashboard!$Q$15:$R$20,2,FALSE)*IF($E1770="Red",Dashboard!$R$6,IF($E1770="Gold",Dashboard!$R$7,Dashboard!$R$5))*IF(ISNUMBER(SEARCH("Duals",$B1770)),2,IF(ISNUMBER(SEARCH("Triples",$B1770)),3,IF(ISNUMBER(SEARCH("Quads",$B1770)),4,1))),2))*IF(IFERROR(VLOOKUP($B1770,Dashboard!$Q$28:$S$60,3,FALSE),0)&gt;0,VLOOKUP($B1770,Dashboard!$Q$28:$S$60,3,FALSE),1))),0))</f>
        <v>134</v>
      </c>
      <c r="K1770" s="2" t="str">
        <f>IF('Inserts - Story'!E5="","",'Inserts - Story'!E5)</f>
        <v/>
      </c>
      <c r="L1770" s="2">
        <f t="shared" si="351"/>
        <v>0</v>
      </c>
      <c r="M1770" s="2">
        <f t="shared" si="352"/>
        <v>0</v>
      </c>
      <c r="N1770" s="2">
        <f t="shared" si="353"/>
        <v>0</v>
      </c>
      <c r="O1770" s="2">
        <f t="shared" si="354"/>
        <v>1</v>
      </c>
      <c r="P1770" s="112">
        <f t="shared" si="355"/>
        <v>0</v>
      </c>
      <c r="Q1770" s="112">
        <f t="shared" si="356"/>
        <v>0</v>
      </c>
      <c r="R1770" s="53"/>
      <c r="S1770" s="53" t="str">
        <f t="shared" si="357"/>
        <v>Inserts - Story|Behind The Boys Gold Parallel|BB-4|Gold</v>
      </c>
      <c r="T1770" s="57" t="str">
        <f>IF($S1770="","",IFERROR(VLOOKUP($S1770,'Pop Estimates (Non-#d)'!$N$2:$O$500,2,FALSE),""))</f>
        <v/>
      </c>
      <c r="U1770" s="57">
        <f t="shared" si="358"/>
        <v>7</v>
      </c>
      <c r="V1770" s="53" t="str">
        <f t="shared" si="359"/>
        <v/>
      </c>
      <c r="W1770" s="53" t="str">
        <f t="shared" si="360"/>
        <v/>
      </c>
      <c r="X1770" s="53" t="str">
        <f t="shared" si="361"/>
        <v/>
      </c>
      <c r="Y1770" s="57" t="str">
        <f>IF($X1770="","",IFERROR(VLOOKUP($X1770,'Char Popularity'!$A$2:$C$500,2,FALSE),""))</f>
        <v/>
      </c>
      <c r="Z1770" s="56">
        <f>IF($X1770="",1,IFERROR(VLOOKUP($X1770,'Char Popularity'!$A$2:$C$500,3,FALSE),1))</f>
        <v>1</v>
      </c>
      <c r="AA1770" s="62">
        <f>IF($H1770&lt;&gt;"Y",0,(IF($F1770&lt;&gt;"",ROUND(Dashboard!$R$4/$F1770,1),IF(AND($I1770="Base",$E1770="Base"),Dashboard!$R$5,IF(AND($I1770="Base",$E1770="Red"),Dashboard!$R$6,IF(AND($I1770="Base",$E1770="Gold"),Dashboard!$R$7,VLOOKUP($I1770,Dashboard!$Q$16:$R$21,2,FALSE)))))*VLOOKUP($I1770,Dashboard!$Q$9:$R$13,2,FALSE)*IF(AND($I1770="Auto",$F1770="",OR($B1770="Autographs Duals",$B1770="Autographs Triples",$B1770="Autographs Quads",$B1770="Autographs Quads (Inscribed)")),IF($B1770="Autographs Duals",2,IF($B1770="Autographs Triples",3,4)),1)))</f>
        <v>171.48</v>
      </c>
      <c r="AB1770" s="62">
        <f t="shared" si="362"/>
        <v>0</v>
      </c>
      <c r="AC1770" s="62">
        <f t="shared" si="363"/>
        <v>0</v>
      </c>
    </row>
    <row r="1771" spans="1:29" ht="42.95" customHeight="1" x14ac:dyDescent="0.25">
      <c r="A1771" s="4" t="s">
        <v>23</v>
      </c>
      <c r="B1771" s="7" t="s">
        <v>104</v>
      </c>
      <c r="C1771" s="2" t="s">
        <v>699</v>
      </c>
      <c r="D1771" s="7" t="s">
        <v>687</v>
      </c>
      <c r="E1771" s="4" t="s">
        <v>1602</v>
      </c>
      <c r="F1771" s="2">
        <v>7</v>
      </c>
      <c r="G1771" s="2" t="s">
        <v>1399</v>
      </c>
      <c r="H1771" s="2" t="s">
        <v>1400</v>
      </c>
      <c r="I1771" s="4" t="s">
        <v>62</v>
      </c>
      <c r="J1771" s="112">
        <f>IF($H1771&lt;&gt;"Y",0,ROUND(MIN(Dashboard!$R$24,IF(IFERROR(VLOOKUP($B1771,Dashboard!$Q$28:$S$60,2,FALSE),0)&gt;0,IFERROR(VLOOKUP($B1771,Dashboard!$Q$28:$S$60,2,FALSE),0),$Z1771*IF($U1771&lt;&gt;"",ROUND((Dashboard!$R$4/$U1771)*VLOOKUP($I1771,Dashboard!$Q$9:$R$13,2,FALSE)*IF(ISNUMBER(SEARCH("Duals",$B1771)),2,IF(ISNUMBER(SEARCH("Triples",$B1771)),3,IF(ISNUMBER(SEARCH("Quads",$B1771)),4,1))),2),ROUND(VLOOKUP($I1771,Dashboard!$Q$15:$R$20,2,FALSE)*IF($E1771="Red",Dashboard!$R$6,IF($E1771="Gold",Dashboard!$R$7,Dashboard!$R$5))*IF(ISNUMBER(SEARCH("Duals",$B1771)),2,IF(ISNUMBER(SEARCH("Triples",$B1771)),3,IF(ISNUMBER(SEARCH("Quads",$B1771)),4,1))),2))*IF(IFERROR(VLOOKUP($B1771,Dashboard!$Q$28:$S$60,3,FALSE),0)&gt;0,VLOOKUP($B1771,Dashboard!$Q$28:$S$60,3,FALSE),1))),0))</f>
        <v>134</v>
      </c>
      <c r="K1771" s="2" t="str">
        <f>IF('Inserts - Story'!E6="","",'Inserts - Story'!E6)</f>
        <v/>
      </c>
      <c r="L1771" s="2">
        <f t="shared" si="351"/>
        <v>0</v>
      </c>
      <c r="M1771" s="2">
        <f t="shared" si="352"/>
        <v>0</v>
      </c>
      <c r="N1771" s="2">
        <f t="shared" si="353"/>
        <v>0</v>
      </c>
      <c r="O1771" s="2">
        <f t="shared" si="354"/>
        <v>1</v>
      </c>
      <c r="P1771" s="112">
        <f t="shared" si="355"/>
        <v>0</v>
      </c>
      <c r="Q1771" s="112">
        <f t="shared" si="356"/>
        <v>0</v>
      </c>
      <c r="R1771" s="53"/>
      <c r="S1771" s="53" t="str">
        <f t="shared" si="357"/>
        <v>Inserts - Story|Behind The Boys Gold Parallel|BB-5|Gold</v>
      </c>
      <c r="T1771" s="57" t="str">
        <f>IF($S1771="","",IFERROR(VLOOKUP($S1771,'Pop Estimates (Non-#d)'!$N$2:$O$500,2,FALSE),""))</f>
        <v/>
      </c>
      <c r="U1771" s="57">
        <f t="shared" si="358"/>
        <v>7</v>
      </c>
      <c r="V1771" s="53" t="str">
        <f t="shared" si="359"/>
        <v/>
      </c>
      <c r="W1771" s="53" t="str">
        <f t="shared" si="360"/>
        <v/>
      </c>
      <c r="X1771" s="53" t="str">
        <f t="shared" si="361"/>
        <v/>
      </c>
      <c r="Y1771" s="57" t="str">
        <f>IF($X1771="","",IFERROR(VLOOKUP($X1771,'Char Popularity'!$A$2:$C$500,2,FALSE),""))</f>
        <v/>
      </c>
      <c r="Z1771" s="56">
        <f>IF($X1771="",1,IFERROR(VLOOKUP($X1771,'Char Popularity'!$A$2:$C$500,3,FALSE),1))</f>
        <v>1</v>
      </c>
      <c r="AA1771" s="62">
        <f>IF($H1771&lt;&gt;"Y",0,(IF($F1771&lt;&gt;"",ROUND(Dashboard!$R$4/$F1771,1),IF(AND($I1771="Base",$E1771="Base"),Dashboard!$R$5,IF(AND($I1771="Base",$E1771="Red"),Dashboard!$R$6,IF(AND($I1771="Base",$E1771="Gold"),Dashboard!$R$7,VLOOKUP($I1771,Dashboard!$Q$16:$R$21,2,FALSE)))))*VLOOKUP($I1771,Dashboard!$Q$9:$R$13,2,FALSE)*IF(AND($I1771="Auto",$F1771="",OR($B1771="Autographs Duals",$B1771="Autographs Triples",$B1771="Autographs Quads",$B1771="Autographs Quads (Inscribed)")),IF($B1771="Autographs Duals",2,IF($B1771="Autographs Triples",3,4)),1)))</f>
        <v>171.48</v>
      </c>
      <c r="AB1771" s="62">
        <f t="shared" si="362"/>
        <v>0</v>
      </c>
      <c r="AC1771" s="62">
        <f t="shared" si="363"/>
        <v>0</v>
      </c>
    </row>
    <row r="1772" spans="1:29" ht="42.95" customHeight="1" x14ac:dyDescent="0.25">
      <c r="A1772" s="4" t="s">
        <v>23</v>
      </c>
      <c r="B1772" s="7" t="s">
        <v>104</v>
      </c>
      <c r="C1772" s="2" t="s">
        <v>700</v>
      </c>
      <c r="D1772" s="7" t="s">
        <v>701</v>
      </c>
      <c r="E1772" s="4" t="s">
        <v>1602</v>
      </c>
      <c r="F1772" s="2">
        <v>7</v>
      </c>
      <c r="G1772" s="2" t="s">
        <v>1399</v>
      </c>
      <c r="H1772" s="2" t="s">
        <v>1400</v>
      </c>
      <c r="I1772" s="4" t="s">
        <v>62</v>
      </c>
      <c r="J1772" s="112">
        <f>IF($H1772&lt;&gt;"Y",0,ROUND(MIN(Dashboard!$R$24,IF(IFERROR(VLOOKUP($B1772,Dashboard!$Q$28:$S$60,2,FALSE),0)&gt;0,IFERROR(VLOOKUP($B1772,Dashboard!$Q$28:$S$60,2,FALSE),0),$Z1772*IF($U1772&lt;&gt;"",ROUND((Dashboard!$R$4/$U1772)*VLOOKUP($I1772,Dashboard!$Q$9:$R$13,2,FALSE)*IF(ISNUMBER(SEARCH("Duals",$B1772)),2,IF(ISNUMBER(SEARCH("Triples",$B1772)),3,IF(ISNUMBER(SEARCH("Quads",$B1772)),4,1))),2),ROUND(VLOOKUP($I1772,Dashboard!$Q$15:$R$20,2,FALSE)*IF($E1772="Red",Dashboard!$R$6,IF($E1772="Gold",Dashboard!$R$7,Dashboard!$R$5))*IF(ISNUMBER(SEARCH("Duals",$B1772)),2,IF(ISNUMBER(SEARCH("Triples",$B1772)),3,IF(ISNUMBER(SEARCH("Quads",$B1772)),4,1))),2))*IF(IFERROR(VLOOKUP($B1772,Dashboard!$Q$28:$S$60,3,FALSE),0)&gt;0,VLOOKUP($B1772,Dashboard!$Q$28:$S$60,3,FALSE),1))),0))</f>
        <v>134</v>
      </c>
      <c r="K1772" s="2" t="str">
        <f>IF('Inserts - Story'!E7="","",'Inserts - Story'!E7)</f>
        <v/>
      </c>
      <c r="L1772" s="2">
        <f t="shared" si="351"/>
        <v>0</v>
      </c>
      <c r="M1772" s="2">
        <f t="shared" si="352"/>
        <v>0</v>
      </c>
      <c r="N1772" s="2">
        <f t="shared" si="353"/>
        <v>0</v>
      </c>
      <c r="O1772" s="2">
        <f t="shared" si="354"/>
        <v>1</v>
      </c>
      <c r="P1772" s="112">
        <f t="shared" si="355"/>
        <v>0</v>
      </c>
      <c r="Q1772" s="112">
        <f t="shared" si="356"/>
        <v>0</v>
      </c>
      <c r="R1772" s="53"/>
      <c r="S1772" s="53" t="str">
        <f t="shared" si="357"/>
        <v>Inserts - Story|Behind The Boys Gold Parallel|BB-6|Gold</v>
      </c>
      <c r="T1772" s="57" t="str">
        <f>IF($S1772="","",IFERROR(VLOOKUP($S1772,'Pop Estimates (Non-#d)'!$N$2:$O$500,2,FALSE),""))</f>
        <v/>
      </c>
      <c r="U1772" s="57">
        <f t="shared" si="358"/>
        <v>7</v>
      </c>
      <c r="V1772" s="53" t="str">
        <f t="shared" si="359"/>
        <v/>
      </c>
      <c r="W1772" s="53" t="str">
        <f t="shared" si="360"/>
        <v/>
      </c>
      <c r="X1772" s="53" t="str">
        <f t="shared" si="361"/>
        <v/>
      </c>
      <c r="Y1772" s="57" t="str">
        <f>IF($X1772="","",IFERROR(VLOOKUP($X1772,'Char Popularity'!$A$2:$C$500,2,FALSE),""))</f>
        <v/>
      </c>
      <c r="Z1772" s="56">
        <f>IF($X1772="",1,IFERROR(VLOOKUP($X1772,'Char Popularity'!$A$2:$C$500,3,FALSE),1))</f>
        <v>1</v>
      </c>
      <c r="AA1772" s="62">
        <f>IF($H1772&lt;&gt;"Y",0,(IF($F1772&lt;&gt;"",ROUND(Dashboard!$R$4/$F1772,1),IF(AND($I1772="Base",$E1772="Base"),Dashboard!$R$5,IF(AND($I1772="Base",$E1772="Red"),Dashboard!$R$6,IF(AND($I1772="Base",$E1772="Gold"),Dashboard!$R$7,VLOOKUP($I1772,Dashboard!$Q$16:$R$21,2,FALSE)))))*VLOOKUP($I1772,Dashboard!$Q$9:$R$13,2,FALSE)*IF(AND($I1772="Auto",$F1772="",OR($B1772="Autographs Duals",$B1772="Autographs Triples",$B1772="Autographs Quads",$B1772="Autographs Quads (Inscribed)")),IF($B1772="Autographs Duals",2,IF($B1772="Autographs Triples",3,4)),1)))</f>
        <v>171.48</v>
      </c>
      <c r="AB1772" s="62">
        <f t="shared" si="362"/>
        <v>0</v>
      </c>
      <c r="AC1772" s="62">
        <f t="shared" si="363"/>
        <v>0</v>
      </c>
    </row>
    <row r="1773" spans="1:29" ht="42.95" customHeight="1" x14ac:dyDescent="0.25">
      <c r="A1773" s="4" t="s">
        <v>23</v>
      </c>
      <c r="B1773" s="7" t="s">
        <v>104</v>
      </c>
      <c r="C1773" s="2" t="s">
        <v>702</v>
      </c>
      <c r="D1773" s="7" t="s">
        <v>703</v>
      </c>
      <c r="E1773" s="4" t="s">
        <v>1602</v>
      </c>
      <c r="F1773" s="2">
        <v>7</v>
      </c>
      <c r="G1773" s="2" t="s">
        <v>1399</v>
      </c>
      <c r="H1773" s="2" t="s">
        <v>1400</v>
      </c>
      <c r="I1773" s="4" t="s">
        <v>62</v>
      </c>
      <c r="J1773" s="112">
        <f>IF($H1773&lt;&gt;"Y",0,ROUND(MIN(Dashboard!$R$24,IF(IFERROR(VLOOKUP($B1773,Dashboard!$Q$28:$S$60,2,FALSE),0)&gt;0,IFERROR(VLOOKUP($B1773,Dashboard!$Q$28:$S$60,2,FALSE),0),$Z1773*IF($U1773&lt;&gt;"",ROUND((Dashboard!$R$4/$U1773)*VLOOKUP($I1773,Dashboard!$Q$9:$R$13,2,FALSE)*IF(ISNUMBER(SEARCH("Duals",$B1773)),2,IF(ISNUMBER(SEARCH("Triples",$B1773)),3,IF(ISNUMBER(SEARCH("Quads",$B1773)),4,1))),2),ROUND(VLOOKUP($I1773,Dashboard!$Q$15:$R$20,2,FALSE)*IF($E1773="Red",Dashboard!$R$6,IF($E1773="Gold",Dashboard!$R$7,Dashboard!$R$5))*IF(ISNUMBER(SEARCH("Duals",$B1773)),2,IF(ISNUMBER(SEARCH("Triples",$B1773)),3,IF(ISNUMBER(SEARCH("Quads",$B1773)),4,1))),2))*IF(IFERROR(VLOOKUP($B1773,Dashboard!$Q$28:$S$60,3,FALSE),0)&gt;0,VLOOKUP($B1773,Dashboard!$Q$28:$S$60,3,FALSE),1))),0))</f>
        <v>134</v>
      </c>
      <c r="K1773" s="2" t="str">
        <f>IF('Inserts - Story'!E8="","",'Inserts - Story'!E8)</f>
        <v/>
      </c>
      <c r="L1773" s="2">
        <f t="shared" si="351"/>
        <v>0</v>
      </c>
      <c r="M1773" s="2">
        <f t="shared" si="352"/>
        <v>0</v>
      </c>
      <c r="N1773" s="2">
        <f t="shared" si="353"/>
        <v>0</v>
      </c>
      <c r="O1773" s="2">
        <f t="shared" si="354"/>
        <v>1</v>
      </c>
      <c r="P1773" s="112">
        <f t="shared" si="355"/>
        <v>0</v>
      </c>
      <c r="Q1773" s="112">
        <f t="shared" si="356"/>
        <v>0</v>
      </c>
      <c r="R1773" s="53"/>
      <c r="S1773" s="53" t="str">
        <f t="shared" si="357"/>
        <v>Inserts - Story|Behind The Boys Gold Parallel|BB-7|Gold</v>
      </c>
      <c r="T1773" s="57" t="str">
        <f>IF($S1773="","",IFERROR(VLOOKUP($S1773,'Pop Estimates (Non-#d)'!$N$2:$O$500,2,FALSE),""))</f>
        <v/>
      </c>
      <c r="U1773" s="57">
        <f t="shared" si="358"/>
        <v>7</v>
      </c>
      <c r="V1773" s="53" t="str">
        <f t="shared" si="359"/>
        <v/>
      </c>
      <c r="W1773" s="53" t="str">
        <f t="shared" si="360"/>
        <v/>
      </c>
      <c r="X1773" s="53" t="str">
        <f t="shared" si="361"/>
        <v/>
      </c>
      <c r="Y1773" s="57" t="str">
        <f>IF($X1773="","",IFERROR(VLOOKUP($X1773,'Char Popularity'!$A$2:$C$500,2,FALSE),""))</f>
        <v/>
      </c>
      <c r="Z1773" s="56">
        <f>IF($X1773="",1,IFERROR(VLOOKUP($X1773,'Char Popularity'!$A$2:$C$500,3,FALSE),1))</f>
        <v>1</v>
      </c>
      <c r="AA1773" s="62">
        <f>IF($H1773&lt;&gt;"Y",0,(IF($F1773&lt;&gt;"",ROUND(Dashboard!$R$4/$F1773,1),IF(AND($I1773="Base",$E1773="Base"),Dashboard!$R$5,IF(AND($I1773="Base",$E1773="Red"),Dashboard!$R$6,IF(AND($I1773="Base",$E1773="Gold"),Dashboard!$R$7,VLOOKUP($I1773,Dashboard!$Q$16:$R$21,2,FALSE)))))*VLOOKUP($I1773,Dashboard!$Q$9:$R$13,2,FALSE)*IF(AND($I1773="Auto",$F1773="",OR($B1773="Autographs Duals",$B1773="Autographs Triples",$B1773="Autographs Quads",$B1773="Autographs Quads (Inscribed)")),IF($B1773="Autographs Duals",2,IF($B1773="Autographs Triples",3,4)),1)))</f>
        <v>171.48</v>
      </c>
      <c r="AB1773" s="62">
        <f t="shared" si="362"/>
        <v>0</v>
      </c>
      <c r="AC1773" s="62">
        <f t="shared" si="363"/>
        <v>0</v>
      </c>
    </row>
    <row r="1774" spans="1:29" ht="42.95" customHeight="1" x14ac:dyDescent="0.25">
      <c r="A1774" s="4" t="s">
        <v>23</v>
      </c>
      <c r="B1774" s="7" t="s">
        <v>104</v>
      </c>
      <c r="C1774" s="2" t="s">
        <v>704</v>
      </c>
      <c r="D1774" s="7" t="s">
        <v>705</v>
      </c>
      <c r="E1774" s="4" t="s">
        <v>1602</v>
      </c>
      <c r="F1774" s="2">
        <v>7</v>
      </c>
      <c r="G1774" s="2" t="s">
        <v>1399</v>
      </c>
      <c r="H1774" s="2" t="s">
        <v>1400</v>
      </c>
      <c r="I1774" s="4" t="s">
        <v>62</v>
      </c>
      <c r="J1774" s="112">
        <f>IF($H1774&lt;&gt;"Y",0,ROUND(MIN(Dashboard!$R$24,IF(IFERROR(VLOOKUP($B1774,Dashboard!$Q$28:$S$60,2,FALSE),0)&gt;0,IFERROR(VLOOKUP($B1774,Dashboard!$Q$28:$S$60,2,FALSE),0),$Z1774*IF($U1774&lt;&gt;"",ROUND((Dashboard!$R$4/$U1774)*VLOOKUP($I1774,Dashboard!$Q$9:$R$13,2,FALSE)*IF(ISNUMBER(SEARCH("Duals",$B1774)),2,IF(ISNUMBER(SEARCH("Triples",$B1774)),3,IF(ISNUMBER(SEARCH("Quads",$B1774)),4,1))),2),ROUND(VLOOKUP($I1774,Dashboard!$Q$15:$R$20,2,FALSE)*IF($E1774="Red",Dashboard!$R$6,IF($E1774="Gold",Dashboard!$R$7,Dashboard!$R$5))*IF(ISNUMBER(SEARCH("Duals",$B1774)),2,IF(ISNUMBER(SEARCH("Triples",$B1774)),3,IF(ISNUMBER(SEARCH("Quads",$B1774)),4,1))),2))*IF(IFERROR(VLOOKUP($B1774,Dashboard!$Q$28:$S$60,3,FALSE),0)&gt;0,VLOOKUP($B1774,Dashboard!$Q$28:$S$60,3,FALSE),1))),0))</f>
        <v>134</v>
      </c>
      <c r="K1774" s="2" t="str">
        <f>IF('Inserts - Story'!E9="","",'Inserts - Story'!E9)</f>
        <v/>
      </c>
      <c r="L1774" s="2">
        <f t="shared" si="351"/>
        <v>0</v>
      </c>
      <c r="M1774" s="2">
        <f t="shared" si="352"/>
        <v>0</v>
      </c>
      <c r="N1774" s="2">
        <f t="shared" si="353"/>
        <v>0</v>
      </c>
      <c r="O1774" s="2">
        <f t="shared" si="354"/>
        <v>1</v>
      </c>
      <c r="P1774" s="112">
        <f t="shared" si="355"/>
        <v>0</v>
      </c>
      <c r="Q1774" s="112">
        <f t="shared" si="356"/>
        <v>0</v>
      </c>
      <c r="R1774" s="53"/>
      <c r="S1774" s="53" t="str">
        <f t="shared" si="357"/>
        <v>Inserts - Story|Behind The Boys Gold Parallel|BB-8|Gold</v>
      </c>
      <c r="T1774" s="57" t="str">
        <f>IF($S1774="","",IFERROR(VLOOKUP($S1774,'Pop Estimates (Non-#d)'!$N$2:$O$500,2,FALSE),""))</f>
        <v/>
      </c>
      <c r="U1774" s="57">
        <f t="shared" si="358"/>
        <v>7</v>
      </c>
      <c r="V1774" s="53" t="str">
        <f t="shared" si="359"/>
        <v/>
      </c>
      <c r="W1774" s="53" t="str">
        <f t="shared" si="360"/>
        <v/>
      </c>
      <c r="X1774" s="53" t="str">
        <f t="shared" si="361"/>
        <v/>
      </c>
      <c r="Y1774" s="57" t="str">
        <f>IF($X1774="","",IFERROR(VLOOKUP($X1774,'Char Popularity'!$A$2:$C$500,2,FALSE),""))</f>
        <v/>
      </c>
      <c r="Z1774" s="56">
        <f>IF($X1774="",1,IFERROR(VLOOKUP($X1774,'Char Popularity'!$A$2:$C$500,3,FALSE),1))</f>
        <v>1</v>
      </c>
      <c r="AA1774" s="62">
        <f>IF($H1774&lt;&gt;"Y",0,(IF($F1774&lt;&gt;"",ROUND(Dashboard!$R$4/$F1774,1),IF(AND($I1774="Base",$E1774="Base"),Dashboard!$R$5,IF(AND($I1774="Base",$E1774="Red"),Dashboard!$R$6,IF(AND($I1774="Base",$E1774="Gold"),Dashboard!$R$7,VLOOKUP($I1774,Dashboard!$Q$16:$R$21,2,FALSE)))))*VLOOKUP($I1774,Dashboard!$Q$9:$R$13,2,FALSE)*IF(AND($I1774="Auto",$F1774="",OR($B1774="Autographs Duals",$B1774="Autographs Triples",$B1774="Autographs Quads",$B1774="Autographs Quads (Inscribed)")),IF($B1774="Autographs Duals",2,IF($B1774="Autographs Triples",3,4)),1)))</f>
        <v>171.48</v>
      </c>
      <c r="AB1774" s="62">
        <f t="shared" si="362"/>
        <v>0</v>
      </c>
      <c r="AC1774" s="62">
        <f t="shared" si="363"/>
        <v>0</v>
      </c>
    </row>
    <row r="1775" spans="1:29" ht="42.95" customHeight="1" x14ac:dyDescent="0.25">
      <c r="A1775" s="4" t="s">
        <v>23</v>
      </c>
      <c r="B1775" s="7" t="s">
        <v>104</v>
      </c>
      <c r="C1775" s="2" t="s">
        <v>706</v>
      </c>
      <c r="D1775" s="7" t="s">
        <v>707</v>
      </c>
      <c r="E1775" s="4" t="s">
        <v>1602</v>
      </c>
      <c r="F1775" s="2">
        <v>7</v>
      </c>
      <c r="G1775" s="2" t="s">
        <v>1399</v>
      </c>
      <c r="H1775" s="2" t="s">
        <v>1400</v>
      </c>
      <c r="I1775" s="4" t="s">
        <v>62</v>
      </c>
      <c r="J1775" s="112">
        <f>IF($H1775&lt;&gt;"Y",0,ROUND(MIN(Dashboard!$R$24,IF(IFERROR(VLOOKUP($B1775,Dashboard!$Q$28:$S$60,2,FALSE),0)&gt;0,IFERROR(VLOOKUP($B1775,Dashboard!$Q$28:$S$60,2,FALSE),0),$Z1775*IF($U1775&lt;&gt;"",ROUND((Dashboard!$R$4/$U1775)*VLOOKUP($I1775,Dashboard!$Q$9:$R$13,2,FALSE)*IF(ISNUMBER(SEARCH("Duals",$B1775)),2,IF(ISNUMBER(SEARCH("Triples",$B1775)),3,IF(ISNUMBER(SEARCH("Quads",$B1775)),4,1))),2),ROUND(VLOOKUP($I1775,Dashboard!$Q$15:$R$20,2,FALSE)*IF($E1775="Red",Dashboard!$R$6,IF($E1775="Gold",Dashboard!$R$7,Dashboard!$R$5))*IF(ISNUMBER(SEARCH("Duals",$B1775)),2,IF(ISNUMBER(SEARCH("Triples",$B1775)),3,IF(ISNUMBER(SEARCH("Quads",$B1775)),4,1))),2))*IF(IFERROR(VLOOKUP($B1775,Dashboard!$Q$28:$S$60,3,FALSE),0)&gt;0,VLOOKUP($B1775,Dashboard!$Q$28:$S$60,3,FALSE),1))),0))</f>
        <v>134</v>
      </c>
      <c r="K1775" s="2" t="str">
        <f>IF('Inserts - Story'!E10="","",'Inserts - Story'!E10)</f>
        <v/>
      </c>
      <c r="L1775" s="2">
        <f t="shared" si="351"/>
        <v>0</v>
      </c>
      <c r="M1775" s="2">
        <f t="shared" si="352"/>
        <v>0</v>
      </c>
      <c r="N1775" s="2">
        <f t="shared" si="353"/>
        <v>0</v>
      </c>
      <c r="O1775" s="2">
        <f t="shared" si="354"/>
        <v>1</v>
      </c>
      <c r="P1775" s="112">
        <f t="shared" si="355"/>
        <v>0</v>
      </c>
      <c r="Q1775" s="112">
        <f t="shared" si="356"/>
        <v>0</v>
      </c>
      <c r="R1775" s="53"/>
      <c r="S1775" s="53" t="str">
        <f t="shared" si="357"/>
        <v>Inserts - Story|Behind The Boys Gold Parallel|BB-9|Gold</v>
      </c>
      <c r="T1775" s="57" t="str">
        <f>IF($S1775="","",IFERROR(VLOOKUP($S1775,'Pop Estimates (Non-#d)'!$N$2:$O$500,2,FALSE),""))</f>
        <v/>
      </c>
      <c r="U1775" s="57">
        <f t="shared" si="358"/>
        <v>7</v>
      </c>
      <c r="V1775" s="53" t="str">
        <f t="shared" si="359"/>
        <v/>
      </c>
      <c r="W1775" s="53" t="str">
        <f t="shared" si="360"/>
        <v/>
      </c>
      <c r="X1775" s="53" t="str">
        <f t="shared" si="361"/>
        <v/>
      </c>
      <c r="Y1775" s="57" t="str">
        <f>IF($X1775="","",IFERROR(VLOOKUP($X1775,'Char Popularity'!$A$2:$C$500,2,FALSE),""))</f>
        <v/>
      </c>
      <c r="Z1775" s="56">
        <f>IF($X1775="",1,IFERROR(VLOOKUP($X1775,'Char Popularity'!$A$2:$C$500,3,FALSE),1))</f>
        <v>1</v>
      </c>
      <c r="AA1775" s="62">
        <f>IF($H1775&lt;&gt;"Y",0,(IF($F1775&lt;&gt;"",ROUND(Dashboard!$R$4/$F1775,1),IF(AND($I1775="Base",$E1775="Base"),Dashboard!$R$5,IF(AND($I1775="Base",$E1775="Red"),Dashboard!$R$6,IF(AND($I1775="Base",$E1775="Gold"),Dashboard!$R$7,VLOOKUP($I1775,Dashboard!$Q$16:$R$21,2,FALSE)))))*VLOOKUP($I1775,Dashboard!$Q$9:$R$13,2,FALSE)*IF(AND($I1775="Auto",$F1775="",OR($B1775="Autographs Duals",$B1775="Autographs Triples",$B1775="Autographs Quads",$B1775="Autographs Quads (Inscribed)")),IF($B1775="Autographs Duals",2,IF($B1775="Autographs Triples",3,4)),1)))</f>
        <v>171.48</v>
      </c>
      <c r="AB1775" s="62">
        <f t="shared" si="362"/>
        <v>0</v>
      </c>
      <c r="AC1775" s="62">
        <f t="shared" si="363"/>
        <v>0</v>
      </c>
    </row>
    <row r="1776" spans="1:29" ht="42.95" customHeight="1" x14ac:dyDescent="0.25">
      <c r="A1776" s="4" t="s">
        <v>23</v>
      </c>
      <c r="B1776" s="7" t="s">
        <v>104</v>
      </c>
      <c r="C1776" s="2" t="s">
        <v>682</v>
      </c>
      <c r="D1776" s="7" t="s">
        <v>683</v>
      </c>
      <c r="E1776" s="4" t="s">
        <v>1602</v>
      </c>
      <c r="F1776" s="2">
        <v>7</v>
      </c>
      <c r="G1776" s="2" t="s">
        <v>1399</v>
      </c>
      <c r="H1776" s="2" t="s">
        <v>1400</v>
      </c>
      <c r="I1776" s="4" t="s">
        <v>62</v>
      </c>
      <c r="J1776" s="112">
        <f>IF($H1776&lt;&gt;"Y",0,ROUND(MIN(Dashboard!$R$24,IF(IFERROR(VLOOKUP($B1776,Dashboard!$Q$28:$S$60,2,FALSE),0)&gt;0,IFERROR(VLOOKUP($B1776,Dashboard!$Q$28:$S$60,2,FALSE),0),$Z1776*IF($U1776&lt;&gt;"",ROUND((Dashboard!$R$4/$U1776)*VLOOKUP($I1776,Dashboard!$Q$9:$R$13,2,FALSE)*IF(ISNUMBER(SEARCH("Duals",$B1776)),2,IF(ISNUMBER(SEARCH("Triples",$B1776)),3,IF(ISNUMBER(SEARCH("Quads",$B1776)),4,1))),2),ROUND(VLOOKUP($I1776,Dashboard!$Q$15:$R$20,2,FALSE)*IF($E1776="Red",Dashboard!$R$6,IF($E1776="Gold",Dashboard!$R$7,Dashboard!$R$5))*IF(ISNUMBER(SEARCH("Duals",$B1776)),2,IF(ISNUMBER(SEARCH("Triples",$B1776)),3,IF(ISNUMBER(SEARCH("Quads",$B1776)),4,1))),2))*IF(IFERROR(VLOOKUP($B1776,Dashboard!$Q$28:$S$60,3,FALSE),0)&gt;0,VLOOKUP($B1776,Dashboard!$Q$28:$S$60,3,FALSE),1))),0))</f>
        <v>134</v>
      </c>
      <c r="K1776" s="2" t="str">
        <f>IF('Inserts - Story'!E11="","",'Inserts - Story'!E11)</f>
        <v/>
      </c>
      <c r="L1776" s="2">
        <f t="shared" si="351"/>
        <v>0</v>
      </c>
      <c r="M1776" s="2">
        <f t="shared" si="352"/>
        <v>0</v>
      </c>
      <c r="N1776" s="2">
        <f t="shared" si="353"/>
        <v>0</v>
      </c>
      <c r="O1776" s="2">
        <f t="shared" si="354"/>
        <v>1</v>
      </c>
      <c r="P1776" s="112">
        <f t="shared" si="355"/>
        <v>0</v>
      </c>
      <c r="Q1776" s="112">
        <f t="shared" si="356"/>
        <v>0</v>
      </c>
      <c r="R1776" s="53"/>
      <c r="S1776" s="53" t="str">
        <f t="shared" si="357"/>
        <v>Inserts - Story|Behind The Boys Gold Parallel|BB-10|Gold</v>
      </c>
      <c r="T1776" s="57" t="str">
        <f>IF($S1776="","",IFERROR(VLOOKUP($S1776,'Pop Estimates (Non-#d)'!$N$2:$O$500,2,FALSE),""))</f>
        <v/>
      </c>
      <c r="U1776" s="57">
        <f t="shared" si="358"/>
        <v>7</v>
      </c>
      <c r="V1776" s="53" t="str">
        <f t="shared" si="359"/>
        <v/>
      </c>
      <c r="W1776" s="53" t="str">
        <f t="shared" si="360"/>
        <v/>
      </c>
      <c r="X1776" s="53" t="str">
        <f t="shared" si="361"/>
        <v/>
      </c>
      <c r="Y1776" s="57" t="str">
        <f>IF($X1776="","",IFERROR(VLOOKUP($X1776,'Char Popularity'!$A$2:$C$500,2,FALSE),""))</f>
        <v/>
      </c>
      <c r="Z1776" s="56">
        <f>IF($X1776="",1,IFERROR(VLOOKUP($X1776,'Char Popularity'!$A$2:$C$500,3,FALSE),1))</f>
        <v>1</v>
      </c>
      <c r="AA1776" s="62">
        <f>IF($H1776&lt;&gt;"Y",0,(IF($F1776&lt;&gt;"",ROUND(Dashboard!$R$4/$F1776,1),IF(AND($I1776="Base",$E1776="Base"),Dashboard!$R$5,IF(AND($I1776="Base",$E1776="Red"),Dashboard!$R$6,IF(AND($I1776="Base",$E1776="Gold"),Dashboard!$R$7,VLOOKUP($I1776,Dashboard!$Q$16:$R$21,2,FALSE)))))*VLOOKUP($I1776,Dashboard!$Q$9:$R$13,2,FALSE)*IF(AND($I1776="Auto",$F1776="",OR($B1776="Autographs Duals",$B1776="Autographs Triples",$B1776="Autographs Quads",$B1776="Autographs Quads (Inscribed)")),IF($B1776="Autographs Duals",2,IF($B1776="Autographs Triples",3,4)),1)))</f>
        <v>171.48</v>
      </c>
      <c r="AB1776" s="62">
        <f t="shared" si="362"/>
        <v>0</v>
      </c>
      <c r="AC1776" s="62">
        <f t="shared" si="363"/>
        <v>0</v>
      </c>
    </row>
    <row r="1777" spans="1:29" ht="42.95" customHeight="1" x14ac:dyDescent="0.25">
      <c r="A1777" s="4" t="s">
        <v>23</v>
      </c>
      <c r="B1777" s="7" t="s">
        <v>104</v>
      </c>
      <c r="C1777" s="2" t="s">
        <v>684</v>
      </c>
      <c r="D1777" s="7" t="s">
        <v>685</v>
      </c>
      <c r="E1777" s="4" t="s">
        <v>1602</v>
      </c>
      <c r="F1777" s="2">
        <v>7</v>
      </c>
      <c r="G1777" s="2" t="s">
        <v>1399</v>
      </c>
      <c r="H1777" s="2" t="s">
        <v>1400</v>
      </c>
      <c r="I1777" s="4" t="s">
        <v>62</v>
      </c>
      <c r="J1777" s="112">
        <f>IF($H1777&lt;&gt;"Y",0,ROUND(MIN(Dashboard!$R$24,IF(IFERROR(VLOOKUP($B1777,Dashboard!$Q$28:$S$60,2,FALSE),0)&gt;0,IFERROR(VLOOKUP($B1777,Dashboard!$Q$28:$S$60,2,FALSE),0),$Z1777*IF($U1777&lt;&gt;"",ROUND((Dashboard!$R$4/$U1777)*VLOOKUP($I1777,Dashboard!$Q$9:$R$13,2,FALSE)*IF(ISNUMBER(SEARCH("Duals",$B1777)),2,IF(ISNUMBER(SEARCH("Triples",$B1777)),3,IF(ISNUMBER(SEARCH("Quads",$B1777)),4,1))),2),ROUND(VLOOKUP($I1777,Dashboard!$Q$15:$R$20,2,FALSE)*IF($E1777="Red",Dashboard!$R$6,IF($E1777="Gold",Dashboard!$R$7,Dashboard!$R$5))*IF(ISNUMBER(SEARCH("Duals",$B1777)),2,IF(ISNUMBER(SEARCH("Triples",$B1777)),3,IF(ISNUMBER(SEARCH("Quads",$B1777)),4,1))),2))*IF(IFERROR(VLOOKUP($B1777,Dashboard!$Q$28:$S$60,3,FALSE),0)&gt;0,VLOOKUP($B1777,Dashboard!$Q$28:$S$60,3,FALSE),1))),0))</f>
        <v>134</v>
      </c>
      <c r="K1777" s="2" t="str">
        <f>IF('Inserts - Story'!E12="","",'Inserts - Story'!E12)</f>
        <v/>
      </c>
      <c r="L1777" s="2">
        <f t="shared" si="351"/>
        <v>0</v>
      </c>
      <c r="M1777" s="2">
        <f t="shared" si="352"/>
        <v>0</v>
      </c>
      <c r="N1777" s="2">
        <f t="shared" si="353"/>
        <v>0</v>
      </c>
      <c r="O1777" s="2">
        <f t="shared" si="354"/>
        <v>1</v>
      </c>
      <c r="P1777" s="112">
        <f t="shared" si="355"/>
        <v>0</v>
      </c>
      <c r="Q1777" s="112">
        <f t="shared" si="356"/>
        <v>0</v>
      </c>
      <c r="R1777" s="53"/>
      <c r="S1777" s="53" t="str">
        <f t="shared" si="357"/>
        <v>Inserts - Story|Behind The Boys Gold Parallel|BB-11|Gold</v>
      </c>
      <c r="T1777" s="57" t="str">
        <f>IF($S1777="","",IFERROR(VLOOKUP($S1777,'Pop Estimates (Non-#d)'!$N$2:$O$500,2,FALSE),""))</f>
        <v/>
      </c>
      <c r="U1777" s="57">
        <f t="shared" si="358"/>
        <v>7</v>
      </c>
      <c r="V1777" s="53" t="str">
        <f t="shared" si="359"/>
        <v/>
      </c>
      <c r="W1777" s="53" t="str">
        <f t="shared" si="360"/>
        <v/>
      </c>
      <c r="X1777" s="53" t="str">
        <f t="shared" si="361"/>
        <v/>
      </c>
      <c r="Y1777" s="57" t="str">
        <f>IF($X1777="","",IFERROR(VLOOKUP($X1777,'Char Popularity'!$A$2:$C$500,2,FALSE),""))</f>
        <v/>
      </c>
      <c r="Z1777" s="56">
        <f>IF($X1777="",1,IFERROR(VLOOKUP($X1777,'Char Popularity'!$A$2:$C$500,3,FALSE),1))</f>
        <v>1</v>
      </c>
      <c r="AA1777" s="62">
        <f>IF($H1777&lt;&gt;"Y",0,(IF($F1777&lt;&gt;"",ROUND(Dashboard!$R$4/$F1777,1),IF(AND($I1777="Base",$E1777="Base"),Dashboard!$R$5,IF(AND($I1777="Base",$E1777="Red"),Dashboard!$R$6,IF(AND($I1777="Base",$E1777="Gold"),Dashboard!$R$7,VLOOKUP($I1777,Dashboard!$Q$16:$R$21,2,FALSE)))))*VLOOKUP($I1777,Dashboard!$Q$9:$R$13,2,FALSE)*IF(AND($I1777="Auto",$F1777="",OR($B1777="Autographs Duals",$B1777="Autographs Triples",$B1777="Autographs Quads",$B1777="Autographs Quads (Inscribed)")),IF($B1777="Autographs Duals",2,IF($B1777="Autographs Triples",3,4)),1)))</f>
        <v>171.48</v>
      </c>
      <c r="AB1777" s="62">
        <f t="shared" si="362"/>
        <v>0</v>
      </c>
      <c r="AC1777" s="62">
        <f t="shared" si="363"/>
        <v>0</v>
      </c>
    </row>
    <row r="1778" spans="1:29" ht="42.95" customHeight="1" x14ac:dyDescent="0.25">
      <c r="A1778" s="4" t="s">
        <v>23</v>
      </c>
      <c r="B1778" s="7" t="s">
        <v>104</v>
      </c>
      <c r="C1778" s="2" t="s">
        <v>686</v>
      </c>
      <c r="D1778" s="7" t="s">
        <v>687</v>
      </c>
      <c r="E1778" s="4" t="s">
        <v>1602</v>
      </c>
      <c r="F1778" s="2">
        <v>7</v>
      </c>
      <c r="G1778" s="2" t="s">
        <v>1399</v>
      </c>
      <c r="H1778" s="2" t="s">
        <v>1400</v>
      </c>
      <c r="I1778" s="4" t="s">
        <v>62</v>
      </c>
      <c r="J1778" s="112">
        <f>IF($H1778&lt;&gt;"Y",0,ROUND(MIN(Dashboard!$R$24,IF(IFERROR(VLOOKUP($B1778,Dashboard!$Q$28:$S$60,2,FALSE),0)&gt;0,IFERROR(VLOOKUP($B1778,Dashboard!$Q$28:$S$60,2,FALSE),0),$Z1778*IF($U1778&lt;&gt;"",ROUND((Dashboard!$R$4/$U1778)*VLOOKUP($I1778,Dashboard!$Q$9:$R$13,2,FALSE)*IF(ISNUMBER(SEARCH("Duals",$B1778)),2,IF(ISNUMBER(SEARCH("Triples",$B1778)),3,IF(ISNUMBER(SEARCH("Quads",$B1778)),4,1))),2),ROUND(VLOOKUP($I1778,Dashboard!$Q$15:$R$20,2,FALSE)*IF($E1778="Red",Dashboard!$R$6,IF($E1778="Gold",Dashboard!$R$7,Dashboard!$R$5))*IF(ISNUMBER(SEARCH("Duals",$B1778)),2,IF(ISNUMBER(SEARCH("Triples",$B1778)),3,IF(ISNUMBER(SEARCH("Quads",$B1778)),4,1))),2))*IF(IFERROR(VLOOKUP($B1778,Dashboard!$Q$28:$S$60,3,FALSE),0)&gt;0,VLOOKUP($B1778,Dashboard!$Q$28:$S$60,3,FALSE),1))),0))</f>
        <v>134</v>
      </c>
      <c r="K1778" s="2" t="str">
        <f>IF('Inserts - Story'!E13="","",'Inserts - Story'!E13)</f>
        <v/>
      </c>
      <c r="L1778" s="2">
        <f t="shared" si="351"/>
        <v>0</v>
      </c>
      <c r="M1778" s="2">
        <f t="shared" si="352"/>
        <v>0</v>
      </c>
      <c r="N1778" s="2">
        <f t="shared" si="353"/>
        <v>0</v>
      </c>
      <c r="O1778" s="2">
        <f t="shared" si="354"/>
        <v>1</v>
      </c>
      <c r="P1778" s="112">
        <f t="shared" si="355"/>
        <v>0</v>
      </c>
      <c r="Q1778" s="112">
        <f t="shared" si="356"/>
        <v>0</v>
      </c>
      <c r="R1778" s="53"/>
      <c r="S1778" s="53" t="str">
        <f t="shared" si="357"/>
        <v>Inserts - Story|Behind The Boys Gold Parallel|BB-12|Gold</v>
      </c>
      <c r="T1778" s="57" t="str">
        <f>IF($S1778="","",IFERROR(VLOOKUP($S1778,'Pop Estimates (Non-#d)'!$N$2:$O$500,2,FALSE),""))</f>
        <v/>
      </c>
      <c r="U1778" s="57">
        <f t="shared" si="358"/>
        <v>7</v>
      </c>
      <c r="V1778" s="53" t="str">
        <f t="shared" si="359"/>
        <v/>
      </c>
      <c r="W1778" s="53" t="str">
        <f t="shared" si="360"/>
        <v/>
      </c>
      <c r="X1778" s="53" t="str">
        <f t="shared" si="361"/>
        <v/>
      </c>
      <c r="Y1778" s="57" t="str">
        <f>IF($X1778="","",IFERROR(VLOOKUP($X1778,'Char Popularity'!$A$2:$C$500,2,FALSE),""))</f>
        <v/>
      </c>
      <c r="Z1778" s="56">
        <f>IF($X1778="",1,IFERROR(VLOOKUP($X1778,'Char Popularity'!$A$2:$C$500,3,FALSE),1))</f>
        <v>1</v>
      </c>
      <c r="AA1778" s="62">
        <f>IF($H1778&lt;&gt;"Y",0,(IF($F1778&lt;&gt;"",ROUND(Dashboard!$R$4/$F1778,1),IF(AND($I1778="Base",$E1778="Base"),Dashboard!$R$5,IF(AND($I1778="Base",$E1778="Red"),Dashboard!$R$6,IF(AND($I1778="Base",$E1778="Gold"),Dashboard!$R$7,VLOOKUP($I1778,Dashboard!$Q$16:$R$21,2,FALSE)))))*VLOOKUP($I1778,Dashboard!$Q$9:$R$13,2,FALSE)*IF(AND($I1778="Auto",$F1778="",OR($B1778="Autographs Duals",$B1778="Autographs Triples",$B1778="Autographs Quads",$B1778="Autographs Quads (Inscribed)")),IF($B1778="Autographs Duals",2,IF($B1778="Autographs Triples",3,4)),1)))</f>
        <v>171.48</v>
      </c>
      <c r="AB1778" s="62">
        <f t="shared" si="362"/>
        <v>0</v>
      </c>
      <c r="AC1778" s="62">
        <f t="shared" si="363"/>
        <v>0</v>
      </c>
    </row>
    <row r="1779" spans="1:29" ht="42.95" customHeight="1" x14ac:dyDescent="0.25">
      <c r="A1779" s="4" t="s">
        <v>23</v>
      </c>
      <c r="B1779" s="7" t="s">
        <v>104</v>
      </c>
      <c r="C1779" s="2" t="s">
        <v>688</v>
      </c>
      <c r="D1779" s="7" t="s">
        <v>689</v>
      </c>
      <c r="E1779" s="4" t="s">
        <v>1602</v>
      </c>
      <c r="F1779" s="2">
        <v>7</v>
      </c>
      <c r="G1779" s="2" t="s">
        <v>1399</v>
      </c>
      <c r="H1779" s="2" t="s">
        <v>1400</v>
      </c>
      <c r="I1779" s="4" t="s">
        <v>62</v>
      </c>
      <c r="J1779" s="112">
        <f>IF($H1779&lt;&gt;"Y",0,ROUND(MIN(Dashboard!$R$24,IF(IFERROR(VLOOKUP($B1779,Dashboard!$Q$28:$S$60,2,FALSE),0)&gt;0,IFERROR(VLOOKUP($B1779,Dashboard!$Q$28:$S$60,2,FALSE),0),$Z1779*IF($U1779&lt;&gt;"",ROUND((Dashboard!$R$4/$U1779)*VLOOKUP($I1779,Dashboard!$Q$9:$R$13,2,FALSE)*IF(ISNUMBER(SEARCH("Duals",$B1779)),2,IF(ISNUMBER(SEARCH("Triples",$B1779)),3,IF(ISNUMBER(SEARCH("Quads",$B1779)),4,1))),2),ROUND(VLOOKUP($I1779,Dashboard!$Q$15:$R$20,2,FALSE)*IF($E1779="Red",Dashboard!$R$6,IF($E1779="Gold",Dashboard!$R$7,Dashboard!$R$5))*IF(ISNUMBER(SEARCH("Duals",$B1779)),2,IF(ISNUMBER(SEARCH("Triples",$B1779)),3,IF(ISNUMBER(SEARCH("Quads",$B1779)),4,1))),2))*IF(IFERROR(VLOOKUP($B1779,Dashboard!$Q$28:$S$60,3,FALSE),0)&gt;0,VLOOKUP($B1779,Dashboard!$Q$28:$S$60,3,FALSE),1))),0))</f>
        <v>134</v>
      </c>
      <c r="K1779" s="2" t="str">
        <f>IF('Inserts - Story'!E14="","",'Inserts - Story'!E14)</f>
        <v/>
      </c>
      <c r="L1779" s="2">
        <f t="shared" si="351"/>
        <v>0</v>
      </c>
      <c r="M1779" s="2">
        <f t="shared" si="352"/>
        <v>0</v>
      </c>
      <c r="N1779" s="2">
        <f t="shared" si="353"/>
        <v>0</v>
      </c>
      <c r="O1779" s="2">
        <f t="shared" si="354"/>
        <v>1</v>
      </c>
      <c r="P1779" s="112">
        <f t="shared" si="355"/>
        <v>0</v>
      </c>
      <c r="Q1779" s="112">
        <f t="shared" si="356"/>
        <v>0</v>
      </c>
      <c r="R1779" s="53"/>
      <c r="S1779" s="53" t="str">
        <f t="shared" si="357"/>
        <v>Inserts - Story|Behind The Boys Gold Parallel|BB-13|Gold</v>
      </c>
      <c r="T1779" s="57" t="str">
        <f>IF($S1779="","",IFERROR(VLOOKUP($S1779,'Pop Estimates (Non-#d)'!$N$2:$O$500,2,FALSE),""))</f>
        <v/>
      </c>
      <c r="U1779" s="57">
        <f t="shared" si="358"/>
        <v>7</v>
      </c>
      <c r="V1779" s="53" t="str">
        <f t="shared" si="359"/>
        <v/>
      </c>
      <c r="W1779" s="53" t="str">
        <f t="shared" si="360"/>
        <v/>
      </c>
      <c r="X1779" s="53" t="str">
        <f t="shared" si="361"/>
        <v/>
      </c>
      <c r="Y1779" s="57" t="str">
        <f>IF($X1779="","",IFERROR(VLOOKUP($X1779,'Char Popularity'!$A$2:$C$500,2,FALSE),""))</f>
        <v/>
      </c>
      <c r="Z1779" s="56">
        <f>IF($X1779="",1,IFERROR(VLOOKUP($X1779,'Char Popularity'!$A$2:$C$500,3,FALSE),1))</f>
        <v>1</v>
      </c>
      <c r="AA1779" s="62">
        <f>IF($H1779&lt;&gt;"Y",0,(IF($F1779&lt;&gt;"",ROUND(Dashboard!$R$4/$F1779,1),IF(AND($I1779="Base",$E1779="Base"),Dashboard!$R$5,IF(AND($I1779="Base",$E1779="Red"),Dashboard!$R$6,IF(AND($I1779="Base",$E1779="Gold"),Dashboard!$R$7,VLOOKUP($I1779,Dashboard!$Q$16:$R$21,2,FALSE)))))*VLOOKUP($I1779,Dashboard!$Q$9:$R$13,2,FALSE)*IF(AND($I1779="Auto",$F1779="",OR($B1779="Autographs Duals",$B1779="Autographs Triples",$B1779="Autographs Quads",$B1779="Autographs Quads (Inscribed)")),IF($B1779="Autographs Duals",2,IF($B1779="Autographs Triples",3,4)),1)))</f>
        <v>171.48</v>
      </c>
      <c r="AB1779" s="62">
        <f t="shared" si="362"/>
        <v>0</v>
      </c>
      <c r="AC1779" s="62">
        <f t="shared" si="363"/>
        <v>0</v>
      </c>
    </row>
    <row r="1780" spans="1:29" ht="42.95" customHeight="1" x14ac:dyDescent="0.25">
      <c r="A1780" s="4" t="s">
        <v>23</v>
      </c>
      <c r="B1780" s="7" t="s">
        <v>104</v>
      </c>
      <c r="C1780" s="2" t="s">
        <v>690</v>
      </c>
      <c r="D1780" s="7" t="s">
        <v>691</v>
      </c>
      <c r="E1780" s="4" t="s">
        <v>1602</v>
      </c>
      <c r="F1780" s="2">
        <v>7</v>
      </c>
      <c r="G1780" s="2" t="s">
        <v>1399</v>
      </c>
      <c r="H1780" s="2" t="s">
        <v>1400</v>
      </c>
      <c r="I1780" s="4" t="s">
        <v>62</v>
      </c>
      <c r="J1780" s="112">
        <f>IF($H1780&lt;&gt;"Y",0,ROUND(MIN(Dashboard!$R$24,IF(IFERROR(VLOOKUP($B1780,Dashboard!$Q$28:$S$60,2,FALSE),0)&gt;0,IFERROR(VLOOKUP($B1780,Dashboard!$Q$28:$S$60,2,FALSE),0),$Z1780*IF($U1780&lt;&gt;"",ROUND((Dashboard!$R$4/$U1780)*VLOOKUP($I1780,Dashboard!$Q$9:$R$13,2,FALSE)*IF(ISNUMBER(SEARCH("Duals",$B1780)),2,IF(ISNUMBER(SEARCH("Triples",$B1780)),3,IF(ISNUMBER(SEARCH("Quads",$B1780)),4,1))),2),ROUND(VLOOKUP($I1780,Dashboard!$Q$15:$R$20,2,FALSE)*IF($E1780="Red",Dashboard!$R$6,IF($E1780="Gold",Dashboard!$R$7,Dashboard!$R$5))*IF(ISNUMBER(SEARCH("Duals",$B1780)),2,IF(ISNUMBER(SEARCH("Triples",$B1780)),3,IF(ISNUMBER(SEARCH("Quads",$B1780)),4,1))),2))*IF(IFERROR(VLOOKUP($B1780,Dashboard!$Q$28:$S$60,3,FALSE),0)&gt;0,VLOOKUP($B1780,Dashboard!$Q$28:$S$60,3,FALSE),1))),0))</f>
        <v>134</v>
      </c>
      <c r="K1780" s="2" t="str">
        <f>IF('Inserts - Story'!E15="","",'Inserts - Story'!E15)</f>
        <v/>
      </c>
      <c r="L1780" s="2">
        <f t="shared" si="351"/>
        <v>0</v>
      </c>
      <c r="M1780" s="2">
        <f t="shared" si="352"/>
        <v>0</v>
      </c>
      <c r="N1780" s="2">
        <f t="shared" si="353"/>
        <v>0</v>
      </c>
      <c r="O1780" s="2">
        <f t="shared" si="354"/>
        <v>1</v>
      </c>
      <c r="P1780" s="112">
        <f t="shared" si="355"/>
        <v>0</v>
      </c>
      <c r="Q1780" s="112">
        <f t="shared" si="356"/>
        <v>0</v>
      </c>
      <c r="R1780" s="53"/>
      <c r="S1780" s="53" t="str">
        <f t="shared" si="357"/>
        <v>Inserts - Story|Behind The Boys Gold Parallel|BB-14|Gold</v>
      </c>
      <c r="T1780" s="57" t="str">
        <f>IF($S1780="","",IFERROR(VLOOKUP($S1780,'Pop Estimates (Non-#d)'!$N$2:$O$500,2,FALSE),""))</f>
        <v/>
      </c>
      <c r="U1780" s="57">
        <f t="shared" si="358"/>
        <v>7</v>
      </c>
      <c r="V1780" s="53" t="str">
        <f t="shared" si="359"/>
        <v/>
      </c>
      <c r="W1780" s="53" t="str">
        <f t="shared" si="360"/>
        <v/>
      </c>
      <c r="X1780" s="53" t="str">
        <f t="shared" si="361"/>
        <v/>
      </c>
      <c r="Y1780" s="57" t="str">
        <f>IF($X1780="","",IFERROR(VLOOKUP($X1780,'Char Popularity'!$A$2:$C$500,2,FALSE),""))</f>
        <v/>
      </c>
      <c r="Z1780" s="56">
        <f>IF($X1780="",1,IFERROR(VLOOKUP($X1780,'Char Popularity'!$A$2:$C$500,3,FALSE),1))</f>
        <v>1</v>
      </c>
      <c r="AA1780" s="62">
        <f>IF($H1780&lt;&gt;"Y",0,(IF($F1780&lt;&gt;"",ROUND(Dashboard!$R$4/$F1780,1),IF(AND($I1780="Base",$E1780="Base"),Dashboard!$R$5,IF(AND($I1780="Base",$E1780="Red"),Dashboard!$R$6,IF(AND($I1780="Base",$E1780="Gold"),Dashboard!$R$7,VLOOKUP($I1780,Dashboard!$Q$16:$R$21,2,FALSE)))))*VLOOKUP($I1780,Dashboard!$Q$9:$R$13,2,FALSE)*IF(AND($I1780="Auto",$F1780="",OR($B1780="Autographs Duals",$B1780="Autographs Triples",$B1780="Autographs Quads",$B1780="Autographs Quads (Inscribed)")),IF($B1780="Autographs Duals",2,IF($B1780="Autographs Triples",3,4)),1)))</f>
        <v>171.48</v>
      </c>
      <c r="AB1780" s="62">
        <f t="shared" si="362"/>
        <v>0</v>
      </c>
      <c r="AC1780" s="62">
        <f t="shared" si="363"/>
        <v>0</v>
      </c>
    </row>
    <row r="1781" spans="1:29" ht="42.95" customHeight="1" x14ac:dyDescent="0.25">
      <c r="A1781" s="4" t="s">
        <v>23</v>
      </c>
      <c r="B1781" s="7" t="s">
        <v>104</v>
      </c>
      <c r="C1781" s="2" t="s">
        <v>692</v>
      </c>
      <c r="D1781" s="7" t="s">
        <v>693</v>
      </c>
      <c r="E1781" s="4" t="s">
        <v>1602</v>
      </c>
      <c r="F1781" s="2">
        <v>7</v>
      </c>
      <c r="G1781" s="2" t="s">
        <v>1399</v>
      </c>
      <c r="H1781" s="2" t="s">
        <v>1400</v>
      </c>
      <c r="I1781" s="4" t="s">
        <v>62</v>
      </c>
      <c r="J1781" s="112">
        <f>IF($H1781&lt;&gt;"Y",0,ROUND(MIN(Dashboard!$R$24,IF(IFERROR(VLOOKUP($B1781,Dashboard!$Q$28:$S$60,2,FALSE),0)&gt;0,IFERROR(VLOOKUP($B1781,Dashboard!$Q$28:$S$60,2,FALSE),0),$Z1781*IF($U1781&lt;&gt;"",ROUND((Dashboard!$R$4/$U1781)*VLOOKUP($I1781,Dashboard!$Q$9:$R$13,2,FALSE)*IF(ISNUMBER(SEARCH("Duals",$B1781)),2,IF(ISNUMBER(SEARCH("Triples",$B1781)),3,IF(ISNUMBER(SEARCH("Quads",$B1781)),4,1))),2),ROUND(VLOOKUP($I1781,Dashboard!$Q$15:$R$20,2,FALSE)*IF($E1781="Red",Dashboard!$R$6,IF($E1781="Gold",Dashboard!$R$7,Dashboard!$R$5))*IF(ISNUMBER(SEARCH("Duals",$B1781)),2,IF(ISNUMBER(SEARCH("Triples",$B1781)),3,IF(ISNUMBER(SEARCH("Quads",$B1781)),4,1))),2))*IF(IFERROR(VLOOKUP($B1781,Dashboard!$Q$28:$S$60,3,FALSE),0)&gt;0,VLOOKUP($B1781,Dashboard!$Q$28:$S$60,3,FALSE),1))),0))</f>
        <v>134</v>
      </c>
      <c r="K1781" s="2" t="str">
        <f>IF('Inserts - Story'!E16="","",'Inserts - Story'!E16)</f>
        <v>C 2/7</v>
      </c>
      <c r="L1781" s="2">
        <f t="shared" si="351"/>
        <v>1</v>
      </c>
      <c r="M1781" s="2">
        <f t="shared" si="352"/>
        <v>0</v>
      </c>
      <c r="N1781" s="2">
        <f t="shared" si="353"/>
        <v>1</v>
      </c>
      <c r="O1781" s="2">
        <f t="shared" si="354"/>
        <v>0</v>
      </c>
      <c r="P1781" s="112">
        <f t="shared" si="355"/>
        <v>134</v>
      </c>
      <c r="Q1781" s="112">
        <f t="shared" si="356"/>
        <v>0</v>
      </c>
      <c r="R1781" s="53"/>
      <c r="S1781" s="53" t="str">
        <f t="shared" si="357"/>
        <v>Inserts - Story|Behind The Boys Gold Parallel|BB-15|Gold</v>
      </c>
      <c r="T1781" s="57" t="str">
        <f>IF($S1781="","",IFERROR(VLOOKUP($S1781,'Pop Estimates (Non-#d)'!$N$2:$O$500,2,FALSE),""))</f>
        <v/>
      </c>
      <c r="U1781" s="57">
        <f t="shared" si="358"/>
        <v>7</v>
      </c>
      <c r="V1781" s="53" t="str">
        <f t="shared" si="359"/>
        <v/>
      </c>
      <c r="W1781" s="53" t="str">
        <f t="shared" si="360"/>
        <v/>
      </c>
      <c r="X1781" s="53" t="str">
        <f t="shared" si="361"/>
        <v/>
      </c>
      <c r="Y1781" s="57" t="str">
        <f>IF($X1781="","",IFERROR(VLOOKUP($X1781,'Char Popularity'!$A$2:$C$500,2,FALSE),""))</f>
        <v/>
      </c>
      <c r="Z1781" s="56">
        <f>IF($X1781="",1,IFERROR(VLOOKUP($X1781,'Char Popularity'!$A$2:$C$500,3,FALSE),1))</f>
        <v>1</v>
      </c>
      <c r="AA1781" s="62">
        <f>IF($H1781&lt;&gt;"Y",0,(IF($F1781&lt;&gt;"",ROUND(Dashboard!$R$4/$F1781,1),IF(AND($I1781="Base",$E1781="Base"),Dashboard!$R$5,IF(AND($I1781="Base",$E1781="Red"),Dashboard!$R$6,IF(AND($I1781="Base",$E1781="Gold"),Dashboard!$R$7,VLOOKUP($I1781,Dashboard!$Q$16:$R$21,2,FALSE)))))*VLOOKUP($I1781,Dashboard!$Q$9:$R$13,2,FALSE)*IF(AND($I1781="Auto",$F1781="",OR($B1781="Autographs Duals",$B1781="Autographs Triples",$B1781="Autographs Quads",$B1781="Autographs Quads (Inscribed)")),IF($B1781="Autographs Duals",2,IF($B1781="Autographs Triples",3,4)),1)))</f>
        <v>171.48</v>
      </c>
      <c r="AB1781" s="62">
        <f t="shared" si="362"/>
        <v>171.48</v>
      </c>
      <c r="AC1781" s="62">
        <f t="shared" si="363"/>
        <v>0</v>
      </c>
    </row>
    <row r="1782" spans="1:29" ht="28.7" customHeight="1" x14ac:dyDescent="0.25">
      <c r="A1782" s="4" t="s">
        <v>23</v>
      </c>
      <c r="B1782" s="7" t="s">
        <v>105</v>
      </c>
      <c r="C1782" s="2" t="s">
        <v>708</v>
      </c>
      <c r="D1782" s="7" t="s">
        <v>709</v>
      </c>
      <c r="E1782" s="4" t="s">
        <v>60</v>
      </c>
      <c r="F1782" s="2"/>
      <c r="G1782" s="2" t="s">
        <v>1399</v>
      </c>
      <c r="H1782" s="2" t="s">
        <v>1400</v>
      </c>
      <c r="I1782" s="4" t="s">
        <v>62</v>
      </c>
      <c r="J1782" s="112">
        <f>IF($H1782&lt;&gt;"Y",0,ROUND(MIN(Dashboard!$R$24,IF(IFERROR(VLOOKUP($B1782,Dashboard!$Q$28:$S$60,2,FALSE),0)&gt;0,IFERROR(VLOOKUP($B1782,Dashboard!$Q$28:$S$60,2,FALSE),0),$Z1782*IF($U1782&lt;&gt;"",ROUND((Dashboard!$R$4/$U1782)*VLOOKUP($I1782,Dashboard!$Q$9:$R$13,2,FALSE)*IF(ISNUMBER(SEARCH("Duals",$B1782)),2,IF(ISNUMBER(SEARCH("Triples",$B1782)),3,IF(ISNUMBER(SEARCH("Quads",$B1782)),4,1))),2),ROUND(VLOOKUP($I1782,Dashboard!$Q$15:$R$20,2,FALSE)*IF($E1782="Red",Dashboard!$R$6,IF($E1782="Gold",Dashboard!$R$7,Dashboard!$R$5))*IF(ISNUMBER(SEARCH("Duals",$B1782)),2,IF(ISNUMBER(SEARCH("Triples",$B1782)),3,IF(ISNUMBER(SEARCH("Quads",$B1782)),4,1))),2))*IF(IFERROR(VLOOKUP($B1782,Dashboard!$Q$28:$S$60,3,FALSE),0)&gt;0,VLOOKUP($B1782,Dashboard!$Q$28:$S$60,3,FALSE),1))),0))</f>
        <v>1</v>
      </c>
      <c r="K1782" s="2" t="str">
        <f>IF('Inserts - Story'!D32="","",'Inserts - Story'!D32)</f>
        <v>h</v>
      </c>
      <c r="L1782" s="2">
        <f t="shared" si="351"/>
        <v>1</v>
      </c>
      <c r="M1782" s="2">
        <f t="shared" si="352"/>
        <v>0</v>
      </c>
      <c r="N1782" s="2">
        <f t="shared" si="353"/>
        <v>1</v>
      </c>
      <c r="O1782" s="2">
        <f t="shared" si="354"/>
        <v>0</v>
      </c>
      <c r="P1782" s="112">
        <f t="shared" si="355"/>
        <v>1</v>
      </c>
      <c r="Q1782" s="112">
        <f t="shared" si="356"/>
        <v>0</v>
      </c>
      <c r="R1782" s="53"/>
      <c r="S1782" s="53" t="str">
        <f t="shared" si="357"/>
        <v>Inserts - Story|In Memory Of...|IMO-1|Base</v>
      </c>
      <c r="T1782" s="57">
        <f>IF($S1782="","",IFERROR(VLOOKUP($S1782,'Pop Estimates (Non-#d)'!$N$2:$O$500,2,FALSE),""))</f>
        <v>13680</v>
      </c>
      <c r="U1782" s="57">
        <f t="shared" si="358"/>
        <v>13680</v>
      </c>
      <c r="V1782" s="53" t="str">
        <f t="shared" si="359"/>
        <v/>
      </c>
      <c r="W1782" s="53" t="str">
        <f t="shared" si="360"/>
        <v/>
      </c>
      <c r="X1782" s="53" t="str">
        <f t="shared" si="361"/>
        <v/>
      </c>
      <c r="Y1782" s="57" t="str">
        <f>IF($X1782="","",IFERROR(VLOOKUP($X1782,'Char Popularity'!$A$2:$C$500,2,FALSE),""))</f>
        <v/>
      </c>
      <c r="Z1782" s="56">
        <f>IF($X1782="",1,IFERROR(VLOOKUP($X1782,'Char Popularity'!$A$2:$C$500,3,FALSE),1))</f>
        <v>1</v>
      </c>
      <c r="AA1782" s="62">
        <f>IF($H1782&lt;&gt;"Y",0,(IF($F1782&lt;&gt;"",ROUND(Dashboard!$R$4/$F1782,1),IF(AND($I1782="Base",$E1782="Base"),Dashboard!$R$5,IF(AND($I1782="Base",$E1782="Red"),Dashboard!$R$6,IF(AND($I1782="Base",$E1782="Gold"),Dashboard!$R$7,VLOOKUP($I1782,Dashboard!$Q$16:$R$21,2,FALSE)))))*VLOOKUP($I1782,Dashboard!$Q$9:$R$13,2,FALSE)*IF(AND($I1782="Auto",$F1782="",OR($B1782="Autographs Duals",$B1782="Autographs Triples",$B1782="Autographs Quads",$B1782="Autographs Quads (Inscribed)")),IF($B1782="Autographs Duals",2,IF($B1782="Autographs Triples",3,4)),1)))</f>
        <v>6</v>
      </c>
      <c r="AB1782" s="62">
        <f t="shared" si="362"/>
        <v>6</v>
      </c>
      <c r="AC1782" s="62">
        <f t="shared" si="363"/>
        <v>0</v>
      </c>
    </row>
    <row r="1783" spans="1:29" ht="28.7" customHeight="1" x14ac:dyDescent="0.25">
      <c r="A1783" s="4" t="s">
        <v>23</v>
      </c>
      <c r="B1783" s="7" t="s">
        <v>105</v>
      </c>
      <c r="C1783" s="2" t="s">
        <v>720</v>
      </c>
      <c r="D1783" s="7" t="s">
        <v>446</v>
      </c>
      <c r="E1783" s="4" t="s">
        <v>60</v>
      </c>
      <c r="F1783" s="2"/>
      <c r="G1783" s="2" t="s">
        <v>1399</v>
      </c>
      <c r="H1783" s="2" t="s">
        <v>1400</v>
      </c>
      <c r="I1783" s="4" t="s">
        <v>62</v>
      </c>
      <c r="J1783" s="112">
        <f>IF($H1783&lt;&gt;"Y",0,ROUND(MIN(Dashboard!$R$24,IF(IFERROR(VLOOKUP($B1783,Dashboard!$Q$28:$S$60,2,FALSE),0)&gt;0,IFERROR(VLOOKUP($B1783,Dashboard!$Q$28:$S$60,2,FALSE),0),$Z1783*IF($U1783&lt;&gt;"",ROUND((Dashboard!$R$4/$U1783)*VLOOKUP($I1783,Dashboard!$Q$9:$R$13,2,FALSE)*IF(ISNUMBER(SEARCH("Duals",$B1783)),2,IF(ISNUMBER(SEARCH("Triples",$B1783)),3,IF(ISNUMBER(SEARCH("Quads",$B1783)),4,1))),2),ROUND(VLOOKUP($I1783,Dashboard!$Q$15:$R$20,2,FALSE)*IF($E1783="Red",Dashboard!$R$6,IF($E1783="Gold",Dashboard!$R$7,Dashboard!$R$5))*IF(ISNUMBER(SEARCH("Duals",$B1783)),2,IF(ISNUMBER(SEARCH("Triples",$B1783)),3,IF(ISNUMBER(SEARCH("Quads",$B1783)),4,1))),2))*IF(IFERROR(VLOOKUP($B1783,Dashboard!$Q$28:$S$60,3,FALSE),0)&gt;0,VLOOKUP($B1783,Dashboard!$Q$28:$S$60,3,FALSE),1))),0))</f>
        <v>1</v>
      </c>
      <c r="K1783" s="2" t="str">
        <f>IF('Inserts - Story'!D33="","",'Inserts - Story'!D33)</f>
        <v>h</v>
      </c>
      <c r="L1783" s="2">
        <f t="shared" si="351"/>
        <v>1</v>
      </c>
      <c r="M1783" s="2">
        <f t="shared" si="352"/>
        <v>0</v>
      </c>
      <c r="N1783" s="2">
        <f t="shared" si="353"/>
        <v>1</v>
      </c>
      <c r="O1783" s="2">
        <f t="shared" si="354"/>
        <v>0</v>
      </c>
      <c r="P1783" s="112">
        <f t="shared" si="355"/>
        <v>1</v>
      </c>
      <c r="Q1783" s="112">
        <f t="shared" si="356"/>
        <v>0</v>
      </c>
      <c r="R1783" s="53"/>
      <c r="S1783" s="53" t="str">
        <f t="shared" si="357"/>
        <v>Inserts - Story|In Memory Of...|IMO-2|Base</v>
      </c>
      <c r="T1783" s="57">
        <f>IF($S1783="","",IFERROR(VLOOKUP($S1783,'Pop Estimates (Non-#d)'!$N$2:$O$500,2,FALSE),""))</f>
        <v>13680</v>
      </c>
      <c r="U1783" s="57">
        <f t="shared" si="358"/>
        <v>13680</v>
      </c>
      <c r="V1783" s="53" t="str">
        <f t="shared" si="359"/>
        <v/>
      </c>
      <c r="W1783" s="53" t="str">
        <f t="shared" si="360"/>
        <v/>
      </c>
      <c r="X1783" s="53" t="str">
        <f t="shared" si="361"/>
        <v/>
      </c>
      <c r="Y1783" s="57" t="str">
        <f>IF($X1783="","",IFERROR(VLOOKUP($X1783,'Char Popularity'!$A$2:$C$500,2,FALSE),""))</f>
        <v/>
      </c>
      <c r="Z1783" s="56">
        <f>IF($X1783="",1,IFERROR(VLOOKUP($X1783,'Char Popularity'!$A$2:$C$500,3,FALSE),1))</f>
        <v>1</v>
      </c>
      <c r="AA1783" s="62">
        <f>IF($H1783&lt;&gt;"Y",0,(IF($F1783&lt;&gt;"",ROUND(Dashboard!$R$4/$F1783,1),IF(AND($I1783="Base",$E1783="Base"),Dashboard!$R$5,IF(AND($I1783="Base",$E1783="Red"),Dashboard!$R$6,IF(AND($I1783="Base",$E1783="Gold"),Dashboard!$R$7,VLOOKUP($I1783,Dashboard!$Q$16:$R$21,2,FALSE)))))*VLOOKUP($I1783,Dashboard!$Q$9:$R$13,2,FALSE)*IF(AND($I1783="Auto",$F1783="",OR($B1783="Autographs Duals",$B1783="Autographs Triples",$B1783="Autographs Quads",$B1783="Autographs Quads (Inscribed)")),IF($B1783="Autographs Duals",2,IF($B1783="Autographs Triples",3,4)),1)))</f>
        <v>6</v>
      </c>
      <c r="AB1783" s="62">
        <f t="shared" si="362"/>
        <v>6</v>
      </c>
      <c r="AC1783" s="62">
        <f t="shared" si="363"/>
        <v>0</v>
      </c>
    </row>
    <row r="1784" spans="1:29" ht="28.7" customHeight="1" x14ac:dyDescent="0.25">
      <c r="A1784" s="4" t="s">
        <v>23</v>
      </c>
      <c r="B1784" s="7" t="s">
        <v>105</v>
      </c>
      <c r="C1784" s="2" t="s">
        <v>721</v>
      </c>
      <c r="D1784" s="7" t="s">
        <v>444</v>
      </c>
      <c r="E1784" s="4" t="s">
        <v>60</v>
      </c>
      <c r="F1784" s="2"/>
      <c r="G1784" s="2" t="s">
        <v>1399</v>
      </c>
      <c r="H1784" s="2" t="s">
        <v>1400</v>
      </c>
      <c r="I1784" s="4" t="s">
        <v>62</v>
      </c>
      <c r="J1784" s="112">
        <f>IF($H1784&lt;&gt;"Y",0,ROUND(MIN(Dashboard!$R$24,IF(IFERROR(VLOOKUP($B1784,Dashboard!$Q$28:$S$60,2,FALSE),0)&gt;0,IFERROR(VLOOKUP($B1784,Dashboard!$Q$28:$S$60,2,FALSE),0),$Z1784*IF($U1784&lt;&gt;"",ROUND((Dashboard!$R$4/$U1784)*VLOOKUP($I1784,Dashboard!$Q$9:$R$13,2,FALSE)*IF(ISNUMBER(SEARCH("Duals",$B1784)),2,IF(ISNUMBER(SEARCH("Triples",$B1784)),3,IF(ISNUMBER(SEARCH("Quads",$B1784)),4,1))),2),ROUND(VLOOKUP($I1784,Dashboard!$Q$15:$R$20,2,FALSE)*IF($E1784="Red",Dashboard!$R$6,IF($E1784="Gold",Dashboard!$R$7,Dashboard!$R$5))*IF(ISNUMBER(SEARCH("Duals",$B1784)),2,IF(ISNUMBER(SEARCH("Triples",$B1784)),3,IF(ISNUMBER(SEARCH("Quads",$B1784)),4,1))),2))*IF(IFERROR(VLOOKUP($B1784,Dashboard!$Q$28:$S$60,3,FALSE),0)&gt;0,VLOOKUP($B1784,Dashboard!$Q$28:$S$60,3,FALSE),1))),0))</f>
        <v>1</v>
      </c>
      <c r="K1784" s="2" t="str">
        <f>IF('Inserts - Story'!D34="","",'Inserts - Story'!D34)</f>
        <v>h</v>
      </c>
      <c r="L1784" s="2">
        <f t="shared" si="351"/>
        <v>1</v>
      </c>
      <c r="M1784" s="2">
        <f t="shared" si="352"/>
        <v>0</v>
      </c>
      <c r="N1784" s="2">
        <f t="shared" si="353"/>
        <v>1</v>
      </c>
      <c r="O1784" s="2">
        <f t="shared" si="354"/>
        <v>0</v>
      </c>
      <c r="P1784" s="112">
        <f t="shared" si="355"/>
        <v>1</v>
      </c>
      <c r="Q1784" s="112">
        <f t="shared" si="356"/>
        <v>0</v>
      </c>
      <c r="R1784" s="53"/>
      <c r="S1784" s="53" t="str">
        <f t="shared" si="357"/>
        <v>Inserts - Story|In Memory Of...|IMO-3|Base</v>
      </c>
      <c r="T1784" s="57">
        <f>IF($S1784="","",IFERROR(VLOOKUP($S1784,'Pop Estimates (Non-#d)'!$N$2:$O$500,2,FALSE),""))</f>
        <v>13680</v>
      </c>
      <c r="U1784" s="57">
        <f t="shared" si="358"/>
        <v>13680</v>
      </c>
      <c r="V1784" s="53" t="str">
        <f t="shared" si="359"/>
        <v/>
      </c>
      <c r="W1784" s="53" t="str">
        <f t="shared" si="360"/>
        <v/>
      </c>
      <c r="X1784" s="53" t="str">
        <f t="shared" si="361"/>
        <v/>
      </c>
      <c r="Y1784" s="57" t="str">
        <f>IF($X1784="","",IFERROR(VLOOKUP($X1784,'Char Popularity'!$A$2:$C$500,2,FALSE),""))</f>
        <v/>
      </c>
      <c r="Z1784" s="56">
        <f>IF($X1784="",1,IFERROR(VLOOKUP($X1784,'Char Popularity'!$A$2:$C$500,3,FALSE),1))</f>
        <v>1</v>
      </c>
      <c r="AA1784" s="62">
        <f>IF($H1784&lt;&gt;"Y",0,(IF($F1784&lt;&gt;"",ROUND(Dashboard!$R$4/$F1784,1),IF(AND($I1784="Base",$E1784="Base"),Dashboard!$R$5,IF(AND($I1784="Base",$E1784="Red"),Dashboard!$R$6,IF(AND($I1784="Base",$E1784="Gold"),Dashboard!$R$7,VLOOKUP($I1784,Dashboard!$Q$16:$R$21,2,FALSE)))))*VLOOKUP($I1784,Dashboard!$Q$9:$R$13,2,FALSE)*IF(AND($I1784="Auto",$F1784="",OR($B1784="Autographs Duals",$B1784="Autographs Triples",$B1784="Autographs Quads",$B1784="Autographs Quads (Inscribed)")),IF($B1784="Autographs Duals",2,IF($B1784="Autographs Triples",3,4)),1)))</f>
        <v>6</v>
      </c>
      <c r="AB1784" s="62">
        <f t="shared" si="362"/>
        <v>6</v>
      </c>
      <c r="AC1784" s="62">
        <f t="shared" si="363"/>
        <v>0</v>
      </c>
    </row>
    <row r="1785" spans="1:29" ht="28.7" customHeight="1" x14ac:dyDescent="0.25">
      <c r="A1785" s="4" t="s">
        <v>23</v>
      </c>
      <c r="B1785" s="7" t="s">
        <v>105</v>
      </c>
      <c r="C1785" s="2" t="s">
        <v>722</v>
      </c>
      <c r="D1785" s="7" t="s">
        <v>723</v>
      </c>
      <c r="E1785" s="4" t="s">
        <v>60</v>
      </c>
      <c r="F1785" s="2"/>
      <c r="G1785" s="2" t="s">
        <v>1399</v>
      </c>
      <c r="H1785" s="2" t="s">
        <v>1400</v>
      </c>
      <c r="I1785" s="4" t="s">
        <v>62</v>
      </c>
      <c r="J1785" s="112">
        <f>IF($H1785&lt;&gt;"Y",0,ROUND(MIN(Dashboard!$R$24,IF(IFERROR(VLOOKUP($B1785,Dashboard!$Q$28:$S$60,2,FALSE),0)&gt;0,IFERROR(VLOOKUP($B1785,Dashboard!$Q$28:$S$60,2,FALSE),0),$Z1785*IF($U1785&lt;&gt;"",ROUND((Dashboard!$R$4/$U1785)*VLOOKUP($I1785,Dashboard!$Q$9:$R$13,2,FALSE)*IF(ISNUMBER(SEARCH("Duals",$B1785)),2,IF(ISNUMBER(SEARCH("Triples",$B1785)),3,IF(ISNUMBER(SEARCH("Quads",$B1785)),4,1))),2),ROUND(VLOOKUP($I1785,Dashboard!$Q$15:$R$20,2,FALSE)*IF($E1785="Red",Dashboard!$R$6,IF($E1785="Gold",Dashboard!$R$7,Dashboard!$R$5))*IF(ISNUMBER(SEARCH("Duals",$B1785)),2,IF(ISNUMBER(SEARCH("Triples",$B1785)),3,IF(ISNUMBER(SEARCH("Quads",$B1785)),4,1))),2))*IF(IFERROR(VLOOKUP($B1785,Dashboard!$Q$28:$S$60,3,FALSE),0)&gt;0,VLOOKUP($B1785,Dashboard!$Q$28:$S$60,3,FALSE),1))),0))</f>
        <v>1</v>
      </c>
      <c r="K1785" s="2" t="str">
        <f>IF('Inserts - Story'!D35="","",'Inserts - Story'!D35)</f>
        <v>h</v>
      </c>
      <c r="L1785" s="2">
        <f t="shared" si="351"/>
        <v>1</v>
      </c>
      <c r="M1785" s="2">
        <f t="shared" si="352"/>
        <v>0</v>
      </c>
      <c r="N1785" s="2">
        <f t="shared" si="353"/>
        <v>1</v>
      </c>
      <c r="O1785" s="2">
        <f t="shared" si="354"/>
        <v>0</v>
      </c>
      <c r="P1785" s="112">
        <f t="shared" si="355"/>
        <v>1</v>
      </c>
      <c r="Q1785" s="112">
        <f t="shared" si="356"/>
        <v>0</v>
      </c>
      <c r="R1785" s="53"/>
      <c r="S1785" s="53" t="str">
        <f t="shared" si="357"/>
        <v>Inserts - Story|In Memory Of...|IMO-4|Base</v>
      </c>
      <c r="T1785" s="57">
        <f>IF($S1785="","",IFERROR(VLOOKUP($S1785,'Pop Estimates (Non-#d)'!$N$2:$O$500,2,FALSE),""))</f>
        <v>13680</v>
      </c>
      <c r="U1785" s="57">
        <f t="shared" si="358"/>
        <v>13680</v>
      </c>
      <c r="V1785" s="53" t="str">
        <f t="shared" si="359"/>
        <v/>
      </c>
      <c r="W1785" s="53" t="str">
        <f t="shared" si="360"/>
        <v/>
      </c>
      <c r="X1785" s="53" t="str">
        <f t="shared" si="361"/>
        <v/>
      </c>
      <c r="Y1785" s="57" t="str">
        <f>IF($X1785="","",IFERROR(VLOOKUP($X1785,'Char Popularity'!$A$2:$C$500,2,FALSE),""))</f>
        <v/>
      </c>
      <c r="Z1785" s="56">
        <f>IF($X1785="",1,IFERROR(VLOOKUP($X1785,'Char Popularity'!$A$2:$C$500,3,FALSE),1))</f>
        <v>1</v>
      </c>
      <c r="AA1785" s="62">
        <f>IF($H1785&lt;&gt;"Y",0,(IF($F1785&lt;&gt;"",ROUND(Dashboard!$R$4/$F1785,1),IF(AND($I1785="Base",$E1785="Base"),Dashboard!$R$5,IF(AND($I1785="Base",$E1785="Red"),Dashboard!$R$6,IF(AND($I1785="Base",$E1785="Gold"),Dashboard!$R$7,VLOOKUP($I1785,Dashboard!$Q$16:$R$21,2,FALSE)))))*VLOOKUP($I1785,Dashboard!$Q$9:$R$13,2,FALSE)*IF(AND($I1785="Auto",$F1785="",OR($B1785="Autographs Duals",$B1785="Autographs Triples",$B1785="Autographs Quads",$B1785="Autographs Quads (Inscribed)")),IF($B1785="Autographs Duals",2,IF($B1785="Autographs Triples",3,4)),1)))</f>
        <v>6</v>
      </c>
      <c r="AB1785" s="62">
        <f t="shared" si="362"/>
        <v>6</v>
      </c>
      <c r="AC1785" s="62">
        <f t="shared" si="363"/>
        <v>0</v>
      </c>
    </row>
    <row r="1786" spans="1:29" ht="28.7" customHeight="1" x14ac:dyDescent="0.25">
      <c r="A1786" s="4" t="s">
        <v>23</v>
      </c>
      <c r="B1786" s="7" t="s">
        <v>105</v>
      </c>
      <c r="C1786" s="2" t="s">
        <v>724</v>
      </c>
      <c r="D1786" s="7" t="s">
        <v>352</v>
      </c>
      <c r="E1786" s="4" t="s">
        <v>60</v>
      </c>
      <c r="F1786" s="2"/>
      <c r="G1786" s="2" t="s">
        <v>1399</v>
      </c>
      <c r="H1786" s="2" t="s">
        <v>1400</v>
      </c>
      <c r="I1786" s="4" t="s">
        <v>62</v>
      </c>
      <c r="J1786" s="112">
        <f>IF($H1786&lt;&gt;"Y",0,ROUND(MIN(Dashboard!$R$24,IF(IFERROR(VLOOKUP($B1786,Dashboard!$Q$28:$S$60,2,FALSE),0)&gt;0,IFERROR(VLOOKUP($B1786,Dashboard!$Q$28:$S$60,2,FALSE),0),$Z1786*IF($U1786&lt;&gt;"",ROUND((Dashboard!$R$4/$U1786)*VLOOKUP($I1786,Dashboard!$Q$9:$R$13,2,FALSE)*IF(ISNUMBER(SEARCH("Duals",$B1786)),2,IF(ISNUMBER(SEARCH("Triples",$B1786)),3,IF(ISNUMBER(SEARCH("Quads",$B1786)),4,1))),2),ROUND(VLOOKUP($I1786,Dashboard!$Q$15:$R$20,2,FALSE)*IF($E1786="Red",Dashboard!$R$6,IF($E1786="Gold",Dashboard!$R$7,Dashboard!$R$5))*IF(ISNUMBER(SEARCH("Duals",$B1786)),2,IF(ISNUMBER(SEARCH("Triples",$B1786)),3,IF(ISNUMBER(SEARCH("Quads",$B1786)),4,1))),2))*IF(IFERROR(VLOOKUP($B1786,Dashboard!$Q$28:$S$60,3,FALSE),0)&gt;0,VLOOKUP($B1786,Dashboard!$Q$28:$S$60,3,FALSE),1))),0))</f>
        <v>1</v>
      </c>
      <c r="K1786" s="2" t="str">
        <f>IF('Inserts - Story'!D36="","",'Inserts - Story'!D36)</f>
        <v>h</v>
      </c>
      <c r="L1786" s="2">
        <f t="shared" si="351"/>
        <v>1</v>
      </c>
      <c r="M1786" s="2">
        <f t="shared" si="352"/>
        <v>0</v>
      </c>
      <c r="N1786" s="2">
        <f t="shared" si="353"/>
        <v>1</v>
      </c>
      <c r="O1786" s="2">
        <f t="shared" si="354"/>
        <v>0</v>
      </c>
      <c r="P1786" s="112">
        <f t="shared" si="355"/>
        <v>1</v>
      </c>
      <c r="Q1786" s="112">
        <f t="shared" si="356"/>
        <v>0</v>
      </c>
      <c r="R1786" s="53"/>
      <c r="S1786" s="53" t="str">
        <f t="shared" si="357"/>
        <v>Inserts - Story|In Memory Of...|IMO-5|Base</v>
      </c>
      <c r="T1786" s="57">
        <f>IF($S1786="","",IFERROR(VLOOKUP($S1786,'Pop Estimates (Non-#d)'!$N$2:$O$500,2,FALSE),""))</f>
        <v>13680</v>
      </c>
      <c r="U1786" s="57">
        <f t="shared" si="358"/>
        <v>13680</v>
      </c>
      <c r="V1786" s="53" t="str">
        <f t="shared" si="359"/>
        <v/>
      </c>
      <c r="W1786" s="53" t="str">
        <f t="shared" si="360"/>
        <v/>
      </c>
      <c r="X1786" s="53" t="str">
        <f t="shared" si="361"/>
        <v/>
      </c>
      <c r="Y1786" s="57" t="str">
        <f>IF($X1786="","",IFERROR(VLOOKUP($X1786,'Char Popularity'!$A$2:$C$500,2,FALSE),""))</f>
        <v/>
      </c>
      <c r="Z1786" s="56">
        <f>IF($X1786="",1,IFERROR(VLOOKUP($X1786,'Char Popularity'!$A$2:$C$500,3,FALSE),1))</f>
        <v>1</v>
      </c>
      <c r="AA1786" s="62">
        <f>IF($H1786&lt;&gt;"Y",0,(IF($F1786&lt;&gt;"",ROUND(Dashboard!$R$4/$F1786,1),IF(AND($I1786="Base",$E1786="Base"),Dashboard!$R$5,IF(AND($I1786="Base",$E1786="Red"),Dashboard!$R$6,IF(AND($I1786="Base",$E1786="Gold"),Dashboard!$R$7,VLOOKUP($I1786,Dashboard!$Q$16:$R$21,2,FALSE)))))*VLOOKUP($I1786,Dashboard!$Q$9:$R$13,2,FALSE)*IF(AND($I1786="Auto",$F1786="",OR($B1786="Autographs Duals",$B1786="Autographs Triples",$B1786="Autographs Quads",$B1786="Autographs Quads (Inscribed)")),IF($B1786="Autographs Duals",2,IF($B1786="Autographs Triples",3,4)),1)))</f>
        <v>6</v>
      </c>
      <c r="AB1786" s="62">
        <f t="shared" si="362"/>
        <v>6</v>
      </c>
      <c r="AC1786" s="62">
        <f t="shared" si="363"/>
        <v>0</v>
      </c>
    </row>
    <row r="1787" spans="1:29" ht="28.7" customHeight="1" x14ac:dyDescent="0.25">
      <c r="A1787" s="4" t="s">
        <v>23</v>
      </c>
      <c r="B1787" s="7" t="s">
        <v>105</v>
      </c>
      <c r="C1787" s="2" t="s">
        <v>725</v>
      </c>
      <c r="D1787" s="7" t="s">
        <v>542</v>
      </c>
      <c r="E1787" s="4" t="s">
        <v>60</v>
      </c>
      <c r="F1787" s="2"/>
      <c r="G1787" s="2" t="s">
        <v>1399</v>
      </c>
      <c r="H1787" s="2" t="s">
        <v>1400</v>
      </c>
      <c r="I1787" s="4" t="s">
        <v>62</v>
      </c>
      <c r="J1787" s="112">
        <f>IF($H1787&lt;&gt;"Y",0,ROUND(MIN(Dashboard!$R$24,IF(IFERROR(VLOOKUP($B1787,Dashboard!$Q$28:$S$60,2,FALSE),0)&gt;0,IFERROR(VLOOKUP($B1787,Dashboard!$Q$28:$S$60,2,FALSE),0),$Z1787*IF($U1787&lt;&gt;"",ROUND((Dashboard!$R$4/$U1787)*VLOOKUP($I1787,Dashboard!$Q$9:$R$13,2,FALSE)*IF(ISNUMBER(SEARCH("Duals",$B1787)),2,IF(ISNUMBER(SEARCH("Triples",$B1787)),3,IF(ISNUMBER(SEARCH("Quads",$B1787)),4,1))),2),ROUND(VLOOKUP($I1787,Dashboard!$Q$15:$R$20,2,FALSE)*IF($E1787="Red",Dashboard!$R$6,IF($E1787="Gold",Dashboard!$R$7,Dashboard!$R$5))*IF(ISNUMBER(SEARCH("Duals",$B1787)),2,IF(ISNUMBER(SEARCH("Triples",$B1787)),3,IF(ISNUMBER(SEARCH("Quads",$B1787)),4,1))),2))*IF(IFERROR(VLOOKUP($B1787,Dashboard!$Q$28:$S$60,3,FALSE),0)&gt;0,VLOOKUP($B1787,Dashboard!$Q$28:$S$60,3,FALSE),1))),0))</f>
        <v>1</v>
      </c>
      <c r="K1787" s="2" t="str">
        <f>IF('Inserts - Story'!D37="","",'Inserts - Story'!D37)</f>
        <v>h</v>
      </c>
      <c r="L1787" s="2">
        <f t="shared" si="351"/>
        <v>1</v>
      </c>
      <c r="M1787" s="2">
        <f t="shared" si="352"/>
        <v>0</v>
      </c>
      <c r="N1787" s="2">
        <f t="shared" si="353"/>
        <v>1</v>
      </c>
      <c r="O1787" s="2">
        <f t="shared" si="354"/>
        <v>0</v>
      </c>
      <c r="P1787" s="112">
        <f t="shared" si="355"/>
        <v>1</v>
      </c>
      <c r="Q1787" s="112">
        <f t="shared" si="356"/>
        <v>0</v>
      </c>
      <c r="R1787" s="53"/>
      <c r="S1787" s="53" t="str">
        <f t="shared" si="357"/>
        <v>Inserts - Story|In Memory Of...|IMO-6|Base</v>
      </c>
      <c r="T1787" s="57">
        <f>IF($S1787="","",IFERROR(VLOOKUP($S1787,'Pop Estimates (Non-#d)'!$N$2:$O$500,2,FALSE),""))</f>
        <v>13680</v>
      </c>
      <c r="U1787" s="57">
        <f t="shared" si="358"/>
        <v>13680</v>
      </c>
      <c r="V1787" s="53" t="str">
        <f t="shared" si="359"/>
        <v/>
      </c>
      <c r="W1787" s="53" t="str">
        <f t="shared" si="360"/>
        <v/>
      </c>
      <c r="X1787" s="53" t="str">
        <f t="shared" si="361"/>
        <v/>
      </c>
      <c r="Y1787" s="57" t="str">
        <f>IF($X1787="","",IFERROR(VLOOKUP($X1787,'Char Popularity'!$A$2:$C$500,2,FALSE),""))</f>
        <v/>
      </c>
      <c r="Z1787" s="56">
        <f>IF($X1787="",1,IFERROR(VLOOKUP($X1787,'Char Popularity'!$A$2:$C$500,3,FALSE),1))</f>
        <v>1</v>
      </c>
      <c r="AA1787" s="62">
        <f>IF($H1787&lt;&gt;"Y",0,(IF($F1787&lt;&gt;"",ROUND(Dashboard!$R$4/$F1787,1),IF(AND($I1787="Base",$E1787="Base"),Dashboard!$R$5,IF(AND($I1787="Base",$E1787="Red"),Dashboard!$R$6,IF(AND($I1787="Base",$E1787="Gold"),Dashboard!$R$7,VLOOKUP($I1787,Dashboard!$Q$16:$R$21,2,FALSE)))))*VLOOKUP($I1787,Dashboard!$Q$9:$R$13,2,FALSE)*IF(AND($I1787="Auto",$F1787="",OR($B1787="Autographs Duals",$B1787="Autographs Triples",$B1787="Autographs Quads",$B1787="Autographs Quads (Inscribed)")),IF($B1787="Autographs Duals",2,IF($B1787="Autographs Triples",3,4)),1)))</f>
        <v>6</v>
      </c>
      <c r="AB1787" s="62">
        <f t="shared" si="362"/>
        <v>6</v>
      </c>
      <c r="AC1787" s="62">
        <f t="shared" si="363"/>
        <v>0</v>
      </c>
    </row>
    <row r="1788" spans="1:29" ht="28.7" customHeight="1" x14ac:dyDescent="0.25">
      <c r="A1788" s="4" t="s">
        <v>23</v>
      </c>
      <c r="B1788" s="7" t="s">
        <v>105</v>
      </c>
      <c r="C1788" s="2" t="s">
        <v>726</v>
      </c>
      <c r="D1788" s="7" t="s">
        <v>352</v>
      </c>
      <c r="E1788" s="4" t="s">
        <v>60</v>
      </c>
      <c r="F1788" s="2"/>
      <c r="G1788" s="2" t="s">
        <v>1399</v>
      </c>
      <c r="H1788" s="2" t="s">
        <v>1400</v>
      </c>
      <c r="I1788" s="4" t="s">
        <v>62</v>
      </c>
      <c r="J1788" s="112">
        <f>IF($H1788&lt;&gt;"Y",0,ROUND(MIN(Dashboard!$R$24,IF(IFERROR(VLOOKUP($B1788,Dashboard!$Q$28:$S$60,2,FALSE),0)&gt;0,IFERROR(VLOOKUP($B1788,Dashboard!$Q$28:$S$60,2,FALSE),0),$Z1788*IF($U1788&lt;&gt;"",ROUND((Dashboard!$R$4/$U1788)*VLOOKUP($I1788,Dashboard!$Q$9:$R$13,2,FALSE)*IF(ISNUMBER(SEARCH("Duals",$B1788)),2,IF(ISNUMBER(SEARCH("Triples",$B1788)),3,IF(ISNUMBER(SEARCH("Quads",$B1788)),4,1))),2),ROUND(VLOOKUP($I1788,Dashboard!$Q$15:$R$20,2,FALSE)*IF($E1788="Red",Dashboard!$R$6,IF($E1788="Gold",Dashboard!$R$7,Dashboard!$R$5))*IF(ISNUMBER(SEARCH("Duals",$B1788)),2,IF(ISNUMBER(SEARCH("Triples",$B1788)),3,IF(ISNUMBER(SEARCH("Quads",$B1788)),4,1))),2))*IF(IFERROR(VLOOKUP($B1788,Dashboard!$Q$28:$S$60,3,FALSE),0)&gt;0,VLOOKUP($B1788,Dashboard!$Q$28:$S$60,3,FALSE),1))),0))</f>
        <v>1</v>
      </c>
      <c r="K1788" s="2" t="str">
        <f>IF('Inserts - Story'!D38="","",'Inserts - Story'!D38)</f>
        <v>h</v>
      </c>
      <c r="L1788" s="2">
        <f t="shared" si="351"/>
        <v>1</v>
      </c>
      <c r="M1788" s="2">
        <f t="shared" si="352"/>
        <v>0</v>
      </c>
      <c r="N1788" s="2">
        <f t="shared" si="353"/>
        <v>1</v>
      </c>
      <c r="O1788" s="2">
        <f t="shared" si="354"/>
        <v>0</v>
      </c>
      <c r="P1788" s="112">
        <f t="shared" si="355"/>
        <v>1</v>
      </c>
      <c r="Q1788" s="112">
        <f t="shared" si="356"/>
        <v>0</v>
      </c>
      <c r="R1788" s="53"/>
      <c r="S1788" s="53" t="str">
        <f t="shared" si="357"/>
        <v>Inserts - Story|In Memory Of...|IMO-7|Base</v>
      </c>
      <c r="T1788" s="57">
        <f>IF($S1788="","",IFERROR(VLOOKUP($S1788,'Pop Estimates (Non-#d)'!$N$2:$O$500,2,FALSE),""))</f>
        <v>13680</v>
      </c>
      <c r="U1788" s="57">
        <f t="shared" si="358"/>
        <v>13680</v>
      </c>
      <c r="V1788" s="53" t="str">
        <f t="shared" si="359"/>
        <v/>
      </c>
      <c r="W1788" s="53" t="str">
        <f t="shared" si="360"/>
        <v/>
      </c>
      <c r="X1788" s="53" t="str">
        <f t="shared" si="361"/>
        <v/>
      </c>
      <c r="Y1788" s="57" t="str">
        <f>IF($X1788="","",IFERROR(VLOOKUP($X1788,'Char Popularity'!$A$2:$C$500,2,FALSE),""))</f>
        <v/>
      </c>
      <c r="Z1788" s="56">
        <f>IF($X1788="",1,IFERROR(VLOOKUP($X1788,'Char Popularity'!$A$2:$C$500,3,FALSE),1))</f>
        <v>1</v>
      </c>
      <c r="AA1788" s="62">
        <f>IF($H1788&lt;&gt;"Y",0,(IF($F1788&lt;&gt;"",ROUND(Dashboard!$R$4/$F1788,1),IF(AND($I1788="Base",$E1788="Base"),Dashboard!$R$5,IF(AND($I1788="Base",$E1788="Red"),Dashboard!$R$6,IF(AND($I1788="Base",$E1788="Gold"),Dashboard!$R$7,VLOOKUP($I1788,Dashboard!$Q$16:$R$21,2,FALSE)))))*VLOOKUP($I1788,Dashboard!$Q$9:$R$13,2,FALSE)*IF(AND($I1788="Auto",$F1788="",OR($B1788="Autographs Duals",$B1788="Autographs Triples",$B1788="Autographs Quads",$B1788="Autographs Quads (Inscribed)")),IF($B1788="Autographs Duals",2,IF($B1788="Autographs Triples",3,4)),1)))</f>
        <v>6</v>
      </c>
      <c r="AB1788" s="62">
        <f t="shared" si="362"/>
        <v>6</v>
      </c>
      <c r="AC1788" s="62">
        <f t="shared" si="363"/>
        <v>0</v>
      </c>
    </row>
    <row r="1789" spans="1:29" ht="28.7" customHeight="1" x14ac:dyDescent="0.25">
      <c r="A1789" s="4" t="s">
        <v>23</v>
      </c>
      <c r="B1789" s="7" t="s">
        <v>105</v>
      </c>
      <c r="C1789" s="2" t="s">
        <v>727</v>
      </c>
      <c r="D1789" s="7" t="s">
        <v>537</v>
      </c>
      <c r="E1789" s="4" t="s">
        <v>60</v>
      </c>
      <c r="F1789" s="2"/>
      <c r="G1789" s="2" t="s">
        <v>1399</v>
      </c>
      <c r="H1789" s="2" t="s">
        <v>1400</v>
      </c>
      <c r="I1789" s="4" t="s">
        <v>62</v>
      </c>
      <c r="J1789" s="112">
        <f>IF($H1789&lt;&gt;"Y",0,ROUND(MIN(Dashboard!$R$24,IF(IFERROR(VLOOKUP($B1789,Dashboard!$Q$28:$S$60,2,FALSE),0)&gt;0,IFERROR(VLOOKUP($B1789,Dashboard!$Q$28:$S$60,2,FALSE),0),$Z1789*IF($U1789&lt;&gt;"",ROUND((Dashboard!$R$4/$U1789)*VLOOKUP($I1789,Dashboard!$Q$9:$R$13,2,FALSE)*IF(ISNUMBER(SEARCH("Duals",$B1789)),2,IF(ISNUMBER(SEARCH("Triples",$B1789)),3,IF(ISNUMBER(SEARCH("Quads",$B1789)),4,1))),2),ROUND(VLOOKUP($I1789,Dashboard!$Q$15:$R$20,2,FALSE)*IF($E1789="Red",Dashboard!$R$6,IF($E1789="Gold",Dashboard!$R$7,Dashboard!$R$5))*IF(ISNUMBER(SEARCH("Duals",$B1789)),2,IF(ISNUMBER(SEARCH("Triples",$B1789)),3,IF(ISNUMBER(SEARCH("Quads",$B1789)),4,1))),2))*IF(IFERROR(VLOOKUP($B1789,Dashboard!$Q$28:$S$60,3,FALSE),0)&gt;0,VLOOKUP($B1789,Dashboard!$Q$28:$S$60,3,FALSE),1))),0))</f>
        <v>1</v>
      </c>
      <c r="K1789" s="2" t="str">
        <f>IF('Inserts - Story'!D39="","",'Inserts - Story'!D39)</f>
        <v>h</v>
      </c>
      <c r="L1789" s="2">
        <f t="shared" si="351"/>
        <v>1</v>
      </c>
      <c r="M1789" s="2">
        <f t="shared" si="352"/>
        <v>0</v>
      </c>
      <c r="N1789" s="2">
        <f t="shared" si="353"/>
        <v>1</v>
      </c>
      <c r="O1789" s="2">
        <f t="shared" si="354"/>
        <v>0</v>
      </c>
      <c r="P1789" s="112">
        <f t="shared" si="355"/>
        <v>1</v>
      </c>
      <c r="Q1789" s="112">
        <f t="shared" si="356"/>
        <v>0</v>
      </c>
      <c r="R1789" s="53"/>
      <c r="S1789" s="53" t="str">
        <f t="shared" si="357"/>
        <v>Inserts - Story|In Memory Of...|IMO-8|Base</v>
      </c>
      <c r="T1789" s="57">
        <f>IF($S1789="","",IFERROR(VLOOKUP($S1789,'Pop Estimates (Non-#d)'!$N$2:$O$500,2,FALSE),""))</f>
        <v>13680</v>
      </c>
      <c r="U1789" s="57">
        <f t="shared" si="358"/>
        <v>13680</v>
      </c>
      <c r="V1789" s="53" t="str">
        <f t="shared" si="359"/>
        <v/>
      </c>
      <c r="W1789" s="53" t="str">
        <f t="shared" si="360"/>
        <v/>
      </c>
      <c r="X1789" s="53" t="str">
        <f t="shared" si="361"/>
        <v/>
      </c>
      <c r="Y1789" s="57" t="str">
        <f>IF($X1789="","",IFERROR(VLOOKUP($X1789,'Char Popularity'!$A$2:$C$500,2,FALSE),""))</f>
        <v/>
      </c>
      <c r="Z1789" s="56">
        <f>IF($X1789="",1,IFERROR(VLOOKUP($X1789,'Char Popularity'!$A$2:$C$500,3,FALSE),1))</f>
        <v>1</v>
      </c>
      <c r="AA1789" s="62">
        <f>IF($H1789&lt;&gt;"Y",0,(IF($F1789&lt;&gt;"",ROUND(Dashboard!$R$4/$F1789,1),IF(AND($I1789="Base",$E1789="Base"),Dashboard!$R$5,IF(AND($I1789="Base",$E1789="Red"),Dashboard!$R$6,IF(AND($I1789="Base",$E1789="Gold"),Dashboard!$R$7,VLOOKUP($I1789,Dashboard!$Q$16:$R$21,2,FALSE)))))*VLOOKUP($I1789,Dashboard!$Q$9:$R$13,2,FALSE)*IF(AND($I1789="Auto",$F1789="",OR($B1789="Autographs Duals",$B1789="Autographs Triples",$B1789="Autographs Quads",$B1789="Autographs Quads (Inscribed)")),IF($B1789="Autographs Duals",2,IF($B1789="Autographs Triples",3,4)),1)))</f>
        <v>6</v>
      </c>
      <c r="AB1789" s="62">
        <f t="shared" si="362"/>
        <v>6</v>
      </c>
      <c r="AC1789" s="62">
        <f t="shared" si="363"/>
        <v>0</v>
      </c>
    </row>
    <row r="1790" spans="1:29" ht="28.7" customHeight="1" x14ac:dyDescent="0.25">
      <c r="A1790" s="4" t="s">
        <v>23</v>
      </c>
      <c r="B1790" s="7" t="s">
        <v>105</v>
      </c>
      <c r="C1790" s="2" t="s">
        <v>728</v>
      </c>
      <c r="D1790" s="7" t="s">
        <v>441</v>
      </c>
      <c r="E1790" s="4" t="s">
        <v>60</v>
      </c>
      <c r="F1790" s="2"/>
      <c r="G1790" s="2" t="s">
        <v>1399</v>
      </c>
      <c r="H1790" s="2" t="s">
        <v>1400</v>
      </c>
      <c r="I1790" s="4" t="s">
        <v>62</v>
      </c>
      <c r="J1790" s="112">
        <f>IF($H1790&lt;&gt;"Y",0,ROUND(MIN(Dashboard!$R$24,IF(IFERROR(VLOOKUP($B1790,Dashboard!$Q$28:$S$60,2,FALSE),0)&gt;0,IFERROR(VLOOKUP($B1790,Dashboard!$Q$28:$S$60,2,FALSE),0),$Z1790*IF($U1790&lt;&gt;"",ROUND((Dashboard!$R$4/$U1790)*VLOOKUP($I1790,Dashboard!$Q$9:$R$13,2,FALSE)*IF(ISNUMBER(SEARCH("Duals",$B1790)),2,IF(ISNUMBER(SEARCH("Triples",$B1790)),3,IF(ISNUMBER(SEARCH("Quads",$B1790)),4,1))),2),ROUND(VLOOKUP($I1790,Dashboard!$Q$15:$R$20,2,FALSE)*IF($E1790="Red",Dashboard!$R$6,IF($E1790="Gold",Dashboard!$R$7,Dashboard!$R$5))*IF(ISNUMBER(SEARCH("Duals",$B1790)),2,IF(ISNUMBER(SEARCH("Triples",$B1790)),3,IF(ISNUMBER(SEARCH("Quads",$B1790)),4,1))),2))*IF(IFERROR(VLOOKUP($B1790,Dashboard!$Q$28:$S$60,3,FALSE),0)&gt;0,VLOOKUP($B1790,Dashboard!$Q$28:$S$60,3,FALSE),1))),0))</f>
        <v>1</v>
      </c>
      <c r="K1790" s="2" t="str">
        <f>IF('Inserts - Story'!D40="","",'Inserts - Story'!D40)</f>
        <v>h</v>
      </c>
      <c r="L1790" s="2">
        <f t="shared" si="351"/>
        <v>1</v>
      </c>
      <c r="M1790" s="2">
        <f t="shared" si="352"/>
        <v>0</v>
      </c>
      <c r="N1790" s="2">
        <f t="shared" si="353"/>
        <v>1</v>
      </c>
      <c r="O1790" s="2">
        <f t="shared" si="354"/>
        <v>0</v>
      </c>
      <c r="P1790" s="112">
        <f t="shared" si="355"/>
        <v>1</v>
      </c>
      <c r="Q1790" s="112">
        <f t="shared" si="356"/>
        <v>0</v>
      </c>
      <c r="R1790" s="53"/>
      <c r="S1790" s="53" t="str">
        <f t="shared" si="357"/>
        <v>Inserts - Story|In Memory Of...|IMO-9|Base</v>
      </c>
      <c r="T1790" s="57">
        <f>IF($S1790="","",IFERROR(VLOOKUP($S1790,'Pop Estimates (Non-#d)'!$N$2:$O$500,2,FALSE),""))</f>
        <v>13680</v>
      </c>
      <c r="U1790" s="57">
        <f t="shared" si="358"/>
        <v>13680</v>
      </c>
      <c r="V1790" s="53" t="str">
        <f t="shared" si="359"/>
        <v/>
      </c>
      <c r="W1790" s="53" t="str">
        <f t="shared" si="360"/>
        <v/>
      </c>
      <c r="X1790" s="53" t="str">
        <f t="shared" si="361"/>
        <v/>
      </c>
      <c r="Y1790" s="57" t="str">
        <f>IF($X1790="","",IFERROR(VLOOKUP($X1790,'Char Popularity'!$A$2:$C$500,2,FALSE),""))</f>
        <v/>
      </c>
      <c r="Z1790" s="56">
        <f>IF($X1790="",1,IFERROR(VLOOKUP($X1790,'Char Popularity'!$A$2:$C$500,3,FALSE),1))</f>
        <v>1</v>
      </c>
      <c r="AA1790" s="62">
        <f>IF($H1790&lt;&gt;"Y",0,(IF($F1790&lt;&gt;"",ROUND(Dashboard!$R$4/$F1790,1),IF(AND($I1790="Base",$E1790="Base"),Dashboard!$R$5,IF(AND($I1790="Base",$E1790="Red"),Dashboard!$R$6,IF(AND($I1790="Base",$E1790="Gold"),Dashboard!$R$7,VLOOKUP($I1790,Dashboard!$Q$16:$R$21,2,FALSE)))))*VLOOKUP($I1790,Dashboard!$Q$9:$R$13,2,FALSE)*IF(AND($I1790="Auto",$F1790="",OR($B1790="Autographs Duals",$B1790="Autographs Triples",$B1790="Autographs Quads",$B1790="Autographs Quads (Inscribed)")),IF($B1790="Autographs Duals",2,IF($B1790="Autographs Triples",3,4)),1)))</f>
        <v>6</v>
      </c>
      <c r="AB1790" s="62">
        <f t="shared" si="362"/>
        <v>6</v>
      </c>
      <c r="AC1790" s="62">
        <f t="shared" si="363"/>
        <v>0</v>
      </c>
    </row>
    <row r="1791" spans="1:29" ht="28.7" customHeight="1" x14ac:dyDescent="0.25">
      <c r="A1791" s="4" t="s">
        <v>23</v>
      </c>
      <c r="B1791" s="7" t="s">
        <v>105</v>
      </c>
      <c r="C1791" s="2" t="s">
        <v>710</v>
      </c>
      <c r="D1791" s="7" t="s">
        <v>458</v>
      </c>
      <c r="E1791" s="4" t="s">
        <v>60</v>
      </c>
      <c r="F1791" s="2"/>
      <c r="G1791" s="2" t="s">
        <v>1399</v>
      </c>
      <c r="H1791" s="2" t="s">
        <v>1400</v>
      </c>
      <c r="I1791" s="4" t="s">
        <v>62</v>
      </c>
      <c r="J1791" s="112">
        <f>IF($H1791&lt;&gt;"Y",0,ROUND(MIN(Dashboard!$R$24,IF(IFERROR(VLOOKUP($B1791,Dashboard!$Q$28:$S$60,2,FALSE),0)&gt;0,IFERROR(VLOOKUP($B1791,Dashboard!$Q$28:$S$60,2,FALSE),0),$Z1791*IF($U1791&lt;&gt;"",ROUND((Dashboard!$R$4/$U1791)*VLOOKUP($I1791,Dashboard!$Q$9:$R$13,2,FALSE)*IF(ISNUMBER(SEARCH("Duals",$B1791)),2,IF(ISNUMBER(SEARCH("Triples",$B1791)),3,IF(ISNUMBER(SEARCH("Quads",$B1791)),4,1))),2),ROUND(VLOOKUP($I1791,Dashboard!$Q$15:$R$20,2,FALSE)*IF($E1791="Red",Dashboard!$R$6,IF($E1791="Gold",Dashboard!$R$7,Dashboard!$R$5))*IF(ISNUMBER(SEARCH("Duals",$B1791)),2,IF(ISNUMBER(SEARCH("Triples",$B1791)),3,IF(ISNUMBER(SEARCH("Quads",$B1791)),4,1))),2))*IF(IFERROR(VLOOKUP($B1791,Dashboard!$Q$28:$S$60,3,FALSE),0)&gt;0,VLOOKUP($B1791,Dashboard!$Q$28:$S$60,3,FALSE),1))),0))</f>
        <v>1</v>
      </c>
      <c r="K1791" s="2" t="str">
        <f>IF('Inserts - Story'!D41="","",'Inserts - Story'!D41)</f>
        <v>h</v>
      </c>
      <c r="L1791" s="2">
        <f t="shared" si="351"/>
        <v>1</v>
      </c>
      <c r="M1791" s="2">
        <f t="shared" si="352"/>
        <v>0</v>
      </c>
      <c r="N1791" s="2">
        <f t="shared" si="353"/>
        <v>1</v>
      </c>
      <c r="O1791" s="2">
        <f t="shared" si="354"/>
        <v>0</v>
      </c>
      <c r="P1791" s="112">
        <f t="shared" si="355"/>
        <v>1</v>
      </c>
      <c r="Q1791" s="112">
        <f t="shared" si="356"/>
        <v>0</v>
      </c>
      <c r="R1791" s="53"/>
      <c r="S1791" s="53" t="str">
        <f t="shared" si="357"/>
        <v>Inserts - Story|In Memory Of...|IMO-10|Base</v>
      </c>
      <c r="T1791" s="57">
        <f>IF($S1791="","",IFERROR(VLOOKUP($S1791,'Pop Estimates (Non-#d)'!$N$2:$O$500,2,FALSE),""))</f>
        <v>13680</v>
      </c>
      <c r="U1791" s="57">
        <f t="shared" si="358"/>
        <v>13680</v>
      </c>
      <c r="V1791" s="53" t="str">
        <f t="shared" si="359"/>
        <v/>
      </c>
      <c r="W1791" s="53" t="str">
        <f t="shared" si="360"/>
        <v/>
      </c>
      <c r="X1791" s="53" t="str">
        <f t="shared" si="361"/>
        <v/>
      </c>
      <c r="Y1791" s="57" t="str">
        <f>IF($X1791="","",IFERROR(VLOOKUP($X1791,'Char Popularity'!$A$2:$C$500,2,FALSE),""))</f>
        <v/>
      </c>
      <c r="Z1791" s="56">
        <f>IF($X1791="",1,IFERROR(VLOOKUP($X1791,'Char Popularity'!$A$2:$C$500,3,FALSE),1))</f>
        <v>1</v>
      </c>
      <c r="AA1791" s="62">
        <f>IF($H1791&lt;&gt;"Y",0,(IF($F1791&lt;&gt;"",ROUND(Dashboard!$R$4/$F1791,1),IF(AND($I1791="Base",$E1791="Base"),Dashboard!$R$5,IF(AND($I1791="Base",$E1791="Red"),Dashboard!$R$6,IF(AND($I1791="Base",$E1791="Gold"),Dashboard!$R$7,VLOOKUP($I1791,Dashboard!$Q$16:$R$21,2,FALSE)))))*VLOOKUP($I1791,Dashboard!$Q$9:$R$13,2,FALSE)*IF(AND($I1791="Auto",$F1791="",OR($B1791="Autographs Duals",$B1791="Autographs Triples",$B1791="Autographs Quads",$B1791="Autographs Quads (Inscribed)")),IF($B1791="Autographs Duals",2,IF($B1791="Autographs Triples",3,4)),1)))</f>
        <v>6</v>
      </c>
      <c r="AB1791" s="62">
        <f t="shared" si="362"/>
        <v>6</v>
      </c>
      <c r="AC1791" s="62">
        <f t="shared" si="363"/>
        <v>0</v>
      </c>
    </row>
    <row r="1792" spans="1:29" ht="28.7" customHeight="1" x14ac:dyDescent="0.25">
      <c r="A1792" s="4" t="s">
        <v>23</v>
      </c>
      <c r="B1792" s="7" t="s">
        <v>105</v>
      </c>
      <c r="C1792" s="2" t="s">
        <v>711</v>
      </c>
      <c r="D1792" s="7" t="s">
        <v>712</v>
      </c>
      <c r="E1792" s="4" t="s">
        <v>60</v>
      </c>
      <c r="F1792" s="2"/>
      <c r="G1792" s="2" t="s">
        <v>1399</v>
      </c>
      <c r="H1792" s="2" t="s">
        <v>1400</v>
      </c>
      <c r="I1792" s="4" t="s">
        <v>62</v>
      </c>
      <c r="J1792" s="112">
        <f>IF($H1792&lt;&gt;"Y",0,ROUND(MIN(Dashboard!$R$24,IF(IFERROR(VLOOKUP($B1792,Dashboard!$Q$28:$S$60,2,FALSE),0)&gt;0,IFERROR(VLOOKUP($B1792,Dashboard!$Q$28:$S$60,2,FALSE),0),$Z1792*IF($U1792&lt;&gt;"",ROUND((Dashboard!$R$4/$U1792)*VLOOKUP($I1792,Dashboard!$Q$9:$R$13,2,FALSE)*IF(ISNUMBER(SEARCH("Duals",$B1792)),2,IF(ISNUMBER(SEARCH("Triples",$B1792)),3,IF(ISNUMBER(SEARCH("Quads",$B1792)),4,1))),2),ROUND(VLOOKUP($I1792,Dashboard!$Q$15:$R$20,2,FALSE)*IF($E1792="Red",Dashboard!$R$6,IF($E1792="Gold",Dashboard!$R$7,Dashboard!$R$5))*IF(ISNUMBER(SEARCH("Duals",$B1792)),2,IF(ISNUMBER(SEARCH("Triples",$B1792)),3,IF(ISNUMBER(SEARCH("Quads",$B1792)),4,1))),2))*IF(IFERROR(VLOOKUP($B1792,Dashboard!$Q$28:$S$60,3,FALSE),0)&gt;0,VLOOKUP($B1792,Dashboard!$Q$28:$S$60,3,FALSE),1))),0))</f>
        <v>1</v>
      </c>
      <c r="K1792" s="2" t="str">
        <f>IF('Inserts - Story'!D42="","",'Inserts - Story'!D42)</f>
        <v>h</v>
      </c>
      <c r="L1792" s="2">
        <f t="shared" si="351"/>
        <v>1</v>
      </c>
      <c r="M1792" s="2">
        <f t="shared" si="352"/>
        <v>0</v>
      </c>
      <c r="N1792" s="2">
        <f t="shared" si="353"/>
        <v>1</v>
      </c>
      <c r="O1792" s="2">
        <f t="shared" si="354"/>
        <v>0</v>
      </c>
      <c r="P1792" s="112">
        <f t="shared" si="355"/>
        <v>1</v>
      </c>
      <c r="Q1792" s="112">
        <f t="shared" si="356"/>
        <v>0</v>
      </c>
      <c r="R1792" s="53"/>
      <c r="S1792" s="53" t="str">
        <f t="shared" si="357"/>
        <v>Inserts - Story|In Memory Of...|IMO-11|Base</v>
      </c>
      <c r="T1792" s="57">
        <f>IF($S1792="","",IFERROR(VLOOKUP($S1792,'Pop Estimates (Non-#d)'!$N$2:$O$500,2,FALSE),""))</f>
        <v>13680</v>
      </c>
      <c r="U1792" s="57">
        <f t="shared" si="358"/>
        <v>13680</v>
      </c>
      <c r="V1792" s="53" t="str">
        <f t="shared" si="359"/>
        <v/>
      </c>
      <c r="W1792" s="53" t="str">
        <f t="shared" si="360"/>
        <v/>
      </c>
      <c r="X1792" s="53" t="str">
        <f t="shared" si="361"/>
        <v/>
      </c>
      <c r="Y1792" s="57" t="str">
        <f>IF($X1792="","",IFERROR(VLOOKUP($X1792,'Char Popularity'!$A$2:$C$500,2,FALSE),""))</f>
        <v/>
      </c>
      <c r="Z1792" s="56">
        <f>IF($X1792="",1,IFERROR(VLOOKUP($X1792,'Char Popularity'!$A$2:$C$500,3,FALSE),1))</f>
        <v>1</v>
      </c>
      <c r="AA1792" s="62">
        <f>IF($H1792&lt;&gt;"Y",0,(IF($F1792&lt;&gt;"",ROUND(Dashboard!$R$4/$F1792,1),IF(AND($I1792="Base",$E1792="Base"),Dashboard!$R$5,IF(AND($I1792="Base",$E1792="Red"),Dashboard!$R$6,IF(AND($I1792="Base",$E1792="Gold"),Dashboard!$R$7,VLOOKUP($I1792,Dashboard!$Q$16:$R$21,2,FALSE)))))*VLOOKUP($I1792,Dashboard!$Q$9:$R$13,2,FALSE)*IF(AND($I1792="Auto",$F1792="",OR($B1792="Autographs Duals",$B1792="Autographs Triples",$B1792="Autographs Quads",$B1792="Autographs Quads (Inscribed)")),IF($B1792="Autographs Duals",2,IF($B1792="Autographs Triples",3,4)),1)))</f>
        <v>6</v>
      </c>
      <c r="AB1792" s="62">
        <f t="shared" si="362"/>
        <v>6</v>
      </c>
      <c r="AC1792" s="62">
        <f t="shared" si="363"/>
        <v>0</v>
      </c>
    </row>
    <row r="1793" spans="1:29" ht="28.7" customHeight="1" x14ac:dyDescent="0.25">
      <c r="A1793" s="4" t="s">
        <v>23</v>
      </c>
      <c r="B1793" s="7" t="s">
        <v>105</v>
      </c>
      <c r="C1793" s="2" t="s">
        <v>713</v>
      </c>
      <c r="D1793" s="7" t="s">
        <v>714</v>
      </c>
      <c r="E1793" s="4" t="s">
        <v>60</v>
      </c>
      <c r="F1793" s="2"/>
      <c r="G1793" s="2" t="s">
        <v>1399</v>
      </c>
      <c r="H1793" s="2" t="s">
        <v>1400</v>
      </c>
      <c r="I1793" s="4" t="s">
        <v>62</v>
      </c>
      <c r="J1793" s="112">
        <f>IF($H1793&lt;&gt;"Y",0,ROUND(MIN(Dashboard!$R$24,IF(IFERROR(VLOOKUP($B1793,Dashboard!$Q$28:$S$60,2,FALSE),0)&gt;0,IFERROR(VLOOKUP($B1793,Dashboard!$Q$28:$S$60,2,FALSE),0),$Z1793*IF($U1793&lt;&gt;"",ROUND((Dashboard!$R$4/$U1793)*VLOOKUP($I1793,Dashboard!$Q$9:$R$13,2,FALSE)*IF(ISNUMBER(SEARCH("Duals",$B1793)),2,IF(ISNUMBER(SEARCH("Triples",$B1793)),3,IF(ISNUMBER(SEARCH("Quads",$B1793)),4,1))),2),ROUND(VLOOKUP($I1793,Dashboard!$Q$15:$R$20,2,FALSE)*IF($E1793="Red",Dashboard!$R$6,IF($E1793="Gold",Dashboard!$R$7,Dashboard!$R$5))*IF(ISNUMBER(SEARCH("Duals",$B1793)),2,IF(ISNUMBER(SEARCH("Triples",$B1793)),3,IF(ISNUMBER(SEARCH("Quads",$B1793)),4,1))),2))*IF(IFERROR(VLOOKUP($B1793,Dashboard!$Q$28:$S$60,3,FALSE),0)&gt;0,VLOOKUP($B1793,Dashboard!$Q$28:$S$60,3,FALSE),1))),0))</f>
        <v>1</v>
      </c>
      <c r="K1793" s="2" t="str">
        <f>IF('Inserts - Story'!D43="","",'Inserts - Story'!D43)</f>
        <v>h</v>
      </c>
      <c r="L1793" s="2">
        <f t="shared" si="351"/>
        <v>1</v>
      </c>
      <c r="M1793" s="2">
        <f t="shared" si="352"/>
        <v>0</v>
      </c>
      <c r="N1793" s="2">
        <f t="shared" si="353"/>
        <v>1</v>
      </c>
      <c r="O1793" s="2">
        <f t="shared" si="354"/>
        <v>0</v>
      </c>
      <c r="P1793" s="112">
        <f t="shared" si="355"/>
        <v>1</v>
      </c>
      <c r="Q1793" s="112">
        <f t="shared" si="356"/>
        <v>0</v>
      </c>
      <c r="R1793" s="53"/>
      <c r="S1793" s="53" t="str">
        <f t="shared" si="357"/>
        <v>Inserts - Story|In Memory Of...|IMO-12|Base</v>
      </c>
      <c r="T1793" s="57">
        <f>IF($S1793="","",IFERROR(VLOOKUP($S1793,'Pop Estimates (Non-#d)'!$N$2:$O$500,2,FALSE),""))</f>
        <v>13680</v>
      </c>
      <c r="U1793" s="57">
        <f t="shared" si="358"/>
        <v>13680</v>
      </c>
      <c r="V1793" s="53" t="str">
        <f t="shared" si="359"/>
        <v/>
      </c>
      <c r="W1793" s="53" t="str">
        <f t="shared" si="360"/>
        <v/>
      </c>
      <c r="X1793" s="53" t="str">
        <f t="shared" si="361"/>
        <v/>
      </c>
      <c r="Y1793" s="57" t="str">
        <f>IF($X1793="","",IFERROR(VLOOKUP($X1793,'Char Popularity'!$A$2:$C$500,2,FALSE),""))</f>
        <v/>
      </c>
      <c r="Z1793" s="56">
        <f>IF($X1793="",1,IFERROR(VLOOKUP($X1793,'Char Popularity'!$A$2:$C$500,3,FALSE),1))</f>
        <v>1</v>
      </c>
      <c r="AA1793" s="62">
        <f>IF($H1793&lt;&gt;"Y",0,(IF($F1793&lt;&gt;"",ROUND(Dashboard!$R$4/$F1793,1),IF(AND($I1793="Base",$E1793="Base"),Dashboard!$R$5,IF(AND($I1793="Base",$E1793="Red"),Dashboard!$R$6,IF(AND($I1793="Base",$E1793="Gold"),Dashboard!$R$7,VLOOKUP($I1793,Dashboard!$Q$16:$R$21,2,FALSE)))))*VLOOKUP($I1793,Dashboard!$Q$9:$R$13,2,FALSE)*IF(AND($I1793="Auto",$F1793="",OR($B1793="Autographs Duals",$B1793="Autographs Triples",$B1793="Autographs Quads",$B1793="Autographs Quads (Inscribed)")),IF($B1793="Autographs Duals",2,IF($B1793="Autographs Triples",3,4)),1)))</f>
        <v>6</v>
      </c>
      <c r="AB1793" s="62">
        <f t="shared" si="362"/>
        <v>6</v>
      </c>
      <c r="AC1793" s="62">
        <f t="shared" si="363"/>
        <v>0</v>
      </c>
    </row>
    <row r="1794" spans="1:29" ht="28.7" customHeight="1" x14ac:dyDescent="0.25">
      <c r="A1794" s="4" t="s">
        <v>23</v>
      </c>
      <c r="B1794" s="7" t="s">
        <v>105</v>
      </c>
      <c r="C1794" s="2" t="s">
        <v>715</v>
      </c>
      <c r="D1794" s="7" t="s">
        <v>716</v>
      </c>
      <c r="E1794" s="4" t="s">
        <v>60</v>
      </c>
      <c r="F1794" s="2"/>
      <c r="G1794" s="2" t="s">
        <v>1399</v>
      </c>
      <c r="H1794" s="2" t="s">
        <v>1400</v>
      </c>
      <c r="I1794" s="4" t="s">
        <v>62</v>
      </c>
      <c r="J1794" s="112">
        <f>IF($H1794&lt;&gt;"Y",0,ROUND(MIN(Dashboard!$R$24,IF(IFERROR(VLOOKUP($B1794,Dashboard!$Q$28:$S$60,2,FALSE),0)&gt;0,IFERROR(VLOOKUP($B1794,Dashboard!$Q$28:$S$60,2,FALSE),0),$Z1794*IF($U1794&lt;&gt;"",ROUND((Dashboard!$R$4/$U1794)*VLOOKUP($I1794,Dashboard!$Q$9:$R$13,2,FALSE)*IF(ISNUMBER(SEARCH("Duals",$B1794)),2,IF(ISNUMBER(SEARCH("Triples",$B1794)),3,IF(ISNUMBER(SEARCH("Quads",$B1794)),4,1))),2),ROUND(VLOOKUP($I1794,Dashboard!$Q$15:$R$20,2,FALSE)*IF($E1794="Red",Dashboard!$R$6,IF($E1794="Gold",Dashboard!$R$7,Dashboard!$R$5))*IF(ISNUMBER(SEARCH("Duals",$B1794)),2,IF(ISNUMBER(SEARCH("Triples",$B1794)),3,IF(ISNUMBER(SEARCH("Quads",$B1794)),4,1))),2))*IF(IFERROR(VLOOKUP($B1794,Dashboard!$Q$28:$S$60,3,FALSE),0)&gt;0,VLOOKUP($B1794,Dashboard!$Q$28:$S$60,3,FALSE),1))),0))</f>
        <v>1</v>
      </c>
      <c r="K1794" s="2" t="str">
        <f>IF('Inserts - Story'!D44="","",'Inserts - Story'!D44)</f>
        <v>h</v>
      </c>
      <c r="L1794" s="2">
        <f t="shared" ref="L1794:L1857" si="364">IF(AND($K1794&lt;&gt;"",LEFT($K1794,1)&lt;&gt;"Y"),1,0)</f>
        <v>1</v>
      </c>
      <c r="M1794" s="2">
        <f t="shared" ref="M1794:M1857" si="365">IF(LEFT($K1794,1)="Y",1,0)</f>
        <v>0</v>
      </c>
      <c r="N1794" s="2">
        <f t="shared" ref="N1794:N1857" si="366">$L1794+$M1794</f>
        <v>1</v>
      </c>
      <c r="O1794" s="2">
        <f t="shared" ref="O1794:O1857" si="367">IF($H1794="Y",1-$N1794,0)</f>
        <v>0</v>
      </c>
      <c r="P1794" s="112">
        <f t="shared" ref="P1794:P1857" si="368">IF($L1794=1,$J1794,0)</f>
        <v>1</v>
      </c>
      <c r="Q1794" s="112">
        <f t="shared" ref="Q1794:Q1857" si="369">IF($M1794=1,$J1794,0)</f>
        <v>0</v>
      </c>
      <c r="R1794" s="53"/>
      <c r="S1794" s="53" t="str">
        <f t="shared" ref="S1794:S1857" si="370">IF($A1794="","",$A1794&amp;"|"&amp;$B1794&amp;"|"&amp;$C1794&amp;"|"&amp;$E1794)</f>
        <v>Inserts - Story|In Memory Of...|IMO-13|Base</v>
      </c>
      <c r="T1794" s="57">
        <f>IF($S1794="","",IFERROR(VLOOKUP($S1794,'Pop Estimates (Non-#d)'!$N$2:$O$500,2,FALSE),""))</f>
        <v>13680</v>
      </c>
      <c r="U1794" s="57">
        <f t="shared" ref="U1794:U1857" si="371">IF($A1794="","",IF($F1794&lt;&gt;"",$F1794,$T1794))</f>
        <v>13680</v>
      </c>
      <c r="V1794" s="53" t="str">
        <f t="shared" ref="V1794:V1857" si="372">IF($A1794="","",IF(ISNUMBER(SEARCH(" as ",$D1794)),MID($D1794,SEARCH(" as ",$D1794)+4,255),IF(ISNUMBER(SEARCH("/",$D1794)),LEFT($D1794,FIND("/",$D1794&amp;"/")-1),"")))</f>
        <v/>
      </c>
      <c r="W1794" s="53" t="str">
        <f t="shared" ref="W1794:W1857" si="373">IF($V1794="","",TRIM(IFERROR(MID($V1794,SEARCH("(", $V1794)+1,SEARCH(")",$V1794)-SEARCH("(", $V1794)-1),$V1794)))</f>
        <v/>
      </c>
      <c r="X1794" s="53" t="str">
        <f t="shared" ref="X1794:X1857" si="374">IF($W1794="","",TRIM(LEFT($W1794&amp;"""",FIND("""",$W1794&amp;"""")-1)))</f>
        <v/>
      </c>
      <c r="Y1794" s="57" t="str">
        <f>IF($X1794="","",IFERROR(VLOOKUP($X1794,'Char Popularity'!$A$2:$C$500,2,FALSE),""))</f>
        <v/>
      </c>
      <c r="Z1794" s="56">
        <f>IF($X1794="",1,IFERROR(VLOOKUP($X1794,'Char Popularity'!$A$2:$C$500,3,FALSE),1))</f>
        <v>1</v>
      </c>
      <c r="AA1794" s="62">
        <f>IF($H1794&lt;&gt;"Y",0,(IF($F1794&lt;&gt;"",ROUND(Dashboard!$R$4/$F1794,1),IF(AND($I1794="Base",$E1794="Base"),Dashboard!$R$5,IF(AND($I1794="Base",$E1794="Red"),Dashboard!$R$6,IF(AND($I1794="Base",$E1794="Gold"),Dashboard!$R$7,VLOOKUP($I1794,Dashboard!$Q$16:$R$21,2,FALSE)))))*VLOOKUP($I1794,Dashboard!$Q$9:$R$13,2,FALSE)*IF(AND($I1794="Auto",$F1794="",OR($B1794="Autographs Duals",$B1794="Autographs Triples",$B1794="Autographs Quads",$B1794="Autographs Quads (Inscribed)")),IF($B1794="Autographs Duals",2,IF($B1794="Autographs Triples",3,4)),1)))</f>
        <v>6</v>
      </c>
      <c r="AB1794" s="62">
        <f t="shared" ref="AB1794:AB1857" si="375">IF($L1794=1,$AA1794,0)</f>
        <v>6</v>
      </c>
      <c r="AC1794" s="62">
        <f t="shared" ref="AC1794:AC1857" si="376">IF($M1794=1,$AA1794,0)</f>
        <v>0</v>
      </c>
    </row>
    <row r="1795" spans="1:29" ht="28.7" customHeight="1" x14ac:dyDescent="0.25">
      <c r="A1795" s="4" t="s">
        <v>23</v>
      </c>
      <c r="B1795" s="7" t="s">
        <v>105</v>
      </c>
      <c r="C1795" s="2" t="s">
        <v>717</v>
      </c>
      <c r="D1795" s="7" t="s">
        <v>718</v>
      </c>
      <c r="E1795" s="4" t="s">
        <v>60</v>
      </c>
      <c r="F1795" s="2"/>
      <c r="G1795" s="2" t="s">
        <v>1399</v>
      </c>
      <c r="H1795" s="2" t="s">
        <v>1400</v>
      </c>
      <c r="I1795" s="4" t="s">
        <v>62</v>
      </c>
      <c r="J1795" s="112">
        <f>IF($H1795&lt;&gt;"Y",0,ROUND(MIN(Dashboard!$R$24,IF(IFERROR(VLOOKUP($B1795,Dashboard!$Q$28:$S$60,2,FALSE),0)&gt;0,IFERROR(VLOOKUP($B1795,Dashboard!$Q$28:$S$60,2,FALSE),0),$Z1795*IF($U1795&lt;&gt;"",ROUND((Dashboard!$R$4/$U1795)*VLOOKUP($I1795,Dashboard!$Q$9:$R$13,2,FALSE)*IF(ISNUMBER(SEARCH("Duals",$B1795)),2,IF(ISNUMBER(SEARCH("Triples",$B1795)),3,IF(ISNUMBER(SEARCH("Quads",$B1795)),4,1))),2),ROUND(VLOOKUP($I1795,Dashboard!$Q$15:$R$20,2,FALSE)*IF($E1795="Red",Dashboard!$R$6,IF($E1795="Gold",Dashboard!$R$7,Dashboard!$R$5))*IF(ISNUMBER(SEARCH("Duals",$B1795)),2,IF(ISNUMBER(SEARCH("Triples",$B1795)),3,IF(ISNUMBER(SEARCH("Quads",$B1795)),4,1))),2))*IF(IFERROR(VLOOKUP($B1795,Dashboard!$Q$28:$S$60,3,FALSE),0)&gt;0,VLOOKUP($B1795,Dashboard!$Q$28:$S$60,3,FALSE),1))),0))</f>
        <v>1</v>
      </c>
      <c r="K1795" s="2" t="str">
        <f>IF('Inserts - Story'!D45="","",'Inserts - Story'!D45)</f>
        <v>h</v>
      </c>
      <c r="L1795" s="2">
        <f t="shared" si="364"/>
        <v>1</v>
      </c>
      <c r="M1795" s="2">
        <f t="shared" si="365"/>
        <v>0</v>
      </c>
      <c r="N1795" s="2">
        <f t="shared" si="366"/>
        <v>1</v>
      </c>
      <c r="O1795" s="2">
        <f t="shared" si="367"/>
        <v>0</v>
      </c>
      <c r="P1795" s="112">
        <f t="shared" si="368"/>
        <v>1</v>
      </c>
      <c r="Q1795" s="112">
        <f t="shared" si="369"/>
        <v>0</v>
      </c>
      <c r="R1795" s="53"/>
      <c r="S1795" s="53" t="str">
        <f t="shared" si="370"/>
        <v>Inserts - Story|In Memory Of...|IMO-14|Base</v>
      </c>
      <c r="T1795" s="57">
        <f>IF($S1795="","",IFERROR(VLOOKUP($S1795,'Pop Estimates (Non-#d)'!$N$2:$O$500,2,FALSE),""))</f>
        <v>13680</v>
      </c>
      <c r="U1795" s="57">
        <f t="shared" si="371"/>
        <v>13680</v>
      </c>
      <c r="V1795" s="53" t="str">
        <f t="shared" si="372"/>
        <v/>
      </c>
      <c r="W1795" s="53" t="str">
        <f t="shared" si="373"/>
        <v/>
      </c>
      <c r="X1795" s="53" t="str">
        <f t="shared" si="374"/>
        <v/>
      </c>
      <c r="Y1795" s="57" t="str">
        <f>IF($X1795="","",IFERROR(VLOOKUP($X1795,'Char Popularity'!$A$2:$C$500,2,FALSE),""))</f>
        <v/>
      </c>
      <c r="Z1795" s="56">
        <f>IF($X1795="",1,IFERROR(VLOOKUP($X1795,'Char Popularity'!$A$2:$C$500,3,FALSE),1))</f>
        <v>1</v>
      </c>
      <c r="AA1795" s="62">
        <f>IF($H1795&lt;&gt;"Y",0,(IF($F1795&lt;&gt;"",ROUND(Dashboard!$R$4/$F1795,1),IF(AND($I1795="Base",$E1795="Base"),Dashboard!$R$5,IF(AND($I1795="Base",$E1795="Red"),Dashboard!$R$6,IF(AND($I1795="Base",$E1795="Gold"),Dashboard!$R$7,VLOOKUP($I1795,Dashboard!$Q$16:$R$21,2,FALSE)))))*VLOOKUP($I1795,Dashboard!$Q$9:$R$13,2,FALSE)*IF(AND($I1795="Auto",$F1795="",OR($B1795="Autographs Duals",$B1795="Autographs Triples",$B1795="Autographs Quads",$B1795="Autographs Quads (Inscribed)")),IF($B1795="Autographs Duals",2,IF($B1795="Autographs Triples",3,4)),1)))</f>
        <v>6</v>
      </c>
      <c r="AB1795" s="62">
        <f t="shared" si="375"/>
        <v>6</v>
      </c>
      <c r="AC1795" s="62">
        <f t="shared" si="376"/>
        <v>0</v>
      </c>
    </row>
    <row r="1796" spans="1:29" ht="28.7" customHeight="1" x14ac:dyDescent="0.25">
      <c r="A1796" s="4" t="s">
        <v>23</v>
      </c>
      <c r="B1796" s="7" t="s">
        <v>105</v>
      </c>
      <c r="C1796" s="2" t="s">
        <v>719</v>
      </c>
      <c r="D1796" s="7" t="s">
        <v>714</v>
      </c>
      <c r="E1796" s="4" t="s">
        <v>60</v>
      </c>
      <c r="F1796" s="2"/>
      <c r="G1796" s="2" t="s">
        <v>1399</v>
      </c>
      <c r="H1796" s="2" t="s">
        <v>1400</v>
      </c>
      <c r="I1796" s="4" t="s">
        <v>62</v>
      </c>
      <c r="J1796" s="112">
        <f>IF($H1796&lt;&gt;"Y",0,ROUND(MIN(Dashboard!$R$24,IF(IFERROR(VLOOKUP($B1796,Dashboard!$Q$28:$S$60,2,FALSE),0)&gt;0,IFERROR(VLOOKUP($B1796,Dashboard!$Q$28:$S$60,2,FALSE),0),$Z1796*IF($U1796&lt;&gt;"",ROUND((Dashboard!$R$4/$U1796)*VLOOKUP($I1796,Dashboard!$Q$9:$R$13,2,FALSE)*IF(ISNUMBER(SEARCH("Duals",$B1796)),2,IF(ISNUMBER(SEARCH("Triples",$B1796)),3,IF(ISNUMBER(SEARCH("Quads",$B1796)),4,1))),2),ROUND(VLOOKUP($I1796,Dashboard!$Q$15:$R$20,2,FALSE)*IF($E1796="Red",Dashboard!$R$6,IF($E1796="Gold",Dashboard!$R$7,Dashboard!$R$5))*IF(ISNUMBER(SEARCH("Duals",$B1796)),2,IF(ISNUMBER(SEARCH("Triples",$B1796)),3,IF(ISNUMBER(SEARCH("Quads",$B1796)),4,1))),2))*IF(IFERROR(VLOOKUP($B1796,Dashboard!$Q$28:$S$60,3,FALSE),0)&gt;0,VLOOKUP($B1796,Dashboard!$Q$28:$S$60,3,FALSE),1))),0))</f>
        <v>1</v>
      </c>
      <c r="K1796" s="2" t="str">
        <f>IF('Inserts - Story'!D46="","",'Inserts - Story'!D46)</f>
        <v>h</v>
      </c>
      <c r="L1796" s="2">
        <f t="shared" si="364"/>
        <v>1</v>
      </c>
      <c r="M1796" s="2">
        <f t="shared" si="365"/>
        <v>0</v>
      </c>
      <c r="N1796" s="2">
        <f t="shared" si="366"/>
        <v>1</v>
      </c>
      <c r="O1796" s="2">
        <f t="shared" si="367"/>
        <v>0</v>
      </c>
      <c r="P1796" s="112">
        <f t="shared" si="368"/>
        <v>1</v>
      </c>
      <c r="Q1796" s="112">
        <f t="shared" si="369"/>
        <v>0</v>
      </c>
      <c r="R1796" s="53"/>
      <c r="S1796" s="53" t="str">
        <f t="shared" si="370"/>
        <v>Inserts - Story|In Memory Of...|IMO-15|Base</v>
      </c>
      <c r="T1796" s="57">
        <f>IF($S1796="","",IFERROR(VLOOKUP($S1796,'Pop Estimates (Non-#d)'!$N$2:$O$500,2,FALSE),""))</f>
        <v>13680</v>
      </c>
      <c r="U1796" s="57">
        <f t="shared" si="371"/>
        <v>13680</v>
      </c>
      <c r="V1796" s="53" t="str">
        <f t="shared" si="372"/>
        <v/>
      </c>
      <c r="W1796" s="53" t="str">
        <f t="shared" si="373"/>
        <v/>
      </c>
      <c r="X1796" s="53" t="str">
        <f t="shared" si="374"/>
        <v/>
      </c>
      <c r="Y1796" s="57" t="str">
        <f>IF($X1796="","",IFERROR(VLOOKUP($X1796,'Char Popularity'!$A$2:$C$500,2,FALSE),""))</f>
        <v/>
      </c>
      <c r="Z1796" s="56">
        <f>IF($X1796="",1,IFERROR(VLOOKUP($X1796,'Char Popularity'!$A$2:$C$500,3,FALSE),1))</f>
        <v>1</v>
      </c>
      <c r="AA1796" s="62">
        <f>IF($H1796&lt;&gt;"Y",0,(IF($F1796&lt;&gt;"",ROUND(Dashboard!$R$4/$F1796,1),IF(AND($I1796="Base",$E1796="Base"),Dashboard!$R$5,IF(AND($I1796="Base",$E1796="Red"),Dashboard!$R$6,IF(AND($I1796="Base",$E1796="Gold"),Dashboard!$R$7,VLOOKUP($I1796,Dashboard!$Q$16:$R$21,2,FALSE)))))*VLOOKUP($I1796,Dashboard!$Q$9:$R$13,2,FALSE)*IF(AND($I1796="Auto",$F1796="",OR($B1796="Autographs Duals",$B1796="Autographs Triples",$B1796="Autographs Quads",$B1796="Autographs Quads (Inscribed)")),IF($B1796="Autographs Duals",2,IF($B1796="Autographs Triples",3,4)),1)))</f>
        <v>6</v>
      </c>
      <c r="AB1796" s="62">
        <f t="shared" si="375"/>
        <v>6</v>
      </c>
      <c r="AC1796" s="62">
        <f t="shared" si="376"/>
        <v>0</v>
      </c>
    </row>
    <row r="1797" spans="1:29" ht="42.95" customHeight="1" x14ac:dyDescent="0.25">
      <c r="A1797" s="4" t="s">
        <v>23</v>
      </c>
      <c r="B1797" s="7" t="s">
        <v>106</v>
      </c>
      <c r="C1797" s="2" t="s">
        <v>708</v>
      </c>
      <c r="D1797" s="7" t="s">
        <v>709</v>
      </c>
      <c r="E1797" s="4" t="s">
        <v>1602</v>
      </c>
      <c r="F1797" s="2">
        <v>7</v>
      </c>
      <c r="G1797" s="2" t="s">
        <v>1399</v>
      </c>
      <c r="H1797" s="2" t="s">
        <v>1400</v>
      </c>
      <c r="I1797" s="4" t="s">
        <v>62</v>
      </c>
      <c r="J1797" s="112">
        <f>IF($H1797&lt;&gt;"Y",0,ROUND(MIN(Dashboard!$R$24,IF(IFERROR(VLOOKUP($B1797,Dashboard!$Q$28:$S$60,2,FALSE),0)&gt;0,IFERROR(VLOOKUP($B1797,Dashboard!$Q$28:$S$60,2,FALSE),0),$Z1797*IF($U1797&lt;&gt;"",ROUND((Dashboard!$R$4/$U1797)*VLOOKUP($I1797,Dashboard!$Q$9:$R$13,2,FALSE)*IF(ISNUMBER(SEARCH("Duals",$B1797)),2,IF(ISNUMBER(SEARCH("Triples",$B1797)),3,IF(ISNUMBER(SEARCH("Quads",$B1797)),4,1))),2),ROUND(VLOOKUP($I1797,Dashboard!$Q$15:$R$20,2,FALSE)*IF($E1797="Red",Dashboard!$R$6,IF($E1797="Gold",Dashboard!$R$7,Dashboard!$R$5))*IF(ISNUMBER(SEARCH("Duals",$B1797)),2,IF(ISNUMBER(SEARCH("Triples",$B1797)),3,IF(ISNUMBER(SEARCH("Quads",$B1797)),4,1))),2))*IF(IFERROR(VLOOKUP($B1797,Dashboard!$Q$28:$S$60,3,FALSE),0)&gt;0,VLOOKUP($B1797,Dashboard!$Q$28:$S$60,3,FALSE),1))),0))</f>
        <v>134</v>
      </c>
      <c r="K1797" s="2" t="str">
        <f>IF('Inserts - Story'!E32="","",'Inserts - Story'!E32)</f>
        <v/>
      </c>
      <c r="L1797" s="2">
        <f t="shared" si="364"/>
        <v>0</v>
      </c>
      <c r="M1797" s="2">
        <f t="shared" si="365"/>
        <v>0</v>
      </c>
      <c r="N1797" s="2">
        <f t="shared" si="366"/>
        <v>0</v>
      </c>
      <c r="O1797" s="2">
        <f t="shared" si="367"/>
        <v>1</v>
      </c>
      <c r="P1797" s="112">
        <f t="shared" si="368"/>
        <v>0</v>
      </c>
      <c r="Q1797" s="112">
        <f t="shared" si="369"/>
        <v>0</v>
      </c>
      <c r="R1797" s="53"/>
      <c r="S1797" s="53" t="str">
        <f t="shared" si="370"/>
        <v>Inserts - Story|In Memory Of... Gold Parallel|IMO-1|Gold</v>
      </c>
      <c r="T1797" s="57" t="str">
        <f>IF($S1797="","",IFERROR(VLOOKUP($S1797,'Pop Estimates (Non-#d)'!$N$2:$O$500,2,FALSE),""))</f>
        <v/>
      </c>
      <c r="U1797" s="57">
        <f t="shared" si="371"/>
        <v>7</v>
      </c>
      <c r="V1797" s="53" t="str">
        <f t="shared" si="372"/>
        <v/>
      </c>
      <c r="W1797" s="53" t="str">
        <f t="shared" si="373"/>
        <v/>
      </c>
      <c r="X1797" s="53" t="str">
        <f t="shared" si="374"/>
        <v/>
      </c>
      <c r="Y1797" s="57" t="str">
        <f>IF($X1797="","",IFERROR(VLOOKUP($X1797,'Char Popularity'!$A$2:$C$500,2,FALSE),""))</f>
        <v/>
      </c>
      <c r="Z1797" s="56">
        <f>IF($X1797="",1,IFERROR(VLOOKUP($X1797,'Char Popularity'!$A$2:$C$500,3,FALSE),1))</f>
        <v>1</v>
      </c>
      <c r="AA1797" s="62">
        <f>IF($H1797&lt;&gt;"Y",0,(IF($F1797&lt;&gt;"",ROUND(Dashboard!$R$4/$F1797,1),IF(AND($I1797="Base",$E1797="Base"),Dashboard!$R$5,IF(AND($I1797="Base",$E1797="Red"),Dashboard!$R$6,IF(AND($I1797="Base",$E1797="Gold"),Dashboard!$R$7,VLOOKUP($I1797,Dashboard!$Q$16:$R$21,2,FALSE)))))*VLOOKUP($I1797,Dashboard!$Q$9:$R$13,2,FALSE)*IF(AND($I1797="Auto",$F1797="",OR($B1797="Autographs Duals",$B1797="Autographs Triples",$B1797="Autographs Quads",$B1797="Autographs Quads (Inscribed)")),IF($B1797="Autographs Duals",2,IF($B1797="Autographs Triples",3,4)),1)))</f>
        <v>171.48</v>
      </c>
      <c r="AB1797" s="62">
        <f t="shared" si="375"/>
        <v>0</v>
      </c>
      <c r="AC1797" s="62">
        <f t="shared" si="376"/>
        <v>0</v>
      </c>
    </row>
    <row r="1798" spans="1:29" ht="42.95" customHeight="1" x14ac:dyDescent="0.25">
      <c r="A1798" s="4" t="s">
        <v>23</v>
      </c>
      <c r="B1798" s="7" t="s">
        <v>106</v>
      </c>
      <c r="C1798" s="2" t="s">
        <v>720</v>
      </c>
      <c r="D1798" s="7" t="s">
        <v>446</v>
      </c>
      <c r="E1798" s="4" t="s">
        <v>1602</v>
      </c>
      <c r="F1798" s="2">
        <v>7</v>
      </c>
      <c r="G1798" s="2" t="s">
        <v>1399</v>
      </c>
      <c r="H1798" s="2" t="s">
        <v>1400</v>
      </c>
      <c r="I1798" s="4" t="s">
        <v>62</v>
      </c>
      <c r="J1798" s="112">
        <f>IF($H1798&lt;&gt;"Y",0,ROUND(MIN(Dashboard!$R$24,IF(IFERROR(VLOOKUP($B1798,Dashboard!$Q$28:$S$60,2,FALSE),0)&gt;0,IFERROR(VLOOKUP($B1798,Dashboard!$Q$28:$S$60,2,FALSE),0),$Z1798*IF($U1798&lt;&gt;"",ROUND((Dashboard!$R$4/$U1798)*VLOOKUP($I1798,Dashboard!$Q$9:$R$13,2,FALSE)*IF(ISNUMBER(SEARCH("Duals",$B1798)),2,IF(ISNUMBER(SEARCH("Triples",$B1798)),3,IF(ISNUMBER(SEARCH("Quads",$B1798)),4,1))),2),ROUND(VLOOKUP($I1798,Dashboard!$Q$15:$R$20,2,FALSE)*IF($E1798="Red",Dashboard!$R$6,IF($E1798="Gold",Dashboard!$R$7,Dashboard!$R$5))*IF(ISNUMBER(SEARCH("Duals",$B1798)),2,IF(ISNUMBER(SEARCH("Triples",$B1798)),3,IF(ISNUMBER(SEARCH("Quads",$B1798)),4,1))),2))*IF(IFERROR(VLOOKUP($B1798,Dashboard!$Q$28:$S$60,3,FALSE),0)&gt;0,VLOOKUP($B1798,Dashboard!$Q$28:$S$60,3,FALSE),1))),0))</f>
        <v>134</v>
      </c>
      <c r="K1798" s="2" t="str">
        <f>IF('Inserts - Story'!E33="","",'Inserts - Story'!E33)</f>
        <v/>
      </c>
      <c r="L1798" s="2">
        <f t="shared" si="364"/>
        <v>0</v>
      </c>
      <c r="M1798" s="2">
        <f t="shared" si="365"/>
        <v>0</v>
      </c>
      <c r="N1798" s="2">
        <f t="shared" si="366"/>
        <v>0</v>
      </c>
      <c r="O1798" s="2">
        <f t="shared" si="367"/>
        <v>1</v>
      </c>
      <c r="P1798" s="112">
        <f t="shared" si="368"/>
        <v>0</v>
      </c>
      <c r="Q1798" s="112">
        <f t="shared" si="369"/>
        <v>0</v>
      </c>
      <c r="R1798" s="53"/>
      <c r="S1798" s="53" t="str">
        <f t="shared" si="370"/>
        <v>Inserts - Story|In Memory Of... Gold Parallel|IMO-2|Gold</v>
      </c>
      <c r="T1798" s="57" t="str">
        <f>IF($S1798="","",IFERROR(VLOOKUP($S1798,'Pop Estimates (Non-#d)'!$N$2:$O$500,2,FALSE),""))</f>
        <v/>
      </c>
      <c r="U1798" s="57">
        <f t="shared" si="371"/>
        <v>7</v>
      </c>
      <c r="V1798" s="53" t="str">
        <f t="shared" si="372"/>
        <v/>
      </c>
      <c r="W1798" s="53" t="str">
        <f t="shared" si="373"/>
        <v/>
      </c>
      <c r="X1798" s="53" t="str">
        <f t="shared" si="374"/>
        <v/>
      </c>
      <c r="Y1798" s="57" t="str">
        <f>IF($X1798="","",IFERROR(VLOOKUP($X1798,'Char Popularity'!$A$2:$C$500,2,FALSE),""))</f>
        <v/>
      </c>
      <c r="Z1798" s="56">
        <f>IF($X1798="",1,IFERROR(VLOOKUP($X1798,'Char Popularity'!$A$2:$C$500,3,FALSE),1))</f>
        <v>1</v>
      </c>
      <c r="AA1798" s="62">
        <f>IF($H1798&lt;&gt;"Y",0,(IF($F1798&lt;&gt;"",ROUND(Dashboard!$R$4/$F1798,1),IF(AND($I1798="Base",$E1798="Base"),Dashboard!$R$5,IF(AND($I1798="Base",$E1798="Red"),Dashboard!$R$6,IF(AND($I1798="Base",$E1798="Gold"),Dashboard!$R$7,VLOOKUP($I1798,Dashboard!$Q$16:$R$21,2,FALSE)))))*VLOOKUP($I1798,Dashboard!$Q$9:$R$13,2,FALSE)*IF(AND($I1798="Auto",$F1798="",OR($B1798="Autographs Duals",$B1798="Autographs Triples",$B1798="Autographs Quads",$B1798="Autographs Quads (Inscribed)")),IF($B1798="Autographs Duals",2,IF($B1798="Autographs Triples",3,4)),1)))</f>
        <v>171.48</v>
      </c>
      <c r="AB1798" s="62">
        <f t="shared" si="375"/>
        <v>0</v>
      </c>
      <c r="AC1798" s="62">
        <f t="shared" si="376"/>
        <v>0</v>
      </c>
    </row>
    <row r="1799" spans="1:29" ht="42.95" customHeight="1" x14ac:dyDescent="0.25">
      <c r="A1799" s="4" t="s">
        <v>23</v>
      </c>
      <c r="B1799" s="7" t="s">
        <v>106</v>
      </c>
      <c r="C1799" s="2" t="s">
        <v>721</v>
      </c>
      <c r="D1799" s="7" t="s">
        <v>444</v>
      </c>
      <c r="E1799" s="4" t="s">
        <v>1602</v>
      </c>
      <c r="F1799" s="2">
        <v>7</v>
      </c>
      <c r="G1799" s="2" t="s">
        <v>1399</v>
      </c>
      <c r="H1799" s="2" t="s">
        <v>1400</v>
      </c>
      <c r="I1799" s="4" t="s">
        <v>62</v>
      </c>
      <c r="J1799" s="112">
        <f>IF($H1799&lt;&gt;"Y",0,ROUND(MIN(Dashboard!$R$24,IF(IFERROR(VLOOKUP($B1799,Dashboard!$Q$28:$S$60,2,FALSE),0)&gt;0,IFERROR(VLOOKUP($B1799,Dashboard!$Q$28:$S$60,2,FALSE),0),$Z1799*IF($U1799&lt;&gt;"",ROUND((Dashboard!$R$4/$U1799)*VLOOKUP($I1799,Dashboard!$Q$9:$R$13,2,FALSE)*IF(ISNUMBER(SEARCH("Duals",$B1799)),2,IF(ISNUMBER(SEARCH("Triples",$B1799)),3,IF(ISNUMBER(SEARCH("Quads",$B1799)),4,1))),2),ROUND(VLOOKUP($I1799,Dashboard!$Q$15:$R$20,2,FALSE)*IF($E1799="Red",Dashboard!$R$6,IF($E1799="Gold",Dashboard!$R$7,Dashboard!$R$5))*IF(ISNUMBER(SEARCH("Duals",$B1799)),2,IF(ISNUMBER(SEARCH("Triples",$B1799)),3,IF(ISNUMBER(SEARCH("Quads",$B1799)),4,1))),2))*IF(IFERROR(VLOOKUP($B1799,Dashboard!$Q$28:$S$60,3,FALSE),0)&gt;0,VLOOKUP($B1799,Dashboard!$Q$28:$S$60,3,FALSE),1))),0))</f>
        <v>134</v>
      </c>
      <c r="K1799" s="2" t="str">
        <f>IF('Inserts - Story'!E34="","",'Inserts - Story'!E34)</f>
        <v/>
      </c>
      <c r="L1799" s="2">
        <f t="shared" si="364"/>
        <v>0</v>
      </c>
      <c r="M1799" s="2">
        <f t="shared" si="365"/>
        <v>0</v>
      </c>
      <c r="N1799" s="2">
        <f t="shared" si="366"/>
        <v>0</v>
      </c>
      <c r="O1799" s="2">
        <f t="shared" si="367"/>
        <v>1</v>
      </c>
      <c r="P1799" s="112">
        <f t="shared" si="368"/>
        <v>0</v>
      </c>
      <c r="Q1799" s="112">
        <f t="shared" si="369"/>
        <v>0</v>
      </c>
      <c r="R1799" s="53"/>
      <c r="S1799" s="53" t="str">
        <f t="shared" si="370"/>
        <v>Inserts - Story|In Memory Of... Gold Parallel|IMO-3|Gold</v>
      </c>
      <c r="T1799" s="57" t="str">
        <f>IF($S1799="","",IFERROR(VLOOKUP($S1799,'Pop Estimates (Non-#d)'!$N$2:$O$500,2,FALSE),""))</f>
        <v/>
      </c>
      <c r="U1799" s="57">
        <f t="shared" si="371"/>
        <v>7</v>
      </c>
      <c r="V1799" s="53" t="str">
        <f t="shared" si="372"/>
        <v/>
      </c>
      <c r="W1799" s="53" t="str">
        <f t="shared" si="373"/>
        <v/>
      </c>
      <c r="X1799" s="53" t="str">
        <f t="shared" si="374"/>
        <v/>
      </c>
      <c r="Y1799" s="57" t="str">
        <f>IF($X1799="","",IFERROR(VLOOKUP($X1799,'Char Popularity'!$A$2:$C$500,2,FALSE),""))</f>
        <v/>
      </c>
      <c r="Z1799" s="56">
        <f>IF($X1799="",1,IFERROR(VLOOKUP($X1799,'Char Popularity'!$A$2:$C$500,3,FALSE),1))</f>
        <v>1</v>
      </c>
      <c r="AA1799" s="62">
        <f>IF($H1799&lt;&gt;"Y",0,(IF($F1799&lt;&gt;"",ROUND(Dashboard!$R$4/$F1799,1),IF(AND($I1799="Base",$E1799="Base"),Dashboard!$R$5,IF(AND($I1799="Base",$E1799="Red"),Dashboard!$R$6,IF(AND($I1799="Base",$E1799="Gold"),Dashboard!$R$7,VLOOKUP($I1799,Dashboard!$Q$16:$R$21,2,FALSE)))))*VLOOKUP($I1799,Dashboard!$Q$9:$R$13,2,FALSE)*IF(AND($I1799="Auto",$F1799="",OR($B1799="Autographs Duals",$B1799="Autographs Triples",$B1799="Autographs Quads",$B1799="Autographs Quads (Inscribed)")),IF($B1799="Autographs Duals",2,IF($B1799="Autographs Triples",3,4)),1)))</f>
        <v>171.48</v>
      </c>
      <c r="AB1799" s="62">
        <f t="shared" si="375"/>
        <v>0</v>
      </c>
      <c r="AC1799" s="62">
        <f t="shared" si="376"/>
        <v>0</v>
      </c>
    </row>
    <row r="1800" spans="1:29" ht="42.95" customHeight="1" x14ac:dyDescent="0.25">
      <c r="A1800" s="4" t="s">
        <v>23</v>
      </c>
      <c r="B1800" s="7" t="s">
        <v>106</v>
      </c>
      <c r="C1800" s="2" t="s">
        <v>722</v>
      </c>
      <c r="D1800" s="7" t="s">
        <v>723</v>
      </c>
      <c r="E1800" s="4" t="s">
        <v>1602</v>
      </c>
      <c r="F1800" s="2">
        <v>7</v>
      </c>
      <c r="G1800" s="2" t="s">
        <v>1399</v>
      </c>
      <c r="H1800" s="2" t="s">
        <v>1400</v>
      </c>
      <c r="I1800" s="4" t="s">
        <v>62</v>
      </c>
      <c r="J1800" s="112">
        <f>IF($H1800&lt;&gt;"Y",0,ROUND(MIN(Dashboard!$R$24,IF(IFERROR(VLOOKUP($B1800,Dashboard!$Q$28:$S$60,2,FALSE),0)&gt;0,IFERROR(VLOOKUP($B1800,Dashboard!$Q$28:$S$60,2,FALSE),0),$Z1800*IF($U1800&lt;&gt;"",ROUND((Dashboard!$R$4/$U1800)*VLOOKUP($I1800,Dashboard!$Q$9:$R$13,2,FALSE)*IF(ISNUMBER(SEARCH("Duals",$B1800)),2,IF(ISNUMBER(SEARCH("Triples",$B1800)),3,IF(ISNUMBER(SEARCH("Quads",$B1800)),4,1))),2),ROUND(VLOOKUP($I1800,Dashboard!$Q$15:$R$20,2,FALSE)*IF($E1800="Red",Dashboard!$R$6,IF($E1800="Gold",Dashboard!$R$7,Dashboard!$R$5))*IF(ISNUMBER(SEARCH("Duals",$B1800)),2,IF(ISNUMBER(SEARCH("Triples",$B1800)),3,IF(ISNUMBER(SEARCH("Quads",$B1800)),4,1))),2))*IF(IFERROR(VLOOKUP($B1800,Dashboard!$Q$28:$S$60,3,FALSE),0)&gt;0,VLOOKUP($B1800,Dashboard!$Q$28:$S$60,3,FALSE),1))),0))</f>
        <v>134</v>
      </c>
      <c r="K1800" s="2" t="str">
        <f>IF('Inserts - Story'!E35="","",'Inserts - Story'!E35)</f>
        <v/>
      </c>
      <c r="L1800" s="2">
        <f t="shared" si="364"/>
        <v>0</v>
      </c>
      <c r="M1800" s="2">
        <f t="shared" si="365"/>
        <v>0</v>
      </c>
      <c r="N1800" s="2">
        <f t="shared" si="366"/>
        <v>0</v>
      </c>
      <c r="O1800" s="2">
        <f t="shared" si="367"/>
        <v>1</v>
      </c>
      <c r="P1800" s="112">
        <f t="shared" si="368"/>
        <v>0</v>
      </c>
      <c r="Q1800" s="112">
        <f t="shared" si="369"/>
        <v>0</v>
      </c>
      <c r="R1800" s="53"/>
      <c r="S1800" s="53" t="str">
        <f t="shared" si="370"/>
        <v>Inserts - Story|In Memory Of... Gold Parallel|IMO-4|Gold</v>
      </c>
      <c r="T1800" s="57" t="str">
        <f>IF($S1800="","",IFERROR(VLOOKUP($S1800,'Pop Estimates (Non-#d)'!$N$2:$O$500,2,FALSE),""))</f>
        <v/>
      </c>
      <c r="U1800" s="57">
        <f t="shared" si="371"/>
        <v>7</v>
      </c>
      <c r="V1800" s="53" t="str">
        <f t="shared" si="372"/>
        <v/>
      </c>
      <c r="W1800" s="53" t="str">
        <f t="shared" si="373"/>
        <v/>
      </c>
      <c r="X1800" s="53" t="str">
        <f t="shared" si="374"/>
        <v/>
      </c>
      <c r="Y1800" s="57" t="str">
        <f>IF($X1800="","",IFERROR(VLOOKUP($X1800,'Char Popularity'!$A$2:$C$500,2,FALSE),""))</f>
        <v/>
      </c>
      <c r="Z1800" s="56">
        <f>IF($X1800="",1,IFERROR(VLOOKUP($X1800,'Char Popularity'!$A$2:$C$500,3,FALSE),1))</f>
        <v>1</v>
      </c>
      <c r="AA1800" s="62">
        <f>IF($H1800&lt;&gt;"Y",0,(IF($F1800&lt;&gt;"",ROUND(Dashboard!$R$4/$F1800,1),IF(AND($I1800="Base",$E1800="Base"),Dashboard!$R$5,IF(AND($I1800="Base",$E1800="Red"),Dashboard!$R$6,IF(AND($I1800="Base",$E1800="Gold"),Dashboard!$R$7,VLOOKUP($I1800,Dashboard!$Q$16:$R$21,2,FALSE)))))*VLOOKUP($I1800,Dashboard!$Q$9:$R$13,2,FALSE)*IF(AND($I1800="Auto",$F1800="",OR($B1800="Autographs Duals",$B1800="Autographs Triples",$B1800="Autographs Quads",$B1800="Autographs Quads (Inscribed)")),IF($B1800="Autographs Duals",2,IF($B1800="Autographs Triples",3,4)),1)))</f>
        <v>171.48</v>
      </c>
      <c r="AB1800" s="62">
        <f t="shared" si="375"/>
        <v>0</v>
      </c>
      <c r="AC1800" s="62">
        <f t="shared" si="376"/>
        <v>0</v>
      </c>
    </row>
    <row r="1801" spans="1:29" ht="42.95" customHeight="1" x14ac:dyDescent="0.25">
      <c r="A1801" s="4" t="s">
        <v>23</v>
      </c>
      <c r="B1801" s="7" t="s">
        <v>106</v>
      </c>
      <c r="C1801" s="2" t="s">
        <v>724</v>
      </c>
      <c r="D1801" s="7" t="s">
        <v>352</v>
      </c>
      <c r="E1801" s="4" t="s">
        <v>1602</v>
      </c>
      <c r="F1801" s="2">
        <v>7</v>
      </c>
      <c r="G1801" s="2" t="s">
        <v>1399</v>
      </c>
      <c r="H1801" s="2" t="s">
        <v>1400</v>
      </c>
      <c r="I1801" s="4" t="s">
        <v>62</v>
      </c>
      <c r="J1801" s="112">
        <f>IF($H1801&lt;&gt;"Y",0,ROUND(MIN(Dashboard!$R$24,IF(IFERROR(VLOOKUP($B1801,Dashboard!$Q$28:$S$60,2,FALSE),0)&gt;0,IFERROR(VLOOKUP($B1801,Dashboard!$Q$28:$S$60,2,FALSE),0),$Z1801*IF($U1801&lt;&gt;"",ROUND((Dashboard!$R$4/$U1801)*VLOOKUP($I1801,Dashboard!$Q$9:$R$13,2,FALSE)*IF(ISNUMBER(SEARCH("Duals",$B1801)),2,IF(ISNUMBER(SEARCH("Triples",$B1801)),3,IF(ISNUMBER(SEARCH("Quads",$B1801)),4,1))),2),ROUND(VLOOKUP($I1801,Dashboard!$Q$15:$R$20,2,FALSE)*IF($E1801="Red",Dashboard!$R$6,IF($E1801="Gold",Dashboard!$R$7,Dashboard!$R$5))*IF(ISNUMBER(SEARCH("Duals",$B1801)),2,IF(ISNUMBER(SEARCH("Triples",$B1801)),3,IF(ISNUMBER(SEARCH("Quads",$B1801)),4,1))),2))*IF(IFERROR(VLOOKUP($B1801,Dashboard!$Q$28:$S$60,3,FALSE),0)&gt;0,VLOOKUP($B1801,Dashboard!$Q$28:$S$60,3,FALSE),1))),0))</f>
        <v>134</v>
      </c>
      <c r="K1801" s="2" t="str">
        <f>IF('Inserts - Story'!E36="","",'Inserts - Story'!E36)</f>
        <v/>
      </c>
      <c r="L1801" s="2">
        <f t="shared" si="364"/>
        <v>0</v>
      </c>
      <c r="M1801" s="2">
        <f t="shared" si="365"/>
        <v>0</v>
      </c>
      <c r="N1801" s="2">
        <f t="shared" si="366"/>
        <v>0</v>
      </c>
      <c r="O1801" s="2">
        <f t="shared" si="367"/>
        <v>1</v>
      </c>
      <c r="P1801" s="112">
        <f t="shared" si="368"/>
        <v>0</v>
      </c>
      <c r="Q1801" s="112">
        <f t="shared" si="369"/>
        <v>0</v>
      </c>
      <c r="R1801" s="53"/>
      <c r="S1801" s="53" t="str">
        <f t="shared" si="370"/>
        <v>Inserts - Story|In Memory Of... Gold Parallel|IMO-5|Gold</v>
      </c>
      <c r="T1801" s="57" t="str">
        <f>IF($S1801="","",IFERROR(VLOOKUP($S1801,'Pop Estimates (Non-#d)'!$N$2:$O$500,2,FALSE),""))</f>
        <v/>
      </c>
      <c r="U1801" s="57">
        <f t="shared" si="371"/>
        <v>7</v>
      </c>
      <c r="V1801" s="53" t="str">
        <f t="shared" si="372"/>
        <v/>
      </c>
      <c r="W1801" s="53" t="str">
        <f t="shared" si="373"/>
        <v/>
      </c>
      <c r="X1801" s="53" t="str">
        <f t="shared" si="374"/>
        <v/>
      </c>
      <c r="Y1801" s="57" t="str">
        <f>IF($X1801="","",IFERROR(VLOOKUP($X1801,'Char Popularity'!$A$2:$C$500,2,FALSE),""))</f>
        <v/>
      </c>
      <c r="Z1801" s="56">
        <f>IF($X1801="",1,IFERROR(VLOOKUP($X1801,'Char Popularity'!$A$2:$C$500,3,FALSE),1))</f>
        <v>1</v>
      </c>
      <c r="AA1801" s="62">
        <f>IF($H1801&lt;&gt;"Y",0,(IF($F1801&lt;&gt;"",ROUND(Dashboard!$R$4/$F1801,1),IF(AND($I1801="Base",$E1801="Base"),Dashboard!$R$5,IF(AND($I1801="Base",$E1801="Red"),Dashboard!$R$6,IF(AND($I1801="Base",$E1801="Gold"),Dashboard!$R$7,VLOOKUP($I1801,Dashboard!$Q$16:$R$21,2,FALSE)))))*VLOOKUP($I1801,Dashboard!$Q$9:$R$13,2,FALSE)*IF(AND($I1801="Auto",$F1801="",OR($B1801="Autographs Duals",$B1801="Autographs Triples",$B1801="Autographs Quads",$B1801="Autographs Quads (Inscribed)")),IF($B1801="Autographs Duals",2,IF($B1801="Autographs Triples",3,4)),1)))</f>
        <v>171.48</v>
      </c>
      <c r="AB1801" s="62">
        <f t="shared" si="375"/>
        <v>0</v>
      </c>
      <c r="AC1801" s="62">
        <f t="shared" si="376"/>
        <v>0</v>
      </c>
    </row>
    <row r="1802" spans="1:29" ht="42.95" customHeight="1" x14ac:dyDescent="0.25">
      <c r="A1802" s="4" t="s">
        <v>23</v>
      </c>
      <c r="B1802" s="7" t="s">
        <v>106</v>
      </c>
      <c r="C1802" s="2" t="s">
        <v>725</v>
      </c>
      <c r="D1802" s="7" t="s">
        <v>542</v>
      </c>
      <c r="E1802" s="4" t="s">
        <v>1602</v>
      </c>
      <c r="F1802" s="2">
        <v>7</v>
      </c>
      <c r="G1802" s="2" t="s">
        <v>1399</v>
      </c>
      <c r="H1802" s="2" t="s">
        <v>1400</v>
      </c>
      <c r="I1802" s="4" t="s">
        <v>62</v>
      </c>
      <c r="J1802" s="112">
        <f>IF($H1802&lt;&gt;"Y",0,ROUND(MIN(Dashboard!$R$24,IF(IFERROR(VLOOKUP($B1802,Dashboard!$Q$28:$S$60,2,FALSE),0)&gt;0,IFERROR(VLOOKUP($B1802,Dashboard!$Q$28:$S$60,2,FALSE),0),$Z1802*IF($U1802&lt;&gt;"",ROUND((Dashboard!$R$4/$U1802)*VLOOKUP($I1802,Dashboard!$Q$9:$R$13,2,FALSE)*IF(ISNUMBER(SEARCH("Duals",$B1802)),2,IF(ISNUMBER(SEARCH("Triples",$B1802)),3,IF(ISNUMBER(SEARCH("Quads",$B1802)),4,1))),2),ROUND(VLOOKUP($I1802,Dashboard!$Q$15:$R$20,2,FALSE)*IF($E1802="Red",Dashboard!$R$6,IF($E1802="Gold",Dashboard!$R$7,Dashboard!$R$5))*IF(ISNUMBER(SEARCH("Duals",$B1802)),2,IF(ISNUMBER(SEARCH("Triples",$B1802)),3,IF(ISNUMBER(SEARCH("Quads",$B1802)),4,1))),2))*IF(IFERROR(VLOOKUP($B1802,Dashboard!$Q$28:$S$60,3,FALSE),0)&gt;0,VLOOKUP($B1802,Dashboard!$Q$28:$S$60,3,FALSE),1))),0))</f>
        <v>134</v>
      </c>
      <c r="K1802" s="2" t="str">
        <f>IF('Inserts - Story'!E37="","",'Inserts - Story'!E37)</f>
        <v/>
      </c>
      <c r="L1802" s="2">
        <f t="shared" si="364"/>
        <v>0</v>
      </c>
      <c r="M1802" s="2">
        <f t="shared" si="365"/>
        <v>0</v>
      </c>
      <c r="N1802" s="2">
        <f t="shared" si="366"/>
        <v>0</v>
      </c>
      <c r="O1802" s="2">
        <f t="shared" si="367"/>
        <v>1</v>
      </c>
      <c r="P1802" s="112">
        <f t="shared" si="368"/>
        <v>0</v>
      </c>
      <c r="Q1802" s="112">
        <f t="shared" si="369"/>
        <v>0</v>
      </c>
      <c r="R1802" s="53"/>
      <c r="S1802" s="53" t="str">
        <f t="shared" si="370"/>
        <v>Inserts - Story|In Memory Of... Gold Parallel|IMO-6|Gold</v>
      </c>
      <c r="T1802" s="57" t="str">
        <f>IF($S1802="","",IFERROR(VLOOKUP($S1802,'Pop Estimates (Non-#d)'!$N$2:$O$500,2,FALSE),""))</f>
        <v/>
      </c>
      <c r="U1802" s="57">
        <f t="shared" si="371"/>
        <v>7</v>
      </c>
      <c r="V1802" s="53" t="str">
        <f t="shared" si="372"/>
        <v/>
      </c>
      <c r="W1802" s="53" t="str">
        <f t="shared" si="373"/>
        <v/>
      </c>
      <c r="X1802" s="53" t="str">
        <f t="shared" si="374"/>
        <v/>
      </c>
      <c r="Y1802" s="57" t="str">
        <f>IF($X1802="","",IFERROR(VLOOKUP($X1802,'Char Popularity'!$A$2:$C$500,2,FALSE),""))</f>
        <v/>
      </c>
      <c r="Z1802" s="56">
        <f>IF($X1802="",1,IFERROR(VLOOKUP($X1802,'Char Popularity'!$A$2:$C$500,3,FALSE),1))</f>
        <v>1</v>
      </c>
      <c r="AA1802" s="62">
        <f>IF($H1802&lt;&gt;"Y",0,(IF($F1802&lt;&gt;"",ROUND(Dashboard!$R$4/$F1802,1),IF(AND($I1802="Base",$E1802="Base"),Dashboard!$R$5,IF(AND($I1802="Base",$E1802="Red"),Dashboard!$R$6,IF(AND($I1802="Base",$E1802="Gold"),Dashboard!$R$7,VLOOKUP($I1802,Dashboard!$Q$16:$R$21,2,FALSE)))))*VLOOKUP($I1802,Dashboard!$Q$9:$R$13,2,FALSE)*IF(AND($I1802="Auto",$F1802="",OR($B1802="Autographs Duals",$B1802="Autographs Triples",$B1802="Autographs Quads",$B1802="Autographs Quads (Inscribed)")),IF($B1802="Autographs Duals",2,IF($B1802="Autographs Triples",3,4)),1)))</f>
        <v>171.48</v>
      </c>
      <c r="AB1802" s="62">
        <f t="shared" si="375"/>
        <v>0</v>
      </c>
      <c r="AC1802" s="62">
        <f t="shared" si="376"/>
        <v>0</v>
      </c>
    </row>
    <row r="1803" spans="1:29" ht="42.95" customHeight="1" x14ac:dyDescent="0.25">
      <c r="A1803" s="4" t="s">
        <v>23</v>
      </c>
      <c r="B1803" s="7" t="s">
        <v>106</v>
      </c>
      <c r="C1803" s="2" t="s">
        <v>726</v>
      </c>
      <c r="D1803" s="7" t="s">
        <v>352</v>
      </c>
      <c r="E1803" s="4" t="s">
        <v>1602</v>
      </c>
      <c r="F1803" s="2">
        <v>7</v>
      </c>
      <c r="G1803" s="2" t="s">
        <v>1399</v>
      </c>
      <c r="H1803" s="2" t="s">
        <v>1400</v>
      </c>
      <c r="I1803" s="4" t="s">
        <v>62</v>
      </c>
      <c r="J1803" s="112">
        <f>IF($H1803&lt;&gt;"Y",0,ROUND(MIN(Dashboard!$R$24,IF(IFERROR(VLOOKUP($B1803,Dashboard!$Q$28:$S$60,2,FALSE),0)&gt;0,IFERROR(VLOOKUP($B1803,Dashboard!$Q$28:$S$60,2,FALSE),0),$Z1803*IF($U1803&lt;&gt;"",ROUND((Dashboard!$R$4/$U1803)*VLOOKUP($I1803,Dashboard!$Q$9:$R$13,2,FALSE)*IF(ISNUMBER(SEARCH("Duals",$B1803)),2,IF(ISNUMBER(SEARCH("Triples",$B1803)),3,IF(ISNUMBER(SEARCH("Quads",$B1803)),4,1))),2),ROUND(VLOOKUP($I1803,Dashboard!$Q$15:$R$20,2,FALSE)*IF($E1803="Red",Dashboard!$R$6,IF($E1803="Gold",Dashboard!$R$7,Dashboard!$R$5))*IF(ISNUMBER(SEARCH("Duals",$B1803)),2,IF(ISNUMBER(SEARCH("Triples",$B1803)),3,IF(ISNUMBER(SEARCH("Quads",$B1803)),4,1))),2))*IF(IFERROR(VLOOKUP($B1803,Dashboard!$Q$28:$S$60,3,FALSE),0)&gt;0,VLOOKUP($B1803,Dashboard!$Q$28:$S$60,3,FALSE),1))),0))</f>
        <v>134</v>
      </c>
      <c r="K1803" s="2" t="str">
        <f>IF('Inserts - Story'!E38="","",'Inserts - Story'!E38)</f>
        <v>C '6/7</v>
      </c>
      <c r="L1803" s="2">
        <f t="shared" si="364"/>
        <v>1</v>
      </c>
      <c r="M1803" s="2">
        <f t="shared" si="365"/>
        <v>0</v>
      </c>
      <c r="N1803" s="2">
        <f t="shared" si="366"/>
        <v>1</v>
      </c>
      <c r="O1803" s="2">
        <f t="shared" si="367"/>
        <v>0</v>
      </c>
      <c r="P1803" s="112">
        <f t="shared" si="368"/>
        <v>134</v>
      </c>
      <c r="Q1803" s="112">
        <f t="shared" si="369"/>
        <v>0</v>
      </c>
      <c r="R1803" s="53"/>
      <c r="S1803" s="53" t="str">
        <f t="shared" si="370"/>
        <v>Inserts - Story|In Memory Of... Gold Parallel|IMO-7|Gold</v>
      </c>
      <c r="T1803" s="57" t="str">
        <f>IF($S1803="","",IFERROR(VLOOKUP($S1803,'Pop Estimates (Non-#d)'!$N$2:$O$500,2,FALSE),""))</f>
        <v/>
      </c>
      <c r="U1803" s="57">
        <f t="shared" si="371"/>
        <v>7</v>
      </c>
      <c r="V1803" s="53" t="str">
        <f t="shared" si="372"/>
        <v/>
      </c>
      <c r="W1803" s="53" t="str">
        <f t="shared" si="373"/>
        <v/>
      </c>
      <c r="X1803" s="53" t="str">
        <f t="shared" si="374"/>
        <v/>
      </c>
      <c r="Y1803" s="57" t="str">
        <f>IF($X1803="","",IFERROR(VLOOKUP($X1803,'Char Popularity'!$A$2:$C$500,2,FALSE),""))</f>
        <v/>
      </c>
      <c r="Z1803" s="56">
        <f>IF($X1803="",1,IFERROR(VLOOKUP($X1803,'Char Popularity'!$A$2:$C$500,3,FALSE),1))</f>
        <v>1</v>
      </c>
      <c r="AA1803" s="62">
        <f>IF($H1803&lt;&gt;"Y",0,(IF($F1803&lt;&gt;"",ROUND(Dashboard!$R$4/$F1803,1),IF(AND($I1803="Base",$E1803="Base"),Dashboard!$R$5,IF(AND($I1803="Base",$E1803="Red"),Dashboard!$R$6,IF(AND($I1803="Base",$E1803="Gold"),Dashboard!$R$7,VLOOKUP($I1803,Dashboard!$Q$16:$R$21,2,FALSE)))))*VLOOKUP($I1803,Dashboard!$Q$9:$R$13,2,FALSE)*IF(AND($I1803="Auto",$F1803="",OR($B1803="Autographs Duals",$B1803="Autographs Triples",$B1803="Autographs Quads",$B1803="Autographs Quads (Inscribed)")),IF($B1803="Autographs Duals",2,IF($B1803="Autographs Triples",3,4)),1)))</f>
        <v>171.48</v>
      </c>
      <c r="AB1803" s="62">
        <f t="shared" si="375"/>
        <v>171.48</v>
      </c>
      <c r="AC1803" s="62">
        <f t="shared" si="376"/>
        <v>0</v>
      </c>
    </row>
    <row r="1804" spans="1:29" ht="42.95" customHeight="1" x14ac:dyDescent="0.25">
      <c r="A1804" s="4" t="s">
        <v>23</v>
      </c>
      <c r="B1804" s="7" t="s">
        <v>106</v>
      </c>
      <c r="C1804" s="2" t="s">
        <v>727</v>
      </c>
      <c r="D1804" s="7" t="s">
        <v>537</v>
      </c>
      <c r="E1804" s="4" t="s">
        <v>1602</v>
      </c>
      <c r="F1804" s="2">
        <v>7</v>
      </c>
      <c r="G1804" s="2" t="s">
        <v>1399</v>
      </c>
      <c r="H1804" s="2" t="s">
        <v>1400</v>
      </c>
      <c r="I1804" s="4" t="s">
        <v>62</v>
      </c>
      <c r="J1804" s="112">
        <f>IF($H1804&lt;&gt;"Y",0,ROUND(MIN(Dashboard!$R$24,IF(IFERROR(VLOOKUP($B1804,Dashboard!$Q$28:$S$60,2,FALSE),0)&gt;0,IFERROR(VLOOKUP($B1804,Dashboard!$Q$28:$S$60,2,FALSE),0),$Z1804*IF($U1804&lt;&gt;"",ROUND((Dashboard!$R$4/$U1804)*VLOOKUP($I1804,Dashboard!$Q$9:$R$13,2,FALSE)*IF(ISNUMBER(SEARCH("Duals",$B1804)),2,IF(ISNUMBER(SEARCH("Triples",$B1804)),3,IF(ISNUMBER(SEARCH("Quads",$B1804)),4,1))),2),ROUND(VLOOKUP($I1804,Dashboard!$Q$15:$R$20,2,FALSE)*IF($E1804="Red",Dashboard!$R$6,IF($E1804="Gold",Dashboard!$R$7,Dashboard!$R$5))*IF(ISNUMBER(SEARCH("Duals",$B1804)),2,IF(ISNUMBER(SEARCH("Triples",$B1804)),3,IF(ISNUMBER(SEARCH("Quads",$B1804)),4,1))),2))*IF(IFERROR(VLOOKUP($B1804,Dashboard!$Q$28:$S$60,3,FALSE),0)&gt;0,VLOOKUP($B1804,Dashboard!$Q$28:$S$60,3,FALSE),1))),0))</f>
        <v>134</v>
      </c>
      <c r="K1804" s="2" t="str">
        <f>IF('Inserts - Story'!E39="","",'Inserts - Story'!E39)</f>
        <v/>
      </c>
      <c r="L1804" s="2">
        <f t="shared" si="364"/>
        <v>0</v>
      </c>
      <c r="M1804" s="2">
        <f t="shared" si="365"/>
        <v>0</v>
      </c>
      <c r="N1804" s="2">
        <f t="shared" si="366"/>
        <v>0</v>
      </c>
      <c r="O1804" s="2">
        <f t="shared" si="367"/>
        <v>1</v>
      </c>
      <c r="P1804" s="112">
        <f t="shared" si="368"/>
        <v>0</v>
      </c>
      <c r="Q1804" s="112">
        <f t="shared" si="369"/>
        <v>0</v>
      </c>
      <c r="R1804" s="53"/>
      <c r="S1804" s="53" t="str">
        <f t="shared" si="370"/>
        <v>Inserts - Story|In Memory Of... Gold Parallel|IMO-8|Gold</v>
      </c>
      <c r="T1804" s="57" t="str">
        <f>IF($S1804="","",IFERROR(VLOOKUP($S1804,'Pop Estimates (Non-#d)'!$N$2:$O$500,2,FALSE),""))</f>
        <v/>
      </c>
      <c r="U1804" s="57">
        <f t="shared" si="371"/>
        <v>7</v>
      </c>
      <c r="V1804" s="53" t="str">
        <f t="shared" si="372"/>
        <v/>
      </c>
      <c r="W1804" s="53" t="str">
        <f t="shared" si="373"/>
        <v/>
      </c>
      <c r="X1804" s="53" t="str">
        <f t="shared" si="374"/>
        <v/>
      </c>
      <c r="Y1804" s="57" t="str">
        <f>IF($X1804="","",IFERROR(VLOOKUP($X1804,'Char Popularity'!$A$2:$C$500,2,FALSE),""))</f>
        <v/>
      </c>
      <c r="Z1804" s="56">
        <f>IF($X1804="",1,IFERROR(VLOOKUP($X1804,'Char Popularity'!$A$2:$C$500,3,FALSE),1))</f>
        <v>1</v>
      </c>
      <c r="AA1804" s="62">
        <f>IF($H1804&lt;&gt;"Y",0,(IF($F1804&lt;&gt;"",ROUND(Dashboard!$R$4/$F1804,1),IF(AND($I1804="Base",$E1804="Base"),Dashboard!$R$5,IF(AND($I1804="Base",$E1804="Red"),Dashboard!$R$6,IF(AND($I1804="Base",$E1804="Gold"),Dashboard!$R$7,VLOOKUP($I1804,Dashboard!$Q$16:$R$21,2,FALSE)))))*VLOOKUP($I1804,Dashboard!$Q$9:$R$13,2,FALSE)*IF(AND($I1804="Auto",$F1804="",OR($B1804="Autographs Duals",$B1804="Autographs Triples",$B1804="Autographs Quads",$B1804="Autographs Quads (Inscribed)")),IF($B1804="Autographs Duals",2,IF($B1804="Autographs Triples",3,4)),1)))</f>
        <v>171.48</v>
      </c>
      <c r="AB1804" s="62">
        <f t="shared" si="375"/>
        <v>0</v>
      </c>
      <c r="AC1804" s="62">
        <f t="shared" si="376"/>
        <v>0</v>
      </c>
    </row>
    <row r="1805" spans="1:29" ht="42.95" customHeight="1" x14ac:dyDescent="0.25">
      <c r="A1805" s="4" t="s">
        <v>23</v>
      </c>
      <c r="B1805" s="7" t="s">
        <v>106</v>
      </c>
      <c r="C1805" s="2" t="s">
        <v>728</v>
      </c>
      <c r="D1805" s="7" t="s">
        <v>441</v>
      </c>
      <c r="E1805" s="4" t="s">
        <v>1602</v>
      </c>
      <c r="F1805" s="2">
        <v>7</v>
      </c>
      <c r="G1805" s="2" t="s">
        <v>1399</v>
      </c>
      <c r="H1805" s="2" t="s">
        <v>1400</v>
      </c>
      <c r="I1805" s="4" t="s">
        <v>62</v>
      </c>
      <c r="J1805" s="112">
        <f>IF($H1805&lt;&gt;"Y",0,ROUND(MIN(Dashboard!$R$24,IF(IFERROR(VLOOKUP($B1805,Dashboard!$Q$28:$S$60,2,FALSE),0)&gt;0,IFERROR(VLOOKUP($B1805,Dashboard!$Q$28:$S$60,2,FALSE),0),$Z1805*IF($U1805&lt;&gt;"",ROUND((Dashboard!$R$4/$U1805)*VLOOKUP($I1805,Dashboard!$Q$9:$R$13,2,FALSE)*IF(ISNUMBER(SEARCH("Duals",$B1805)),2,IF(ISNUMBER(SEARCH("Triples",$B1805)),3,IF(ISNUMBER(SEARCH("Quads",$B1805)),4,1))),2),ROUND(VLOOKUP($I1805,Dashboard!$Q$15:$R$20,2,FALSE)*IF($E1805="Red",Dashboard!$R$6,IF($E1805="Gold",Dashboard!$R$7,Dashboard!$R$5))*IF(ISNUMBER(SEARCH("Duals",$B1805)),2,IF(ISNUMBER(SEARCH("Triples",$B1805)),3,IF(ISNUMBER(SEARCH("Quads",$B1805)),4,1))),2))*IF(IFERROR(VLOOKUP($B1805,Dashboard!$Q$28:$S$60,3,FALSE),0)&gt;0,VLOOKUP($B1805,Dashboard!$Q$28:$S$60,3,FALSE),1))),0))</f>
        <v>134</v>
      </c>
      <c r="K1805" s="2" t="str">
        <f>IF('Inserts - Story'!E40="","",'Inserts - Story'!E40)</f>
        <v>C 5/7</v>
      </c>
      <c r="L1805" s="2">
        <f t="shared" si="364"/>
        <v>1</v>
      </c>
      <c r="M1805" s="2">
        <f t="shared" si="365"/>
        <v>0</v>
      </c>
      <c r="N1805" s="2">
        <f t="shared" si="366"/>
        <v>1</v>
      </c>
      <c r="O1805" s="2">
        <f t="shared" si="367"/>
        <v>0</v>
      </c>
      <c r="P1805" s="112">
        <f t="shared" si="368"/>
        <v>134</v>
      </c>
      <c r="Q1805" s="112">
        <f t="shared" si="369"/>
        <v>0</v>
      </c>
      <c r="R1805" s="53"/>
      <c r="S1805" s="53" t="str">
        <f t="shared" si="370"/>
        <v>Inserts - Story|In Memory Of... Gold Parallel|IMO-9|Gold</v>
      </c>
      <c r="T1805" s="57" t="str">
        <f>IF($S1805="","",IFERROR(VLOOKUP($S1805,'Pop Estimates (Non-#d)'!$N$2:$O$500,2,FALSE),""))</f>
        <v/>
      </c>
      <c r="U1805" s="57">
        <f t="shared" si="371"/>
        <v>7</v>
      </c>
      <c r="V1805" s="53" t="str">
        <f t="shared" si="372"/>
        <v/>
      </c>
      <c r="W1805" s="53" t="str">
        <f t="shared" si="373"/>
        <v/>
      </c>
      <c r="X1805" s="53" t="str">
        <f t="shared" si="374"/>
        <v/>
      </c>
      <c r="Y1805" s="57" t="str">
        <f>IF($X1805="","",IFERROR(VLOOKUP($X1805,'Char Popularity'!$A$2:$C$500,2,FALSE),""))</f>
        <v/>
      </c>
      <c r="Z1805" s="56">
        <f>IF($X1805="",1,IFERROR(VLOOKUP($X1805,'Char Popularity'!$A$2:$C$500,3,FALSE),1))</f>
        <v>1</v>
      </c>
      <c r="AA1805" s="62">
        <f>IF($H1805&lt;&gt;"Y",0,(IF($F1805&lt;&gt;"",ROUND(Dashboard!$R$4/$F1805,1),IF(AND($I1805="Base",$E1805="Base"),Dashboard!$R$5,IF(AND($I1805="Base",$E1805="Red"),Dashboard!$R$6,IF(AND($I1805="Base",$E1805="Gold"),Dashboard!$R$7,VLOOKUP($I1805,Dashboard!$Q$16:$R$21,2,FALSE)))))*VLOOKUP($I1805,Dashboard!$Q$9:$R$13,2,FALSE)*IF(AND($I1805="Auto",$F1805="",OR($B1805="Autographs Duals",$B1805="Autographs Triples",$B1805="Autographs Quads",$B1805="Autographs Quads (Inscribed)")),IF($B1805="Autographs Duals",2,IF($B1805="Autographs Triples",3,4)),1)))</f>
        <v>171.48</v>
      </c>
      <c r="AB1805" s="62">
        <f t="shared" si="375"/>
        <v>171.48</v>
      </c>
      <c r="AC1805" s="62">
        <f t="shared" si="376"/>
        <v>0</v>
      </c>
    </row>
    <row r="1806" spans="1:29" ht="42.95" customHeight="1" x14ac:dyDescent="0.25">
      <c r="A1806" s="4" t="s">
        <v>23</v>
      </c>
      <c r="B1806" s="7" t="s">
        <v>106</v>
      </c>
      <c r="C1806" s="2" t="s">
        <v>710</v>
      </c>
      <c r="D1806" s="7" t="s">
        <v>458</v>
      </c>
      <c r="E1806" s="4" t="s">
        <v>1602</v>
      </c>
      <c r="F1806" s="2">
        <v>7</v>
      </c>
      <c r="G1806" s="2" t="s">
        <v>1399</v>
      </c>
      <c r="H1806" s="2" t="s">
        <v>1400</v>
      </c>
      <c r="I1806" s="4" t="s">
        <v>62</v>
      </c>
      <c r="J1806" s="112">
        <f>IF($H1806&lt;&gt;"Y",0,ROUND(MIN(Dashboard!$R$24,IF(IFERROR(VLOOKUP($B1806,Dashboard!$Q$28:$S$60,2,FALSE),0)&gt;0,IFERROR(VLOOKUP($B1806,Dashboard!$Q$28:$S$60,2,FALSE),0),$Z1806*IF($U1806&lt;&gt;"",ROUND((Dashboard!$R$4/$U1806)*VLOOKUP($I1806,Dashboard!$Q$9:$R$13,2,FALSE)*IF(ISNUMBER(SEARCH("Duals",$B1806)),2,IF(ISNUMBER(SEARCH("Triples",$B1806)),3,IF(ISNUMBER(SEARCH("Quads",$B1806)),4,1))),2),ROUND(VLOOKUP($I1806,Dashboard!$Q$15:$R$20,2,FALSE)*IF($E1806="Red",Dashboard!$R$6,IF($E1806="Gold",Dashboard!$R$7,Dashboard!$R$5))*IF(ISNUMBER(SEARCH("Duals",$B1806)),2,IF(ISNUMBER(SEARCH("Triples",$B1806)),3,IF(ISNUMBER(SEARCH("Quads",$B1806)),4,1))),2))*IF(IFERROR(VLOOKUP($B1806,Dashboard!$Q$28:$S$60,3,FALSE),0)&gt;0,VLOOKUP($B1806,Dashboard!$Q$28:$S$60,3,FALSE),1))),0))</f>
        <v>134</v>
      </c>
      <c r="K1806" s="2" t="str">
        <f>IF('Inserts - Story'!E41="","",'Inserts - Story'!E41)</f>
        <v/>
      </c>
      <c r="L1806" s="2">
        <f t="shared" si="364"/>
        <v>0</v>
      </c>
      <c r="M1806" s="2">
        <f t="shared" si="365"/>
        <v>0</v>
      </c>
      <c r="N1806" s="2">
        <f t="shared" si="366"/>
        <v>0</v>
      </c>
      <c r="O1806" s="2">
        <f t="shared" si="367"/>
        <v>1</v>
      </c>
      <c r="P1806" s="112">
        <f t="shared" si="368"/>
        <v>0</v>
      </c>
      <c r="Q1806" s="112">
        <f t="shared" si="369"/>
        <v>0</v>
      </c>
      <c r="R1806" s="53"/>
      <c r="S1806" s="53" t="str">
        <f t="shared" si="370"/>
        <v>Inserts - Story|In Memory Of... Gold Parallel|IMO-10|Gold</v>
      </c>
      <c r="T1806" s="57" t="str">
        <f>IF($S1806="","",IFERROR(VLOOKUP($S1806,'Pop Estimates (Non-#d)'!$N$2:$O$500,2,FALSE),""))</f>
        <v/>
      </c>
      <c r="U1806" s="57">
        <f t="shared" si="371"/>
        <v>7</v>
      </c>
      <c r="V1806" s="53" t="str">
        <f t="shared" si="372"/>
        <v/>
      </c>
      <c r="W1806" s="53" t="str">
        <f t="shared" si="373"/>
        <v/>
      </c>
      <c r="X1806" s="53" t="str">
        <f t="shared" si="374"/>
        <v/>
      </c>
      <c r="Y1806" s="57" t="str">
        <f>IF($X1806="","",IFERROR(VLOOKUP($X1806,'Char Popularity'!$A$2:$C$500,2,FALSE),""))</f>
        <v/>
      </c>
      <c r="Z1806" s="56">
        <f>IF($X1806="",1,IFERROR(VLOOKUP($X1806,'Char Popularity'!$A$2:$C$500,3,FALSE),1))</f>
        <v>1</v>
      </c>
      <c r="AA1806" s="62">
        <f>IF($H1806&lt;&gt;"Y",0,(IF($F1806&lt;&gt;"",ROUND(Dashboard!$R$4/$F1806,1),IF(AND($I1806="Base",$E1806="Base"),Dashboard!$R$5,IF(AND($I1806="Base",$E1806="Red"),Dashboard!$R$6,IF(AND($I1806="Base",$E1806="Gold"),Dashboard!$R$7,VLOOKUP($I1806,Dashboard!$Q$16:$R$21,2,FALSE)))))*VLOOKUP($I1806,Dashboard!$Q$9:$R$13,2,FALSE)*IF(AND($I1806="Auto",$F1806="",OR($B1806="Autographs Duals",$B1806="Autographs Triples",$B1806="Autographs Quads",$B1806="Autographs Quads (Inscribed)")),IF($B1806="Autographs Duals",2,IF($B1806="Autographs Triples",3,4)),1)))</f>
        <v>171.48</v>
      </c>
      <c r="AB1806" s="62">
        <f t="shared" si="375"/>
        <v>0</v>
      </c>
      <c r="AC1806" s="62">
        <f t="shared" si="376"/>
        <v>0</v>
      </c>
    </row>
    <row r="1807" spans="1:29" ht="42.95" customHeight="1" x14ac:dyDescent="0.25">
      <c r="A1807" s="4" t="s">
        <v>23</v>
      </c>
      <c r="B1807" s="7" t="s">
        <v>106</v>
      </c>
      <c r="C1807" s="2" t="s">
        <v>711</v>
      </c>
      <c r="D1807" s="7" t="s">
        <v>712</v>
      </c>
      <c r="E1807" s="4" t="s">
        <v>1602</v>
      </c>
      <c r="F1807" s="2">
        <v>7</v>
      </c>
      <c r="G1807" s="2" t="s">
        <v>1399</v>
      </c>
      <c r="H1807" s="2" t="s">
        <v>1400</v>
      </c>
      <c r="I1807" s="4" t="s">
        <v>62</v>
      </c>
      <c r="J1807" s="112">
        <f>IF($H1807&lt;&gt;"Y",0,ROUND(MIN(Dashboard!$R$24,IF(IFERROR(VLOOKUP($B1807,Dashboard!$Q$28:$S$60,2,FALSE),0)&gt;0,IFERROR(VLOOKUP($B1807,Dashboard!$Q$28:$S$60,2,FALSE),0),$Z1807*IF($U1807&lt;&gt;"",ROUND((Dashboard!$R$4/$U1807)*VLOOKUP($I1807,Dashboard!$Q$9:$R$13,2,FALSE)*IF(ISNUMBER(SEARCH("Duals",$B1807)),2,IF(ISNUMBER(SEARCH("Triples",$B1807)),3,IF(ISNUMBER(SEARCH("Quads",$B1807)),4,1))),2),ROUND(VLOOKUP($I1807,Dashboard!$Q$15:$R$20,2,FALSE)*IF($E1807="Red",Dashboard!$R$6,IF($E1807="Gold",Dashboard!$R$7,Dashboard!$R$5))*IF(ISNUMBER(SEARCH("Duals",$B1807)),2,IF(ISNUMBER(SEARCH("Triples",$B1807)),3,IF(ISNUMBER(SEARCH("Quads",$B1807)),4,1))),2))*IF(IFERROR(VLOOKUP($B1807,Dashboard!$Q$28:$S$60,3,FALSE),0)&gt;0,VLOOKUP($B1807,Dashboard!$Q$28:$S$60,3,FALSE),1))),0))</f>
        <v>134</v>
      </c>
      <c r="K1807" s="2" t="str">
        <f>IF('Inserts - Story'!E42="","",'Inserts - Story'!E42)</f>
        <v>C '6/7</v>
      </c>
      <c r="L1807" s="2">
        <f t="shared" si="364"/>
        <v>1</v>
      </c>
      <c r="M1807" s="2">
        <f t="shared" si="365"/>
        <v>0</v>
      </c>
      <c r="N1807" s="2">
        <f t="shared" si="366"/>
        <v>1</v>
      </c>
      <c r="O1807" s="2">
        <f t="shared" si="367"/>
        <v>0</v>
      </c>
      <c r="P1807" s="112">
        <f t="shared" si="368"/>
        <v>134</v>
      </c>
      <c r="Q1807" s="112">
        <f t="shared" si="369"/>
        <v>0</v>
      </c>
      <c r="R1807" s="53"/>
      <c r="S1807" s="53" t="str">
        <f t="shared" si="370"/>
        <v>Inserts - Story|In Memory Of... Gold Parallel|IMO-11|Gold</v>
      </c>
      <c r="T1807" s="57" t="str">
        <f>IF($S1807="","",IFERROR(VLOOKUP($S1807,'Pop Estimates (Non-#d)'!$N$2:$O$500,2,FALSE),""))</f>
        <v/>
      </c>
      <c r="U1807" s="57">
        <f t="shared" si="371"/>
        <v>7</v>
      </c>
      <c r="V1807" s="53" t="str">
        <f t="shared" si="372"/>
        <v/>
      </c>
      <c r="W1807" s="53" t="str">
        <f t="shared" si="373"/>
        <v/>
      </c>
      <c r="X1807" s="53" t="str">
        <f t="shared" si="374"/>
        <v/>
      </c>
      <c r="Y1807" s="57" t="str">
        <f>IF($X1807="","",IFERROR(VLOOKUP($X1807,'Char Popularity'!$A$2:$C$500,2,FALSE),""))</f>
        <v/>
      </c>
      <c r="Z1807" s="56">
        <f>IF($X1807="",1,IFERROR(VLOOKUP($X1807,'Char Popularity'!$A$2:$C$500,3,FALSE),1))</f>
        <v>1</v>
      </c>
      <c r="AA1807" s="62">
        <f>IF($H1807&lt;&gt;"Y",0,(IF($F1807&lt;&gt;"",ROUND(Dashboard!$R$4/$F1807,1),IF(AND($I1807="Base",$E1807="Base"),Dashboard!$R$5,IF(AND($I1807="Base",$E1807="Red"),Dashboard!$R$6,IF(AND($I1807="Base",$E1807="Gold"),Dashboard!$R$7,VLOOKUP($I1807,Dashboard!$Q$16:$R$21,2,FALSE)))))*VLOOKUP($I1807,Dashboard!$Q$9:$R$13,2,FALSE)*IF(AND($I1807="Auto",$F1807="",OR($B1807="Autographs Duals",$B1807="Autographs Triples",$B1807="Autographs Quads",$B1807="Autographs Quads (Inscribed)")),IF($B1807="Autographs Duals",2,IF($B1807="Autographs Triples",3,4)),1)))</f>
        <v>171.48</v>
      </c>
      <c r="AB1807" s="62">
        <f t="shared" si="375"/>
        <v>171.48</v>
      </c>
      <c r="AC1807" s="62">
        <f t="shared" si="376"/>
        <v>0</v>
      </c>
    </row>
    <row r="1808" spans="1:29" ht="42.95" customHeight="1" x14ac:dyDescent="0.25">
      <c r="A1808" s="4" t="s">
        <v>23</v>
      </c>
      <c r="B1808" s="7" t="s">
        <v>106</v>
      </c>
      <c r="C1808" s="2" t="s">
        <v>713</v>
      </c>
      <c r="D1808" s="7" t="s">
        <v>714</v>
      </c>
      <c r="E1808" s="4" t="s">
        <v>1602</v>
      </c>
      <c r="F1808" s="2">
        <v>7</v>
      </c>
      <c r="G1808" s="2" t="s">
        <v>1399</v>
      </c>
      <c r="H1808" s="2" t="s">
        <v>1400</v>
      </c>
      <c r="I1808" s="4" t="s">
        <v>62</v>
      </c>
      <c r="J1808" s="112">
        <f>IF($H1808&lt;&gt;"Y",0,ROUND(MIN(Dashboard!$R$24,IF(IFERROR(VLOOKUP($B1808,Dashboard!$Q$28:$S$60,2,FALSE),0)&gt;0,IFERROR(VLOOKUP($B1808,Dashboard!$Q$28:$S$60,2,FALSE),0),$Z1808*IF($U1808&lt;&gt;"",ROUND((Dashboard!$R$4/$U1808)*VLOOKUP($I1808,Dashboard!$Q$9:$R$13,2,FALSE)*IF(ISNUMBER(SEARCH("Duals",$B1808)),2,IF(ISNUMBER(SEARCH("Triples",$B1808)),3,IF(ISNUMBER(SEARCH("Quads",$B1808)),4,1))),2),ROUND(VLOOKUP($I1808,Dashboard!$Q$15:$R$20,2,FALSE)*IF($E1808="Red",Dashboard!$R$6,IF($E1808="Gold",Dashboard!$R$7,Dashboard!$R$5))*IF(ISNUMBER(SEARCH("Duals",$B1808)),2,IF(ISNUMBER(SEARCH("Triples",$B1808)),3,IF(ISNUMBER(SEARCH("Quads",$B1808)),4,1))),2))*IF(IFERROR(VLOOKUP($B1808,Dashboard!$Q$28:$S$60,3,FALSE),0)&gt;0,VLOOKUP($B1808,Dashboard!$Q$28:$S$60,3,FALSE),1))),0))</f>
        <v>134</v>
      </c>
      <c r="K1808" s="2" t="str">
        <f>IF('Inserts - Story'!E43="","",'Inserts - Story'!E43)</f>
        <v>V 7/7</v>
      </c>
      <c r="L1808" s="2">
        <f t="shared" si="364"/>
        <v>1</v>
      </c>
      <c r="M1808" s="2">
        <f t="shared" si="365"/>
        <v>0</v>
      </c>
      <c r="N1808" s="2">
        <f t="shared" si="366"/>
        <v>1</v>
      </c>
      <c r="O1808" s="2">
        <f t="shared" si="367"/>
        <v>0</v>
      </c>
      <c r="P1808" s="112">
        <f t="shared" si="368"/>
        <v>134</v>
      </c>
      <c r="Q1808" s="112">
        <f t="shared" si="369"/>
        <v>0</v>
      </c>
      <c r="R1808" s="53"/>
      <c r="S1808" s="53" t="str">
        <f t="shared" si="370"/>
        <v>Inserts - Story|In Memory Of... Gold Parallel|IMO-12|Gold</v>
      </c>
      <c r="T1808" s="57" t="str">
        <f>IF($S1808="","",IFERROR(VLOOKUP($S1808,'Pop Estimates (Non-#d)'!$N$2:$O$500,2,FALSE),""))</f>
        <v/>
      </c>
      <c r="U1808" s="57">
        <f t="shared" si="371"/>
        <v>7</v>
      </c>
      <c r="V1808" s="53" t="str">
        <f t="shared" si="372"/>
        <v/>
      </c>
      <c r="W1808" s="53" t="str">
        <f t="shared" si="373"/>
        <v/>
      </c>
      <c r="X1808" s="53" t="str">
        <f t="shared" si="374"/>
        <v/>
      </c>
      <c r="Y1808" s="57" t="str">
        <f>IF($X1808="","",IFERROR(VLOOKUP($X1808,'Char Popularity'!$A$2:$C$500,2,FALSE),""))</f>
        <v/>
      </c>
      <c r="Z1808" s="56">
        <f>IF($X1808="",1,IFERROR(VLOOKUP($X1808,'Char Popularity'!$A$2:$C$500,3,FALSE),1))</f>
        <v>1</v>
      </c>
      <c r="AA1808" s="62">
        <f>IF($H1808&lt;&gt;"Y",0,(IF($F1808&lt;&gt;"",ROUND(Dashboard!$R$4/$F1808,1),IF(AND($I1808="Base",$E1808="Base"),Dashboard!$R$5,IF(AND($I1808="Base",$E1808="Red"),Dashboard!$R$6,IF(AND($I1808="Base",$E1808="Gold"),Dashboard!$R$7,VLOOKUP($I1808,Dashboard!$Q$16:$R$21,2,FALSE)))))*VLOOKUP($I1808,Dashboard!$Q$9:$R$13,2,FALSE)*IF(AND($I1808="Auto",$F1808="",OR($B1808="Autographs Duals",$B1808="Autographs Triples",$B1808="Autographs Quads",$B1808="Autographs Quads (Inscribed)")),IF($B1808="Autographs Duals",2,IF($B1808="Autographs Triples",3,4)),1)))</f>
        <v>171.48</v>
      </c>
      <c r="AB1808" s="62">
        <f t="shared" si="375"/>
        <v>171.48</v>
      </c>
      <c r="AC1808" s="62">
        <f t="shared" si="376"/>
        <v>0</v>
      </c>
    </row>
    <row r="1809" spans="1:29" ht="42.95" customHeight="1" x14ac:dyDescent="0.25">
      <c r="A1809" s="4" t="s">
        <v>23</v>
      </c>
      <c r="B1809" s="7" t="s">
        <v>106</v>
      </c>
      <c r="C1809" s="2" t="s">
        <v>715</v>
      </c>
      <c r="D1809" s="7" t="s">
        <v>716</v>
      </c>
      <c r="E1809" s="4" t="s">
        <v>1602</v>
      </c>
      <c r="F1809" s="2">
        <v>7</v>
      </c>
      <c r="G1809" s="2" t="s">
        <v>1399</v>
      </c>
      <c r="H1809" s="2" t="s">
        <v>1400</v>
      </c>
      <c r="I1809" s="4" t="s">
        <v>62</v>
      </c>
      <c r="J1809" s="112">
        <f>IF($H1809&lt;&gt;"Y",0,ROUND(MIN(Dashboard!$R$24,IF(IFERROR(VLOOKUP($B1809,Dashboard!$Q$28:$S$60,2,FALSE),0)&gt;0,IFERROR(VLOOKUP($B1809,Dashboard!$Q$28:$S$60,2,FALSE),0),$Z1809*IF($U1809&lt;&gt;"",ROUND((Dashboard!$R$4/$U1809)*VLOOKUP($I1809,Dashboard!$Q$9:$R$13,2,FALSE)*IF(ISNUMBER(SEARCH("Duals",$B1809)),2,IF(ISNUMBER(SEARCH("Triples",$B1809)),3,IF(ISNUMBER(SEARCH("Quads",$B1809)),4,1))),2),ROUND(VLOOKUP($I1809,Dashboard!$Q$15:$R$20,2,FALSE)*IF($E1809="Red",Dashboard!$R$6,IF($E1809="Gold",Dashboard!$R$7,Dashboard!$R$5))*IF(ISNUMBER(SEARCH("Duals",$B1809)),2,IF(ISNUMBER(SEARCH("Triples",$B1809)),3,IF(ISNUMBER(SEARCH("Quads",$B1809)),4,1))),2))*IF(IFERROR(VLOOKUP($B1809,Dashboard!$Q$28:$S$60,3,FALSE),0)&gt;0,VLOOKUP($B1809,Dashboard!$Q$28:$S$60,3,FALSE),1))),0))</f>
        <v>134</v>
      </c>
      <c r="K1809" s="2" t="str">
        <f>IF('Inserts - Story'!E44="","",'Inserts - Story'!E44)</f>
        <v/>
      </c>
      <c r="L1809" s="2">
        <f t="shared" si="364"/>
        <v>0</v>
      </c>
      <c r="M1809" s="2">
        <f t="shared" si="365"/>
        <v>0</v>
      </c>
      <c r="N1809" s="2">
        <f t="shared" si="366"/>
        <v>0</v>
      </c>
      <c r="O1809" s="2">
        <f t="shared" si="367"/>
        <v>1</v>
      </c>
      <c r="P1809" s="112">
        <f t="shared" si="368"/>
        <v>0</v>
      </c>
      <c r="Q1809" s="112">
        <f t="shared" si="369"/>
        <v>0</v>
      </c>
      <c r="R1809" s="53"/>
      <c r="S1809" s="53" t="str">
        <f t="shared" si="370"/>
        <v>Inserts - Story|In Memory Of... Gold Parallel|IMO-13|Gold</v>
      </c>
      <c r="T1809" s="57" t="str">
        <f>IF($S1809="","",IFERROR(VLOOKUP($S1809,'Pop Estimates (Non-#d)'!$N$2:$O$500,2,FALSE),""))</f>
        <v/>
      </c>
      <c r="U1809" s="57">
        <f t="shared" si="371"/>
        <v>7</v>
      </c>
      <c r="V1809" s="53" t="str">
        <f t="shared" si="372"/>
        <v/>
      </c>
      <c r="W1809" s="53" t="str">
        <f t="shared" si="373"/>
        <v/>
      </c>
      <c r="X1809" s="53" t="str">
        <f t="shared" si="374"/>
        <v/>
      </c>
      <c r="Y1809" s="57" t="str">
        <f>IF($X1809="","",IFERROR(VLOOKUP($X1809,'Char Popularity'!$A$2:$C$500,2,FALSE),""))</f>
        <v/>
      </c>
      <c r="Z1809" s="56">
        <f>IF($X1809="",1,IFERROR(VLOOKUP($X1809,'Char Popularity'!$A$2:$C$500,3,FALSE),1))</f>
        <v>1</v>
      </c>
      <c r="AA1809" s="62">
        <f>IF($H1809&lt;&gt;"Y",0,(IF($F1809&lt;&gt;"",ROUND(Dashboard!$R$4/$F1809,1),IF(AND($I1809="Base",$E1809="Base"),Dashboard!$R$5,IF(AND($I1809="Base",$E1809="Red"),Dashboard!$R$6,IF(AND($I1809="Base",$E1809="Gold"),Dashboard!$R$7,VLOOKUP($I1809,Dashboard!$Q$16:$R$21,2,FALSE)))))*VLOOKUP($I1809,Dashboard!$Q$9:$R$13,2,FALSE)*IF(AND($I1809="Auto",$F1809="",OR($B1809="Autographs Duals",$B1809="Autographs Triples",$B1809="Autographs Quads",$B1809="Autographs Quads (Inscribed)")),IF($B1809="Autographs Duals",2,IF($B1809="Autographs Triples",3,4)),1)))</f>
        <v>171.48</v>
      </c>
      <c r="AB1809" s="62">
        <f t="shared" si="375"/>
        <v>0</v>
      </c>
      <c r="AC1809" s="62">
        <f t="shared" si="376"/>
        <v>0</v>
      </c>
    </row>
    <row r="1810" spans="1:29" ht="42.95" customHeight="1" x14ac:dyDescent="0.25">
      <c r="A1810" s="4" t="s">
        <v>23</v>
      </c>
      <c r="B1810" s="7" t="s">
        <v>106</v>
      </c>
      <c r="C1810" s="2" t="s">
        <v>717</v>
      </c>
      <c r="D1810" s="7" t="s">
        <v>718</v>
      </c>
      <c r="E1810" s="4" t="s">
        <v>1602</v>
      </c>
      <c r="F1810" s="2">
        <v>7</v>
      </c>
      <c r="G1810" s="2" t="s">
        <v>1399</v>
      </c>
      <c r="H1810" s="2" t="s">
        <v>1400</v>
      </c>
      <c r="I1810" s="4" t="s">
        <v>62</v>
      </c>
      <c r="J1810" s="112">
        <f>IF($H1810&lt;&gt;"Y",0,ROUND(MIN(Dashboard!$R$24,IF(IFERROR(VLOOKUP($B1810,Dashboard!$Q$28:$S$60,2,FALSE),0)&gt;0,IFERROR(VLOOKUP($B1810,Dashboard!$Q$28:$S$60,2,FALSE),0),$Z1810*IF($U1810&lt;&gt;"",ROUND((Dashboard!$R$4/$U1810)*VLOOKUP($I1810,Dashboard!$Q$9:$R$13,2,FALSE)*IF(ISNUMBER(SEARCH("Duals",$B1810)),2,IF(ISNUMBER(SEARCH("Triples",$B1810)),3,IF(ISNUMBER(SEARCH("Quads",$B1810)),4,1))),2),ROUND(VLOOKUP($I1810,Dashboard!$Q$15:$R$20,2,FALSE)*IF($E1810="Red",Dashboard!$R$6,IF($E1810="Gold",Dashboard!$R$7,Dashboard!$R$5))*IF(ISNUMBER(SEARCH("Duals",$B1810)),2,IF(ISNUMBER(SEARCH("Triples",$B1810)),3,IF(ISNUMBER(SEARCH("Quads",$B1810)),4,1))),2))*IF(IFERROR(VLOOKUP($B1810,Dashboard!$Q$28:$S$60,3,FALSE),0)&gt;0,VLOOKUP($B1810,Dashboard!$Q$28:$S$60,3,FALSE),1))),0))</f>
        <v>134</v>
      </c>
      <c r="K1810" s="2" t="str">
        <f>IF('Inserts - Story'!E45="","",'Inserts - Story'!E45)</f>
        <v>C 7/7</v>
      </c>
      <c r="L1810" s="2">
        <f t="shared" si="364"/>
        <v>1</v>
      </c>
      <c r="M1810" s="2">
        <f t="shared" si="365"/>
        <v>0</v>
      </c>
      <c r="N1810" s="2">
        <f t="shared" si="366"/>
        <v>1</v>
      </c>
      <c r="O1810" s="2">
        <f t="shared" si="367"/>
        <v>0</v>
      </c>
      <c r="P1810" s="112">
        <f t="shared" si="368"/>
        <v>134</v>
      </c>
      <c r="Q1810" s="112">
        <f t="shared" si="369"/>
        <v>0</v>
      </c>
      <c r="R1810" s="53"/>
      <c r="S1810" s="53" t="str">
        <f t="shared" si="370"/>
        <v>Inserts - Story|In Memory Of... Gold Parallel|IMO-14|Gold</v>
      </c>
      <c r="T1810" s="57" t="str">
        <f>IF($S1810="","",IFERROR(VLOOKUP($S1810,'Pop Estimates (Non-#d)'!$N$2:$O$500,2,FALSE),""))</f>
        <v/>
      </c>
      <c r="U1810" s="57">
        <f t="shared" si="371"/>
        <v>7</v>
      </c>
      <c r="V1810" s="53" t="str">
        <f t="shared" si="372"/>
        <v/>
      </c>
      <c r="W1810" s="53" t="str">
        <f t="shared" si="373"/>
        <v/>
      </c>
      <c r="X1810" s="53" t="str">
        <f t="shared" si="374"/>
        <v/>
      </c>
      <c r="Y1810" s="57" t="str">
        <f>IF($X1810="","",IFERROR(VLOOKUP($X1810,'Char Popularity'!$A$2:$C$500,2,FALSE),""))</f>
        <v/>
      </c>
      <c r="Z1810" s="56">
        <f>IF($X1810="",1,IFERROR(VLOOKUP($X1810,'Char Popularity'!$A$2:$C$500,3,FALSE),1))</f>
        <v>1</v>
      </c>
      <c r="AA1810" s="62">
        <f>IF($H1810&lt;&gt;"Y",0,(IF($F1810&lt;&gt;"",ROUND(Dashboard!$R$4/$F1810,1),IF(AND($I1810="Base",$E1810="Base"),Dashboard!$R$5,IF(AND($I1810="Base",$E1810="Red"),Dashboard!$R$6,IF(AND($I1810="Base",$E1810="Gold"),Dashboard!$R$7,VLOOKUP($I1810,Dashboard!$Q$16:$R$21,2,FALSE)))))*VLOOKUP($I1810,Dashboard!$Q$9:$R$13,2,FALSE)*IF(AND($I1810="Auto",$F1810="",OR($B1810="Autographs Duals",$B1810="Autographs Triples",$B1810="Autographs Quads",$B1810="Autographs Quads (Inscribed)")),IF($B1810="Autographs Duals",2,IF($B1810="Autographs Triples",3,4)),1)))</f>
        <v>171.48</v>
      </c>
      <c r="AB1810" s="62">
        <f t="shared" si="375"/>
        <v>171.48</v>
      </c>
      <c r="AC1810" s="62">
        <f t="shared" si="376"/>
        <v>0</v>
      </c>
    </row>
    <row r="1811" spans="1:29" ht="42.95" customHeight="1" x14ac:dyDescent="0.25">
      <c r="A1811" s="4" t="s">
        <v>23</v>
      </c>
      <c r="B1811" s="7" t="s">
        <v>106</v>
      </c>
      <c r="C1811" s="2" t="s">
        <v>719</v>
      </c>
      <c r="D1811" s="7" t="s">
        <v>714</v>
      </c>
      <c r="E1811" s="4" t="s">
        <v>1602</v>
      </c>
      <c r="F1811" s="2">
        <v>7</v>
      </c>
      <c r="G1811" s="2" t="s">
        <v>1399</v>
      </c>
      <c r="H1811" s="2" t="s">
        <v>1400</v>
      </c>
      <c r="I1811" s="4" t="s">
        <v>62</v>
      </c>
      <c r="J1811" s="112">
        <f>IF($H1811&lt;&gt;"Y",0,ROUND(MIN(Dashboard!$R$24,IF(IFERROR(VLOOKUP($B1811,Dashboard!$Q$28:$S$60,2,FALSE),0)&gt;0,IFERROR(VLOOKUP($B1811,Dashboard!$Q$28:$S$60,2,FALSE),0),$Z1811*IF($U1811&lt;&gt;"",ROUND((Dashboard!$R$4/$U1811)*VLOOKUP($I1811,Dashboard!$Q$9:$R$13,2,FALSE)*IF(ISNUMBER(SEARCH("Duals",$B1811)),2,IF(ISNUMBER(SEARCH("Triples",$B1811)),3,IF(ISNUMBER(SEARCH("Quads",$B1811)),4,1))),2),ROUND(VLOOKUP($I1811,Dashboard!$Q$15:$R$20,2,FALSE)*IF($E1811="Red",Dashboard!$R$6,IF($E1811="Gold",Dashboard!$R$7,Dashboard!$R$5))*IF(ISNUMBER(SEARCH("Duals",$B1811)),2,IF(ISNUMBER(SEARCH("Triples",$B1811)),3,IF(ISNUMBER(SEARCH("Quads",$B1811)),4,1))),2))*IF(IFERROR(VLOOKUP($B1811,Dashboard!$Q$28:$S$60,3,FALSE),0)&gt;0,VLOOKUP($B1811,Dashboard!$Q$28:$S$60,3,FALSE),1))),0))</f>
        <v>134</v>
      </c>
      <c r="K1811" s="2" t="str">
        <f>IF('Inserts - Story'!E46="","",'Inserts - Story'!E46)</f>
        <v/>
      </c>
      <c r="L1811" s="2">
        <f t="shared" si="364"/>
        <v>0</v>
      </c>
      <c r="M1811" s="2">
        <f t="shared" si="365"/>
        <v>0</v>
      </c>
      <c r="N1811" s="2">
        <f t="shared" si="366"/>
        <v>0</v>
      </c>
      <c r="O1811" s="2">
        <f t="shared" si="367"/>
        <v>1</v>
      </c>
      <c r="P1811" s="112">
        <f t="shared" si="368"/>
        <v>0</v>
      </c>
      <c r="Q1811" s="112">
        <f t="shared" si="369"/>
        <v>0</v>
      </c>
      <c r="R1811" s="53"/>
      <c r="S1811" s="53" t="str">
        <f t="shared" si="370"/>
        <v>Inserts - Story|In Memory Of... Gold Parallel|IMO-15|Gold</v>
      </c>
      <c r="T1811" s="57" t="str">
        <f>IF($S1811="","",IFERROR(VLOOKUP($S1811,'Pop Estimates (Non-#d)'!$N$2:$O$500,2,FALSE),""))</f>
        <v/>
      </c>
      <c r="U1811" s="57">
        <f t="shared" si="371"/>
        <v>7</v>
      </c>
      <c r="V1811" s="53" t="str">
        <f t="shared" si="372"/>
        <v/>
      </c>
      <c r="W1811" s="53" t="str">
        <f t="shared" si="373"/>
        <v/>
      </c>
      <c r="X1811" s="53" t="str">
        <f t="shared" si="374"/>
        <v/>
      </c>
      <c r="Y1811" s="57" t="str">
        <f>IF($X1811="","",IFERROR(VLOOKUP($X1811,'Char Popularity'!$A$2:$C$500,2,FALSE),""))</f>
        <v/>
      </c>
      <c r="Z1811" s="56">
        <f>IF($X1811="",1,IFERROR(VLOOKUP($X1811,'Char Popularity'!$A$2:$C$500,3,FALSE),1))</f>
        <v>1</v>
      </c>
      <c r="AA1811" s="62">
        <f>IF($H1811&lt;&gt;"Y",0,(IF($F1811&lt;&gt;"",ROUND(Dashboard!$R$4/$F1811,1),IF(AND($I1811="Base",$E1811="Base"),Dashboard!$R$5,IF(AND($I1811="Base",$E1811="Red"),Dashboard!$R$6,IF(AND($I1811="Base",$E1811="Gold"),Dashboard!$R$7,VLOOKUP($I1811,Dashboard!$Q$16:$R$21,2,FALSE)))))*VLOOKUP($I1811,Dashboard!$Q$9:$R$13,2,FALSE)*IF(AND($I1811="Auto",$F1811="",OR($B1811="Autographs Duals",$B1811="Autographs Triples",$B1811="Autographs Quads",$B1811="Autographs Quads (Inscribed)")),IF($B1811="Autographs Duals",2,IF($B1811="Autographs Triples",3,4)),1)))</f>
        <v>171.48</v>
      </c>
      <c r="AB1811" s="62">
        <f t="shared" si="375"/>
        <v>0</v>
      </c>
      <c r="AC1811" s="62">
        <f t="shared" si="376"/>
        <v>0</v>
      </c>
    </row>
    <row r="1812" spans="1:29" ht="30" customHeight="1" x14ac:dyDescent="0.25">
      <c r="A1812" s="4" t="s">
        <v>23</v>
      </c>
      <c r="B1812" s="7" t="s">
        <v>796</v>
      </c>
      <c r="C1812" s="2" t="s">
        <v>708</v>
      </c>
      <c r="D1812" s="7" t="s">
        <v>709</v>
      </c>
      <c r="E1812" s="4" t="s">
        <v>60</v>
      </c>
      <c r="F1812" s="2">
        <v>4</v>
      </c>
      <c r="G1812" s="2" t="s">
        <v>1400</v>
      </c>
      <c r="H1812" s="2" t="s">
        <v>1399</v>
      </c>
      <c r="I1812" s="4" t="s">
        <v>62</v>
      </c>
      <c r="J1812" s="112">
        <f>IF($H1812&lt;&gt;"Y",0,ROUND(MIN(Dashboard!$R$24,IF(IFERROR(VLOOKUP($B1812,Dashboard!$Q$28:$S$60,2,FALSE),0)&gt;0,IFERROR(VLOOKUP($B1812,Dashboard!$Q$28:$S$60,2,FALSE),0),$Z1812*IF($U1812&lt;&gt;"",ROUND((Dashboard!$R$4/$U1812)*VLOOKUP($I1812,Dashboard!$Q$9:$R$13,2,FALSE)*IF(ISNUMBER(SEARCH("Duals",$B1812)),2,IF(ISNUMBER(SEARCH("Triples",$B1812)),3,IF(ISNUMBER(SEARCH("Quads",$B1812)),4,1))),2),ROUND(VLOOKUP($I1812,Dashboard!$Q$15:$R$20,2,FALSE)*IF($E1812="Red",Dashboard!$R$6,IF($E1812="Gold",Dashboard!$R$7,Dashboard!$R$5))*IF(ISNUMBER(SEARCH("Duals",$B1812)),2,IF(ISNUMBER(SEARCH("Triples",$B1812)),3,IF(ISNUMBER(SEARCH("Quads",$B1812)),4,1))),2))*IF(IFERROR(VLOOKUP($B1812,Dashboard!$Q$28:$S$60,3,FALSE),0)&gt;0,VLOOKUP($B1812,Dashboard!$Q$28:$S$60,3,FALSE),1))),0))</f>
        <v>0</v>
      </c>
      <c r="K1812" s="2" t="str">
        <f>IF('Inserts - Story'!F32="","",'Inserts - Story'!F32)</f>
        <v/>
      </c>
      <c r="L1812" s="2">
        <f t="shared" si="364"/>
        <v>0</v>
      </c>
      <c r="M1812" s="2">
        <f t="shared" si="365"/>
        <v>0</v>
      </c>
      <c r="N1812" s="2">
        <f t="shared" si="366"/>
        <v>0</v>
      </c>
      <c r="O1812" s="2">
        <f t="shared" si="367"/>
        <v>0</v>
      </c>
      <c r="P1812" s="112">
        <f t="shared" si="368"/>
        <v>0</v>
      </c>
      <c r="Q1812" s="112">
        <f t="shared" si="369"/>
        <v>0</v>
      </c>
      <c r="R1812" s="53"/>
      <c r="S1812" s="53" t="str">
        <f t="shared" si="370"/>
        <v>Inserts - Story|In Memory Of... Printing Plates Parallel|IMO-1|Base</v>
      </c>
      <c r="T1812" s="57" t="str">
        <f>IF($S1812="","",IFERROR(VLOOKUP($S1812,'Pop Estimates (Non-#d)'!$N$2:$O$500,2,FALSE),""))</f>
        <v/>
      </c>
      <c r="U1812" s="57">
        <f t="shared" si="371"/>
        <v>4</v>
      </c>
      <c r="V1812" s="53" t="str">
        <f t="shared" si="372"/>
        <v/>
      </c>
      <c r="W1812" s="53" t="str">
        <f t="shared" si="373"/>
        <v/>
      </c>
      <c r="X1812" s="53" t="str">
        <f t="shared" si="374"/>
        <v/>
      </c>
      <c r="Y1812" s="57" t="str">
        <f>IF($X1812="","",IFERROR(VLOOKUP($X1812,'Char Popularity'!$A$2:$C$500,2,FALSE),""))</f>
        <v/>
      </c>
      <c r="Z1812" s="56">
        <f>IF($X1812="",1,IFERROR(VLOOKUP($X1812,'Char Popularity'!$A$2:$C$500,3,FALSE),1))</f>
        <v>1</v>
      </c>
      <c r="AA1812" s="62">
        <f>IF($H1812&lt;&gt;"Y",0,(IF($F1812&lt;&gt;"",ROUND(Dashboard!$R$4/$F1812,1),IF(AND($I1812="Base",$E1812="Base"),Dashboard!$R$5,IF(AND($I1812="Base",$E1812="Red"),Dashboard!$R$6,IF(AND($I1812="Base",$E1812="Gold"),Dashboard!$R$7,VLOOKUP($I1812,Dashboard!$Q$16:$R$21,2,FALSE)))))*VLOOKUP($I1812,Dashboard!$Q$9:$R$13,2,FALSE)*IF(AND($I1812="Auto",$F1812="",OR($B1812="Autographs Duals",$B1812="Autographs Triples",$B1812="Autographs Quads",$B1812="Autographs Quads (Inscribed)")),IF($B1812="Autographs Duals",2,IF($B1812="Autographs Triples",3,4)),1)))</f>
        <v>0</v>
      </c>
      <c r="AB1812" s="62">
        <f t="shared" si="375"/>
        <v>0</v>
      </c>
      <c r="AC1812" s="62">
        <f t="shared" si="376"/>
        <v>0</v>
      </c>
    </row>
    <row r="1813" spans="1:29" ht="30" customHeight="1" x14ac:dyDescent="0.25">
      <c r="A1813" s="4" t="s">
        <v>23</v>
      </c>
      <c r="B1813" s="7" t="s">
        <v>796</v>
      </c>
      <c r="C1813" s="2" t="s">
        <v>720</v>
      </c>
      <c r="D1813" s="7" t="s">
        <v>446</v>
      </c>
      <c r="E1813" s="4" t="s">
        <v>60</v>
      </c>
      <c r="F1813" s="2">
        <v>4</v>
      </c>
      <c r="G1813" s="2" t="s">
        <v>1400</v>
      </c>
      <c r="H1813" s="2" t="s">
        <v>1399</v>
      </c>
      <c r="I1813" s="4" t="s">
        <v>62</v>
      </c>
      <c r="J1813" s="112">
        <f>IF($H1813&lt;&gt;"Y",0,ROUND(MIN(Dashboard!$R$24,IF(IFERROR(VLOOKUP($B1813,Dashboard!$Q$28:$S$60,2,FALSE),0)&gt;0,IFERROR(VLOOKUP($B1813,Dashboard!$Q$28:$S$60,2,FALSE),0),$Z1813*IF($U1813&lt;&gt;"",ROUND((Dashboard!$R$4/$U1813)*VLOOKUP($I1813,Dashboard!$Q$9:$R$13,2,FALSE)*IF(ISNUMBER(SEARCH("Duals",$B1813)),2,IF(ISNUMBER(SEARCH("Triples",$B1813)),3,IF(ISNUMBER(SEARCH("Quads",$B1813)),4,1))),2),ROUND(VLOOKUP($I1813,Dashboard!$Q$15:$R$20,2,FALSE)*IF($E1813="Red",Dashboard!$R$6,IF($E1813="Gold",Dashboard!$R$7,Dashboard!$R$5))*IF(ISNUMBER(SEARCH("Duals",$B1813)),2,IF(ISNUMBER(SEARCH("Triples",$B1813)),3,IF(ISNUMBER(SEARCH("Quads",$B1813)),4,1))),2))*IF(IFERROR(VLOOKUP($B1813,Dashboard!$Q$28:$S$60,3,FALSE),0)&gt;0,VLOOKUP($B1813,Dashboard!$Q$28:$S$60,3,FALSE),1))),0))</f>
        <v>0</v>
      </c>
      <c r="K1813" s="2" t="str">
        <f>IF('Inserts - Story'!F33="","",'Inserts - Story'!F33)</f>
        <v/>
      </c>
      <c r="L1813" s="2">
        <f t="shared" si="364"/>
        <v>0</v>
      </c>
      <c r="M1813" s="2">
        <f t="shared" si="365"/>
        <v>0</v>
      </c>
      <c r="N1813" s="2">
        <f t="shared" si="366"/>
        <v>0</v>
      </c>
      <c r="O1813" s="2">
        <f t="shared" si="367"/>
        <v>0</v>
      </c>
      <c r="P1813" s="112">
        <f t="shared" si="368"/>
        <v>0</v>
      </c>
      <c r="Q1813" s="112">
        <f t="shared" si="369"/>
        <v>0</v>
      </c>
      <c r="R1813" s="53"/>
      <c r="S1813" s="53" t="str">
        <f t="shared" si="370"/>
        <v>Inserts - Story|In Memory Of... Printing Plates Parallel|IMO-2|Base</v>
      </c>
      <c r="T1813" s="57" t="str">
        <f>IF($S1813="","",IFERROR(VLOOKUP($S1813,'Pop Estimates (Non-#d)'!$N$2:$O$500,2,FALSE),""))</f>
        <v/>
      </c>
      <c r="U1813" s="57">
        <f t="shared" si="371"/>
        <v>4</v>
      </c>
      <c r="V1813" s="53" t="str">
        <f t="shared" si="372"/>
        <v/>
      </c>
      <c r="W1813" s="53" t="str">
        <f t="shared" si="373"/>
        <v/>
      </c>
      <c r="X1813" s="53" t="str">
        <f t="shared" si="374"/>
        <v/>
      </c>
      <c r="Y1813" s="57" t="str">
        <f>IF($X1813="","",IFERROR(VLOOKUP($X1813,'Char Popularity'!$A$2:$C$500,2,FALSE),""))</f>
        <v/>
      </c>
      <c r="Z1813" s="56">
        <f>IF($X1813="",1,IFERROR(VLOOKUP($X1813,'Char Popularity'!$A$2:$C$500,3,FALSE),1))</f>
        <v>1</v>
      </c>
      <c r="AA1813" s="62">
        <f>IF($H1813&lt;&gt;"Y",0,(IF($F1813&lt;&gt;"",ROUND(Dashboard!$R$4/$F1813,1),IF(AND($I1813="Base",$E1813="Base"),Dashboard!$R$5,IF(AND($I1813="Base",$E1813="Red"),Dashboard!$R$6,IF(AND($I1813="Base",$E1813="Gold"),Dashboard!$R$7,VLOOKUP($I1813,Dashboard!$Q$16:$R$21,2,FALSE)))))*VLOOKUP($I1813,Dashboard!$Q$9:$R$13,2,FALSE)*IF(AND($I1813="Auto",$F1813="",OR($B1813="Autographs Duals",$B1813="Autographs Triples",$B1813="Autographs Quads",$B1813="Autographs Quads (Inscribed)")),IF($B1813="Autographs Duals",2,IF($B1813="Autographs Triples",3,4)),1)))</f>
        <v>0</v>
      </c>
      <c r="AB1813" s="62">
        <f t="shared" si="375"/>
        <v>0</v>
      </c>
      <c r="AC1813" s="62">
        <f t="shared" si="376"/>
        <v>0</v>
      </c>
    </row>
    <row r="1814" spans="1:29" ht="30" customHeight="1" x14ac:dyDescent="0.25">
      <c r="A1814" s="4" t="s">
        <v>23</v>
      </c>
      <c r="B1814" s="7" t="s">
        <v>796</v>
      </c>
      <c r="C1814" s="2" t="s">
        <v>721</v>
      </c>
      <c r="D1814" s="7" t="s">
        <v>444</v>
      </c>
      <c r="E1814" s="4" t="s">
        <v>60</v>
      </c>
      <c r="F1814" s="2">
        <v>4</v>
      </c>
      <c r="G1814" s="2" t="s">
        <v>1400</v>
      </c>
      <c r="H1814" s="2" t="s">
        <v>1399</v>
      </c>
      <c r="I1814" s="4" t="s">
        <v>62</v>
      </c>
      <c r="J1814" s="112">
        <f>IF($H1814&lt;&gt;"Y",0,ROUND(MIN(Dashboard!$R$24,IF(IFERROR(VLOOKUP($B1814,Dashboard!$Q$28:$S$60,2,FALSE),0)&gt;0,IFERROR(VLOOKUP($B1814,Dashboard!$Q$28:$S$60,2,FALSE),0),$Z1814*IF($U1814&lt;&gt;"",ROUND((Dashboard!$R$4/$U1814)*VLOOKUP($I1814,Dashboard!$Q$9:$R$13,2,FALSE)*IF(ISNUMBER(SEARCH("Duals",$B1814)),2,IF(ISNUMBER(SEARCH("Triples",$B1814)),3,IF(ISNUMBER(SEARCH("Quads",$B1814)),4,1))),2),ROUND(VLOOKUP($I1814,Dashboard!$Q$15:$R$20,2,FALSE)*IF($E1814="Red",Dashboard!$R$6,IF($E1814="Gold",Dashboard!$R$7,Dashboard!$R$5))*IF(ISNUMBER(SEARCH("Duals",$B1814)),2,IF(ISNUMBER(SEARCH("Triples",$B1814)),3,IF(ISNUMBER(SEARCH("Quads",$B1814)),4,1))),2))*IF(IFERROR(VLOOKUP($B1814,Dashboard!$Q$28:$S$60,3,FALSE),0)&gt;0,VLOOKUP($B1814,Dashboard!$Q$28:$S$60,3,FALSE),1))),0))</f>
        <v>0</v>
      </c>
      <c r="K1814" s="2" t="str">
        <f>IF('Inserts - Story'!F34="","",'Inserts - Story'!F34)</f>
        <v/>
      </c>
      <c r="L1814" s="2">
        <f t="shared" si="364"/>
        <v>0</v>
      </c>
      <c r="M1814" s="2">
        <f t="shared" si="365"/>
        <v>0</v>
      </c>
      <c r="N1814" s="2">
        <f t="shared" si="366"/>
        <v>0</v>
      </c>
      <c r="O1814" s="2">
        <f t="shared" si="367"/>
        <v>0</v>
      </c>
      <c r="P1814" s="112">
        <f t="shared" si="368"/>
        <v>0</v>
      </c>
      <c r="Q1814" s="112">
        <f t="shared" si="369"/>
        <v>0</v>
      </c>
      <c r="R1814" s="53"/>
      <c r="S1814" s="53" t="str">
        <f t="shared" si="370"/>
        <v>Inserts - Story|In Memory Of... Printing Plates Parallel|IMO-3|Base</v>
      </c>
      <c r="T1814" s="57" t="str">
        <f>IF($S1814="","",IFERROR(VLOOKUP($S1814,'Pop Estimates (Non-#d)'!$N$2:$O$500,2,FALSE),""))</f>
        <v/>
      </c>
      <c r="U1814" s="57">
        <f t="shared" si="371"/>
        <v>4</v>
      </c>
      <c r="V1814" s="53" t="str">
        <f t="shared" si="372"/>
        <v/>
      </c>
      <c r="W1814" s="53" t="str">
        <f t="shared" si="373"/>
        <v/>
      </c>
      <c r="X1814" s="53" t="str">
        <f t="shared" si="374"/>
        <v/>
      </c>
      <c r="Y1814" s="57" t="str">
        <f>IF($X1814="","",IFERROR(VLOOKUP($X1814,'Char Popularity'!$A$2:$C$500,2,FALSE),""))</f>
        <v/>
      </c>
      <c r="Z1814" s="56">
        <f>IF($X1814="",1,IFERROR(VLOOKUP($X1814,'Char Popularity'!$A$2:$C$500,3,FALSE),1))</f>
        <v>1</v>
      </c>
      <c r="AA1814" s="62">
        <f>IF($H1814&lt;&gt;"Y",0,(IF($F1814&lt;&gt;"",ROUND(Dashboard!$R$4/$F1814,1),IF(AND($I1814="Base",$E1814="Base"),Dashboard!$R$5,IF(AND($I1814="Base",$E1814="Red"),Dashboard!$R$6,IF(AND($I1814="Base",$E1814="Gold"),Dashboard!$R$7,VLOOKUP($I1814,Dashboard!$Q$16:$R$21,2,FALSE)))))*VLOOKUP($I1814,Dashboard!$Q$9:$R$13,2,FALSE)*IF(AND($I1814="Auto",$F1814="",OR($B1814="Autographs Duals",$B1814="Autographs Triples",$B1814="Autographs Quads",$B1814="Autographs Quads (Inscribed)")),IF($B1814="Autographs Duals",2,IF($B1814="Autographs Triples",3,4)),1)))</f>
        <v>0</v>
      </c>
      <c r="AB1814" s="62">
        <f t="shared" si="375"/>
        <v>0</v>
      </c>
      <c r="AC1814" s="62">
        <f t="shared" si="376"/>
        <v>0</v>
      </c>
    </row>
    <row r="1815" spans="1:29" ht="30" customHeight="1" x14ac:dyDescent="0.25">
      <c r="A1815" s="4" t="s">
        <v>23</v>
      </c>
      <c r="B1815" s="7" t="s">
        <v>796</v>
      </c>
      <c r="C1815" s="2" t="s">
        <v>722</v>
      </c>
      <c r="D1815" s="7" t="s">
        <v>723</v>
      </c>
      <c r="E1815" s="4" t="s">
        <v>60</v>
      </c>
      <c r="F1815" s="2">
        <v>4</v>
      </c>
      <c r="G1815" s="2" t="s">
        <v>1400</v>
      </c>
      <c r="H1815" s="2" t="s">
        <v>1399</v>
      </c>
      <c r="I1815" s="4" t="s">
        <v>62</v>
      </c>
      <c r="J1815" s="112">
        <f>IF($H1815&lt;&gt;"Y",0,ROUND(MIN(Dashboard!$R$24,IF(IFERROR(VLOOKUP($B1815,Dashboard!$Q$28:$S$60,2,FALSE),0)&gt;0,IFERROR(VLOOKUP($B1815,Dashboard!$Q$28:$S$60,2,FALSE),0),$Z1815*IF($U1815&lt;&gt;"",ROUND((Dashboard!$R$4/$U1815)*VLOOKUP($I1815,Dashboard!$Q$9:$R$13,2,FALSE)*IF(ISNUMBER(SEARCH("Duals",$B1815)),2,IF(ISNUMBER(SEARCH("Triples",$B1815)),3,IF(ISNUMBER(SEARCH("Quads",$B1815)),4,1))),2),ROUND(VLOOKUP($I1815,Dashboard!$Q$15:$R$20,2,FALSE)*IF($E1815="Red",Dashboard!$R$6,IF($E1815="Gold",Dashboard!$R$7,Dashboard!$R$5))*IF(ISNUMBER(SEARCH("Duals",$B1815)),2,IF(ISNUMBER(SEARCH("Triples",$B1815)),3,IF(ISNUMBER(SEARCH("Quads",$B1815)),4,1))),2))*IF(IFERROR(VLOOKUP($B1815,Dashboard!$Q$28:$S$60,3,FALSE),0)&gt;0,VLOOKUP($B1815,Dashboard!$Q$28:$S$60,3,FALSE),1))),0))</f>
        <v>0</v>
      </c>
      <c r="K1815" s="2" t="str">
        <f>IF('Inserts - Story'!F35="","",'Inserts - Story'!F35)</f>
        <v/>
      </c>
      <c r="L1815" s="2">
        <f t="shared" si="364"/>
        <v>0</v>
      </c>
      <c r="M1815" s="2">
        <f t="shared" si="365"/>
        <v>0</v>
      </c>
      <c r="N1815" s="2">
        <f t="shared" si="366"/>
        <v>0</v>
      </c>
      <c r="O1815" s="2">
        <f t="shared" si="367"/>
        <v>0</v>
      </c>
      <c r="P1815" s="112">
        <f t="shared" si="368"/>
        <v>0</v>
      </c>
      <c r="Q1815" s="112">
        <f t="shared" si="369"/>
        <v>0</v>
      </c>
      <c r="R1815" s="53"/>
      <c r="S1815" s="53" t="str">
        <f t="shared" si="370"/>
        <v>Inserts - Story|In Memory Of... Printing Plates Parallel|IMO-4|Base</v>
      </c>
      <c r="T1815" s="57" t="str">
        <f>IF($S1815="","",IFERROR(VLOOKUP($S1815,'Pop Estimates (Non-#d)'!$N$2:$O$500,2,FALSE),""))</f>
        <v/>
      </c>
      <c r="U1815" s="57">
        <f t="shared" si="371"/>
        <v>4</v>
      </c>
      <c r="V1815" s="53" t="str">
        <f t="shared" si="372"/>
        <v/>
      </c>
      <c r="W1815" s="53" t="str">
        <f t="shared" si="373"/>
        <v/>
      </c>
      <c r="X1815" s="53" t="str">
        <f t="shared" si="374"/>
        <v/>
      </c>
      <c r="Y1815" s="57" t="str">
        <f>IF($X1815="","",IFERROR(VLOOKUP($X1815,'Char Popularity'!$A$2:$C$500,2,FALSE),""))</f>
        <v/>
      </c>
      <c r="Z1815" s="56">
        <f>IF($X1815="",1,IFERROR(VLOOKUP($X1815,'Char Popularity'!$A$2:$C$500,3,FALSE),1))</f>
        <v>1</v>
      </c>
      <c r="AA1815" s="62">
        <f>IF($H1815&lt;&gt;"Y",0,(IF($F1815&lt;&gt;"",ROUND(Dashboard!$R$4/$F1815,1),IF(AND($I1815="Base",$E1815="Base"),Dashboard!$R$5,IF(AND($I1815="Base",$E1815="Red"),Dashboard!$R$6,IF(AND($I1815="Base",$E1815="Gold"),Dashboard!$R$7,VLOOKUP($I1815,Dashboard!$Q$16:$R$21,2,FALSE)))))*VLOOKUP($I1815,Dashboard!$Q$9:$R$13,2,FALSE)*IF(AND($I1815="Auto",$F1815="",OR($B1815="Autographs Duals",$B1815="Autographs Triples",$B1815="Autographs Quads",$B1815="Autographs Quads (Inscribed)")),IF($B1815="Autographs Duals",2,IF($B1815="Autographs Triples",3,4)),1)))</f>
        <v>0</v>
      </c>
      <c r="AB1815" s="62">
        <f t="shared" si="375"/>
        <v>0</v>
      </c>
      <c r="AC1815" s="62">
        <f t="shared" si="376"/>
        <v>0</v>
      </c>
    </row>
    <row r="1816" spans="1:29" ht="30" customHeight="1" x14ac:dyDescent="0.25">
      <c r="A1816" s="4" t="s">
        <v>23</v>
      </c>
      <c r="B1816" s="7" t="s">
        <v>796</v>
      </c>
      <c r="C1816" s="2" t="s">
        <v>724</v>
      </c>
      <c r="D1816" s="7" t="s">
        <v>352</v>
      </c>
      <c r="E1816" s="4" t="s">
        <v>60</v>
      </c>
      <c r="F1816" s="2">
        <v>4</v>
      </c>
      <c r="G1816" s="2" t="s">
        <v>1400</v>
      </c>
      <c r="H1816" s="2" t="s">
        <v>1399</v>
      </c>
      <c r="I1816" s="4" t="s">
        <v>62</v>
      </c>
      <c r="J1816" s="112">
        <f>IF($H1816&lt;&gt;"Y",0,ROUND(MIN(Dashboard!$R$24,IF(IFERROR(VLOOKUP($B1816,Dashboard!$Q$28:$S$60,2,FALSE),0)&gt;0,IFERROR(VLOOKUP($B1816,Dashboard!$Q$28:$S$60,2,FALSE),0),$Z1816*IF($U1816&lt;&gt;"",ROUND((Dashboard!$R$4/$U1816)*VLOOKUP($I1816,Dashboard!$Q$9:$R$13,2,FALSE)*IF(ISNUMBER(SEARCH("Duals",$B1816)),2,IF(ISNUMBER(SEARCH("Triples",$B1816)),3,IF(ISNUMBER(SEARCH("Quads",$B1816)),4,1))),2),ROUND(VLOOKUP($I1816,Dashboard!$Q$15:$R$20,2,FALSE)*IF($E1816="Red",Dashboard!$R$6,IF($E1816="Gold",Dashboard!$R$7,Dashboard!$R$5))*IF(ISNUMBER(SEARCH("Duals",$B1816)),2,IF(ISNUMBER(SEARCH("Triples",$B1816)),3,IF(ISNUMBER(SEARCH("Quads",$B1816)),4,1))),2))*IF(IFERROR(VLOOKUP($B1816,Dashboard!$Q$28:$S$60,3,FALSE),0)&gt;0,VLOOKUP($B1816,Dashboard!$Q$28:$S$60,3,FALSE),1))),0))</f>
        <v>0</v>
      </c>
      <c r="K1816" s="2" t="str">
        <f>IF('Inserts - Story'!F36="","",'Inserts - Story'!F36)</f>
        <v/>
      </c>
      <c r="L1816" s="2">
        <f t="shared" si="364"/>
        <v>0</v>
      </c>
      <c r="M1816" s="2">
        <f t="shared" si="365"/>
        <v>0</v>
      </c>
      <c r="N1816" s="2">
        <f t="shared" si="366"/>
        <v>0</v>
      </c>
      <c r="O1816" s="2">
        <f t="shared" si="367"/>
        <v>0</v>
      </c>
      <c r="P1816" s="112">
        <f t="shared" si="368"/>
        <v>0</v>
      </c>
      <c r="Q1816" s="112">
        <f t="shared" si="369"/>
        <v>0</v>
      </c>
      <c r="R1816" s="53"/>
      <c r="S1816" s="53" t="str">
        <f t="shared" si="370"/>
        <v>Inserts - Story|In Memory Of... Printing Plates Parallel|IMO-5|Base</v>
      </c>
      <c r="T1816" s="57" t="str">
        <f>IF($S1816="","",IFERROR(VLOOKUP($S1816,'Pop Estimates (Non-#d)'!$N$2:$O$500,2,FALSE),""))</f>
        <v/>
      </c>
      <c r="U1816" s="57">
        <f t="shared" si="371"/>
        <v>4</v>
      </c>
      <c r="V1816" s="53" t="str">
        <f t="shared" si="372"/>
        <v/>
      </c>
      <c r="W1816" s="53" t="str">
        <f t="shared" si="373"/>
        <v/>
      </c>
      <c r="X1816" s="53" t="str">
        <f t="shared" si="374"/>
        <v/>
      </c>
      <c r="Y1816" s="57" t="str">
        <f>IF($X1816="","",IFERROR(VLOOKUP($X1816,'Char Popularity'!$A$2:$C$500,2,FALSE),""))</f>
        <v/>
      </c>
      <c r="Z1816" s="56">
        <f>IF($X1816="",1,IFERROR(VLOOKUP($X1816,'Char Popularity'!$A$2:$C$500,3,FALSE),1))</f>
        <v>1</v>
      </c>
      <c r="AA1816" s="62">
        <f>IF($H1816&lt;&gt;"Y",0,(IF($F1816&lt;&gt;"",ROUND(Dashboard!$R$4/$F1816,1),IF(AND($I1816="Base",$E1816="Base"),Dashboard!$R$5,IF(AND($I1816="Base",$E1816="Red"),Dashboard!$R$6,IF(AND($I1816="Base",$E1816="Gold"),Dashboard!$R$7,VLOOKUP($I1816,Dashboard!$Q$16:$R$21,2,FALSE)))))*VLOOKUP($I1816,Dashboard!$Q$9:$R$13,2,FALSE)*IF(AND($I1816="Auto",$F1816="",OR($B1816="Autographs Duals",$B1816="Autographs Triples",$B1816="Autographs Quads",$B1816="Autographs Quads (Inscribed)")),IF($B1816="Autographs Duals",2,IF($B1816="Autographs Triples",3,4)),1)))</f>
        <v>0</v>
      </c>
      <c r="AB1816" s="62">
        <f t="shared" si="375"/>
        <v>0</v>
      </c>
      <c r="AC1816" s="62">
        <f t="shared" si="376"/>
        <v>0</v>
      </c>
    </row>
    <row r="1817" spans="1:29" ht="30" customHeight="1" x14ac:dyDescent="0.25">
      <c r="A1817" s="4" t="s">
        <v>23</v>
      </c>
      <c r="B1817" s="7" t="s">
        <v>796</v>
      </c>
      <c r="C1817" s="2" t="s">
        <v>725</v>
      </c>
      <c r="D1817" s="7" t="s">
        <v>542</v>
      </c>
      <c r="E1817" s="4" t="s">
        <v>60</v>
      </c>
      <c r="F1817" s="2">
        <v>4</v>
      </c>
      <c r="G1817" s="2" t="s">
        <v>1400</v>
      </c>
      <c r="H1817" s="2" t="s">
        <v>1399</v>
      </c>
      <c r="I1817" s="4" t="s">
        <v>62</v>
      </c>
      <c r="J1817" s="112">
        <f>IF($H1817&lt;&gt;"Y",0,ROUND(MIN(Dashboard!$R$24,IF(IFERROR(VLOOKUP($B1817,Dashboard!$Q$28:$S$60,2,FALSE),0)&gt;0,IFERROR(VLOOKUP($B1817,Dashboard!$Q$28:$S$60,2,FALSE),0),$Z1817*IF($U1817&lt;&gt;"",ROUND((Dashboard!$R$4/$U1817)*VLOOKUP($I1817,Dashboard!$Q$9:$R$13,2,FALSE)*IF(ISNUMBER(SEARCH("Duals",$B1817)),2,IF(ISNUMBER(SEARCH("Triples",$B1817)),3,IF(ISNUMBER(SEARCH("Quads",$B1817)),4,1))),2),ROUND(VLOOKUP($I1817,Dashboard!$Q$15:$R$20,2,FALSE)*IF($E1817="Red",Dashboard!$R$6,IF($E1817="Gold",Dashboard!$R$7,Dashboard!$R$5))*IF(ISNUMBER(SEARCH("Duals",$B1817)),2,IF(ISNUMBER(SEARCH("Triples",$B1817)),3,IF(ISNUMBER(SEARCH("Quads",$B1817)),4,1))),2))*IF(IFERROR(VLOOKUP($B1817,Dashboard!$Q$28:$S$60,3,FALSE),0)&gt;0,VLOOKUP($B1817,Dashboard!$Q$28:$S$60,3,FALSE),1))),0))</f>
        <v>0</v>
      </c>
      <c r="K1817" s="2" t="str">
        <f>IF('Inserts - Story'!F37="","",'Inserts - Story'!F37)</f>
        <v/>
      </c>
      <c r="L1817" s="2">
        <f t="shared" si="364"/>
        <v>0</v>
      </c>
      <c r="M1817" s="2">
        <f t="shared" si="365"/>
        <v>0</v>
      </c>
      <c r="N1817" s="2">
        <f t="shared" si="366"/>
        <v>0</v>
      </c>
      <c r="O1817" s="2">
        <f t="shared" si="367"/>
        <v>0</v>
      </c>
      <c r="P1817" s="112">
        <f t="shared" si="368"/>
        <v>0</v>
      </c>
      <c r="Q1817" s="112">
        <f t="shared" si="369"/>
        <v>0</v>
      </c>
      <c r="R1817" s="53"/>
      <c r="S1817" s="53" t="str">
        <f t="shared" si="370"/>
        <v>Inserts - Story|In Memory Of... Printing Plates Parallel|IMO-6|Base</v>
      </c>
      <c r="T1817" s="57" t="str">
        <f>IF($S1817="","",IFERROR(VLOOKUP($S1817,'Pop Estimates (Non-#d)'!$N$2:$O$500,2,FALSE),""))</f>
        <v/>
      </c>
      <c r="U1817" s="57">
        <f t="shared" si="371"/>
        <v>4</v>
      </c>
      <c r="V1817" s="53" t="str">
        <f t="shared" si="372"/>
        <v/>
      </c>
      <c r="W1817" s="53" t="str">
        <f t="shared" si="373"/>
        <v/>
      </c>
      <c r="X1817" s="53" t="str">
        <f t="shared" si="374"/>
        <v/>
      </c>
      <c r="Y1817" s="57" t="str">
        <f>IF($X1817="","",IFERROR(VLOOKUP($X1817,'Char Popularity'!$A$2:$C$500,2,FALSE),""))</f>
        <v/>
      </c>
      <c r="Z1817" s="56">
        <f>IF($X1817="",1,IFERROR(VLOOKUP($X1817,'Char Popularity'!$A$2:$C$500,3,FALSE),1))</f>
        <v>1</v>
      </c>
      <c r="AA1817" s="62">
        <f>IF($H1817&lt;&gt;"Y",0,(IF($F1817&lt;&gt;"",ROUND(Dashboard!$R$4/$F1817,1),IF(AND($I1817="Base",$E1817="Base"),Dashboard!$R$5,IF(AND($I1817="Base",$E1817="Red"),Dashboard!$R$6,IF(AND($I1817="Base",$E1817="Gold"),Dashboard!$R$7,VLOOKUP($I1817,Dashboard!$Q$16:$R$21,2,FALSE)))))*VLOOKUP($I1817,Dashboard!$Q$9:$R$13,2,FALSE)*IF(AND($I1817="Auto",$F1817="",OR($B1817="Autographs Duals",$B1817="Autographs Triples",$B1817="Autographs Quads",$B1817="Autographs Quads (Inscribed)")),IF($B1817="Autographs Duals",2,IF($B1817="Autographs Triples",3,4)),1)))</f>
        <v>0</v>
      </c>
      <c r="AB1817" s="62">
        <f t="shared" si="375"/>
        <v>0</v>
      </c>
      <c r="AC1817" s="62">
        <f t="shared" si="376"/>
        <v>0</v>
      </c>
    </row>
    <row r="1818" spans="1:29" ht="30" customHeight="1" x14ac:dyDescent="0.25">
      <c r="A1818" s="4" t="s">
        <v>23</v>
      </c>
      <c r="B1818" s="7" t="s">
        <v>796</v>
      </c>
      <c r="C1818" s="2" t="s">
        <v>726</v>
      </c>
      <c r="D1818" s="7" t="s">
        <v>352</v>
      </c>
      <c r="E1818" s="4" t="s">
        <v>60</v>
      </c>
      <c r="F1818" s="2">
        <v>4</v>
      </c>
      <c r="G1818" s="2" t="s">
        <v>1400</v>
      </c>
      <c r="H1818" s="2" t="s">
        <v>1399</v>
      </c>
      <c r="I1818" s="4" t="s">
        <v>62</v>
      </c>
      <c r="J1818" s="112">
        <f>IF($H1818&lt;&gt;"Y",0,ROUND(MIN(Dashboard!$R$24,IF(IFERROR(VLOOKUP($B1818,Dashboard!$Q$28:$S$60,2,FALSE),0)&gt;0,IFERROR(VLOOKUP($B1818,Dashboard!$Q$28:$S$60,2,FALSE),0),$Z1818*IF($U1818&lt;&gt;"",ROUND((Dashboard!$R$4/$U1818)*VLOOKUP($I1818,Dashboard!$Q$9:$R$13,2,FALSE)*IF(ISNUMBER(SEARCH("Duals",$B1818)),2,IF(ISNUMBER(SEARCH("Triples",$B1818)),3,IF(ISNUMBER(SEARCH("Quads",$B1818)),4,1))),2),ROUND(VLOOKUP($I1818,Dashboard!$Q$15:$R$20,2,FALSE)*IF($E1818="Red",Dashboard!$R$6,IF($E1818="Gold",Dashboard!$R$7,Dashboard!$R$5))*IF(ISNUMBER(SEARCH("Duals",$B1818)),2,IF(ISNUMBER(SEARCH("Triples",$B1818)),3,IF(ISNUMBER(SEARCH("Quads",$B1818)),4,1))),2))*IF(IFERROR(VLOOKUP($B1818,Dashboard!$Q$28:$S$60,3,FALSE),0)&gt;0,VLOOKUP($B1818,Dashboard!$Q$28:$S$60,3,FALSE),1))),0))</f>
        <v>0</v>
      </c>
      <c r="K1818" s="2" t="str">
        <f>IF('Inserts - Story'!F38="","",'Inserts - Story'!F38)</f>
        <v/>
      </c>
      <c r="L1818" s="2">
        <f t="shared" si="364"/>
        <v>0</v>
      </c>
      <c r="M1818" s="2">
        <f t="shared" si="365"/>
        <v>0</v>
      </c>
      <c r="N1818" s="2">
        <f t="shared" si="366"/>
        <v>0</v>
      </c>
      <c r="O1818" s="2">
        <f t="shared" si="367"/>
        <v>0</v>
      </c>
      <c r="P1818" s="112">
        <f t="shared" si="368"/>
        <v>0</v>
      </c>
      <c r="Q1818" s="112">
        <f t="shared" si="369"/>
        <v>0</v>
      </c>
      <c r="R1818" s="53"/>
      <c r="S1818" s="53" t="str">
        <f t="shared" si="370"/>
        <v>Inserts - Story|In Memory Of... Printing Plates Parallel|IMO-7|Base</v>
      </c>
      <c r="T1818" s="57" t="str">
        <f>IF($S1818="","",IFERROR(VLOOKUP($S1818,'Pop Estimates (Non-#d)'!$N$2:$O$500,2,FALSE),""))</f>
        <v/>
      </c>
      <c r="U1818" s="57">
        <f t="shared" si="371"/>
        <v>4</v>
      </c>
      <c r="V1818" s="53" t="str">
        <f t="shared" si="372"/>
        <v/>
      </c>
      <c r="W1818" s="53" t="str">
        <f t="shared" si="373"/>
        <v/>
      </c>
      <c r="X1818" s="53" t="str">
        <f t="shared" si="374"/>
        <v/>
      </c>
      <c r="Y1818" s="57" t="str">
        <f>IF($X1818="","",IFERROR(VLOOKUP($X1818,'Char Popularity'!$A$2:$C$500,2,FALSE),""))</f>
        <v/>
      </c>
      <c r="Z1818" s="56">
        <f>IF($X1818="",1,IFERROR(VLOOKUP($X1818,'Char Popularity'!$A$2:$C$500,3,FALSE),1))</f>
        <v>1</v>
      </c>
      <c r="AA1818" s="62">
        <f>IF($H1818&lt;&gt;"Y",0,(IF($F1818&lt;&gt;"",ROUND(Dashboard!$R$4/$F1818,1),IF(AND($I1818="Base",$E1818="Base"),Dashboard!$R$5,IF(AND($I1818="Base",$E1818="Red"),Dashboard!$R$6,IF(AND($I1818="Base",$E1818="Gold"),Dashboard!$R$7,VLOOKUP($I1818,Dashboard!$Q$16:$R$21,2,FALSE)))))*VLOOKUP($I1818,Dashboard!$Q$9:$R$13,2,FALSE)*IF(AND($I1818="Auto",$F1818="",OR($B1818="Autographs Duals",$B1818="Autographs Triples",$B1818="Autographs Quads",$B1818="Autographs Quads (Inscribed)")),IF($B1818="Autographs Duals",2,IF($B1818="Autographs Triples",3,4)),1)))</f>
        <v>0</v>
      </c>
      <c r="AB1818" s="62">
        <f t="shared" si="375"/>
        <v>0</v>
      </c>
      <c r="AC1818" s="62">
        <f t="shared" si="376"/>
        <v>0</v>
      </c>
    </row>
    <row r="1819" spans="1:29" ht="30" customHeight="1" x14ac:dyDescent="0.25">
      <c r="A1819" s="4" t="s">
        <v>23</v>
      </c>
      <c r="B1819" s="7" t="s">
        <v>796</v>
      </c>
      <c r="C1819" s="2" t="s">
        <v>727</v>
      </c>
      <c r="D1819" s="7" t="s">
        <v>537</v>
      </c>
      <c r="E1819" s="4" t="s">
        <v>60</v>
      </c>
      <c r="F1819" s="2">
        <v>4</v>
      </c>
      <c r="G1819" s="2" t="s">
        <v>1400</v>
      </c>
      <c r="H1819" s="2" t="s">
        <v>1399</v>
      </c>
      <c r="I1819" s="4" t="s">
        <v>62</v>
      </c>
      <c r="J1819" s="112">
        <f>IF($H1819&lt;&gt;"Y",0,ROUND(MIN(Dashboard!$R$24,IF(IFERROR(VLOOKUP($B1819,Dashboard!$Q$28:$S$60,2,FALSE),0)&gt;0,IFERROR(VLOOKUP($B1819,Dashboard!$Q$28:$S$60,2,FALSE),0),$Z1819*IF($U1819&lt;&gt;"",ROUND((Dashboard!$R$4/$U1819)*VLOOKUP($I1819,Dashboard!$Q$9:$R$13,2,FALSE)*IF(ISNUMBER(SEARCH("Duals",$B1819)),2,IF(ISNUMBER(SEARCH("Triples",$B1819)),3,IF(ISNUMBER(SEARCH("Quads",$B1819)),4,1))),2),ROUND(VLOOKUP($I1819,Dashboard!$Q$15:$R$20,2,FALSE)*IF($E1819="Red",Dashboard!$R$6,IF($E1819="Gold",Dashboard!$R$7,Dashboard!$R$5))*IF(ISNUMBER(SEARCH("Duals",$B1819)),2,IF(ISNUMBER(SEARCH("Triples",$B1819)),3,IF(ISNUMBER(SEARCH("Quads",$B1819)),4,1))),2))*IF(IFERROR(VLOOKUP($B1819,Dashboard!$Q$28:$S$60,3,FALSE),0)&gt;0,VLOOKUP($B1819,Dashboard!$Q$28:$S$60,3,FALSE),1))),0))</f>
        <v>0</v>
      </c>
      <c r="K1819" s="2" t="str">
        <f>IF('Inserts - Story'!F39="","",'Inserts - Story'!F39)</f>
        <v/>
      </c>
      <c r="L1819" s="2">
        <f t="shared" si="364"/>
        <v>0</v>
      </c>
      <c r="M1819" s="2">
        <f t="shared" si="365"/>
        <v>0</v>
      </c>
      <c r="N1819" s="2">
        <f t="shared" si="366"/>
        <v>0</v>
      </c>
      <c r="O1819" s="2">
        <f t="shared" si="367"/>
        <v>0</v>
      </c>
      <c r="P1819" s="112">
        <f t="shared" si="368"/>
        <v>0</v>
      </c>
      <c r="Q1819" s="112">
        <f t="shared" si="369"/>
        <v>0</v>
      </c>
      <c r="R1819" s="53"/>
      <c r="S1819" s="53" t="str">
        <f t="shared" si="370"/>
        <v>Inserts - Story|In Memory Of... Printing Plates Parallel|IMO-8|Base</v>
      </c>
      <c r="T1819" s="57" t="str">
        <f>IF($S1819="","",IFERROR(VLOOKUP($S1819,'Pop Estimates (Non-#d)'!$N$2:$O$500,2,FALSE),""))</f>
        <v/>
      </c>
      <c r="U1819" s="57">
        <f t="shared" si="371"/>
        <v>4</v>
      </c>
      <c r="V1819" s="53" t="str">
        <f t="shared" si="372"/>
        <v/>
      </c>
      <c r="W1819" s="53" t="str">
        <f t="shared" si="373"/>
        <v/>
      </c>
      <c r="X1819" s="53" t="str">
        <f t="shared" si="374"/>
        <v/>
      </c>
      <c r="Y1819" s="57" t="str">
        <f>IF($X1819="","",IFERROR(VLOOKUP($X1819,'Char Popularity'!$A$2:$C$500,2,FALSE),""))</f>
        <v/>
      </c>
      <c r="Z1819" s="56">
        <f>IF($X1819="",1,IFERROR(VLOOKUP($X1819,'Char Popularity'!$A$2:$C$500,3,FALSE),1))</f>
        <v>1</v>
      </c>
      <c r="AA1819" s="62">
        <f>IF($H1819&lt;&gt;"Y",0,(IF($F1819&lt;&gt;"",ROUND(Dashboard!$R$4/$F1819,1),IF(AND($I1819="Base",$E1819="Base"),Dashboard!$R$5,IF(AND($I1819="Base",$E1819="Red"),Dashboard!$R$6,IF(AND($I1819="Base",$E1819="Gold"),Dashboard!$R$7,VLOOKUP($I1819,Dashboard!$Q$16:$R$21,2,FALSE)))))*VLOOKUP($I1819,Dashboard!$Q$9:$R$13,2,FALSE)*IF(AND($I1819="Auto",$F1819="",OR($B1819="Autographs Duals",$B1819="Autographs Triples",$B1819="Autographs Quads",$B1819="Autographs Quads (Inscribed)")),IF($B1819="Autographs Duals",2,IF($B1819="Autographs Triples",3,4)),1)))</f>
        <v>0</v>
      </c>
      <c r="AB1819" s="62">
        <f t="shared" si="375"/>
        <v>0</v>
      </c>
      <c r="AC1819" s="62">
        <f t="shared" si="376"/>
        <v>0</v>
      </c>
    </row>
    <row r="1820" spans="1:29" ht="30" customHeight="1" x14ac:dyDescent="0.25">
      <c r="A1820" s="4" t="s">
        <v>23</v>
      </c>
      <c r="B1820" s="7" t="s">
        <v>796</v>
      </c>
      <c r="C1820" s="2" t="s">
        <v>728</v>
      </c>
      <c r="D1820" s="7" t="s">
        <v>441</v>
      </c>
      <c r="E1820" s="4" t="s">
        <v>60</v>
      </c>
      <c r="F1820" s="2">
        <v>4</v>
      </c>
      <c r="G1820" s="2" t="s">
        <v>1400</v>
      </c>
      <c r="H1820" s="2" t="s">
        <v>1399</v>
      </c>
      <c r="I1820" s="4" t="s">
        <v>62</v>
      </c>
      <c r="J1820" s="112">
        <f>IF($H1820&lt;&gt;"Y",0,ROUND(MIN(Dashboard!$R$24,IF(IFERROR(VLOOKUP($B1820,Dashboard!$Q$28:$S$60,2,FALSE),0)&gt;0,IFERROR(VLOOKUP($B1820,Dashboard!$Q$28:$S$60,2,FALSE),0),$Z1820*IF($U1820&lt;&gt;"",ROUND((Dashboard!$R$4/$U1820)*VLOOKUP($I1820,Dashboard!$Q$9:$R$13,2,FALSE)*IF(ISNUMBER(SEARCH("Duals",$B1820)),2,IF(ISNUMBER(SEARCH("Triples",$B1820)),3,IF(ISNUMBER(SEARCH("Quads",$B1820)),4,1))),2),ROUND(VLOOKUP($I1820,Dashboard!$Q$15:$R$20,2,FALSE)*IF($E1820="Red",Dashboard!$R$6,IF($E1820="Gold",Dashboard!$R$7,Dashboard!$R$5))*IF(ISNUMBER(SEARCH("Duals",$B1820)),2,IF(ISNUMBER(SEARCH("Triples",$B1820)),3,IF(ISNUMBER(SEARCH("Quads",$B1820)),4,1))),2))*IF(IFERROR(VLOOKUP($B1820,Dashboard!$Q$28:$S$60,3,FALSE),0)&gt;0,VLOOKUP($B1820,Dashboard!$Q$28:$S$60,3,FALSE),1))),0))</f>
        <v>0</v>
      </c>
      <c r="K1820" s="2" t="str">
        <f>IF('Inserts - Story'!F40="","",'Inserts - Story'!F40)</f>
        <v/>
      </c>
      <c r="L1820" s="2">
        <f t="shared" si="364"/>
        <v>0</v>
      </c>
      <c r="M1820" s="2">
        <f t="shared" si="365"/>
        <v>0</v>
      </c>
      <c r="N1820" s="2">
        <f t="shared" si="366"/>
        <v>0</v>
      </c>
      <c r="O1820" s="2">
        <f t="shared" si="367"/>
        <v>0</v>
      </c>
      <c r="P1820" s="112">
        <f t="shared" si="368"/>
        <v>0</v>
      </c>
      <c r="Q1820" s="112">
        <f t="shared" si="369"/>
        <v>0</v>
      </c>
      <c r="R1820" s="53"/>
      <c r="S1820" s="53" t="str">
        <f t="shared" si="370"/>
        <v>Inserts - Story|In Memory Of... Printing Plates Parallel|IMO-9|Base</v>
      </c>
      <c r="T1820" s="57" t="str">
        <f>IF($S1820="","",IFERROR(VLOOKUP($S1820,'Pop Estimates (Non-#d)'!$N$2:$O$500,2,FALSE),""))</f>
        <v/>
      </c>
      <c r="U1820" s="57">
        <f t="shared" si="371"/>
        <v>4</v>
      </c>
      <c r="V1820" s="53" t="str">
        <f t="shared" si="372"/>
        <v/>
      </c>
      <c r="W1820" s="53" t="str">
        <f t="shared" si="373"/>
        <v/>
      </c>
      <c r="X1820" s="53" t="str">
        <f t="shared" si="374"/>
        <v/>
      </c>
      <c r="Y1820" s="57" t="str">
        <f>IF($X1820="","",IFERROR(VLOOKUP($X1820,'Char Popularity'!$A$2:$C$500,2,FALSE),""))</f>
        <v/>
      </c>
      <c r="Z1820" s="56">
        <f>IF($X1820="",1,IFERROR(VLOOKUP($X1820,'Char Popularity'!$A$2:$C$500,3,FALSE),1))</f>
        <v>1</v>
      </c>
      <c r="AA1820" s="62">
        <f>IF($H1820&lt;&gt;"Y",0,(IF($F1820&lt;&gt;"",ROUND(Dashboard!$R$4/$F1820,1),IF(AND($I1820="Base",$E1820="Base"),Dashboard!$R$5,IF(AND($I1820="Base",$E1820="Red"),Dashboard!$R$6,IF(AND($I1820="Base",$E1820="Gold"),Dashboard!$R$7,VLOOKUP($I1820,Dashboard!$Q$16:$R$21,2,FALSE)))))*VLOOKUP($I1820,Dashboard!$Q$9:$R$13,2,FALSE)*IF(AND($I1820="Auto",$F1820="",OR($B1820="Autographs Duals",$B1820="Autographs Triples",$B1820="Autographs Quads",$B1820="Autographs Quads (Inscribed)")),IF($B1820="Autographs Duals",2,IF($B1820="Autographs Triples",3,4)),1)))</f>
        <v>0</v>
      </c>
      <c r="AB1820" s="62">
        <f t="shared" si="375"/>
        <v>0</v>
      </c>
      <c r="AC1820" s="62">
        <f t="shared" si="376"/>
        <v>0</v>
      </c>
    </row>
    <row r="1821" spans="1:29" ht="30" customHeight="1" x14ac:dyDescent="0.25">
      <c r="A1821" s="4" t="s">
        <v>23</v>
      </c>
      <c r="B1821" s="7" t="s">
        <v>796</v>
      </c>
      <c r="C1821" s="2" t="s">
        <v>710</v>
      </c>
      <c r="D1821" s="7" t="s">
        <v>458</v>
      </c>
      <c r="E1821" s="4" t="s">
        <v>60</v>
      </c>
      <c r="F1821" s="2">
        <v>4</v>
      </c>
      <c r="G1821" s="2" t="s">
        <v>1400</v>
      </c>
      <c r="H1821" s="2" t="s">
        <v>1399</v>
      </c>
      <c r="I1821" s="4" t="s">
        <v>62</v>
      </c>
      <c r="J1821" s="112">
        <f>IF($H1821&lt;&gt;"Y",0,ROUND(MIN(Dashboard!$R$24,IF(IFERROR(VLOOKUP($B1821,Dashboard!$Q$28:$S$60,2,FALSE),0)&gt;0,IFERROR(VLOOKUP($B1821,Dashboard!$Q$28:$S$60,2,FALSE),0),$Z1821*IF($U1821&lt;&gt;"",ROUND((Dashboard!$R$4/$U1821)*VLOOKUP($I1821,Dashboard!$Q$9:$R$13,2,FALSE)*IF(ISNUMBER(SEARCH("Duals",$B1821)),2,IF(ISNUMBER(SEARCH("Triples",$B1821)),3,IF(ISNUMBER(SEARCH("Quads",$B1821)),4,1))),2),ROUND(VLOOKUP($I1821,Dashboard!$Q$15:$R$20,2,FALSE)*IF($E1821="Red",Dashboard!$R$6,IF($E1821="Gold",Dashboard!$R$7,Dashboard!$R$5))*IF(ISNUMBER(SEARCH("Duals",$B1821)),2,IF(ISNUMBER(SEARCH("Triples",$B1821)),3,IF(ISNUMBER(SEARCH("Quads",$B1821)),4,1))),2))*IF(IFERROR(VLOOKUP($B1821,Dashboard!$Q$28:$S$60,3,FALSE),0)&gt;0,VLOOKUP($B1821,Dashboard!$Q$28:$S$60,3,FALSE),1))),0))</f>
        <v>0</v>
      </c>
      <c r="K1821" s="2" t="str">
        <f>IF('Inserts - Story'!F41="","",'Inserts - Story'!F41)</f>
        <v/>
      </c>
      <c r="L1821" s="2">
        <f t="shared" si="364"/>
        <v>0</v>
      </c>
      <c r="M1821" s="2">
        <f t="shared" si="365"/>
        <v>0</v>
      </c>
      <c r="N1821" s="2">
        <f t="shared" si="366"/>
        <v>0</v>
      </c>
      <c r="O1821" s="2">
        <f t="shared" si="367"/>
        <v>0</v>
      </c>
      <c r="P1821" s="112">
        <f t="shared" si="368"/>
        <v>0</v>
      </c>
      <c r="Q1821" s="112">
        <f t="shared" si="369"/>
        <v>0</v>
      </c>
      <c r="R1821" s="53"/>
      <c r="S1821" s="53" t="str">
        <f t="shared" si="370"/>
        <v>Inserts - Story|In Memory Of... Printing Plates Parallel|IMO-10|Base</v>
      </c>
      <c r="T1821" s="57" t="str">
        <f>IF($S1821="","",IFERROR(VLOOKUP($S1821,'Pop Estimates (Non-#d)'!$N$2:$O$500,2,FALSE),""))</f>
        <v/>
      </c>
      <c r="U1821" s="57">
        <f t="shared" si="371"/>
        <v>4</v>
      </c>
      <c r="V1821" s="53" t="str">
        <f t="shared" si="372"/>
        <v/>
      </c>
      <c r="W1821" s="53" t="str">
        <f t="shared" si="373"/>
        <v/>
      </c>
      <c r="X1821" s="53" t="str">
        <f t="shared" si="374"/>
        <v/>
      </c>
      <c r="Y1821" s="57" t="str">
        <f>IF($X1821="","",IFERROR(VLOOKUP($X1821,'Char Popularity'!$A$2:$C$500,2,FALSE),""))</f>
        <v/>
      </c>
      <c r="Z1821" s="56">
        <f>IF($X1821="",1,IFERROR(VLOOKUP($X1821,'Char Popularity'!$A$2:$C$500,3,FALSE),1))</f>
        <v>1</v>
      </c>
      <c r="AA1821" s="62">
        <f>IF($H1821&lt;&gt;"Y",0,(IF($F1821&lt;&gt;"",ROUND(Dashboard!$R$4/$F1821,1),IF(AND($I1821="Base",$E1821="Base"),Dashboard!$R$5,IF(AND($I1821="Base",$E1821="Red"),Dashboard!$R$6,IF(AND($I1821="Base",$E1821="Gold"),Dashboard!$R$7,VLOOKUP($I1821,Dashboard!$Q$16:$R$21,2,FALSE)))))*VLOOKUP($I1821,Dashboard!$Q$9:$R$13,2,FALSE)*IF(AND($I1821="Auto",$F1821="",OR($B1821="Autographs Duals",$B1821="Autographs Triples",$B1821="Autographs Quads",$B1821="Autographs Quads (Inscribed)")),IF($B1821="Autographs Duals",2,IF($B1821="Autographs Triples",3,4)),1)))</f>
        <v>0</v>
      </c>
      <c r="AB1821" s="62">
        <f t="shared" si="375"/>
        <v>0</v>
      </c>
      <c r="AC1821" s="62">
        <f t="shared" si="376"/>
        <v>0</v>
      </c>
    </row>
    <row r="1822" spans="1:29" ht="30" customHeight="1" x14ac:dyDescent="0.25">
      <c r="A1822" s="4" t="s">
        <v>23</v>
      </c>
      <c r="B1822" s="7" t="s">
        <v>796</v>
      </c>
      <c r="C1822" s="2" t="s">
        <v>711</v>
      </c>
      <c r="D1822" s="7" t="s">
        <v>712</v>
      </c>
      <c r="E1822" s="4" t="s">
        <v>60</v>
      </c>
      <c r="F1822" s="2">
        <v>4</v>
      </c>
      <c r="G1822" s="2" t="s">
        <v>1400</v>
      </c>
      <c r="H1822" s="2" t="s">
        <v>1399</v>
      </c>
      <c r="I1822" s="4" t="s">
        <v>62</v>
      </c>
      <c r="J1822" s="112">
        <f>IF($H1822&lt;&gt;"Y",0,ROUND(MIN(Dashboard!$R$24,IF(IFERROR(VLOOKUP($B1822,Dashboard!$Q$28:$S$60,2,FALSE),0)&gt;0,IFERROR(VLOOKUP($B1822,Dashboard!$Q$28:$S$60,2,FALSE),0),$Z1822*IF($U1822&lt;&gt;"",ROUND((Dashboard!$R$4/$U1822)*VLOOKUP($I1822,Dashboard!$Q$9:$R$13,2,FALSE)*IF(ISNUMBER(SEARCH("Duals",$B1822)),2,IF(ISNUMBER(SEARCH("Triples",$B1822)),3,IF(ISNUMBER(SEARCH("Quads",$B1822)),4,1))),2),ROUND(VLOOKUP($I1822,Dashboard!$Q$15:$R$20,2,FALSE)*IF($E1822="Red",Dashboard!$R$6,IF($E1822="Gold",Dashboard!$R$7,Dashboard!$R$5))*IF(ISNUMBER(SEARCH("Duals",$B1822)),2,IF(ISNUMBER(SEARCH("Triples",$B1822)),3,IF(ISNUMBER(SEARCH("Quads",$B1822)),4,1))),2))*IF(IFERROR(VLOOKUP($B1822,Dashboard!$Q$28:$S$60,3,FALSE),0)&gt;0,VLOOKUP($B1822,Dashboard!$Q$28:$S$60,3,FALSE),1))),0))</f>
        <v>0</v>
      </c>
      <c r="K1822" s="2" t="str">
        <f>IF('Inserts - Story'!F42="","",'Inserts - Story'!F42)</f>
        <v/>
      </c>
      <c r="L1822" s="2">
        <f t="shared" si="364"/>
        <v>0</v>
      </c>
      <c r="M1822" s="2">
        <f t="shared" si="365"/>
        <v>0</v>
      </c>
      <c r="N1822" s="2">
        <f t="shared" si="366"/>
        <v>0</v>
      </c>
      <c r="O1822" s="2">
        <f t="shared" si="367"/>
        <v>0</v>
      </c>
      <c r="P1822" s="112">
        <f t="shared" si="368"/>
        <v>0</v>
      </c>
      <c r="Q1822" s="112">
        <f t="shared" si="369"/>
        <v>0</v>
      </c>
      <c r="R1822" s="53"/>
      <c r="S1822" s="53" t="str">
        <f t="shared" si="370"/>
        <v>Inserts - Story|In Memory Of... Printing Plates Parallel|IMO-11|Base</v>
      </c>
      <c r="T1822" s="57" t="str">
        <f>IF($S1822="","",IFERROR(VLOOKUP($S1822,'Pop Estimates (Non-#d)'!$N$2:$O$500,2,FALSE),""))</f>
        <v/>
      </c>
      <c r="U1822" s="57">
        <f t="shared" si="371"/>
        <v>4</v>
      </c>
      <c r="V1822" s="53" t="str">
        <f t="shared" si="372"/>
        <v/>
      </c>
      <c r="W1822" s="53" t="str">
        <f t="shared" si="373"/>
        <v/>
      </c>
      <c r="X1822" s="53" t="str">
        <f t="shared" si="374"/>
        <v/>
      </c>
      <c r="Y1822" s="57" t="str">
        <f>IF($X1822="","",IFERROR(VLOOKUP($X1822,'Char Popularity'!$A$2:$C$500,2,FALSE),""))</f>
        <v/>
      </c>
      <c r="Z1822" s="56">
        <f>IF($X1822="",1,IFERROR(VLOOKUP($X1822,'Char Popularity'!$A$2:$C$500,3,FALSE),1))</f>
        <v>1</v>
      </c>
      <c r="AA1822" s="62">
        <f>IF($H1822&lt;&gt;"Y",0,(IF($F1822&lt;&gt;"",ROUND(Dashboard!$R$4/$F1822,1),IF(AND($I1822="Base",$E1822="Base"),Dashboard!$R$5,IF(AND($I1822="Base",$E1822="Red"),Dashboard!$R$6,IF(AND($I1822="Base",$E1822="Gold"),Dashboard!$R$7,VLOOKUP($I1822,Dashboard!$Q$16:$R$21,2,FALSE)))))*VLOOKUP($I1822,Dashboard!$Q$9:$R$13,2,FALSE)*IF(AND($I1822="Auto",$F1822="",OR($B1822="Autographs Duals",$B1822="Autographs Triples",$B1822="Autographs Quads",$B1822="Autographs Quads (Inscribed)")),IF($B1822="Autographs Duals",2,IF($B1822="Autographs Triples",3,4)),1)))</f>
        <v>0</v>
      </c>
      <c r="AB1822" s="62">
        <f t="shared" si="375"/>
        <v>0</v>
      </c>
      <c r="AC1822" s="62">
        <f t="shared" si="376"/>
        <v>0</v>
      </c>
    </row>
    <row r="1823" spans="1:29" ht="30" customHeight="1" x14ac:dyDescent="0.25">
      <c r="A1823" s="4" t="s">
        <v>23</v>
      </c>
      <c r="B1823" s="7" t="s">
        <v>796</v>
      </c>
      <c r="C1823" s="2" t="s">
        <v>713</v>
      </c>
      <c r="D1823" s="7" t="s">
        <v>714</v>
      </c>
      <c r="E1823" s="4" t="s">
        <v>60</v>
      </c>
      <c r="F1823" s="2">
        <v>4</v>
      </c>
      <c r="G1823" s="2" t="s">
        <v>1400</v>
      </c>
      <c r="H1823" s="2" t="s">
        <v>1399</v>
      </c>
      <c r="I1823" s="4" t="s">
        <v>62</v>
      </c>
      <c r="J1823" s="112">
        <f>IF($H1823&lt;&gt;"Y",0,ROUND(MIN(Dashboard!$R$24,IF(IFERROR(VLOOKUP($B1823,Dashboard!$Q$28:$S$60,2,FALSE),0)&gt;0,IFERROR(VLOOKUP($B1823,Dashboard!$Q$28:$S$60,2,FALSE),0),$Z1823*IF($U1823&lt;&gt;"",ROUND((Dashboard!$R$4/$U1823)*VLOOKUP($I1823,Dashboard!$Q$9:$R$13,2,FALSE)*IF(ISNUMBER(SEARCH("Duals",$B1823)),2,IF(ISNUMBER(SEARCH("Triples",$B1823)),3,IF(ISNUMBER(SEARCH("Quads",$B1823)),4,1))),2),ROUND(VLOOKUP($I1823,Dashboard!$Q$15:$R$20,2,FALSE)*IF($E1823="Red",Dashboard!$R$6,IF($E1823="Gold",Dashboard!$R$7,Dashboard!$R$5))*IF(ISNUMBER(SEARCH("Duals",$B1823)),2,IF(ISNUMBER(SEARCH("Triples",$B1823)),3,IF(ISNUMBER(SEARCH("Quads",$B1823)),4,1))),2))*IF(IFERROR(VLOOKUP($B1823,Dashboard!$Q$28:$S$60,3,FALSE),0)&gt;0,VLOOKUP($B1823,Dashboard!$Q$28:$S$60,3,FALSE),1))),0))</f>
        <v>0</v>
      </c>
      <c r="K1823" s="2" t="str">
        <f>IF('Inserts - Story'!F43="","",'Inserts - Story'!F43)</f>
        <v/>
      </c>
      <c r="L1823" s="2">
        <f t="shared" si="364"/>
        <v>0</v>
      </c>
      <c r="M1823" s="2">
        <f t="shared" si="365"/>
        <v>0</v>
      </c>
      <c r="N1823" s="2">
        <f t="shared" si="366"/>
        <v>0</v>
      </c>
      <c r="O1823" s="2">
        <f t="shared" si="367"/>
        <v>0</v>
      </c>
      <c r="P1823" s="112">
        <f t="shared" si="368"/>
        <v>0</v>
      </c>
      <c r="Q1823" s="112">
        <f t="shared" si="369"/>
        <v>0</v>
      </c>
      <c r="R1823" s="53"/>
      <c r="S1823" s="53" t="str">
        <f t="shared" si="370"/>
        <v>Inserts - Story|In Memory Of... Printing Plates Parallel|IMO-12|Base</v>
      </c>
      <c r="T1823" s="57" t="str">
        <f>IF($S1823="","",IFERROR(VLOOKUP($S1823,'Pop Estimates (Non-#d)'!$N$2:$O$500,2,FALSE),""))</f>
        <v/>
      </c>
      <c r="U1823" s="57">
        <f t="shared" si="371"/>
        <v>4</v>
      </c>
      <c r="V1823" s="53" t="str">
        <f t="shared" si="372"/>
        <v/>
      </c>
      <c r="W1823" s="53" t="str">
        <f t="shared" si="373"/>
        <v/>
      </c>
      <c r="X1823" s="53" t="str">
        <f t="shared" si="374"/>
        <v/>
      </c>
      <c r="Y1823" s="57" t="str">
        <f>IF($X1823="","",IFERROR(VLOOKUP($X1823,'Char Popularity'!$A$2:$C$500,2,FALSE),""))</f>
        <v/>
      </c>
      <c r="Z1823" s="56">
        <f>IF($X1823="",1,IFERROR(VLOOKUP($X1823,'Char Popularity'!$A$2:$C$500,3,FALSE),1))</f>
        <v>1</v>
      </c>
      <c r="AA1823" s="62">
        <f>IF($H1823&lt;&gt;"Y",0,(IF($F1823&lt;&gt;"",ROUND(Dashboard!$R$4/$F1823,1),IF(AND($I1823="Base",$E1823="Base"),Dashboard!$R$5,IF(AND($I1823="Base",$E1823="Red"),Dashboard!$R$6,IF(AND($I1823="Base",$E1823="Gold"),Dashboard!$R$7,VLOOKUP($I1823,Dashboard!$Q$16:$R$21,2,FALSE)))))*VLOOKUP($I1823,Dashboard!$Q$9:$R$13,2,FALSE)*IF(AND($I1823="Auto",$F1823="",OR($B1823="Autographs Duals",$B1823="Autographs Triples",$B1823="Autographs Quads",$B1823="Autographs Quads (Inscribed)")),IF($B1823="Autographs Duals",2,IF($B1823="Autographs Triples",3,4)),1)))</f>
        <v>0</v>
      </c>
      <c r="AB1823" s="62">
        <f t="shared" si="375"/>
        <v>0</v>
      </c>
      <c r="AC1823" s="62">
        <f t="shared" si="376"/>
        <v>0</v>
      </c>
    </row>
    <row r="1824" spans="1:29" ht="30" customHeight="1" x14ac:dyDescent="0.25">
      <c r="A1824" s="4" t="s">
        <v>23</v>
      </c>
      <c r="B1824" s="7" t="s">
        <v>796</v>
      </c>
      <c r="C1824" s="2" t="s">
        <v>715</v>
      </c>
      <c r="D1824" s="7" t="s">
        <v>716</v>
      </c>
      <c r="E1824" s="4" t="s">
        <v>60</v>
      </c>
      <c r="F1824" s="2">
        <v>4</v>
      </c>
      <c r="G1824" s="2" t="s">
        <v>1400</v>
      </c>
      <c r="H1824" s="2" t="s">
        <v>1399</v>
      </c>
      <c r="I1824" s="4" t="s">
        <v>62</v>
      </c>
      <c r="J1824" s="112">
        <f>IF($H1824&lt;&gt;"Y",0,ROUND(MIN(Dashboard!$R$24,IF(IFERROR(VLOOKUP($B1824,Dashboard!$Q$28:$S$60,2,FALSE),0)&gt;0,IFERROR(VLOOKUP($B1824,Dashboard!$Q$28:$S$60,2,FALSE),0),$Z1824*IF($U1824&lt;&gt;"",ROUND((Dashboard!$R$4/$U1824)*VLOOKUP($I1824,Dashboard!$Q$9:$R$13,2,FALSE)*IF(ISNUMBER(SEARCH("Duals",$B1824)),2,IF(ISNUMBER(SEARCH("Triples",$B1824)),3,IF(ISNUMBER(SEARCH("Quads",$B1824)),4,1))),2),ROUND(VLOOKUP($I1824,Dashboard!$Q$15:$R$20,2,FALSE)*IF($E1824="Red",Dashboard!$R$6,IF($E1824="Gold",Dashboard!$R$7,Dashboard!$R$5))*IF(ISNUMBER(SEARCH("Duals",$B1824)),2,IF(ISNUMBER(SEARCH("Triples",$B1824)),3,IF(ISNUMBER(SEARCH("Quads",$B1824)),4,1))),2))*IF(IFERROR(VLOOKUP($B1824,Dashboard!$Q$28:$S$60,3,FALSE),0)&gt;0,VLOOKUP($B1824,Dashboard!$Q$28:$S$60,3,FALSE),1))),0))</f>
        <v>0</v>
      </c>
      <c r="K1824" s="2" t="str">
        <f>IF('Inserts - Story'!F44="","",'Inserts - Story'!F44)</f>
        <v/>
      </c>
      <c r="L1824" s="2">
        <f t="shared" si="364"/>
        <v>0</v>
      </c>
      <c r="M1824" s="2">
        <f t="shared" si="365"/>
        <v>0</v>
      </c>
      <c r="N1824" s="2">
        <f t="shared" si="366"/>
        <v>0</v>
      </c>
      <c r="O1824" s="2">
        <f t="shared" si="367"/>
        <v>0</v>
      </c>
      <c r="P1824" s="112">
        <f t="shared" si="368"/>
        <v>0</v>
      </c>
      <c r="Q1824" s="112">
        <f t="shared" si="369"/>
        <v>0</v>
      </c>
      <c r="R1824" s="53"/>
      <c r="S1824" s="53" t="str">
        <f t="shared" si="370"/>
        <v>Inserts - Story|In Memory Of... Printing Plates Parallel|IMO-13|Base</v>
      </c>
      <c r="T1824" s="57" t="str">
        <f>IF($S1824="","",IFERROR(VLOOKUP($S1824,'Pop Estimates (Non-#d)'!$N$2:$O$500,2,FALSE),""))</f>
        <v/>
      </c>
      <c r="U1824" s="57">
        <f t="shared" si="371"/>
        <v>4</v>
      </c>
      <c r="V1824" s="53" t="str">
        <f t="shared" si="372"/>
        <v/>
      </c>
      <c r="W1824" s="53" t="str">
        <f t="shared" si="373"/>
        <v/>
      </c>
      <c r="X1824" s="53" t="str">
        <f t="shared" si="374"/>
        <v/>
      </c>
      <c r="Y1824" s="57" t="str">
        <f>IF($X1824="","",IFERROR(VLOOKUP($X1824,'Char Popularity'!$A$2:$C$500,2,FALSE),""))</f>
        <v/>
      </c>
      <c r="Z1824" s="56">
        <f>IF($X1824="",1,IFERROR(VLOOKUP($X1824,'Char Popularity'!$A$2:$C$500,3,FALSE),1))</f>
        <v>1</v>
      </c>
      <c r="AA1824" s="62">
        <f>IF($H1824&lt;&gt;"Y",0,(IF($F1824&lt;&gt;"",ROUND(Dashboard!$R$4/$F1824,1),IF(AND($I1824="Base",$E1824="Base"),Dashboard!$R$5,IF(AND($I1824="Base",$E1824="Red"),Dashboard!$R$6,IF(AND($I1824="Base",$E1824="Gold"),Dashboard!$R$7,VLOOKUP($I1824,Dashboard!$Q$16:$R$21,2,FALSE)))))*VLOOKUP($I1824,Dashboard!$Q$9:$R$13,2,FALSE)*IF(AND($I1824="Auto",$F1824="",OR($B1824="Autographs Duals",$B1824="Autographs Triples",$B1824="Autographs Quads",$B1824="Autographs Quads (Inscribed)")),IF($B1824="Autographs Duals",2,IF($B1824="Autographs Triples",3,4)),1)))</f>
        <v>0</v>
      </c>
      <c r="AB1824" s="62">
        <f t="shared" si="375"/>
        <v>0</v>
      </c>
      <c r="AC1824" s="62">
        <f t="shared" si="376"/>
        <v>0</v>
      </c>
    </row>
    <row r="1825" spans="1:29" ht="30" customHeight="1" x14ac:dyDescent="0.25">
      <c r="A1825" s="4" t="s">
        <v>23</v>
      </c>
      <c r="B1825" s="7" t="s">
        <v>796</v>
      </c>
      <c r="C1825" s="2" t="s">
        <v>717</v>
      </c>
      <c r="D1825" s="7" t="s">
        <v>718</v>
      </c>
      <c r="E1825" s="4" t="s">
        <v>60</v>
      </c>
      <c r="F1825" s="2">
        <v>4</v>
      </c>
      <c r="G1825" s="2" t="s">
        <v>1400</v>
      </c>
      <c r="H1825" s="2" t="s">
        <v>1399</v>
      </c>
      <c r="I1825" s="4" t="s">
        <v>62</v>
      </c>
      <c r="J1825" s="112">
        <f>IF($H1825&lt;&gt;"Y",0,ROUND(MIN(Dashboard!$R$24,IF(IFERROR(VLOOKUP($B1825,Dashboard!$Q$28:$S$60,2,FALSE),0)&gt;0,IFERROR(VLOOKUP($B1825,Dashboard!$Q$28:$S$60,2,FALSE),0),$Z1825*IF($U1825&lt;&gt;"",ROUND((Dashboard!$R$4/$U1825)*VLOOKUP($I1825,Dashboard!$Q$9:$R$13,2,FALSE)*IF(ISNUMBER(SEARCH("Duals",$B1825)),2,IF(ISNUMBER(SEARCH("Triples",$B1825)),3,IF(ISNUMBER(SEARCH("Quads",$B1825)),4,1))),2),ROUND(VLOOKUP($I1825,Dashboard!$Q$15:$R$20,2,FALSE)*IF($E1825="Red",Dashboard!$R$6,IF($E1825="Gold",Dashboard!$R$7,Dashboard!$R$5))*IF(ISNUMBER(SEARCH("Duals",$B1825)),2,IF(ISNUMBER(SEARCH("Triples",$B1825)),3,IF(ISNUMBER(SEARCH("Quads",$B1825)),4,1))),2))*IF(IFERROR(VLOOKUP($B1825,Dashboard!$Q$28:$S$60,3,FALSE),0)&gt;0,VLOOKUP($B1825,Dashboard!$Q$28:$S$60,3,FALSE),1))),0))</f>
        <v>0</v>
      </c>
      <c r="K1825" s="2" t="str">
        <f>IF('Inserts - Story'!F45="","",'Inserts - Story'!F45)</f>
        <v/>
      </c>
      <c r="L1825" s="2">
        <f t="shared" si="364"/>
        <v>0</v>
      </c>
      <c r="M1825" s="2">
        <f t="shared" si="365"/>
        <v>0</v>
      </c>
      <c r="N1825" s="2">
        <f t="shared" si="366"/>
        <v>0</v>
      </c>
      <c r="O1825" s="2">
        <f t="shared" si="367"/>
        <v>0</v>
      </c>
      <c r="P1825" s="112">
        <f t="shared" si="368"/>
        <v>0</v>
      </c>
      <c r="Q1825" s="112">
        <f t="shared" si="369"/>
        <v>0</v>
      </c>
      <c r="R1825" s="53"/>
      <c r="S1825" s="53" t="str">
        <f t="shared" si="370"/>
        <v>Inserts - Story|In Memory Of... Printing Plates Parallel|IMO-14|Base</v>
      </c>
      <c r="T1825" s="57" t="str">
        <f>IF($S1825="","",IFERROR(VLOOKUP($S1825,'Pop Estimates (Non-#d)'!$N$2:$O$500,2,FALSE),""))</f>
        <v/>
      </c>
      <c r="U1825" s="57">
        <f t="shared" si="371"/>
        <v>4</v>
      </c>
      <c r="V1825" s="53" t="str">
        <f t="shared" si="372"/>
        <v/>
      </c>
      <c r="W1825" s="53" t="str">
        <f t="shared" si="373"/>
        <v/>
      </c>
      <c r="X1825" s="53" t="str">
        <f t="shared" si="374"/>
        <v/>
      </c>
      <c r="Y1825" s="57" t="str">
        <f>IF($X1825="","",IFERROR(VLOOKUP($X1825,'Char Popularity'!$A$2:$C$500,2,FALSE),""))</f>
        <v/>
      </c>
      <c r="Z1825" s="56">
        <f>IF($X1825="",1,IFERROR(VLOOKUP($X1825,'Char Popularity'!$A$2:$C$500,3,FALSE),1))</f>
        <v>1</v>
      </c>
      <c r="AA1825" s="62">
        <f>IF($H1825&lt;&gt;"Y",0,(IF($F1825&lt;&gt;"",ROUND(Dashboard!$R$4/$F1825,1),IF(AND($I1825="Base",$E1825="Base"),Dashboard!$R$5,IF(AND($I1825="Base",$E1825="Red"),Dashboard!$R$6,IF(AND($I1825="Base",$E1825="Gold"),Dashboard!$R$7,VLOOKUP($I1825,Dashboard!$Q$16:$R$21,2,FALSE)))))*VLOOKUP($I1825,Dashboard!$Q$9:$R$13,2,FALSE)*IF(AND($I1825="Auto",$F1825="",OR($B1825="Autographs Duals",$B1825="Autographs Triples",$B1825="Autographs Quads",$B1825="Autographs Quads (Inscribed)")),IF($B1825="Autographs Duals",2,IF($B1825="Autographs Triples",3,4)),1)))</f>
        <v>0</v>
      </c>
      <c r="AB1825" s="62">
        <f t="shared" si="375"/>
        <v>0</v>
      </c>
      <c r="AC1825" s="62">
        <f t="shared" si="376"/>
        <v>0</v>
      </c>
    </row>
    <row r="1826" spans="1:29" ht="30" customHeight="1" x14ac:dyDescent="0.25">
      <c r="A1826" s="4" t="s">
        <v>23</v>
      </c>
      <c r="B1826" s="7" t="s">
        <v>796</v>
      </c>
      <c r="C1826" s="2" t="s">
        <v>719</v>
      </c>
      <c r="D1826" s="7" t="s">
        <v>714</v>
      </c>
      <c r="E1826" s="4" t="s">
        <v>60</v>
      </c>
      <c r="F1826" s="2">
        <v>4</v>
      </c>
      <c r="G1826" s="2" t="s">
        <v>1400</v>
      </c>
      <c r="H1826" s="2" t="s">
        <v>1399</v>
      </c>
      <c r="I1826" s="4" t="s">
        <v>62</v>
      </c>
      <c r="J1826" s="112">
        <f>IF($H1826&lt;&gt;"Y",0,ROUND(MIN(Dashboard!$R$24,IF(IFERROR(VLOOKUP($B1826,Dashboard!$Q$28:$S$60,2,FALSE),0)&gt;0,IFERROR(VLOOKUP($B1826,Dashboard!$Q$28:$S$60,2,FALSE),0),$Z1826*IF($U1826&lt;&gt;"",ROUND((Dashboard!$R$4/$U1826)*VLOOKUP($I1826,Dashboard!$Q$9:$R$13,2,FALSE)*IF(ISNUMBER(SEARCH("Duals",$B1826)),2,IF(ISNUMBER(SEARCH("Triples",$B1826)),3,IF(ISNUMBER(SEARCH("Quads",$B1826)),4,1))),2),ROUND(VLOOKUP($I1826,Dashboard!$Q$15:$R$20,2,FALSE)*IF($E1826="Red",Dashboard!$R$6,IF($E1826="Gold",Dashboard!$R$7,Dashboard!$R$5))*IF(ISNUMBER(SEARCH("Duals",$B1826)),2,IF(ISNUMBER(SEARCH("Triples",$B1826)),3,IF(ISNUMBER(SEARCH("Quads",$B1826)),4,1))),2))*IF(IFERROR(VLOOKUP($B1826,Dashboard!$Q$28:$S$60,3,FALSE),0)&gt;0,VLOOKUP($B1826,Dashboard!$Q$28:$S$60,3,FALSE),1))),0))</f>
        <v>0</v>
      </c>
      <c r="K1826" s="2" t="str">
        <f>IF('Inserts - Story'!F46="","",'Inserts - Story'!F46)</f>
        <v/>
      </c>
      <c r="L1826" s="2">
        <f t="shared" si="364"/>
        <v>0</v>
      </c>
      <c r="M1826" s="2">
        <f t="shared" si="365"/>
        <v>0</v>
      </c>
      <c r="N1826" s="2">
        <f t="shared" si="366"/>
        <v>0</v>
      </c>
      <c r="O1826" s="2">
        <f t="shared" si="367"/>
        <v>0</v>
      </c>
      <c r="P1826" s="112">
        <f t="shared" si="368"/>
        <v>0</v>
      </c>
      <c r="Q1826" s="112">
        <f t="shared" si="369"/>
        <v>0</v>
      </c>
      <c r="R1826" s="53"/>
      <c r="S1826" s="53" t="str">
        <f t="shared" si="370"/>
        <v>Inserts - Story|In Memory Of... Printing Plates Parallel|IMO-15|Base</v>
      </c>
      <c r="T1826" s="57" t="str">
        <f>IF($S1826="","",IFERROR(VLOOKUP($S1826,'Pop Estimates (Non-#d)'!$N$2:$O$500,2,FALSE),""))</f>
        <v/>
      </c>
      <c r="U1826" s="57">
        <f t="shared" si="371"/>
        <v>4</v>
      </c>
      <c r="V1826" s="53" t="str">
        <f t="shared" si="372"/>
        <v/>
      </c>
      <c r="W1826" s="53" t="str">
        <f t="shared" si="373"/>
        <v/>
      </c>
      <c r="X1826" s="53" t="str">
        <f t="shared" si="374"/>
        <v/>
      </c>
      <c r="Y1826" s="57" t="str">
        <f>IF($X1826="","",IFERROR(VLOOKUP($X1826,'Char Popularity'!$A$2:$C$500,2,FALSE),""))</f>
        <v/>
      </c>
      <c r="Z1826" s="56">
        <f>IF($X1826="",1,IFERROR(VLOOKUP($X1826,'Char Popularity'!$A$2:$C$500,3,FALSE),1))</f>
        <v>1</v>
      </c>
      <c r="AA1826" s="62">
        <f>IF($H1826&lt;&gt;"Y",0,(IF($F1826&lt;&gt;"",ROUND(Dashboard!$R$4/$F1826,1),IF(AND($I1826="Base",$E1826="Base"),Dashboard!$R$5,IF(AND($I1826="Base",$E1826="Red"),Dashboard!$R$6,IF(AND($I1826="Base",$E1826="Gold"),Dashboard!$R$7,VLOOKUP($I1826,Dashboard!$Q$16:$R$21,2,FALSE)))))*VLOOKUP($I1826,Dashboard!$Q$9:$R$13,2,FALSE)*IF(AND($I1826="Auto",$F1826="",OR($B1826="Autographs Duals",$B1826="Autographs Triples",$B1826="Autographs Quads",$B1826="Autographs Quads (Inscribed)")),IF($B1826="Autographs Duals",2,IF($B1826="Autographs Triples",3,4)),1)))</f>
        <v>0</v>
      </c>
      <c r="AB1826" s="62">
        <f t="shared" si="375"/>
        <v>0</v>
      </c>
      <c r="AC1826" s="62">
        <f t="shared" si="376"/>
        <v>0</v>
      </c>
    </row>
    <row r="1827" spans="1:29" ht="28.7" customHeight="1" x14ac:dyDescent="0.25">
      <c r="A1827" s="4" t="s">
        <v>23</v>
      </c>
      <c r="B1827" s="7" t="s">
        <v>107</v>
      </c>
      <c r="C1827" s="2" t="s">
        <v>729</v>
      </c>
      <c r="D1827" s="7" t="s">
        <v>337</v>
      </c>
      <c r="E1827" s="4" t="s">
        <v>60</v>
      </c>
      <c r="F1827" s="2"/>
      <c r="G1827" s="2" t="s">
        <v>1399</v>
      </c>
      <c r="H1827" s="2" t="s">
        <v>1400</v>
      </c>
      <c r="I1827" s="4" t="s">
        <v>62</v>
      </c>
      <c r="J1827" s="112">
        <f>IF($H1827&lt;&gt;"Y",0,ROUND(MIN(Dashboard!$R$24,IF(IFERROR(VLOOKUP($B1827,Dashboard!$Q$28:$S$60,2,FALSE),0)&gt;0,IFERROR(VLOOKUP($B1827,Dashboard!$Q$28:$S$60,2,FALSE),0),$Z1827*IF($U1827&lt;&gt;"",ROUND((Dashboard!$R$4/$U1827)*VLOOKUP($I1827,Dashboard!$Q$9:$R$13,2,FALSE)*IF(ISNUMBER(SEARCH("Duals",$B1827)),2,IF(ISNUMBER(SEARCH("Triples",$B1827)),3,IF(ISNUMBER(SEARCH("Quads",$B1827)),4,1))),2),ROUND(VLOOKUP($I1827,Dashboard!$Q$15:$R$20,2,FALSE)*IF($E1827="Red",Dashboard!$R$6,IF($E1827="Gold",Dashboard!$R$7,Dashboard!$R$5))*IF(ISNUMBER(SEARCH("Duals",$B1827)),2,IF(ISNUMBER(SEARCH("Triples",$B1827)),3,IF(ISNUMBER(SEARCH("Quads",$B1827)),4,1))),2))*IF(IFERROR(VLOOKUP($B1827,Dashboard!$Q$28:$S$60,3,FALSE),0)&gt;0,VLOOKUP($B1827,Dashboard!$Q$28:$S$60,3,FALSE),1))),0))</f>
        <v>1</v>
      </c>
      <c r="K1827" s="2" t="str">
        <f>IF('Inserts - Story'!D17="","",'Inserts - Story'!D17)</f>
        <v>h</v>
      </c>
      <c r="L1827" s="2">
        <f t="shared" si="364"/>
        <v>1</v>
      </c>
      <c r="M1827" s="2">
        <f t="shared" si="365"/>
        <v>0</v>
      </c>
      <c r="N1827" s="2">
        <f t="shared" si="366"/>
        <v>1</v>
      </c>
      <c r="O1827" s="2">
        <f t="shared" si="367"/>
        <v>0</v>
      </c>
      <c r="P1827" s="112">
        <f t="shared" si="368"/>
        <v>1</v>
      </c>
      <c r="Q1827" s="112">
        <f t="shared" si="369"/>
        <v>0</v>
      </c>
      <c r="R1827" s="53"/>
      <c r="S1827" s="53" t="str">
        <f t="shared" si="370"/>
        <v>Inserts - Story|Quotes|Q-1|Base</v>
      </c>
      <c r="T1827" s="57">
        <f>IF($S1827="","",IFERROR(VLOOKUP($S1827,'Pop Estimates (Non-#d)'!$N$2:$O$500,2,FALSE),""))</f>
        <v>13680</v>
      </c>
      <c r="U1827" s="57">
        <f t="shared" si="371"/>
        <v>13680</v>
      </c>
      <c r="V1827" s="53" t="str">
        <f t="shared" si="372"/>
        <v/>
      </c>
      <c r="W1827" s="53" t="str">
        <f t="shared" si="373"/>
        <v/>
      </c>
      <c r="X1827" s="53" t="str">
        <f t="shared" si="374"/>
        <v/>
      </c>
      <c r="Y1827" s="57" t="str">
        <f>IF($X1827="","",IFERROR(VLOOKUP($X1827,'Char Popularity'!$A$2:$C$500,2,FALSE),""))</f>
        <v/>
      </c>
      <c r="Z1827" s="56">
        <f>IF($X1827="",1,IFERROR(VLOOKUP($X1827,'Char Popularity'!$A$2:$C$500,3,FALSE),1))</f>
        <v>1</v>
      </c>
      <c r="AA1827" s="62">
        <f>IF($H1827&lt;&gt;"Y",0,(IF($F1827&lt;&gt;"",ROUND(Dashboard!$R$4/$F1827,1),IF(AND($I1827="Base",$E1827="Base"),Dashboard!$R$5,IF(AND($I1827="Base",$E1827="Red"),Dashboard!$R$6,IF(AND($I1827="Base",$E1827="Gold"),Dashboard!$R$7,VLOOKUP($I1827,Dashboard!$Q$16:$R$21,2,FALSE)))))*VLOOKUP($I1827,Dashboard!$Q$9:$R$13,2,FALSE)*IF(AND($I1827="Auto",$F1827="",OR($B1827="Autographs Duals",$B1827="Autographs Triples",$B1827="Autographs Quads",$B1827="Autographs Quads (Inscribed)")),IF($B1827="Autographs Duals",2,IF($B1827="Autographs Triples",3,4)),1)))</f>
        <v>6</v>
      </c>
      <c r="AB1827" s="62">
        <f t="shared" si="375"/>
        <v>6</v>
      </c>
      <c r="AC1827" s="62">
        <f t="shared" si="376"/>
        <v>0</v>
      </c>
    </row>
    <row r="1828" spans="1:29" ht="28.7" customHeight="1" x14ac:dyDescent="0.25">
      <c r="A1828" s="4" t="s">
        <v>23</v>
      </c>
      <c r="B1828" s="7" t="s">
        <v>107</v>
      </c>
      <c r="C1828" s="2" t="s">
        <v>736</v>
      </c>
      <c r="D1828" s="7" t="s">
        <v>341</v>
      </c>
      <c r="E1828" s="4" t="s">
        <v>60</v>
      </c>
      <c r="F1828" s="2"/>
      <c r="G1828" s="2" t="s">
        <v>1399</v>
      </c>
      <c r="H1828" s="2" t="s">
        <v>1400</v>
      </c>
      <c r="I1828" s="4" t="s">
        <v>62</v>
      </c>
      <c r="J1828" s="112">
        <f>IF($H1828&lt;&gt;"Y",0,ROUND(MIN(Dashboard!$R$24,IF(IFERROR(VLOOKUP($B1828,Dashboard!$Q$28:$S$60,2,FALSE),0)&gt;0,IFERROR(VLOOKUP($B1828,Dashboard!$Q$28:$S$60,2,FALSE),0),$Z1828*IF($U1828&lt;&gt;"",ROUND((Dashboard!$R$4/$U1828)*VLOOKUP($I1828,Dashboard!$Q$9:$R$13,2,FALSE)*IF(ISNUMBER(SEARCH("Duals",$B1828)),2,IF(ISNUMBER(SEARCH("Triples",$B1828)),3,IF(ISNUMBER(SEARCH("Quads",$B1828)),4,1))),2),ROUND(VLOOKUP($I1828,Dashboard!$Q$15:$R$20,2,FALSE)*IF($E1828="Red",Dashboard!$R$6,IF($E1828="Gold",Dashboard!$R$7,Dashboard!$R$5))*IF(ISNUMBER(SEARCH("Duals",$B1828)),2,IF(ISNUMBER(SEARCH("Triples",$B1828)),3,IF(ISNUMBER(SEARCH("Quads",$B1828)),4,1))),2))*IF(IFERROR(VLOOKUP($B1828,Dashboard!$Q$28:$S$60,3,FALSE),0)&gt;0,VLOOKUP($B1828,Dashboard!$Q$28:$S$60,3,FALSE),1))),0))</f>
        <v>1</v>
      </c>
      <c r="K1828" s="2" t="str">
        <f>IF('Inserts - Story'!D18="","",'Inserts - Story'!D18)</f>
        <v>h</v>
      </c>
      <c r="L1828" s="2">
        <f t="shared" si="364"/>
        <v>1</v>
      </c>
      <c r="M1828" s="2">
        <f t="shared" si="365"/>
        <v>0</v>
      </c>
      <c r="N1828" s="2">
        <f t="shared" si="366"/>
        <v>1</v>
      </c>
      <c r="O1828" s="2">
        <f t="shared" si="367"/>
        <v>0</v>
      </c>
      <c r="P1828" s="112">
        <f t="shared" si="368"/>
        <v>1</v>
      </c>
      <c r="Q1828" s="112">
        <f t="shared" si="369"/>
        <v>0</v>
      </c>
      <c r="R1828" s="53"/>
      <c r="S1828" s="53" t="str">
        <f t="shared" si="370"/>
        <v>Inserts - Story|Quotes|Q-2|Base</v>
      </c>
      <c r="T1828" s="57">
        <f>IF($S1828="","",IFERROR(VLOOKUP($S1828,'Pop Estimates (Non-#d)'!$N$2:$O$500,2,FALSE),""))</f>
        <v>13680</v>
      </c>
      <c r="U1828" s="57">
        <f t="shared" si="371"/>
        <v>13680</v>
      </c>
      <c r="V1828" s="53" t="str">
        <f t="shared" si="372"/>
        <v/>
      </c>
      <c r="W1828" s="53" t="str">
        <f t="shared" si="373"/>
        <v/>
      </c>
      <c r="X1828" s="53" t="str">
        <f t="shared" si="374"/>
        <v/>
      </c>
      <c r="Y1828" s="57" t="str">
        <f>IF($X1828="","",IFERROR(VLOOKUP($X1828,'Char Popularity'!$A$2:$C$500,2,FALSE),""))</f>
        <v/>
      </c>
      <c r="Z1828" s="56">
        <f>IF($X1828="",1,IFERROR(VLOOKUP($X1828,'Char Popularity'!$A$2:$C$500,3,FALSE),1))</f>
        <v>1</v>
      </c>
      <c r="AA1828" s="62">
        <f>IF($H1828&lt;&gt;"Y",0,(IF($F1828&lt;&gt;"",ROUND(Dashboard!$R$4/$F1828,1),IF(AND($I1828="Base",$E1828="Base"),Dashboard!$R$5,IF(AND($I1828="Base",$E1828="Red"),Dashboard!$R$6,IF(AND($I1828="Base",$E1828="Gold"),Dashboard!$R$7,VLOOKUP($I1828,Dashboard!$Q$16:$R$21,2,FALSE)))))*VLOOKUP($I1828,Dashboard!$Q$9:$R$13,2,FALSE)*IF(AND($I1828="Auto",$F1828="",OR($B1828="Autographs Duals",$B1828="Autographs Triples",$B1828="Autographs Quads",$B1828="Autographs Quads (Inscribed)")),IF($B1828="Autographs Duals",2,IF($B1828="Autographs Triples",3,4)),1)))</f>
        <v>6</v>
      </c>
      <c r="AB1828" s="62">
        <f t="shared" si="375"/>
        <v>6</v>
      </c>
      <c r="AC1828" s="62">
        <f t="shared" si="376"/>
        <v>0</v>
      </c>
    </row>
    <row r="1829" spans="1:29" ht="28.7" customHeight="1" x14ac:dyDescent="0.25">
      <c r="A1829" s="4" t="s">
        <v>23</v>
      </c>
      <c r="B1829" s="7" t="s">
        <v>107</v>
      </c>
      <c r="C1829" s="2" t="s">
        <v>737</v>
      </c>
      <c r="D1829" s="7" t="s">
        <v>384</v>
      </c>
      <c r="E1829" s="4" t="s">
        <v>60</v>
      </c>
      <c r="F1829" s="2"/>
      <c r="G1829" s="2" t="s">
        <v>1399</v>
      </c>
      <c r="H1829" s="2" t="s">
        <v>1400</v>
      </c>
      <c r="I1829" s="4" t="s">
        <v>62</v>
      </c>
      <c r="J1829" s="112">
        <f>IF($H1829&lt;&gt;"Y",0,ROUND(MIN(Dashboard!$R$24,IF(IFERROR(VLOOKUP($B1829,Dashboard!$Q$28:$S$60,2,FALSE),0)&gt;0,IFERROR(VLOOKUP($B1829,Dashboard!$Q$28:$S$60,2,FALSE),0),$Z1829*IF($U1829&lt;&gt;"",ROUND((Dashboard!$R$4/$U1829)*VLOOKUP($I1829,Dashboard!$Q$9:$R$13,2,FALSE)*IF(ISNUMBER(SEARCH("Duals",$B1829)),2,IF(ISNUMBER(SEARCH("Triples",$B1829)),3,IF(ISNUMBER(SEARCH("Quads",$B1829)),4,1))),2),ROUND(VLOOKUP($I1829,Dashboard!$Q$15:$R$20,2,FALSE)*IF($E1829="Red",Dashboard!$R$6,IF($E1829="Gold",Dashboard!$R$7,Dashboard!$R$5))*IF(ISNUMBER(SEARCH("Duals",$B1829)),2,IF(ISNUMBER(SEARCH("Triples",$B1829)),3,IF(ISNUMBER(SEARCH("Quads",$B1829)),4,1))),2))*IF(IFERROR(VLOOKUP($B1829,Dashboard!$Q$28:$S$60,3,FALSE),0)&gt;0,VLOOKUP($B1829,Dashboard!$Q$28:$S$60,3,FALSE),1))),0))</f>
        <v>1</v>
      </c>
      <c r="K1829" s="2" t="str">
        <f>IF('Inserts - Story'!D19="","",'Inserts - Story'!D19)</f>
        <v>h</v>
      </c>
      <c r="L1829" s="2">
        <f t="shared" si="364"/>
        <v>1</v>
      </c>
      <c r="M1829" s="2">
        <f t="shared" si="365"/>
        <v>0</v>
      </c>
      <c r="N1829" s="2">
        <f t="shared" si="366"/>
        <v>1</v>
      </c>
      <c r="O1829" s="2">
        <f t="shared" si="367"/>
        <v>0</v>
      </c>
      <c r="P1829" s="112">
        <f t="shared" si="368"/>
        <v>1</v>
      </c>
      <c r="Q1829" s="112">
        <f t="shared" si="369"/>
        <v>0</v>
      </c>
      <c r="R1829" s="53"/>
      <c r="S1829" s="53" t="str">
        <f t="shared" si="370"/>
        <v>Inserts - Story|Quotes|Q-3|Base</v>
      </c>
      <c r="T1829" s="57">
        <f>IF($S1829="","",IFERROR(VLOOKUP($S1829,'Pop Estimates (Non-#d)'!$N$2:$O$500,2,FALSE),""))</f>
        <v>13680</v>
      </c>
      <c r="U1829" s="57">
        <f t="shared" si="371"/>
        <v>13680</v>
      </c>
      <c r="V1829" s="53" t="str">
        <f t="shared" si="372"/>
        <v/>
      </c>
      <c r="W1829" s="53" t="str">
        <f t="shared" si="373"/>
        <v/>
      </c>
      <c r="X1829" s="53" t="str">
        <f t="shared" si="374"/>
        <v/>
      </c>
      <c r="Y1829" s="57" t="str">
        <f>IF($X1829="","",IFERROR(VLOOKUP($X1829,'Char Popularity'!$A$2:$C$500,2,FALSE),""))</f>
        <v/>
      </c>
      <c r="Z1829" s="56">
        <f>IF($X1829="",1,IFERROR(VLOOKUP($X1829,'Char Popularity'!$A$2:$C$500,3,FALSE),1))</f>
        <v>1</v>
      </c>
      <c r="AA1829" s="62">
        <f>IF($H1829&lt;&gt;"Y",0,(IF($F1829&lt;&gt;"",ROUND(Dashboard!$R$4/$F1829,1),IF(AND($I1829="Base",$E1829="Base"),Dashboard!$R$5,IF(AND($I1829="Base",$E1829="Red"),Dashboard!$R$6,IF(AND($I1829="Base",$E1829="Gold"),Dashboard!$R$7,VLOOKUP($I1829,Dashboard!$Q$16:$R$21,2,FALSE)))))*VLOOKUP($I1829,Dashboard!$Q$9:$R$13,2,FALSE)*IF(AND($I1829="Auto",$F1829="",OR($B1829="Autographs Duals",$B1829="Autographs Triples",$B1829="Autographs Quads",$B1829="Autographs Quads (Inscribed)")),IF($B1829="Autographs Duals",2,IF($B1829="Autographs Triples",3,4)),1)))</f>
        <v>6</v>
      </c>
      <c r="AB1829" s="62">
        <f t="shared" si="375"/>
        <v>6</v>
      </c>
      <c r="AC1829" s="62">
        <f t="shared" si="376"/>
        <v>0</v>
      </c>
    </row>
    <row r="1830" spans="1:29" ht="28.7" customHeight="1" x14ac:dyDescent="0.25">
      <c r="A1830" s="4" t="s">
        <v>23</v>
      </c>
      <c r="B1830" s="7" t="s">
        <v>107</v>
      </c>
      <c r="C1830" s="2" t="s">
        <v>738</v>
      </c>
      <c r="D1830" s="7" t="s">
        <v>391</v>
      </c>
      <c r="E1830" s="4" t="s">
        <v>60</v>
      </c>
      <c r="F1830" s="2"/>
      <c r="G1830" s="2" t="s">
        <v>1399</v>
      </c>
      <c r="H1830" s="2" t="s">
        <v>1400</v>
      </c>
      <c r="I1830" s="4" t="s">
        <v>62</v>
      </c>
      <c r="J1830" s="112">
        <f>IF($H1830&lt;&gt;"Y",0,ROUND(MIN(Dashboard!$R$24,IF(IFERROR(VLOOKUP($B1830,Dashboard!$Q$28:$S$60,2,FALSE),0)&gt;0,IFERROR(VLOOKUP($B1830,Dashboard!$Q$28:$S$60,2,FALSE),0),$Z1830*IF($U1830&lt;&gt;"",ROUND((Dashboard!$R$4/$U1830)*VLOOKUP($I1830,Dashboard!$Q$9:$R$13,2,FALSE)*IF(ISNUMBER(SEARCH("Duals",$B1830)),2,IF(ISNUMBER(SEARCH("Triples",$B1830)),3,IF(ISNUMBER(SEARCH("Quads",$B1830)),4,1))),2),ROUND(VLOOKUP($I1830,Dashboard!$Q$15:$R$20,2,FALSE)*IF($E1830="Red",Dashboard!$R$6,IF($E1830="Gold",Dashboard!$R$7,Dashboard!$R$5))*IF(ISNUMBER(SEARCH("Duals",$B1830)),2,IF(ISNUMBER(SEARCH("Triples",$B1830)),3,IF(ISNUMBER(SEARCH("Quads",$B1830)),4,1))),2))*IF(IFERROR(VLOOKUP($B1830,Dashboard!$Q$28:$S$60,3,FALSE),0)&gt;0,VLOOKUP($B1830,Dashboard!$Q$28:$S$60,3,FALSE),1))),0))</f>
        <v>1</v>
      </c>
      <c r="K1830" s="2" t="str">
        <f>IF('Inserts - Story'!D20="","",'Inserts - Story'!D20)</f>
        <v>h</v>
      </c>
      <c r="L1830" s="2">
        <f t="shared" si="364"/>
        <v>1</v>
      </c>
      <c r="M1830" s="2">
        <f t="shared" si="365"/>
        <v>0</v>
      </c>
      <c r="N1830" s="2">
        <f t="shared" si="366"/>
        <v>1</v>
      </c>
      <c r="O1830" s="2">
        <f t="shared" si="367"/>
        <v>0</v>
      </c>
      <c r="P1830" s="112">
        <f t="shared" si="368"/>
        <v>1</v>
      </c>
      <c r="Q1830" s="112">
        <f t="shared" si="369"/>
        <v>0</v>
      </c>
      <c r="R1830" s="53"/>
      <c r="S1830" s="53" t="str">
        <f t="shared" si="370"/>
        <v>Inserts - Story|Quotes|Q-4|Base</v>
      </c>
      <c r="T1830" s="57">
        <f>IF($S1830="","",IFERROR(VLOOKUP($S1830,'Pop Estimates (Non-#d)'!$N$2:$O$500,2,FALSE),""))</f>
        <v>13680</v>
      </c>
      <c r="U1830" s="57">
        <f t="shared" si="371"/>
        <v>13680</v>
      </c>
      <c r="V1830" s="53" t="str">
        <f t="shared" si="372"/>
        <v/>
      </c>
      <c r="W1830" s="53" t="str">
        <f t="shared" si="373"/>
        <v/>
      </c>
      <c r="X1830" s="53" t="str">
        <f t="shared" si="374"/>
        <v/>
      </c>
      <c r="Y1830" s="57" t="str">
        <f>IF($X1830="","",IFERROR(VLOOKUP($X1830,'Char Popularity'!$A$2:$C$500,2,FALSE),""))</f>
        <v/>
      </c>
      <c r="Z1830" s="56">
        <f>IF($X1830="",1,IFERROR(VLOOKUP($X1830,'Char Popularity'!$A$2:$C$500,3,FALSE),1))</f>
        <v>1</v>
      </c>
      <c r="AA1830" s="62">
        <f>IF($H1830&lt;&gt;"Y",0,(IF($F1830&lt;&gt;"",ROUND(Dashboard!$R$4/$F1830,1),IF(AND($I1830="Base",$E1830="Base"),Dashboard!$R$5,IF(AND($I1830="Base",$E1830="Red"),Dashboard!$R$6,IF(AND($I1830="Base",$E1830="Gold"),Dashboard!$R$7,VLOOKUP($I1830,Dashboard!$Q$16:$R$21,2,FALSE)))))*VLOOKUP($I1830,Dashboard!$Q$9:$R$13,2,FALSE)*IF(AND($I1830="Auto",$F1830="",OR($B1830="Autographs Duals",$B1830="Autographs Triples",$B1830="Autographs Quads",$B1830="Autographs Quads (Inscribed)")),IF($B1830="Autographs Duals",2,IF($B1830="Autographs Triples",3,4)),1)))</f>
        <v>6</v>
      </c>
      <c r="AB1830" s="62">
        <f t="shared" si="375"/>
        <v>6</v>
      </c>
      <c r="AC1830" s="62">
        <f t="shared" si="376"/>
        <v>0</v>
      </c>
    </row>
    <row r="1831" spans="1:29" ht="28.7" customHeight="1" x14ac:dyDescent="0.25">
      <c r="A1831" s="4" t="s">
        <v>23</v>
      </c>
      <c r="B1831" s="7" t="s">
        <v>107</v>
      </c>
      <c r="C1831" s="2" t="s">
        <v>739</v>
      </c>
      <c r="D1831" s="7" t="s">
        <v>345</v>
      </c>
      <c r="E1831" s="4" t="s">
        <v>60</v>
      </c>
      <c r="F1831" s="2"/>
      <c r="G1831" s="2" t="s">
        <v>1399</v>
      </c>
      <c r="H1831" s="2" t="s">
        <v>1400</v>
      </c>
      <c r="I1831" s="4" t="s">
        <v>62</v>
      </c>
      <c r="J1831" s="112">
        <f>IF($H1831&lt;&gt;"Y",0,ROUND(MIN(Dashboard!$R$24,IF(IFERROR(VLOOKUP($B1831,Dashboard!$Q$28:$S$60,2,FALSE),0)&gt;0,IFERROR(VLOOKUP($B1831,Dashboard!$Q$28:$S$60,2,FALSE),0),$Z1831*IF($U1831&lt;&gt;"",ROUND((Dashboard!$R$4/$U1831)*VLOOKUP($I1831,Dashboard!$Q$9:$R$13,2,FALSE)*IF(ISNUMBER(SEARCH("Duals",$B1831)),2,IF(ISNUMBER(SEARCH("Triples",$B1831)),3,IF(ISNUMBER(SEARCH("Quads",$B1831)),4,1))),2),ROUND(VLOOKUP($I1831,Dashboard!$Q$15:$R$20,2,FALSE)*IF($E1831="Red",Dashboard!$R$6,IF($E1831="Gold",Dashboard!$R$7,Dashboard!$R$5))*IF(ISNUMBER(SEARCH("Duals",$B1831)),2,IF(ISNUMBER(SEARCH("Triples",$B1831)),3,IF(ISNUMBER(SEARCH("Quads",$B1831)),4,1))),2))*IF(IFERROR(VLOOKUP($B1831,Dashboard!$Q$28:$S$60,3,FALSE),0)&gt;0,VLOOKUP($B1831,Dashboard!$Q$28:$S$60,3,FALSE),1))),0))</f>
        <v>1</v>
      </c>
      <c r="K1831" s="2" t="str">
        <f>IF('Inserts - Story'!D21="","",'Inserts - Story'!D21)</f>
        <v>h</v>
      </c>
      <c r="L1831" s="2">
        <f t="shared" si="364"/>
        <v>1</v>
      </c>
      <c r="M1831" s="2">
        <f t="shared" si="365"/>
        <v>0</v>
      </c>
      <c r="N1831" s="2">
        <f t="shared" si="366"/>
        <v>1</v>
      </c>
      <c r="O1831" s="2">
        <f t="shared" si="367"/>
        <v>0</v>
      </c>
      <c r="P1831" s="112">
        <f t="shared" si="368"/>
        <v>1</v>
      </c>
      <c r="Q1831" s="112">
        <f t="shared" si="369"/>
        <v>0</v>
      </c>
      <c r="R1831" s="53"/>
      <c r="S1831" s="53" t="str">
        <f t="shared" si="370"/>
        <v>Inserts - Story|Quotes|Q-5|Base</v>
      </c>
      <c r="T1831" s="57">
        <f>IF($S1831="","",IFERROR(VLOOKUP($S1831,'Pop Estimates (Non-#d)'!$N$2:$O$500,2,FALSE),""))</f>
        <v>13680</v>
      </c>
      <c r="U1831" s="57">
        <f t="shared" si="371"/>
        <v>13680</v>
      </c>
      <c r="V1831" s="53" t="str">
        <f t="shared" si="372"/>
        <v/>
      </c>
      <c r="W1831" s="53" t="str">
        <f t="shared" si="373"/>
        <v/>
      </c>
      <c r="X1831" s="53" t="str">
        <f t="shared" si="374"/>
        <v/>
      </c>
      <c r="Y1831" s="57" t="str">
        <f>IF($X1831="","",IFERROR(VLOOKUP($X1831,'Char Popularity'!$A$2:$C$500,2,FALSE),""))</f>
        <v/>
      </c>
      <c r="Z1831" s="56">
        <f>IF($X1831="",1,IFERROR(VLOOKUP($X1831,'Char Popularity'!$A$2:$C$500,3,FALSE),1))</f>
        <v>1</v>
      </c>
      <c r="AA1831" s="62">
        <f>IF($H1831&lt;&gt;"Y",0,(IF($F1831&lt;&gt;"",ROUND(Dashboard!$R$4/$F1831,1),IF(AND($I1831="Base",$E1831="Base"),Dashboard!$R$5,IF(AND($I1831="Base",$E1831="Red"),Dashboard!$R$6,IF(AND($I1831="Base",$E1831="Gold"),Dashboard!$R$7,VLOOKUP($I1831,Dashboard!$Q$16:$R$21,2,FALSE)))))*VLOOKUP($I1831,Dashboard!$Q$9:$R$13,2,FALSE)*IF(AND($I1831="Auto",$F1831="",OR($B1831="Autographs Duals",$B1831="Autographs Triples",$B1831="Autographs Quads",$B1831="Autographs Quads (Inscribed)")),IF($B1831="Autographs Duals",2,IF($B1831="Autographs Triples",3,4)),1)))</f>
        <v>6</v>
      </c>
      <c r="AB1831" s="62">
        <f t="shared" si="375"/>
        <v>6</v>
      </c>
      <c r="AC1831" s="62">
        <f t="shared" si="376"/>
        <v>0</v>
      </c>
    </row>
    <row r="1832" spans="1:29" ht="28.7" customHeight="1" x14ac:dyDescent="0.25">
      <c r="A1832" s="4" t="s">
        <v>23</v>
      </c>
      <c r="B1832" s="7" t="s">
        <v>107</v>
      </c>
      <c r="C1832" s="2" t="s">
        <v>740</v>
      </c>
      <c r="D1832" s="7" t="s">
        <v>516</v>
      </c>
      <c r="E1832" s="4" t="s">
        <v>60</v>
      </c>
      <c r="F1832" s="2"/>
      <c r="G1832" s="2" t="s">
        <v>1399</v>
      </c>
      <c r="H1832" s="2" t="s">
        <v>1400</v>
      </c>
      <c r="I1832" s="4" t="s">
        <v>62</v>
      </c>
      <c r="J1832" s="112">
        <f>IF($H1832&lt;&gt;"Y",0,ROUND(MIN(Dashboard!$R$24,IF(IFERROR(VLOOKUP($B1832,Dashboard!$Q$28:$S$60,2,FALSE),0)&gt;0,IFERROR(VLOOKUP($B1832,Dashboard!$Q$28:$S$60,2,FALSE),0),$Z1832*IF($U1832&lt;&gt;"",ROUND((Dashboard!$R$4/$U1832)*VLOOKUP($I1832,Dashboard!$Q$9:$R$13,2,FALSE)*IF(ISNUMBER(SEARCH("Duals",$B1832)),2,IF(ISNUMBER(SEARCH("Triples",$B1832)),3,IF(ISNUMBER(SEARCH("Quads",$B1832)),4,1))),2),ROUND(VLOOKUP($I1832,Dashboard!$Q$15:$R$20,2,FALSE)*IF($E1832="Red",Dashboard!$R$6,IF($E1832="Gold",Dashboard!$R$7,Dashboard!$R$5))*IF(ISNUMBER(SEARCH("Duals",$B1832)),2,IF(ISNUMBER(SEARCH("Triples",$B1832)),3,IF(ISNUMBER(SEARCH("Quads",$B1832)),4,1))),2))*IF(IFERROR(VLOOKUP($B1832,Dashboard!$Q$28:$S$60,3,FALSE),0)&gt;0,VLOOKUP($B1832,Dashboard!$Q$28:$S$60,3,FALSE),1))),0))</f>
        <v>1</v>
      </c>
      <c r="K1832" s="2" t="str">
        <f>IF('Inserts - Story'!D22="","",'Inserts - Story'!D22)</f>
        <v>h</v>
      </c>
      <c r="L1832" s="2">
        <f t="shared" si="364"/>
        <v>1</v>
      </c>
      <c r="M1832" s="2">
        <f t="shared" si="365"/>
        <v>0</v>
      </c>
      <c r="N1832" s="2">
        <f t="shared" si="366"/>
        <v>1</v>
      </c>
      <c r="O1832" s="2">
        <f t="shared" si="367"/>
        <v>0</v>
      </c>
      <c r="P1832" s="112">
        <f t="shared" si="368"/>
        <v>1</v>
      </c>
      <c r="Q1832" s="112">
        <f t="shared" si="369"/>
        <v>0</v>
      </c>
      <c r="R1832" s="53"/>
      <c r="S1832" s="53" t="str">
        <f t="shared" si="370"/>
        <v>Inserts - Story|Quotes|Q-6|Base</v>
      </c>
      <c r="T1832" s="57">
        <f>IF($S1832="","",IFERROR(VLOOKUP($S1832,'Pop Estimates (Non-#d)'!$N$2:$O$500,2,FALSE),""))</f>
        <v>13680</v>
      </c>
      <c r="U1832" s="57">
        <f t="shared" si="371"/>
        <v>13680</v>
      </c>
      <c r="V1832" s="53" t="str">
        <f t="shared" si="372"/>
        <v/>
      </c>
      <c r="W1832" s="53" t="str">
        <f t="shared" si="373"/>
        <v/>
      </c>
      <c r="X1832" s="53" t="str">
        <f t="shared" si="374"/>
        <v/>
      </c>
      <c r="Y1832" s="57" t="str">
        <f>IF($X1832="","",IFERROR(VLOOKUP($X1832,'Char Popularity'!$A$2:$C$500,2,FALSE),""))</f>
        <v/>
      </c>
      <c r="Z1832" s="56">
        <f>IF($X1832="",1,IFERROR(VLOOKUP($X1832,'Char Popularity'!$A$2:$C$500,3,FALSE),1))</f>
        <v>1</v>
      </c>
      <c r="AA1832" s="62">
        <f>IF($H1832&lt;&gt;"Y",0,(IF($F1832&lt;&gt;"",ROUND(Dashboard!$R$4/$F1832,1),IF(AND($I1832="Base",$E1832="Base"),Dashboard!$R$5,IF(AND($I1832="Base",$E1832="Red"),Dashboard!$R$6,IF(AND($I1832="Base",$E1832="Gold"),Dashboard!$R$7,VLOOKUP($I1832,Dashboard!$Q$16:$R$21,2,FALSE)))))*VLOOKUP($I1832,Dashboard!$Q$9:$R$13,2,FALSE)*IF(AND($I1832="Auto",$F1832="",OR($B1832="Autographs Duals",$B1832="Autographs Triples",$B1832="Autographs Quads",$B1832="Autographs Quads (Inscribed)")),IF($B1832="Autographs Duals",2,IF($B1832="Autographs Triples",3,4)),1)))</f>
        <v>6</v>
      </c>
      <c r="AB1832" s="62">
        <f t="shared" si="375"/>
        <v>6</v>
      </c>
      <c r="AC1832" s="62">
        <f t="shared" si="376"/>
        <v>0</v>
      </c>
    </row>
    <row r="1833" spans="1:29" ht="28.7" customHeight="1" x14ac:dyDescent="0.25">
      <c r="A1833" s="4" t="s">
        <v>23</v>
      </c>
      <c r="B1833" s="7" t="s">
        <v>107</v>
      </c>
      <c r="C1833" s="2" t="s">
        <v>741</v>
      </c>
      <c r="D1833" s="7" t="s">
        <v>454</v>
      </c>
      <c r="E1833" s="4" t="s">
        <v>60</v>
      </c>
      <c r="F1833" s="2"/>
      <c r="G1833" s="2" t="s">
        <v>1399</v>
      </c>
      <c r="H1833" s="2" t="s">
        <v>1400</v>
      </c>
      <c r="I1833" s="4" t="s">
        <v>62</v>
      </c>
      <c r="J1833" s="112">
        <f>IF($H1833&lt;&gt;"Y",0,ROUND(MIN(Dashboard!$R$24,IF(IFERROR(VLOOKUP($B1833,Dashboard!$Q$28:$S$60,2,FALSE),0)&gt;0,IFERROR(VLOOKUP($B1833,Dashboard!$Q$28:$S$60,2,FALSE),0),$Z1833*IF($U1833&lt;&gt;"",ROUND((Dashboard!$R$4/$U1833)*VLOOKUP($I1833,Dashboard!$Q$9:$R$13,2,FALSE)*IF(ISNUMBER(SEARCH("Duals",$B1833)),2,IF(ISNUMBER(SEARCH("Triples",$B1833)),3,IF(ISNUMBER(SEARCH("Quads",$B1833)),4,1))),2),ROUND(VLOOKUP($I1833,Dashboard!$Q$15:$R$20,2,FALSE)*IF($E1833="Red",Dashboard!$R$6,IF($E1833="Gold",Dashboard!$R$7,Dashboard!$R$5))*IF(ISNUMBER(SEARCH("Duals",$B1833)),2,IF(ISNUMBER(SEARCH("Triples",$B1833)),3,IF(ISNUMBER(SEARCH("Quads",$B1833)),4,1))),2))*IF(IFERROR(VLOOKUP($B1833,Dashboard!$Q$28:$S$60,3,FALSE),0)&gt;0,VLOOKUP($B1833,Dashboard!$Q$28:$S$60,3,FALSE),1))),0))</f>
        <v>1</v>
      </c>
      <c r="K1833" s="2" t="str">
        <f>IF('Inserts - Story'!D23="","",'Inserts - Story'!D23)</f>
        <v>h</v>
      </c>
      <c r="L1833" s="2">
        <f t="shared" si="364"/>
        <v>1</v>
      </c>
      <c r="M1833" s="2">
        <f t="shared" si="365"/>
        <v>0</v>
      </c>
      <c r="N1833" s="2">
        <f t="shared" si="366"/>
        <v>1</v>
      </c>
      <c r="O1833" s="2">
        <f t="shared" si="367"/>
        <v>0</v>
      </c>
      <c r="P1833" s="112">
        <f t="shared" si="368"/>
        <v>1</v>
      </c>
      <c r="Q1833" s="112">
        <f t="shared" si="369"/>
        <v>0</v>
      </c>
      <c r="R1833" s="53"/>
      <c r="S1833" s="53" t="str">
        <f t="shared" si="370"/>
        <v>Inserts - Story|Quotes|Q-7|Base</v>
      </c>
      <c r="T1833" s="57">
        <f>IF($S1833="","",IFERROR(VLOOKUP($S1833,'Pop Estimates (Non-#d)'!$N$2:$O$500,2,FALSE),""))</f>
        <v>13680</v>
      </c>
      <c r="U1833" s="57">
        <f t="shared" si="371"/>
        <v>13680</v>
      </c>
      <c r="V1833" s="53" t="str">
        <f t="shared" si="372"/>
        <v/>
      </c>
      <c r="W1833" s="53" t="str">
        <f t="shared" si="373"/>
        <v/>
      </c>
      <c r="X1833" s="53" t="str">
        <f t="shared" si="374"/>
        <v/>
      </c>
      <c r="Y1833" s="57" t="str">
        <f>IF($X1833="","",IFERROR(VLOOKUP($X1833,'Char Popularity'!$A$2:$C$500,2,FALSE),""))</f>
        <v/>
      </c>
      <c r="Z1833" s="56">
        <f>IF($X1833="",1,IFERROR(VLOOKUP($X1833,'Char Popularity'!$A$2:$C$500,3,FALSE),1))</f>
        <v>1</v>
      </c>
      <c r="AA1833" s="62">
        <f>IF($H1833&lt;&gt;"Y",0,(IF($F1833&lt;&gt;"",ROUND(Dashboard!$R$4/$F1833,1),IF(AND($I1833="Base",$E1833="Base"),Dashboard!$R$5,IF(AND($I1833="Base",$E1833="Red"),Dashboard!$R$6,IF(AND($I1833="Base",$E1833="Gold"),Dashboard!$R$7,VLOOKUP($I1833,Dashboard!$Q$16:$R$21,2,FALSE)))))*VLOOKUP($I1833,Dashboard!$Q$9:$R$13,2,FALSE)*IF(AND($I1833="Auto",$F1833="",OR($B1833="Autographs Duals",$B1833="Autographs Triples",$B1833="Autographs Quads",$B1833="Autographs Quads (Inscribed)")),IF($B1833="Autographs Duals",2,IF($B1833="Autographs Triples",3,4)),1)))</f>
        <v>6</v>
      </c>
      <c r="AB1833" s="62">
        <f t="shared" si="375"/>
        <v>6</v>
      </c>
      <c r="AC1833" s="62">
        <f t="shared" si="376"/>
        <v>0</v>
      </c>
    </row>
    <row r="1834" spans="1:29" ht="28.7" customHeight="1" x14ac:dyDescent="0.25">
      <c r="A1834" s="4" t="s">
        <v>23</v>
      </c>
      <c r="B1834" s="7" t="s">
        <v>107</v>
      </c>
      <c r="C1834" s="2" t="s">
        <v>742</v>
      </c>
      <c r="D1834" s="7" t="s">
        <v>444</v>
      </c>
      <c r="E1834" s="4" t="s">
        <v>60</v>
      </c>
      <c r="F1834" s="2"/>
      <c r="G1834" s="2" t="s">
        <v>1399</v>
      </c>
      <c r="H1834" s="2" t="s">
        <v>1400</v>
      </c>
      <c r="I1834" s="4" t="s">
        <v>62</v>
      </c>
      <c r="J1834" s="112">
        <f>IF($H1834&lt;&gt;"Y",0,ROUND(MIN(Dashboard!$R$24,IF(IFERROR(VLOOKUP($B1834,Dashboard!$Q$28:$S$60,2,FALSE),0)&gt;0,IFERROR(VLOOKUP($B1834,Dashboard!$Q$28:$S$60,2,FALSE),0),$Z1834*IF($U1834&lt;&gt;"",ROUND((Dashboard!$R$4/$U1834)*VLOOKUP($I1834,Dashboard!$Q$9:$R$13,2,FALSE)*IF(ISNUMBER(SEARCH("Duals",$B1834)),2,IF(ISNUMBER(SEARCH("Triples",$B1834)),3,IF(ISNUMBER(SEARCH("Quads",$B1834)),4,1))),2),ROUND(VLOOKUP($I1834,Dashboard!$Q$15:$R$20,2,FALSE)*IF($E1834="Red",Dashboard!$R$6,IF($E1834="Gold",Dashboard!$R$7,Dashboard!$R$5))*IF(ISNUMBER(SEARCH("Duals",$B1834)),2,IF(ISNUMBER(SEARCH("Triples",$B1834)),3,IF(ISNUMBER(SEARCH("Quads",$B1834)),4,1))),2))*IF(IFERROR(VLOOKUP($B1834,Dashboard!$Q$28:$S$60,3,FALSE),0)&gt;0,VLOOKUP($B1834,Dashboard!$Q$28:$S$60,3,FALSE),1))),0))</f>
        <v>1</v>
      </c>
      <c r="K1834" s="2" t="str">
        <f>IF('Inserts - Story'!D24="","",'Inserts - Story'!D24)</f>
        <v>h</v>
      </c>
      <c r="L1834" s="2">
        <f t="shared" si="364"/>
        <v>1</v>
      </c>
      <c r="M1834" s="2">
        <f t="shared" si="365"/>
        <v>0</v>
      </c>
      <c r="N1834" s="2">
        <f t="shared" si="366"/>
        <v>1</v>
      </c>
      <c r="O1834" s="2">
        <f t="shared" si="367"/>
        <v>0</v>
      </c>
      <c r="P1834" s="112">
        <f t="shared" si="368"/>
        <v>1</v>
      </c>
      <c r="Q1834" s="112">
        <f t="shared" si="369"/>
        <v>0</v>
      </c>
      <c r="R1834" s="53"/>
      <c r="S1834" s="53" t="str">
        <f t="shared" si="370"/>
        <v>Inserts - Story|Quotes|Q-8|Base</v>
      </c>
      <c r="T1834" s="57">
        <f>IF($S1834="","",IFERROR(VLOOKUP($S1834,'Pop Estimates (Non-#d)'!$N$2:$O$500,2,FALSE),""))</f>
        <v>13680</v>
      </c>
      <c r="U1834" s="57">
        <f t="shared" si="371"/>
        <v>13680</v>
      </c>
      <c r="V1834" s="53" t="str">
        <f t="shared" si="372"/>
        <v/>
      </c>
      <c r="W1834" s="53" t="str">
        <f t="shared" si="373"/>
        <v/>
      </c>
      <c r="X1834" s="53" t="str">
        <f t="shared" si="374"/>
        <v/>
      </c>
      <c r="Y1834" s="57" t="str">
        <f>IF($X1834="","",IFERROR(VLOOKUP($X1834,'Char Popularity'!$A$2:$C$500,2,FALSE),""))</f>
        <v/>
      </c>
      <c r="Z1834" s="56">
        <f>IF($X1834="",1,IFERROR(VLOOKUP($X1834,'Char Popularity'!$A$2:$C$500,3,FALSE),1))</f>
        <v>1</v>
      </c>
      <c r="AA1834" s="62">
        <f>IF($H1834&lt;&gt;"Y",0,(IF($F1834&lt;&gt;"",ROUND(Dashboard!$R$4/$F1834,1),IF(AND($I1834="Base",$E1834="Base"),Dashboard!$R$5,IF(AND($I1834="Base",$E1834="Red"),Dashboard!$R$6,IF(AND($I1834="Base",$E1834="Gold"),Dashboard!$R$7,VLOOKUP($I1834,Dashboard!$Q$16:$R$21,2,FALSE)))))*VLOOKUP($I1834,Dashboard!$Q$9:$R$13,2,FALSE)*IF(AND($I1834="Auto",$F1834="",OR($B1834="Autographs Duals",$B1834="Autographs Triples",$B1834="Autographs Quads",$B1834="Autographs Quads (Inscribed)")),IF($B1834="Autographs Duals",2,IF($B1834="Autographs Triples",3,4)),1)))</f>
        <v>6</v>
      </c>
      <c r="AB1834" s="62">
        <f t="shared" si="375"/>
        <v>6</v>
      </c>
      <c r="AC1834" s="62">
        <f t="shared" si="376"/>
        <v>0</v>
      </c>
    </row>
    <row r="1835" spans="1:29" ht="28.7" customHeight="1" x14ac:dyDescent="0.25">
      <c r="A1835" s="4" t="s">
        <v>23</v>
      </c>
      <c r="B1835" s="7" t="s">
        <v>107</v>
      </c>
      <c r="C1835" s="2" t="s">
        <v>743</v>
      </c>
      <c r="D1835" s="7" t="s">
        <v>744</v>
      </c>
      <c r="E1835" s="4" t="s">
        <v>60</v>
      </c>
      <c r="F1835" s="2"/>
      <c r="G1835" s="2" t="s">
        <v>1399</v>
      </c>
      <c r="H1835" s="2" t="s">
        <v>1400</v>
      </c>
      <c r="I1835" s="4" t="s">
        <v>62</v>
      </c>
      <c r="J1835" s="112">
        <f>IF($H1835&lt;&gt;"Y",0,ROUND(MIN(Dashboard!$R$24,IF(IFERROR(VLOOKUP($B1835,Dashboard!$Q$28:$S$60,2,FALSE),0)&gt;0,IFERROR(VLOOKUP($B1835,Dashboard!$Q$28:$S$60,2,FALSE),0),$Z1835*IF($U1835&lt;&gt;"",ROUND((Dashboard!$R$4/$U1835)*VLOOKUP($I1835,Dashboard!$Q$9:$R$13,2,FALSE)*IF(ISNUMBER(SEARCH("Duals",$B1835)),2,IF(ISNUMBER(SEARCH("Triples",$B1835)),3,IF(ISNUMBER(SEARCH("Quads",$B1835)),4,1))),2),ROUND(VLOOKUP($I1835,Dashboard!$Q$15:$R$20,2,FALSE)*IF($E1835="Red",Dashboard!$R$6,IF($E1835="Gold",Dashboard!$R$7,Dashboard!$R$5))*IF(ISNUMBER(SEARCH("Duals",$B1835)),2,IF(ISNUMBER(SEARCH("Triples",$B1835)),3,IF(ISNUMBER(SEARCH("Quads",$B1835)),4,1))),2))*IF(IFERROR(VLOOKUP($B1835,Dashboard!$Q$28:$S$60,3,FALSE),0)&gt;0,VLOOKUP($B1835,Dashboard!$Q$28:$S$60,3,FALSE),1))),0))</f>
        <v>1</v>
      </c>
      <c r="K1835" s="2" t="str">
        <f>IF('Inserts - Story'!D25="","",'Inserts - Story'!D25)</f>
        <v>h</v>
      </c>
      <c r="L1835" s="2">
        <f t="shared" si="364"/>
        <v>1</v>
      </c>
      <c r="M1835" s="2">
        <f t="shared" si="365"/>
        <v>0</v>
      </c>
      <c r="N1835" s="2">
        <f t="shared" si="366"/>
        <v>1</v>
      </c>
      <c r="O1835" s="2">
        <f t="shared" si="367"/>
        <v>0</v>
      </c>
      <c r="P1835" s="112">
        <f t="shared" si="368"/>
        <v>1</v>
      </c>
      <c r="Q1835" s="112">
        <f t="shared" si="369"/>
        <v>0</v>
      </c>
      <c r="R1835" s="53"/>
      <c r="S1835" s="53" t="str">
        <f t="shared" si="370"/>
        <v>Inserts - Story|Quotes|Q-9|Base</v>
      </c>
      <c r="T1835" s="57">
        <f>IF($S1835="","",IFERROR(VLOOKUP($S1835,'Pop Estimates (Non-#d)'!$N$2:$O$500,2,FALSE),""))</f>
        <v>13680</v>
      </c>
      <c r="U1835" s="57">
        <f t="shared" si="371"/>
        <v>13680</v>
      </c>
      <c r="V1835" s="53" t="str">
        <f t="shared" si="372"/>
        <v/>
      </c>
      <c r="W1835" s="53" t="str">
        <f t="shared" si="373"/>
        <v/>
      </c>
      <c r="X1835" s="53" t="str">
        <f t="shared" si="374"/>
        <v/>
      </c>
      <c r="Y1835" s="57" t="str">
        <f>IF($X1835="","",IFERROR(VLOOKUP($X1835,'Char Popularity'!$A$2:$C$500,2,FALSE),""))</f>
        <v/>
      </c>
      <c r="Z1835" s="56">
        <f>IF($X1835="",1,IFERROR(VLOOKUP($X1835,'Char Popularity'!$A$2:$C$500,3,FALSE),1))</f>
        <v>1</v>
      </c>
      <c r="AA1835" s="62">
        <f>IF($H1835&lt;&gt;"Y",0,(IF($F1835&lt;&gt;"",ROUND(Dashboard!$R$4/$F1835,1),IF(AND($I1835="Base",$E1835="Base"),Dashboard!$R$5,IF(AND($I1835="Base",$E1835="Red"),Dashboard!$R$6,IF(AND($I1835="Base",$E1835="Gold"),Dashboard!$R$7,VLOOKUP($I1835,Dashboard!$Q$16:$R$21,2,FALSE)))))*VLOOKUP($I1835,Dashboard!$Q$9:$R$13,2,FALSE)*IF(AND($I1835="Auto",$F1835="",OR($B1835="Autographs Duals",$B1835="Autographs Triples",$B1835="Autographs Quads",$B1835="Autographs Quads (Inscribed)")),IF($B1835="Autographs Duals",2,IF($B1835="Autographs Triples",3,4)),1)))</f>
        <v>6</v>
      </c>
      <c r="AB1835" s="62">
        <f t="shared" si="375"/>
        <v>6</v>
      </c>
      <c r="AC1835" s="62">
        <f t="shared" si="376"/>
        <v>0</v>
      </c>
    </row>
    <row r="1836" spans="1:29" ht="28.7" customHeight="1" x14ac:dyDescent="0.25">
      <c r="A1836" s="4" t="s">
        <v>23</v>
      </c>
      <c r="B1836" s="7" t="s">
        <v>107</v>
      </c>
      <c r="C1836" s="2" t="s">
        <v>730</v>
      </c>
      <c r="D1836" s="7" t="s">
        <v>446</v>
      </c>
      <c r="E1836" s="4" t="s">
        <v>60</v>
      </c>
      <c r="F1836" s="2"/>
      <c r="G1836" s="2" t="s">
        <v>1399</v>
      </c>
      <c r="H1836" s="2" t="s">
        <v>1400</v>
      </c>
      <c r="I1836" s="4" t="s">
        <v>62</v>
      </c>
      <c r="J1836" s="112">
        <f>IF($H1836&lt;&gt;"Y",0,ROUND(MIN(Dashboard!$R$24,IF(IFERROR(VLOOKUP($B1836,Dashboard!$Q$28:$S$60,2,FALSE),0)&gt;0,IFERROR(VLOOKUP($B1836,Dashboard!$Q$28:$S$60,2,FALSE),0),$Z1836*IF($U1836&lt;&gt;"",ROUND((Dashboard!$R$4/$U1836)*VLOOKUP($I1836,Dashboard!$Q$9:$R$13,2,FALSE)*IF(ISNUMBER(SEARCH("Duals",$B1836)),2,IF(ISNUMBER(SEARCH("Triples",$B1836)),3,IF(ISNUMBER(SEARCH("Quads",$B1836)),4,1))),2),ROUND(VLOOKUP($I1836,Dashboard!$Q$15:$R$20,2,FALSE)*IF($E1836="Red",Dashboard!$R$6,IF($E1836="Gold",Dashboard!$R$7,Dashboard!$R$5))*IF(ISNUMBER(SEARCH("Duals",$B1836)),2,IF(ISNUMBER(SEARCH("Triples",$B1836)),3,IF(ISNUMBER(SEARCH("Quads",$B1836)),4,1))),2))*IF(IFERROR(VLOOKUP($B1836,Dashboard!$Q$28:$S$60,3,FALSE),0)&gt;0,VLOOKUP($B1836,Dashboard!$Q$28:$S$60,3,FALSE),1))),0))</f>
        <v>1</v>
      </c>
      <c r="K1836" s="2" t="str">
        <f>IF('Inserts - Story'!D26="","",'Inserts - Story'!D26)</f>
        <v>h</v>
      </c>
      <c r="L1836" s="2">
        <f t="shared" si="364"/>
        <v>1</v>
      </c>
      <c r="M1836" s="2">
        <f t="shared" si="365"/>
        <v>0</v>
      </c>
      <c r="N1836" s="2">
        <f t="shared" si="366"/>
        <v>1</v>
      </c>
      <c r="O1836" s="2">
        <f t="shared" si="367"/>
        <v>0</v>
      </c>
      <c r="P1836" s="112">
        <f t="shared" si="368"/>
        <v>1</v>
      </c>
      <c r="Q1836" s="112">
        <f t="shared" si="369"/>
        <v>0</v>
      </c>
      <c r="R1836" s="53"/>
      <c r="S1836" s="53" t="str">
        <f t="shared" si="370"/>
        <v>Inserts - Story|Quotes|Q-10|Base</v>
      </c>
      <c r="T1836" s="57">
        <f>IF($S1836="","",IFERROR(VLOOKUP($S1836,'Pop Estimates (Non-#d)'!$N$2:$O$500,2,FALSE),""))</f>
        <v>13680</v>
      </c>
      <c r="U1836" s="57">
        <f t="shared" si="371"/>
        <v>13680</v>
      </c>
      <c r="V1836" s="53" t="str">
        <f t="shared" si="372"/>
        <v/>
      </c>
      <c r="W1836" s="53" t="str">
        <f t="shared" si="373"/>
        <v/>
      </c>
      <c r="X1836" s="53" t="str">
        <f t="shared" si="374"/>
        <v/>
      </c>
      <c r="Y1836" s="57" t="str">
        <f>IF($X1836="","",IFERROR(VLOOKUP($X1836,'Char Popularity'!$A$2:$C$500,2,FALSE),""))</f>
        <v/>
      </c>
      <c r="Z1836" s="56">
        <f>IF($X1836="",1,IFERROR(VLOOKUP($X1836,'Char Popularity'!$A$2:$C$500,3,FALSE),1))</f>
        <v>1</v>
      </c>
      <c r="AA1836" s="62">
        <f>IF($H1836&lt;&gt;"Y",0,(IF($F1836&lt;&gt;"",ROUND(Dashboard!$R$4/$F1836,1),IF(AND($I1836="Base",$E1836="Base"),Dashboard!$R$5,IF(AND($I1836="Base",$E1836="Red"),Dashboard!$R$6,IF(AND($I1836="Base",$E1836="Gold"),Dashboard!$R$7,VLOOKUP($I1836,Dashboard!$Q$16:$R$21,2,FALSE)))))*VLOOKUP($I1836,Dashboard!$Q$9:$R$13,2,FALSE)*IF(AND($I1836="Auto",$F1836="",OR($B1836="Autographs Duals",$B1836="Autographs Triples",$B1836="Autographs Quads",$B1836="Autographs Quads (Inscribed)")),IF($B1836="Autographs Duals",2,IF($B1836="Autographs Triples",3,4)),1)))</f>
        <v>6</v>
      </c>
      <c r="AB1836" s="62">
        <f t="shared" si="375"/>
        <v>6</v>
      </c>
      <c r="AC1836" s="62">
        <f t="shared" si="376"/>
        <v>0</v>
      </c>
    </row>
    <row r="1837" spans="1:29" ht="28.7" customHeight="1" x14ac:dyDescent="0.25">
      <c r="A1837" s="4" t="s">
        <v>23</v>
      </c>
      <c r="B1837" s="7" t="s">
        <v>107</v>
      </c>
      <c r="C1837" s="2" t="s">
        <v>731</v>
      </c>
      <c r="D1837" s="7" t="s">
        <v>537</v>
      </c>
      <c r="E1837" s="4" t="s">
        <v>60</v>
      </c>
      <c r="F1837" s="2"/>
      <c r="G1837" s="2" t="s">
        <v>1399</v>
      </c>
      <c r="H1837" s="2" t="s">
        <v>1400</v>
      </c>
      <c r="I1837" s="4" t="s">
        <v>62</v>
      </c>
      <c r="J1837" s="112">
        <f>IF($H1837&lt;&gt;"Y",0,ROUND(MIN(Dashboard!$R$24,IF(IFERROR(VLOOKUP($B1837,Dashboard!$Q$28:$S$60,2,FALSE),0)&gt;0,IFERROR(VLOOKUP($B1837,Dashboard!$Q$28:$S$60,2,FALSE),0),$Z1837*IF($U1837&lt;&gt;"",ROUND((Dashboard!$R$4/$U1837)*VLOOKUP($I1837,Dashboard!$Q$9:$R$13,2,FALSE)*IF(ISNUMBER(SEARCH("Duals",$B1837)),2,IF(ISNUMBER(SEARCH("Triples",$B1837)),3,IF(ISNUMBER(SEARCH("Quads",$B1837)),4,1))),2),ROUND(VLOOKUP($I1837,Dashboard!$Q$15:$R$20,2,FALSE)*IF($E1837="Red",Dashboard!$R$6,IF($E1837="Gold",Dashboard!$R$7,Dashboard!$R$5))*IF(ISNUMBER(SEARCH("Duals",$B1837)),2,IF(ISNUMBER(SEARCH("Triples",$B1837)),3,IF(ISNUMBER(SEARCH("Quads",$B1837)),4,1))),2))*IF(IFERROR(VLOOKUP($B1837,Dashboard!$Q$28:$S$60,3,FALSE),0)&gt;0,VLOOKUP($B1837,Dashboard!$Q$28:$S$60,3,FALSE),1))),0))</f>
        <v>1</v>
      </c>
      <c r="K1837" s="2" t="str">
        <f>IF('Inserts - Story'!D27="","",'Inserts - Story'!D27)</f>
        <v>h</v>
      </c>
      <c r="L1837" s="2">
        <f t="shared" si="364"/>
        <v>1</v>
      </c>
      <c r="M1837" s="2">
        <f t="shared" si="365"/>
        <v>0</v>
      </c>
      <c r="N1837" s="2">
        <f t="shared" si="366"/>
        <v>1</v>
      </c>
      <c r="O1837" s="2">
        <f t="shared" si="367"/>
        <v>0</v>
      </c>
      <c r="P1837" s="112">
        <f t="shared" si="368"/>
        <v>1</v>
      </c>
      <c r="Q1837" s="112">
        <f t="shared" si="369"/>
        <v>0</v>
      </c>
      <c r="R1837" s="53"/>
      <c r="S1837" s="53" t="str">
        <f t="shared" si="370"/>
        <v>Inserts - Story|Quotes|Q-11|Base</v>
      </c>
      <c r="T1837" s="57">
        <f>IF($S1837="","",IFERROR(VLOOKUP($S1837,'Pop Estimates (Non-#d)'!$N$2:$O$500,2,FALSE),""))</f>
        <v>13680</v>
      </c>
      <c r="U1837" s="57">
        <f t="shared" si="371"/>
        <v>13680</v>
      </c>
      <c r="V1837" s="53" t="str">
        <f t="shared" si="372"/>
        <v/>
      </c>
      <c r="W1837" s="53" t="str">
        <f t="shared" si="373"/>
        <v/>
      </c>
      <c r="X1837" s="53" t="str">
        <f t="shared" si="374"/>
        <v/>
      </c>
      <c r="Y1837" s="57" t="str">
        <f>IF($X1837="","",IFERROR(VLOOKUP($X1837,'Char Popularity'!$A$2:$C$500,2,FALSE),""))</f>
        <v/>
      </c>
      <c r="Z1837" s="56">
        <f>IF($X1837="",1,IFERROR(VLOOKUP($X1837,'Char Popularity'!$A$2:$C$500,3,FALSE),1))</f>
        <v>1</v>
      </c>
      <c r="AA1837" s="62">
        <f>IF($H1837&lt;&gt;"Y",0,(IF($F1837&lt;&gt;"",ROUND(Dashboard!$R$4/$F1837,1),IF(AND($I1837="Base",$E1837="Base"),Dashboard!$R$5,IF(AND($I1837="Base",$E1837="Red"),Dashboard!$R$6,IF(AND($I1837="Base",$E1837="Gold"),Dashboard!$R$7,VLOOKUP($I1837,Dashboard!$Q$16:$R$21,2,FALSE)))))*VLOOKUP($I1837,Dashboard!$Q$9:$R$13,2,FALSE)*IF(AND($I1837="Auto",$F1837="",OR($B1837="Autographs Duals",$B1837="Autographs Triples",$B1837="Autographs Quads",$B1837="Autographs Quads (Inscribed)")),IF($B1837="Autographs Duals",2,IF($B1837="Autographs Triples",3,4)),1)))</f>
        <v>6</v>
      </c>
      <c r="AB1837" s="62">
        <f t="shared" si="375"/>
        <v>6</v>
      </c>
      <c r="AC1837" s="62">
        <f t="shared" si="376"/>
        <v>0</v>
      </c>
    </row>
    <row r="1838" spans="1:29" ht="28.7" customHeight="1" x14ac:dyDescent="0.25">
      <c r="A1838" s="4" t="s">
        <v>23</v>
      </c>
      <c r="B1838" s="7" t="s">
        <v>107</v>
      </c>
      <c r="C1838" s="2" t="s">
        <v>732</v>
      </c>
      <c r="D1838" s="7" t="s">
        <v>343</v>
      </c>
      <c r="E1838" s="4" t="s">
        <v>60</v>
      </c>
      <c r="F1838" s="2"/>
      <c r="G1838" s="2" t="s">
        <v>1399</v>
      </c>
      <c r="H1838" s="2" t="s">
        <v>1400</v>
      </c>
      <c r="I1838" s="4" t="s">
        <v>62</v>
      </c>
      <c r="J1838" s="112">
        <f>IF($H1838&lt;&gt;"Y",0,ROUND(MIN(Dashboard!$R$24,IF(IFERROR(VLOOKUP($B1838,Dashboard!$Q$28:$S$60,2,FALSE),0)&gt;0,IFERROR(VLOOKUP($B1838,Dashboard!$Q$28:$S$60,2,FALSE),0),$Z1838*IF($U1838&lt;&gt;"",ROUND((Dashboard!$R$4/$U1838)*VLOOKUP($I1838,Dashboard!$Q$9:$R$13,2,FALSE)*IF(ISNUMBER(SEARCH("Duals",$B1838)),2,IF(ISNUMBER(SEARCH("Triples",$B1838)),3,IF(ISNUMBER(SEARCH("Quads",$B1838)),4,1))),2),ROUND(VLOOKUP($I1838,Dashboard!$Q$15:$R$20,2,FALSE)*IF($E1838="Red",Dashboard!$R$6,IF($E1838="Gold",Dashboard!$R$7,Dashboard!$R$5))*IF(ISNUMBER(SEARCH("Duals",$B1838)),2,IF(ISNUMBER(SEARCH("Triples",$B1838)),3,IF(ISNUMBER(SEARCH("Quads",$B1838)),4,1))),2))*IF(IFERROR(VLOOKUP($B1838,Dashboard!$Q$28:$S$60,3,FALSE),0)&gt;0,VLOOKUP($B1838,Dashboard!$Q$28:$S$60,3,FALSE),1))),0))</f>
        <v>1</v>
      </c>
      <c r="K1838" s="2" t="str">
        <f>IF('Inserts - Story'!D28="","",'Inserts - Story'!D28)</f>
        <v>h</v>
      </c>
      <c r="L1838" s="2">
        <f t="shared" si="364"/>
        <v>1</v>
      </c>
      <c r="M1838" s="2">
        <f t="shared" si="365"/>
        <v>0</v>
      </c>
      <c r="N1838" s="2">
        <f t="shared" si="366"/>
        <v>1</v>
      </c>
      <c r="O1838" s="2">
        <f t="shared" si="367"/>
        <v>0</v>
      </c>
      <c r="P1838" s="112">
        <f t="shared" si="368"/>
        <v>1</v>
      </c>
      <c r="Q1838" s="112">
        <f t="shared" si="369"/>
        <v>0</v>
      </c>
      <c r="R1838" s="53"/>
      <c r="S1838" s="53" t="str">
        <f t="shared" si="370"/>
        <v>Inserts - Story|Quotes|Q-12|Base</v>
      </c>
      <c r="T1838" s="57">
        <f>IF($S1838="","",IFERROR(VLOOKUP($S1838,'Pop Estimates (Non-#d)'!$N$2:$O$500,2,FALSE),""))</f>
        <v>13680</v>
      </c>
      <c r="U1838" s="57">
        <f t="shared" si="371"/>
        <v>13680</v>
      </c>
      <c r="V1838" s="53" t="str">
        <f t="shared" si="372"/>
        <v/>
      </c>
      <c r="W1838" s="53" t="str">
        <f t="shared" si="373"/>
        <v/>
      </c>
      <c r="X1838" s="53" t="str">
        <f t="shared" si="374"/>
        <v/>
      </c>
      <c r="Y1838" s="57" t="str">
        <f>IF($X1838="","",IFERROR(VLOOKUP($X1838,'Char Popularity'!$A$2:$C$500,2,FALSE),""))</f>
        <v/>
      </c>
      <c r="Z1838" s="56">
        <f>IF($X1838="",1,IFERROR(VLOOKUP($X1838,'Char Popularity'!$A$2:$C$500,3,FALSE),1))</f>
        <v>1</v>
      </c>
      <c r="AA1838" s="62">
        <f>IF($H1838&lt;&gt;"Y",0,(IF($F1838&lt;&gt;"",ROUND(Dashboard!$R$4/$F1838,1),IF(AND($I1838="Base",$E1838="Base"),Dashboard!$R$5,IF(AND($I1838="Base",$E1838="Red"),Dashboard!$R$6,IF(AND($I1838="Base",$E1838="Gold"),Dashboard!$R$7,VLOOKUP($I1838,Dashboard!$Q$16:$R$21,2,FALSE)))))*VLOOKUP($I1838,Dashboard!$Q$9:$R$13,2,FALSE)*IF(AND($I1838="Auto",$F1838="",OR($B1838="Autographs Duals",$B1838="Autographs Triples",$B1838="Autographs Quads",$B1838="Autographs Quads (Inscribed)")),IF($B1838="Autographs Duals",2,IF($B1838="Autographs Triples",3,4)),1)))</f>
        <v>6</v>
      </c>
      <c r="AB1838" s="62">
        <f t="shared" si="375"/>
        <v>6</v>
      </c>
      <c r="AC1838" s="62">
        <f t="shared" si="376"/>
        <v>0</v>
      </c>
    </row>
    <row r="1839" spans="1:29" ht="28.7" customHeight="1" x14ac:dyDescent="0.25">
      <c r="A1839" s="4" t="s">
        <v>23</v>
      </c>
      <c r="B1839" s="7" t="s">
        <v>107</v>
      </c>
      <c r="C1839" s="2" t="s">
        <v>733</v>
      </c>
      <c r="D1839" s="7" t="s">
        <v>441</v>
      </c>
      <c r="E1839" s="4" t="s">
        <v>60</v>
      </c>
      <c r="F1839" s="2"/>
      <c r="G1839" s="2" t="s">
        <v>1399</v>
      </c>
      <c r="H1839" s="2" t="s">
        <v>1400</v>
      </c>
      <c r="I1839" s="4" t="s">
        <v>62</v>
      </c>
      <c r="J1839" s="112">
        <f>IF($H1839&lt;&gt;"Y",0,ROUND(MIN(Dashboard!$R$24,IF(IFERROR(VLOOKUP($B1839,Dashboard!$Q$28:$S$60,2,FALSE),0)&gt;0,IFERROR(VLOOKUP($B1839,Dashboard!$Q$28:$S$60,2,FALSE),0),$Z1839*IF($U1839&lt;&gt;"",ROUND((Dashboard!$R$4/$U1839)*VLOOKUP($I1839,Dashboard!$Q$9:$R$13,2,FALSE)*IF(ISNUMBER(SEARCH("Duals",$B1839)),2,IF(ISNUMBER(SEARCH("Triples",$B1839)),3,IF(ISNUMBER(SEARCH("Quads",$B1839)),4,1))),2),ROUND(VLOOKUP($I1839,Dashboard!$Q$15:$R$20,2,FALSE)*IF($E1839="Red",Dashboard!$R$6,IF($E1839="Gold",Dashboard!$R$7,Dashboard!$R$5))*IF(ISNUMBER(SEARCH("Duals",$B1839)),2,IF(ISNUMBER(SEARCH("Triples",$B1839)),3,IF(ISNUMBER(SEARCH("Quads",$B1839)),4,1))),2))*IF(IFERROR(VLOOKUP($B1839,Dashboard!$Q$28:$S$60,3,FALSE),0)&gt;0,VLOOKUP($B1839,Dashboard!$Q$28:$S$60,3,FALSE),1))),0))</f>
        <v>1</v>
      </c>
      <c r="K1839" s="2" t="str">
        <f>IF('Inserts - Story'!D29="","",'Inserts - Story'!D29)</f>
        <v>h</v>
      </c>
      <c r="L1839" s="2">
        <f t="shared" si="364"/>
        <v>1</v>
      </c>
      <c r="M1839" s="2">
        <f t="shared" si="365"/>
        <v>0</v>
      </c>
      <c r="N1839" s="2">
        <f t="shared" si="366"/>
        <v>1</v>
      </c>
      <c r="O1839" s="2">
        <f t="shared" si="367"/>
        <v>0</v>
      </c>
      <c r="P1839" s="112">
        <f t="shared" si="368"/>
        <v>1</v>
      </c>
      <c r="Q1839" s="112">
        <f t="shared" si="369"/>
        <v>0</v>
      </c>
      <c r="R1839" s="53"/>
      <c r="S1839" s="53" t="str">
        <f t="shared" si="370"/>
        <v>Inserts - Story|Quotes|Q-13|Base</v>
      </c>
      <c r="T1839" s="57">
        <f>IF($S1839="","",IFERROR(VLOOKUP($S1839,'Pop Estimates (Non-#d)'!$N$2:$O$500,2,FALSE),""))</f>
        <v>13680</v>
      </c>
      <c r="U1839" s="57">
        <f t="shared" si="371"/>
        <v>13680</v>
      </c>
      <c r="V1839" s="53" t="str">
        <f t="shared" si="372"/>
        <v/>
      </c>
      <c r="W1839" s="53" t="str">
        <f t="shared" si="373"/>
        <v/>
      </c>
      <c r="X1839" s="53" t="str">
        <f t="shared" si="374"/>
        <v/>
      </c>
      <c r="Y1839" s="57" t="str">
        <f>IF($X1839="","",IFERROR(VLOOKUP($X1839,'Char Popularity'!$A$2:$C$500,2,FALSE),""))</f>
        <v/>
      </c>
      <c r="Z1839" s="56">
        <f>IF($X1839="",1,IFERROR(VLOOKUP($X1839,'Char Popularity'!$A$2:$C$500,3,FALSE),1))</f>
        <v>1</v>
      </c>
      <c r="AA1839" s="62">
        <f>IF($H1839&lt;&gt;"Y",0,(IF($F1839&lt;&gt;"",ROUND(Dashboard!$R$4/$F1839,1),IF(AND($I1839="Base",$E1839="Base"),Dashboard!$R$5,IF(AND($I1839="Base",$E1839="Red"),Dashboard!$R$6,IF(AND($I1839="Base",$E1839="Gold"),Dashboard!$R$7,VLOOKUP($I1839,Dashboard!$Q$16:$R$21,2,FALSE)))))*VLOOKUP($I1839,Dashboard!$Q$9:$R$13,2,FALSE)*IF(AND($I1839="Auto",$F1839="",OR($B1839="Autographs Duals",$B1839="Autographs Triples",$B1839="Autographs Quads",$B1839="Autographs Quads (Inscribed)")),IF($B1839="Autographs Duals",2,IF($B1839="Autographs Triples",3,4)),1)))</f>
        <v>6</v>
      </c>
      <c r="AB1839" s="62">
        <f t="shared" si="375"/>
        <v>6</v>
      </c>
      <c r="AC1839" s="62">
        <f t="shared" si="376"/>
        <v>0</v>
      </c>
    </row>
    <row r="1840" spans="1:29" ht="28.7" customHeight="1" x14ac:dyDescent="0.25">
      <c r="A1840" s="4" t="s">
        <v>23</v>
      </c>
      <c r="B1840" s="7" t="s">
        <v>107</v>
      </c>
      <c r="C1840" s="2" t="s">
        <v>734</v>
      </c>
      <c r="D1840" s="7" t="s">
        <v>387</v>
      </c>
      <c r="E1840" s="4" t="s">
        <v>60</v>
      </c>
      <c r="F1840" s="2"/>
      <c r="G1840" s="2" t="s">
        <v>1399</v>
      </c>
      <c r="H1840" s="2" t="s">
        <v>1400</v>
      </c>
      <c r="I1840" s="4" t="s">
        <v>62</v>
      </c>
      <c r="J1840" s="112">
        <f>IF($H1840&lt;&gt;"Y",0,ROUND(MIN(Dashboard!$R$24,IF(IFERROR(VLOOKUP($B1840,Dashboard!$Q$28:$S$60,2,FALSE),0)&gt;0,IFERROR(VLOOKUP($B1840,Dashboard!$Q$28:$S$60,2,FALSE),0),$Z1840*IF($U1840&lt;&gt;"",ROUND((Dashboard!$R$4/$U1840)*VLOOKUP($I1840,Dashboard!$Q$9:$R$13,2,FALSE)*IF(ISNUMBER(SEARCH("Duals",$B1840)),2,IF(ISNUMBER(SEARCH("Triples",$B1840)),3,IF(ISNUMBER(SEARCH("Quads",$B1840)),4,1))),2),ROUND(VLOOKUP($I1840,Dashboard!$Q$15:$R$20,2,FALSE)*IF($E1840="Red",Dashboard!$R$6,IF($E1840="Gold",Dashboard!$R$7,Dashboard!$R$5))*IF(ISNUMBER(SEARCH("Duals",$B1840)),2,IF(ISNUMBER(SEARCH("Triples",$B1840)),3,IF(ISNUMBER(SEARCH("Quads",$B1840)),4,1))),2))*IF(IFERROR(VLOOKUP($B1840,Dashboard!$Q$28:$S$60,3,FALSE),0)&gt;0,VLOOKUP($B1840,Dashboard!$Q$28:$S$60,3,FALSE),1))),0))</f>
        <v>1</v>
      </c>
      <c r="K1840" s="2" t="str">
        <f>IF('Inserts - Story'!D30="","",'Inserts - Story'!D30)</f>
        <v>h</v>
      </c>
      <c r="L1840" s="2">
        <f t="shared" si="364"/>
        <v>1</v>
      </c>
      <c r="M1840" s="2">
        <f t="shared" si="365"/>
        <v>0</v>
      </c>
      <c r="N1840" s="2">
        <f t="shared" si="366"/>
        <v>1</v>
      </c>
      <c r="O1840" s="2">
        <f t="shared" si="367"/>
        <v>0</v>
      </c>
      <c r="P1840" s="112">
        <f t="shared" si="368"/>
        <v>1</v>
      </c>
      <c r="Q1840" s="112">
        <f t="shared" si="369"/>
        <v>0</v>
      </c>
      <c r="R1840" s="53"/>
      <c r="S1840" s="53" t="str">
        <f t="shared" si="370"/>
        <v>Inserts - Story|Quotes|Q-14|Base</v>
      </c>
      <c r="T1840" s="57">
        <f>IF($S1840="","",IFERROR(VLOOKUP($S1840,'Pop Estimates (Non-#d)'!$N$2:$O$500,2,FALSE),""))</f>
        <v>13680</v>
      </c>
      <c r="U1840" s="57">
        <f t="shared" si="371"/>
        <v>13680</v>
      </c>
      <c r="V1840" s="53" t="str">
        <f t="shared" si="372"/>
        <v/>
      </c>
      <c r="W1840" s="53" t="str">
        <f t="shared" si="373"/>
        <v/>
      </c>
      <c r="X1840" s="53" t="str">
        <f t="shared" si="374"/>
        <v/>
      </c>
      <c r="Y1840" s="57" t="str">
        <f>IF($X1840="","",IFERROR(VLOOKUP($X1840,'Char Popularity'!$A$2:$C$500,2,FALSE),""))</f>
        <v/>
      </c>
      <c r="Z1840" s="56">
        <f>IF($X1840="",1,IFERROR(VLOOKUP($X1840,'Char Popularity'!$A$2:$C$500,3,FALSE),1))</f>
        <v>1</v>
      </c>
      <c r="AA1840" s="62">
        <f>IF($H1840&lt;&gt;"Y",0,(IF($F1840&lt;&gt;"",ROUND(Dashboard!$R$4/$F1840,1),IF(AND($I1840="Base",$E1840="Base"),Dashboard!$R$5,IF(AND($I1840="Base",$E1840="Red"),Dashboard!$R$6,IF(AND($I1840="Base",$E1840="Gold"),Dashboard!$R$7,VLOOKUP($I1840,Dashboard!$Q$16:$R$21,2,FALSE)))))*VLOOKUP($I1840,Dashboard!$Q$9:$R$13,2,FALSE)*IF(AND($I1840="Auto",$F1840="",OR($B1840="Autographs Duals",$B1840="Autographs Triples",$B1840="Autographs Quads",$B1840="Autographs Quads (Inscribed)")),IF($B1840="Autographs Duals",2,IF($B1840="Autographs Triples",3,4)),1)))</f>
        <v>6</v>
      </c>
      <c r="AB1840" s="62">
        <f t="shared" si="375"/>
        <v>6</v>
      </c>
      <c r="AC1840" s="62">
        <f t="shared" si="376"/>
        <v>0</v>
      </c>
    </row>
    <row r="1841" spans="1:29" ht="28.7" customHeight="1" x14ac:dyDescent="0.25">
      <c r="A1841" s="4" t="s">
        <v>23</v>
      </c>
      <c r="B1841" s="7" t="s">
        <v>107</v>
      </c>
      <c r="C1841" s="2" t="s">
        <v>735</v>
      </c>
      <c r="D1841" s="7" t="s">
        <v>339</v>
      </c>
      <c r="E1841" s="4" t="s">
        <v>60</v>
      </c>
      <c r="F1841" s="2"/>
      <c r="G1841" s="2" t="s">
        <v>1399</v>
      </c>
      <c r="H1841" s="2" t="s">
        <v>1400</v>
      </c>
      <c r="I1841" s="4" t="s">
        <v>62</v>
      </c>
      <c r="J1841" s="112">
        <f>IF($H1841&lt;&gt;"Y",0,ROUND(MIN(Dashboard!$R$24,IF(IFERROR(VLOOKUP($B1841,Dashboard!$Q$28:$S$60,2,FALSE),0)&gt;0,IFERROR(VLOOKUP($B1841,Dashboard!$Q$28:$S$60,2,FALSE),0),$Z1841*IF($U1841&lt;&gt;"",ROUND((Dashboard!$R$4/$U1841)*VLOOKUP($I1841,Dashboard!$Q$9:$R$13,2,FALSE)*IF(ISNUMBER(SEARCH("Duals",$B1841)),2,IF(ISNUMBER(SEARCH("Triples",$B1841)),3,IF(ISNUMBER(SEARCH("Quads",$B1841)),4,1))),2),ROUND(VLOOKUP($I1841,Dashboard!$Q$15:$R$20,2,FALSE)*IF($E1841="Red",Dashboard!$R$6,IF($E1841="Gold",Dashboard!$R$7,Dashboard!$R$5))*IF(ISNUMBER(SEARCH("Duals",$B1841)),2,IF(ISNUMBER(SEARCH("Triples",$B1841)),3,IF(ISNUMBER(SEARCH("Quads",$B1841)),4,1))),2))*IF(IFERROR(VLOOKUP($B1841,Dashboard!$Q$28:$S$60,3,FALSE),0)&gt;0,VLOOKUP($B1841,Dashboard!$Q$28:$S$60,3,FALSE),1))),0))</f>
        <v>1</v>
      </c>
      <c r="K1841" s="2" t="str">
        <f>IF('Inserts - Story'!D31="","",'Inserts - Story'!D31)</f>
        <v>h</v>
      </c>
      <c r="L1841" s="2">
        <f t="shared" si="364"/>
        <v>1</v>
      </c>
      <c r="M1841" s="2">
        <f t="shared" si="365"/>
        <v>0</v>
      </c>
      <c r="N1841" s="2">
        <f t="shared" si="366"/>
        <v>1</v>
      </c>
      <c r="O1841" s="2">
        <f t="shared" si="367"/>
        <v>0</v>
      </c>
      <c r="P1841" s="112">
        <f t="shared" si="368"/>
        <v>1</v>
      </c>
      <c r="Q1841" s="112">
        <f t="shared" si="369"/>
        <v>0</v>
      </c>
      <c r="R1841" s="53"/>
      <c r="S1841" s="53" t="str">
        <f t="shared" si="370"/>
        <v>Inserts - Story|Quotes|Q-15|Base</v>
      </c>
      <c r="T1841" s="57">
        <f>IF($S1841="","",IFERROR(VLOOKUP($S1841,'Pop Estimates (Non-#d)'!$N$2:$O$500,2,FALSE),""))</f>
        <v>13680</v>
      </c>
      <c r="U1841" s="57">
        <f t="shared" si="371"/>
        <v>13680</v>
      </c>
      <c r="V1841" s="53" t="str">
        <f t="shared" si="372"/>
        <v/>
      </c>
      <c r="W1841" s="53" t="str">
        <f t="shared" si="373"/>
        <v/>
      </c>
      <c r="X1841" s="53" t="str">
        <f t="shared" si="374"/>
        <v/>
      </c>
      <c r="Y1841" s="57" t="str">
        <f>IF($X1841="","",IFERROR(VLOOKUP($X1841,'Char Popularity'!$A$2:$C$500,2,FALSE),""))</f>
        <v/>
      </c>
      <c r="Z1841" s="56">
        <f>IF($X1841="",1,IFERROR(VLOOKUP($X1841,'Char Popularity'!$A$2:$C$500,3,FALSE),1))</f>
        <v>1</v>
      </c>
      <c r="AA1841" s="62">
        <f>IF($H1841&lt;&gt;"Y",0,(IF($F1841&lt;&gt;"",ROUND(Dashboard!$R$4/$F1841,1),IF(AND($I1841="Base",$E1841="Base"),Dashboard!$R$5,IF(AND($I1841="Base",$E1841="Red"),Dashboard!$R$6,IF(AND($I1841="Base",$E1841="Gold"),Dashboard!$R$7,VLOOKUP($I1841,Dashboard!$Q$16:$R$21,2,FALSE)))))*VLOOKUP($I1841,Dashboard!$Q$9:$R$13,2,FALSE)*IF(AND($I1841="Auto",$F1841="",OR($B1841="Autographs Duals",$B1841="Autographs Triples",$B1841="Autographs Quads",$B1841="Autographs Quads (Inscribed)")),IF($B1841="Autographs Duals",2,IF($B1841="Autographs Triples",3,4)),1)))</f>
        <v>6</v>
      </c>
      <c r="AB1841" s="62">
        <f t="shared" si="375"/>
        <v>6</v>
      </c>
      <c r="AC1841" s="62">
        <f t="shared" si="376"/>
        <v>0</v>
      </c>
    </row>
    <row r="1842" spans="1:29" ht="28.7" customHeight="1" x14ac:dyDescent="0.25">
      <c r="A1842" s="4" t="s">
        <v>23</v>
      </c>
      <c r="B1842" s="7" t="s">
        <v>108</v>
      </c>
      <c r="C1842" s="2" t="s">
        <v>729</v>
      </c>
      <c r="D1842" s="7" t="s">
        <v>337</v>
      </c>
      <c r="E1842" s="4" t="s">
        <v>1602</v>
      </c>
      <c r="F1842" s="2">
        <v>7</v>
      </c>
      <c r="G1842" s="2" t="s">
        <v>1399</v>
      </c>
      <c r="H1842" s="2" t="s">
        <v>1400</v>
      </c>
      <c r="I1842" s="4" t="s">
        <v>62</v>
      </c>
      <c r="J1842" s="112">
        <f>IF($H1842&lt;&gt;"Y",0,ROUND(MIN(Dashboard!$R$24,IF(IFERROR(VLOOKUP($B1842,Dashboard!$Q$28:$S$60,2,FALSE),0)&gt;0,IFERROR(VLOOKUP($B1842,Dashboard!$Q$28:$S$60,2,FALSE),0),$Z1842*IF($U1842&lt;&gt;"",ROUND((Dashboard!$R$4/$U1842)*VLOOKUP($I1842,Dashboard!$Q$9:$R$13,2,FALSE)*IF(ISNUMBER(SEARCH("Duals",$B1842)),2,IF(ISNUMBER(SEARCH("Triples",$B1842)),3,IF(ISNUMBER(SEARCH("Quads",$B1842)),4,1))),2),ROUND(VLOOKUP($I1842,Dashboard!$Q$15:$R$20,2,FALSE)*IF($E1842="Red",Dashboard!$R$6,IF($E1842="Gold",Dashboard!$R$7,Dashboard!$R$5))*IF(ISNUMBER(SEARCH("Duals",$B1842)),2,IF(ISNUMBER(SEARCH("Triples",$B1842)),3,IF(ISNUMBER(SEARCH("Quads",$B1842)),4,1))),2))*IF(IFERROR(VLOOKUP($B1842,Dashboard!$Q$28:$S$60,3,FALSE),0)&gt;0,VLOOKUP($B1842,Dashboard!$Q$28:$S$60,3,FALSE),1))),0))</f>
        <v>134</v>
      </c>
      <c r="K1842" s="2" t="str">
        <f>IF('Inserts - Story'!E17="","",'Inserts - Story'!E17)</f>
        <v/>
      </c>
      <c r="L1842" s="2">
        <f t="shared" si="364"/>
        <v>0</v>
      </c>
      <c r="M1842" s="2">
        <f t="shared" si="365"/>
        <v>0</v>
      </c>
      <c r="N1842" s="2">
        <f t="shared" si="366"/>
        <v>0</v>
      </c>
      <c r="O1842" s="2">
        <f t="shared" si="367"/>
        <v>1</v>
      </c>
      <c r="P1842" s="112">
        <f t="shared" si="368"/>
        <v>0</v>
      </c>
      <c r="Q1842" s="112">
        <f t="shared" si="369"/>
        <v>0</v>
      </c>
      <c r="R1842" s="53"/>
      <c r="S1842" s="53" t="str">
        <f t="shared" si="370"/>
        <v>Inserts - Story|Quotes Gold Parallel|Q-1|Gold</v>
      </c>
      <c r="T1842" s="57" t="str">
        <f>IF($S1842="","",IFERROR(VLOOKUP($S1842,'Pop Estimates (Non-#d)'!$N$2:$O$500,2,FALSE),""))</f>
        <v/>
      </c>
      <c r="U1842" s="57">
        <f t="shared" si="371"/>
        <v>7</v>
      </c>
      <c r="V1842" s="53" t="str">
        <f t="shared" si="372"/>
        <v/>
      </c>
      <c r="W1842" s="53" t="str">
        <f t="shared" si="373"/>
        <v/>
      </c>
      <c r="X1842" s="53" t="str">
        <f t="shared" si="374"/>
        <v/>
      </c>
      <c r="Y1842" s="57" t="str">
        <f>IF($X1842="","",IFERROR(VLOOKUP($X1842,'Char Popularity'!$A$2:$C$500,2,FALSE),""))</f>
        <v/>
      </c>
      <c r="Z1842" s="56">
        <f>IF($X1842="",1,IFERROR(VLOOKUP($X1842,'Char Popularity'!$A$2:$C$500,3,FALSE),1))</f>
        <v>1</v>
      </c>
      <c r="AA1842" s="62">
        <f>IF($H1842&lt;&gt;"Y",0,(IF($F1842&lt;&gt;"",ROUND(Dashboard!$R$4/$F1842,1),IF(AND($I1842="Base",$E1842="Base"),Dashboard!$R$5,IF(AND($I1842="Base",$E1842="Red"),Dashboard!$R$6,IF(AND($I1842="Base",$E1842="Gold"),Dashboard!$R$7,VLOOKUP($I1842,Dashboard!$Q$16:$R$21,2,FALSE)))))*VLOOKUP($I1842,Dashboard!$Q$9:$R$13,2,FALSE)*IF(AND($I1842="Auto",$F1842="",OR($B1842="Autographs Duals",$B1842="Autographs Triples",$B1842="Autographs Quads",$B1842="Autographs Quads (Inscribed)")),IF($B1842="Autographs Duals",2,IF($B1842="Autographs Triples",3,4)),1)))</f>
        <v>171.48</v>
      </c>
      <c r="AB1842" s="62">
        <f t="shared" si="375"/>
        <v>0</v>
      </c>
      <c r="AC1842" s="62">
        <f t="shared" si="376"/>
        <v>0</v>
      </c>
    </row>
    <row r="1843" spans="1:29" ht="28.7" customHeight="1" x14ac:dyDescent="0.25">
      <c r="A1843" s="4" t="s">
        <v>23</v>
      </c>
      <c r="B1843" s="7" t="s">
        <v>108</v>
      </c>
      <c r="C1843" s="2" t="s">
        <v>736</v>
      </c>
      <c r="D1843" s="7" t="s">
        <v>341</v>
      </c>
      <c r="E1843" s="4" t="s">
        <v>1602</v>
      </c>
      <c r="F1843" s="2">
        <v>7</v>
      </c>
      <c r="G1843" s="2" t="s">
        <v>1399</v>
      </c>
      <c r="H1843" s="2" t="s">
        <v>1400</v>
      </c>
      <c r="I1843" s="4" t="s">
        <v>62</v>
      </c>
      <c r="J1843" s="112">
        <f>IF($H1843&lt;&gt;"Y",0,ROUND(MIN(Dashboard!$R$24,IF(IFERROR(VLOOKUP($B1843,Dashboard!$Q$28:$S$60,2,FALSE),0)&gt;0,IFERROR(VLOOKUP($B1843,Dashboard!$Q$28:$S$60,2,FALSE),0),$Z1843*IF($U1843&lt;&gt;"",ROUND((Dashboard!$R$4/$U1843)*VLOOKUP($I1843,Dashboard!$Q$9:$R$13,2,FALSE)*IF(ISNUMBER(SEARCH("Duals",$B1843)),2,IF(ISNUMBER(SEARCH("Triples",$B1843)),3,IF(ISNUMBER(SEARCH("Quads",$B1843)),4,1))),2),ROUND(VLOOKUP($I1843,Dashboard!$Q$15:$R$20,2,FALSE)*IF($E1843="Red",Dashboard!$R$6,IF($E1843="Gold",Dashboard!$R$7,Dashboard!$R$5))*IF(ISNUMBER(SEARCH("Duals",$B1843)),2,IF(ISNUMBER(SEARCH("Triples",$B1843)),3,IF(ISNUMBER(SEARCH("Quads",$B1843)),4,1))),2))*IF(IFERROR(VLOOKUP($B1843,Dashboard!$Q$28:$S$60,3,FALSE),0)&gt;0,VLOOKUP($B1843,Dashboard!$Q$28:$S$60,3,FALSE),1))),0))</f>
        <v>134</v>
      </c>
      <c r="K1843" s="2" t="str">
        <f>IF('Inserts - Story'!E18="","",'Inserts - Story'!E18)</f>
        <v/>
      </c>
      <c r="L1843" s="2">
        <f t="shared" si="364"/>
        <v>0</v>
      </c>
      <c r="M1843" s="2">
        <f t="shared" si="365"/>
        <v>0</v>
      </c>
      <c r="N1843" s="2">
        <f t="shared" si="366"/>
        <v>0</v>
      </c>
      <c r="O1843" s="2">
        <f t="shared" si="367"/>
        <v>1</v>
      </c>
      <c r="P1843" s="112">
        <f t="shared" si="368"/>
        <v>0</v>
      </c>
      <c r="Q1843" s="112">
        <f t="shared" si="369"/>
        <v>0</v>
      </c>
      <c r="R1843" s="53"/>
      <c r="S1843" s="53" t="str">
        <f t="shared" si="370"/>
        <v>Inserts - Story|Quotes Gold Parallel|Q-2|Gold</v>
      </c>
      <c r="T1843" s="57" t="str">
        <f>IF($S1843="","",IFERROR(VLOOKUP($S1843,'Pop Estimates (Non-#d)'!$N$2:$O$500,2,FALSE),""))</f>
        <v/>
      </c>
      <c r="U1843" s="57">
        <f t="shared" si="371"/>
        <v>7</v>
      </c>
      <c r="V1843" s="53" t="str">
        <f t="shared" si="372"/>
        <v/>
      </c>
      <c r="W1843" s="53" t="str">
        <f t="shared" si="373"/>
        <v/>
      </c>
      <c r="X1843" s="53" t="str">
        <f t="shared" si="374"/>
        <v/>
      </c>
      <c r="Y1843" s="57" t="str">
        <f>IF($X1843="","",IFERROR(VLOOKUP($X1843,'Char Popularity'!$A$2:$C$500,2,FALSE),""))</f>
        <v/>
      </c>
      <c r="Z1843" s="56">
        <f>IF($X1843="",1,IFERROR(VLOOKUP($X1843,'Char Popularity'!$A$2:$C$500,3,FALSE),1))</f>
        <v>1</v>
      </c>
      <c r="AA1843" s="62">
        <f>IF($H1843&lt;&gt;"Y",0,(IF($F1843&lt;&gt;"",ROUND(Dashboard!$R$4/$F1843,1),IF(AND($I1843="Base",$E1843="Base"),Dashboard!$R$5,IF(AND($I1843="Base",$E1843="Red"),Dashboard!$R$6,IF(AND($I1843="Base",$E1843="Gold"),Dashboard!$R$7,VLOOKUP($I1843,Dashboard!$Q$16:$R$21,2,FALSE)))))*VLOOKUP($I1843,Dashboard!$Q$9:$R$13,2,FALSE)*IF(AND($I1843="Auto",$F1843="",OR($B1843="Autographs Duals",$B1843="Autographs Triples",$B1843="Autographs Quads",$B1843="Autographs Quads (Inscribed)")),IF($B1843="Autographs Duals",2,IF($B1843="Autographs Triples",3,4)),1)))</f>
        <v>171.48</v>
      </c>
      <c r="AB1843" s="62">
        <f t="shared" si="375"/>
        <v>0</v>
      </c>
      <c r="AC1843" s="62">
        <f t="shared" si="376"/>
        <v>0</v>
      </c>
    </row>
    <row r="1844" spans="1:29" ht="28.7" customHeight="1" x14ac:dyDescent="0.25">
      <c r="A1844" s="4" t="s">
        <v>23</v>
      </c>
      <c r="B1844" s="7" t="s">
        <v>108</v>
      </c>
      <c r="C1844" s="2" t="s">
        <v>737</v>
      </c>
      <c r="D1844" s="7" t="s">
        <v>384</v>
      </c>
      <c r="E1844" s="4" t="s">
        <v>1602</v>
      </c>
      <c r="F1844" s="2">
        <v>7</v>
      </c>
      <c r="G1844" s="2" t="s">
        <v>1399</v>
      </c>
      <c r="H1844" s="2" t="s">
        <v>1400</v>
      </c>
      <c r="I1844" s="4" t="s">
        <v>62</v>
      </c>
      <c r="J1844" s="112">
        <f>IF($H1844&lt;&gt;"Y",0,ROUND(MIN(Dashboard!$R$24,IF(IFERROR(VLOOKUP($B1844,Dashboard!$Q$28:$S$60,2,FALSE),0)&gt;0,IFERROR(VLOOKUP($B1844,Dashboard!$Q$28:$S$60,2,FALSE),0),$Z1844*IF($U1844&lt;&gt;"",ROUND((Dashboard!$R$4/$U1844)*VLOOKUP($I1844,Dashboard!$Q$9:$R$13,2,FALSE)*IF(ISNUMBER(SEARCH("Duals",$B1844)),2,IF(ISNUMBER(SEARCH("Triples",$B1844)),3,IF(ISNUMBER(SEARCH("Quads",$B1844)),4,1))),2),ROUND(VLOOKUP($I1844,Dashboard!$Q$15:$R$20,2,FALSE)*IF($E1844="Red",Dashboard!$R$6,IF($E1844="Gold",Dashboard!$R$7,Dashboard!$R$5))*IF(ISNUMBER(SEARCH("Duals",$B1844)),2,IF(ISNUMBER(SEARCH("Triples",$B1844)),3,IF(ISNUMBER(SEARCH("Quads",$B1844)),4,1))),2))*IF(IFERROR(VLOOKUP($B1844,Dashboard!$Q$28:$S$60,3,FALSE),0)&gt;0,VLOOKUP($B1844,Dashboard!$Q$28:$S$60,3,FALSE),1))),0))</f>
        <v>134</v>
      </c>
      <c r="K1844" s="2" t="str">
        <f>IF('Inserts - Story'!E19="","",'Inserts - Story'!E19)</f>
        <v/>
      </c>
      <c r="L1844" s="2">
        <f t="shared" si="364"/>
        <v>0</v>
      </c>
      <c r="M1844" s="2">
        <f t="shared" si="365"/>
        <v>0</v>
      </c>
      <c r="N1844" s="2">
        <f t="shared" si="366"/>
        <v>0</v>
      </c>
      <c r="O1844" s="2">
        <f t="shared" si="367"/>
        <v>1</v>
      </c>
      <c r="P1844" s="112">
        <f t="shared" si="368"/>
        <v>0</v>
      </c>
      <c r="Q1844" s="112">
        <f t="shared" si="369"/>
        <v>0</v>
      </c>
      <c r="R1844" s="53"/>
      <c r="S1844" s="53" t="str">
        <f t="shared" si="370"/>
        <v>Inserts - Story|Quotes Gold Parallel|Q-3|Gold</v>
      </c>
      <c r="T1844" s="57" t="str">
        <f>IF($S1844="","",IFERROR(VLOOKUP($S1844,'Pop Estimates (Non-#d)'!$N$2:$O$500,2,FALSE),""))</f>
        <v/>
      </c>
      <c r="U1844" s="57">
        <f t="shared" si="371"/>
        <v>7</v>
      </c>
      <c r="V1844" s="53" t="str">
        <f t="shared" si="372"/>
        <v/>
      </c>
      <c r="W1844" s="53" t="str">
        <f t="shared" si="373"/>
        <v/>
      </c>
      <c r="X1844" s="53" t="str">
        <f t="shared" si="374"/>
        <v/>
      </c>
      <c r="Y1844" s="57" t="str">
        <f>IF($X1844="","",IFERROR(VLOOKUP($X1844,'Char Popularity'!$A$2:$C$500,2,FALSE),""))</f>
        <v/>
      </c>
      <c r="Z1844" s="56">
        <f>IF($X1844="",1,IFERROR(VLOOKUP($X1844,'Char Popularity'!$A$2:$C$500,3,FALSE),1))</f>
        <v>1</v>
      </c>
      <c r="AA1844" s="62">
        <f>IF($H1844&lt;&gt;"Y",0,(IF($F1844&lt;&gt;"",ROUND(Dashboard!$R$4/$F1844,1),IF(AND($I1844="Base",$E1844="Base"),Dashboard!$R$5,IF(AND($I1844="Base",$E1844="Red"),Dashboard!$R$6,IF(AND($I1844="Base",$E1844="Gold"),Dashboard!$R$7,VLOOKUP($I1844,Dashboard!$Q$16:$R$21,2,FALSE)))))*VLOOKUP($I1844,Dashboard!$Q$9:$R$13,2,FALSE)*IF(AND($I1844="Auto",$F1844="",OR($B1844="Autographs Duals",$B1844="Autographs Triples",$B1844="Autographs Quads",$B1844="Autographs Quads (Inscribed)")),IF($B1844="Autographs Duals",2,IF($B1844="Autographs Triples",3,4)),1)))</f>
        <v>171.48</v>
      </c>
      <c r="AB1844" s="62">
        <f t="shared" si="375"/>
        <v>0</v>
      </c>
      <c r="AC1844" s="62">
        <f t="shared" si="376"/>
        <v>0</v>
      </c>
    </row>
    <row r="1845" spans="1:29" ht="28.7" customHeight="1" x14ac:dyDescent="0.25">
      <c r="A1845" s="4" t="s">
        <v>23</v>
      </c>
      <c r="B1845" s="7" t="s">
        <v>108</v>
      </c>
      <c r="C1845" s="2" t="s">
        <v>738</v>
      </c>
      <c r="D1845" s="7" t="s">
        <v>391</v>
      </c>
      <c r="E1845" s="4" t="s">
        <v>1602</v>
      </c>
      <c r="F1845" s="2">
        <v>7</v>
      </c>
      <c r="G1845" s="2" t="s">
        <v>1399</v>
      </c>
      <c r="H1845" s="2" t="s">
        <v>1400</v>
      </c>
      <c r="I1845" s="4" t="s">
        <v>62</v>
      </c>
      <c r="J1845" s="112">
        <f>IF($H1845&lt;&gt;"Y",0,ROUND(MIN(Dashboard!$R$24,IF(IFERROR(VLOOKUP($B1845,Dashboard!$Q$28:$S$60,2,FALSE),0)&gt;0,IFERROR(VLOOKUP($B1845,Dashboard!$Q$28:$S$60,2,FALSE),0),$Z1845*IF($U1845&lt;&gt;"",ROUND((Dashboard!$R$4/$U1845)*VLOOKUP($I1845,Dashboard!$Q$9:$R$13,2,FALSE)*IF(ISNUMBER(SEARCH("Duals",$B1845)),2,IF(ISNUMBER(SEARCH("Triples",$B1845)),3,IF(ISNUMBER(SEARCH("Quads",$B1845)),4,1))),2),ROUND(VLOOKUP($I1845,Dashboard!$Q$15:$R$20,2,FALSE)*IF($E1845="Red",Dashboard!$R$6,IF($E1845="Gold",Dashboard!$R$7,Dashboard!$R$5))*IF(ISNUMBER(SEARCH("Duals",$B1845)),2,IF(ISNUMBER(SEARCH("Triples",$B1845)),3,IF(ISNUMBER(SEARCH("Quads",$B1845)),4,1))),2))*IF(IFERROR(VLOOKUP($B1845,Dashboard!$Q$28:$S$60,3,FALSE),0)&gt;0,VLOOKUP($B1845,Dashboard!$Q$28:$S$60,3,FALSE),1))),0))</f>
        <v>134</v>
      </c>
      <c r="K1845" s="2" t="str">
        <f>IF('Inserts - Story'!E20="","",'Inserts - Story'!E20)</f>
        <v/>
      </c>
      <c r="L1845" s="2">
        <f t="shared" si="364"/>
        <v>0</v>
      </c>
      <c r="M1845" s="2">
        <f t="shared" si="365"/>
        <v>0</v>
      </c>
      <c r="N1845" s="2">
        <f t="shared" si="366"/>
        <v>0</v>
      </c>
      <c r="O1845" s="2">
        <f t="shared" si="367"/>
        <v>1</v>
      </c>
      <c r="P1845" s="112">
        <f t="shared" si="368"/>
        <v>0</v>
      </c>
      <c r="Q1845" s="112">
        <f t="shared" si="369"/>
        <v>0</v>
      </c>
      <c r="R1845" s="53"/>
      <c r="S1845" s="53" t="str">
        <f t="shared" si="370"/>
        <v>Inserts - Story|Quotes Gold Parallel|Q-4|Gold</v>
      </c>
      <c r="T1845" s="57" t="str">
        <f>IF($S1845="","",IFERROR(VLOOKUP($S1845,'Pop Estimates (Non-#d)'!$N$2:$O$500,2,FALSE),""))</f>
        <v/>
      </c>
      <c r="U1845" s="57">
        <f t="shared" si="371"/>
        <v>7</v>
      </c>
      <c r="V1845" s="53" t="str">
        <f t="shared" si="372"/>
        <v/>
      </c>
      <c r="W1845" s="53" t="str">
        <f t="shared" si="373"/>
        <v/>
      </c>
      <c r="X1845" s="53" t="str">
        <f t="shared" si="374"/>
        <v/>
      </c>
      <c r="Y1845" s="57" t="str">
        <f>IF($X1845="","",IFERROR(VLOOKUP($X1845,'Char Popularity'!$A$2:$C$500,2,FALSE),""))</f>
        <v/>
      </c>
      <c r="Z1845" s="56">
        <f>IF($X1845="",1,IFERROR(VLOOKUP($X1845,'Char Popularity'!$A$2:$C$500,3,FALSE),1))</f>
        <v>1</v>
      </c>
      <c r="AA1845" s="62">
        <f>IF($H1845&lt;&gt;"Y",0,(IF($F1845&lt;&gt;"",ROUND(Dashboard!$R$4/$F1845,1),IF(AND($I1845="Base",$E1845="Base"),Dashboard!$R$5,IF(AND($I1845="Base",$E1845="Red"),Dashboard!$R$6,IF(AND($I1845="Base",$E1845="Gold"),Dashboard!$R$7,VLOOKUP($I1845,Dashboard!$Q$16:$R$21,2,FALSE)))))*VLOOKUP($I1845,Dashboard!$Q$9:$R$13,2,FALSE)*IF(AND($I1845="Auto",$F1845="",OR($B1845="Autographs Duals",$B1845="Autographs Triples",$B1845="Autographs Quads",$B1845="Autographs Quads (Inscribed)")),IF($B1845="Autographs Duals",2,IF($B1845="Autographs Triples",3,4)),1)))</f>
        <v>171.48</v>
      </c>
      <c r="AB1845" s="62">
        <f t="shared" si="375"/>
        <v>0</v>
      </c>
      <c r="AC1845" s="62">
        <f t="shared" si="376"/>
        <v>0</v>
      </c>
    </row>
    <row r="1846" spans="1:29" ht="28.7" customHeight="1" x14ac:dyDescent="0.25">
      <c r="A1846" s="4" t="s">
        <v>23</v>
      </c>
      <c r="B1846" s="7" t="s">
        <v>108</v>
      </c>
      <c r="C1846" s="2" t="s">
        <v>739</v>
      </c>
      <c r="D1846" s="7" t="s">
        <v>345</v>
      </c>
      <c r="E1846" s="4" t="s">
        <v>1602</v>
      </c>
      <c r="F1846" s="2">
        <v>7</v>
      </c>
      <c r="G1846" s="2" t="s">
        <v>1399</v>
      </c>
      <c r="H1846" s="2" t="s">
        <v>1400</v>
      </c>
      <c r="I1846" s="4" t="s">
        <v>62</v>
      </c>
      <c r="J1846" s="112">
        <f>IF($H1846&lt;&gt;"Y",0,ROUND(MIN(Dashboard!$R$24,IF(IFERROR(VLOOKUP($B1846,Dashboard!$Q$28:$S$60,2,FALSE),0)&gt;0,IFERROR(VLOOKUP($B1846,Dashboard!$Q$28:$S$60,2,FALSE),0),$Z1846*IF($U1846&lt;&gt;"",ROUND((Dashboard!$R$4/$U1846)*VLOOKUP($I1846,Dashboard!$Q$9:$R$13,2,FALSE)*IF(ISNUMBER(SEARCH("Duals",$B1846)),2,IF(ISNUMBER(SEARCH("Triples",$B1846)),3,IF(ISNUMBER(SEARCH("Quads",$B1846)),4,1))),2),ROUND(VLOOKUP($I1846,Dashboard!$Q$15:$R$20,2,FALSE)*IF($E1846="Red",Dashboard!$R$6,IF($E1846="Gold",Dashboard!$R$7,Dashboard!$R$5))*IF(ISNUMBER(SEARCH("Duals",$B1846)),2,IF(ISNUMBER(SEARCH("Triples",$B1846)),3,IF(ISNUMBER(SEARCH("Quads",$B1846)),4,1))),2))*IF(IFERROR(VLOOKUP($B1846,Dashboard!$Q$28:$S$60,3,FALSE),0)&gt;0,VLOOKUP($B1846,Dashboard!$Q$28:$S$60,3,FALSE),1))),0))</f>
        <v>134</v>
      </c>
      <c r="K1846" s="2" t="str">
        <f>IF('Inserts - Story'!E21="","",'Inserts - Story'!E21)</f>
        <v>C '2/7</v>
      </c>
      <c r="L1846" s="2">
        <f t="shared" si="364"/>
        <v>1</v>
      </c>
      <c r="M1846" s="2">
        <f t="shared" si="365"/>
        <v>0</v>
      </c>
      <c r="N1846" s="2">
        <f t="shared" si="366"/>
        <v>1</v>
      </c>
      <c r="O1846" s="2">
        <f t="shared" si="367"/>
        <v>0</v>
      </c>
      <c r="P1846" s="112">
        <f t="shared" si="368"/>
        <v>134</v>
      </c>
      <c r="Q1846" s="112">
        <f t="shared" si="369"/>
        <v>0</v>
      </c>
      <c r="R1846" s="53"/>
      <c r="S1846" s="53" t="str">
        <f t="shared" si="370"/>
        <v>Inserts - Story|Quotes Gold Parallel|Q-5|Gold</v>
      </c>
      <c r="T1846" s="57" t="str">
        <f>IF($S1846="","",IFERROR(VLOOKUP($S1846,'Pop Estimates (Non-#d)'!$N$2:$O$500,2,FALSE),""))</f>
        <v/>
      </c>
      <c r="U1846" s="57">
        <f t="shared" si="371"/>
        <v>7</v>
      </c>
      <c r="V1846" s="53" t="str">
        <f t="shared" si="372"/>
        <v/>
      </c>
      <c r="W1846" s="53" t="str">
        <f t="shared" si="373"/>
        <v/>
      </c>
      <c r="X1846" s="53" t="str">
        <f t="shared" si="374"/>
        <v/>
      </c>
      <c r="Y1846" s="57" t="str">
        <f>IF($X1846="","",IFERROR(VLOOKUP($X1846,'Char Popularity'!$A$2:$C$500,2,FALSE),""))</f>
        <v/>
      </c>
      <c r="Z1846" s="56">
        <f>IF($X1846="",1,IFERROR(VLOOKUP($X1846,'Char Popularity'!$A$2:$C$500,3,FALSE),1))</f>
        <v>1</v>
      </c>
      <c r="AA1846" s="62">
        <f>IF($H1846&lt;&gt;"Y",0,(IF($F1846&lt;&gt;"",ROUND(Dashboard!$R$4/$F1846,1),IF(AND($I1846="Base",$E1846="Base"),Dashboard!$R$5,IF(AND($I1846="Base",$E1846="Red"),Dashboard!$R$6,IF(AND($I1846="Base",$E1846="Gold"),Dashboard!$R$7,VLOOKUP($I1846,Dashboard!$Q$16:$R$21,2,FALSE)))))*VLOOKUP($I1846,Dashboard!$Q$9:$R$13,2,FALSE)*IF(AND($I1846="Auto",$F1846="",OR($B1846="Autographs Duals",$B1846="Autographs Triples",$B1846="Autographs Quads",$B1846="Autographs Quads (Inscribed)")),IF($B1846="Autographs Duals",2,IF($B1846="Autographs Triples",3,4)),1)))</f>
        <v>171.48</v>
      </c>
      <c r="AB1846" s="62">
        <f t="shared" si="375"/>
        <v>171.48</v>
      </c>
      <c r="AC1846" s="62">
        <f t="shared" si="376"/>
        <v>0</v>
      </c>
    </row>
    <row r="1847" spans="1:29" ht="28.7" customHeight="1" x14ac:dyDescent="0.25">
      <c r="A1847" s="4" t="s">
        <v>23</v>
      </c>
      <c r="B1847" s="7" t="s">
        <v>108</v>
      </c>
      <c r="C1847" s="2" t="s">
        <v>740</v>
      </c>
      <c r="D1847" s="7" t="s">
        <v>516</v>
      </c>
      <c r="E1847" s="4" t="s">
        <v>1602</v>
      </c>
      <c r="F1847" s="2">
        <v>7</v>
      </c>
      <c r="G1847" s="2" t="s">
        <v>1399</v>
      </c>
      <c r="H1847" s="2" t="s">
        <v>1400</v>
      </c>
      <c r="I1847" s="4" t="s">
        <v>62</v>
      </c>
      <c r="J1847" s="112">
        <f>IF($H1847&lt;&gt;"Y",0,ROUND(MIN(Dashboard!$R$24,IF(IFERROR(VLOOKUP($B1847,Dashboard!$Q$28:$S$60,2,FALSE),0)&gt;0,IFERROR(VLOOKUP($B1847,Dashboard!$Q$28:$S$60,2,FALSE),0),$Z1847*IF($U1847&lt;&gt;"",ROUND((Dashboard!$R$4/$U1847)*VLOOKUP($I1847,Dashboard!$Q$9:$R$13,2,FALSE)*IF(ISNUMBER(SEARCH("Duals",$B1847)),2,IF(ISNUMBER(SEARCH("Triples",$B1847)),3,IF(ISNUMBER(SEARCH("Quads",$B1847)),4,1))),2),ROUND(VLOOKUP($I1847,Dashboard!$Q$15:$R$20,2,FALSE)*IF($E1847="Red",Dashboard!$R$6,IF($E1847="Gold",Dashboard!$R$7,Dashboard!$R$5))*IF(ISNUMBER(SEARCH("Duals",$B1847)),2,IF(ISNUMBER(SEARCH("Triples",$B1847)),3,IF(ISNUMBER(SEARCH("Quads",$B1847)),4,1))),2))*IF(IFERROR(VLOOKUP($B1847,Dashboard!$Q$28:$S$60,3,FALSE),0)&gt;0,VLOOKUP($B1847,Dashboard!$Q$28:$S$60,3,FALSE),1))),0))</f>
        <v>134</v>
      </c>
      <c r="K1847" s="2" t="str">
        <f>IF('Inserts - Story'!E22="","",'Inserts - Story'!E22)</f>
        <v/>
      </c>
      <c r="L1847" s="2">
        <f t="shared" si="364"/>
        <v>0</v>
      </c>
      <c r="M1847" s="2">
        <f t="shared" si="365"/>
        <v>0</v>
      </c>
      <c r="N1847" s="2">
        <f t="shared" si="366"/>
        <v>0</v>
      </c>
      <c r="O1847" s="2">
        <f t="shared" si="367"/>
        <v>1</v>
      </c>
      <c r="P1847" s="112">
        <f t="shared" si="368"/>
        <v>0</v>
      </c>
      <c r="Q1847" s="112">
        <f t="shared" si="369"/>
        <v>0</v>
      </c>
      <c r="R1847" s="53"/>
      <c r="S1847" s="53" t="str">
        <f t="shared" si="370"/>
        <v>Inserts - Story|Quotes Gold Parallel|Q-6|Gold</v>
      </c>
      <c r="T1847" s="57" t="str">
        <f>IF($S1847="","",IFERROR(VLOOKUP($S1847,'Pop Estimates (Non-#d)'!$N$2:$O$500,2,FALSE),""))</f>
        <v/>
      </c>
      <c r="U1847" s="57">
        <f t="shared" si="371"/>
        <v>7</v>
      </c>
      <c r="V1847" s="53" t="str">
        <f t="shared" si="372"/>
        <v/>
      </c>
      <c r="W1847" s="53" t="str">
        <f t="shared" si="373"/>
        <v/>
      </c>
      <c r="X1847" s="53" t="str">
        <f t="shared" si="374"/>
        <v/>
      </c>
      <c r="Y1847" s="57" t="str">
        <f>IF($X1847="","",IFERROR(VLOOKUP($X1847,'Char Popularity'!$A$2:$C$500,2,FALSE),""))</f>
        <v/>
      </c>
      <c r="Z1847" s="56">
        <f>IF($X1847="",1,IFERROR(VLOOKUP($X1847,'Char Popularity'!$A$2:$C$500,3,FALSE),1))</f>
        <v>1</v>
      </c>
      <c r="AA1847" s="62">
        <f>IF($H1847&lt;&gt;"Y",0,(IF($F1847&lt;&gt;"",ROUND(Dashboard!$R$4/$F1847,1),IF(AND($I1847="Base",$E1847="Base"),Dashboard!$R$5,IF(AND($I1847="Base",$E1847="Red"),Dashboard!$R$6,IF(AND($I1847="Base",$E1847="Gold"),Dashboard!$R$7,VLOOKUP($I1847,Dashboard!$Q$16:$R$21,2,FALSE)))))*VLOOKUP($I1847,Dashboard!$Q$9:$R$13,2,FALSE)*IF(AND($I1847="Auto",$F1847="",OR($B1847="Autographs Duals",$B1847="Autographs Triples",$B1847="Autographs Quads",$B1847="Autographs Quads (Inscribed)")),IF($B1847="Autographs Duals",2,IF($B1847="Autographs Triples",3,4)),1)))</f>
        <v>171.48</v>
      </c>
      <c r="AB1847" s="62">
        <f t="shared" si="375"/>
        <v>0</v>
      </c>
      <c r="AC1847" s="62">
        <f t="shared" si="376"/>
        <v>0</v>
      </c>
    </row>
    <row r="1848" spans="1:29" ht="28.7" customHeight="1" x14ac:dyDescent="0.25">
      <c r="A1848" s="4" t="s">
        <v>23</v>
      </c>
      <c r="B1848" s="7" t="s">
        <v>108</v>
      </c>
      <c r="C1848" s="2" t="s">
        <v>741</v>
      </c>
      <c r="D1848" s="7" t="s">
        <v>454</v>
      </c>
      <c r="E1848" s="4" t="s">
        <v>1602</v>
      </c>
      <c r="F1848" s="2">
        <v>7</v>
      </c>
      <c r="G1848" s="2" t="s">
        <v>1399</v>
      </c>
      <c r="H1848" s="2" t="s">
        <v>1400</v>
      </c>
      <c r="I1848" s="4" t="s">
        <v>62</v>
      </c>
      <c r="J1848" s="112">
        <f>IF($H1848&lt;&gt;"Y",0,ROUND(MIN(Dashboard!$R$24,IF(IFERROR(VLOOKUP($B1848,Dashboard!$Q$28:$S$60,2,FALSE),0)&gt;0,IFERROR(VLOOKUP($B1848,Dashboard!$Q$28:$S$60,2,FALSE),0),$Z1848*IF($U1848&lt;&gt;"",ROUND((Dashboard!$R$4/$U1848)*VLOOKUP($I1848,Dashboard!$Q$9:$R$13,2,FALSE)*IF(ISNUMBER(SEARCH("Duals",$B1848)),2,IF(ISNUMBER(SEARCH("Triples",$B1848)),3,IF(ISNUMBER(SEARCH("Quads",$B1848)),4,1))),2),ROUND(VLOOKUP($I1848,Dashboard!$Q$15:$R$20,2,FALSE)*IF($E1848="Red",Dashboard!$R$6,IF($E1848="Gold",Dashboard!$R$7,Dashboard!$R$5))*IF(ISNUMBER(SEARCH("Duals",$B1848)),2,IF(ISNUMBER(SEARCH("Triples",$B1848)),3,IF(ISNUMBER(SEARCH("Quads",$B1848)),4,1))),2))*IF(IFERROR(VLOOKUP($B1848,Dashboard!$Q$28:$S$60,3,FALSE),0)&gt;0,VLOOKUP($B1848,Dashboard!$Q$28:$S$60,3,FALSE),1))),0))</f>
        <v>134</v>
      </c>
      <c r="K1848" s="2" t="str">
        <f>IF('Inserts - Story'!E23="","",'Inserts - Story'!E23)</f>
        <v/>
      </c>
      <c r="L1848" s="2">
        <f t="shared" si="364"/>
        <v>0</v>
      </c>
      <c r="M1848" s="2">
        <f t="shared" si="365"/>
        <v>0</v>
      </c>
      <c r="N1848" s="2">
        <f t="shared" si="366"/>
        <v>0</v>
      </c>
      <c r="O1848" s="2">
        <f t="shared" si="367"/>
        <v>1</v>
      </c>
      <c r="P1848" s="112">
        <f t="shared" si="368"/>
        <v>0</v>
      </c>
      <c r="Q1848" s="112">
        <f t="shared" si="369"/>
        <v>0</v>
      </c>
      <c r="R1848" s="53"/>
      <c r="S1848" s="53" t="str">
        <f t="shared" si="370"/>
        <v>Inserts - Story|Quotes Gold Parallel|Q-7|Gold</v>
      </c>
      <c r="T1848" s="57" t="str">
        <f>IF($S1848="","",IFERROR(VLOOKUP($S1848,'Pop Estimates (Non-#d)'!$N$2:$O$500,2,FALSE),""))</f>
        <v/>
      </c>
      <c r="U1848" s="57">
        <f t="shared" si="371"/>
        <v>7</v>
      </c>
      <c r="V1848" s="53" t="str">
        <f t="shared" si="372"/>
        <v/>
      </c>
      <c r="W1848" s="53" t="str">
        <f t="shared" si="373"/>
        <v/>
      </c>
      <c r="X1848" s="53" t="str">
        <f t="shared" si="374"/>
        <v/>
      </c>
      <c r="Y1848" s="57" t="str">
        <f>IF($X1848="","",IFERROR(VLOOKUP($X1848,'Char Popularity'!$A$2:$C$500,2,FALSE),""))</f>
        <v/>
      </c>
      <c r="Z1848" s="56">
        <f>IF($X1848="",1,IFERROR(VLOOKUP($X1848,'Char Popularity'!$A$2:$C$500,3,FALSE),1))</f>
        <v>1</v>
      </c>
      <c r="AA1848" s="62">
        <f>IF($H1848&lt;&gt;"Y",0,(IF($F1848&lt;&gt;"",ROUND(Dashboard!$R$4/$F1848,1),IF(AND($I1848="Base",$E1848="Base"),Dashboard!$R$5,IF(AND($I1848="Base",$E1848="Red"),Dashboard!$R$6,IF(AND($I1848="Base",$E1848="Gold"),Dashboard!$R$7,VLOOKUP($I1848,Dashboard!$Q$16:$R$21,2,FALSE)))))*VLOOKUP($I1848,Dashboard!$Q$9:$R$13,2,FALSE)*IF(AND($I1848="Auto",$F1848="",OR($B1848="Autographs Duals",$B1848="Autographs Triples",$B1848="Autographs Quads",$B1848="Autographs Quads (Inscribed)")),IF($B1848="Autographs Duals",2,IF($B1848="Autographs Triples",3,4)),1)))</f>
        <v>171.48</v>
      </c>
      <c r="AB1848" s="62">
        <f t="shared" si="375"/>
        <v>0</v>
      </c>
      <c r="AC1848" s="62">
        <f t="shared" si="376"/>
        <v>0</v>
      </c>
    </row>
    <row r="1849" spans="1:29" ht="28.7" customHeight="1" x14ac:dyDescent="0.25">
      <c r="A1849" s="4" t="s">
        <v>23</v>
      </c>
      <c r="B1849" s="7" t="s">
        <v>108</v>
      </c>
      <c r="C1849" s="2" t="s">
        <v>742</v>
      </c>
      <c r="D1849" s="7" t="s">
        <v>444</v>
      </c>
      <c r="E1849" s="4" t="s">
        <v>1602</v>
      </c>
      <c r="F1849" s="2">
        <v>7</v>
      </c>
      <c r="G1849" s="2" t="s">
        <v>1399</v>
      </c>
      <c r="H1849" s="2" t="s">
        <v>1400</v>
      </c>
      <c r="I1849" s="4" t="s">
        <v>62</v>
      </c>
      <c r="J1849" s="112">
        <f>IF($H1849&lt;&gt;"Y",0,ROUND(MIN(Dashboard!$R$24,IF(IFERROR(VLOOKUP($B1849,Dashboard!$Q$28:$S$60,2,FALSE),0)&gt;0,IFERROR(VLOOKUP($B1849,Dashboard!$Q$28:$S$60,2,FALSE),0),$Z1849*IF($U1849&lt;&gt;"",ROUND((Dashboard!$R$4/$U1849)*VLOOKUP($I1849,Dashboard!$Q$9:$R$13,2,FALSE)*IF(ISNUMBER(SEARCH("Duals",$B1849)),2,IF(ISNUMBER(SEARCH("Triples",$B1849)),3,IF(ISNUMBER(SEARCH("Quads",$B1849)),4,1))),2),ROUND(VLOOKUP($I1849,Dashboard!$Q$15:$R$20,2,FALSE)*IF($E1849="Red",Dashboard!$R$6,IF($E1849="Gold",Dashboard!$R$7,Dashboard!$R$5))*IF(ISNUMBER(SEARCH("Duals",$B1849)),2,IF(ISNUMBER(SEARCH("Triples",$B1849)),3,IF(ISNUMBER(SEARCH("Quads",$B1849)),4,1))),2))*IF(IFERROR(VLOOKUP($B1849,Dashboard!$Q$28:$S$60,3,FALSE),0)&gt;0,VLOOKUP($B1849,Dashboard!$Q$28:$S$60,3,FALSE),1))),0))</f>
        <v>134</v>
      </c>
      <c r="K1849" s="2" t="str">
        <f>IF('Inserts - Story'!E24="","",'Inserts - Story'!E24)</f>
        <v/>
      </c>
      <c r="L1849" s="2">
        <f t="shared" si="364"/>
        <v>0</v>
      </c>
      <c r="M1849" s="2">
        <f t="shared" si="365"/>
        <v>0</v>
      </c>
      <c r="N1849" s="2">
        <f t="shared" si="366"/>
        <v>0</v>
      </c>
      <c r="O1849" s="2">
        <f t="shared" si="367"/>
        <v>1</v>
      </c>
      <c r="P1849" s="112">
        <f t="shared" si="368"/>
        <v>0</v>
      </c>
      <c r="Q1849" s="112">
        <f t="shared" si="369"/>
        <v>0</v>
      </c>
      <c r="R1849" s="53"/>
      <c r="S1849" s="53" t="str">
        <f t="shared" si="370"/>
        <v>Inserts - Story|Quotes Gold Parallel|Q-8|Gold</v>
      </c>
      <c r="T1849" s="57" t="str">
        <f>IF($S1849="","",IFERROR(VLOOKUP($S1849,'Pop Estimates (Non-#d)'!$N$2:$O$500,2,FALSE),""))</f>
        <v/>
      </c>
      <c r="U1849" s="57">
        <f t="shared" si="371"/>
        <v>7</v>
      </c>
      <c r="V1849" s="53" t="str">
        <f t="shared" si="372"/>
        <v/>
      </c>
      <c r="W1849" s="53" t="str">
        <f t="shared" si="373"/>
        <v/>
      </c>
      <c r="X1849" s="53" t="str">
        <f t="shared" si="374"/>
        <v/>
      </c>
      <c r="Y1849" s="57" t="str">
        <f>IF($X1849="","",IFERROR(VLOOKUP($X1849,'Char Popularity'!$A$2:$C$500,2,FALSE),""))</f>
        <v/>
      </c>
      <c r="Z1849" s="56">
        <f>IF($X1849="",1,IFERROR(VLOOKUP($X1849,'Char Popularity'!$A$2:$C$500,3,FALSE),1))</f>
        <v>1</v>
      </c>
      <c r="AA1849" s="62">
        <f>IF($H1849&lt;&gt;"Y",0,(IF($F1849&lt;&gt;"",ROUND(Dashboard!$R$4/$F1849,1),IF(AND($I1849="Base",$E1849="Base"),Dashboard!$R$5,IF(AND($I1849="Base",$E1849="Red"),Dashboard!$R$6,IF(AND($I1849="Base",$E1849="Gold"),Dashboard!$R$7,VLOOKUP($I1849,Dashboard!$Q$16:$R$21,2,FALSE)))))*VLOOKUP($I1849,Dashboard!$Q$9:$R$13,2,FALSE)*IF(AND($I1849="Auto",$F1849="",OR($B1849="Autographs Duals",$B1849="Autographs Triples",$B1849="Autographs Quads",$B1849="Autographs Quads (Inscribed)")),IF($B1849="Autographs Duals",2,IF($B1849="Autographs Triples",3,4)),1)))</f>
        <v>171.48</v>
      </c>
      <c r="AB1849" s="62">
        <f t="shared" si="375"/>
        <v>0</v>
      </c>
      <c r="AC1849" s="62">
        <f t="shared" si="376"/>
        <v>0</v>
      </c>
    </row>
    <row r="1850" spans="1:29" ht="28.7" customHeight="1" x14ac:dyDescent="0.25">
      <c r="A1850" s="4" t="s">
        <v>23</v>
      </c>
      <c r="B1850" s="7" t="s">
        <v>108</v>
      </c>
      <c r="C1850" s="2" t="s">
        <v>743</v>
      </c>
      <c r="D1850" s="7" t="s">
        <v>744</v>
      </c>
      <c r="E1850" s="4" t="s">
        <v>1602</v>
      </c>
      <c r="F1850" s="2">
        <v>7</v>
      </c>
      <c r="G1850" s="2" t="s">
        <v>1399</v>
      </c>
      <c r="H1850" s="2" t="s">
        <v>1400</v>
      </c>
      <c r="I1850" s="4" t="s">
        <v>62</v>
      </c>
      <c r="J1850" s="112">
        <f>IF($H1850&lt;&gt;"Y",0,ROUND(MIN(Dashboard!$R$24,IF(IFERROR(VLOOKUP($B1850,Dashboard!$Q$28:$S$60,2,FALSE),0)&gt;0,IFERROR(VLOOKUP($B1850,Dashboard!$Q$28:$S$60,2,FALSE),0),$Z1850*IF($U1850&lt;&gt;"",ROUND((Dashboard!$R$4/$U1850)*VLOOKUP($I1850,Dashboard!$Q$9:$R$13,2,FALSE)*IF(ISNUMBER(SEARCH("Duals",$B1850)),2,IF(ISNUMBER(SEARCH("Triples",$B1850)),3,IF(ISNUMBER(SEARCH("Quads",$B1850)),4,1))),2),ROUND(VLOOKUP($I1850,Dashboard!$Q$15:$R$20,2,FALSE)*IF($E1850="Red",Dashboard!$R$6,IF($E1850="Gold",Dashboard!$R$7,Dashboard!$R$5))*IF(ISNUMBER(SEARCH("Duals",$B1850)),2,IF(ISNUMBER(SEARCH("Triples",$B1850)),3,IF(ISNUMBER(SEARCH("Quads",$B1850)),4,1))),2))*IF(IFERROR(VLOOKUP($B1850,Dashboard!$Q$28:$S$60,3,FALSE),0)&gt;0,VLOOKUP($B1850,Dashboard!$Q$28:$S$60,3,FALSE),1))),0))</f>
        <v>134</v>
      </c>
      <c r="K1850" s="2" t="str">
        <f>IF('Inserts - Story'!E25="","",'Inserts - Story'!E25)</f>
        <v/>
      </c>
      <c r="L1850" s="2">
        <f t="shared" si="364"/>
        <v>0</v>
      </c>
      <c r="M1850" s="2">
        <f t="shared" si="365"/>
        <v>0</v>
      </c>
      <c r="N1850" s="2">
        <f t="shared" si="366"/>
        <v>0</v>
      </c>
      <c r="O1850" s="2">
        <f t="shared" si="367"/>
        <v>1</v>
      </c>
      <c r="P1850" s="112">
        <f t="shared" si="368"/>
        <v>0</v>
      </c>
      <c r="Q1850" s="112">
        <f t="shared" si="369"/>
        <v>0</v>
      </c>
      <c r="R1850" s="53"/>
      <c r="S1850" s="53" t="str">
        <f t="shared" si="370"/>
        <v>Inserts - Story|Quotes Gold Parallel|Q-9|Gold</v>
      </c>
      <c r="T1850" s="57" t="str">
        <f>IF($S1850="","",IFERROR(VLOOKUP($S1850,'Pop Estimates (Non-#d)'!$N$2:$O$500,2,FALSE),""))</f>
        <v/>
      </c>
      <c r="U1850" s="57">
        <f t="shared" si="371"/>
        <v>7</v>
      </c>
      <c r="V1850" s="53" t="str">
        <f t="shared" si="372"/>
        <v/>
      </c>
      <c r="W1850" s="53" t="str">
        <f t="shared" si="373"/>
        <v/>
      </c>
      <c r="X1850" s="53" t="str">
        <f t="shared" si="374"/>
        <v/>
      </c>
      <c r="Y1850" s="57" t="str">
        <f>IF($X1850="","",IFERROR(VLOOKUP($X1850,'Char Popularity'!$A$2:$C$500,2,FALSE),""))</f>
        <v/>
      </c>
      <c r="Z1850" s="56">
        <f>IF($X1850="",1,IFERROR(VLOOKUP($X1850,'Char Popularity'!$A$2:$C$500,3,FALSE),1))</f>
        <v>1</v>
      </c>
      <c r="AA1850" s="62">
        <f>IF($H1850&lt;&gt;"Y",0,(IF($F1850&lt;&gt;"",ROUND(Dashboard!$R$4/$F1850,1),IF(AND($I1850="Base",$E1850="Base"),Dashboard!$R$5,IF(AND($I1850="Base",$E1850="Red"),Dashboard!$R$6,IF(AND($I1850="Base",$E1850="Gold"),Dashboard!$R$7,VLOOKUP($I1850,Dashboard!$Q$16:$R$21,2,FALSE)))))*VLOOKUP($I1850,Dashboard!$Q$9:$R$13,2,FALSE)*IF(AND($I1850="Auto",$F1850="",OR($B1850="Autographs Duals",$B1850="Autographs Triples",$B1850="Autographs Quads",$B1850="Autographs Quads (Inscribed)")),IF($B1850="Autographs Duals",2,IF($B1850="Autographs Triples",3,4)),1)))</f>
        <v>171.48</v>
      </c>
      <c r="AB1850" s="62">
        <f t="shared" si="375"/>
        <v>0</v>
      </c>
      <c r="AC1850" s="62">
        <f t="shared" si="376"/>
        <v>0</v>
      </c>
    </row>
    <row r="1851" spans="1:29" ht="28.7" customHeight="1" x14ac:dyDescent="0.25">
      <c r="A1851" s="4" t="s">
        <v>23</v>
      </c>
      <c r="B1851" s="7" t="s">
        <v>108</v>
      </c>
      <c r="C1851" s="2" t="s">
        <v>730</v>
      </c>
      <c r="D1851" s="7" t="s">
        <v>446</v>
      </c>
      <c r="E1851" s="4" t="s">
        <v>1602</v>
      </c>
      <c r="F1851" s="2">
        <v>7</v>
      </c>
      <c r="G1851" s="2" t="s">
        <v>1399</v>
      </c>
      <c r="H1851" s="2" t="s">
        <v>1400</v>
      </c>
      <c r="I1851" s="4" t="s">
        <v>62</v>
      </c>
      <c r="J1851" s="112">
        <f>IF($H1851&lt;&gt;"Y",0,ROUND(MIN(Dashboard!$R$24,IF(IFERROR(VLOOKUP($B1851,Dashboard!$Q$28:$S$60,2,FALSE),0)&gt;0,IFERROR(VLOOKUP($B1851,Dashboard!$Q$28:$S$60,2,FALSE),0),$Z1851*IF($U1851&lt;&gt;"",ROUND((Dashboard!$R$4/$U1851)*VLOOKUP($I1851,Dashboard!$Q$9:$R$13,2,FALSE)*IF(ISNUMBER(SEARCH("Duals",$B1851)),2,IF(ISNUMBER(SEARCH("Triples",$B1851)),3,IF(ISNUMBER(SEARCH("Quads",$B1851)),4,1))),2),ROUND(VLOOKUP($I1851,Dashboard!$Q$15:$R$20,2,FALSE)*IF($E1851="Red",Dashboard!$R$6,IF($E1851="Gold",Dashboard!$R$7,Dashboard!$R$5))*IF(ISNUMBER(SEARCH("Duals",$B1851)),2,IF(ISNUMBER(SEARCH("Triples",$B1851)),3,IF(ISNUMBER(SEARCH("Quads",$B1851)),4,1))),2))*IF(IFERROR(VLOOKUP($B1851,Dashboard!$Q$28:$S$60,3,FALSE),0)&gt;0,VLOOKUP($B1851,Dashboard!$Q$28:$S$60,3,FALSE),1))),0))</f>
        <v>134</v>
      </c>
      <c r="K1851" s="2" t="str">
        <f>IF('Inserts - Story'!E26="","",'Inserts - Story'!E26)</f>
        <v/>
      </c>
      <c r="L1851" s="2">
        <f t="shared" si="364"/>
        <v>0</v>
      </c>
      <c r="M1851" s="2">
        <f t="shared" si="365"/>
        <v>0</v>
      </c>
      <c r="N1851" s="2">
        <f t="shared" si="366"/>
        <v>0</v>
      </c>
      <c r="O1851" s="2">
        <f t="shared" si="367"/>
        <v>1</v>
      </c>
      <c r="P1851" s="112">
        <f t="shared" si="368"/>
        <v>0</v>
      </c>
      <c r="Q1851" s="112">
        <f t="shared" si="369"/>
        <v>0</v>
      </c>
      <c r="R1851" s="53"/>
      <c r="S1851" s="53" t="str">
        <f t="shared" si="370"/>
        <v>Inserts - Story|Quotes Gold Parallel|Q-10|Gold</v>
      </c>
      <c r="T1851" s="57" t="str">
        <f>IF($S1851="","",IFERROR(VLOOKUP($S1851,'Pop Estimates (Non-#d)'!$N$2:$O$500,2,FALSE),""))</f>
        <v/>
      </c>
      <c r="U1851" s="57">
        <f t="shared" si="371"/>
        <v>7</v>
      </c>
      <c r="V1851" s="53" t="str">
        <f t="shared" si="372"/>
        <v/>
      </c>
      <c r="W1851" s="53" t="str">
        <f t="shared" si="373"/>
        <v/>
      </c>
      <c r="X1851" s="53" t="str">
        <f t="shared" si="374"/>
        <v/>
      </c>
      <c r="Y1851" s="57" t="str">
        <f>IF($X1851="","",IFERROR(VLOOKUP($X1851,'Char Popularity'!$A$2:$C$500,2,FALSE),""))</f>
        <v/>
      </c>
      <c r="Z1851" s="56">
        <f>IF($X1851="",1,IFERROR(VLOOKUP($X1851,'Char Popularity'!$A$2:$C$500,3,FALSE),1))</f>
        <v>1</v>
      </c>
      <c r="AA1851" s="62">
        <f>IF($H1851&lt;&gt;"Y",0,(IF($F1851&lt;&gt;"",ROUND(Dashboard!$R$4/$F1851,1),IF(AND($I1851="Base",$E1851="Base"),Dashboard!$R$5,IF(AND($I1851="Base",$E1851="Red"),Dashboard!$R$6,IF(AND($I1851="Base",$E1851="Gold"),Dashboard!$R$7,VLOOKUP($I1851,Dashboard!$Q$16:$R$21,2,FALSE)))))*VLOOKUP($I1851,Dashboard!$Q$9:$R$13,2,FALSE)*IF(AND($I1851="Auto",$F1851="",OR($B1851="Autographs Duals",$B1851="Autographs Triples",$B1851="Autographs Quads",$B1851="Autographs Quads (Inscribed)")),IF($B1851="Autographs Duals",2,IF($B1851="Autographs Triples",3,4)),1)))</f>
        <v>171.48</v>
      </c>
      <c r="AB1851" s="62">
        <f t="shared" si="375"/>
        <v>0</v>
      </c>
      <c r="AC1851" s="62">
        <f t="shared" si="376"/>
        <v>0</v>
      </c>
    </row>
    <row r="1852" spans="1:29" ht="28.7" customHeight="1" x14ac:dyDescent="0.25">
      <c r="A1852" s="4" t="s">
        <v>23</v>
      </c>
      <c r="B1852" s="7" t="s">
        <v>108</v>
      </c>
      <c r="C1852" s="2" t="s">
        <v>731</v>
      </c>
      <c r="D1852" s="7" t="s">
        <v>537</v>
      </c>
      <c r="E1852" s="4" t="s">
        <v>1602</v>
      </c>
      <c r="F1852" s="2">
        <v>7</v>
      </c>
      <c r="G1852" s="2" t="s">
        <v>1399</v>
      </c>
      <c r="H1852" s="2" t="s">
        <v>1400</v>
      </c>
      <c r="I1852" s="4" t="s">
        <v>62</v>
      </c>
      <c r="J1852" s="112">
        <f>IF($H1852&lt;&gt;"Y",0,ROUND(MIN(Dashboard!$R$24,IF(IFERROR(VLOOKUP($B1852,Dashboard!$Q$28:$S$60,2,FALSE),0)&gt;0,IFERROR(VLOOKUP($B1852,Dashboard!$Q$28:$S$60,2,FALSE),0),$Z1852*IF($U1852&lt;&gt;"",ROUND((Dashboard!$R$4/$U1852)*VLOOKUP($I1852,Dashboard!$Q$9:$R$13,2,FALSE)*IF(ISNUMBER(SEARCH("Duals",$B1852)),2,IF(ISNUMBER(SEARCH("Triples",$B1852)),3,IF(ISNUMBER(SEARCH("Quads",$B1852)),4,1))),2),ROUND(VLOOKUP($I1852,Dashboard!$Q$15:$R$20,2,FALSE)*IF($E1852="Red",Dashboard!$R$6,IF($E1852="Gold",Dashboard!$R$7,Dashboard!$R$5))*IF(ISNUMBER(SEARCH("Duals",$B1852)),2,IF(ISNUMBER(SEARCH("Triples",$B1852)),3,IF(ISNUMBER(SEARCH("Quads",$B1852)),4,1))),2))*IF(IFERROR(VLOOKUP($B1852,Dashboard!$Q$28:$S$60,3,FALSE),0)&gt;0,VLOOKUP($B1852,Dashboard!$Q$28:$S$60,3,FALSE),1))),0))</f>
        <v>134</v>
      </c>
      <c r="K1852" s="2" t="str">
        <f>IF('Inserts - Story'!E27="","",'Inserts - Story'!E27)</f>
        <v/>
      </c>
      <c r="L1852" s="2">
        <f t="shared" si="364"/>
        <v>0</v>
      </c>
      <c r="M1852" s="2">
        <f t="shared" si="365"/>
        <v>0</v>
      </c>
      <c r="N1852" s="2">
        <f t="shared" si="366"/>
        <v>0</v>
      </c>
      <c r="O1852" s="2">
        <f t="shared" si="367"/>
        <v>1</v>
      </c>
      <c r="P1852" s="112">
        <f t="shared" si="368"/>
        <v>0</v>
      </c>
      <c r="Q1852" s="112">
        <f t="shared" si="369"/>
        <v>0</v>
      </c>
      <c r="R1852" s="53"/>
      <c r="S1852" s="53" t="str">
        <f t="shared" si="370"/>
        <v>Inserts - Story|Quotes Gold Parallel|Q-11|Gold</v>
      </c>
      <c r="T1852" s="57" t="str">
        <f>IF($S1852="","",IFERROR(VLOOKUP($S1852,'Pop Estimates (Non-#d)'!$N$2:$O$500,2,FALSE),""))</f>
        <v/>
      </c>
      <c r="U1852" s="57">
        <f t="shared" si="371"/>
        <v>7</v>
      </c>
      <c r="V1852" s="53" t="str">
        <f t="shared" si="372"/>
        <v/>
      </c>
      <c r="W1852" s="53" t="str">
        <f t="shared" si="373"/>
        <v/>
      </c>
      <c r="X1852" s="53" t="str">
        <f t="shared" si="374"/>
        <v/>
      </c>
      <c r="Y1852" s="57" t="str">
        <f>IF($X1852="","",IFERROR(VLOOKUP($X1852,'Char Popularity'!$A$2:$C$500,2,FALSE),""))</f>
        <v/>
      </c>
      <c r="Z1852" s="56">
        <f>IF($X1852="",1,IFERROR(VLOOKUP($X1852,'Char Popularity'!$A$2:$C$500,3,FALSE),1))</f>
        <v>1</v>
      </c>
      <c r="AA1852" s="62">
        <f>IF($H1852&lt;&gt;"Y",0,(IF($F1852&lt;&gt;"",ROUND(Dashboard!$R$4/$F1852,1),IF(AND($I1852="Base",$E1852="Base"),Dashboard!$R$5,IF(AND($I1852="Base",$E1852="Red"),Dashboard!$R$6,IF(AND($I1852="Base",$E1852="Gold"),Dashboard!$R$7,VLOOKUP($I1852,Dashboard!$Q$16:$R$21,2,FALSE)))))*VLOOKUP($I1852,Dashboard!$Q$9:$R$13,2,FALSE)*IF(AND($I1852="Auto",$F1852="",OR($B1852="Autographs Duals",$B1852="Autographs Triples",$B1852="Autographs Quads",$B1852="Autographs Quads (Inscribed)")),IF($B1852="Autographs Duals",2,IF($B1852="Autographs Triples",3,4)),1)))</f>
        <v>171.48</v>
      </c>
      <c r="AB1852" s="62">
        <f t="shared" si="375"/>
        <v>0</v>
      </c>
      <c r="AC1852" s="62">
        <f t="shared" si="376"/>
        <v>0</v>
      </c>
    </row>
    <row r="1853" spans="1:29" ht="28.7" customHeight="1" x14ac:dyDescent="0.25">
      <c r="A1853" s="4" t="s">
        <v>23</v>
      </c>
      <c r="B1853" s="7" t="s">
        <v>108</v>
      </c>
      <c r="C1853" s="2" t="s">
        <v>732</v>
      </c>
      <c r="D1853" s="7" t="s">
        <v>343</v>
      </c>
      <c r="E1853" s="4" t="s">
        <v>1602</v>
      </c>
      <c r="F1853" s="2">
        <v>7</v>
      </c>
      <c r="G1853" s="2" t="s">
        <v>1399</v>
      </c>
      <c r="H1853" s="2" t="s">
        <v>1400</v>
      </c>
      <c r="I1853" s="4" t="s">
        <v>62</v>
      </c>
      <c r="J1853" s="112">
        <f>IF($H1853&lt;&gt;"Y",0,ROUND(MIN(Dashboard!$R$24,IF(IFERROR(VLOOKUP($B1853,Dashboard!$Q$28:$S$60,2,FALSE),0)&gt;0,IFERROR(VLOOKUP($B1853,Dashboard!$Q$28:$S$60,2,FALSE),0),$Z1853*IF($U1853&lt;&gt;"",ROUND((Dashboard!$R$4/$U1853)*VLOOKUP($I1853,Dashboard!$Q$9:$R$13,2,FALSE)*IF(ISNUMBER(SEARCH("Duals",$B1853)),2,IF(ISNUMBER(SEARCH("Triples",$B1853)),3,IF(ISNUMBER(SEARCH("Quads",$B1853)),4,1))),2),ROUND(VLOOKUP($I1853,Dashboard!$Q$15:$R$20,2,FALSE)*IF($E1853="Red",Dashboard!$R$6,IF($E1853="Gold",Dashboard!$R$7,Dashboard!$R$5))*IF(ISNUMBER(SEARCH("Duals",$B1853)),2,IF(ISNUMBER(SEARCH("Triples",$B1853)),3,IF(ISNUMBER(SEARCH("Quads",$B1853)),4,1))),2))*IF(IFERROR(VLOOKUP($B1853,Dashboard!$Q$28:$S$60,3,FALSE),0)&gt;0,VLOOKUP($B1853,Dashboard!$Q$28:$S$60,3,FALSE),1))),0))</f>
        <v>134</v>
      </c>
      <c r="K1853" s="2" t="str">
        <f>IF('Inserts - Story'!E28="","",'Inserts - Story'!E28)</f>
        <v/>
      </c>
      <c r="L1853" s="2">
        <f t="shared" si="364"/>
        <v>0</v>
      </c>
      <c r="M1853" s="2">
        <f t="shared" si="365"/>
        <v>0</v>
      </c>
      <c r="N1853" s="2">
        <f t="shared" si="366"/>
        <v>0</v>
      </c>
      <c r="O1853" s="2">
        <f t="shared" si="367"/>
        <v>1</v>
      </c>
      <c r="P1853" s="112">
        <f t="shared" si="368"/>
        <v>0</v>
      </c>
      <c r="Q1853" s="112">
        <f t="shared" si="369"/>
        <v>0</v>
      </c>
      <c r="R1853" s="53"/>
      <c r="S1853" s="53" t="str">
        <f t="shared" si="370"/>
        <v>Inserts - Story|Quotes Gold Parallel|Q-12|Gold</v>
      </c>
      <c r="T1853" s="57" t="str">
        <f>IF($S1853="","",IFERROR(VLOOKUP($S1853,'Pop Estimates (Non-#d)'!$N$2:$O$500,2,FALSE),""))</f>
        <v/>
      </c>
      <c r="U1853" s="57">
        <f t="shared" si="371"/>
        <v>7</v>
      </c>
      <c r="V1853" s="53" t="str">
        <f t="shared" si="372"/>
        <v/>
      </c>
      <c r="W1853" s="53" t="str">
        <f t="shared" si="373"/>
        <v/>
      </c>
      <c r="X1853" s="53" t="str">
        <f t="shared" si="374"/>
        <v/>
      </c>
      <c r="Y1853" s="57" t="str">
        <f>IF($X1853="","",IFERROR(VLOOKUP($X1853,'Char Popularity'!$A$2:$C$500,2,FALSE),""))</f>
        <v/>
      </c>
      <c r="Z1853" s="56">
        <f>IF($X1853="",1,IFERROR(VLOOKUP($X1853,'Char Popularity'!$A$2:$C$500,3,FALSE),1))</f>
        <v>1</v>
      </c>
      <c r="AA1853" s="62">
        <f>IF($H1853&lt;&gt;"Y",0,(IF($F1853&lt;&gt;"",ROUND(Dashboard!$R$4/$F1853,1),IF(AND($I1853="Base",$E1853="Base"),Dashboard!$R$5,IF(AND($I1853="Base",$E1853="Red"),Dashboard!$R$6,IF(AND($I1853="Base",$E1853="Gold"),Dashboard!$R$7,VLOOKUP($I1853,Dashboard!$Q$16:$R$21,2,FALSE)))))*VLOOKUP($I1853,Dashboard!$Q$9:$R$13,2,FALSE)*IF(AND($I1853="Auto",$F1853="",OR($B1853="Autographs Duals",$B1853="Autographs Triples",$B1853="Autographs Quads",$B1853="Autographs Quads (Inscribed)")),IF($B1853="Autographs Duals",2,IF($B1853="Autographs Triples",3,4)),1)))</f>
        <v>171.48</v>
      </c>
      <c r="AB1853" s="62">
        <f t="shared" si="375"/>
        <v>0</v>
      </c>
      <c r="AC1853" s="62">
        <f t="shared" si="376"/>
        <v>0</v>
      </c>
    </row>
    <row r="1854" spans="1:29" ht="28.7" customHeight="1" x14ac:dyDescent="0.25">
      <c r="A1854" s="4" t="s">
        <v>23</v>
      </c>
      <c r="B1854" s="7" t="s">
        <v>108</v>
      </c>
      <c r="C1854" s="2" t="s">
        <v>733</v>
      </c>
      <c r="D1854" s="7" t="s">
        <v>441</v>
      </c>
      <c r="E1854" s="4" t="s">
        <v>1602</v>
      </c>
      <c r="F1854" s="2">
        <v>7</v>
      </c>
      <c r="G1854" s="2" t="s">
        <v>1399</v>
      </c>
      <c r="H1854" s="2" t="s">
        <v>1400</v>
      </c>
      <c r="I1854" s="4" t="s">
        <v>62</v>
      </c>
      <c r="J1854" s="112">
        <f>IF($H1854&lt;&gt;"Y",0,ROUND(MIN(Dashboard!$R$24,IF(IFERROR(VLOOKUP($B1854,Dashboard!$Q$28:$S$60,2,FALSE),0)&gt;0,IFERROR(VLOOKUP($B1854,Dashboard!$Q$28:$S$60,2,FALSE),0),$Z1854*IF($U1854&lt;&gt;"",ROUND((Dashboard!$R$4/$U1854)*VLOOKUP($I1854,Dashboard!$Q$9:$R$13,2,FALSE)*IF(ISNUMBER(SEARCH("Duals",$B1854)),2,IF(ISNUMBER(SEARCH("Triples",$B1854)),3,IF(ISNUMBER(SEARCH("Quads",$B1854)),4,1))),2),ROUND(VLOOKUP($I1854,Dashboard!$Q$15:$R$20,2,FALSE)*IF($E1854="Red",Dashboard!$R$6,IF($E1854="Gold",Dashboard!$R$7,Dashboard!$R$5))*IF(ISNUMBER(SEARCH("Duals",$B1854)),2,IF(ISNUMBER(SEARCH("Triples",$B1854)),3,IF(ISNUMBER(SEARCH("Quads",$B1854)),4,1))),2))*IF(IFERROR(VLOOKUP($B1854,Dashboard!$Q$28:$S$60,3,FALSE),0)&gt;0,VLOOKUP($B1854,Dashboard!$Q$28:$S$60,3,FALSE),1))),0))</f>
        <v>134</v>
      </c>
      <c r="K1854" s="2" t="str">
        <f>IF('Inserts - Story'!E29="","",'Inserts - Story'!E29)</f>
        <v/>
      </c>
      <c r="L1854" s="2">
        <f t="shared" si="364"/>
        <v>0</v>
      </c>
      <c r="M1854" s="2">
        <f t="shared" si="365"/>
        <v>0</v>
      </c>
      <c r="N1854" s="2">
        <f t="shared" si="366"/>
        <v>0</v>
      </c>
      <c r="O1854" s="2">
        <f t="shared" si="367"/>
        <v>1</v>
      </c>
      <c r="P1854" s="112">
        <f t="shared" si="368"/>
        <v>0</v>
      </c>
      <c r="Q1854" s="112">
        <f t="shared" si="369"/>
        <v>0</v>
      </c>
      <c r="R1854" s="53"/>
      <c r="S1854" s="53" t="str">
        <f t="shared" si="370"/>
        <v>Inserts - Story|Quotes Gold Parallel|Q-13|Gold</v>
      </c>
      <c r="T1854" s="57" t="str">
        <f>IF($S1854="","",IFERROR(VLOOKUP($S1854,'Pop Estimates (Non-#d)'!$N$2:$O$500,2,FALSE),""))</f>
        <v/>
      </c>
      <c r="U1854" s="57">
        <f t="shared" si="371"/>
        <v>7</v>
      </c>
      <c r="V1854" s="53" t="str">
        <f t="shared" si="372"/>
        <v/>
      </c>
      <c r="W1854" s="53" t="str">
        <f t="shared" si="373"/>
        <v/>
      </c>
      <c r="X1854" s="53" t="str">
        <f t="shared" si="374"/>
        <v/>
      </c>
      <c r="Y1854" s="57" t="str">
        <f>IF($X1854="","",IFERROR(VLOOKUP($X1854,'Char Popularity'!$A$2:$C$500,2,FALSE),""))</f>
        <v/>
      </c>
      <c r="Z1854" s="56">
        <f>IF($X1854="",1,IFERROR(VLOOKUP($X1854,'Char Popularity'!$A$2:$C$500,3,FALSE),1))</f>
        <v>1</v>
      </c>
      <c r="AA1854" s="62">
        <f>IF($H1854&lt;&gt;"Y",0,(IF($F1854&lt;&gt;"",ROUND(Dashboard!$R$4/$F1854,1),IF(AND($I1854="Base",$E1854="Base"),Dashboard!$R$5,IF(AND($I1854="Base",$E1854="Red"),Dashboard!$R$6,IF(AND($I1854="Base",$E1854="Gold"),Dashboard!$R$7,VLOOKUP($I1854,Dashboard!$Q$16:$R$21,2,FALSE)))))*VLOOKUP($I1854,Dashboard!$Q$9:$R$13,2,FALSE)*IF(AND($I1854="Auto",$F1854="",OR($B1854="Autographs Duals",$B1854="Autographs Triples",$B1854="Autographs Quads",$B1854="Autographs Quads (Inscribed)")),IF($B1854="Autographs Duals",2,IF($B1854="Autographs Triples",3,4)),1)))</f>
        <v>171.48</v>
      </c>
      <c r="AB1854" s="62">
        <f t="shared" si="375"/>
        <v>0</v>
      </c>
      <c r="AC1854" s="62">
        <f t="shared" si="376"/>
        <v>0</v>
      </c>
    </row>
    <row r="1855" spans="1:29" ht="28.7" customHeight="1" x14ac:dyDescent="0.25">
      <c r="A1855" s="4" t="s">
        <v>23</v>
      </c>
      <c r="B1855" s="7" t="s">
        <v>108</v>
      </c>
      <c r="C1855" s="2" t="s">
        <v>734</v>
      </c>
      <c r="D1855" s="7" t="s">
        <v>387</v>
      </c>
      <c r="E1855" s="4" t="s">
        <v>1602</v>
      </c>
      <c r="F1855" s="2">
        <v>7</v>
      </c>
      <c r="G1855" s="2" t="s">
        <v>1399</v>
      </c>
      <c r="H1855" s="2" t="s">
        <v>1400</v>
      </c>
      <c r="I1855" s="4" t="s">
        <v>62</v>
      </c>
      <c r="J1855" s="112">
        <f>IF($H1855&lt;&gt;"Y",0,ROUND(MIN(Dashboard!$R$24,IF(IFERROR(VLOOKUP($B1855,Dashboard!$Q$28:$S$60,2,FALSE),0)&gt;0,IFERROR(VLOOKUP($B1855,Dashboard!$Q$28:$S$60,2,FALSE),0),$Z1855*IF($U1855&lt;&gt;"",ROUND((Dashboard!$R$4/$U1855)*VLOOKUP($I1855,Dashboard!$Q$9:$R$13,2,FALSE)*IF(ISNUMBER(SEARCH("Duals",$B1855)),2,IF(ISNUMBER(SEARCH("Triples",$B1855)),3,IF(ISNUMBER(SEARCH("Quads",$B1855)),4,1))),2),ROUND(VLOOKUP($I1855,Dashboard!$Q$15:$R$20,2,FALSE)*IF($E1855="Red",Dashboard!$R$6,IF($E1855="Gold",Dashboard!$R$7,Dashboard!$R$5))*IF(ISNUMBER(SEARCH("Duals",$B1855)),2,IF(ISNUMBER(SEARCH("Triples",$B1855)),3,IF(ISNUMBER(SEARCH("Quads",$B1855)),4,1))),2))*IF(IFERROR(VLOOKUP($B1855,Dashboard!$Q$28:$S$60,3,FALSE),0)&gt;0,VLOOKUP($B1855,Dashboard!$Q$28:$S$60,3,FALSE),1))),0))</f>
        <v>134</v>
      </c>
      <c r="K1855" s="2" t="str">
        <f>IF('Inserts - Story'!E30="","",'Inserts - Story'!E30)</f>
        <v/>
      </c>
      <c r="L1855" s="2">
        <f t="shared" si="364"/>
        <v>0</v>
      </c>
      <c r="M1855" s="2">
        <f t="shared" si="365"/>
        <v>0</v>
      </c>
      <c r="N1855" s="2">
        <f t="shared" si="366"/>
        <v>0</v>
      </c>
      <c r="O1855" s="2">
        <f t="shared" si="367"/>
        <v>1</v>
      </c>
      <c r="P1855" s="112">
        <f t="shared" si="368"/>
        <v>0</v>
      </c>
      <c r="Q1855" s="112">
        <f t="shared" si="369"/>
        <v>0</v>
      </c>
      <c r="R1855" s="53"/>
      <c r="S1855" s="53" t="str">
        <f t="shared" si="370"/>
        <v>Inserts - Story|Quotes Gold Parallel|Q-14|Gold</v>
      </c>
      <c r="T1855" s="57" t="str">
        <f>IF($S1855="","",IFERROR(VLOOKUP($S1855,'Pop Estimates (Non-#d)'!$N$2:$O$500,2,FALSE),""))</f>
        <v/>
      </c>
      <c r="U1855" s="57">
        <f t="shared" si="371"/>
        <v>7</v>
      </c>
      <c r="V1855" s="53" t="str">
        <f t="shared" si="372"/>
        <v/>
      </c>
      <c r="W1855" s="53" t="str">
        <f t="shared" si="373"/>
        <v/>
      </c>
      <c r="X1855" s="53" t="str">
        <f t="shared" si="374"/>
        <v/>
      </c>
      <c r="Y1855" s="57" t="str">
        <f>IF($X1855="","",IFERROR(VLOOKUP($X1855,'Char Popularity'!$A$2:$C$500,2,FALSE),""))</f>
        <v/>
      </c>
      <c r="Z1855" s="56">
        <f>IF($X1855="",1,IFERROR(VLOOKUP($X1855,'Char Popularity'!$A$2:$C$500,3,FALSE),1))</f>
        <v>1</v>
      </c>
      <c r="AA1855" s="62">
        <f>IF($H1855&lt;&gt;"Y",0,(IF($F1855&lt;&gt;"",ROUND(Dashboard!$R$4/$F1855,1),IF(AND($I1855="Base",$E1855="Base"),Dashboard!$R$5,IF(AND($I1855="Base",$E1855="Red"),Dashboard!$R$6,IF(AND($I1855="Base",$E1855="Gold"),Dashboard!$R$7,VLOOKUP($I1855,Dashboard!$Q$16:$R$21,2,FALSE)))))*VLOOKUP($I1855,Dashboard!$Q$9:$R$13,2,FALSE)*IF(AND($I1855="Auto",$F1855="",OR($B1855="Autographs Duals",$B1855="Autographs Triples",$B1855="Autographs Quads",$B1855="Autographs Quads (Inscribed)")),IF($B1855="Autographs Duals",2,IF($B1855="Autographs Triples",3,4)),1)))</f>
        <v>171.48</v>
      </c>
      <c r="AB1855" s="62">
        <f t="shared" si="375"/>
        <v>0</v>
      </c>
      <c r="AC1855" s="62">
        <f t="shared" si="376"/>
        <v>0</v>
      </c>
    </row>
    <row r="1856" spans="1:29" ht="28.7" customHeight="1" x14ac:dyDescent="0.25">
      <c r="A1856" s="4" t="s">
        <v>23</v>
      </c>
      <c r="B1856" s="7" t="s">
        <v>108</v>
      </c>
      <c r="C1856" s="2" t="s">
        <v>735</v>
      </c>
      <c r="D1856" s="7" t="s">
        <v>339</v>
      </c>
      <c r="E1856" s="4" t="s">
        <v>1602</v>
      </c>
      <c r="F1856" s="2">
        <v>7</v>
      </c>
      <c r="G1856" s="2" t="s">
        <v>1399</v>
      </c>
      <c r="H1856" s="2" t="s">
        <v>1400</v>
      </c>
      <c r="I1856" s="4" t="s">
        <v>62</v>
      </c>
      <c r="J1856" s="112">
        <f>IF($H1856&lt;&gt;"Y",0,ROUND(MIN(Dashboard!$R$24,IF(IFERROR(VLOOKUP($B1856,Dashboard!$Q$28:$S$60,2,FALSE),0)&gt;0,IFERROR(VLOOKUP($B1856,Dashboard!$Q$28:$S$60,2,FALSE),0),$Z1856*IF($U1856&lt;&gt;"",ROUND((Dashboard!$R$4/$U1856)*VLOOKUP($I1856,Dashboard!$Q$9:$R$13,2,FALSE)*IF(ISNUMBER(SEARCH("Duals",$B1856)),2,IF(ISNUMBER(SEARCH("Triples",$B1856)),3,IF(ISNUMBER(SEARCH("Quads",$B1856)),4,1))),2),ROUND(VLOOKUP($I1856,Dashboard!$Q$15:$R$20,2,FALSE)*IF($E1856="Red",Dashboard!$R$6,IF($E1856="Gold",Dashboard!$R$7,Dashboard!$R$5))*IF(ISNUMBER(SEARCH("Duals",$B1856)),2,IF(ISNUMBER(SEARCH("Triples",$B1856)),3,IF(ISNUMBER(SEARCH("Quads",$B1856)),4,1))),2))*IF(IFERROR(VLOOKUP($B1856,Dashboard!$Q$28:$S$60,3,FALSE),0)&gt;0,VLOOKUP($B1856,Dashboard!$Q$28:$S$60,3,FALSE),1))),0))</f>
        <v>134</v>
      </c>
      <c r="K1856" s="2" t="str">
        <f>IF('Inserts - Story'!E31="","",'Inserts - Story'!E31)</f>
        <v/>
      </c>
      <c r="L1856" s="2">
        <f t="shared" si="364"/>
        <v>0</v>
      </c>
      <c r="M1856" s="2">
        <f t="shared" si="365"/>
        <v>0</v>
      </c>
      <c r="N1856" s="2">
        <f t="shared" si="366"/>
        <v>0</v>
      </c>
      <c r="O1856" s="2">
        <f t="shared" si="367"/>
        <v>1</v>
      </c>
      <c r="P1856" s="112">
        <f t="shared" si="368"/>
        <v>0</v>
      </c>
      <c r="Q1856" s="112">
        <f t="shared" si="369"/>
        <v>0</v>
      </c>
      <c r="R1856" s="53"/>
      <c r="S1856" s="53" t="str">
        <f t="shared" si="370"/>
        <v>Inserts - Story|Quotes Gold Parallel|Q-15|Gold</v>
      </c>
      <c r="T1856" s="57" t="str">
        <f>IF($S1856="","",IFERROR(VLOOKUP($S1856,'Pop Estimates (Non-#d)'!$N$2:$O$500,2,FALSE),""))</f>
        <v/>
      </c>
      <c r="U1856" s="57">
        <f t="shared" si="371"/>
        <v>7</v>
      </c>
      <c r="V1856" s="53" t="str">
        <f t="shared" si="372"/>
        <v/>
      </c>
      <c r="W1856" s="53" t="str">
        <f t="shared" si="373"/>
        <v/>
      </c>
      <c r="X1856" s="53" t="str">
        <f t="shared" si="374"/>
        <v/>
      </c>
      <c r="Y1856" s="57" t="str">
        <f>IF($X1856="","",IFERROR(VLOOKUP($X1856,'Char Popularity'!$A$2:$C$500,2,FALSE),""))</f>
        <v/>
      </c>
      <c r="Z1856" s="56">
        <f>IF($X1856="",1,IFERROR(VLOOKUP($X1856,'Char Popularity'!$A$2:$C$500,3,FALSE),1))</f>
        <v>1</v>
      </c>
      <c r="AA1856" s="62">
        <f>IF($H1856&lt;&gt;"Y",0,(IF($F1856&lt;&gt;"",ROUND(Dashboard!$R$4/$F1856,1),IF(AND($I1856="Base",$E1856="Base"),Dashboard!$R$5,IF(AND($I1856="Base",$E1856="Red"),Dashboard!$R$6,IF(AND($I1856="Base",$E1856="Gold"),Dashboard!$R$7,VLOOKUP($I1856,Dashboard!$Q$16:$R$21,2,FALSE)))))*VLOOKUP($I1856,Dashboard!$Q$9:$R$13,2,FALSE)*IF(AND($I1856="Auto",$F1856="",OR($B1856="Autographs Duals",$B1856="Autographs Triples",$B1856="Autographs Quads",$B1856="Autographs Quads (Inscribed)")),IF($B1856="Autographs Duals",2,IF($B1856="Autographs Triples",3,4)),1)))</f>
        <v>171.48</v>
      </c>
      <c r="AB1856" s="62">
        <f t="shared" si="375"/>
        <v>0</v>
      </c>
      <c r="AC1856" s="62">
        <f t="shared" si="376"/>
        <v>0</v>
      </c>
    </row>
    <row r="1857" spans="1:29" ht="30" customHeight="1" x14ac:dyDescent="0.25">
      <c r="A1857" s="4" t="s">
        <v>27</v>
      </c>
      <c r="B1857" s="7" t="s">
        <v>27</v>
      </c>
      <c r="C1857" s="2" t="s">
        <v>553</v>
      </c>
      <c r="D1857" s="7" t="s">
        <v>554</v>
      </c>
      <c r="E1857" s="4" t="s">
        <v>60</v>
      </c>
      <c r="F1857" s="2"/>
      <c r="G1857" s="2" t="s">
        <v>1399</v>
      </c>
      <c r="H1857" s="2" t="s">
        <v>1400</v>
      </c>
      <c r="I1857" s="4" t="s">
        <v>62</v>
      </c>
      <c r="J1857" s="112">
        <f>IF($H1857&lt;&gt;"Y",0,ROUND(MIN(Dashboard!$R$24,IF(IFERROR(VLOOKUP($B1857,Dashboard!$Q$28:$S$60,2,FALSE),0)&gt;0,IFERROR(VLOOKUP($B1857,Dashboard!$Q$28:$S$60,2,FALSE),0),$Z1857*IF($U1857&lt;&gt;"",ROUND((Dashboard!$R$4/$U1857)*VLOOKUP($I1857,Dashboard!$Q$9:$R$13,2,FALSE)*IF(ISNUMBER(SEARCH("Duals",$B1857)),2,IF(ISNUMBER(SEARCH("Triples",$B1857)),3,IF(ISNUMBER(SEARCH("Quads",$B1857)),4,1))),2),ROUND(VLOOKUP($I1857,Dashboard!$Q$15:$R$20,2,FALSE)*IF($E1857="Red",Dashboard!$R$6,IF($E1857="Gold",Dashboard!$R$7,Dashboard!$R$5))*IF(ISNUMBER(SEARCH("Duals",$B1857)),2,IF(ISNUMBER(SEARCH("Triples",$B1857)),3,IF(ISNUMBER(SEARCH("Quads",$B1857)),4,1))),2))*IF(IFERROR(VLOOKUP($B1857,Dashboard!$Q$28:$S$60,3,FALSE),0)&gt;0,VLOOKUP($B1857,Dashboard!$Q$28:$S$60,3,FALSE),1))),0))</f>
        <v>2</v>
      </c>
      <c r="K1857" s="2" t="str">
        <f>IF('A View From Home'!E2="","",'A View From Home'!E2)</f>
        <v>V</v>
      </c>
      <c r="L1857" s="2">
        <f t="shared" si="364"/>
        <v>1</v>
      </c>
      <c r="M1857" s="2">
        <f t="shared" si="365"/>
        <v>0</v>
      </c>
      <c r="N1857" s="2">
        <f t="shared" si="366"/>
        <v>1</v>
      </c>
      <c r="O1857" s="2">
        <f t="shared" si="367"/>
        <v>0</v>
      </c>
      <c r="P1857" s="112">
        <f t="shared" si="368"/>
        <v>2</v>
      </c>
      <c r="Q1857" s="112">
        <f t="shared" si="369"/>
        <v>0</v>
      </c>
      <c r="R1857" s="53"/>
      <c r="S1857" s="53" t="str">
        <f t="shared" si="370"/>
        <v>A View From Home|A View From Home|VFH-1|Base</v>
      </c>
      <c r="T1857" s="57">
        <f>IF($S1857="","",IFERROR(VLOOKUP($S1857,'Pop Estimates (Non-#d)'!$N$2:$O$500,2,FALSE),""))</f>
        <v>713</v>
      </c>
      <c r="U1857" s="57">
        <f t="shared" si="371"/>
        <v>713</v>
      </c>
      <c r="V1857" s="53" t="str">
        <f t="shared" si="372"/>
        <v/>
      </c>
      <c r="W1857" s="53" t="str">
        <f t="shared" si="373"/>
        <v/>
      </c>
      <c r="X1857" s="53" t="str">
        <f t="shared" si="374"/>
        <v/>
      </c>
      <c r="Y1857" s="57" t="str">
        <f>IF($X1857="","",IFERROR(VLOOKUP($X1857,'Char Popularity'!$A$2:$C$500,2,FALSE),""))</f>
        <v/>
      </c>
      <c r="Z1857" s="56">
        <f>IF($X1857="",1,IFERROR(VLOOKUP($X1857,'Char Popularity'!$A$2:$C$500,3,FALSE),1))</f>
        <v>1</v>
      </c>
      <c r="AA1857" s="62">
        <f>IF($H1857&lt;&gt;"Y",0,(IF($F1857&lt;&gt;"",ROUND(Dashboard!$R$4/$F1857,1),IF(AND($I1857="Base",$E1857="Base"),Dashboard!$R$5,IF(AND($I1857="Base",$E1857="Red"),Dashboard!$R$6,IF(AND($I1857="Base",$E1857="Gold"),Dashboard!$R$7,VLOOKUP($I1857,Dashboard!$Q$16:$R$21,2,FALSE)))))*VLOOKUP($I1857,Dashboard!$Q$9:$R$13,2,FALSE)*IF(AND($I1857="Auto",$F1857="",OR($B1857="Autographs Duals",$B1857="Autographs Triples",$B1857="Autographs Quads",$B1857="Autographs Quads (Inscribed)")),IF($B1857="Autographs Duals",2,IF($B1857="Autographs Triples",3,4)),1)))</f>
        <v>6</v>
      </c>
      <c r="AB1857" s="62">
        <f t="shared" si="375"/>
        <v>6</v>
      </c>
      <c r="AC1857" s="62">
        <f t="shared" si="376"/>
        <v>0</v>
      </c>
    </row>
    <row r="1858" spans="1:29" ht="30" customHeight="1" x14ac:dyDescent="0.25">
      <c r="A1858" s="4" t="s">
        <v>27</v>
      </c>
      <c r="B1858" s="7" t="s">
        <v>27</v>
      </c>
      <c r="C1858" s="2" t="s">
        <v>575</v>
      </c>
      <c r="D1858" s="7" t="s">
        <v>576</v>
      </c>
      <c r="E1858" s="4" t="s">
        <v>60</v>
      </c>
      <c r="F1858" s="2"/>
      <c r="G1858" s="2" t="s">
        <v>1399</v>
      </c>
      <c r="H1858" s="2" t="s">
        <v>1400</v>
      </c>
      <c r="I1858" s="4" t="s">
        <v>62</v>
      </c>
      <c r="J1858" s="112">
        <f>IF($H1858&lt;&gt;"Y",0,ROUND(MIN(Dashboard!$R$24,IF(IFERROR(VLOOKUP($B1858,Dashboard!$Q$28:$S$60,2,FALSE),0)&gt;0,IFERROR(VLOOKUP($B1858,Dashboard!$Q$28:$S$60,2,FALSE),0),$Z1858*IF($U1858&lt;&gt;"",ROUND((Dashboard!$R$4/$U1858)*VLOOKUP($I1858,Dashboard!$Q$9:$R$13,2,FALSE)*IF(ISNUMBER(SEARCH("Duals",$B1858)),2,IF(ISNUMBER(SEARCH("Triples",$B1858)),3,IF(ISNUMBER(SEARCH("Quads",$B1858)),4,1))),2),ROUND(VLOOKUP($I1858,Dashboard!$Q$15:$R$20,2,FALSE)*IF($E1858="Red",Dashboard!$R$6,IF($E1858="Gold",Dashboard!$R$7,Dashboard!$R$5))*IF(ISNUMBER(SEARCH("Duals",$B1858)),2,IF(ISNUMBER(SEARCH("Triples",$B1858)),3,IF(ISNUMBER(SEARCH("Quads",$B1858)),4,1))),2))*IF(IFERROR(VLOOKUP($B1858,Dashboard!$Q$28:$S$60,3,FALSE),0)&gt;0,VLOOKUP($B1858,Dashboard!$Q$28:$S$60,3,FALSE),1))),0))</f>
        <v>2</v>
      </c>
      <c r="K1858" s="2" t="str">
        <f>IF('A View From Home'!E3="","",'A View From Home'!E3)</f>
        <v>V</v>
      </c>
      <c r="L1858" s="2">
        <f t="shared" ref="L1858:L1921" si="377">IF(AND($K1858&lt;&gt;"",LEFT($K1858,1)&lt;&gt;"Y"),1,0)</f>
        <v>1</v>
      </c>
      <c r="M1858" s="2">
        <f t="shared" ref="M1858:M1921" si="378">IF(LEFT($K1858,1)="Y",1,0)</f>
        <v>0</v>
      </c>
      <c r="N1858" s="2">
        <f t="shared" ref="N1858:N1921" si="379">$L1858+$M1858</f>
        <v>1</v>
      </c>
      <c r="O1858" s="2">
        <f t="shared" ref="O1858:O1921" si="380">IF($H1858="Y",1-$N1858,0)</f>
        <v>0</v>
      </c>
      <c r="P1858" s="112">
        <f t="shared" ref="P1858:P1921" si="381">IF($L1858=1,$J1858,0)</f>
        <v>2</v>
      </c>
      <c r="Q1858" s="112">
        <f t="shared" ref="Q1858:Q1921" si="382">IF($M1858=1,$J1858,0)</f>
        <v>0</v>
      </c>
      <c r="R1858" s="53"/>
      <c r="S1858" s="53" t="str">
        <f t="shared" ref="S1858:S1921" si="383">IF($A1858="","",$A1858&amp;"|"&amp;$B1858&amp;"|"&amp;$C1858&amp;"|"&amp;$E1858)</f>
        <v>A View From Home|A View From Home|VFH-2|Base</v>
      </c>
      <c r="T1858" s="57">
        <f>IF($S1858="","",IFERROR(VLOOKUP($S1858,'Pop Estimates (Non-#d)'!$N$2:$O$500,2,FALSE),""))</f>
        <v>713</v>
      </c>
      <c r="U1858" s="57">
        <f t="shared" ref="U1858:U1921" si="384">IF($A1858="","",IF($F1858&lt;&gt;"",$F1858,$T1858))</f>
        <v>713</v>
      </c>
      <c r="V1858" s="53" t="str">
        <f t="shared" ref="V1858:V1921" si="385">IF($A1858="","",IF(ISNUMBER(SEARCH(" as ",$D1858)),MID($D1858,SEARCH(" as ",$D1858)+4,255),IF(ISNUMBER(SEARCH("/",$D1858)),LEFT($D1858,FIND("/",$D1858&amp;"/")-1),"")))</f>
        <v/>
      </c>
      <c r="W1858" s="53" t="str">
        <f t="shared" ref="W1858:W1921" si="386">IF($V1858="","",TRIM(IFERROR(MID($V1858,SEARCH("(", $V1858)+1,SEARCH(")",$V1858)-SEARCH("(", $V1858)-1),$V1858)))</f>
        <v/>
      </c>
      <c r="X1858" s="53" t="str">
        <f t="shared" ref="X1858:X1921" si="387">IF($W1858="","",TRIM(LEFT($W1858&amp;"""",FIND("""",$W1858&amp;"""")-1)))</f>
        <v/>
      </c>
      <c r="Y1858" s="57" t="str">
        <f>IF($X1858="","",IFERROR(VLOOKUP($X1858,'Char Popularity'!$A$2:$C$500,2,FALSE),""))</f>
        <v/>
      </c>
      <c r="Z1858" s="56">
        <f>IF($X1858="",1,IFERROR(VLOOKUP($X1858,'Char Popularity'!$A$2:$C$500,3,FALSE),1))</f>
        <v>1</v>
      </c>
      <c r="AA1858" s="62">
        <f>IF($H1858&lt;&gt;"Y",0,(IF($F1858&lt;&gt;"",ROUND(Dashboard!$R$4/$F1858,1),IF(AND($I1858="Base",$E1858="Base"),Dashboard!$R$5,IF(AND($I1858="Base",$E1858="Red"),Dashboard!$R$6,IF(AND($I1858="Base",$E1858="Gold"),Dashboard!$R$7,VLOOKUP($I1858,Dashboard!$Q$16:$R$21,2,FALSE)))))*VLOOKUP($I1858,Dashboard!$Q$9:$R$13,2,FALSE)*IF(AND($I1858="Auto",$F1858="",OR($B1858="Autographs Duals",$B1858="Autographs Triples",$B1858="Autographs Quads",$B1858="Autographs Quads (Inscribed)")),IF($B1858="Autographs Duals",2,IF($B1858="Autographs Triples",3,4)),1)))</f>
        <v>6</v>
      </c>
      <c r="AB1858" s="62">
        <f t="shared" ref="AB1858:AB1921" si="388">IF($L1858=1,$AA1858,0)</f>
        <v>6</v>
      </c>
      <c r="AC1858" s="62">
        <f t="shared" ref="AC1858:AC1921" si="389">IF($M1858=1,$AA1858,0)</f>
        <v>0</v>
      </c>
    </row>
    <row r="1859" spans="1:29" ht="30" customHeight="1" x14ac:dyDescent="0.25">
      <c r="A1859" s="4" t="s">
        <v>27</v>
      </c>
      <c r="B1859" s="7" t="s">
        <v>27</v>
      </c>
      <c r="C1859" s="2" t="s">
        <v>597</v>
      </c>
      <c r="D1859" s="7" t="s">
        <v>598</v>
      </c>
      <c r="E1859" s="4" t="s">
        <v>60</v>
      </c>
      <c r="F1859" s="2"/>
      <c r="G1859" s="2" t="s">
        <v>1399</v>
      </c>
      <c r="H1859" s="2" t="s">
        <v>1400</v>
      </c>
      <c r="I1859" s="4" t="s">
        <v>62</v>
      </c>
      <c r="J1859" s="112">
        <f>IF($H1859&lt;&gt;"Y",0,ROUND(MIN(Dashboard!$R$24,IF(IFERROR(VLOOKUP($B1859,Dashboard!$Q$28:$S$60,2,FALSE),0)&gt;0,IFERROR(VLOOKUP($B1859,Dashboard!$Q$28:$S$60,2,FALSE),0),$Z1859*IF($U1859&lt;&gt;"",ROUND((Dashboard!$R$4/$U1859)*VLOOKUP($I1859,Dashboard!$Q$9:$R$13,2,FALSE)*IF(ISNUMBER(SEARCH("Duals",$B1859)),2,IF(ISNUMBER(SEARCH("Triples",$B1859)),3,IF(ISNUMBER(SEARCH("Quads",$B1859)),4,1))),2),ROUND(VLOOKUP($I1859,Dashboard!$Q$15:$R$20,2,FALSE)*IF($E1859="Red",Dashboard!$R$6,IF($E1859="Gold",Dashboard!$R$7,Dashboard!$R$5))*IF(ISNUMBER(SEARCH("Duals",$B1859)),2,IF(ISNUMBER(SEARCH("Triples",$B1859)),3,IF(ISNUMBER(SEARCH("Quads",$B1859)),4,1))),2))*IF(IFERROR(VLOOKUP($B1859,Dashboard!$Q$28:$S$60,3,FALSE),0)&gt;0,VLOOKUP($B1859,Dashboard!$Q$28:$S$60,3,FALSE),1))),0))</f>
        <v>2</v>
      </c>
      <c r="K1859" s="2" t="str">
        <f>IF('A View From Home'!E4="","",'A View From Home'!E4)</f>
        <v>d</v>
      </c>
      <c r="L1859" s="2">
        <f t="shared" si="377"/>
        <v>1</v>
      </c>
      <c r="M1859" s="2">
        <f t="shared" si="378"/>
        <v>0</v>
      </c>
      <c r="N1859" s="2">
        <f t="shared" si="379"/>
        <v>1</v>
      </c>
      <c r="O1859" s="2">
        <f t="shared" si="380"/>
        <v>0</v>
      </c>
      <c r="P1859" s="112">
        <f t="shared" si="381"/>
        <v>2</v>
      </c>
      <c r="Q1859" s="112">
        <f t="shared" si="382"/>
        <v>0</v>
      </c>
      <c r="R1859" s="53"/>
      <c r="S1859" s="53" t="str">
        <f t="shared" si="383"/>
        <v>A View From Home|A View From Home|VFH-3|Base</v>
      </c>
      <c r="T1859" s="57">
        <f>IF($S1859="","",IFERROR(VLOOKUP($S1859,'Pop Estimates (Non-#d)'!$N$2:$O$500,2,FALSE),""))</f>
        <v>713</v>
      </c>
      <c r="U1859" s="57">
        <f t="shared" si="384"/>
        <v>713</v>
      </c>
      <c r="V1859" s="53" t="str">
        <f t="shared" si="385"/>
        <v/>
      </c>
      <c r="W1859" s="53" t="str">
        <f t="shared" si="386"/>
        <v/>
      </c>
      <c r="X1859" s="53" t="str">
        <f t="shared" si="387"/>
        <v/>
      </c>
      <c r="Y1859" s="57" t="str">
        <f>IF($X1859="","",IFERROR(VLOOKUP($X1859,'Char Popularity'!$A$2:$C$500,2,FALSE),""))</f>
        <v/>
      </c>
      <c r="Z1859" s="56">
        <f>IF($X1859="",1,IFERROR(VLOOKUP($X1859,'Char Popularity'!$A$2:$C$500,3,FALSE),1))</f>
        <v>1</v>
      </c>
      <c r="AA1859" s="62">
        <f>IF($H1859&lt;&gt;"Y",0,(IF($F1859&lt;&gt;"",ROUND(Dashboard!$R$4/$F1859,1),IF(AND($I1859="Base",$E1859="Base"),Dashboard!$R$5,IF(AND($I1859="Base",$E1859="Red"),Dashboard!$R$6,IF(AND($I1859="Base",$E1859="Gold"),Dashboard!$R$7,VLOOKUP($I1859,Dashboard!$Q$16:$R$21,2,FALSE)))))*VLOOKUP($I1859,Dashboard!$Q$9:$R$13,2,FALSE)*IF(AND($I1859="Auto",$F1859="",OR($B1859="Autographs Duals",$B1859="Autographs Triples",$B1859="Autographs Quads",$B1859="Autographs Quads (Inscribed)")),IF($B1859="Autographs Duals",2,IF($B1859="Autographs Triples",3,4)),1)))</f>
        <v>6</v>
      </c>
      <c r="AB1859" s="62">
        <f t="shared" si="388"/>
        <v>6</v>
      </c>
      <c r="AC1859" s="62">
        <f t="shared" si="389"/>
        <v>0</v>
      </c>
    </row>
    <row r="1860" spans="1:29" ht="30" customHeight="1" x14ac:dyDescent="0.25">
      <c r="A1860" s="4" t="s">
        <v>27</v>
      </c>
      <c r="B1860" s="7" t="s">
        <v>27</v>
      </c>
      <c r="C1860" s="2" t="s">
        <v>601</v>
      </c>
      <c r="D1860" s="7" t="s">
        <v>602</v>
      </c>
      <c r="E1860" s="4" t="s">
        <v>60</v>
      </c>
      <c r="F1860" s="2"/>
      <c r="G1860" s="2" t="s">
        <v>1399</v>
      </c>
      <c r="H1860" s="2" t="s">
        <v>1400</v>
      </c>
      <c r="I1860" s="4" t="s">
        <v>62</v>
      </c>
      <c r="J1860" s="112">
        <f>IF($H1860&lt;&gt;"Y",0,ROUND(MIN(Dashboard!$R$24,IF(IFERROR(VLOOKUP($B1860,Dashboard!$Q$28:$S$60,2,FALSE),0)&gt;0,IFERROR(VLOOKUP($B1860,Dashboard!$Q$28:$S$60,2,FALSE),0),$Z1860*IF($U1860&lt;&gt;"",ROUND((Dashboard!$R$4/$U1860)*VLOOKUP($I1860,Dashboard!$Q$9:$R$13,2,FALSE)*IF(ISNUMBER(SEARCH("Duals",$B1860)),2,IF(ISNUMBER(SEARCH("Triples",$B1860)),3,IF(ISNUMBER(SEARCH("Quads",$B1860)),4,1))),2),ROUND(VLOOKUP($I1860,Dashboard!$Q$15:$R$20,2,FALSE)*IF($E1860="Red",Dashboard!$R$6,IF($E1860="Gold",Dashboard!$R$7,Dashboard!$R$5))*IF(ISNUMBER(SEARCH("Duals",$B1860)),2,IF(ISNUMBER(SEARCH("Triples",$B1860)),3,IF(ISNUMBER(SEARCH("Quads",$B1860)),4,1))),2))*IF(IFERROR(VLOOKUP($B1860,Dashboard!$Q$28:$S$60,3,FALSE),0)&gt;0,VLOOKUP($B1860,Dashboard!$Q$28:$S$60,3,FALSE),1))),0))</f>
        <v>2</v>
      </c>
      <c r="K1860" s="2" t="str">
        <f>IF('A View From Home'!E5="","",'A View From Home'!E5)</f>
        <v>V</v>
      </c>
      <c r="L1860" s="2">
        <f t="shared" si="377"/>
        <v>1</v>
      </c>
      <c r="M1860" s="2">
        <f t="shared" si="378"/>
        <v>0</v>
      </c>
      <c r="N1860" s="2">
        <f t="shared" si="379"/>
        <v>1</v>
      </c>
      <c r="O1860" s="2">
        <f t="shared" si="380"/>
        <v>0</v>
      </c>
      <c r="P1860" s="112">
        <f t="shared" si="381"/>
        <v>2</v>
      </c>
      <c r="Q1860" s="112">
        <f t="shared" si="382"/>
        <v>0</v>
      </c>
      <c r="R1860" s="53"/>
      <c r="S1860" s="53" t="str">
        <f t="shared" si="383"/>
        <v>A View From Home|A View From Home|VFH-4|Base</v>
      </c>
      <c r="T1860" s="57">
        <f>IF($S1860="","",IFERROR(VLOOKUP($S1860,'Pop Estimates (Non-#d)'!$N$2:$O$500,2,FALSE),""))</f>
        <v>713</v>
      </c>
      <c r="U1860" s="57">
        <f t="shared" si="384"/>
        <v>713</v>
      </c>
      <c r="V1860" s="53" t="str">
        <f t="shared" si="385"/>
        <v/>
      </c>
      <c r="W1860" s="53" t="str">
        <f t="shared" si="386"/>
        <v/>
      </c>
      <c r="X1860" s="53" t="str">
        <f t="shared" si="387"/>
        <v/>
      </c>
      <c r="Y1860" s="57" t="str">
        <f>IF($X1860="","",IFERROR(VLOOKUP($X1860,'Char Popularity'!$A$2:$C$500,2,FALSE),""))</f>
        <v/>
      </c>
      <c r="Z1860" s="56">
        <f>IF($X1860="",1,IFERROR(VLOOKUP($X1860,'Char Popularity'!$A$2:$C$500,3,FALSE),1))</f>
        <v>1</v>
      </c>
      <c r="AA1860" s="62">
        <f>IF($H1860&lt;&gt;"Y",0,(IF($F1860&lt;&gt;"",ROUND(Dashboard!$R$4/$F1860,1),IF(AND($I1860="Base",$E1860="Base"),Dashboard!$R$5,IF(AND($I1860="Base",$E1860="Red"),Dashboard!$R$6,IF(AND($I1860="Base",$E1860="Gold"),Dashboard!$R$7,VLOOKUP($I1860,Dashboard!$Q$16:$R$21,2,FALSE)))))*VLOOKUP($I1860,Dashboard!$Q$9:$R$13,2,FALSE)*IF(AND($I1860="Auto",$F1860="",OR($B1860="Autographs Duals",$B1860="Autographs Triples",$B1860="Autographs Quads",$B1860="Autographs Quads (Inscribed)")),IF($B1860="Autographs Duals",2,IF($B1860="Autographs Triples",3,4)),1)))</f>
        <v>6</v>
      </c>
      <c r="AB1860" s="62">
        <f t="shared" si="388"/>
        <v>6</v>
      </c>
      <c r="AC1860" s="62">
        <f t="shared" si="389"/>
        <v>0</v>
      </c>
    </row>
    <row r="1861" spans="1:29" ht="30" customHeight="1" x14ac:dyDescent="0.25">
      <c r="A1861" s="4" t="s">
        <v>27</v>
      </c>
      <c r="B1861" s="7" t="s">
        <v>27</v>
      </c>
      <c r="C1861" s="2" t="s">
        <v>603</v>
      </c>
      <c r="D1861" s="7" t="s">
        <v>604</v>
      </c>
      <c r="E1861" s="4" t="s">
        <v>60</v>
      </c>
      <c r="F1861" s="2"/>
      <c r="G1861" s="2" t="s">
        <v>1399</v>
      </c>
      <c r="H1861" s="2" t="s">
        <v>1400</v>
      </c>
      <c r="I1861" s="4" t="s">
        <v>62</v>
      </c>
      <c r="J1861" s="112">
        <f>IF($H1861&lt;&gt;"Y",0,ROUND(MIN(Dashboard!$R$24,IF(IFERROR(VLOOKUP($B1861,Dashboard!$Q$28:$S$60,2,FALSE),0)&gt;0,IFERROR(VLOOKUP($B1861,Dashboard!$Q$28:$S$60,2,FALSE),0),$Z1861*IF($U1861&lt;&gt;"",ROUND((Dashboard!$R$4/$U1861)*VLOOKUP($I1861,Dashboard!$Q$9:$R$13,2,FALSE)*IF(ISNUMBER(SEARCH("Duals",$B1861)),2,IF(ISNUMBER(SEARCH("Triples",$B1861)),3,IF(ISNUMBER(SEARCH("Quads",$B1861)),4,1))),2),ROUND(VLOOKUP($I1861,Dashboard!$Q$15:$R$20,2,FALSE)*IF($E1861="Red",Dashboard!$R$6,IF($E1861="Gold",Dashboard!$R$7,Dashboard!$R$5))*IF(ISNUMBER(SEARCH("Duals",$B1861)),2,IF(ISNUMBER(SEARCH("Triples",$B1861)),3,IF(ISNUMBER(SEARCH("Quads",$B1861)),4,1))),2))*IF(IFERROR(VLOOKUP($B1861,Dashboard!$Q$28:$S$60,3,FALSE),0)&gt;0,VLOOKUP($B1861,Dashboard!$Q$28:$S$60,3,FALSE),1))),0))</f>
        <v>2</v>
      </c>
      <c r="K1861" s="2" t="str">
        <f>IF('A View From Home'!E6="","",'A View From Home'!E6)</f>
        <v>V</v>
      </c>
      <c r="L1861" s="2">
        <f t="shared" si="377"/>
        <v>1</v>
      </c>
      <c r="M1861" s="2">
        <f t="shared" si="378"/>
        <v>0</v>
      </c>
      <c r="N1861" s="2">
        <f t="shared" si="379"/>
        <v>1</v>
      </c>
      <c r="O1861" s="2">
        <f t="shared" si="380"/>
        <v>0</v>
      </c>
      <c r="P1861" s="112">
        <f t="shared" si="381"/>
        <v>2</v>
      </c>
      <c r="Q1861" s="112">
        <f t="shared" si="382"/>
        <v>0</v>
      </c>
      <c r="R1861" s="53"/>
      <c r="S1861" s="53" t="str">
        <f t="shared" si="383"/>
        <v>A View From Home|A View From Home|VFH-5|Base</v>
      </c>
      <c r="T1861" s="57">
        <f>IF($S1861="","",IFERROR(VLOOKUP($S1861,'Pop Estimates (Non-#d)'!$N$2:$O$500,2,FALSE),""))</f>
        <v>713</v>
      </c>
      <c r="U1861" s="57">
        <f t="shared" si="384"/>
        <v>713</v>
      </c>
      <c r="V1861" s="53" t="str">
        <f t="shared" si="385"/>
        <v/>
      </c>
      <c r="W1861" s="53" t="str">
        <f t="shared" si="386"/>
        <v/>
      </c>
      <c r="X1861" s="53" t="str">
        <f t="shared" si="387"/>
        <v/>
      </c>
      <c r="Y1861" s="57" t="str">
        <f>IF($X1861="","",IFERROR(VLOOKUP($X1861,'Char Popularity'!$A$2:$C$500,2,FALSE),""))</f>
        <v/>
      </c>
      <c r="Z1861" s="56">
        <f>IF($X1861="",1,IFERROR(VLOOKUP($X1861,'Char Popularity'!$A$2:$C$500,3,FALSE),1))</f>
        <v>1</v>
      </c>
      <c r="AA1861" s="62">
        <f>IF($H1861&lt;&gt;"Y",0,(IF($F1861&lt;&gt;"",ROUND(Dashboard!$R$4/$F1861,1),IF(AND($I1861="Base",$E1861="Base"),Dashboard!$R$5,IF(AND($I1861="Base",$E1861="Red"),Dashboard!$R$6,IF(AND($I1861="Base",$E1861="Gold"),Dashboard!$R$7,VLOOKUP($I1861,Dashboard!$Q$16:$R$21,2,FALSE)))))*VLOOKUP($I1861,Dashboard!$Q$9:$R$13,2,FALSE)*IF(AND($I1861="Auto",$F1861="",OR($B1861="Autographs Duals",$B1861="Autographs Triples",$B1861="Autographs Quads",$B1861="Autographs Quads (Inscribed)")),IF($B1861="Autographs Duals",2,IF($B1861="Autographs Triples",3,4)),1)))</f>
        <v>6</v>
      </c>
      <c r="AB1861" s="62">
        <f t="shared" si="388"/>
        <v>6</v>
      </c>
      <c r="AC1861" s="62">
        <f t="shared" si="389"/>
        <v>0</v>
      </c>
    </row>
    <row r="1862" spans="1:29" ht="30" customHeight="1" x14ac:dyDescent="0.25">
      <c r="A1862" s="4" t="s">
        <v>27</v>
      </c>
      <c r="B1862" s="7" t="s">
        <v>27</v>
      </c>
      <c r="C1862" s="2" t="s">
        <v>605</v>
      </c>
      <c r="D1862" s="7" t="s">
        <v>606</v>
      </c>
      <c r="E1862" s="4" t="s">
        <v>60</v>
      </c>
      <c r="F1862" s="2"/>
      <c r="G1862" s="2" t="s">
        <v>1399</v>
      </c>
      <c r="H1862" s="2" t="s">
        <v>1400</v>
      </c>
      <c r="I1862" s="4" t="s">
        <v>62</v>
      </c>
      <c r="J1862" s="112">
        <f>IF($H1862&lt;&gt;"Y",0,ROUND(MIN(Dashboard!$R$24,IF(IFERROR(VLOOKUP($B1862,Dashboard!$Q$28:$S$60,2,FALSE),0)&gt;0,IFERROR(VLOOKUP($B1862,Dashboard!$Q$28:$S$60,2,FALSE),0),$Z1862*IF($U1862&lt;&gt;"",ROUND((Dashboard!$R$4/$U1862)*VLOOKUP($I1862,Dashboard!$Q$9:$R$13,2,FALSE)*IF(ISNUMBER(SEARCH("Duals",$B1862)),2,IF(ISNUMBER(SEARCH("Triples",$B1862)),3,IF(ISNUMBER(SEARCH("Quads",$B1862)),4,1))),2),ROUND(VLOOKUP($I1862,Dashboard!$Q$15:$R$20,2,FALSE)*IF($E1862="Red",Dashboard!$R$6,IF($E1862="Gold",Dashboard!$R$7,Dashboard!$R$5))*IF(ISNUMBER(SEARCH("Duals",$B1862)),2,IF(ISNUMBER(SEARCH("Triples",$B1862)),3,IF(ISNUMBER(SEARCH("Quads",$B1862)),4,1))),2))*IF(IFERROR(VLOOKUP($B1862,Dashboard!$Q$28:$S$60,3,FALSE),0)&gt;0,VLOOKUP($B1862,Dashboard!$Q$28:$S$60,3,FALSE),1))),0))</f>
        <v>2</v>
      </c>
      <c r="K1862" s="2" t="str">
        <f>IF('A View From Home'!E7="","",'A View From Home'!E7)</f>
        <v>V</v>
      </c>
      <c r="L1862" s="2">
        <f t="shared" si="377"/>
        <v>1</v>
      </c>
      <c r="M1862" s="2">
        <f t="shared" si="378"/>
        <v>0</v>
      </c>
      <c r="N1862" s="2">
        <f t="shared" si="379"/>
        <v>1</v>
      </c>
      <c r="O1862" s="2">
        <f t="shared" si="380"/>
        <v>0</v>
      </c>
      <c r="P1862" s="112">
        <f t="shared" si="381"/>
        <v>2</v>
      </c>
      <c r="Q1862" s="112">
        <f t="shared" si="382"/>
        <v>0</v>
      </c>
      <c r="R1862" s="53"/>
      <c r="S1862" s="53" t="str">
        <f t="shared" si="383"/>
        <v>A View From Home|A View From Home|VFH-6|Base</v>
      </c>
      <c r="T1862" s="57">
        <f>IF($S1862="","",IFERROR(VLOOKUP($S1862,'Pop Estimates (Non-#d)'!$N$2:$O$500,2,FALSE),""))</f>
        <v>713</v>
      </c>
      <c r="U1862" s="57">
        <f t="shared" si="384"/>
        <v>713</v>
      </c>
      <c r="V1862" s="53" t="str">
        <f t="shared" si="385"/>
        <v/>
      </c>
      <c r="W1862" s="53" t="str">
        <f t="shared" si="386"/>
        <v/>
      </c>
      <c r="X1862" s="53" t="str">
        <f t="shared" si="387"/>
        <v/>
      </c>
      <c r="Y1862" s="57" t="str">
        <f>IF($X1862="","",IFERROR(VLOOKUP($X1862,'Char Popularity'!$A$2:$C$500,2,FALSE),""))</f>
        <v/>
      </c>
      <c r="Z1862" s="56">
        <f>IF($X1862="",1,IFERROR(VLOOKUP($X1862,'Char Popularity'!$A$2:$C$500,3,FALSE),1))</f>
        <v>1</v>
      </c>
      <c r="AA1862" s="62">
        <f>IF($H1862&lt;&gt;"Y",0,(IF($F1862&lt;&gt;"",ROUND(Dashboard!$R$4/$F1862,1),IF(AND($I1862="Base",$E1862="Base"),Dashboard!$R$5,IF(AND($I1862="Base",$E1862="Red"),Dashboard!$R$6,IF(AND($I1862="Base",$E1862="Gold"),Dashboard!$R$7,VLOOKUP($I1862,Dashboard!$Q$16:$R$21,2,FALSE)))))*VLOOKUP($I1862,Dashboard!$Q$9:$R$13,2,FALSE)*IF(AND($I1862="Auto",$F1862="",OR($B1862="Autographs Duals",$B1862="Autographs Triples",$B1862="Autographs Quads",$B1862="Autographs Quads (Inscribed)")),IF($B1862="Autographs Duals",2,IF($B1862="Autographs Triples",3,4)),1)))</f>
        <v>6</v>
      </c>
      <c r="AB1862" s="62">
        <f t="shared" si="388"/>
        <v>6</v>
      </c>
      <c r="AC1862" s="62">
        <f t="shared" si="389"/>
        <v>0</v>
      </c>
    </row>
    <row r="1863" spans="1:29" ht="30" customHeight="1" x14ac:dyDescent="0.25">
      <c r="A1863" s="4" t="s">
        <v>27</v>
      </c>
      <c r="B1863" s="7" t="s">
        <v>27</v>
      </c>
      <c r="C1863" s="2" t="s">
        <v>607</v>
      </c>
      <c r="D1863" s="7" t="s">
        <v>608</v>
      </c>
      <c r="E1863" s="4" t="s">
        <v>60</v>
      </c>
      <c r="F1863" s="2"/>
      <c r="G1863" s="2" t="s">
        <v>1399</v>
      </c>
      <c r="H1863" s="2" t="s">
        <v>1400</v>
      </c>
      <c r="I1863" s="4" t="s">
        <v>62</v>
      </c>
      <c r="J1863" s="112">
        <f>IF($H1863&lt;&gt;"Y",0,ROUND(MIN(Dashboard!$R$24,IF(IFERROR(VLOOKUP($B1863,Dashboard!$Q$28:$S$60,2,FALSE),0)&gt;0,IFERROR(VLOOKUP($B1863,Dashboard!$Q$28:$S$60,2,FALSE),0),$Z1863*IF($U1863&lt;&gt;"",ROUND((Dashboard!$R$4/$U1863)*VLOOKUP($I1863,Dashboard!$Q$9:$R$13,2,FALSE)*IF(ISNUMBER(SEARCH("Duals",$B1863)),2,IF(ISNUMBER(SEARCH("Triples",$B1863)),3,IF(ISNUMBER(SEARCH("Quads",$B1863)),4,1))),2),ROUND(VLOOKUP($I1863,Dashboard!$Q$15:$R$20,2,FALSE)*IF($E1863="Red",Dashboard!$R$6,IF($E1863="Gold",Dashboard!$R$7,Dashboard!$R$5))*IF(ISNUMBER(SEARCH("Duals",$B1863)),2,IF(ISNUMBER(SEARCH("Triples",$B1863)),3,IF(ISNUMBER(SEARCH("Quads",$B1863)),4,1))),2))*IF(IFERROR(VLOOKUP($B1863,Dashboard!$Q$28:$S$60,3,FALSE),0)&gt;0,VLOOKUP($B1863,Dashboard!$Q$28:$S$60,3,FALSE),1))),0))</f>
        <v>2</v>
      </c>
      <c r="K1863" s="2" t="str">
        <f>IF('A View From Home'!E8="","",'A View From Home'!E8)</f>
        <v>V</v>
      </c>
      <c r="L1863" s="2">
        <f t="shared" si="377"/>
        <v>1</v>
      </c>
      <c r="M1863" s="2">
        <f t="shared" si="378"/>
        <v>0</v>
      </c>
      <c r="N1863" s="2">
        <f t="shared" si="379"/>
        <v>1</v>
      </c>
      <c r="O1863" s="2">
        <f t="shared" si="380"/>
        <v>0</v>
      </c>
      <c r="P1863" s="112">
        <f t="shared" si="381"/>
        <v>2</v>
      </c>
      <c r="Q1863" s="112">
        <f t="shared" si="382"/>
        <v>0</v>
      </c>
      <c r="R1863" s="53"/>
      <c r="S1863" s="53" t="str">
        <f t="shared" si="383"/>
        <v>A View From Home|A View From Home|VFH-7|Base</v>
      </c>
      <c r="T1863" s="57">
        <f>IF($S1863="","",IFERROR(VLOOKUP($S1863,'Pop Estimates (Non-#d)'!$N$2:$O$500,2,FALSE),""))</f>
        <v>713</v>
      </c>
      <c r="U1863" s="57">
        <f t="shared" si="384"/>
        <v>713</v>
      </c>
      <c r="V1863" s="53" t="str">
        <f t="shared" si="385"/>
        <v/>
      </c>
      <c r="W1863" s="53" t="str">
        <f t="shared" si="386"/>
        <v/>
      </c>
      <c r="X1863" s="53" t="str">
        <f t="shared" si="387"/>
        <v/>
      </c>
      <c r="Y1863" s="57" t="str">
        <f>IF($X1863="","",IFERROR(VLOOKUP($X1863,'Char Popularity'!$A$2:$C$500,2,FALSE),""))</f>
        <v/>
      </c>
      <c r="Z1863" s="56">
        <f>IF($X1863="",1,IFERROR(VLOOKUP($X1863,'Char Popularity'!$A$2:$C$500,3,FALSE),1))</f>
        <v>1</v>
      </c>
      <c r="AA1863" s="62">
        <f>IF($H1863&lt;&gt;"Y",0,(IF($F1863&lt;&gt;"",ROUND(Dashboard!$R$4/$F1863,1),IF(AND($I1863="Base",$E1863="Base"),Dashboard!$R$5,IF(AND($I1863="Base",$E1863="Red"),Dashboard!$R$6,IF(AND($I1863="Base",$E1863="Gold"),Dashboard!$R$7,VLOOKUP($I1863,Dashboard!$Q$16:$R$21,2,FALSE)))))*VLOOKUP($I1863,Dashboard!$Q$9:$R$13,2,FALSE)*IF(AND($I1863="Auto",$F1863="",OR($B1863="Autographs Duals",$B1863="Autographs Triples",$B1863="Autographs Quads",$B1863="Autographs Quads (Inscribed)")),IF($B1863="Autographs Duals",2,IF($B1863="Autographs Triples",3,4)),1)))</f>
        <v>6</v>
      </c>
      <c r="AB1863" s="62">
        <f t="shared" si="388"/>
        <v>6</v>
      </c>
      <c r="AC1863" s="62">
        <f t="shared" si="389"/>
        <v>0</v>
      </c>
    </row>
    <row r="1864" spans="1:29" ht="30" customHeight="1" x14ac:dyDescent="0.25">
      <c r="A1864" s="4" t="s">
        <v>27</v>
      </c>
      <c r="B1864" s="7" t="s">
        <v>27</v>
      </c>
      <c r="C1864" s="2" t="s">
        <v>609</v>
      </c>
      <c r="D1864" s="7" t="s">
        <v>610</v>
      </c>
      <c r="E1864" s="4" t="s">
        <v>60</v>
      </c>
      <c r="F1864" s="2"/>
      <c r="G1864" s="2" t="s">
        <v>1399</v>
      </c>
      <c r="H1864" s="2" t="s">
        <v>1400</v>
      </c>
      <c r="I1864" s="4" t="s">
        <v>62</v>
      </c>
      <c r="J1864" s="112">
        <f>IF($H1864&lt;&gt;"Y",0,ROUND(MIN(Dashboard!$R$24,IF(IFERROR(VLOOKUP($B1864,Dashboard!$Q$28:$S$60,2,FALSE),0)&gt;0,IFERROR(VLOOKUP($B1864,Dashboard!$Q$28:$S$60,2,FALSE),0),$Z1864*IF($U1864&lt;&gt;"",ROUND((Dashboard!$R$4/$U1864)*VLOOKUP($I1864,Dashboard!$Q$9:$R$13,2,FALSE)*IF(ISNUMBER(SEARCH("Duals",$B1864)),2,IF(ISNUMBER(SEARCH("Triples",$B1864)),3,IF(ISNUMBER(SEARCH("Quads",$B1864)),4,1))),2),ROUND(VLOOKUP($I1864,Dashboard!$Q$15:$R$20,2,FALSE)*IF($E1864="Red",Dashboard!$R$6,IF($E1864="Gold",Dashboard!$R$7,Dashboard!$R$5))*IF(ISNUMBER(SEARCH("Duals",$B1864)),2,IF(ISNUMBER(SEARCH("Triples",$B1864)),3,IF(ISNUMBER(SEARCH("Quads",$B1864)),4,1))),2))*IF(IFERROR(VLOOKUP($B1864,Dashboard!$Q$28:$S$60,3,FALSE),0)&gt;0,VLOOKUP($B1864,Dashboard!$Q$28:$S$60,3,FALSE),1))),0))</f>
        <v>2</v>
      </c>
      <c r="K1864" s="2" t="str">
        <f>IF('A View From Home'!E9="","",'A View From Home'!E9)</f>
        <v>V</v>
      </c>
      <c r="L1864" s="2">
        <f t="shared" si="377"/>
        <v>1</v>
      </c>
      <c r="M1864" s="2">
        <f t="shared" si="378"/>
        <v>0</v>
      </c>
      <c r="N1864" s="2">
        <f t="shared" si="379"/>
        <v>1</v>
      </c>
      <c r="O1864" s="2">
        <f t="shared" si="380"/>
        <v>0</v>
      </c>
      <c r="P1864" s="112">
        <f t="shared" si="381"/>
        <v>2</v>
      </c>
      <c r="Q1864" s="112">
        <f t="shared" si="382"/>
        <v>0</v>
      </c>
      <c r="R1864" s="53"/>
      <c r="S1864" s="53" t="str">
        <f t="shared" si="383"/>
        <v>A View From Home|A View From Home|VFH-8|Base</v>
      </c>
      <c r="T1864" s="57">
        <f>IF($S1864="","",IFERROR(VLOOKUP($S1864,'Pop Estimates (Non-#d)'!$N$2:$O$500,2,FALSE),""))</f>
        <v>713</v>
      </c>
      <c r="U1864" s="57">
        <f t="shared" si="384"/>
        <v>713</v>
      </c>
      <c r="V1864" s="53" t="str">
        <f t="shared" si="385"/>
        <v/>
      </c>
      <c r="W1864" s="53" t="str">
        <f t="shared" si="386"/>
        <v/>
      </c>
      <c r="X1864" s="53" t="str">
        <f t="shared" si="387"/>
        <v/>
      </c>
      <c r="Y1864" s="57" t="str">
        <f>IF($X1864="","",IFERROR(VLOOKUP($X1864,'Char Popularity'!$A$2:$C$500,2,FALSE),""))</f>
        <v/>
      </c>
      <c r="Z1864" s="56">
        <f>IF($X1864="",1,IFERROR(VLOOKUP($X1864,'Char Popularity'!$A$2:$C$500,3,FALSE),1))</f>
        <v>1</v>
      </c>
      <c r="AA1864" s="62">
        <f>IF($H1864&lt;&gt;"Y",0,(IF($F1864&lt;&gt;"",ROUND(Dashboard!$R$4/$F1864,1),IF(AND($I1864="Base",$E1864="Base"),Dashboard!$R$5,IF(AND($I1864="Base",$E1864="Red"),Dashboard!$R$6,IF(AND($I1864="Base",$E1864="Gold"),Dashboard!$R$7,VLOOKUP($I1864,Dashboard!$Q$16:$R$21,2,FALSE)))))*VLOOKUP($I1864,Dashboard!$Q$9:$R$13,2,FALSE)*IF(AND($I1864="Auto",$F1864="",OR($B1864="Autographs Duals",$B1864="Autographs Triples",$B1864="Autographs Quads",$B1864="Autographs Quads (Inscribed)")),IF($B1864="Autographs Duals",2,IF($B1864="Autographs Triples",3,4)),1)))</f>
        <v>6</v>
      </c>
      <c r="AB1864" s="62">
        <f t="shared" si="388"/>
        <v>6</v>
      </c>
      <c r="AC1864" s="62">
        <f t="shared" si="389"/>
        <v>0</v>
      </c>
    </row>
    <row r="1865" spans="1:29" ht="30" customHeight="1" x14ac:dyDescent="0.25">
      <c r="A1865" s="4" t="s">
        <v>27</v>
      </c>
      <c r="B1865" s="7" t="s">
        <v>27</v>
      </c>
      <c r="C1865" s="2" t="s">
        <v>611</v>
      </c>
      <c r="D1865" s="7" t="s">
        <v>612</v>
      </c>
      <c r="E1865" s="4" t="s">
        <v>60</v>
      </c>
      <c r="F1865" s="2"/>
      <c r="G1865" s="2" t="s">
        <v>1399</v>
      </c>
      <c r="H1865" s="2" t="s">
        <v>1400</v>
      </c>
      <c r="I1865" s="4" t="s">
        <v>62</v>
      </c>
      <c r="J1865" s="112">
        <f>IF($H1865&lt;&gt;"Y",0,ROUND(MIN(Dashboard!$R$24,IF(IFERROR(VLOOKUP($B1865,Dashboard!$Q$28:$S$60,2,FALSE),0)&gt;0,IFERROR(VLOOKUP($B1865,Dashboard!$Q$28:$S$60,2,FALSE),0),$Z1865*IF($U1865&lt;&gt;"",ROUND((Dashboard!$R$4/$U1865)*VLOOKUP($I1865,Dashboard!$Q$9:$R$13,2,FALSE)*IF(ISNUMBER(SEARCH("Duals",$B1865)),2,IF(ISNUMBER(SEARCH("Triples",$B1865)),3,IF(ISNUMBER(SEARCH("Quads",$B1865)),4,1))),2),ROUND(VLOOKUP($I1865,Dashboard!$Q$15:$R$20,2,FALSE)*IF($E1865="Red",Dashboard!$R$6,IF($E1865="Gold",Dashboard!$R$7,Dashboard!$R$5))*IF(ISNUMBER(SEARCH("Duals",$B1865)),2,IF(ISNUMBER(SEARCH("Triples",$B1865)),3,IF(ISNUMBER(SEARCH("Quads",$B1865)),4,1))),2))*IF(IFERROR(VLOOKUP($B1865,Dashboard!$Q$28:$S$60,3,FALSE),0)&gt;0,VLOOKUP($B1865,Dashboard!$Q$28:$S$60,3,FALSE),1))),0))</f>
        <v>2</v>
      </c>
      <c r="K1865" s="2" t="str">
        <f>IF('A View From Home'!E10="","",'A View From Home'!E10)</f>
        <v>V</v>
      </c>
      <c r="L1865" s="2">
        <f t="shared" si="377"/>
        <v>1</v>
      </c>
      <c r="M1865" s="2">
        <f t="shared" si="378"/>
        <v>0</v>
      </c>
      <c r="N1865" s="2">
        <f t="shared" si="379"/>
        <v>1</v>
      </c>
      <c r="O1865" s="2">
        <f t="shared" si="380"/>
        <v>0</v>
      </c>
      <c r="P1865" s="112">
        <f t="shared" si="381"/>
        <v>2</v>
      </c>
      <c r="Q1865" s="112">
        <f t="shared" si="382"/>
        <v>0</v>
      </c>
      <c r="R1865" s="53"/>
      <c r="S1865" s="53" t="str">
        <f t="shared" si="383"/>
        <v>A View From Home|A View From Home|VFH-9|Base</v>
      </c>
      <c r="T1865" s="57">
        <f>IF($S1865="","",IFERROR(VLOOKUP($S1865,'Pop Estimates (Non-#d)'!$N$2:$O$500,2,FALSE),""))</f>
        <v>713</v>
      </c>
      <c r="U1865" s="57">
        <f t="shared" si="384"/>
        <v>713</v>
      </c>
      <c r="V1865" s="53" t="str">
        <f t="shared" si="385"/>
        <v/>
      </c>
      <c r="W1865" s="53" t="str">
        <f t="shared" si="386"/>
        <v/>
      </c>
      <c r="X1865" s="53" t="str">
        <f t="shared" si="387"/>
        <v/>
      </c>
      <c r="Y1865" s="57" t="str">
        <f>IF($X1865="","",IFERROR(VLOOKUP($X1865,'Char Popularity'!$A$2:$C$500,2,FALSE),""))</f>
        <v/>
      </c>
      <c r="Z1865" s="56">
        <f>IF($X1865="",1,IFERROR(VLOOKUP($X1865,'Char Popularity'!$A$2:$C$500,3,FALSE),1))</f>
        <v>1</v>
      </c>
      <c r="AA1865" s="62">
        <f>IF($H1865&lt;&gt;"Y",0,(IF($F1865&lt;&gt;"",ROUND(Dashboard!$R$4/$F1865,1),IF(AND($I1865="Base",$E1865="Base"),Dashboard!$R$5,IF(AND($I1865="Base",$E1865="Red"),Dashboard!$R$6,IF(AND($I1865="Base",$E1865="Gold"),Dashboard!$R$7,VLOOKUP($I1865,Dashboard!$Q$16:$R$21,2,FALSE)))))*VLOOKUP($I1865,Dashboard!$Q$9:$R$13,2,FALSE)*IF(AND($I1865="Auto",$F1865="",OR($B1865="Autographs Duals",$B1865="Autographs Triples",$B1865="Autographs Quads",$B1865="Autographs Quads (Inscribed)")),IF($B1865="Autographs Duals",2,IF($B1865="Autographs Triples",3,4)),1)))</f>
        <v>6</v>
      </c>
      <c r="AB1865" s="62">
        <f t="shared" si="388"/>
        <v>6</v>
      </c>
      <c r="AC1865" s="62">
        <f t="shared" si="389"/>
        <v>0</v>
      </c>
    </row>
    <row r="1866" spans="1:29" ht="30" customHeight="1" x14ac:dyDescent="0.25">
      <c r="A1866" s="4" t="s">
        <v>27</v>
      </c>
      <c r="B1866" s="7" t="s">
        <v>27</v>
      </c>
      <c r="C1866" s="2" t="s">
        <v>555</v>
      </c>
      <c r="D1866" s="7" t="s">
        <v>556</v>
      </c>
      <c r="E1866" s="4" t="s">
        <v>60</v>
      </c>
      <c r="F1866" s="2"/>
      <c r="G1866" s="2" t="s">
        <v>1399</v>
      </c>
      <c r="H1866" s="2" t="s">
        <v>1400</v>
      </c>
      <c r="I1866" s="4" t="s">
        <v>62</v>
      </c>
      <c r="J1866" s="112">
        <f>IF($H1866&lt;&gt;"Y",0,ROUND(MIN(Dashboard!$R$24,IF(IFERROR(VLOOKUP($B1866,Dashboard!$Q$28:$S$60,2,FALSE),0)&gt;0,IFERROR(VLOOKUP($B1866,Dashboard!$Q$28:$S$60,2,FALSE),0),$Z1866*IF($U1866&lt;&gt;"",ROUND((Dashboard!$R$4/$U1866)*VLOOKUP($I1866,Dashboard!$Q$9:$R$13,2,FALSE)*IF(ISNUMBER(SEARCH("Duals",$B1866)),2,IF(ISNUMBER(SEARCH("Triples",$B1866)),3,IF(ISNUMBER(SEARCH("Quads",$B1866)),4,1))),2),ROUND(VLOOKUP($I1866,Dashboard!$Q$15:$R$20,2,FALSE)*IF($E1866="Red",Dashboard!$R$6,IF($E1866="Gold",Dashboard!$R$7,Dashboard!$R$5))*IF(ISNUMBER(SEARCH("Duals",$B1866)),2,IF(ISNUMBER(SEARCH("Triples",$B1866)),3,IF(ISNUMBER(SEARCH("Quads",$B1866)),4,1))),2))*IF(IFERROR(VLOOKUP($B1866,Dashboard!$Q$28:$S$60,3,FALSE),0)&gt;0,VLOOKUP($B1866,Dashboard!$Q$28:$S$60,3,FALSE),1))),0))</f>
        <v>2</v>
      </c>
      <c r="K1866" s="2" t="str">
        <f>IF('A View From Home'!E11="","",'A View From Home'!E11)</f>
        <v>V</v>
      </c>
      <c r="L1866" s="2">
        <f t="shared" si="377"/>
        <v>1</v>
      </c>
      <c r="M1866" s="2">
        <f t="shared" si="378"/>
        <v>0</v>
      </c>
      <c r="N1866" s="2">
        <f t="shared" si="379"/>
        <v>1</v>
      </c>
      <c r="O1866" s="2">
        <f t="shared" si="380"/>
        <v>0</v>
      </c>
      <c r="P1866" s="112">
        <f t="shared" si="381"/>
        <v>2</v>
      </c>
      <c r="Q1866" s="112">
        <f t="shared" si="382"/>
        <v>0</v>
      </c>
      <c r="R1866" s="53"/>
      <c r="S1866" s="53" t="str">
        <f t="shared" si="383"/>
        <v>A View From Home|A View From Home|VFH-10|Base</v>
      </c>
      <c r="T1866" s="57">
        <f>IF($S1866="","",IFERROR(VLOOKUP($S1866,'Pop Estimates (Non-#d)'!$N$2:$O$500,2,FALSE),""))</f>
        <v>713</v>
      </c>
      <c r="U1866" s="57">
        <f t="shared" si="384"/>
        <v>713</v>
      </c>
      <c r="V1866" s="53" t="str">
        <f t="shared" si="385"/>
        <v/>
      </c>
      <c r="W1866" s="53" t="str">
        <f t="shared" si="386"/>
        <v/>
      </c>
      <c r="X1866" s="53" t="str">
        <f t="shared" si="387"/>
        <v/>
      </c>
      <c r="Y1866" s="57" t="str">
        <f>IF($X1866="","",IFERROR(VLOOKUP($X1866,'Char Popularity'!$A$2:$C$500,2,FALSE),""))</f>
        <v/>
      </c>
      <c r="Z1866" s="56">
        <f>IF($X1866="",1,IFERROR(VLOOKUP($X1866,'Char Popularity'!$A$2:$C$500,3,FALSE),1))</f>
        <v>1</v>
      </c>
      <c r="AA1866" s="62">
        <f>IF($H1866&lt;&gt;"Y",0,(IF($F1866&lt;&gt;"",ROUND(Dashboard!$R$4/$F1866,1),IF(AND($I1866="Base",$E1866="Base"),Dashboard!$R$5,IF(AND($I1866="Base",$E1866="Red"),Dashboard!$R$6,IF(AND($I1866="Base",$E1866="Gold"),Dashboard!$R$7,VLOOKUP($I1866,Dashboard!$Q$16:$R$21,2,FALSE)))))*VLOOKUP($I1866,Dashboard!$Q$9:$R$13,2,FALSE)*IF(AND($I1866="Auto",$F1866="",OR($B1866="Autographs Duals",$B1866="Autographs Triples",$B1866="Autographs Quads",$B1866="Autographs Quads (Inscribed)")),IF($B1866="Autographs Duals",2,IF($B1866="Autographs Triples",3,4)),1)))</f>
        <v>6</v>
      </c>
      <c r="AB1866" s="62">
        <f t="shared" si="388"/>
        <v>6</v>
      </c>
      <c r="AC1866" s="62">
        <f t="shared" si="389"/>
        <v>0</v>
      </c>
    </row>
    <row r="1867" spans="1:29" ht="30" customHeight="1" x14ac:dyDescent="0.25">
      <c r="A1867" s="4" t="s">
        <v>27</v>
      </c>
      <c r="B1867" s="7" t="s">
        <v>27</v>
      </c>
      <c r="C1867" s="2" t="s">
        <v>557</v>
      </c>
      <c r="D1867" s="7" t="s">
        <v>558</v>
      </c>
      <c r="E1867" s="4" t="s">
        <v>60</v>
      </c>
      <c r="F1867" s="2"/>
      <c r="G1867" s="2" t="s">
        <v>1399</v>
      </c>
      <c r="H1867" s="2" t="s">
        <v>1400</v>
      </c>
      <c r="I1867" s="4" t="s">
        <v>62</v>
      </c>
      <c r="J1867" s="112">
        <f>IF($H1867&lt;&gt;"Y",0,ROUND(MIN(Dashboard!$R$24,IF(IFERROR(VLOOKUP($B1867,Dashboard!$Q$28:$S$60,2,FALSE),0)&gt;0,IFERROR(VLOOKUP($B1867,Dashboard!$Q$28:$S$60,2,FALSE),0),$Z1867*IF($U1867&lt;&gt;"",ROUND((Dashboard!$R$4/$U1867)*VLOOKUP($I1867,Dashboard!$Q$9:$R$13,2,FALSE)*IF(ISNUMBER(SEARCH("Duals",$B1867)),2,IF(ISNUMBER(SEARCH("Triples",$B1867)),3,IF(ISNUMBER(SEARCH("Quads",$B1867)),4,1))),2),ROUND(VLOOKUP($I1867,Dashboard!$Q$15:$R$20,2,FALSE)*IF($E1867="Red",Dashboard!$R$6,IF($E1867="Gold",Dashboard!$R$7,Dashboard!$R$5))*IF(ISNUMBER(SEARCH("Duals",$B1867)),2,IF(ISNUMBER(SEARCH("Triples",$B1867)),3,IF(ISNUMBER(SEARCH("Quads",$B1867)),4,1))),2))*IF(IFERROR(VLOOKUP($B1867,Dashboard!$Q$28:$S$60,3,FALSE),0)&gt;0,VLOOKUP($B1867,Dashboard!$Q$28:$S$60,3,FALSE),1))),0))</f>
        <v>2</v>
      </c>
      <c r="K1867" s="2" t="str">
        <f>IF('A View From Home'!E12="","",'A View From Home'!E12)</f>
        <v>V</v>
      </c>
      <c r="L1867" s="2">
        <f t="shared" si="377"/>
        <v>1</v>
      </c>
      <c r="M1867" s="2">
        <f t="shared" si="378"/>
        <v>0</v>
      </c>
      <c r="N1867" s="2">
        <f t="shared" si="379"/>
        <v>1</v>
      </c>
      <c r="O1867" s="2">
        <f t="shared" si="380"/>
        <v>0</v>
      </c>
      <c r="P1867" s="112">
        <f t="shared" si="381"/>
        <v>2</v>
      </c>
      <c r="Q1867" s="112">
        <f t="shared" si="382"/>
        <v>0</v>
      </c>
      <c r="R1867" s="53"/>
      <c r="S1867" s="53" t="str">
        <f t="shared" si="383"/>
        <v>A View From Home|A View From Home|VFH-11|Base</v>
      </c>
      <c r="T1867" s="57">
        <f>IF($S1867="","",IFERROR(VLOOKUP($S1867,'Pop Estimates (Non-#d)'!$N$2:$O$500,2,FALSE),""))</f>
        <v>713</v>
      </c>
      <c r="U1867" s="57">
        <f t="shared" si="384"/>
        <v>713</v>
      </c>
      <c r="V1867" s="53" t="str">
        <f t="shared" si="385"/>
        <v/>
      </c>
      <c r="W1867" s="53" t="str">
        <f t="shared" si="386"/>
        <v/>
      </c>
      <c r="X1867" s="53" t="str">
        <f t="shared" si="387"/>
        <v/>
      </c>
      <c r="Y1867" s="57" t="str">
        <f>IF($X1867="","",IFERROR(VLOOKUP($X1867,'Char Popularity'!$A$2:$C$500,2,FALSE),""))</f>
        <v/>
      </c>
      <c r="Z1867" s="56">
        <f>IF($X1867="",1,IFERROR(VLOOKUP($X1867,'Char Popularity'!$A$2:$C$500,3,FALSE),1))</f>
        <v>1</v>
      </c>
      <c r="AA1867" s="62">
        <f>IF($H1867&lt;&gt;"Y",0,(IF($F1867&lt;&gt;"",ROUND(Dashboard!$R$4/$F1867,1),IF(AND($I1867="Base",$E1867="Base"),Dashboard!$R$5,IF(AND($I1867="Base",$E1867="Red"),Dashboard!$R$6,IF(AND($I1867="Base",$E1867="Gold"),Dashboard!$R$7,VLOOKUP($I1867,Dashboard!$Q$16:$R$21,2,FALSE)))))*VLOOKUP($I1867,Dashboard!$Q$9:$R$13,2,FALSE)*IF(AND($I1867="Auto",$F1867="",OR($B1867="Autographs Duals",$B1867="Autographs Triples",$B1867="Autographs Quads",$B1867="Autographs Quads (Inscribed)")),IF($B1867="Autographs Duals",2,IF($B1867="Autographs Triples",3,4)),1)))</f>
        <v>6</v>
      </c>
      <c r="AB1867" s="62">
        <f t="shared" si="388"/>
        <v>6</v>
      </c>
      <c r="AC1867" s="62">
        <f t="shared" si="389"/>
        <v>0</v>
      </c>
    </row>
    <row r="1868" spans="1:29" ht="30" customHeight="1" x14ac:dyDescent="0.25">
      <c r="A1868" s="4" t="s">
        <v>27</v>
      </c>
      <c r="B1868" s="7" t="s">
        <v>27</v>
      </c>
      <c r="C1868" s="2" t="s">
        <v>559</v>
      </c>
      <c r="D1868" s="7" t="s">
        <v>560</v>
      </c>
      <c r="E1868" s="4" t="s">
        <v>60</v>
      </c>
      <c r="F1868" s="2"/>
      <c r="G1868" s="2" t="s">
        <v>1399</v>
      </c>
      <c r="H1868" s="2" t="s">
        <v>1400</v>
      </c>
      <c r="I1868" s="4" t="s">
        <v>62</v>
      </c>
      <c r="J1868" s="112">
        <f>IF($H1868&lt;&gt;"Y",0,ROUND(MIN(Dashboard!$R$24,IF(IFERROR(VLOOKUP($B1868,Dashboard!$Q$28:$S$60,2,FALSE),0)&gt;0,IFERROR(VLOOKUP($B1868,Dashboard!$Q$28:$S$60,2,FALSE),0),$Z1868*IF($U1868&lt;&gt;"",ROUND((Dashboard!$R$4/$U1868)*VLOOKUP($I1868,Dashboard!$Q$9:$R$13,2,FALSE)*IF(ISNUMBER(SEARCH("Duals",$B1868)),2,IF(ISNUMBER(SEARCH("Triples",$B1868)),3,IF(ISNUMBER(SEARCH("Quads",$B1868)),4,1))),2),ROUND(VLOOKUP($I1868,Dashboard!$Q$15:$R$20,2,FALSE)*IF($E1868="Red",Dashboard!$R$6,IF($E1868="Gold",Dashboard!$R$7,Dashboard!$R$5))*IF(ISNUMBER(SEARCH("Duals",$B1868)),2,IF(ISNUMBER(SEARCH("Triples",$B1868)),3,IF(ISNUMBER(SEARCH("Quads",$B1868)),4,1))),2))*IF(IFERROR(VLOOKUP($B1868,Dashboard!$Q$28:$S$60,3,FALSE),0)&gt;0,VLOOKUP($B1868,Dashboard!$Q$28:$S$60,3,FALSE),1))),0))</f>
        <v>2</v>
      </c>
      <c r="K1868" s="2" t="str">
        <f>IF('A View From Home'!E13="","",'A View From Home'!E13)</f>
        <v>V</v>
      </c>
      <c r="L1868" s="2">
        <f t="shared" si="377"/>
        <v>1</v>
      </c>
      <c r="M1868" s="2">
        <f t="shared" si="378"/>
        <v>0</v>
      </c>
      <c r="N1868" s="2">
        <f t="shared" si="379"/>
        <v>1</v>
      </c>
      <c r="O1868" s="2">
        <f t="shared" si="380"/>
        <v>0</v>
      </c>
      <c r="P1868" s="112">
        <f t="shared" si="381"/>
        <v>2</v>
      </c>
      <c r="Q1868" s="112">
        <f t="shared" si="382"/>
        <v>0</v>
      </c>
      <c r="R1868" s="53"/>
      <c r="S1868" s="53" t="str">
        <f t="shared" si="383"/>
        <v>A View From Home|A View From Home|VFH-12|Base</v>
      </c>
      <c r="T1868" s="57">
        <f>IF($S1868="","",IFERROR(VLOOKUP($S1868,'Pop Estimates (Non-#d)'!$N$2:$O$500,2,FALSE),""))</f>
        <v>713</v>
      </c>
      <c r="U1868" s="57">
        <f t="shared" si="384"/>
        <v>713</v>
      </c>
      <c r="V1868" s="53" t="str">
        <f t="shared" si="385"/>
        <v/>
      </c>
      <c r="W1868" s="53" t="str">
        <f t="shared" si="386"/>
        <v/>
      </c>
      <c r="X1868" s="53" t="str">
        <f t="shared" si="387"/>
        <v/>
      </c>
      <c r="Y1868" s="57" t="str">
        <f>IF($X1868="","",IFERROR(VLOOKUP($X1868,'Char Popularity'!$A$2:$C$500,2,FALSE),""))</f>
        <v/>
      </c>
      <c r="Z1868" s="56">
        <f>IF($X1868="",1,IFERROR(VLOOKUP($X1868,'Char Popularity'!$A$2:$C$500,3,FALSE),1))</f>
        <v>1</v>
      </c>
      <c r="AA1868" s="62">
        <f>IF($H1868&lt;&gt;"Y",0,(IF($F1868&lt;&gt;"",ROUND(Dashboard!$R$4/$F1868,1),IF(AND($I1868="Base",$E1868="Base"),Dashboard!$R$5,IF(AND($I1868="Base",$E1868="Red"),Dashboard!$R$6,IF(AND($I1868="Base",$E1868="Gold"),Dashboard!$R$7,VLOOKUP($I1868,Dashboard!$Q$16:$R$21,2,FALSE)))))*VLOOKUP($I1868,Dashboard!$Q$9:$R$13,2,FALSE)*IF(AND($I1868="Auto",$F1868="",OR($B1868="Autographs Duals",$B1868="Autographs Triples",$B1868="Autographs Quads",$B1868="Autographs Quads (Inscribed)")),IF($B1868="Autographs Duals",2,IF($B1868="Autographs Triples",3,4)),1)))</f>
        <v>6</v>
      </c>
      <c r="AB1868" s="62">
        <f t="shared" si="388"/>
        <v>6</v>
      </c>
      <c r="AC1868" s="62">
        <f t="shared" si="389"/>
        <v>0</v>
      </c>
    </row>
    <row r="1869" spans="1:29" ht="30" customHeight="1" x14ac:dyDescent="0.25">
      <c r="A1869" s="4" t="s">
        <v>27</v>
      </c>
      <c r="B1869" s="7" t="s">
        <v>27</v>
      </c>
      <c r="C1869" s="2" t="s">
        <v>561</v>
      </c>
      <c r="D1869" s="7" t="s">
        <v>562</v>
      </c>
      <c r="E1869" s="4" t="s">
        <v>60</v>
      </c>
      <c r="F1869" s="2"/>
      <c r="G1869" s="2" t="s">
        <v>1399</v>
      </c>
      <c r="H1869" s="2" t="s">
        <v>1400</v>
      </c>
      <c r="I1869" s="4" t="s">
        <v>62</v>
      </c>
      <c r="J1869" s="112">
        <f>IF($H1869&lt;&gt;"Y",0,ROUND(MIN(Dashboard!$R$24,IF(IFERROR(VLOOKUP($B1869,Dashboard!$Q$28:$S$60,2,FALSE),0)&gt;0,IFERROR(VLOOKUP($B1869,Dashboard!$Q$28:$S$60,2,FALSE),0),$Z1869*IF($U1869&lt;&gt;"",ROUND((Dashboard!$R$4/$U1869)*VLOOKUP($I1869,Dashboard!$Q$9:$R$13,2,FALSE)*IF(ISNUMBER(SEARCH("Duals",$B1869)),2,IF(ISNUMBER(SEARCH("Triples",$B1869)),3,IF(ISNUMBER(SEARCH("Quads",$B1869)),4,1))),2),ROUND(VLOOKUP($I1869,Dashboard!$Q$15:$R$20,2,FALSE)*IF($E1869="Red",Dashboard!$R$6,IF($E1869="Gold",Dashboard!$R$7,Dashboard!$R$5))*IF(ISNUMBER(SEARCH("Duals",$B1869)),2,IF(ISNUMBER(SEARCH("Triples",$B1869)),3,IF(ISNUMBER(SEARCH("Quads",$B1869)),4,1))),2))*IF(IFERROR(VLOOKUP($B1869,Dashboard!$Q$28:$S$60,3,FALSE),0)&gt;0,VLOOKUP($B1869,Dashboard!$Q$28:$S$60,3,FALSE),1))),0))</f>
        <v>2</v>
      </c>
      <c r="K1869" s="2" t="str">
        <f>IF('A View From Home'!E14="","",'A View From Home'!E14)</f>
        <v>d</v>
      </c>
      <c r="L1869" s="2">
        <f t="shared" si="377"/>
        <v>1</v>
      </c>
      <c r="M1869" s="2">
        <f t="shared" si="378"/>
        <v>0</v>
      </c>
      <c r="N1869" s="2">
        <f t="shared" si="379"/>
        <v>1</v>
      </c>
      <c r="O1869" s="2">
        <f t="shared" si="380"/>
        <v>0</v>
      </c>
      <c r="P1869" s="112">
        <f t="shared" si="381"/>
        <v>2</v>
      </c>
      <c r="Q1869" s="112">
        <f t="shared" si="382"/>
        <v>0</v>
      </c>
      <c r="R1869" s="53"/>
      <c r="S1869" s="53" t="str">
        <f t="shared" si="383"/>
        <v>A View From Home|A View From Home|VFH-13|Base</v>
      </c>
      <c r="T1869" s="57">
        <f>IF($S1869="","",IFERROR(VLOOKUP($S1869,'Pop Estimates (Non-#d)'!$N$2:$O$500,2,FALSE),""))</f>
        <v>713</v>
      </c>
      <c r="U1869" s="57">
        <f t="shared" si="384"/>
        <v>713</v>
      </c>
      <c r="V1869" s="53" t="str">
        <f t="shared" si="385"/>
        <v/>
      </c>
      <c r="W1869" s="53" t="str">
        <f t="shared" si="386"/>
        <v/>
      </c>
      <c r="X1869" s="53" t="str">
        <f t="shared" si="387"/>
        <v/>
      </c>
      <c r="Y1869" s="57" t="str">
        <f>IF($X1869="","",IFERROR(VLOOKUP($X1869,'Char Popularity'!$A$2:$C$500,2,FALSE),""))</f>
        <v/>
      </c>
      <c r="Z1869" s="56">
        <f>IF($X1869="",1,IFERROR(VLOOKUP($X1869,'Char Popularity'!$A$2:$C$500,3,FALSE),1))</f>
        <v>1</v>
      </c>
      <c r="AA1869" s="62">
        <f>IF($H1869&lt;&gt;"Y",0,(IF($F1869&lt;&gt;"",ROUND(Dashboard!$R$4/$F1869,1),IF(AND($I1869="Base",$E1869="Base"),Dashboard!$R$5,IF(AND($I1869="Base",$E1869="Red"),Dashboard!$R$6,IF(AND($I1869="Base",$E1869="Gold"),Dashboard!$R$7,VLOOKUP($I1869,Dashboard!$Q$16:$R$21,2,FALSE)))))*VLOOKUP($I1869,Dashboard!$Q$9:$R$13,2,FALSE)*IF(AND($I1869="Auto",$F1869="",OR($B1869="Autographs Duals",$B1869="Autographs Triples",$B1869="Autographs Quads",$B1869="Autographs Quads (Inscribed)")),IF($B1869="Autographs Duals",2,IF($B1869="Autographs Triples",3,4)),1)))</f>
        <v>6</v>
      </c>
      <c r="AB1869" s="62">
        <f t="shared" si="388"/>
        <v>6</v>
      </c>
      <c r="AC1869" s="62">
        <f t="shared" si="389"/>
        <v>0</v>
      </c>
    </row>
    <row r="1870" spans="1:29" ht="30" customHeight="1" x14ac:dyDescent="0.25">
      <c r="A1870" s="4" t="s">
        <v>27</v>
      </c>
      <c r="B1870" s="7" t="s">
        <v>27</v>
      </c>
      <c r="C1870" s="2" t="s">
        <v>563</v>
      </c>
      <c r="D1870" s="7" t="s">
        <v>564</v>
      </c>
      <c r="E1870" s="4" t="s">
        <v>60</v>
      </c>
      <c r="F1870" s="2"/>
      <c r="G1870" s="2" t="s">
        <v>1399</v>
      </c>
      <c r="H1870" s="2" t="s">
        <v>1400</v>
      </c>
      <c r="I1870" s="4" t="s">
        <v>62</v>
      </c>
      <c r="J1870" s="112">
        <f>IF($H1870&lt;&gt;"Y",0,ROUND(MIN(Dashboard!$R$24,IF(IFERROR(VLOOKUP($B1870,Dashboard!$Q$28:$S$60,2,FALSE),0)&gt;0,IFERROR(VLOOKUP($B1870,Dashboard!$Q$28:$S$60,2,FALSE),0),$Z1870*IF($U1870&lt;&gt;"",ROUND((Dashboard!$R$4/$U1870)*VLOOKUP($I1870,Dashboard!$Q$9:$R$13,2,FALSE)*IF(ISNUMBER(SEARCH("Duals",$B1870)),2,IF(ISNUMBER(SEARCH("Triples",$B1870)),3,IF(ISNUMBER(SEARCH("Quads",$B1870)),4,1))),2),ROUND(VLOOKUP($I1870,Dashboard!$Q$15:$R$20,2,FALSE)*IF($E1870="Red",Dashboard!$R$6,IF($E1870="Gold",Dashboard!$R$7,Dashboard!$R$5))*IF(ISNUMBER(SEARCH("Duals",$B1870)),2,IF(ISNUMBER(SEARCH("Triples",$B1870)),3,IF(ISNUMBER(SEARCH("Quads",$B1870)),4,1))),2))*IF(IFERROR(VLOOKUP($B1870,Dashboard!$Q$28:$S$60,3,FALSE),0)&gt;0,VLOOKUP($B1870,Dashboard!$Q$28:$S$60,3,FALSE),1))),0))</f>
        <v>2</v>
      </c>
      <c r="K1870" s="2" t="str">
        <f>IF('A View From Home'!E15="","",'A View From Home'!E15)</f>
        <v>V</v>
      </c>
      <c r="L1870" s="2">
        <f t="shared" si="377"/>
        <v>1</v>
      </c>
      <c r="M1870" s="2">
        <f t="shared" si="378"/>
        <v>0</v>
      </c>
      <c r="N1870" s="2">
        <f t="shared" si="379"/>
        <v>1</v>
      </c>
      <c r="O1870" s="2">
        <f t="shared" si="380"/>
        <v>0</v>
      </c>
      <c r="P1870" s="112">
        <f t="shared" si="381"/>
        <v>2</v>
      </c>
      <c r="Q1870" s="112">
        <f t="shared" si="382"/>
        <v>0</v>
      </c>
      <c r="R1870" s="53"/>
      <c r="S1870" s="53" t="str">
        <f t="shared" si="383"/>
        <v>A View From Home|A View From Home|VFH-14|Base</v>
      </c>
      <c r="T1870" s="57">
        <f>IF($S1870="","",IFERROR(VLOOKUP($S1870,'Pop Estimates (Non-#d)'!$N$2:$O$500,2,FALSE),""))</f>
        <v>713</v>
      </c>
      <c r="U1870" s="57">
        <f t="shared" si="384"/>
        <v>713</v>
      </c>
      <c r="V1870" s="53" t="str">
        <f t="shared" si="385"/>
        <v/>
      </c>
      <c r="W1870" s="53" t="str">
        <f t="shared" si="386"/>
        <v/>
      </c>
      <c r="X1870" s="53" t="str">
        <f t="shared" si="387"/>
        <v/>
      </c>
      <c r="Y1870" s="57" t="str">
        <f>IF($X1870="","",IFERROR(VLOOKUP($X1870,'Char Popularity'!$A$2:$C$500,2,FALSE),""))</f>
        <v/>
      </c>
      <c r="Z1870" s="56">
        <f>IF($X1870="",1,IFERROR(VLOOKUP($X1870,'Char Popularity'!$A$2:$C$500,3,FALSE),1))</f>
        <v>1</v>
      </c>
      <c r="AA1870" s="62">
        <f>IF($H1870&lt;&gt;"Y",0,(IF($F1870&lt;&gt;"",ROUND(Dashboard!$R$4/$F1870,1),IF(AND($I1870="Base",$E1870="Base"),Dashboard!$R$5,IF(AND($I1870="Base",$E1870="Red"),Dashboard!$R$6,IF(AND($I1870="Base",$E1870="Gold"),Dashboard!$R$7,VLOOKUP($I1870,Dashboard!$Q$16:$R$21,2,FALSE)))))*VLOOKUP($I1870,Dashboard!$Q$9:$R$13,2,FALSE)*IF(AND($I1870="Auto",$F1870="",OR($B1870="Autographs Duals",$B1870="Autographs Triples",$B1870="Autographs Quads",$B1870="Autographs Quads (Inscribed)")),IF($B1870="Autographs Duals",2,IF($B1870="Autographs Triples",3,4)),1)))</f>
        <v>6</v>
      </c>
      <c r="AB1870" s="62">
        <f t="shared" si="388"/>
        <v>6</v>
      </c>
      <c r="AC1870" s="62">
        <f t="shared" si="389"/>
        <v>0</v>
      </c>
    </row>
    <row r="1871" spans="1:29" ht="30" customHeight="1" x14ac:dyDescent="0.25">
      <c r="A1871" s="4" t="s">
        <v>27</v>
      </c>
      <c r="B1871" s="7" t="s">
        <v>27</v>
      </c>
      <c r="C1871" s="2" t="s">
        <v>565</v>
      </c>
      <c r="D1871" s="7" t="s">
        <v>566</v>
      </c>
      <c r="E1871" s="4" t="s">
        <v>60</v>
      </c>
      <c r="F1871" s="2"/>
      <c r="G1871" s="2" t="s">
        <v>1399</v>
      </c>
      <c r="H1871" s="2" t="s">
        <v>1400</v>
      </c>
      <c r="I1871" s="4" t="s">
        <v>62</v>
      </c>
      <c r="J1871" s="112">
        <f>IF($H1871&lt;&gt;"Y",0,ROUND(MIN(Dashboard!$R$24,IF(IFERROR(VLOOKUP($B1871,Dashboard!$Q$28:$S$60,2,FALSE),0)&gt;0,IFERROR(VLOOKUP($B1871,Dashboard!$Q$28:$S$60,2,FALSE),0),$Z1871*IF($U1871&lt;&gt;"",ROUND((Dashboard!$R$4/$U1871)*VLOOKUP($I1871,Dashboard!$Q$9:$R$13,2,FALSE)*IF(ISNUMBER(SEARCH("Duals",$B1871)),2,IF(ISNUMBER(SEARCH("Triples",$B1871)),3,IF(ISNUMBER(SEARCH("Quads",$B1871)),4,1))),2),ROUND(VLOOKUP($I1871,Dashboard!$Q$15:$R$20,2,FALSE)*IF($E1871="Red",Dashboard!$R$6,IF($E1871="Gold",Dashboard!$R$7,Dashboard!$R$5))*IF(ISNUMBER(SEARCH("Duals",$B1871)),2,IF(ISNUMBER(SEARCH("Triples",$B1871)),3,IF(ISNUMBER(SEARCH("Quads",$B1871)),4,1))),2))*IF(IFERROR(VLOOKUP($B1871,Dashboard!$Q$28:$S$60,3,FALSE),0)&gt;0,VLOOKUP($B1871,Dashboard!$Q$28:$S$60,3,FALSE),1))),0))</f>
        <v>2</v>
      </c>
      <c r="K1871" s="2" t="str">
        <f>IF('A View From Home'!E16="","",'A View From Home'!E16)</f>
        <v>V</v>
      </c>
      <c r="L1871" s="2">
        <f t="shared" si="377"/>
        <v>1</v>
      </c>
      <c r="M1871" s="2">
        <f t="shared" si="378"/>
        <v>0</v>
      </c>
      <c r="N1871" s="2">
        <f t="shared" si="379"/>
        <v>1</v>
      </c>
      <c r="O1871" s="2">
        <f t="shared" si="380"/>
        <v>0</v>
      </c>
      <c r="P1871" s="112">
        <f t="shared" si="381"/>
        <v>2</v>
      </c>
      <c r="Q1871" s="112">
        <f t="shared" si="382"/>
        <v>0</v>
      </c>
      <c r="R1871" s="53"/>
      <c r="S1871" s="53" t="str">
        <f t="shared" si="383"/>
        <v>A View From Home|A View From Home|VFH-15|Base</v>
      </c>
      <c r="T1871" s="57">
        <f>IF($S1871="","",IFERROR(VLOOKUP($S1871,'Pop Estimates (Non-#d)'!$N$2:$O$500,2,FALSE),""))</f>
        <v>713</v>
      </c>
      <c r="U1871" s="57">
        <f t="shared" si="384"/>
        <v>713</v>
      </c>
      <c r="V1871" s="53" t="str">
        <f t="shared" si="385"/>
        <v/>
      </c>
      <c r="W1871" s="53" t="str">
        <f t="shared" si="386"/>
        <v/>
      </c>
      <c r="X1871" s="53" t="str">
        <f t="shared" si="387"/>
        <v/>
      </c>
      <c r="Y1871" s="57" t="str">
        <f>IF($X1871="","",IFERROR(VLOOKUP($X1871,'Char Popularity'!$A$2:$C$500,2,FALSE),""))</f>
        <v/>
      </c>
      <c r="Z1871" s="56">
        <f>IF($X1871="",1,IFERROR(VLOOKUP($X1871,'Char Popularity'!$A$2:$C$500,3,FALSE),1))</f>
        <v>1</v>
      </c>
      <c r="AA1871" s="62">
        <f>IF($H1871&lt;&gt;"Y",0,(IF($F1871&lt;&gt;"",ROUND(Dashboard!$R$4/$F1871,1),IF(AND($I1871="Base",$E1871="Base"),Dashboard!$R$5,IF(AND($I1871="Base",$E1871="Red"),Dashboard!$R$6,IF(AND($I1871="Base",$E1871="Gold"),Dashboard!$R$7,VLOOKUP($I1871,Dashboard!$Q$16:$R$21,2,FALSE)))))*VLOOKUP($I1871,Dashboard!$Q$9:$R$13,2,FALSE)*IF(AND($I1871="Auto",$F1871="",OR($B1871="Autographs Duals",$B1871="Autographs Triples",$B1871="Autographs Quads",$B1871="Autographs Quads (Inscribed)")),IF($B1871="Autographs Duals",2,IF($B1871="Autographs Triples",3,4)),1)))</f>
        <v>6</v>
      </c>
      <c r="AB1871" s="62">
        <f t="shared" si="388"/>
        <v>6</v>
      </c>
      <c r="AC1871" s="62">
        <f t="shared" si="389"/>
        <v>0</v>
      </c>
    </row>
    <row r="1872" spans="1:29" ht="30" customHeight="1" x14ac:dyDescent="0.25">
      <c r="A1872" s="4" t="s">
        <v>27</v>
      </c>
      <c r="B1872" s="7" t="s">
        <v>27</v>
      </c>
      <c r="C1872" s="2" t="s">
        <v>567</v>
      </c>
      <c r="D1872" s="7" t="s">
        <v>568</v>
      </c>
      <c r="E1872" s="4" t="s">
        <v>60</v>
      </c>
      <c r="F1872" s="2"/>
      <c r="G1872" s="2" t="s">
        <v>1399</v>
      </c>
      <c r="H1872" s="2" t="s">
        <v>1400</v>
      </c>
      <c r="I1872" s="4" t="s">
        <v>62</v>
      </c>
      <c r="J1872" s="112">
        <f>IF($H1872&lt;&gt;"Y",0,ROUND(MIN(Dashboard!$R$24,IF(IFERROR(VLOOKUP($B1872,Dashboard!$Q$28:$S$60,2,FALSE),0)&gt;0,IFERROR(VLOOKUP($B1872,Dashboard!$Q$28:$S$60,2,FALSE),0),$Z1872*IF($U1872&lt;&gt;"",ROUND((Dashboard!$R$4/$U1872)*VLOOKUP($I1872,Dashboard!$Q$9:$R$13,2,FALSE)*IF(ISNUMBER(SEARCH("Duals",$B1872)),2,IF(ISNUMBER(SEARCH("Triples",$B1872)),3,IF(ISNUMBER(SEARCH("Quads",$B1872)),4,1))),2),ROUND(VLOOKUP($I1872,Dashboard!$Q$15:$R$20,2,FALSE)*IF($E1872="Red",Dashboard!$R$6,IF($E1872="Gold",Dashboard!$R$7,Dashboard!$R$5))*IF(ISNUMBER(SEARCH("Duals",$B1872)),2,IF(ISNUMBER(SEARCH("Triples",$B1872)),3,IF(ISNUMBER(SEARCH("Quads",$B1872)),4,1))),2))*IF(IFERROR(VLOOKUP($B1872,Dashboard!$Q$28:$S$60,3,FALSE),0)&gt;0,VLOOKUP($B1872,Dashboard!$Q$28:$S$60,3,FALSE),1))),0))</f>
        <v>2</v>
      </c>
      <c r="K1872" s="2" t="str">
        <f>IF('A View From Home'!E17="","",'A View From Home'!E17)</f>
        <v>d</v>
      </c>
      <c r="L1872" s="2">
        <f t="shared" si="377"/>
        <v>1</v>
      </c>
      <c r="M1872" s="2">
        <f t="shared" si="378"/>
        <v>0</v>
      </c>
      <c r="N1872" s="2">
        <f t="shared" si="379"/>
        <v>1</v>
      </c>
      <c r="O1872" s="2">
        <f t="shared" si="380"/>
        <v>0</v>
      </c>
      <c r="P1872" s="112">
        <f t="shared" si="381"/>
        <v>2</v>
      </c>
      <c r="Q1872" s="112">
        <f t="shared" si="382"/>
        <v>0</v>
      </c>
      <c r="R1872" s="53"/>
      <c r="S1872" s="53" t="str">
        <f t="shared" si="383"/>
        <v>A View From Home|A View From Home|VFH-16|Base</v>
      </c>
      <c r="T1872" s="57">
        <f>IF($S1872="","",IFERROR(VLOOKUP($S1872,'Pop Estimates (Non-#d)'!$N$2:$O$500,2,FALSE),""))</f>
        <v>713</v>
      </c>
      <c r="U1872" s="57">
        <f t="shared" si="384"/>
        <v>713</v>
      </c>
      <c r="V1872" s="53" t="str">
        <f t="shared" si="385"/>
        <v/>
      </c>
      <c r="W1872" s="53" t="str">
        <f t="shared" si="386"/>
        <v/>
      </c>
      <c r="X1872" s="53" t="str">
        <f t="shared" si="387"/>
        <v/>
      </c>
      <c r="Y1872" s="57" t="str">
        <f>IF($X1872="","",IFERROR(VLOOKUP($X1872,'Char Popularity'!$A$2:$C$500,2,FALSE),""))</f>
        <v/>
      </c>
      <c r="Z1872" s="56">
        <f>IF($X1872="",1,IFERROR(VLOOKUP($X1872,'Char Popularity'!$A$2:$C$500,3,FALSE),1))</f>
        <v>1</v>
      </c>
      <c r="AA1872" s="62">
        <f>IF($H1872&lt;&gt;"Y",0,(IF($F1872&lt;&gt;"",ROUND(Dashboard!$R$4/$F1872,1),IF(AND($I1872="Base",$E1872="Base"),Dashboard!$R$5,IF(AND($I1872="Base",$E1872="Red"),Dashboard!$R$6,IF(AND($I1872="Base",$E1872="Gold"),Dashboard!$R$7,VLOOKUP($I1872,Dashboard!$Q$16:$R$21,2,FALSE)))))*VLOOKUP($I1872,Dashboard!$Q$9:$R$13,2,FALSE)*IF(AND($I1872="Auto",$F1872="",OR($B1872="Autographs Duals",$B1872="Autographs Triples",$B1872="Autographs Quads",$B1872="Autographs Quads (Inscribed)")),IF($B1872="Autographs Duals",2,IF($B1872="Autographs Triples",3,4)),1)))</f>
        <v>6</v>
      </c>
      <c r="AB1872" s="62">
        <f t="shared" si="388"/>
        <v>6</v>
      </c>
      <c r="AC1872" s="62">
        <f t="shared" si="389"/>
        <v>0</v>
      </c>
    </row>
    <row r="1873" spans="1:29" ht="30" customHeight="1" x14ac:dyDescent="0.25">
      <c r="A1873" s="4" t="s">
        <v>27</v>
      </c>
      <c r="B1873" s="7" t="s">
        <v>27</v>
      </c>
      <c r="C1873" s="2" t="s">
        <v>569</v>
      </c>
      <c r="D1873" s="7" t="s">
        <v>570</v>
      </c>
      <c r="E1873" s="4" t="s">
        <v>60</v>
      </c>
      <c r="F1873" s="2"/>
      <c r="G1873" s="2" t="s">
        <v>1399</v>
      </c>
      <c r="H1873" s="2" t="s">
        <v>1400</v>
      </c>
      <c r="I1873" s="4" t="s">
        <v>62</v>
      </c>
      <c r="J1873" s="112">
        <f>IF($H1873&lt;&gt;"Y",0,ROUND(MIN(Dashboard!$R$24,IF(IFERROR(VLOOKUP($B1873,Dashboard!$Q$28:$S$60,2,FALSE),0)&gt;0,IFERROR(VLOOKUP($B1873,Dashboard!$Q$28:$S$60,2,FALSE),0),$Z1873*IF($U1873&lt;&gt;"",ROUND((Dashboard!$R$4/$U1873)*VLOOKUP($I1873,Dashboard!$Q$9:$R$13,2,FALSE)*IF(ISNUMBER(SEARCH("Duals",$B1873)),2,IF(ISNUMBER(SEARCH("Triples",$B1873)),3,IF(ISNUMBER(SEARCH("Quads",$B1873)),4,1))),2),ROUND(VLOOKUP($I1873,Dashboard!$Q$15:$R$20,2,FALSE)*IF($E1873="Red",Dashboard!$R$6,IF($E1873="Gold",Dashboard!$R$7,Dashboard!$R$5))*IF(ISNUMBER(SEARCH("Duals",$B1873)),2,IF(ISNUMBER(SEARCH("Triples",$B1873)),3,IF(ISNUMBER(SEARCH("Quads",$B1873)),4,1))),2))*IF(IFERROR(VLOOKUP($B1873,Dashboard!$Q$28:$S$60,3,FALSE),0)&gt;0,VLOOKUP($B1873,Dashboard!$Q$28:$S$60,3,FALSE),1))),0))</f>
        <v>2</v>
      </c>
      <c r="K1873" s="2" t="str">
        <f>IF('A View From Home'!E18="","",'A View From Home'!E18)</f>
        <v>V</v>
      </c>
      <c r="L1873" s="2">
        <f t="shared" si="377"/>
        <v>1</v>
      </c>
      <c r="M1873" s="2">
        <f t="shared" si="378"/>
        <v>0</v>
      </c>
      <c r="N1873" s="2">
        <f t="shared" si="379"/>
        <v>1</v>
      </c>
      <c r="O1873" s="2">
        <f t="shared" si="380"/>
        <v>0</v>
      </c>
      <c r="P1873" s="112">
        <f t="shared" si="381"/>
        <v>2</v>
      </c>
      <c r="Q1873" s="112">
        <f t="shared" si="382"/>
        <v>0</v>
      </c>
      <c r="R1873" s="53"/>
      <c r="S1873" s="53" t="str">
        <f t="shared" si="383"/>
        <v>A View From Home|A View From Home|VFH-17|Base</v>
      </c>
      <c r="T1873" s="57">
        <f>IF($S1873="","",IFERROR(VLOOKUP($S1873,'Pop Estimates (Non-#d)'!$N$2:$O$500,2,FALSE),""))</f>
        <v>713</v>
      </c>
      <c r="U1873" s="57">
        <f t="shared" si="384"/>
        <v>713</v>
      </c>
      <c r="V1873" s="53" t="str">
        <f t="shared" si="385"/>
        <v/>
      </c>
      <c r="W1873" s="53" t="str">
        <f t="shared" si="386"/>
        <v/>
      </c>
      <c r="X1873" s="53" t="str">
        <f t="shared" si="387"/>
        <v/>
      </c>
      <c r="Y1873" s="57" t="str">
        <f>IF($X1873="","",IFERROR(VLOOKUP($X1873,'Char Popularity'!$A$2:$C$500,2,FALSE),""))</f>
        <v/>
      </c>
      <c r="Z1873" s="56">
        <f>IF($X1873="",1,IFERROR(VLOOKUP($X1873,'Char Popularity'!$A$2:$C$500,3,FALSE),1))</f>
        <v>1</v>
      </c>
      <c r="AA1873" s="62">
        <f>IF($H1873&lt;&gt;"Y",0,(IF($F1873&lt;&gt;"",ROUND(Dashboard!$R$4/$F1873,1),IF(AND($I1873="Base",$E1873="Base"),Dashboard!$R$5,IF(AND($I1873="Base",$E1873="Red"),Dashboard!$R$6,IF(AND($I1873="Base",$E1873="Gold"),Dashboard!$R$7,VLOOKUP($I1873,Dashboard!$Q$16:$R$21,2,FALSE)))))*VLOOKUP($I1873,Dashboard!$Q$9:$R$13,2,FALSE)*IF(AND($I1873="Auto",$F1873="",OR($B1873="Autographs Duals",$B1873="Autographs Triples",$B1873="Autographs Quads",$B1873="Autographs Quads (Inscribed)")),IF($B1873="Autographs Duals",2,IF($B1873="Autographs Triples",3,4)),1)))</f>
        <v>6</v>
      </c>
      <c r="AB1873" s="62">
        <f t="shared" si="388"/>
        <v>6</v>
      </c>
      <c r="AC1873" s="62">
        <f t="shared" si="389"/>
        <v>0</v>
      </c>
    </row>
    <row r="1874" spans="1:29" ht="30" customHeight="1" x14ac:dyDescent="0.25">
      <c r="A1874" s="4" t="s">
        <v>27</v>
      </c>
      <c r="B1874" s="7" t="s">
        <v>27</v>
      </c>
      <c r="C1874" s="2" t="s">
        <v>571</v>
      </c>
      <c r="D1874" s="7" t="s">
        <v>572</v>
      </c>
      <c r="E1874" s="4" t="s">
        <v>60</v>
      </c>
      <c r="F1874" s="2"/>
      <c r="G1874" s="2" t="s">
        <v>1399</v>
      </c>
      <c r="H1874" s="2" t="s">
        <v>1400</v>
      </c>
      <c r="I1874" s="4" t="s">
        <v>62</v>
      </c>
      <c r="J1874" s="112">
        <f>IF($H1874&lt;&gt;"Y",0,ROUND(MIN(Dashboard!$R$24,IF(IFERROR(VLOOKUP($B1874,Dashboard!$Q$28:$S$60,2,FALSE),0)&gt;0,IFERROR(VLOOKUP($B1874,Dashboard!$Q$28:$S$60,2,FALSE),0),$Z1874*IF($U1874&lt;&gt;"",ROUND((Dashboard!$R$4/$U1874)*VLOOKUP($I1874,Dashboard!$Q$9:$R$13,2,FALSE)*IF(ISNUMBER(SEARCH("Duals",$B1874)),2,IF(ISNUMBER(SEARCH("Triples",$B1874)),3,IF(ISNUMBER(SEARCH("Quads",$B1874)),4,1))),2),ROUND(VLOOKUP($I1874,Dashboard!$Q$15:$R$20,2,FALSE)*IF($E1874="Red",Dashboard!$R$6,IF($E1874="Gold",Dashboard!$R$7,Dashboard!$R$5))*IF(ISNUMBER(SEARCH("Duals",$B1874)),2,IF(ISNUMBER(SEARCH("Triples",$B1874)),3,IF(ISNUMBER(SEARCH("Quads",$B1874)),4,1))),2))*IF(IFERROR(VLOOKUP($B1874,Dashboard!$Q$28:$S$60,3,FALSE),0)&gt;0,VLOOKUP($B1874,Dashboard!$Q$28:$S$60,3,FALSE),1))),0))</f>
        <v>2</v>
      </c>
      <c r="K1874" s="2" t="str">
        <f>IF('A View From Home'!E19="","",'A View From Home'!E19)</f>
        <v>V</v>
      </c>
      <c r="L1874" s="2">
        <f t="shared" si="377"/>
        <v>1</v>
      </c>
      <c r="M1874" s="2">
        <f t="shared" si="378"/>
        <v>0</v>
      </c>
      <c r="N1874" s="2">
        <f t="shared" si="379"/>
        <v>1</v>
      </c>
      <c r="O1874" s="2">
        <f t="shared" si="380"/>
        <v>0</v>
      </c>
      <c r="P1874" s="112">
        <f t="shared" si="381"/>
        <v>2</v>
      </c>
      <c r="Q1874" s="112">
        <f t="shared" si="382"/>
        <v>0</v>
      </c>
      <c r="R1874" s="53"/>
      <c r="S1874" s="53" t="str">
        <f t="shared" si="383"/>
        <v>A View From Home|A View From Home|VFH-18|Base</v>
      </c>
      <c r="T1874" s="57">
        <f>IF($S1874="","",IFERROR(VLOOKUP($S1874,'Pop Estimates (Non-#d)'!$N$2:$O$500,2,FALSE),""))</f>
        <v>713</v>
      </c>
      <c r="U1874" s="57">
        <f t="shared" si="384"/>
        <v>713</v>
      </c>
      <c r="V1874" s="53" t="str">
        <f t="shared" si="385"/>
        <v/>
      </c>
      <c r="W1874" s="53" t="str">
        <f t="shared" si="386"/>
        <v/>
      </c>
      <c r="X1874" s="53" t="str">
        <f t="shared" si="387"/>
        <v/>
      </c>
      <c r="Y1874" s="57" t="str">
        <f>IF($X1874="","",IFERROR(VLOOKUP($X1874,'Char Popularity'!$A$2:$C$500,2,FALSE),""))</f>
        <v/>
      </c>
      <c r="Z1874" s="56">
        <f>IF($X1874="",1,IFERROR(VLOOKUP($X1874,'Char Popularity'!$A$2:$C$500,3,FALSE),1))</f>
        <v>1</v>
      </c>
      <c r="AA1874" s="62">
        <f>IF($H1874&lt;&gt;"Y",0,(IF($F1874&lt;&gt;"",ROUND(Dashboard!$R$4/$F1874,1),IF(AND($I1874="Base",$E1874="Base"),Dashboard!$R$5,IF(AND($I1874="Base",$E1874="Red"),Dashboard!$R$6,IF(AND($I1874="Base",$E1874="Gold"),Dashboard!$R$7,VLOOKUP($I1874,Dashboard!$Q$16:$R$21,2,FALSE)))))*VLOOKUP($I1874,Dashboard!$Q$9:$R$13,2,FALSE)*IF(AND($I1874="Auto",$F1874="",OR($B1874="Autographs Duals",$B1874="Autographs Triples",$B1874="Autographs Quads",$B1874="Autographs Quads (Inscribed)")),IF($B1874="Autographs Duals",2,IF($B1874="Autographs Triples",3,4)),1)))</f>
        <v>6</v>
      </c>
      <c r="AB1874" s="62">
        <f t="shared" si="388"/>
        <v>6</v>
      </c>
      <c r="AC1874" s="62">
        <f t="shared" si="389"/>
        <v>0</v>
      </c>
    </row>
    <row r="1875" spans="1:29" ht="30" customHeight="1" x14ac:dyDescent="0.25">
      <c r="A1875" s="4" t="s">
        <v>27</v>
      </c>
      <c r="B1875" s="7" t="s">
        <v>27</v>
      </c>
      <c r="C1875" s="2" t="s">
        <v>573</v>
      </c>
      <c r="D1875" s="7" t="s">
        <v>574</v>
      </c>
      <c r="E1875" s="4" t="s">
        <v>60</v>
      </c>
      <c r="F1875" s="2"/>
      <c r="G1875" s="2" t="s">
        <v>1399</v>
      </c>
      <c r="H1875" s="2" t="s">
        <v>1400</v>
      </c>
      <c r="I1875" s="4" t="s">
        <v>62</v>
      </c>
      <c r="J1875" s="112">
        <f>IF($H1875&lt;&gt;"Y",0,ROUND(MIN(Dashboard!$R$24,IF(IFERROR(VLOOKUP($B1875,Dashboard!$Q$28:$S$60,2,FALSE),0)&gt;0,IFERROR(VLOOKUP($B1875,Dashboard!$Q$28:$S$60,2,FALSE),0),$Z1875*IF($U1875&lt;&gt;"",ROUND((Dashboard!$R$4/$U1875)*VLOOKUP($I1875,Dashboard!$Q$9:$R$13,2,FALSE)*IF(ISNUMBER(SEARCH("Duals",$B1875)),2,IF(ISNUMBER(SEARCH("Triples",$B1875)),3,IF(ISNUMBER(SEARCH("Quads",$B1875)),4,1))),2),ROUND(VLOOKUP($I1875,Dashboard!$Q$15:$R$20,2,FALSE)*IF($E1875="Red",Dashboard!$R$6,IF($E1875="Gold",Dashboard!$R$7,Dashboard!$R$5))*IF(ISNUMBER(SEARCH("Duals",$B1875)),2,IF(ISNUMBER(SEARCH("Triples",$B1875)),3,IF(ISNUMBER(SEARCH("Quads",$B1875)),4,1))),2))*IF(IFERROR(VLOOKUP($B1875,Dashboard!$Q$28:$S$60,3,FALSE),0)&gt;0,VLOOKUP($B1875,Dashboard!$Q$28:$S$60,3,FALSE),1))),0))</f>
        <v>2</v>
      </c>
      <c r="K1875" s="2" t="str">
        <f>IF('A View From Home'!E20="","",'A View From Home'!E20)</f>
        <v>C</v>
      </c>
      <c r="L1875" s="2">
        <f t="shared" si="377"/>
        <v>1</v>
      </c>
      <c r="M1875" s="2">
        <f t="shared" si="378"/>
        <v>0</v>
      </c>
      <c r="N1875" s="2">
        <f t="shared" si="379"/>
        <v>1</v>
      </c>
      <c r="O1875" s="2">
        <f t="shared" si="380"/>
        <v>0</v>
      </c>
      <c r="P1875" s="112">
        <f t="shared" si="381"/>
        <v>2</v>
      </c>
      <c r="Q1875" s="112">
        <f t="shared" si="382"/>
        <v>0</v>
      </c>
      <c r="R1875" s="53"/>
      <c r="S1875" s="53" t="str">
        <f t="shared" si="383"/>
        <v>A View From Home|A View From Home|VFH-19|Base</v>
      </c>
      <c r="T1875" s="57">
        <f>IF($S1875="","",IFERROR(VLOOKUP($S1875,'Pop Estimates (Non-#d)'!$N$2:$O$500,2,FALSE),""))</f>
        <v>713</v>
      </c>
      <c r="U1875" s="57">
        <f t="shared" si="384"/>
        <v>713</v>
      </c>
      <c r="V1875" s="53" t="str">
        <f t="shared" si="385"/>
        <v/>
      </c>
      <c r="W1875" s="53" t="str">
        <f t="shared" si="386"/>
        <v/>
      </c>
      <c r="X1875" s="53" t="str">
        <f t="shared" si="387"/>
        <v/>
      </c>
      <c r="Y1875" s="57" t="str">
        <f>IF($X1875="","",IFERROR(VLOOKUP($X1875,'Char Popularity'!$A$2:$C$500,2,FALSE),""))</f>
        <v/>
      </c>
      <c r="Z1875" s="56">
        <f>IF($X1875="",1,IFERROR(VLOOKUP($X1875,'Char Popularity'!$A$2:$C$500,3,FALSE),1))</f>
        <v>1</v>
      </c>
      <c r="AA1875" s="62">
        <f>IF($H1875&lt;&gt;"Y",0,(IF($F1875&lt;&gt;"",ROUND(Dashboard!$R$4/$F1875,1),IF(AND($I1875="Base",$E1875="Base"),Dashboard!$R$5,IF(AND($I1875="Base",$E1875="Red"),Dashboard!$R$6,IF(AND($I1875="Base",$E1875="Gold"),Dashboard!$R$7,VLOOKUP($I1875,Dashboard!$Q$16:$R$21,2,FALSE)))))*VLOOKUP($I1875,Dashboard!$Q$9:$R$13,2,FALSE)*IF(AND($I1875="Auto",$F1875="",OR($B1875="Autographs Duals",$B1875="Autographs Triples",$B1875="Autographs Quads",$B1875="Autographs Quads (Inscribed)")),IF($B1875="Autographs Duals",2,IF($B1875="Autographs Triples",3,4)),1)))</f>
        <v>6</v>
      </c>
      <c r="AB1875" s="62">
        <f t="shared" si="388"/>
        <v>6</v>
      </c>
      <c r="AC1875" s="62">
        <f t="shared" si="389"/>
        <v>0</v>
      </c>
    </row>
    <row r="1876" spans="1:29" ht="30" customHeight="1" x14ac:dyDescent="0.25">
      <c r="A1876" s="4" t="s">
        <v>27</v>
      </c>
      <c r="B1876" s="7" t="s">
        <v>27</v>
      </c>
      <c r="C1876" s="2" t="s">
        <v>577</v>
      </c>
      <c r="D1876" s="7" t="s">
        <v>578</v>
      </c>
      <c r="E1876" s="4" t="s">
        <v>60</v>
      </c>
      <c r="F1876" s="2"/>
      <c r="G1876" s="2" t="s">
        <v>1399</v>
      </c>
      <c r="H1876" s="2" t="s">
        <v>1400</v>
      </c>
      <c r="I1876" s="4" t="s">
        <v>62</v>
      </c>
      <c r="J1876" s="112">
        <f>IF($H1876&lt;&gt;"Y",0,ROUND(MIN(Dashboard!$R$24,IF(IFERROR(VLOOKUP($B1876,Dashboard!$Q$28:$S$60,2,FALSE),0)&gt;0,IFERROR(VLOOKUP($B1876,Dashboard!$Q$28:$S$60,2,FALSE),0),$Z1876*IF($U1876&lt;&gt;"",ROUND((Dashboard!$R$4/$U1876)*VLOOKUP($I1876,Dashboard!$Q$9:$R$13,2,FALSE)*IF(ISNUMBER(SEARCH("Duals",$B1876)),2,IF(ISNUMBER(SEARCH("Triples",$B1876)),3,IF(ISNUMBER(SEARCH("Quads",$B1876)),4,1))),2),ROUND(VLOOKUP($I1876,Dashboard!$Q$15:$R$20,2,FALSE)*IF($E1876="Red",Dashboard!$R$6,IF($E1876="Gold",Dashboard!$R$7,Dashboard!$R$5))*IF(ISNUMBER(SEARCH("Duals",$B1876)),2,IF(ISNUMBER(SEARCH("Triples",$B1876)),3,IF(ISNUMBER(SEARCH("Quads",$B1876)),4,1))),2))*IF(IFERROR(VLOOKUP($B1876,Dashboard!$Q$28:$S$60,3,FALSE),0)&gt;0,VLOOKUP($B1876,Dashboard!$Q$28:$S$60,3,FALSE),1))),0))</f>
        <v>2</v>
      </c>
      <c r="K1876" s="2" t="str">
        <f>IF('A View From Home'!E21="","",'A View From Home'!E21)</f>
        <v>V</v>
      </c>
      <c r="L1876" s="2">
        <f t="shared" si="377"/>
        <v>1</v>
      </c>
      <c r="M1876" s="2">
        <f t="shared" si="378"/>
        <v>0</v>
      </c>
      <c r="N1876" s="2">
        <f t="shared" si="379"/>
        <v>1</v>
      </c>
      <c r="O1876" s="2">
        <f t="shared" si="380"/>
        <v>0</v>
      </c>
      <c r="P1876" s="112">
        <f t="shared" si="381"/>
        <v>2</v>
      </c>
      <c r="Q1876" s="112">
        <f t="shared" si="382"/>
        <v>0</v>
      </c>
      <c r="R1876" s="53"/>
      <c r="S1876" s="53" t="str">
        <f t="shared" si="383"/>
        <v>A View From Home|A View From Home|VFH-20|Base</v>
      </c>
      <c r="T1876" s="57">
        <f>IF($S1876="","",IFERROR(VLOOKUP($S1876,'Pop Estimates (Non-#d)'!$N$2:$O$500,2,FALSE),""))</f>
        <v>713</v>
      </c>
      <c r="U1876" s="57">
        <f t="shared" si="384"/>
        <v>713</v>
      </c>
      <c r="V1876" s="53" t="str">
        <f t="shared" si="385"/>
        <v/>
      </c>
      <c r="W1876" s="53" t="str">
        <f t="shared" si="386"/>
        <v/>
      </c>
      <c r="X1876" s="53" t="str">
        <f t="shared" si="387"/>
        <v/>
      </c>
      <c r="Y1876" s="57" t="str">
        <f>IF($X1876="","",IFERROR(VLOOKUP($X1876,'Char Popularity'!$A$2:$C$500,2,FALSE),""))</f>
        <v/>
      </c>
      <c r="Z1876" s="56">
        <f>IF($X1876="",1,IFERROR(VLOOKUP($X1876,'Char Popularity'!$A$2:$C$500,3,FALSE),1))</f>
        <v>1</v>
      </c>
      <c r="AA1876" s="62">
        <f>IF($H1876&lt;&gt;"Y",0,(IF($F1876&lt;&gt;"",ROUND(Dashboard!$R$4/$F1876,1),IF(AND($I1876="Base",$E1876="Base"),Dashboard!$R$5,IF(AND($I1876="Base",$E1876="Red"),Dashboard!$R$6,IF(AND($I1876="Base",$E1876="Gold"),Dashboard!$R$7,VLOOKUP($I1876,Dashboard!$Q$16:$R$21,2,FALSE)))))*VLOOKUP($I1876,Dashboard!$Q$9:$R$13,2,FALSE)*IF(AND($I1876="Auto",$F1876="",OR($B1876="Autographs Duals",$B1876="Autographs Triples",$B1876="Autographs Quads",$B1876="Autographs Quads (Inscribed)")),IF($B1876="Autographs Duals",2,IF($B1876="Autographs Triples",3,4)),1)))</f>
        <v>6</v>
      </c>
      <c r="AB1876" s="62">
        <f t="shared" si="388"/>
        <v>6</v>
      </c>
      <c r="AC1876" s="62">
        <f t="shared" si="389"/>
        <v>0</v>
      </c>
    </row>
    <row r="1877" spans="1:29" ht="30" customHeight="1" x14ac:dyDescent="0.25">
      <c r="A1877" s="4" t="s">
        <v>27</v>
      </c>
      <c r="B1877" s="7" t="s">
        <v>27</v>
      </c>
      <c r="C1877" s="2" t="s">
        <v>579</v>
      </c>
      <c r="D1877" s="7" t="s">
        <v>580</v>
      </c>
      <c r="E1877" s="4" t="s">
        <v>60</v>
      </c>
      <c r="F1877" s="2"/>
      <c r="G1877" s="2" t="s">
        <v>1399</v>
      </c>
      <c r="H1877" s="2" t="s">
        <v>1400</v>
      </c>
      <c r="I1877" s="4" t="s">
        <v>62</v>
      </c>
      <c r="J1877" s="112">
        <f>IF($H1877&lt;&gt;"Y",0,ROUND(MIN(Dashboard!$R$24,IF(IFERROR(VLOOKUP($B1877,Dashboard!$Q$28:$S$60,2,FALSE),0)&gt;0,IFERROR(VLOOKUP($B1877,Dashboard!$Q$28:$S$60,2,FALSE),0),$Z1877*IF($U1877&lt;&gt;"",ROUND((Dashboard!$R$4/$U1877)*VLOOKUP($I1877,Dashboard!$Q$9:$R$13,2,FALSE)*IF(ISNUMBER(SEARCH("Duals",$B1877)),2,IF(ISNUMBER(SEARCH("Triples",$B1877)),3,IF(ISNUMBER(SEARCH("Quads",$B1877)),4,1))),2),ROUND(VLOOKUP($I1877,Dashboard!$Q$15:$R$20,2,FALSE)*IF($E1877="Red",Dashboard!$R$6,IF($E1877="Gold",Dashboard!$R$7,Dashboard!$R$5))*IF(ISNUMBER(SEARCH("Duals",$B1877)),2,IF(ISNUMBER(SEARCH("Triples",$B1877)),3,IF(ISNUMBER(SEARCH("Quads",$B1877)),4,1))),2))*IF(IFERROR(VLOOKUP($B1877,Dashboard!$Q$28:$S$60,3,FALSE),0)&gt;0,VLOOKUP($B1877,Dashboard!$Q$28:$S$60,3,FALSE),1))),0))</f>
        <v>2</v>
      </c>
      <c r="K1877" s="2" t="str">
        <f>IF('A View From Home'!E22="","",'A View From Home'!E22)</f>
        <v>V</v>
      </c>
      <c r="L1877" s="2">
        <f t="shared" si="377"/>
        <v>1</v>
      </c>
      <c r="M1877" s="2">
        <f t="shared" si="378"/>
        <v>0</v>
      </c>
      <c r="N1877" s="2">
        <f t="shared" si="379"/>
        <v>1</v>
      </c>
      <c r="O1877" s="2">
        <f t="shared" si="380"/>
        <v>0</v>
      </c>
      <c r="P1877" s="112">
        <f t="shared" si="381"/>
        <v>2</v>
      </c>
      <c r="Q1877" s="112">
        <f t="shared" si="382"/>
        <v>0</v>
      </c>
      <c r="R1877" s="53"/>
      <c r="S1877" s="53" t="str">
        <f t="shared" si="383"/>
        <v>A View From Home|A View From Home|VFH-21|Base</v>
      </c>
      <c r="T1877" s="57">
        <f>IF($S1877="","",IFERROR(VLOOKUP($S1877,'Pop Estimates (Non-#d)'!$N$2:$O$500,2,FALSE),""))</f>
        <v>713</v>
      </c>
      <c r="U1877" s="57">
        <f t="shared" si="384"/>
        <v>713</v>
      </c>
      <c r="V1877" s="53" t="str">
        <f t="shared" si="385"/>
        <v/>
      </c>
      <c r="W1877" s="53" t="str">
        <f t="shared" si="386"/>
        <v/>
      </c>
      <c r="X1877" s="53" t="str">
        <f t="shared" si="387"/>
        <v/>
      </c>
      <c r="Y1877" s="57" t="str">
        <f>IF($X1877="","",IFERROR(VLOOKUP($X1877,'Char Popularity'!$A$2:$C$500,2,FALSE),""))</f>
        <v/>
      </c>
      <c r="Z1877" s="56">
        <f>IF($X1877="",1,IFERROR(VLOOKUP($X1877,'Char Popularity'!$A$2:$C$500,3,FALSE),1))</f>
        <v>1</v>
      </c>
      <c r="AA1877" s="62">
        <f>IF($H1877&lt;&gt;"Y",0,(IF($F1877&lt;&gt;"",ROUND(Dashboard!$R$4/$F1877,1),IF(AND($I1877="Base",$E1877="Base"),Dashboard!$R$5,IF(AND($I1877="Base",$E1877="Red"),Dashboard!$R$6,IF(AND($I1877="Base",$E1877="Gold"),Dashboard!$R$7,VLOOKUP($I1877,Dashboard!$Q$16:$R$21,2,FALSE)))))*VLOOKUP($I1877,Dashboard!$Q$9:$R$13,2,FALSE)*IF(AND($I1877="Auto",$F1877="",OR($B1877="Autographs Duals",$B1877="Autographs Triples",$B1877="Autographs Quads",$B1877="Autographs Quads (Inscribed)")),IF($B1877="Autographs Duals",2,IF($B1877="Autographs Triples",3,4)),1)))</f>
        <v>6</v>
      </c>
      <c r="AB1877" s="62">
        <f t="shared" si="388"/>
        <v>6</v>
      </c>
      <c r="AC1877" s="62">
        <f t="shared" si="389"/>
        <v>0</v>
      </c>
    </row>
    <row r="1878" spans="1:29" ht="30" customHeight="1" x14ac:dyDescent="0.25">
      <c r="A1878" s="4" t="s">
        <v>27</v>
      </c>
      <c r="B1878" s="7" t="s">
        <v>27</v>
      </c>
      <c r="C1878" s="2" t="s">
        <v>581</v>
      </c>
      <c r="D1878" s="7" t="s">
        <v>582</v>
      </c>
      <c r="E1878" s="4" t="s">
        <v>60</v>
      </c>
      <c r="F1878" s="2"/>
      <c r="G1878" s="2" t="s">
        <v>1399</v>
      </c>
      <c r="H1878" s="2" t="s">
        <v>1400</v>
      </c>
      <c r="I1878" s="4" t="s">
        <v>62</v>
      </c>
      <c r="J1878" s="112">
        <f>IF($H1878&lt;&gt;"Y",0,ROUND(MIN(Dashboard!$R$24,IF(IFERROR(VLOOKUP($B1878,Dashboard!$Q$28:$S$60,2,FALSE),0)&gt;0,IFERROR(VLOOKUP($B1878,Dashboard!$Q$28:$S$60,2,FALSE),0),$Z1878*IF($U1878&lt;&gt;"",ROUND((Dashboard!$R$4/$U1878)*VLOOKUP($I1878,Dashboard!$Q$9:$R$13,2,FALSE)*IF(ISNUMBER(SEARCH("Duals",$B1878)),2,IF(ISNUMBER(SEARCH("Triples",$B1878)),3,IF(ISNUMBER(SEARCH("Quads",$B1878)),4,1))),2),ROUND(VLOOKUP($I1878,Dashboard!$Q$15:$R$20,2,FALSE)*IF($E1878="Red",Dashboard!$R$6,IF($E1878="Gold",Dashboard!$R$7,Dashboard!$R$5))*IF(ISNUMBER(SEARCH("Duals",$B1878)),2,IF(ISNUMBER(SEARCH("Triples",$B1878)),3,IF(ISNUMBER(SEARCH("Quads",$B1878)),4,1))),2))*IF(IFERROR(VLOOKUP($B1878,Dashboard!$Q$28:$S$60,3,FALSE),0)&gt;0,VLOOKUP($B1878,Dashboard!$Q$28:$S$60,3,FALSE),1))),0))</f>
        <v>2</v>
      </c>
      <c r="K1878" s="2" t="str">
        <f>IF('A View From Home'!E23="","",'A View From Home'!E23)</f>
        <v>V</v>
      </c>
      <c r="L1878" s="2">
        <f t="shared" si="377"/>
        <v>1</v>
      </c>
      <c r="M1878" s="2">
        <f t="shared" si="378"/>
        <v>0</v>
      </c>
      <c r="N1878" s="2">
        <f t="shared" si="379"/>
        <v>1</v>
      </c>
      <c r="O1878" s="2">
        <f t="shared" si="380"/>
        <v>0</v>
      </c>
      <c r="P1878" s="112">
        <f t="shared" si="381"/>
        <v>2</v>
      </c>
      <c r="Q1878" s="112">
        <f t="shared" si="382"/>
        <v>0</v>
      </c>
      <c r="R1878" s="53"/>
      <c r="S1878" s="53" t="str">
        <f t="shared" si="383"/>
        <v>A View From Home|A View From Home|VFH-22|Base</v>
      </c>
      <c r="T1878" s="57">
        <f>IF($S1878="","",IFERROR(VLOOKUP($S1878,'Pop Estimates (Non-#d)'!$N$2:$O$500,2,FALSE),""))</f>
        <v>713</v>
      </c>
      <c r="U1878" s="57">
        <f t="shared" si="384"/>
        <v>713</v>
      </c>
      <c r="V1878" s="53" t="str">
        <f t="shared" si="385"/>
        <v/>
      </c>
      <c r="W1878" s="53" t="str">
        <f t="shared" si="386"/>
        <v/>
      </c>
      <c r="X1878" s="53" t="str">
        <f t="shared" si="387"/>
        <v/>
      </c>
      <c r="Y1878" s="57" t="str">
        <f>IF($X1878="","",IFERROR(VLOOKUP($X1878,'Char Popularity'!$A$2:$C$500,2,FALSE),""))</f>
        <v/>
      </c>
      <c r="Z1878" s="56">
        <f>IF($X1878="",1,IFERROR(VLOOKUP($X1878,'Char Popularity'!$A$2:$C$500,3,FALSE),1))</f>
        <v>1</v>
      </c>
      <c r="AA1878" s="62">
        <f>IF($H1878&lt;&gt;"Y",0,(IF($F1878&lt;&gt;"",ROUND(Dashboard!$R$4/$F1878,1),IF(AND($I1878="Base",$E1878="Base"),Dashboard!$R$5,IF(AND($I1878="Base",$E1878="Red"),Dashboard!$R$6,IF(AND($I1878="Base",$E1878="Gold"),Dashboard!$R$7,VLOOKUP($I1878,Dashboard!$Q$16:$R$21,2,FALSE)))))*VLOOKUP($I1878,Dashboard!$Q$9:$R$13,2,FALSE)*IF(AND($I1878="Auto",$F1878="",OR($B1878="Autographs Duals",$B1878="Autographs Triples",$B1878="Autographs Quads",$B1878="Autographs Quads (Inscribed)")),IF($B1878="Autographs Duals",2,IF($B1878="Autographs Triples",3,4)),1)))</f>
        <v>6</v>
      </c>
      <c r="AB1878" s="62">
        <f t="shared" si="388"/>
        <v>6</v>
      </c>
      <c r="AC1878" s="62">
        <f t="shared" si="389"/>
        <v>0</v>
      </c>
    </row>
    <row r="1879" spans="1:29" ht="30" customHeight="1" x14ac:dyDescent="0.25">
      <c r="A1879" s="4" t="s">
        <v>27</v>
      </c>
      <c r="B1879" s="7" t="s">
        <v>27</v>
      </c>
      <c r="C1879" s="2" t="s">
        <v>583</v>
      </c>
      <c r="D1879" s="7" t="s">
        <v>584</v>
      </c>
      <c r="E1879" s="4" t="s">
        <v>60</v>
      </c>
      <c r="F1879" s="2"/>
      <c r="G1879" s="2" t="s">
        <v>1399</v>
      </c>
      <c r="H1879" s="2" t="s">
        <v>1400</v>
      </c>
      <c r="I1879" s="4" t="s">
        <v>62</v>
      </c>
      <c r="J1879" s="112">
        <f>IF($H1879&lt;&gt;"Y",0,ROUND(MIN(Dashboard!$R$24,IF(IFERROR(VLOOKUP($B1879,Dashboard!$Q$28:$S$60,2,FALSE),0)&gt;0,IFERROR(VLOOKUP($B1879,Dashboard!$Q$28:$S$60,2,FALSE),0),$Z1879*IF($U1879&lt;&gt;"",ROUND((Dashboard!$R$4/$U1879)*VLOOKUP($I1879,Dashboard!$Q$9:$R$13,2,FALSE)*IF(ISNUMBER(SEARCH("Duals",$B1879)),2,IF(ISNUMBER(SEARCH("Triples",$B1879)),3,IF(ISNUMBER(SEARCH("Quads",$B1879)),4,1))),2),ROUND(VLOOKUP($I1879,Dashboard!$Q$15:$R$20,2,FALSE)*IF($E1879="Red",Dashboard!$R$6,IF($E1879="Gold",Dashboard!$R$7,Dashboard!$R$5))*IF(ISNUMBER(SEARCH("Duals",$B1879)),2,IF(ISNUMBER(SEARCH("Triples",$B1879)),3,IF(ISNUMBER(SEARCH("Quads",$B1879)),4,1))),2))*IF(IFERROR(VLOOKUP($B1879,Dashboard!$Q$28:$S$60,3,FALSE),0)&gt;0,VLOOKUP($B1879,Dashboard!$Q$28:$S$60,3,FALSE),1))),0))</f>
        <v>2</v>
      </c>
      <c r="K1879" s="2" t="str">
        <f>IF('A View From Home'!E24="","",'A View From Home'!E24)</f>
        <v>d</v>
      </c>
      <c r="L1879" s="2">
        <f t="shared" si="377"/>
        <v>1</v>
      </c>
      <c r="M1879" s="2">
        <f t="shared" si="378"/>
        <v>0</v>
      </c>
      <c r="N1879" s="2">
        <f t="shared" si="379"/>
        <v>1</v>
      </c>
      <c r="O1879" s="2">
        <f t="shared" si="380"/>
        <v>0</v>
      </c>
      <c r="P1879" s="112">
        <f t="shared" si="381"/>
        <v>2</v>
      </c>
      <c r="Q1879" s="112">
        <f t="shared" si="382"/>
        <v>0</v>
      </c>
      <c r="R1879" s="53"/>
      <c r="S1879" s="53" t="str">
        <f t="shared" si="383"/>
        <v>A View From Home|A View From Home|VFH-23|Base</v>
      </c>
      <c r="T1879" s="57">
        <f>IF($S1879="","",IFERROR(VLOOKUP($S1879,'Pop Estimates (Non-#d)'!$N$2:$O$500,2,FALSE),""))</f>
        <v>713</v>
      </c>
      <c r="U1879" s="57">
        <f t="shared" si="384"/>
        <v>713</v>
      </c>
      <c r="V1879" s="53" t="str">
        <f t="shared" si="385"/>
        <v/>
      </c>
      <c r="W1879" s="53" t="str">
        <f t="shared" si="386"/>
        <v/>
      </c>
      <c r="X1879" s="53" t="str">
        <f t="shared" si="387"/>
        <v/>
      </c>
      <c r="Y1879" s="57" t="str">
        <f>IF($X1879="","",IFERROR(VLOOKUP($X1879,'Char Popularity'!$A$2:$C$500,2,FALSE),""))</f>
        <v/>
      </c>
      <c r="Z1879" s="56">
        <f>IF($X1879="",1,IFERROR(VLOOKUP($X1879,'Char Popularity'!$A$2:$C$500,3,FALSE),1))</f>
        <v>1</v>
      </c>
      <c r="AA1879" s="62">
        <f>IF($H1879&lt;&gt;"Y",0,(IF($F1879&lt;&gt;"",ROUND(Dashboard!$R$4/$F1879,1),IF(AND($I1879="Base",$E1879="Base"),Dashboard!$R$5,IF(AND($I1879="Base",$E1879="Red"),Dashboard!$R$6,IF(AND($I1879="Base",$E1879="Gold"),Dashboard!$R$7,VLOOKUP($I1879,Dashboard!$Q$16:$R$21,2,FALSE)))))*VLOOKUP($I1879,Dashboard!$Q$9:$R$13,2,FALSE)*IF(AND($I1879="Auto",$F1879="",OR($B1879="Autographs Duals",$B1879="Autographs Triples",$B1879="Autographs Quads",$B1879="Autographs Quads (Inscribed)")),IF($B1879="Autographs Duals",2,IF($B1879="Autographs Triples",3,4)),1)))</f>
        <v>6</v>
      </c>
      <c r="AB1879" s="62">
        <f t="shared" si="388"/>
        <v>6</v>
      </c>
      <c r="AC1879" s="62">
        <f t="shared" si="389"/>
        <v>0</v>
      </c>
    </row>
    <row r="1880" spans="1:29" ht="30" customHeight="1" x14ac:dyDescent="0.25">
      <c r="A1880" s="4" t="s">
        <v>27</v>
      </c>
      <c r="B1880" s="7" t="s">
        <v>27</v>
      </c>
      <c r="C1880" s="2" t="s">
        <v>585</v>
      </c>
      <c r="D1880" s="7" t="s">
        <v>586</v>
      </c>
      <c r="E1880" s="4" t="s">
        <v>60</v>
      </c>
      <c r="F1880" s="2"/>
      <c r="G1880" s="2" t="s">
        <v>1399</v>
      </c>
      <c r="H1880" s="2" t="s">
        <v>1400</v>
      </c>
      <c r="I1880" s="4" t="s">
        <v>62</v>
      </c>
      <c r="J1880" s="112">
        <f>IF($H1880&lt;&gt;"Y",0,ROUND(MIN(Dashboard!$R$24,IF(IFERROR(VLOOKUP($B1880,Dashboard!$Q$28:$S$60,2,FALSE),0)&gt;0,IFERROR(VLOOKUP($B1880,Dashboard!$Q$28:$S$60,2,FALSE),0),$Z1880*IF($U1880&lt;&gt;"",ROUND((Dashboard!$R$4/$U1880)*VLOOKUP($I1880,Dashboard!$Q$9:$R$13,2,FALSE)*IF(ISNUMBER(SEARCH("Duals",$B1880)),2,IF(ISNUMBER(SEARCH("Triples",$B1880)),3,IF(ISNUMBER(SEARCH("Quads",$B1880)),4,1))),2),ROUND(VLOOKUP($I1880,Dashboard!$Q$15:$R$20,2,FALSE)*IF($E1880="Red",Dashboard!$R$6,IF($E1880="Gold",Dashboard!$R$7,Dashboard!$R$5))*IF(ISNUMBER(SEARCH("Duals",$B1880)),2,IF(ISNUMBER(SEARCH("Triples",$B1880)),3,IF(ISNUMBER(SEARCH("Quads",$B1880)),4,1))),2))*IF(IFERROR(VLOOKUP($B1880,Dashboard!$Q$28:$S$60,3,FALSE),0)&gt;0,VLOOKUP($B1880,Dashboard!$Q$28:$S$60,3,FALSE),1))),0))</f>
        <v>2</v>
      </c>
      <c r="K1880" s="2" t="str">
        <f>IF('A View From Home'!E25="","",'A View From Home'!E25)</f>
        <v>V</v>
      </c>
      <c r="L1880" s="2">
        <f t="shared" si="377"/>
        <v>1</v>
      </c>
      <c r="M1880" s="2">
        <f t="shared" si="378"/>
        <v>0</v>
      </c>
      <c r="N1880" s="2">
        <f t="shared" si="379"/>
        <v>1</v>
      </c>
      <c r="O1880" s="2">
        <f t="shared" si="380"/>
        <v>0</v>
      </c>
      <c r="P1880" s="112">
        <f t="shared" si="381"/>
        <v>2</v>
      </c>
      <c r="Q1880" s="112">
        <f t="shared" si="382"/>
        <v>0</v>
      </c>
      <c r="R1880" s="53"/>
      <c r="S1880" s="53" t="str">
        <f t="shared" si="383"/>
        <v>A View From Home|A View From Home|VFH-24|Base</v>
      </c>
      <c r="T1880" s="57">
        <f>IF($S1880="","",IFERROR(VLOOKUP($S1880,'Pop Estimates (Non-#d)'!$N$2:$O$500,2,FALSE),""))</f>
        <v>713</v>
      </c>
      <c r="U1880" s="57">
        <f t="shared" si="384"/>
        <v>713</v>
      </c>
      <c r="V1880" s="53" t="str">
        <f t="shared" si="385"/>
        <v/>
      </c>
      <c r="W1880" s="53" t="str">
        <f t="shared" si="386"/>
        <v/>
      </c>
      <c r="X1880" s="53" t="str">
        <f t="shared" si="387"/>
        <v/>
      </c>
      <c r="Y1880" s="57" t="str">
        <f>IF($X1880="","",IFERROR(VLOOKUP($X1880,'Char Popularity'!$A$2:$C$500,2,FALSE),""))</f>
        <v/>
      </c>
      <c r="Z1880" s="56">
        <f>IF($X1880="",1,IFERROR(VLOOKUP($X1880,'Char Popularity'!$A$2:$C$500,3,FALSE),1))</f>
        <v>1</v>
      </c>
      <c r="AA1880" s="62">
        <f>IF($H1880&lt;&gt;"Y",0,(IF($F1880&lt;&gt;"",ROUND(Dashboard!$R$4/$F1880,1),IF(AND($I1880="Base",$E1880="Base"),Dashboard!$R$5,IF(AND($I1880="Base",$E1880="Red"),Dashboard!$R$6,IF(AND($I1880="Base",$E1880="Gold"),Dashboard!$R$7,VLOOKUP($I1880,Dashboard!$Q$16:$R$21,2,FALSE)))))*VLOOKUP($I1880,Dashboard!$Q$9:$R$13,2,FALSE)*IF(AND($I1880="Auto",$F1880="",OR($B1880="Autographs Duals",$B1880="Autographs Triples",$B1880="Autographs Quads",$B1880="Autographs Quads (Inscribed)")),IF($B1880="Autographs Duals",2,IF($B1880="Autographs Triples",3,4)),1)))</f>
        <v>6</v>
      </c>
      <c r="AB1880" s="62">
        <f t="shared" si="388"/>
        <v>6</v>
      </c>
      <c r="AC1880" s="62">
        <f t="shared" si="389"/>
        <v>0</v>
      </c>
    </row>
    <row r="1881" spans="1:29" ht="30" customHeight="1" x14ac:dyDescent="0.25">
      <c r="A1881" s="4" t="s">
        <v>27</v>
      </c>
      <c r="B1881" s="7" t="s">
        <v>27</v>
      </c>
      <c r="C1881" s="2" t="s">
        <v>587</v>
      </c>
      <c r="D1881" s="7" t="s">
        <v>588</v>
      </c>
      <c r="E1881" s="4" t="s">
        <v>60</v>
      </c>
      <c r="F1881" s="2"/>
      <c r="G1881" s="2" t="s">
        <v>1399</v>
      </c>
      <c r="H1881" s="2" t="s">
        <v>1400</v>
      </c>
      <c r="I1881" s="4" t="s">
        <v>62</v>
      </c>
      <c r="J1881" s="112">
        <f>IF($H1881&lt;&gt;"Y",0,ROUND(MIN(Dashboard!$R$24,IF(IFERROR(VLOOKUP($B1881,Dashboard!$Q$28:$S$60,2,FALSE),0)&gt;0,IFERROR(VLOOKUP($B1881,Dashboard!$Q$28:$S$60,2,FALSE),0),$Z1881*IF($U1881&lt;&gt;"",ROUND((Dashboard!$R$4/$U1881)*VLOOKUP($I1881,Dashboard!$Q$9:$R$13,2,FALSE)*IF(ISNUMBER(SEARCH("Duals",$B1881)),2,IF(ISNUMBER(SEARCH("Triples",$B1881)),3,IF(ISNUMBER(SEARCH("Quads",$B1881)),4,1))),2),ROUND(VLOOKUP($I1881,Dashboard!$Q$15:$R$20,2,FALSE)*IF($E1881="Red",Dashboard!$R$6,IF($E1881="Gold",Dashboard!$R$7,Dashboard!$R$5))*IF(ISNUMBER(SEARCH("Duals",$B1881)),2,IF(ISNUMBER(SEARCH("Triples",$B1881)),3,IF(ISNUMBER(SEARCH("Quads",$B1881)),4,1))),2))*IF(IFERROR(VLOOKUP($B1881,Dashboard!$Q$28:$S$60,3,FALSE),0)&gt;0,VLOOKUP($B1881,Dashboard!$Q$28:$S$60,3,FALSE),1))),0))</f>
        <v>2</v>
      </c>
      <c r="K1881" s="2" t="str">
        <f>IF('A View From Home'!E26="","",'A View From Home'!E26)</f>
        <v>V</v>
      </c>
      <c r="L1881" s="2">
        <f t="shared" si="377"/>
        <v>1</v>
      </c>
      <c r="M1881" s="2">
        <f t="shared" si="378"/>
        <v>0</v>
      </c>
      <c r="N1881" s="2">
        <f t="shared" si="379"/>
        <v>1</v>
      </c>
      <c r="O1881" s="2">
        <f t="shared" si="380"/>
        <v>0</v>
      </c>
      <c r="P1881" s="112">
        <f t="shared" si="381"/>
        <v>2</v>
      </c>
      <c r="Q1881" s="112">
        <f t="shared" si="382"/>
        <v>0</v>
      </c>
      <c r="R1881" s="53"/>
      <c r="S1881" s="53" t="str">
        <f t="shared" si="383"/>
        <v>A View From Home|A View From Home|VFH-25|Base</v>
      </c>
      <c r="T1881" s="57">
        <f>IF($S1881="","",IFERROR(VLOOKUP($S1881,'Pop Estimates (Non-#d)'!$N$2:$O$500,2,FALSE),""))</f>
        <v>713</v>
      </c>
      <c r="U1881" s="57">
        <f t="shared" si="384"/>
        <v>713</v>
      </c>
      <c r="V1881" s="53" t="str">
        <f t="shared" si="385"/>
        <v/>
      </c>
      <c r="W1881" s="53" t="str">
        <f t="shared" si="386"/>
        <v/>
      </c>
      <c r="X1881" s="53" t="str">
        <f t="shared" si="387"/>
        <v/>
      </c>
      <c r="Y1881" s="57" t="str">
        <f>IF($X1881="","",IFERROR(VLOOKUP($X1881,'Char Popularity'!$A$2:$C$500,2,FALSE),""))</f>
        <v/>
      </c>
      <c r="Z1881" s="56">
        <f>IF($X1881="",1,IFERROR(VLOOKUP($X1881,'Char Popularity'!$A$2:$C$500,3,FALSE),1))</f>
        <v>1</v>
      </c>
      <c r="AA1881" s="62">
        <f>IF($H1881&lt;&gt;"Y",0,(IF($F1881&lt;&gt;"",ROUND(Dashboard!$R$4/$F1881,1),IF(AND($I1881="Base",$E1881="Base"),Dashboard!$R$5,IF(AND($I1881="Base",$E1881="Red"),Dashboard!$R$6,IF(AND($I1881="Base",$E1881="Gold"),Dashboard!$R$7,VLOOKUP($I1881,Dashboard!$Q$16:$R$21,2,FALSE)))))*VLOOKUP($I1881,Dashboard!$Q$9:$R$13,2,FALSE)*IF(AND($I1881="Auto",$F1881="",OR($B1881="Autographs Duals",$B1881="Autographs Triples",$B1881="Autographs Quads",$B1881="Autographs Quads (Inscribed)")),IF($B1881="Autographs Duals",2,IF($B1881="Autographs Triples",3,4)),1)))</f>
        <v>6</v>
      </c>
      <c r="AB1881" s="62">
        <f t="shared" si="388"/>
        <v>6</v>
      </c>
      <c r="AC1881" s="62">
        <f t="shared" si="389"/>
        <v>0</v>
      </c>
    </row>
    <row r="1882" spans="1:29" ht="30" customHeight="1" x14ac:dyDescent="0.25">
      <c r="A1882" s="4" t="s">
        <v>27</v>
      </c>
      <c r="B1882" s="7" t="s">
        <v>27</v>
      </c>
      <c r="C1882" s="2" t="s">
        <v>589</v>
      </c>
      <c r="D1882" s="7" t="s">
        <v>590</v>
      </c>
      <c r="E1882" s="4" t="s">
        <v>60</v>
      </c>
      <c r="F1882" s="2"/>
      <c r="G1882" s="2" t="s">
        <v>1399</v>
      </c>
      <c r="H1882" s="2" t="s">
        <v>1400</v>
      </c>
      <c r="I1882" s="4" t="s">
        <v>62</v>
      </c>
      <c r="J1882" s="112">
        <f>IF($H1882&lt;&gt;"Y",0,ROUND(MIN(Dashboard!$R$24,IF(IFERROR(VLOOKUP($B1882,Dashboard!$Q$28:$S$60,2,FALSE),0)&gt;0,IFERROR(VLOOKUP($B1882,Dashboard!$Q$28:$S$60,2,FALSE),0),$Z1882*IF($U1882&lt;&gt;"",ROUND((Dashboard!$R$4/$U1882)*VLOOKUP($I1882,Dashboard!$Q$9:$R$13,2,FALSE)*IF(ISNUMBER(SEARCH("Duals",$B1882)),2,IF(ISNUMBER(SEARCH("Triples",$B1882)),3,IF(ISNUMBER(SEARCH("Quads",$B1882)),4,1))),2),ROUND(VLOOKUP($I1882,Dashboard!$Q$15:$R$20,2,FALSE)*IF($E1882="Red",Dashboard!$R$6,IF($E1882="Gold",Dashboard!$R$7,Dashboard!$R$5))*IF(ISNUMBER(SEARCH("Duals",$B1882)),2,IF(ISNUMBER(SEARCH("Triples",$B1882)),3,IF(ISNUMBER(SEARCH("Quads",$B1882)),4,1))),2))*IF(IFERROR(VLOOKUP($B1882,Dashboard!$Q$28:$S$60,3,FALSE),0)&gt;0,VLOOKUP($B1882,Dashboard!$Q$28:$S$60,3,FALSE),1))),0))</f>
        <v>2</v>
      </c>
      <c r="K1882" s="2" t="str">
        <f>IF('A View From Home'!E27="","",'A View From Home'!E27)</f>
        <v>V</v>
      </c>
      <c r="L1882" s="2">
        <f t="shared" si="377"/>
        <v>1</v>
      </c>
      <c r="M1882" s="2">
        <f t="shared" si="378"/>
        <v>0</v>
      </c>
      <c r="N1882" s="2">
        <f t="shared" si="379"/>
        <v>1</v>
      </c>
      <c r="O1882" s="2">
        <f t="shared" si="380"/>
        <v>0</v>
      </c>
      <c r="P1882" s="112">
        <f t="shared" si="381"/>
        <v>2</v>
      </c>
      <c r="Q1882" s="112">
        <f t="shared" si="382"/>
        <v>0</v>
      </c>
      <c r="R1882" s="53"/>
      <c r="S1882" s="53" t="str">
        <f t="shared" si="383"/>
        <v>A View From Home|A View From Home|VFH-26|Base</v>
      </c>
      <c r="T1882" s="57">
        <f>IF($S1882="","",IFERROR(VLOOKUP($S1882,'Pop Estimates (Non-#d)'!$N$2:$O$500,2,FALSE),""))</f>
        <v>713</v>
      </c>
      <c r="U1882" s="57">
        <f t="shared" si="384"/>
        <v>713</v>
      </c>
      <c r="V1882" s="53" t="str">
        <f t="shared" si="385"/>
        <v/>
      </c>
      <c r="W1882" s="53" t="str">
        <f t="shared" si="386"/>
        <v/>
      </c>
      <c r="X1882" s="53" t="str">
        <f t="shared" si="387"/>
        <v/>
      </c>
      <c r="Y1882" s="57" t="str">
        <f>IF($X1882="","",IFERROR(VLOOKUP($X1882,'Char Popularity'!$A$2:$C$500,2,FALSE),""))</f>
        <v/>
      </c>
      <c r="Z1882" s="56">
        <f>IF($X1882="",1,IFERROR(VLOOKUP($X1882,'Char Popularity'!$A$2:$C$500,3,FALSE),1))</f>
        <v>1</v>
      </c>
      <c r="AA1882" s="62">
        <f>IF($H1882&lt;&gt;"Y",0,(IF($F1882&lt;&gt;"",ROUND(Dashboard!$R$4/$F1882,1),IF(AND($I1882="Base",$E1882="Base"),Dashboard!$R$5,IF(AND($I1882="Base",$E1882="Red"),Dashboard!$R$6,IF(AND($I1882="Base",$E1882="Gold"),Dashboard!$R$7,VLOOKUP($I1882,Dashboard!$Q$16:$R$21,2,FALSE)))))*VLOOKUP($I1882,Dashboard!$Q$9:$R$13,2,FALSE)*IF(AND($I1882="Auto",$F1882="",OR($B1882="Autographs Duals",$B1882="Autographs Triples",$B1882="Autographs Quads",$B1882="Autographs Quads (Inscribed)")),IF($B1882="Autographs Duals",2,IF($B1882="Autographs Triples",3,4)),1)))</f>
        <v>6</v>
      </c>
      <c r="AB1882" s="62">
        <f t="shared" si="388"/>
        <v>6</v>
      </c>
      <c r="AC1882" s="62">
        <f t="shared" si="389"/>
        <v>0</v>
      </c>
    </row>
    <row r="1883" spans="1:29" ht="30" customHeight="1" x14ac:dyDescent="0.25">
      <c r="A1883" s="4" t="s">
        <v>27</v>
      </c>
      <c r="B1883" s="7" t="s">
        <v>27</v>
      </c>
      <c r="C1883" s="2" t="s">
        <v>591</v>
      </c>
      <c r="D1883" s="7" t="s">
        <v>592</v>
      </c>
      <c r="E1883" s="4" t="s">
        <v>60</v>
      </c>
      <c r="F1883" s="2"/>
      <c r="G1883" s="2" t="s">
        <v>1399</v>
      </c>
      <c r="H1883" s="2" t="s">
        <v>1400</v>
      </c>
      <c r="I1883" s="4" t="s">
        <v>62</v>
      </c>
      <c r="J1883" s="112">
        <f>IF($H1883&lt;&gt;"Y",0,ROUND(MIN(Dashboard!$R$24,IF(IFERROR(VLOOKUP($B1883,Dashboard!$Q$28:$S$60,2,FALSE),0)&gt;0,IFERROR(VLOOKUP($B1883,Dashboard!$Q$28:$S$60,2,FALSE),0),$Z1883*IF($U1883&lt;&gt;"",ROUND((Dashboard!$R$4/$U1883)*VLOOKUP($I1883,Dashboard!$Q$9:$R$13,2,FALSE)*IF(ISNUMBER(SEARCH("Duals",$B1883)),2,IF(ISNUMBER(SEARCH("Triples",$B1883)),3,IF(ISNUMBER(SEARCH("Quads",$B1883)),4,1))),2),ROUND(VLOOKUP($I1883,Dashboard!$Q$15:$R$20,2,FALSE)*IF($E1883="Red",Dashboard!$R$6,IF($E1883="Gold",Dashboard!$R$7,Dashboard!$R$5))*IF(ISNUMBER(SEARCH("Duals",$B1883)),2,IF(ISNUMBER(SEARCH("Triples",$B1883)),3,IF(ISNUMBER(SEARCH("Quads",$B1883)),4,1))),2))*IF(IFERROR(VLOOKUP($B1883,Dashboard!$Q$28:$S$60,3,FALSE),0)&gt;0,VLOOKUP($B1883,Dashboard!$Q$28:$S$60,3,FALSE),1))),0))</f>
        <v>2</v>
      </c>
      <c r="K1883" s="2" t="str">
        <f>IF('A View From Home'!E28="","",'A View From Home'!E28)</f>
        <v>d</v>
      </c>
      <c r="L1883" s="2">
        <f t="shared" si="377"/>
        <v>1</v>
      </c>
      <c r="M1883" s="2">
        <f t="shared" si="378"/>
        <v>0</v>
      </c>
      <c r="N1883" s="2">
        <f t="shared" si="379"/>
        <v>1</v>
      </c>
      <c r="O1883" s="2">
        <f t="shared" si="380"/>
        <v>0</v>
      </c>
      <c r="P1883" s="112">
        <f t="shared" si="381"/>
        <v>2</v>
      </c>
      <c r="Q1883" s="112">
        <f t="shared" si="382"/>
        <v>0</v>
      </c>
      <c r="R1883" s="53"/>
      <c r="S1883" s="53" t="str">
        <f t="shared" si="383"/>
        <v>A View From Home|A View From Home|VFH-27|Base</v>
      </c>
      <c r="T1883" s="57">
        <f>IF($S1883="","",IFERROR(VLOOKUP($S1883,'Pop Estimates (Non-#d)'!$N$2:$O$500,2,FALSE),""))</f>
        <v>713</v>
      </c>
      <c r="U1883" s="57">
        <f t="shared" si="384"/>
        <v>713</v>
      </c>
      <c r="V1883" s="53" t="str">
        <f t="shared" si="385"/>
        <v/>
      </c>
      <c r="W1883" s="53" t="str">
        <f t="shared" si="386"/>
        <v/>
      </c>
      <c r="X1883" s="53" t="str">
        <f t="shared" si="387"/>
        <v/>
      </c>
      <c r="Y1883" s="57" t="str">
        <f>IF($X1883="","",IFERROR(VLOOKUP($X1883,'Char Popularity'!$A$2:$C$500,2,FALSE),""))</f>
        <v/>
      </c>
      <c r="Z1883" s="56">
        <f>IF($X1883="",1,IFERROR(VLOOKUP($X1883,'Char Popularity'!$A$2:$C$500,3,FALSE),1))</f>
        <v>1</v>
      </c>
      <c r="AA1883" s="62">
        <f>IF($H1883&lt;&gt;"Y",0,(IF($F1883&lt;&gt;"",ROUND(Dashboard!$R$4/$F1883,1),IF(AND($I1883="Base",$E1883="Base"),Dashboard!$R$5,IF(AND($I1883="Base",$E1883="Red"),Dashboard!$R$6,IF(AND($I1883="Base",$E1883="Gold"),Dashboard!$R$7,VLOOKUP($I1883,Dashboard!$Q$16:$R$21,2,FALSE)))))*VLOOKUP($I1883,Dashboard!$Q$9:$R$13,2,FALSE)*IF(AND($I1883="Auto",$F1883="",OR($B1883="Autographs Duals",$B1883="Autographs Triples",$B1883="Autographs Quads",$B1883="Autographs Quads (Inscribed)")),IF($B1883="Autographs Duals",2,IF($B1883="Autographs Triples",3,4)),1)))</f>
        <v>6</v>
      </c>
      <c r="AB1883" s="62">
        <f t="shared" si="388"/>
        <v>6</v>
      </c>
      <c r="AC1883" s="62">
        <f t="shared" si="389"/>
        <v>0</v>
      </c>
    </row>
    <row r="1884" spans="1:29" ht="30" customHeight="1" x14ac:dyDescent="0.25">
      <c r="A1884" s="4" t="s">
        <v>27</v>
      </c>
      <c r="B1884" s="7" t="s">
        <v>27</v>
      </c>
      <c r="C1884" s="2" t="s">
        <v>593</v>
      </c>
      <c r="D1884" s="7" t="s">
        <v>594</v>
      </c>
      <c r="E1884" s="4" t="s">
        <v>60</v>
      </c>
      <c r="F1884" s="2"/>
      <c r="G1884" s="2" t="s">
        <v>1399</v>
      </c>
      <c r="H1884" s="2" t="s">
        <v>1400</v>
      </c>
      <c r="I1884" s="4" t="s">
        <v>62</v>
      </c>
      <c r="J1884" s="112">
        <f>IF($H1884&lt;&gt;"Y",0,ROUND(MIN(Dashboard!$R$24,IF(IFERROR(VLOOKUP($B1884,Dashboard!$Q$28:$S$60,2,FALSE),0)&gt;0,IFERROR(VLOOKUP($B1884,Dashboard!$Q$28:$S$60,2,FALSE),0),$Z1884*IF($U1884&lt;&gt;"",ROUND((Dashboard!$R$4/$U1884)*VLOOKUP($I1884,Dashboard!$Q$9:$R$13,2,FALSE)*IF(ISNUMBER(SEARCH("Duals",$B1884)),2,IF(ISNUMBER(SEARCH("Triples",$B1884)),3,IF(ISNUMBER(SEARCH("Quads",$B1884)),4,1))),2),ROUND(VLOOKUP($I1884,Dashboard!$Q$15:$R$20,2,FALSE)*IF($E1884="Red",Dashboard!$R$6,IF($E1884="Gold",Dashboard!$R$7,Dashboard!$R$5))*IF(ISNUMBER(SEARCH("Duals",$B1884)),2,IF(ISNUMBER(SEARCH("Triples",$B1884)),3,IF(ISNUMBER(SEARCH("Quads",$B1884)),4,1))),2))*IF(IFERROR(VLOOKUP($B1884,Dashboard!$Q$28:$S$60,3,FALSE),0)&gt;0,VLOOKUP($B1884,Dashboard!$Q$28:$S$60,3,FALSE),1))),0))</f>
        <v>2</v>
      </c>
      <c r="K1884" s="2" t="str">
        <f>IF('A View From Home'!E29="","",'A View From Home'!E29)</f>
        <v>V</v>
      </c>
      <c r="L1884" s="2">
        <f t="shared" si="377"/>
        <v>1</v>
      </c>
      <c r="M1884" s="2">
        <f t="shared" si="378"/>
        <v>0</v>
      </c>
      <c r="N1884" s="2">
        <f t="shared" si="379"/>
        <v>1</v>
      </c>
      <c r="O1884" s="2">
        <f t="shared" si="380"/>
        <v>0</v>
      </c>
      <c r="P1884" s="112">
        <f t="shared" si="381"/>
        <v>2</v>
      </c>
      <c r="Q1884" s="112">
        <f t="shared" si="382"/>
        <v>0</v>
      </c>
      <c r="R1884" s="53"/>
      <c r="S1884" s="53" t="str">
        <f t="shared" si="383"/>
        <v>A View From Home|A View From Home|VFH-28|Base</v>
      </c>
      <c r="T1884" s="57">
        <f>IF($S1884="","",IFERROR(VLOOKUP($S1884,'Pop Estimates (Non-#d)'!$N$2:$O$500,2,FALSE),""))</f>
        <v>713</v>
      </c>
      <c r="U1884" s="57">
        <f t="shared" si="384"/>
        <v>713</v>
      </c>
      <c r="V1884" s="53" t="str">
        <f t="shared" si="385"/>
        <v/>
      </c>
      <c r="W1884" s="53" t="str">
        <f t="shared" si="386"/>
        <v/>
      </c>
      <c r="X1884" s="53" t="str">
        <f t="shared" si="387"/>
        <v/>
      </c>
      <c r="Y1884" s="57" t="str">
        <f>IF($X1884="","",IFERROR(VLOOKUP($X1884,'Char Popularity'!$A$2:$C$500,2,FALSE),""))</f>
        <v/>
      </c>
      <c r="Z1884" s="56">
        <f>IF($X1884="",1,IFERROR(VLOOKUP($X1884,'Char Popularity'!$A$2:$C$500,3,FALSE),1))</f>
        <v>1</v>
      </c>
      <c r="AA1884" s="62">
        <f>IF($H1884&lt;&gt;"Y",0,(IF($F1884&lt;&gt;"",ROUND(Dashboard!$R$4/$F1884,1),IF(AND($I1884="Base",$E1884="Base"),Dashboard!$R$5,IF(AND($I1884="Base",$E1884="Red"),Dashboard!$R$6,IF(AND($I1884="Base",$E1884="Gold"),Dashboard!$R$7,VLOOKUP($I1884,Dashboard!$Q$16:$R$21,2,FALSE)))))*VLOOKUP($I1884,Dashboard!$Q$9:$R$13,2,FALSE)*IF(AND($I1884="Auto",$F1884="",OR($B1884="Autographs Duals",$B1884="Autographs Triples",$B1884="Autographs Quads",$B1884="Autographs Quads (Inscribed)")),IF($B1884="Autographs Duals",2,IF($B1884="Autographs Triples",3,4)),1)))</f>
        <v>6</v>
      </c>
      <c r="AB1884" s="62">
        <f t="shared" si="388"/>
        <v>6</v>
      </c>
      <c r="AC1884" s="62">
        <f t="shared" si="389"/>
        <v>0</v>
      </c>
    </row>
    <row r="1885" spans="1:29" ht="30" customHeight="1" x14ac:dyDescent="0.25">
      <c r="A1885" s="4" t="s">
        <v>27</v>
      </c>
      <c r="B1885" s="7" t="s">
        <v>27</v>
      </c>
      <c r="C1885" s="2" t="s">
        <v>595</v>
      </c>
      <c r="D1885" s="7" t="s">
        <v>596</v>
      </c>
      <c r="E1885" s="4" t="s">
        <v>60</v>
      </c>
      <c r="F1885" s="2"/>
      <c r="G1885" s="2" t="s">
        <v>1399</v>
      </c>
      <c r="H1885" s="2" t="s">
        <v>1400</v>
      </c>
      <c r="I1885" s="4" t="s">
        <v>62</v>
      </c>
      <c r="J1885" s="112">
        <f>IF($H1885&lt;&gt;"Y",0,ROUND(MIN(Dashboard!$R$24,IF(IFERROR(VLOOKUP($B1885,Dashboard!$Q$28:$S$60,2,FALSE),0)&gt;0,IFERROR(VLOOKUP($B1885,Dashboard!$Q$28:$S$60,2,FALSE),0),$Z1885*IF($U1885&lt;&gt;"",ROUND((Dashboard!$R$4/$U1885)*VLOOKUP($I1885,Dashboard!$Q$9:$R$13,2,FALSE)*IF(ISNUMBER(SEARCH("Duals",$B1885)),2,IF(ISNUMBER(SEARCH("Triples",$B1885)),3,IF(ISNUMBER(SEARCH("Quads",$B1885)),4,1))),2),ROUND(VLOOKUP($I1885,Dashboard!$Q$15:$R$20,2,FALSE)*IF($E1885="Red",Dashboard!$R$6,IF($E1885="Gold",Dashboard!$R$7,Dashboard!$R$5))*IF(ISNUMBER(SEARCH("Duals",$B1885)),2,IF(ISNUMBER(SEARCH("Triples",$B1885)),3,IF(ISNUMBER(SEARCH("Quads",$B1885)),4,1))),2))*IF(IFERROR(VLOOKUP($B1885,Dashboard!$Q$28:$S$60,3,FALSE),0)&gt;0,VLOOKUP($B1885,Dashboard!$Q$28:$S$60,3,FALSE),1))),0))</f>
        <v>2</v>
      </c>
      <c r="K1885" s="2" t="str">
        <f>IF('A View From Home'!E30="","",'A View From Home'!E30)</f>
        <v>V</v>
      </c>
      <c r="L1885" s="2">
        <f t="shared" si="377"/>
        <v>1</v>
      </c>
      <c r="M1885" s="2">
        <f t="shared" si="378"/>
        <v>0</v>
      </c>
      <c r="N1885" s="2">
        <f t="shared" si="379"/>
        <v>1</v>
      </c>
      <c r="O1885" s="2">
        <f t="shared" si="380"/>
        <v>0</v>
      </c>
      <c r="P1885" s="112">
        <f t="shared" si="381"/>
        <v>2</v>
      </c>
      <c r="Q1885" s="112">
        <f t="shared" si="382"/>
        <v>0</v>
      </c>
      <c r="R1885" s="53"/>
      <c r="S1885" s="53" t="str">
        <f t="shared" si="383"/>
        <v>A View From Home|A View From Home|VFH-29|Base</v>
      </c>
      <c r="T1885" s="57">
        <f>IF($S1885="","",IFERROR(VLOOKUP($S1885,'Pop Estimates (Non-#d)'!$N$2:$O$500,2,FALSE),""))</f>
        <v>713</v>
      </c>
      <c r="U1885" s="57">
        <f t="shared" si="384"/>
        <v>713</v>
      </c>
      <c r="V1885" s="53" t="str">
        <f t="shared" si="385"/>
        <v/>
      </c>
      <c r="W1885" s="53" t="str">
        <f t="shared" si="386"/>
        <v/>
      </c>
      <c r="X1885" s="53" t="str">
        <f t="shared" si="387"/>
        <v/>
      </c>
      <c r="Y1885" s="57" t="str">
        <f>IF($X1885="","",IFERROR(VLOOKUP($X1885,'Char Popularity'!$A$2:$C$500,2,FALSE),""))</f>
        <v/>
      </c>
      <c r="Z1885" s="56">
        <f>IF($X1885="",1,IFERROR(VLOOKUP($X1885,'Char Popularity'!$A$2:$C$500,3,FALSE),1))</f>
        <v>1</v>
      </c>
      <c r="AA1885" s="62">
        <f>IF($H1885&lt;&gt;"Y",0,(IF($F1885&lt;&gt;"",ROUND(Dashboard!$R$4/$F1885,1),IF(AND($I1885="Base",$E1885="Base"),Dashboard!$R$5,IF(AND($I1885="Base",$E1885="Red"),Dashboard!$R$6,IF(AND($I1885="Base",$E1885="Gold"),Dashboard!$R$7,VLOOKUP($I1885,Dashboard!$Q$16:$R$21,2,FALSE)))))*VLOOKUP($I1885,Dashboard!$Q$9:$R$13,2,FALSE)*IF(AND($I1885="Auto",$F1885="",OR($B1885="Autographs Duals",$B1885="Autographs Triples",$B1885="Autographs Quads",$B1885="Autographs Quads (Inscribed)")),IF($B1885="Autographs Duals",2,IF($B1885="Autographs Triples",3,4)),1)))</f>
        <v>6</v>
      </c>
      <c r="AB1885" s="62">
        <f t="shared" si="388"/>
        <v>6</v>
      </c>
      <c r="AC1885" s="62">
        <f t="shared" si="389"/>
        <v>0</v>
      </c>
    </row>
    <row r="1886" spans="1:29" ht="30" customHeight="1" x14ac:dyDescent="0.25">
      <c r="A1886" s="4" t="s">
        <v>27</v>
      </c>
      <c r="B1886" s="7" t="s">
        <v>27</v>
      </c>
      <c r="C1886" s="2" t="s">
        <v>599</v>
      </c>
      <c r="D1886" s="7" t="s">
        <v>600</v>
      </c>
      <c r="E1886" s="4" t="s">
        <v>60</v>
      </c>
      <c r="F1886" s="2"/>
      <c r="G1886" s="2" t="s">
        <v>1399</v>
      </c>
      <c r="H1886" s="2" t="s">
        <v>1400</v>
      </c>
      <c r="I1886" s="4" t="s">
        <v>62</v>
      </c>
      <c r="J1886" s="112">
        <f>IF($H1886&lt;&gt;"Y",0,ROUND(MIN(Dashboard!$R$24,IF(IFERROR(VLOOKUP($B1886,Dashboard!$Q$28:$S$60,2,FALSE),0)&gt;0,IFERROR(VLOOKUP($B1886,Dashboard!$Q$28:$S$60,2,FALSE),0),$Z1886*IF($U1886&lt;&gt;"",ROUND((Dashboard!$R$4/$U1886)*VLOOKUP($I1886,Dashboard!$Q$9:$R$13,2,FALSE)*IF(ISNUMBER(SEARCH("Duals",$B1886)),2,IF(ISNUMBER(SEARCH("Triples",$B1886)),3,IF(ISNUMBER(SEARCH("Quads",$B1886)),4,1))),2),ROUND(VLOOKUP($I1886,Dashboard!$Q$15:$R$20,2,FALSE)*IF($E1886="Red",Dashboard!$R$6,IF($E1886="Gold",Dashboard!$R$7,Dashboard!$R$5))*IF(ISNUMBER(SEARCH("Duals",$B1886)),2,IF(ISNUMBER(SEARCH("Triples",$B1886)),3,IF(ISNUMBER(SEARCH("Quads",$B1886)),4,1))),2))*IF(IFERROR(VLOOKUP($B1886,Dashboard!$Q$28:$S$60,3,FALSE),0)&gt;0,VLOOKUP($B1886,Dashboard!$Q$28:$S$60,3,FALSE),1))),0))</f>
        <v>2</v>
      </c>
      <c r="K1886" s="2" t="str">
        <f>IF('A View From Home'!E31="","",'A View From Home'!E31)</f>
        <v>V</v>
      </c>
      <c r="L1886" s="2">
        <f t="shared" si="377"/>
        <v>1</v>
      </c>
      <c r="M1886" s="2">
        <f t="shared" si="378"/>
        <v>0</v>
      </c>
      <c r="N1886" s="2">
        <f t="shared" si="379"/>
        <v>1</v>
      </c>
      <c r="O1886" s="2">
        <f t="shared" si="380"/>
        <v>0</v>
      </c>
      <c r="P1886" s="112">
        <f t="shared" si="381"/>
        <v>2</v>
      </c>
      <c r="Q1886" s="112">
        <f t="shared" si="382"/>
        <v>0</v>
      </c>
      <c r="R1886" s="53"/>
      <c r="S1886" s="53" t="str">
        <f t="shared" si="383"/>
        <v>A View From Home|A View From Home|VFH-30|Base</v>
      </c>
      <c r="T1886" s="57">
        <f>IF($S1886="","",IFERROR(VLOOKUP($S1886,'Pop Estimates (Non-#d)'!$N$2:$O$500,2,FALSE),""))</f>
        <v>713</v>
      </c>
      <c r="U1886" s="57">
        <f t="shared" si="384"/>
        <v>713</v>
      </c>
      <c r="V1886" s="53" t="str">
        <f t="shared" si="385"/>
        <v/>
      </c>
      <c r="W1886" s="53" t="str">
        <f t="shared" si="386"/>
        <v/>
      </c>
      <c r="X1886" s="53" t="str">
        <f t="shared" si="387"/>
        <v/>
      </c>
      <c r="Y1886" s="57" t="str">
        <f>IF($X1886="","",IFERROR(VLOOKUP($X1886,'Char Popularity'!$A$2:$C$500,2,FALSE),""))</f>
        <v/>
      </c>
      <c r="Z1886" s="56">
        <f>IF($X1886="",1,IFERROR(VLOOKUP($X1886,'Char Popularity'!$A$2:$C$500,3,FALSE),1))</f>
        <v>1</v>
      </c>
      <c r="AA1886" s="62">
        <f>IF($H1886&lt;&gt;"Y",0,(IF($F1886&lt;&gt;"",ROUND(Dashboard!$R$4/$F1886,1),IF(AND($I1886="Base",$E1886="Base"),Dashboard!$R$5,IF(AND($I1886="Base",$E1886="Red"),Dashboard!$R$6,IF(AND($I1886="Base",$E1886="Gold"),Dashboard!$R$7,VLOOKUP($I1886,Dashboard!$Q$16:$R$21,2,FALSE)))))*VLOOKUP($I1886,Dashboard!$Q$9:$R$13,2,FALSE)*IF(AND($I1886="Auto",$F1886="",OR($B1886="Autographs Duals",$B1886="Autographs Triples",$B1886="Autographs Quads",$B1886="Autographs Quads (Inscribed)")),IF($B1886="Autographs Duals",2,IF($B1886="Autographs Triples",3,4)),1)))</f>
        <v>6</v>
      </c>
      <c r="AB1886" s="62">
        <f t="shared" si="388"/>
        <v>6</v>
      </c>
      <c r="AC1886" s="62">
        <f t="shared" si="389"/>
        <v>0</v>
      </c>
    </row>
    <row r="1887" spans="1:29" ht="30" customHeight="1" x14ac:dyDescent="0.25">
      <c r="A1887" s="4" t="s">
        <v>31</v>
      </c>
      <c r="B1887" s="7" t="s">
        <v>124</v>
      </c>
      <c r="C1887" s="2" t="s">
        <v>509</v>
      </c>
      <c r="D1887" s="7" t="s">
        <v>446</v>
      </c>
      <c r="E1887" s="4" t="s">
        <v>60</v>
      </c>
      <c r="F1887" s="2"/>
      <c r="G1887" s="2" t="s">
        <v>1399</v>
      </c>
      <c r="H1887" s="2" t="s">
        <v>1400</v>
      </c>
      <c r="I1887" s="4" t="s">
        <v>62</v>
      </c>
      <c r="J1887" s="112">
        <f>IF($H1887&lt;&gt;"Y",0,ROUND(MIN(Dashboard!$R$24,IF(IFERROR(VLOOKUP($B1887,Dashboard!$Q$28:$S$60,2,FALSE),0)&gt;0,IFERROR(VLOOKUP($B1887,Dashboard!$Q$28:$S$60,2,FALSE),0),$Z1887*IF($U1887&lt;&gt;"",ROUND((Dashboard!$R$4/$U1887)*VLOOKUP($I1887,Dashboard!$Q$9:$R$13,2,FALSE)*IF(ISNUMBER(SEARCH("Duals",$B1887)),2,IF(ISNUMBER(SEARCH("Triples",$B1887)),3,IF(ISNUMBER(SEARCH("Quads",$B1887)),4,1))),2),ROUND(VLOOKUP($I1887,Dashboard!$Q$15:$R$20,2,FALSE)*IF($E1887="Red",Dashboard!$R$6,IF($E1887="Gold",Dashboard!$R$7,Dashboard!$R$5))*IF(ISNUMBER(SEARCH("Duals",$B1887)),2,IF(ISNUMBER(SEARCH("Triples",$B1887)),3,IF(ISNUMBER(SEARCH("Quads",$B1887)),4,1))),2))*IF(IFERROR(VLOOKUP($B1887,Dashboard!$Q$28:$S$60,3,FALSE),0)&gt;0,VLOOKUP($B1887,Dashboard!$Q$28:$S$60,3,FALSE),1))),0))</f>
        <v>2</v>
      </c>
      <c r="K1887" s="2" t="str">
        <f>IF('Inserts - General'!E2="","",'Inserts - General'!E2)</f>
        <v>C</v>
      </c>
      <c r="L1887" s="2">
        <f t="shared" si="377"/>
        <v>1</v>
      </c>
      <c r="M1887" s="2">
        <f t="shared" si="378"/>
        <v>0</v>
      </c>
      <c r="N1887" s="2">
        <f t="shared" si="379"/>
        <v>1</v>
      </c>
      <c r="O1887" s="2">
        <f t="shared" si="380"/>
        <v>0</v>
      </c>
      <c r="P1887" s="112">
        <f t="shared" si="381"/>
        <v>2</v>
      </c>
      <c r="Q1887" s="112">
        <f t="shared" si="382"/>
        <v>0</v>
      </c>
      <c r="R1887" s="53"/>
      <c r="S1887" s="53" t="str">
        <f t="shared" si="383"/>
        <v>Inserts - General|Metal Prints|MP-1|Base</v>
      </c>
      <c r="T1887" s="57">
        <f>IF($S1887="","",IFERROR(VLOOKUP($S1887,'Pop Estimates (Non-#d)'!$N$2:$O$500,2,FALSE),""))</f>
        <v>570</v>
      </c>
      <c r="U1887" s="57">
        <f t="shared" si="384"/>
        <v>570</v>
      </c>
      <c r="V1887" s="53" t="str">
        <f t="shared" si="385"/>
        <v/>
      </c>
      <c r="W1887" s="53" t="str">
        <f t="shared" si="386"/>
        <v/>
      </c>
      <c r="X1887" s="53" t="str">
        <f t="shared" si="387"/>
        <v/>
      </c>
      <c r="Y1887" s="57" t="str">
        <f>IF($X1887="","",IFERROR(VLOOKUP($X1887,'Char Popularity'!$A$2:$C$500,2,FALSE),""))</f>
        <v/>
      </c>
      <c r="Z1887" s="56">
        <f>IF($X1887="",1,IFERROR(VLOOKUP($X1887,'Char Popularity'!$A$2:$C$500,3,FALSE),1))</f>
        <v>1</v>
      </c>
      <c r="AA1887" s="62">
        <f>IF($H1887&lt;&gt;"Y",0,(IF($F1887&lt;&gt;"",ROUND(Dashboard!$R$4/$F1887,1),IF(AND($I1887="Base",$E1887="Base"),Dashboard!$R$5,IF(AND($I1887="Base",$E1887="Red"),Dashboard!$R$6,IF(AND($I1887="Base",$E1887="Gold"),Dashboard!$R$7,VLOOKUP($I1887,Dashboard!$Q$16:$R$21,2,FALSE)))))*VLOOKUP($I1887,Dashboard!$Q$9:$R$13,2,FALSE)*IF(AND($I1887="Auto",$F1887="",OR($B1887="Autographs Duals",$B1887="Autographs Triples",$B1887="Autographs Quads",$B1887="Autographs Quads (Inscribed)")),IF($B1887="Autographs Duals",2,IF($B1887="Autographs Triples",3,4)),1)))</f>
        <v>6</v>
      </c>
      <c r="AB1887" s="62">
        <f t="shared" si="388"/>
        <v>6</v>
      </c>
      <c r="AC1887" s="62">
        <f t="shared" si="389"/>
        <v>0</v>
      </c>
    </row>
    <row r="1888" spans="1:29" ht="30" customHeight="1" x14ac:dyDescent="0.25">
      <c r="A1888" s="4" t="s">
        <v>31</v>
      </c>
      <c r="B1888" s="7" t="s">
        <v>124</v>
      </c>
      <c r="C1888" s="2" t="s">
        <v>526</v>
      </c>
      <c r="D1888" s="7" t="s">
        <v>337</v>
      </c>
      <c r="E1888" s="4" t="s">
        <v>60</v>
      </c>
      <c r="F1888" s="2"/>
      <c r="G1888" s="2" t="s">
        <v>1399</v>
      </c>
      <c r="H1888" s="2" t="s">
        <v>1400</v>
      </c>
      <c r="I1888" s="4" t="s">
        <v>62</v>
      </c>
      <c r="J1888" s="112">
        <f>IF($H1888&lt;&gt;"Y",0,ROUND(MIN(Dashboard!$R$24,IF(IFERROR(VLOOKUP($B1888,Dashboard!$Q$28:$S$60,2,FALSE),0)&gt;0,IFERROR(VLOOKUP($B1888,Dashboard!$Q$28:$S$60,2,FALSE),0),$Z1888*IF($U1888&lt;&gt;"",ROUND((Dashboard!$R$4/$U1888)*VLOOKUP($I1888,Dashboard!$Q$9:$R$13,2,FALSE)*IF(ISNUMBER(SEARCH("Duals",$B1888)),2,IF(ISNUMBER(SEARCH("Triples",$B1888)),3,IF(ISNUMBER(SEARCH("Quads",$B1888)),4,1))),2),ROUND(VLOOKUP($I1888,Dashboard!$Q$15:$R$20,2,FALSE)*IF($E1888="Red",Dashboard!$R$6,IF($E1888="Gold",Dashboard!$R$7,Dashboard!$R$5))*IF(ISNUMBER(SEARCH("Duals",$B1888)),2,IF(ISNUMBER(SEARCH("Triples",$B1888)),3,IF(ISNUMBER(SEARCH("Quads",$B1888)),4,1))),2))*IF(IFERROR(VLOOKUP($B1888,Dashboard!$Q$28:$S$60,3,FALSE),0)&gt;0,VLOOKUP($B1888,Dashboard!$Q$28:$S$60,3,FALSE),1))),0))</f>
        <v>2</v>
      </c>
      <c r="K1888" s="2" t="str">
        <f>IF('Inserts - General'!E3="","",'Inserts - General'!E3)</f>
        <v>C</v>
      </c>
      <c r="L1888" s="2">
        <f t="shared" si="377"/>
        <v>1</v>
      </c>
      <c r="M1888" s="2">
        <f t="shared" si="378"/>
        <v>0</v>
      </c>
      <c r="N1888" s="2">
        <f t="shared" si="379"/>
        <v>1</v>
      </c>
      <c r="O1888" s="2">
        <f t="shared" si="380"/>
        <v>0</v>
      </c>
      <c r="P1888" s="112">
        <f t="shared" si="381"/>
        <v>2</v>
      </c>
      <c r="Q1888" s="112">
        <f t="shared" si="382"/>
        <v>0</v>
      </c>
      <c r="R1888" s="53"/>
      <c r="S1888" s="53" t="str">
        <f t="shared" si="383"/>
        <v>Inserts - General|Metal Prints|MP-2|Base</v>
      </c>
      <c r="T1888" s="57">
        <f>IF($S1888="","",IFERROR(VLOOKUP($S1888,'Pop Estimates (Non-#d)'!$N$2:$O$500,2,FALSE),""))</f>
        <v>570</v>
      </c>
      <c r="U1888" s="57">
        <f t="shared" si="384"/>
        <v>570</v>
      </c>
      <c r="V1888" s="53" t="str">
        <f t="shared" si="385"/>
        <v/>
      </c>
      <c r="W1888" s="53" t="str">
        <f t="shared" si="386"/>
        <v/>
      </c>
      <c r="X1888" s="53" t="str">
        <f t="shared" si="387"/>
        <v/>
      </c>
      <c r="Y1888" s="57" t="str">
        <f>IF($X1888="","",IFERROR(VLOOKUP($X1888,'Char Popularity'!$A$2:$C$500,2,FALSE),""))</f>
        <v/>
      </c>
      <c r="Z1888" s="56">
        <f>IF($X1888="",1,IFERROR(VLOOKUP($X1888,'Char Popularity'!$A$2:$C$500,3,FALSE),1))</f>
        <v>1</v>
      </c>
      <c r="AA1888" s="62">
        <f>IF($H1888&lt;&gt;"Y",0,(IF($F1888&lt;&gt;"",ROUND(Dashboard!$R$4/$F1888,1),IF(AND($I1888="Base",$E1888="Base"),Dashboard!$R$5,IF(AND($I1888="Base",$E1888="Red"),Dashboard!$R$6,IF(AND($I1888="Base",$E1888="Gold"),Dashboard!$R$7,VLOOKUP($I1888,Dashboard!$Q$16:$R$21,2,FALSE)))))*VLOOKUP($I1888,Dashboard!$Q$9:$R$13,2,FALSE)*IF(AND($I1888="Auto",$F1888="",OR($B1888="Autographs Duals",$B1888="Autographs Triples",$B1888="Autographs Quads",$B1888="Autographs Quads (Inscribed)")),IF($B1888="Autographs Duals",2,IF($B1888="Autographs Triples",3,4)),1)))</f>
        <v>6</v>
      </c>
      <c r="AB1888" s="62">
        <f t="shared" si="388"/>
        <v>6</v>
      </c>
      <c r="AC1888" s="62">
        <f t="shared" si="389"/>
        <v>0</v>
      </c>
    </row>
    <row r="1889" spans="1:29" ht="30" customHeight="1" x14ac:dyDescent="0.25">
      <c r="A1889" s="4" t="s">
        <v>31</v>
      </c>
      <c r="B1889" s="7" t="s">
        <v>124</v>
      </c>
      <c r="C1889" s="2" t="s">
        <v>544</v>
      </c>
      <c r="D1889" s="7" t="s">
        <v>339</v>
      </c>
      <c r="E1889" s="4" t="s">
        <v>60</v>
      </c>
      <c r="F1889" s="2"/>
      <c r="G1889" s="2" t="s">
        <v>1399</v>
      </c>
      <c r="H1889" s="2" t="s">
        <v>1400</v>
      </c>
      <c r="I1889" s="4" t="s">
        <v>62</v>
      </c>
      <c r="J1889" s="112">
        <f>IF($H1889&lt;&gt;"Y",0,ROUND(MIN(Dashboard!$R$24,IF(IFERROR(VLOOKUP($B1889,Dashboard!$Q$28:$S$60,2,FALSE),0)&gt;0,IFERROR(VLOOKUP($B1889,Dashboard!$Q$28:$S$60,2,FALSE),0),$Z1889*IF($U1889&lt;&gt;"",ROUND((Dashboard!$R$4/$U1889)*VLOOKUP($I1889,Dashboard!$Q$9:$R$13,2,FALSE)*IF(ISNUMBER(SEARCH("Duals",$B1889)),2,IF(ISNUMBER(SEARCH("Triples",$B1889)),3,IF(ISNUMBER(SEARCH("Quads",$B1889)),4,1))),2),ROUND(VLOOKUP($I1889,Dashboard!$Q$15:$R$20,2,FALSE)*IF($E1889="Red",Dashboard!$R$6,IF($E1889="Gold",Dashboard!$R$7,Dashboard!$R$5))*IF(ISNUMBER(SEARCH("Duals",$B1889)),2,IF(ISNUMBER(SEARCH("Triples",$B1889)),3,IF(ISNUMBER(SEARCH("Quads",$B1889)),4,1))),2))*IF(IFERROR(VLOOKUP($B1889,Dashboard!$Q$28:$S$60,3,FALSE),0)&gt;0,VLOOKUP($B1889,Dashboard!$Q$28:$S$60,3,FALSE),1))),0))</f>
        <v>2</v>
      </c>
      <c r="K1889" s="2" t="str">
        <f>IF('Inserts - General'!E4="","",'Inserts - General'!E4)</f>
        <v>V</v>
      </c>
      <c r="L1889" s="2">
        <f t="shared" si="377"/>
        <v>1</v>
      </c>
      <c r="M1889" s="2">
        <f t="shared" si="378"/>
        <v>0</v>
      </c>
      <c r="N1889" s="2">
        <f t="shared" si="379"/>
        <v>1</v>
      </c>
      <c r="O1889" s="2">
        <f t="shared" si="380"/>
        <v>0</v>
      </c>
      <c r="P1889" s="112">
        <f t="shared" si="381"/>
        <v>2</v>
      </c>
      <c r="Q1889" s="112">
        <f t="shared" si="382"/>
        <v>0</v>
      </c>
      <c r="R1889" s="53"/>
      <c r="S1889" s="53" t="str">
        <f t="shared" si="383"/>
        <v>Inserts - General|Metal Prints|MP-3|Base</v>
      </c>
      <c r="T1889" s="57">
        <f>IF($S1889="","",IFERROR(VLOOKUP($S1889,'Pop Estimates (Non-#d)'!$N$2:$O$500,2,FALSE),""))</f>
        <v>570</v>
      </c>
      <c r="U1889" s="57">
        <f t="shared" si="384"/>
        <v>570</v>
      </c>
      <c r="V1889" s="53" t="str">
        <f t="shared" si="385"/>
        <v/>
      </c>
      <c r="W1889" s="53" t="str">
        <f t="shared" si="386"/>
        <v/>
      </c>
      <c r="X1889" s="53" t="str">
        <f t="shared" si="387"/>
        <v/>
      </c>
      <c r="Y1889" s="57" t="str">
        <f>IF($X1889="","",IFERROR(VLOOKUP($X1889,'Char Popularity'!$A$2:$C$500,2,FALSE),""))</f>
        <v/>
      </c>
      <c r="Z1889" s="56">
        <f>IF($X1889="",1,IFERROR(VLOOKUP($X1889,'Char Popularity'!$A$2:$C$500,3,FALSE),1))</f>
        <v>1</v>
      </c>
      <c r="AA1889" s="62">
        <f>IF($H1889&lt;&gt;"Y",0,(IF($F1889&lt;&gt;"",ROUND(Dashboard!$R$4/$F1889,1),IF(AND($I1889="Base",$E1889="Base"),Dashboard!$R$5,IF(AND($I1889="Base",$E1889="Red"),Dashboard!$R$6,IF(AND($I1889="Base",$E1889="Gold"),Dashboard!$R$7,VLOOKUP($I1889,Dashboard!$Q$16:$R$21,2,FALSE)))))*VLOOKUP($I1889,Dashboard!$Q$9:$R$13,2,FALSE)*IF(AND($I1889="Auto",$F1889="",OR($B1889="Autographs Duals",$B1889="Autographs Triples",$B1889="Autographs Quads",$B1889="Autographs Quads (Inscribed)")),IF($B1889="Autographs Duals",2,IF($B1889="Autographs Triples",3,4)),1)))</f>
        <v>6</v>
      </c>
      <c r="AB1889" s="62">
        <f t="shared" si="388"/>
        <v>6</v>
      </c>
      <c r="AC1889" s="62">
        <f t="shared" si="389"/>
        <v>0</v>
      </c>
    </row>
    <row r="1890" spans="1:29" ht="30" customHeight="1" x14ac:dyDescent="0.25">
      <c r="A1890" s="4" t="s">
        <v>31</v>
      </c>
      <c r="B1890" s="7" t="s">
        <v>124</v>
      </c>
      <c r="C1890" s="2" t="s">
        <v>546</v>
      </c>
      <c r="D1890" s="7" t="s">
        <v>341</v>
      </c>
      <c r="E1890" s="4" t="s">
        <v>60</v>
      </c>
      <c r="F1890" s="2"/>
      <c r="G1890" s="2" t="s">
        <v>1399</v>
      </c>
      <c r="H1890" s="2" t="s">
        <v>1400</v>
      </c>
      <c r="I1890" s="4" t="s">
        <v>62</v>
      </c>
      <c r="J1890" s="112">
        <f>IF($H1890&lt;&gt;"Y",0,ROUND(MIN(Dashboard!$R$24,IF(IFERROR(VLOOKUP($B1890,Dashboard!$Q$28:$S$60,2,FALSE),0)&gt;0,IFERROR(VLOOKUP($B1890,Dashboard!$Q$28:$S$60,2,FALSE),0),$Z1890*IF($U1890&lt;&gt;"",ROUND((Dashboard!$R$4/$U1890)*VLOOKUP($I1890,Dashboard!$Q$9:$R$13,2,FALSE)*IF(ISNUMBER(SEARCH("Duals",$B1890)),2,IF(ISNUMBER(SEARCH("Triples",$B1890)),3,IF(ISNUMBER(SEARCH("Quads",$B1890)),4,1))),2),ROUND(VLOOKUP($I1890,Dashboard!$Q$15:$R$20,2,FALSE)*IF($E1890="Red",Dashboard!$R$6,IF($E1890="Gold",Dashboard!$R$7,Dashboard!$R$5))*IF(ISNUMBER(SEARCH("Duals",$B1890)),2,IF(ISNUMBER(SEARCH("Triples",$B1890)),3,IF(ISNUMBER(SEARCH("Quads",$B1890)),4,1))),2))*IF(IFERROR(VLOOKUP($B1890,Dashboard!$Q$28:$S$60,3,FALSE),0)&gt;0,VLOOKUP($B1890,Dashboard!$Q$28:$S$60,3,FALSE),1))),0))</f>
        <v>2</v>
      </c>
      <c r="K1890" s="2" t="str">
        <f>IF('Inserts - General'!E5="","",'Inserts - General'!E5)</f>
        <v>V</v>
      </c>
      <c r="L1890" s="2">
        <f t="shared" si="377"/>
        <v>1</v>
      </c>
      <c r="M1890" s="2">
        <f t="shared" si="378"/>
        <v>0</v>
      </c>
      <c r="N1890" s="2">
        <f t="shared" si="379"/>
        <v>1</v>
      </c>
      <c r="O1890" s="2">
        <f t="shared" si="380"/>
        <v>0</v>
      </c>
      <c r="P1890" s="112">
        <f t="shared" si="381"/>
        <v>2</v>
      </c>
      <c r="Q1890" s="112">
        <f t="shared" si="382"/>
        <v>0</v>
      </c>
      <c r="R1890" s="53"/>
      <c r="S1890" s="53" t="str">
        <f t="shared" si="383"/>
        <v>Inserts - General|Metal Prints|MP-4|Base</v>
      </c>
      <c r="T1890" s="57">
        <f>IF($S1890="","",IFERROR(VLOOKUP($S1890,'Pop Estimates (Non-#d)'!$N$2:$O$500,2,FALSE),""))</f>
        <v>570</v>
      </c>
      <c r="U1890" s="57">
        <f t="shared" si="384"/>
        <v>570</v>
      </c>
      <c r="V1890" s="53" t="str">
        <f t="shared" si="385"/>
        <v/>
      </c>
      <c r="W1890" s="53" t="str">
        <f t="shared" si="386"/>
        <v/>
      </c>
      <c r="X1890" s="53" t="str">
        <f t="shared" si="387"/>
        <v/>
      </c>
      <c r="Y1890" s="57" t="str">
        <f>IF($X1890="","",IFERROR(VLOOKUP($X1890,'Char Popularity'!$A$2:$C$500,2,FALSE),""))</f>
        <v/>
      </c>
      <c r="Z1890" s="56">
        <f>IF($X1890="",1,IFERROR(VLOOKUP($X1890,'Char Popularity'!$A$2:$C$500,3,FALSE),1))</f>
        <v>1</v>
      </c>
      <c r="AA1890" s="62">
        <f>IF($H1890&lt;&gt;"Y",0,(IF($F1890&lt;&gt;"",ROUND(Dashboard!$R$4/$F1890,1),IF(AND($I1890="Base",$E1890="Base"),Dashboard!$R$5,IF(AND($I1890="Base",$E1890="Red"),Dashboard!$R$6,IF(AND($I1890="Base",$E1890="Gold"),Dashboard!$R$7,VLOOKUP($I1890,Dashboard!$Q$16:$R$21,2,FALSE)))))*VLOOKUP($I1890,Dashboard!$Q$9:$R$13,2,FALSE)*IF(AND($I1890="Auto",$F1890="",OR($B1890="Autographs Duals",$B1890="Autographs Triples",$B1890="Autographs Quads",$B1890="Autographs Quads (Inscribed)")),IF($B1890="Autographs Duals",2,IF($B1890="Autographs Triples",3,4)),1)))</f>
        <v>6</v>
      </c>
      <c r="AB1890" s="62">
        <f t="shared" si="388"/>
        <v>6</v>
      </c>
      <c r="AC1890" s="62">
        <f t="shared" si="389"/>
        <v>0</v>
      </c>
    </row>
    <row r="1891" spans="1:29" ht="30" customHeight="1" x14ac:dyDescent="0.25">
      <c r="A1891" s="4" t="s">
        <v>31</v>
      </c>
      <c r="B1891" s="7" t="s">
        <v>124</v>
      </c>
      <c r="C1891" s="2" t="s">
        <v>547</v>
      </c>
      <c r="D1891" s="7" t="s">
        <v>391</v>
      </c>
      <c r="E1891" s="4" t="s">
        <v>60</v>
      </c>
      <c r="F1891" s="2"/>
      <c r="G1891" s="2" t="s">
        <v>1399</v>
      </c>
      <c r="H1891" s="2" t="s">
        <v>1400</v>
      </c>
      <c r="I1891" s="4" t="s">
        <v>62</v>
      </c>
      <c r="J1891" s="112">
        <f>IF($H1891&lt;&gt;"Y",0,ROUND(MIN(Dashboard!$R$24,IF(IFERROR(VLOOKUP($B1891,Dashboard!$Q$28:$S$60,2,FALSE),0)&gt;0,IFERROR(VLOOKUP($B1891,Dashboard!$Q$28:$S$60,2,FALSE),0),$Z1891*IF($U1891&lt;&gt;"",ROUND((Dashboard!$R$4/$U1891)*VLOOKUP($I1891,Dashboard!$Q$9:$R$13,2,FALSE)*IF(ISNUMBER(SEARCH("Duals",$B1891)),2,IF(ISNUMBER(SEARCH("Triples",$B1891)),3,IF(ISNUMBER(SEARCH("Quads",$B1891)),4,1))),2),ROUND(VLOOKUP($I1891,Dashboard!$Q$15:$R$20,2,FALSE)*IF($E1891="Red",Dashboard!$R$6,IF($E1891="Gold",Dashboard!$R$7,Dashboard!$R$5))*IF(ISNUMBER(SEARCH("Duals",$B1891)),2,IF(ISNUMBER(SEARCH("Triples",$B1891)),3,IF(ISNUMBER(SEARCH("Quads",$B1891)),4,1))),2))*IF(IFERROR(VLOOKUP($B1891,Dashboard!$Q$28:$S$60,3,FALSE),0)&gt;0,VLOOKUP($B1891,Dashboard!$Q$28:$S$60,3,FALSE),1))),0))</f>
        <v>2</v>
      </c>
      <c r="K1891" s="2" t="str">
        <f>IF('Inserts - General'!E6="","",'Inserts - General'!E6)</f>
        <v>C</v>
      </c>
      <c r="L1891" s="2">
        <f t="shared" si="377"/>
        <v>1</v>
      </c>
      <c r="M1891" s="2">
        <f t="shared" si="378"/>
        <v>0</v>
      </c>
      <c r="N1891" s="2">
        <f t="shared" si="379"/>
        <v>1</v>
      </c>
      <c r="O1891" s="2">
        <f t="shared" si="380"/>
        <v>0</v>
      </c>
      <c r="P1891" s="112">
        <f t="shared" si="381"/>
        <v>2</v>
      </c>
      <c r="Q1891" s="112">
        <f t="shared" si="382"/>
        <v>0</v>
      </c>
      <c r="R1891" s="53"/>
      <c r="S1891" s="53" t="str">
        <f t="shared" si="383"/>
        <v>Inserts - General|Metal Prints|MP-5|Base</v>
      </c>
      <c r="T1891" s="57">
        <f>IF($S1891="","",IFERROR(VLOOKUP($S1891,'Pop Estimates (Non-#d)'!$N$2:$O$500,2,FALSE),""))</f>
        <v>570</v>
      </c>
      <c r="U1891" s="57">
        <f t="shared" si="384"/>
        <v>570</v>
      </c>
      <c r="V1891" s="53" t="str">
        <f t="shared" si="385"/>
        <v/>
      </c>
      <c r="W1891" s="53" t="str">
        <f t="shared" si="386"/>
        <v/>
      </c>
      <c r="X1891" s="53" t="str">
        <f t="shared" si="387"/>
        <v/>
      </c>
      <c r="Y1891" s="57" t="str">
        <f>IF($X1891="","",IFERROR(VLOOKUP($X1891,'Char Popularity'!$A$2:$C$500,2,FALSE),""))</f>
        <v/>
      </c>
      <c r="Z1891" s="56">
        <f>IF($X1891="",1,IFERROR(VLOOKUP($X1891,'Char Popularity'!$A$2:$C$500,3,FALSE),1))</f>
        <v>1</v>
      </c>
      <c r="AA1891" s="62">
        <f>IF($H1891&lt;&gt;"Y",0,(IF($F1891&lt;&gt;"",ROUND(Dashboard!$R$4/$F1891,1),IF(AND($I1891="Base",$E1891="Base"),Dashboard!$R$5,IF(AND($I1891="Base",$E1891="Red"),Dashboard!$R$6,IF(AND($I1891="Base",$E1891="Gold"),Dashboard!$R$7,VLOOKUP($I1891,Dashboard!$Q$16:$R$21,2,FALSE)))))*VLOOKUP($I1891,Dashboard!$Q$9:$R$13,2,FALSE)*IF(AND($I1891="Auto",$F1891="",OR($B1891="Autographs Duals",$B1891="Autographs Triples",$B1891="Autographs Quads",$B1891="Autographs Quads (Inscribed)")),IF($B1891="Autographs Duals",2,IF($B1891="Autographs Triples",3,4)),1)))</f>
        <v>6</v>
      </c>
      <c r="AB1891" s="62">
        <f t="shared" si="388"/>
        <v>6</v>
      </c>
      <c r="AC1891" s="62">
        <f t="shared" si="389"/>
        <v>0</v>
      </c>
    </row>
    <row r="1892" spans="1:29" ht="30" customHeight="1" x14ac:dyDescent="0.25">
      <c r="A1892" s="4" t="s">
        <v>31</v>
      </c>
      <c r="B1892" s="7" t="s">
        <v>124</v>
      </c>
      <c r="C1892" s="2" t="s">
        <v>548</v>
      </c>
      <c r="D1892" s="7" t="s">
        <v>549</v>
      </c>
      <c r="E1892" s="4" t="s">
        <v>60</v>
      </c>
      <c r="F1892" s="2"/>
      <c r="G1892" s="2" t="s">
        <v>1399</v>
      </c>
      <c r="H1892" s="2" t="s">
        <v>1400</v>
      </c>
      <c r="I1892" s="4" t="s">
        <v>62</v>
      </c>
      <c r="J1892" s="112">
        <f>IF($H1892&lt;&gt;"Y",0,ROUND(MIN(Dashboard!$R$24,IF(IFERROR(VLOOKUP($B1892,Dashboard!$Q$28:$S$60,2,FALSE),0)&gt;0,IFERROR(VLOOKUP($B1892,Dashboard!$Q$28:$S$60,2,FALSE),0),$Z1892*IF($U1892&lt;&gt;"",ROUND((Dashboard!$R$4/$U1892)*VLOOKUP($I1892,Dashboard!$Q$9:$R$13,2,FALSE)*IF(ISNUMBER(SEARCH("Duals",$B1892)),2,IF(ISNUMBER(SEARCH("Triples",$B1892)),3,IF(ISNUMBER(SEARCH("Quads",$B1892)),4,1))),2),ROUND(VLOOKUP($I1892,Dashboard!$Q$15:$R$20,2,FALSE)*IF($E1892="Red",Dashboard!$R$6,IF($E1892="Gold",Dashboard!$R$7,Dashboard!$R$5))*IF(ISNUMBER(SEARCH("Duals",$B1892)),2,IF(ISNUMBER(SEARCH("Triples",$B1892)),3,IF(ISNUMBER(SEARCH("Quads",$B1892)),4,1))),2))*IF(IFERROR(VLOOKUP($B1892,Dashboard!$Q$28:$S$60,3,FALSE),0)&gt;0,VLOOKUP($B1892,Dashboard!$Q$28:$S$60,3,FALSE),1))),0))</f>
        <v>2</v>
      </c>
      <c r="K1892" s="2" t="str">
        <f>IF('Inserts - General'!E7="","",'Inserts - General'!E7)</f>
        <v>C</v>
      </c>
      <c r="L1892" s="2">
        <f t="shared" si="377"/>
        <v>1</v>
      </c>
      <c r="M1892" s="2">
        <f t="shared" si="378"/>
        <v>0</v>
      </c>
      <c r="N1892" s="2">
        <f t="shared" si="379"/>
        <v>1</v>
      </c>
      <c r="O1892" s="2">
        <f t="shared" si="380"/>
        <v>0</v>
      </c>
      <c r="P1892" s="112">
        <f t="shared" si="381"/>
        <v>2</v>
      </c>
      <c r="Q1892" s="112">
        <f t="shared" si="382"/>
        <v>0</v>
      </c>
      <c r="R1892" s="53"/>
      <c r="S1892" s="53" t="str">
        <f t="shared" si="383"/>
        <v>Inserts - General|Metal Prints|MP-6|Base</v>
      </c>
      <c r="T1892" s="57">
        <f>IF($S1892="","",IFERROR(VLOOKUP($S1892,'Pop Estimates (Non-#d)'!$N$2:$O$500,2,FALSE),""))</f>
        <v>570</v>
      </c>
      <c r="U1892" s="57">
        <f t="shared" si="384"/>
        <v>570</v>
      </c>
      <c r="V1892" s="53" t="str">
        <f t="shared" si="385"/>
        <v/>
      </c>
      <c r="W1892" s="53" t="str">
        <f t="shared" si="386"/>
        <v/>
      </c>
      <c r="X1892" s="53" t="str">
        <f t="shared" si="387"/>
        <v/>
      </c>
      <c r="Y1892" s="57" t="str">
        <f>IF($X1892="","",IFERROR(VLOOKUP($X1892,'Char Popularity'!$A$2:$C$500,2,FALSE),""))</f>
        <v/>
      </c>
      <c r="Z1892" s="56">
        <f>IF($X1892="",1,IFERROR(VLOOKUP($X1892,'Char Popularity'!$A$2:$C$500,3,FALSE),1))</f>
        <v>1</v>
      </c>
      <c r="AA1892" s="62">
        <f>IF($H1892&lt;&gt;"Y",0,(IF($F1892&lt;&gt;"",ROUND(Dashboard!$R$4/$F1892,1),IF(AND($I1892="Base",$E1892="Base"),Dashboard!$R$5,IF(AND($I1892="Base",$E1892="Red"),Dashboard!$R$6,IF(AND($I1892="Base",$E1892="Gold"),Dashboard!$R$7,VLOOKUP($I1892,Dashboard!$Q$16:$R$21,2,FALSE)))))*VLOOKUP($I1892,Dashboard!$Q$9:$R$13,2,FALSE)*IF(AND($I1892="Auto",$F1892="",OR($B1892="Autographs Duals",$B1892="Autographs Triples",$B1892="Autographs Quads",$B1892="Autographs Quads (Inscribed)")),IF($B1892="Autographs Duals",2,IF($B1892="Autographs Triples",3,4)),1)))</f>
        <v>6</v>
      </c>
      <c r="AB1892" s="62">
        <f t="shared" si="388"/>
        <v>6</v>
      </c>
      <c r="AC1892" s="62">
        <f t="shared" si="389"/>
        <v>0</v>
      </c>
    </row>
    <row r="1893" spans="1:29" ht="30" customHeight="1" x14ac:dyDescent="0.25">
      <c r="A1893" s="4" t="s">
        <v>31</v>
      </c>
      <c r="B1893" s="7" t="s">
        <v>124</v>
      </c>
      <c r="C1893" s="2" t="s">
        <v>550</v>
      </c>
      <c r="D1893" s="7" t="s">
        <v>454</v>
      </c>
      <c r="E1893" s="4" t="s">
        <v>60</v>
      </c>
      <c r="F1893" s="2"/>
      <c r="G1893" s="2" t="s">
        <v>1399</v>
      </c>
      <c r="H1893" s="2" t="s">
        <v>1400</v>
      </c>
      <c r="I1893" s="4" t="s">
        <v>62</v>
      </c>
      <c r="J1893" s="112">
        <f>IF($H1893&lt;&gt;"Y",0,ROUND(MIN(Dashboard!$R$24,IF(IFERROR(VLOOKUP($B1893,Dashboard!$Q$28:$S$60,2,FALSE),0)&gt;0,IFERROR(VLOOKUP($B1893,Dashboard!$Q$28:$S$60,2,FALSE),0),$Z1893*IF($U1893&lt;&gt;"",ROUND((Dashboard!$R$4/$U1893)*VLOOKUP($I1893,Dashboard!$Q$9:$R$13,2,FALSE)*IF(ISNUMBER(SEARCH("Duals",$B1893)),2,IF(ISNUMBER(SEARCH("Triples",$B1893)),3,IF(ISNUMBER(SEARCH("Quads",$B1893)),4,1))),2),ROUND(VLOOKUP($I1893,Dashboard!$Q$15:$R$20,2,FALSE)*IF($E1893="Red",Dashboard!$R$6,IF($E1893="Gold",Dashboard!$R$7,Dashboard!$R$5))*IF(ISNUMBER(SEARCH("Duals",$B1893)),2,IF(ISNUMBER(SEARCH("Triples",$B1893)),3,IF(ISNUMBER(SEARCH("Quads",$B1893)),4,1))),2))*IF(IFERROR(VLOOKUP($B1893,Dashboard!$Q$28:$S$60,3,FALSE),0)&gt;0,VLOOKUP($B1893,Dashboard!$Q$28:$S$60,3,FALSE),1))),0))</f>
        <v>2</v>
      </c>
      <c r="K1893" s="2" t="str">
        <f>IF('Inserts - General'!E8="","",'Inserts - General'!E8)</f>
        <v>C</v>
      </c>
      <c r="L1893" s="2">
        <f t="shared" si="377"/>
        <v>1</v>
      </c>
      <c r="M1893" s="2">
        <f t="shared" si="378"/>
        <v>0</v>
      </c>
      <c r="N1893" s="2">
        <f t="shared" si="379"/>
        <v>1</v>
      </c>
      <c r="O1893" s="2">
        <f t="shared" si="380"/>
        <v>0</v>
      </c>
      <c r="P1893" s="112">
        <f t="shared" si="381"/>
        <v>2</v>
      </c>
      <c r="Q1893" s="112">
        <f t="shared" si="382"/>
        <v>0</v>
      </c>
      <c r="R1893" s="53"/>
      <c r="S1893" s="53" t="str">
        <f t="shared" si="383"/>
        <v>Inserts - General|Metal Prints|MP-7|Base</v>
      </c>
      <c r="T1893" s="57">
        <f>IF($S1893="","",IFERROR(VLOOKUP($S1893,'Pop Estimates (Non-#d)'!$N$2:$O$500,2,FALSE),""))</f>
        <v>570</v>
      </c>
      <c r="U1893" s="57">
        <f t="shared" si="384"/>
        <v>570</v>
      </c>
      <c r="V1893" s="53" t="str">
        <f t="shared" si="385"/>
        <v/>
      </c>
      <c r="W1893" s="53" t="str">
        <f t="shared" si="386"/>
        <v/>
      </c>
      <c r="X1893" s="53" t="str">
        <f t="shared" si="387"/>
        <v/>
      </c>
      <c r="Y1893" s="57" t="str">
        <f>IF($X1893="","",IFERROR(VLOOKUP($X1893,'Char Popularity'!$A$2:$C$500,2,FALSE),""))</f>
        <v/>
      </c>
      <c r="Z1893" s="56">
        <f>IF($X1893="",1,IFERROR(VLOOKUP($X1893,'Char Popularity'!$A$2:$C$500,3,FALSE),1))</f>
        <v>1</v>
      </c>
      <c r="AA1893" s="62">
        <f>IF($H1893&lt;&gt;"Y",0,(IF($F1893&lt;&gt;"",ROUND(Dashboard!$R$4/$F1893,1),IF(AND($I1893="Base",$E1893="Base"),Dashboard!$R$5,IF(AND($I1893="Base",$E1893="Red"),Dashboard!$R$6,IF(AND($I1893="Base",$E1893="Gold"),Dashboard!$R$7,VLOOKUP($I1893,Dashboard!$Q$16:$R$21,2,FALSE)))))*VLOOKUP($I1893,Dashboard!$Q$9:$R$13,2,FALSE)*IF(AND($I1893="Auto",$F1893="",OR($B1893="Autographs Duals",$B1893="Autographs Triples",$B1893="Autographs Quads",$B1893="Autographs Quads (Inscribed)")),IF($B1893="Autographs Duals",2,IF($B1893="Autographs Triples",3,4)),1)))</f>
        <v>6</v>
      </c>
      <c r="AB1893" s="62">
        <f t="shared" si="388"/>
        <v>6</v>
      </c>
      <c r="AC1893" s="62">
        <f t="shared" si="389"/>
        <v>0</v>
      </c>
    </row>
    <row r="1894" spans="1:29" ht="30" customHeight="1" x14ac:dyDescent="0.25">
      <c r="A1894" s="4" t="s">
        <v>31</v>
      </c>
      <c r="B1894" s="7" t="s">
        <v>124</v>
      </c>
      <c r="C1894" s="2" t="s">
        <v>551</v>
      </c>
      <c r="D1894" s="7" t="s">
        <v>389</v>
      </c>
      <c r="E1894" s="4" t="s">
        <v>60</v>
      </c>
      <c r="F1894" s="2"/>
      <c r="G1894" s="2" t="s">
        <v>1399</v>
      </c>
      <c r="H1894" s="2" t="s">
        <v>1400</v>
      </c>
      <c r="I1894" s="4" t="s">
        <v>62</v>
      </c>
      <c r="J1894" s="112">
        <f>IF($H1894&lt;&gt;"Y",0,ROUND(MIN(Dashboard!$R$24,IF(IFERROR(VLOOKUP($B1894,Dashboard!$Q$28:$S$60,2,FALSE),0)&gt;0,IFERROR(VLOOKUP($B1894,Dashboard!$Q$28:$S$60,2,FALSE),0),$Z1894*IF($U1894&lt;&gt;"",ROUND((Dashboard!$R$4/$U1894)*VLOOKUP($I1894,Dashboard!$Q$9:$R$13,2,FALSE)*IF(ISNUMBER(SEARCH("Duals",$B1894)),2,IF(ISNUMBER(SEARCH("Triples",$B1894)),3,IF(ISNUMBER(SEARCH("Quads",$B1894)),4,1))),2),ROUND(VLOOKUP($I1894,Dashboard!$Q$15:$R$20,2,FALSE)*IF($E1894="Red",Dashboard!$R$6,IF($E1894="Gold",Dashboard!$R$7,Dashboard!$R$5))*IF(ISNUMBER(SEARCH("Duals",$B1894)),2,IF(ISNUMBER(SEARCH("Triples",$B1894)),3,IF(ISNUMBER(SEARCH("Quads",$B1894)),4,1))),2))*IF(IFERROR(VLOOKUP($B1894,Dashboard!$Q$28:$S$60,3,FALSE),0)&gt;0,VLOOKUP($B1894,Dashboard!$Q$28:$S$60,3,FALSE),1))),0))</f>
        <v>2</v>
      </c>
      <c r="K1894" s="2" t="str">
        <f>IF('Inserts - General'!E9="","",'Inserts - General'!E9)</f>
        <v>V</v>
      </c>
      <c r="L1894" s="2">
        <f t="shared" si="377"/>
        <v>1</v>
      </c>
      <c r="M1894" s="2">
        <f t="shared" si="378"/>
        <v>0</v>
      </c>
      <c r="N1894" s="2">
        <f t="shared" si="379"/>
        <v>1</v>
      </c>
      <c r="O1894" s="2">
        <f t="shared" si="380"/>
        <v>0</v>
      </c>
      <c r="P1894" s="112">
        <f t="shared" si="381"/>
        <v>2</v>
      </c>
      <c r="Q1894" s="112">
        <f t="shared" si="382"/>
        <v>0</v>
      </c>
      <c r="R1894" s="53"/>
      <c r="S1894" s="53" t="str">
        <f t="shared" si="383"/>
        <v>Inserts - General|Metal Prints|MP-8|Base</v>
      </c>
      <c r="T1894" s="57">
        <f>IF($S1894="","",IFERROR(VLOOKUP($S1894,'Pop Estimates (Non-#d)'!$N$2:$O$500,2,FALSE),""))</f>
        <v>570</v>
      </c>
      <c r="U1894" s="57">
        <f t="shared" si="384"/>
        <v>570</v>
      </c>
      <c r="V1894" s="53" t="str">
        <f t="shared" si="385"/>
        <v/>
      </c>
      <c r="W1894" s="53" t="str">
        <f t="shared" si="386"/>
        <v/>
      </c>
      <c r="X1894" s="53" t="str">
        <f t="shared" si="387"/>
        <v/>
      </c>
      <c r="Y1894" s="57" t="str">
        <f>IF($X1894="","",IFERROR(VLOOKUP($X1894,'Char Popularity'!$A$2:$C$500,2,FALSE),""))</f>
        <v/>
      </c>
      <c r="Z1894" s="56">
        <f>IF($X1894="",1,IFERROR(VLOOKUP($X1894,'Char Popularity'!$A$2:$C$500,3,FALSE),1))</f>
        <v>1</v>
      </c>
      <c r="AA1894" s="62">
        <f>IF($H1894&lt;&gt;"Y",0,(IF($F1894&lt;&gt;"",ROUND(Dashboard!$R$4/$F1894,1),IF(AND($I1894="Base",$E1894="Base"),Dashboard!$R$5,IF(AND($I1894="Base",$E1894="Red"),Dashboard!$R$6,IF(AND($I1894="Base",$E1894="Gold"),Dashboard!$R$7,VLOOKUP($I1894,Dashboard!$Q$16:$R$21,2,FALSE)))))*VLOOKUP($I1894,Dashboard!$Q$9:$R$13,2,FALSE)*IF(AND($I1894="Auto",$F1894="",OR($B1894="Autographs Duals",$B1894="Autographs Triples",$B1894="Autographs Quads",$B1894="Autographs Quads (Inscribed)")),IF($B1894="Autographs Duals",2,IF($B1894="Autographs Triples",3,4)),1)))</f>
        <v>6</v>
      </c>
      <c r="AB1894" s="62">
        <f t="shared" si="388"/>
        <v>6</v>
      </c>
      <c r="AC1894" s="62">
        <f t="shared" si="389"/>
        <v>0</v>
      </c>
    </row>
    <row r="1895" spans="1:29" ht="30" customHeight="1" x14ac:dyDescent="0.25">
      <c r="A1895" s="4" t="s">
        <v>31</v>
      </c>
      <c r="B1895" s="7" t="s">
        <v>124</v>
      </c>
      <c r="C1895" s="2" t="s">
        <v>552</v>
      </c>
      <c r="D1895" s="7" t="s">
        <v>458</v>
      </c>
      <c r="E1895" s="4" t="s">
        <v>60</v>
      </c>
      <c r="F1895" s="2"/>
      <c r="G1895" s="2" t="s">
        <v>1399</v>
      </c>
      <c r="H1895" s="2" t="s">
        <v>1400</v>
      </c>
      <c r="I1895" s="4" t="s">
        <v>62</v>
      </c>
      <c r="J1895" s="112">
        <f>IF($H1895&lt;&gt;"Y",0,ROUND(MIN(Dashboard!$R$24,IF(IFERROR(VLOOKUP($B1895,Dashboard!$Q$28:$S$60,2,FALSE),0)&gt;0,IFERROR(VLOOKUP($B1895,Dashboard!$Q$28:$S$60,2,FALSE),0),$Z1895*IF($U1895&lt;&gt;"",ROUND((Dashboard!$R$4/$U1895)*VLOOKUP($I1895,Dashboard!$Q$9:$R$13,2,FALSE)*IF(ISNUMBER(SEARCH("Duals",$B1895)),2,IF(ISNUMBER(SEARCH("Triples",$B1895)),3,IF(ISNUMBER(SEARCH("Quads",$B1895)),4,1))),2),ROUND(VLOOKUP($I1895,Dashboard!$Q$15:$R$20,2,FALSE)*IF($E1895="Red",Dashboard!$R$6,IF($E1895="Gold",Dashboard!$R$7,Dashboard!$R$5))*IF(ISNUMBER(SEARCH("Duals",$B1895)),2,IF(ISNUMBER(SEARCH("Triples",$B1895)),3,IF(ISNUMBER(SEARCH("Quads",$B1895)),4,1))),2))*IF(IFERROR(VLOOKUP($B1895,Dashboard!$Q$28:$S$60,3,FALSE),0)&gt;0,VLOOKUP($B1895,Dashboard!$Q$28:$S$60,3,FALSE),1))),0))</f>
        <v>2</v>
      </c>
      <c r="K1895" s="2" t="str">
        <f>IF('Inserts - General'!E10="","",'Inserts - General'!E10)</f>
        <v>C</v>
      </c>
      <c r="L1895" s="2">
        <f t="shared" si="377"/>
        <v>1</v>
      </c>
      <c r="M1895" s="2">
        <f t="shared" si="378"/>
        <v>0</v>
      </c>
      <c r="N1895" s="2">
        <f t="shared" si="379"/>
        <v>1</v>
      </c>
      <c r="O1895" s="2">
        <f t="shared" si="380"/>
        <v>0</v>
      </c>
      <c r="P1895" s="112">
        <f t="shared" si="381"/>
        <v>2</v>
      </c>
      <c r="Q1895" s="112">
        <f t="shared" si="382"/>
        <v>0</v>
      </c>
      <c r="R1895" s="53"/>
      <c r="S1895" s="53" t="str">
        <f t="shared" si="383"/>
        <v>Inserts - General|Metal Prints|MP-9|Base</v>
      </c>
      <c r="T1895" s="57">
        <f>IF($S1895="","",IFERROR(VLOOKUP($S1895,'Pop Estimates (Non-#d)'!$N$2:$O$500,2,FALSE),""))</f>
        <v>570</v>
      </c>
      <c r="U1895" s="57">
        <f t="shared" si="384"/>
        <v>570</v>
      </c>
      <c r="V1895" s="53" t="str">
        <f t="shared" si="385"/>
        <v/>
      </c>
      <c r="W1895" s="53" t="str">
        <f t="shared" si="386"/>
        <v/>
      </c>
      <c r="X1895" s="53" t="str">
        <f t="shared" si="387"/>
        <v/>
      </c>
      <c r="Y1895" s="57" t="str">
        <f>IF($X1895="","",IFERROR(VLOOKUP($X1895,'Char Popularity'!$A$2:$C$500,2,FALSE),""))</f>
        <v/>
      </c>
      <c r="Z1895" s="56">
        <f>IF($X1895="",1,IFERROR(VLOOKUP($X1895,'Char Popularity'!$A$2:$C$500,3,FALSE),1))</f>
        <v>1</v>
      </c>
      <c r="AA1895" s="62">
        <f>IF($H1895&lt;&gt;"Y",0,(IF($F1895&lt;&gt;"",ROUND(Dashboard!$R$4/$F1895,1),IF(AND($I1895="Base",$E1895="Base"),Dashboard!$R$5,IF(AND($I1895="Base",$E1895="Red"),Dashboard!$R$6,IF(AND($I1895="Base",$E1895="Gold"),Dashboard!$R$7,VLOOKUP($I1895,Dashboard!$Q$16:$R$21,2,FALSE)))))*VLOOKUP($I1895,Dashboard!$Q$9:$R$13,2,FALSE)*IF(AND($I1895="Auto",$F1895="",OR($B1895="Autographs Duals",$B1895="Autographs Triples",$B1895="Autographs Quads",$B1895="Autographs Quads (Inscribed)")),IF($B1895="Autographs Duals",2,IF($B1895="Autographs Triples",3,4)),1)))</f>
        <v>6</v>
      </c>
      <c r="AB1895" s="62">
        <f t="shared" si="388"/>
        <v>6</v>
      </c>
      <c r="AC1895" s="62">
        <f t="shared" si="389"/>
        <v>0</v>
      </c>
    </row>
    <row r="1896" spans="1:29" ht="30" customHeight="1" x14ac:dyDescent="0.25">
      <c r="A1896" s="4" t="s">
        <v>31</v>
      </c>
      <c r="B1896" s="7" t="s">
        <v>124</v>
      </c>
      <c r="C1896" s="2" t="s">
        <v>510</v>
      </c>
      <c r="D1896" s="7" t="s">
        <v>511</v>
      </c>
      <c r="E1896" s="4" t="s">
        <v>60</v>
      </c>
      <c r="F1896" s="2"/>
      <c r="G1896" s="2" t="s">
        <v>1399</v>
      </c>
      <c r="H1896" s="2" t="s">
        <v>1400</v>
      </c>
      <c r="I1896" s="4" t="s">
        <v>62</v>
      </c>
      <c r="J1896" s="112">
        <f>IF($H1896&lt;&gt;"Y",0,ROUND(MIN(Dashboard!$R$24,IF(IFERROR(VLOOKUP($B1896,Dashboard!$Q$28:$S$60,2,FALSE),0)&gt;0,IFERROR(VLOOKUP($B1896,Dashboard!$Q$28:$S$60,2,FALSE),0),$Z1896*IF($U1896&lt;&gt;"",ROUND((Dashboard!$R$4/$U1896)*VLOOKUP($I1896,Dashboard!$Q$9:$R$13,2,FALSE)*IF(ISNUMBER(SEARCH("Duals",$B1896)),2,IF(ISNUMBER(SEARCH("Triples",$B1896)),3,IF(ISNUMBER(SEARCH("Quads",$B1896)),4,1))),2),ROUND(VLOOKUP($I1896,Dashboard!$Q$15:$R$20,2,FALSE)*IF($E1896="Red",Dashboard!$R$6,IF($E1896="Gold",Dashboard!$R$7,Dashboard!$R$5))*IF(ISNUMBER(SEARCH("Duals",$B1896)),2,IF(ISNUMBER(SEARCH("Triples",$B1896)),3,IF(ISNUMBER(SEARCH("Quads",$B1896)),4,1))),2))*IF(IFERROR(VLOOKUP($B1896,Dashboard!$Q$28:$S$60,3,FALSE),0)&gt;0,VLOOKUP($B1896,Dashboard!$Q$28:$S$60,3,FALSE),1))),0))</f>
        <v>2</v>
      </c>
      <c r="K1896" s="2" t="str">
        <f>IF('Inserts - General'!E11="","",'Inserts - General'!E11)</f>
        <v>V</v>
      </c>
      <c r="L1896" s="2">
        <f t="shared" si="377"/>
        <v>1</v>
      </c>
      <c r="M1896" s="2">
        <f t="shared" si="378"/>
        <v>0</v>
      </c>
      <c r="N1896" s="2">
        <f t="shared" si="379"/>
        <v>1</v>
      </c>
      <c r="O1896" s="2">
        <f t="shared" si="380"/>
        <v>0</v>
      </c>
      <c r="P1896" s="112">
        <f t="shared" si="381"/>
        <v>2</v>
      </c>
      <c r="Q1896" s="112">
        <f t="shared" si="382"/>
        <v>0</v>
      </c>
      <c r="R1896" s="53"/>
      <c r="S1896" s="53" t="str">
        <f t="shared" si="383"/>
        <v>Inserts - General|Metal Prints|MP-10|Base</v>
      </c>
      <c r="T1896" s="57">
        <f>IF($S1896="","",IFERROR(VLOOKUP($S1896,'Pop Estimates (Non-#d)'!$N$2:$O$500,2,FALSE),""))</f>
        <v>570</v>
      </c>
      <c r="U1896" s="57">
        <f t="shared" si="384"/>
        <v>570</v>
      </c>
      <c r="V1896" s="53" t="str">
        <f t="shared" si="385"/>
        <v/>
      </c>
      <c r="W1896" s="53" t="str">
        <f t="shared" si="386"/>
        <v/>
      </c>
      <c r="X1896" s="53" t="str">
        <f t="shared" si="387"/>
        <v/>
      </c>
      <c r="Y1896" s="57" t="str">
        <f>IF($X1896="","",IFERROR(VLOOKUP($X1896,'Char Popularity'!$A$2:$C$500,2,FALSE),""))</f>
        <v/>
      </c>
      <c r="Z1896" s="56">
        <f>IF($X1896="",1,IFERROR(VLOOKUP($X1896,'Char Popularity'!$A$2:$C$500,3,FALSE),1))</f>
        <v>1</v>
      </c>
      <c r="AA1896" s="62">
        <f>IF($H1896&lt;&gt;"Y",0,(IF($F1896&lt;&gt;"",ROUND(Dashboard!$R$4/$F1896,1),IF(AND($I1896="Base",$E1896="Base"),Dashboard!$R$5,IF(AND($I1896="Base",$E1896="Red"),Dashboard!$R$6,IF(AND($I1896="Base",$E1896="Gold"),Dashboard!$R$7,VLOOKUP($I1896,Dashboard!$Q$16:$R$21,2,FALSE)))))*VLOOKUP($I1896,Dashboard!$Q$9:$R$13,2,FALSE)*IF(AND($I1896="Auto",$F1896="",OR($B1896="Autographs Duals",$B1896="Autographs Triples",$B1896="Autographs Quads",$B1896="Autographs Quads (Inscribed)")),IF($B1896="Autographs Duals",2,IF($B1896="Autographs Triples",3,4)),1)))</f>
        <v>6</v>
      </c>
      <c r="AB1896" s="62">
        <f t="shared" si="388"/>
        <v>6</v>
      </c>
      <c r="AC1896" s="62">
        <f t="shared" si="389"/>
        <v>0</v>
      </c>
    </row>
    <row r="1897" spans="1:29" ht="30" customHeight="1" x14ac:dyDescent="0.25">
      <c r="A1897" s="4" t="s">
        <v>31</v>
      </c>
      <c r="B1897" s="7" t="s">
        <v>124</v>
      </c>
      <c r="C1897" s="2" t="s">
        <v>512</v>
      </c>
      <c r="D1897" s="7" t="s">
        <v>444</v>
      </c>
      <c r="E1897" s="4" t="s">
        <v>60</v>
      </c>
      <c r="F1897" s="2"/>
      <c r="G1897" s="2" t="s">
        <v>1399</v>
      </c>
      <c r="H1897" s="2" t="s">
        <v>1400</v>
      </c>
      <c r="I1897" s="4" t="s">
        <v>62</v>
      </c>
      <c r="J1897" s="112">
        <f>IF($H1897&lt;&gt;"Y",0,ROUND(MIN(Dashboard!$R$24,IF(IFERROR(VLOOKUP($B1897,Dashboard!$Q$28:$S$60,2,FALSE),0)&gt;0,IFERROR(VLOOKUP($B1897,Dashboard!$Q$28:$S$60,2,FALSE),0),$Z1897*IF($U1897&lt;&gt;"",ROUND((Dashboard!$R$4/$U1897)*VLOOKUP($I1897,Dashboard!$Q$9:$R$13,2,FALSE)*IF(ISNUMBER(SEARCH("Duals",$B1897)),2,IF(ISNUMBER(SEARCH("Triples",$B1897)),3,IF(ISNUMBER(SEARCH("Quads",$B1897)),4,1))),2),ROUND(VLOOKUP($I1897,Dashboard!$Q$15:$R$20,2,FALSE)*IF($E1897="Red",Dashboard!$R$6,IF($E1897="Gold",Dashboard!$R$7,Dashboard!$R$5))*IF(ISNUMBER(SEARCH("Duals",$B1897)),2,IF(ISNUMBER(SEARCH("Triples",$B1897)),3,IF(ISNUMBER(SEARCH("Quads",$B1897)),4,1))),2))*IF(IFERROR(VLOOKUP($B1897,Dashboard!$Q$28:$S$60,3,FALSE),0)&gt;0,VLOOKUP($B1897,Dashboard!$Q$28:$S$60,3,FALSE),1))),0))</f>
        <v>2</v>
      </c>
      <c r="K1897" s="2" t="str">
        <f>IF('Inserts - General'!E12="","",'Inserts - General'!E12)</f>
        <v>V</v>
      </c>
      <c r="L1897" s="2">
        <f t="shared" si="377"/>
        <v>1</v>
      </c>
      <c r="M1897" s="2">
        <f t="shared" si="378"/>
        <v>0</v>
      </c>
      <c r="N1897" s="2">
        <f t="shared" si="379"/>
        <v>1</v>
      </c>
      <c r="O1897" s="2">
        <f t="shared" si="380"/>
        <v>0</v>
      </c>
      <c r="P1897" s="112">
        <f t="shared" si="381"/>
        <v>2</v>
      </c>
      <c r="Q1897" s="112">
        <f t="shared" si="382"/>
        <v>0</v>
      </c>
      <c r="R1897" s="53"/>
      <c r="S1897" s="53" t="str">
        <f t="shared" si="383"/>
        <v>Inserts - General|Metal Prints|MP-11|Base</v>
      </c>
      <c r="T1897" s="57">
        <f>IF($S1897="","",IFERROR(VLOOKUP($S1897,'Pop Estimates (Non-#d)'!$N$2:$O$500,2,FALSE),""))</f>
        <v>570</v>
      </c>
      <c r="U1897" s="57">
        <f t="shared" si="384"/>
        <v>570</v>
      </c>
      <c r="V1897" s="53" t="str">
        <f t="shared" si="385"/>
        <v/>
      </c>
      <c r="W1897" s="53" t="str">
        <f t="shared" si="386"/>
        <v/>
      </c>
      <c r="X1897" s="53" t="str">
        <f t="shared" si="387"/>
        <v/>
      </c>
      <c r="Y1897" s="57" t="str">
        <f>IF($X1897="","",IFERROR(VLOOKUP($X1897,'Char Popularity'!$A$2:$C$500,2,FALSE),""))</f>
        <v/>
      </c>
      <c r="Z1897" s="56">
        <f>IF($X1897="",1,IFERROR(VLOOKUP($X1897,'Char Popularity'!$A$2:$C$500,3,FALSE),1))</f>
        <v>1</v>
      </c>
      <c r="AA1897" s="62">
        <f>IF($H1897&lt;&gt;"Y",0,(IF($F1897&lt;&gt;"",ROUND(Dashboard!$R$4/$F1897,1),IF(AND($I1897="Base",$E1897="Base"),Dashboard!$R$5,IF(AND($I1897="Base",$E1897="Red"),Dashboard!$R$6,IF(AND($I1897="Base",$E1897="Gold"),Dashboard!$R$7,VLOOKUP($I1897,Dashboard!$Q$16:$R$21,2,FALSE)))))*VLOOKUP($I1897,Dashboard!$Q$9:$R$13,2,FALSE)*IF(AND($I1897="Auto",$F1897="",OR($B1897="Autographs Duals",$B1897="Autographs Triples",$B1897="Autographs Quads",$B1897="Autographs Quads (Inscribed)")),IF($B1897="Autographs Duals",2,IF($B1897="Autographs Triples",3,4)),1)))</f>
        <v>6</v>
      </c>
      <c r="AB1897" s="62">
        <f t="shared" si="388"/>
        <v>6</v>
      </c>
      <c r="AC1897" s="62">
        <f t="shared" si="389"/>
        <v>0</v>
      </c>
    </row>
    <row r="1898" spans="1:29" ht="30" customHeight="1" x14ac:dyDescent="0.25">
      <c r="A1898" s="4" t="s">
        <v>31</v>
      </c>
      <c r="B1898" s="7" t="s">
        <v>124</v>
      </c>
      <c r="C1898" s="2" t="s">
        <v>513</v>
      </c>
      <c r="D1898" s="7" t="s">
        <v>384</v>
      </c>
      <c r="E1898" s="4" t="s">
        <v>60</v>
      </c>
      <c r="F1898" s="2"/>
      <c r="G1898" s="2" t="s">
        <v>1399</v>
      </c>
      <c r="H1898" s="2" t="s">
        <v>1400</v>
      </c>
      <c r="I1898" s="4" t="s">
        <v>62</v>
      </c>
      <c r="J1898" s="112">
        <f>IF($H1898&lt;&gt;"Y",0,ROUND(MIN(Dashboard!$R$24,IF(IFERROR(VLOOKUP($B1898,Dashboard!$Q$28:$S$60,2,FALSE),0)&gt;0,IFERROR(VLOOKUP($B1898,Dashboard!$Q$28:$S$60,2,FALSE),0),$Z1898*IF($U1898&lt;&gt;"",ROUND((Dashboard!$R$4/$U1898)*VLOOKUP($I1898,Dashboard!$Q$9:$R$13,2,FALSE)*IF(ISNUMBER(SEARCH("Duals",$B1898)),2,IF(ISNUMBER(SEARCH("Triples",$B1898)),3,IF(ISNUMBER(SEARCH("Quads",$B1898)),4,1))),2),ROUND(VLOOKUP($I1898,Dashboard!$Q$15:$R$20,2,FALSE)*IF($E1898="Red",Dashboard!$R$6,IF($E1898="Gold",Dashboard!$R$7,Dashboard!$R$5))*IF(ISNUMBER(SEARCH("Duals",$B1898)),2,IF(ISNUMBER(SEARCH("Triples",$B1898)),3,IF(ISNUMBER(SEARCH("Quads",$B1898)),4,1))),2))*IF(IFERROR(VLOOKUP($B1898,Dashboard!$Q$28:$S$60,3,FALSE),0)&gt;0,VLOOKUP($B1898,Dashboard!$Q$28:$S$60,3,FALSE),1))),0))</f>
        <v>2</v>
      </c>
      <c r="K1898" s="2" t="str">
        <f>IF('Inserts - General'!E13="","",'Inserts - General'!E13)</f>
        <v>V</v>
      </c>
      <c r="L1898" s="2">
        <f t="shared" si="377"/>
        <v>1</v>
      </c>
      <c r="M1898" s="2">
        <f t="shared" si="378"/>
        <v>0</v>
      </c>
      <c r="N1898" s="2">
        <f t="shared" si="379"/>
        <v>1</v>
      </c>
      <c r="O1898" s="2">
        <f t="shared" si="380"/>
        <v>0</v>
      </c>
      <c r="P1898" s="112">
        <f t="shared" si="381"/>
        <v>2</v>
      </c>
      <c r="Q1898" s="112">
        <f t="shared" si="382"/>
        <v>0</v>
      </c>
      <c r="R1898" s="53"/>
      <c r="S1898" s="53" t="str">
        <f t="shared" si="383"/>
        <v>Inserts - General|Metal Prints|MP-12|Base</v>
      </c>
      <c r="T1898" s="57">
        <f>IF($S1898="","",IFERROR(VLOOKUP($S1898,'Pop Estimates (Non-#d)'!$N$2:$O$500,2,FALSE),""))</f>
        <v>570</v>
      </c>
      <c r="U1898" s="57">
        <f t="shared" si="384"/>
        <v>570</v>
      </c>
      <c r="V1898" s="53" t="str">
        <f t="shared" si="385"/>
        <v/>
      </c>
      <c r="W1898" s="53" t="str">
        <f t="shared" si="386"/>
        <v/>
      </c>
      <c r="X1898" s="53" t="str">
        <f t="shared" si="387"/>
        <v/>
      </c>
      <c r="Y1898" s="57" t="str">
        <f>IF($X1898="","",IFERROR(VLOOKUP($X1898,'Char Popularity'!$A$2:$C$500,2,FALSE),""))</f>
        <v/>
      </c>
      <c r="Z1898" s="56">
        <f>IF($X1898="",1,IFERROR(VLOOKUP($X1898,'Char Popularity'!$A$2:$C$500,3,FALSE),1))</f>
        <v>1</v>
      </c>
      <c r="AA1898" s="62">
        <f>IF($H1898&lt;&gt;"Y",0,(IF($F1898&lt;&gt;"",ROUND(Dashboard!$R$4/$F1898,1),IF(AND($I1898="Base",$E1898="Base"),Dashboard!$R$5,IF(AND($I1898="Base",$E1898="Red"),Dashboard!$R$6,IF(AND($I1898="Base",$E1898="Gold"),Dashboard!$R$7,VLOOKUP($I1898,Dashboard!$Q$16:$R$21,2,FALSE)))))*VLOOKUP($I1898,Dashboard!$Q$9:$R$13,2,FALSE)*IF(AND($I1898="Auto",$F1898="",OR($B1898="Autographs Duals",$B1898="Autographs Triples",$B1898="Autographs Quads",$B1898="Autographs Quads (Inscribed)")),IF($B1898="Autographs Duals",2,IF($B1898="Autographs Triples",3,4)),1)))</f>
        <v>6</v>
      </c>
      <c r="AB1898" s="62">
        <f t="shared" si="388"/>
        <v>6</v>
      </c>
      <c r="AC1898" s="62">
        <f t="shared" si="389"/>
        <v>0</v>
      </c>
    </row>
    <row r="1899" spans="1:29" ht="30" customHeight="1" x14ac:dyDescent="0.25">
      <c r="A1899" s="4" t="s">
        <v>31</v>
      </c>
      <c r="B1899" s="7" t="s">
        <v>124</v>
      </c>
      <c r="C1899" s="2" t="s">
        <v>514</v>
      </c>
      <c r="D1899" s="7" t="s">
        <v>387</v>
      </c>
      <c r="E1899" s="4" t="s">
        <v>60</v>
      </c>
      <c r="F1899" s="2"/>
      <c r="G1899" s="2" t="s">
        <v>1399</v>
      </c>
      <c r="H1899" s="2" t="s">
        <v>1400</v>
      </c>
      <c r="I1899" s="4" t="s">
        <v>62</v>
      </c>
      <c r="J1899" s="112">
        <f>IF($H1899&lt;&gt;"Y",0,ROUND(MIN(Dashboard!$R$24,IF(IFERROR(VLOOKUP($B1899,Dashboard!$Q$28:$S$60,2,FALSE),0)&gt;0,IFERROR(VLOOKUP($B1899,Dashboard!$Q$28:$S$60,2,FALSE),0),$Z1899*IF($U1899&lt;&gt;"",ROUND((Dashboard!$R$4/$U1899)*VLOOKUP($I1899,Dashboard!$Q$9:$R$13,2,FALSE)*IF(ISNUMBER(SEARCH("Duals",$B1899)),2,IF(ISNUMBER(SEARCH("Triples",$B1899)),3,IF(ISNUMBER(SEARCH("Quads",$B1899)),4,1))),2),ROUND(VLOOKUP($I1899,Dashboard!$Q$15:$R$20,2,FALSE)*IF($E1899="Red",Dashboard!$R$6,IF($E1899="Gold",Dashboard!$R$7,Dashboard!$R$5))*IF(ISNUMBER(SEARCH("Duals",$B1899)),2,IF(ISNUMBER(SEARCH("Triples",$B1899)),3,IF(ISNUMBER(SEARCH("Quads",$B1899)),4,1))),2))*IF(IFERROR(VLOOKUP($B1899,Dashboard!$Q$28:$S$60,3,FALSE),0)&gt;0,VLOOKUP($B1899,Dashboard!$Q$28:$S$60,3,FALSE),1))),0))</f>
        <v>2</v>
      </c>
      <c r="K1899" s="2" t="str">
        <f>IF('Inserts - General'!E14="","",'Inserts - General'!E14)</f>
        <v>C</v>
      </c>
      <c r="L1899" s="2">
        <f t="shared" si="377"/>
        <v>1</v>
      </c>
      <c r="M1899" s="2">
        <f t="shared" si="378"/>
        <v>0</v>
      </c>
      <c r="N1899" s="2">
        <f t="shared" si="379"/>
        <v>1</v>
      </c>
      <c r="O1899" s="2">
        <f t="shared" si="380"/>
        <v>0</v>
      </c>
      <c r="P1899" s="112">
        <f t="shared" si="381"/>
        <v>2</v>
      </c>
      <c r="Q1899" s="112">
        <f t="shared" si="382"/>
        <v>0</v>
      </c>
      <c r="R1899" s="53"/>
      <c r="S1899" s="53" t="str">
        <f t="shared" si="383"/>
        <v>Inserts - General|Metal Prints|MP-13|Base</v>
      </c>
      <c r="T1899" s="57">
        <f>IF($S1899="","",IFERROR(VLOOKUP($S1899,'Pop Estimates (Non-#d)'!$N$2:$O$500,2,FALSE),""))</f>
        <v>570</v>
      </c>
      <c r="U1899" s="57">
        <f t="shared" si="384"/>
        <v>570</v>
      </c>
      <c r="V1899" s="53" t="str">
        <f t="shared" si="385"/>
        <v/>
      </c>
      <c r="W1899" s="53" t="str">
        <f t="shared" si="386"/>
        <v/>
      </c>
      <c r="X1899" s="53" t="str">
        <f t="shared" si="387"/>
        <v/>
      </c>
      <c r="Y1899" s="57" t="str">
        <f>IF($X1899="","",IFERROR(VLOOKUP($X1899,'Char Popularity'!$A$2:$C$500,2,FALSE),""))</f>
        <v/>
      </c>
      <c r="Z1899" s="56">
        <f>IF($X1899="",1,IFERROR(VLOOKUP($X1899,'Char Popularity'!$A$2:$C$500,3,FALSE),1))</f>
        <v>1</v>
      </c>
      <c r="AA1899" s="62">
        <f>IF($H1899&lt;&gt;"Y",0,(IF($F1899&lt;&gt;"",ROUND(Dashboard!$R$4/$F1899,1),IF(AND($I1899="Base",$E1899="Base"),Dashboard!$R$5,IF(AND($I1899="Base",$E1899="Red"),Dashboard!$R$6,IF(AND($I1899="Base",$E1899="Gold"),Dashboard!$R$7,VLOOKUP($I1899,Dashboard!$Q$16:$R$21,2,FALSE)))))*VLOOKUP($I1899,Dashboard!$Q$9:$R$13,2,FALSE)*IF(AND($I1899="Auto",$F1899="",OR($B1899="Autographs Duals",$B1899="Autographs Triples",$B1899="Autographs Quads",$B1899="Autographs Quads (Inscribed)")),IF($B1899="Autographs Duals",2,IF($B1899="Autographs Triples",3,4)),1)))</f>
        <v>6</v>
      </c>
      <c r="AB1899" s="62">
        <f t="shared" si="388"/>
        <v>6</v>
      </c>
      <c r="AC1899" s="62">
        <f t="shared" si="389"/>
        <v>0</v>
      </c>
    </row>
    <row r="1900" spans="1:29" ht="30" customHeight="1" x14ac:dyDescent="0.25">
      <c r="A1900" s="4" t="s">
        <v>31</v>
      </c>
      <c r="B1900" s="7" t="s">
        <v>124</v>
      </c>
      <c r="C1900" s="2" t="s">
        <v>515</v>
      </c>
      <c r="D1900" s="7" t="s">
        <v>516</v>
      </c>
      <c r="E1900" s="4" t="s">
        <v>60</v>
      </c>
      <c r="F1900" s="2"/>
      <c r="G1900" s="2" t="s">
        <v>1399</v>
      </c>
      <c r="H1900" s="2" t="s">
        <v>1400</v>
      </c>
      <c r="I1900" s="4" t="s">
        <v>62</v>
      </c>
      <c r="J1900" s="112">
        <f>IF($H1900&lt;&gt;"Y",0,ROUND(MIN(Dashboard!$R$24,IF(IFERROR(VLOOKUP($B1900,Dashboard!$Q$28:$S$60,2,FALSE),0)&gt;0,IFERROR(VLOOKUP($B1900,Dashboard!$Q$28:$S$60,2,FALSE),0),$Z1900*IF($U1900&lt;&gt;"",ROUND((Dashboard!$R$4/$U1900)*VLOOKUP($I1900,Dashboard!$Q$9:$R$13,2,FALSE)*IF(ISNUMBER(SEARCH("Duals",$B1900)),2,IF(ISNUMBER(SEARCH("Triples",$B1900)),3,IF(ISNUMBER(SEARCH("Quads",$B1900)),4,1))),2),ROUND(VLOOKUP($I1900,Dashboard!$Q$15:$R$20,2,FALSE)*IF($E1900="Red",Dashboard!$R$6,IF($E1900="Gold",Dashboard!$R$7,Dashboard!$R$5))*IF(ISNUMBER(SEARCH("Duals",$B1900)),2,IF(ISNUMBER(SEARCH("Triples",$B1900)),3,IF(ISNUMBER(SEARCH("Quads",$B1900)),4,1))),2))*IF(IFERROR(VLOOKUP($B1900,Dashboard!$Q$28:$S$60,3,FALSE),0)&gt;0,VLOOKUP($B1900,Dashboard!$Q$28:$S$60,3,FALSE),1))),0))</f>
        <v>2</v>
      </c>
      <c r="K1900" s="2" t="str">
        <f>IF('Inserts - General'!E15="","",'Inserts - General'!E15)</f>
        <v>C</v>
      </c>
      <c r="L1900" s="2">
        <f t="shared" si="377"/>
        <v>1</v>
      </c>
      <c r="M1900" s="2">
        <f t="shared" si="378"/>
        <v>0</v>
      </c>
      <c r="N1900" s="2">
        <f t="shared" si="379"/>
        <v>1</v>
      </c>
      <c r="O1900" s="2">
        <f t="shared" si="380"/>
        <v>0</v>
      </c>
      <c r="P1900" s="112">
        <f t="shared" si="381"/>
        <v>2</v>
      </c>
      <c r="Q1900" s="112">
        <f t="shared" si="382"/>
        <v>0</v>
      </c>
      <c r="R1900" s="53"/>
      <c r="S1900" s="53" t="str">
        <f t="shared" si="383"/>
        <v>Inserts - General|Metal Prints|MP-14|Base</v>
      </c>
      <c r="T1900" s="57">
        <f>IF($S1900="","",IFERROR(VLOOKUP($S1900,'Pop Estimates (Non-#d)'!$N$2:$O$500,2,FALSE),""))</f>
        <v>570</v>
      </c>
      <c r="U1900" s="57">
        <f t="shared" si="384"/>
        <v>570</v>
      </c>
      <c r="V1900" s="53" t="str">
        <f t="shared" si="385"/>
        <v/>
      </c>
      <c r="W1900" s="53" t="str">
        <f t="shared" si="386"/>
        <v/>
      </c>
      <c r="X1900" s="53" t="str">
        <f t="shared" si="387"/>
        <v/>
      </c>
      <c r="Y1900" s="57" t="str">
        <f>IF($X1900="","",IFERROR(VLOOKUP($X1900,'Char Popularity'!$A$2:$C$500,2,FALSE),""))</f>
        <v/>
      </c>
      <c r="Z1900" s="56">
        <f>IF($X1900="",1,IFERROR(VLOOKUP($X1900,'Char Popularity'!$A$2:$C$500,3,FALSE),1))</f>
        <v>1</v>
      </c>
      <c r="AA1900" s="62">
        <f>IF($H1900&lt;&gt;"Y",0,(IF($F1900&lt;&gt;"",ROUND(Dashboard!$R$4/$F1900,1),IF(AND($I1900="Base",$E1900="Base"),Dashboard!$R$5,IF(AND($I1900="Base",$E1900="Red"),Dashboard!$R$6,IF(AND($I1900="Base",$E1900="Gold"),Dashboard!$R$7,VLOOKUP($I1900,Dashboard!$Q$16:$R$21,2,FALSE)))))*VLOOKUP($I1900,Dashboard!$Q$9:$R$13,2,FALSE)*IF(AND($I1900="Auto",$F1900="",OR($B1900="Autographs Duals",$B1900="Autographs Triples",$B1900="Autographs Quads",$B1900="Autographs Quads (Inscribed)")),IF($B1900="Autographs Duals",2,IF($B1900="Autographs Triples",3,4)),1)))</f>
        <v>6</v>
      </c>
      <c r="AB1900" s="62">
        <f t="shared" si="388"/>
        <v>6</v>
      </c>
      <c r="AC1900" s="62">
        <f t="shared" si="389"/>
        <v>0</v>
      </c>
    </row>
    <row r="1901" spans="1:29" ht="30" customHeight="1" x14ac:dyDescent="0.25">
      <c r="A1901" s="4" t="s">
        <v>31</v>
      </c>
      <c r="B1901" s="7" t="s">
        <v>124</v>
      </c>
      <c r="C1901" s="2" t="s">
        <v>517</v>
      </c>
      <c r="D1901" s="7" t="s">
        <v>518</v>
      </c>
      <c r="E1901" s="4" t="s">
        <v>60</v>
      </c>
      <c r="F1901" s="2"/>
      <c r="G1901" s="2" t="s">
        <v>1399</v>
      </c>
      <c r="H1901" s="2" t="s">
        <v>1400</v>
      </c>
      <c r="I1901" s="4" t="s">
        <v>62</v>
      </c>
      <c r="J1901" s="112">
        <f>IF($H1901&lt;&gt;"Y",0,ROUND(MIN(Dashboard!$R$24,IF(IFERROR(VLOOKUP($B1901,Dashboard!$Q$28:$S$60,2,FALSE),0)&gt;0,IFERROR(VLOOKUP($B1901,Dashboard!$Q$28:$S$60,2,FALSE),0),$Z1901*IF($U1901&lt;&gt;"",ROUND((Dashboard!$R$4/$U1901)*VLOOKUP($I1901,Dashboard!$Q$9:$R$13,2,FALSE)*IF(ISNUMBER(SEARCH("Duals",$B1901)),2,IF(ISNUMBER(SEARCH("Triples",$B1901)),3,IF(ISNUMBER(SEARCH("Quads",$B1901)),4,1))),2),ROUND(VLOOKUP($I1901,Dashboard!$Q$15:$R$20,2,FALSE)*IF($E1901="Red",Dashboard!$R$6,IF($E1901="Gold",Dashboard!$R$7,Dashboard!$R$5))*IF(ISNUMBER(SEARCH("Duals",$B1901)),2,IF(ISNUMBER(SEARCH("Triples",$B1901)),3,IF(ISNUMBER(SEARCH("Quads",$B1901)),4,1))),2))*IF(IFERROR(VLOOKUP($B1901,Dashboard!$Q$28:$S$60,3,FALSE),0)&gt;0,VLOOKUP($B1901,Dashboard!$Q$28:$S$60,3,FALSE),1))),0))</f>
        <v>2</v>
      </c>
      <c r="K1901" s="2" t="str">
        <f>IF('Inserts - General'!E16="","",'Inserts - General'!E16)</f>
        <v>C</v>
      </c>
      <c r="L1901" s="2">
        <f t="shared" si="377"/>
        <v>1</v>
      </c>
      <c r="M1901" s="2">
        <f t="shared" si="378"/>
        <v>0</v>
      </c>
      <c r="N1901" s="2">
        <f t="shared" si="379"/>
        <v>1</v>
      </c>
      <c r="O1901" s="2">
        <f t="shared" si="380"/>
        <v>0</v>
      </c>
      <c r="P1901" s="112">
        <f t="shared" si="381"/>
        <v>2</v>
      </c>
      <c r="Q1901" s="112">
        <f t="shared" si="382"/>
        <v>0</v>
      </c>
      <c r="R1901" s="53"/>
      <c r="S1901" s="53" t="str">
        <f t="shared" si="383"/>
        <v>Inserts - General|Metal Prints|MP-15|Base</v>
      </c>
      <c r="T1901" s="57">
        <f>IF($S1901="","",IFERROR(VLOOKUP($S1901,'Pop Estimates (Non-#d)'!$N$2:$O$500,2,FALSE),""))</f>
        <v>570</v>
      </c>
      <c r="U1901" s="57">
        <f t="shared" si="384"/>
        <v>570</v>
      </c>
      <c r="V1901" s="53" t="str">
        <f t="shared" si="385"/>
        <v/>
      </c>
      <c r="W1901" s="53" t="str">
        <f t="shared" si="386"/>
        <v/>
      </c>
      <c r="X1901" s="53" t="str">
        <f t="shared" si="387"/>
        <v/>
      </c>
      <c r="Y1901" s="57" t="str">
        <f>IF($X1901="","",IFERROR(VLOOKUP($X1901,'Char Popularity'!$A$2:$C$500,2,FALSE),""))</f>
        <v/>
      </c>
      <c r="Z1901" s="56">
        <f>IF($X1901="",1,IFERROR(VLOOKUP($X1901,'Char Popularity'!$A$2:$C$500,3,FALSE),1))</f>
        <v>1</v>
      </c>
      <c r="AA1901" s="62">
        <f>IF($H1901&lt;&gt;"Y",0,(IF($F1901&lt;&gt;"",ROUND(Dashboard!$R$4/$F1901,1),IF(AND($I1901="Base",$E1901="Base"),Dashboard!$R$5,IF(AND($I1901="Base",$E1901="Red"),Dashboard!$R$6,IF(AND($I1901="Base",$E1901="Gold"),Dashboard!$R$7,VLOOKUP($I1901,Dashboard!$Q$16:$R$21,2,FALSE)))))*VLOOKUP($I1901,Dashboard!$Q$9:$R$13,2,FALSE)*IF(AND($I1901="Auto",$F1901="",OR($B1901="Autographs Duals",$B1901="Autographs Triples",$B1901="Autographs Quads",$B1901="Autographs Quads (Inscribed)")),IF($B1901="Autographs Duals",2,IF($B1901="Autographs Triples",3,4)),1)))</f>
        <v>6</v>
      </c>
      <c r="AB1901" s="62">
        <f t="shared" si="388"/>
        <v>6</v>
      </c>
      <c r="AC1901" s="62">
        <f t="shared" si="389"/>
        <v>0</v>
      </c>
    </row>
    <row r="1902" spans="1:29" ht="30" customHeight="1" x14ac:dyDescent="0.25">
      <c r="A1902" s="4" t="s">
        <v>31</v>
      </c>
      <c r="B1902" s="7" t="s">
        <v>124</v>
      </c>
      <c r="C1902" s="2" t="s">
        <v>519</v>
      </c>
      <c r="D1902" s="7" t="s">
        <v>520</v>
      </c>
      <c r="E1902" s="4" t="s">
        <v>60</v>
      </c>
      <c r="F1902" s="2"/>
      <c r="G1902" s="2" t="s">
        <v>1399</v>
      </c>
      <c r="H1902" s="2" t="s">
        <v>1400</v>
      </c>
      <c r="I1902" s="4" t="s">
        <v>62</v>
      </c>
      <c r="J1902" s="112">
        <f>IF($H1902&lt;&gt;"Y",0,ROUND(MIN(Dashboard!$R$24,IF(IFERROR(VLOOKUP($B1902,Dashboard!$Q$28:$S$60,2,FALSE),0)&gt;0,IFERROR(VLOOKUP($B1902,Dashboard!$Q$28:$S$60,2,FALSE),0),$Z1902*IF($U1902&lt;&gt;"",ROUND((Dashboard!$R$4/$U1902)*VLOOKUP($I1902,Dashboard!$Q$9:$R$13,2,FALSE)*IF(ISNUMBER(SEARCH("Duals",$B1902)),2,IF(ISNUMBER(SEARCH("Triples",$B1902)),3,IF(ISNUMBER(SEARCH("Quads",$B1902)),4,1))),2),ROUND(VLOOKUP($I1902,Dashboard!$Q$15:$R$20,2,FALSE)*IF($E1902="Red",Dashboard!$R$6,IF($E1902="Gold",Dashboard!$R$7,Dashboard!$R$5))*IF(ISNUMBER(SEARCH("Duals",$B1902)),2,IF(ISNUMBER(SEARCH("Triples",$B1902)),3,IF(ISNUMBER(SEARCH("Quads",$B1902)),4,1))),2))*IF(IFERROR(VLOOKUP($B1902,Dashboard!$Q$28:$S$60,3,FALSE),0)&gt;0,VLOOKUP($B1902,Dashboard!$Q$28:$S$60,3,FALSE),1))),0))</f>
        <v>2</v>
      </c>
      <c r="K1902" s="2" t="str">
        <f>IF('Inserts - General'!E17="","",'Inserts - General'!E17)</f>
        <v>C</v>
      </c>
      <c r="L1902" s="2">
        <f t="shared" si="377"/>
        <v>1</v>
      </c>
      <c r="M1902" s="2">
        <f t="shared" si="378"/>
        <v>0</v>
      </c>
      <c r="N1902" s="2">
        <f t="shared" si="379"/>
        <v>1</v>
      </c>
      <c r="O1902" s="2">
        <f t="shared" si="380"/>
        <v>0</v>
      </c>
      <c r="P1902" s="112">
        <f t="shared" si="381"/>
        <v>2</v>
      </c>
      <c r="Q1902" s="112">
        <f t="shared" si="382"/>
        <v>0</v>
      </c>
      <c r="R1902" s="53"/>
      <c r="S1902" s="53" t="str">
        <f t="shared" si="383"/>
        <v>Inserts - General|Metal Prints|MP-16|Base</v>
      </c>
      <c r="T1902" s="57">
        <f>IF($S1902="","",IFERROR(VLOOKUP($S1902,'Pop Estimates (Non-#d)'!$N$2:$O$500,2,FALSE),""))</f>
        <v>570</v>
      </c>
      <c r="U1902" s="57">
        <f t="shared" si="384"/>
        <v>570</v>
      </c>
      <c r="V1902" s="53" t="str">
        <f t="shared" si="385"/>
        <v/>
      </c>
      <c r="W1902" s="53" t="str">
        <f t="shared" si="386"/>
        <v/>
      </c>
      <c r="X1902" s="53" t="str">
        <f t="shared" si="387"/>
        <v/>
      </c>
      <c r="Y1902" s="57" t="str">
        <f>IF($X1902="","",IFERROR(VLOOKUP($X1902,'Char Popularity'!$A$2:$C$500,2,FALSE),""))</f>
        <v/>
      </c>
      <c r="Z1902" s="56">
        <f>IF($X1902="",1,IFERROR(VLOOKUP($X1902,'Char Popularity'!$A$2:$C$500,3,FALSE),1))</f>
        <v>1</v>
      </c>
      <c r="AA1902" s="62">
        <f>IF($H1902&lt;&gt;"Y",0,(IF($F1902&lt;&gt;"",ROUND(Dashboard!$R$4/$F1902,1),IF(AND($I1902="Base",$E1902="Base"),Dashboard!$R$5,IF(AND($I1902="Base",$E1902="Red"),Dashboard!$R$6,IF(AND($I1902="Base",$E1902="Gold"),Dashboard!$R$7,VLOOKUP($I1902,Dashboard!$Q$16:$R$21,2,FALSE)))))*VLOOKUP($I1902,Dashboard!$Q$9:$R$13,2,FALSE)*IF(AND($I1902="Auto",$F1902="",OR($B1902="Autographs Duals",$B1902="Autographs Triples",$B1902="Autographs Quads",$B1902="Autographs Quads (Inscribed)")),IF($B1902="Autographs Duals",2,IF($B1902="Autographs Triples",3,4)),1)))</f>
        <v>6</v>
      </c>
      <c r="AB1902" s="62">
        <f t="shared" si="388"/>
        <v>6</v>
      </c>
      <c r="AC1902" s="62">
        <f t="shared" si="389"/>
        <v>0</v>
      </c>
    </row>
    <row r="1903" spans="1:29" ht="30" customHeight="1" x14ac:dyDescent="0.25">
      <c r="A1903" s="4" t="s">
        <v>31</v>
      </c>
      <c r="B1903" s="7" t="s">
        <v>124</v>
      </c>
      <c r="C1903" s="2" t="s">
        <v>521</v>
      </c>
      <c r="D1903" s="7" t="s">
        <v>352</v>
      </c>
      <c r="E1903" s="4" t="s">
        <v>60</v>
      </c>
      <c r="F1903" s="2"/>
      <c r="G1903" s="2" t="s">
        <v>1399</v>
      </c>
      <c r="H1903" s="2" t="s">
        <v>1400</v>
      </c>
      <c r="I1903" s="4" t="s">
        <v>62</v>
      </c>
      <c r="J1903" s="112">
        <f>IF($H1903&lt;&gt;"Y",0,ROUND(MIN(Dashboard!$R$24,IF(IFERROR(VLOOKUP($B1903,Dashboard!$Q$28:$S$60,2,FALSE),0)&gt;0,IFERROR(VLOOKUP($B1903,Dashboard!$Q$28:$S$60,2,FALSE),0),$Z1903*IF($U1903&lt;&gt;"",ROUND((Dashboard!$R$4/$U1903)*VLOOKUP($I1903,Dashboard!$Q$9:$R$13,2,FALSE)*IF(ISNUMBER(SEARCH("Duals",$B1903)),2,IF(ISNUMBER(SEARCH("Triples",$B1903)),3,IF(ISNUMBER(SEARCH("Quads",$B1903)),4,1))),2),ROUND(VLOOKUP($I1903,Dashboard!$Q$15:$R$20,2,FALSE)*IF($E1903="Red",Dashboard!$R$6,IF($E1903="Gold",Dashboard!$R$7,Dashboard!$R$5))*IF(ISNUMBER(SEARCH("Duals",$B1903)),2,IF(ISNUMBER(SEARCH("Triples",$B1903)),3,IF(ISNUMBER(SEARCH("Quads",$B1903)),4,1))),2))*IF(IFERROR(VLOOKUP($B1903,Dashboard!$Q$28:$S$60,3,FALSE),0)&gt;0,VLOOKUP($B1903,Dashboard!$Q$28:$S$60,3,FALSE),1))),0))</f>
        <v>2</v>
      </c>
      <c r="K1903" s="2" t="str">
        <f>IF('Inserts - General'!E18="","",'Inserts - General'!E18)</f>
        <v>V</v>
      </c>
      <c r="L1903" s="2">
        <f t="shared" si="377"/>
        <v>1</v>
      </c>
      <c r="M1903" s="2">
        <f t="shared" si="378"/>
        <v>0</v>
      </c>
      <c r="N1903" s="2">
        <f t="shared" si="379"/>
        <v>1</v>
      </c>
      <c r="O1903" s="2">
        <f t="shared" si="380"/>
        <v>0</v>
      </c>
      <c r="P1903" s="112">
        <f t="shared" si="381"/>
        <v>2</v>
      </c>
      <c r="Q1903" s="112">
        <f t="shared" si="382"/>
        <v>0</v>
      </c>
      <c r="R1903" s="53"/>
      <c r="S1903" s="53" t="str">
        <f t="shared" si="383"/>
        <v>Inserts - General|Metal Prints|MP-17|Base</v>
      </c>
      <c r="T1903" s="57">
        <f>IF($S1903="","",IFERROR(VLOOKUP($S1903,'Pop Estimates (Non-#d)'!$N$2:$O$500,2,FALSE),""))</f>
        <v>570</v>
      </c>
      <c r="U1903" s="57">
        <f t="shared" si="384"/>
        <v>570</v>
      </c>
      <c r="V1903" s="53" t="str">
        <f t="shared" si="385"/>
        <v/>
      </c>
      <c r="W1903" s="53" t="str">
        <f t="shared" si="386"/>
        <v/>
      </c>
      <c r="X1903" s="53" t="str">
        <f t="shared" si="387"/>
        <v/>
      </c>
      <c r="Y1903" s="57" t="str">
        <f>IF($X1903="","",IFERROR(VLOOKUP($X1903,'Char Popularity'!$A$2:$C$500,2,FALSE),""))</f>
        <v/>
      </c>
      <c r="Z1903" s="56">
        <f>IF($X1903="",1,IFERROR(VLOOKUP($X1903,'Char Popularity'!$A$2:$C$500,3,FALSE),1))</f>
        <v>1</v>
      </c>
      <c r="AA1903" s="62">
        <f>IF($H1903&lt;&gt;"Y",0,(IF($F1903&lt;&gt;"",ROUND(Dashboard!$R$4/$F1903,1),IF(AND($I1903="Base",$E1903="Base"),Dashboard!$R$5,IF(AND($I1903="Base",$E1903="Red"),Dashboard!$R$6,IF(AND($I1903="Base",$E1903="Gold"),Dashboard!$R$7,VLOOKUP($I1903,Dashboard!$Q$16:$R$21,2,FALSE)))))*VLOOKUP($I1903,Dashboard!$Q$9:$R$13,2,FALSE)*IF(AND($I1903="Auto",$F1903="",OR($B1903="Autographs Duals",$B1903="Autographs Triples",$B1903="Autographs Quads",$B1903="Autographs Quads (Inscribed)")),IF($B1903="Autographs Duals",2,IF($B1903="Autographs Triples",3,4)),1)))</f>
        <v>6</v>
      </c>
      <c r="AB1903" s="62">
        <f t="shared" si="388"/>
        <v>6</v>
      </c>
      <c r="AC1903" s="62">
        <f t="shared" si="389"/>
        <v>0</v>
      </c>
    </row>
    <row r="1904" spans="1:29" ht="30" customHeight="1" x14ac:dyDescent="0.25">
      <c r="A1904" s="4" t="s">
        <v>31</v>
      </c>
      <c r="B1904" s="7" t="s">
        <v>124</v>
      </c>
      <c r="C1904" s="2" t="s">
        <v>522</v>
      </c>
      <c r="D1904" s="7" t="s">
        <v>523</v>
      </c>
      <c r="E1904" s="4" t="s">
        <v>60</v>
      </c>
      <c r="F1904" s="2"/>
      <c r="G1904" s="2" t="s">
        <v>1399</v>
      </c>
      <c r="H1904" s="2" t="s">
        <v>1400</v>
      </c>
      <c r="I1904" s="4" t="s">
        <v>62</v>
      </c>
      <c r="J1904" s="112">
        <f>IF($H1904&lt;&gt;"Y",0,ROUND(MIN(Dashboard!$R$24,IF(IFERROR(VLOOKUP($B1904,Dashboard!$Q$28:$S$60,2,FALSE),0)&gt;0,IFERROR(VLOOKUP($B1904,Dashboard!$Q$28:$S$60,2,FALSE),0),$Z1904*IF($U1904&lt;&gt;"",ROUND((Dashboard!$R$4/$U1904)*VLOOKUP($I1904,Dashboard!$Q$9:$R$13,2,FALSE)*IF(ISNUMBER(SEARCH("Duals",$B1904)),2,IF(ISNUMBER(SEARCH("Triples",$B1904)),3,IF(ISNUMBER(SEARCH("Quads",$B1904)),4,1))),2),ROUND(VLOOKUP($I1904,Dashboard!$Q$15:$R$20,2,FALSE)*IF($E1904="Red",Dashboard!$R$6,IF($E1904="Gold",Dashboard!$R$7,Dashboard!$R$5))*IF(ISNUMBER(SEARCH("Duals",$B1904)),2,IF(ISNUMBER(SEARCH("Triples",$B1904)),3,IF(ISNUMBER(SEARCH("Quads",$B1904)),4,1))),2))*IF(IFERROR(VLOOKUP($B1904,Dashboard!$Q$28:$S$60,3,FALSE),0)&gt;0,VLOOKUP($B1904,Dashboard!$Q$28:$S$60,3,FALSE),1))),0))</f>
        <v>2</v>
      </c>
      <c r="K1904" s="2" t="str">
        <f>IF('Inserts - General'!E19="","",'Inserts - General'!E19)</f>
        <v>V</v>
      </c>
      <c r="L1904" s="2">
        <f t="shared" si="377"/>
        <v>1</v>
      </c>
      <c r="M1904" s="2">
        <f t="shared" si="378"/>
        <v>0</v>
      </c>
      <c r="N1904" s="2">
        <f t="shared" si="379"/>
        <v>1</v>
      </c>
      <c r="O1904" s="2">
        <f t="shared" si="380"/>
        <v>0</v>
      </c>
      <c r="P1904" s="112">
        <f t="shared" si="381"/>
        <v>2</v>
      </c>
      <c r="Q1904" s="112">
        <f t="shared" si="382"/>
        <v>0</v>
      </c>
      <c r="R1904" s="53"/>
      <c r="S1904" s="53" t="str">
        <f t="shared" si="383"/>
        <v>Inserts - General|Metal Prints|MP-18|Base</v>
      </c>
      <c r="T1904" s="57">
        <f>IF($S1904="","",IFERROR(VLOOKUP($S1904,'Pop Estimates (Non-#d)'!$N$2:$O$500,2,FALSE),""))</f>
        <v>570</v>
      </c>
      <c r="U1904" s="57">
        <f t="shared" si="384"/>
        <v>570</v>
      </c>
      <c r="V1904" s="53" t="str">
        <f t="shared" si="385"/>
        <v/>
      </c>
      <c r="W1904" s="53" t="str">
        <f t="shared" si="386"/>
        <v/>
      </c>
      <c r="X1904" s="53" t="str">
        <f t="shared" si="387"/>
        <v/>
      </c>
      <c r="Y1904" s="57" t="str">
        <f>IF($X1904="","",IFERROR(VLOOKUP($X1904,'Char Popularity'!$A$2:$C$500,2,FALSE),""))</f>
        <v/>
      </c>
      <c r="Z1904" s="56">
        <f>IF($X1904="",1,IFERROR(VLOOKUP($X1904,'Char Popularity'!$A$2:$C$500,3,FALSE),1))</f>
        <v>1</v>
      </c>
      <c r="AA1904" s="62">
        <f>IF($H1904&lt;&gt;"Y",0,(IF($F1904&lt;&gt;"",ROUND(Dashboard!$R$4/$F1904,1),IF(AND($I1904="Base",$E1904="Base"),Dashboard!$R$5,IF(AND($I1904="Base",$E1904="Red"),Dashboard!$R$6,IF(AND($I1904="Base",$E1904="Gold"),Dashboard!$R$7,VLOOKUP($I1904,Dashboard!$Q$16:$R$21,2,FALSE)))))*VLOOKUP($I1904,Dashboard!$Q$9:$R$13,2,FALSE)*IF(AND($I1904="Auto",$F1904="",OR($B1904="Autographs Duals",$B1904="Autographs Triples",$B1904="Autographs Quads",$B1904="Autographs Quads (Inscribed)")),IF($B1904="Autographs Duals",2,IF($B1904="Autographs Triples",3,4)),1)))</f>
        <v>6</v>
      </c>
      <c r="AB1904" s="62">
        <f t="shared" si="388"/>
        <v>6</v>
      </c>
      <c r="AC1904" s="62">
        <f t="shared" si="389"/>
        <v>0</v>
      </c>
    </row>
    <row r="1905" spans="1:29" ht="30" customHeight="1" x14ac:dyDescent="0.25">
      <c r="A1905" s="4" t="s">
        <v>31</v>
      </c>
      <c r="B1905" s="7" t="s">
        <v>124</v>
      </c>
      <c r="C1905" s="2" t="s">
        <v>524</v>
      </c>
      <c r="D1905" s="7" t="s">
        <v>525</v>
      </c>
      <c r="E1905" s="4" t="s">
        <v>60</v>
      </c>
      <c r="F1905" s="2"/>
      <c r="G1905" s="2" t="s">
        <v>1399</v>
      </c>
      <c r="H1905" s="2" t="s">
        <v>1400</v>
      </c>
      <c r="I1905" s="4" t="s">
        <v>62</v>
      </c>
      <c r="J1905" s="112">
        <f>IF($H1905&lt;&gt;"Y",0,ROUND(MIN(Dashboard!$R$24,IF(IFERROR(VLOOKUP($B1905,Dashboard!$Q$28:$S$60,2,FALSE),0)&gt;0,IFERROR(VLOOKUP($B1905,Dashboard!$Q$28:$S$60,2,FALSE),0),$Z1905*IF($U1905&lt;&gt;"",ROUND((Dashboard!$R$4/$U1905)*VLOOKUP($I1905,Dashboard!$Q$9:$R$13,2,FALSE)*IF(ISNUMBER(SEARCH("Duals",$B1905)),2,IF(ISNUMBER(SEARCH("Triples",$B1905)),3,IF(ISNUMBER(SEARCH("Quads",$B1905)),4,1))),2),ROUND(VLOOKUP($I1905,Dashboard!$Q$15:$R$20,2,FALSE)*IF($E1905="Red",Dashboard!$R$6,IF($E1905="Gold",Dashboard!$R$7,Dashboard!$R$5))*IF(ISNUMBER(SEARCH("Duals",$B1905)),2,IF(ISNUMBER(SEARCH("Triples",$B1905)),3,IF(ISNUMBER(SEARCH("Quads",$B1905)),4,1))),2))*IF(IFERROR(VLOOKUP($B1905,Dashboard!$Q$28:$S$60,3,FALSE),0)&gt;0,VLOOKUP($B1905,Dashboard!$Q$28:$S$60,3,FALSE),1))),0))</f>
        <v>2</v>
      </c>
      <c r="K1905" s="2" t="str">
        <f>IF('Inserts - General'!E20="","",'Inserts - General'!E20)</f>
        <v>C</v>
      </c>
      <c r="L1905" s="2">
        <f t="shared" si="377"/>
        <v>1</v>
      </c>
      <c r="M1905" s="2">
        <f t="shared" si="378"/>
        <v>0</v>
      </c>
      <c r="N1905" s="2">
        <f t="shared" si="379"/>
        <v>1</v>
      </c>
      <c r="O1905" s="2">
        <f t="shared" si="380"/>
        <v>0</v>
      </c>
      <c r="P1905" s="112">
        <f t="shared" si="381"/>
        <v>2</v>
      </c>
      <c r="Q1905" s="112">
        <f t="shared" si="382"/>
        <v>0</v>
      </c>
      <c r="R1905" s="53"/>
      <c r="S1905" s="53" t="str">
        <f t="shared" si="383"/>
        <v>Inserts - General|Metal Prints|MP-19|Base</v>
      </c>
      <c r="T1905" s="57">
        <f>IF($S1905="","",IFERROR(VLOOKUP($S1905,'Pop Estimates (Non-#d)'!$N$2:$O$500,2,FALSE),""))</f>
        <v>570</v>
      </c>
      <c r="U1905" s="57">
        <f t="shared" si="384"/>
        <v>570</v>
      </c>
      <c r="V1905" s="53" t="str">
        <f t="shared" si="385"/>
        <v/>
      </c>
      <c r="W1905" s="53" t="str">
        <f t="shared" si="386"/>
        <v/>
      </c>
      <c r="X1905" s="53" t="str">
        <f t="shared" si="387"/>
        <v/>
      </c>
      <c r="Y1905" s="57" t="str">
        <f>IF($X1905="","",IFERROR(VLOOKUP($X1905,'Char Popularity'!$A$2:$C$500,2,FALSE),""))</f>
        <v/>
      </c>
      <c r="Z1905" s="56">
        <f>IF($X1905="",1,IFERROR(VLOOKUP($X1905,'Char Popularity'!$A$2:$C$500,3,FALSE),1))</f>
        <v>1</v>
      </c>
      <c r="AA1905" s="62">
        <f>IF($H1905&lt;&gt;"Y",0,(IF($F1905&lt;&gt;"",ROUND(Dashboard!$R$4/$F1905,1),IF(AND($I1905="Base",$E1905="Base"),Dashboard!$R$5,IF(AND($I1905="Base",$E1905="Red"),Dashboard!$R$6,IF(AND($I1905="Base",$E1905="Gold"),Dashboard!$R$7,VLOOKUP($I1905,Dashboard!$Q$16:$R$21,2,FALSE)))))*VLOOKUP($I1905,Dashboard!$Q$9:$R$13,2,FALSE)*IF(AND($I1905="Auto",$F1905="",OR($B1905="Autographs Duals",$B1905="Autographs Triples",$B1905="Autographs Quads",$B1905="Autographs Quads (Inscribed)")),IF($B1905="Autographs Duals",2,IF($B1905="Autographs Triples",3,4)),1)))</f>
        <v>6</v>
      </c>
      <c r="AB1905" s="62">
        <f t="shared" si="388"/>
        <v>6</v>
      </c>
      <c r="AC1905" s="62">
        <f t="shared" si="389"/>
        <v>0</v>
      </c>
    </row>
    <row r="1906" spans="1:29" ht="30" customHeight="1" x14ac:dyDescent="0.25">
      <c r="A1906" s="4" t="s">
        <v>31</v>
      </c>
      <c r="B1906" s="7" t="s">
        <v>124</v>
      </c>
      <c r="C1906" s="2" t="s">
        <v>527</v>
      </c>
      <c r="D1906" s="7" t="s">
        <v>528</v>
      </c>
      <c r="E1906" s="4" t="s">
        <v>60</v>
      </c>
      <c r="F1906" s="2"/>
      <c r="G1906" s="2" t="s">
        <v>1399</v>
      </c>
      <c r="H1906" s="2" t="s">
        <v>1400</v>
      </c>
      <c r="I1906" s="4" t="s">
        <v>62</v>
      </c>
      <c r="J1906" s="112">
        <f>IF($H1906&lt;&gt;"Y",0,ROUND(MIN(Dashboard!$R$24,IF(IFERROR(VLOOKUP($B1906,Dashboard!$Q$28:$S$60,2,FALSE),0)&gt;0,IFERROR(VLOOKUP($B1906,Dashboard!$Q$28:$S$60,2,FALSE),0),$Z1906*IF($U1906&lt;&gt;"",ROUND((Dashboard!$R$4/$U1906)*VLOOKUP($I1906,Dashboard!$Q$9:$R$13,2,FALSE)*IF(ISNUMBER(SEARCH("Duals",$B1906)),2,IF(ISNUMBER(SEARCH("Triples",$B1906)),3,IF(ISNUMBER(SEARCH("Quads",$B1906)),4,1))),2),ROUND(VLOOKUP($I1906,Dashboard!$Q$15:$R$20,2,FALSE)*IF($E1906="Red",Dashboard!$R$6,IF($E1906="Gold",Dashboard!$R$7,Dashboard!$R$5))*IF(ISNUMBER(SEARCH("Duals",$B1906)),2,IF(ISNUMBER(SEARCH("Triples",$B1906)),3,IF(ISNUMBER(SEARCH("Quads",$B1906)),4,1))),2))*IF(IFERROR(VLOOKUP($B1906,Dashboard!$Q$28:$S$60,3,FALSE),0)&gt;0,VLOOKUP($B1906,Dashboard!$Q$28:$S$60,3,FALSE),1))),0))</f>
        <v>2</v>
      </c>
      <c r="K1906" s="2" t="str">
        <f>IF('Inserts - General'!E21="","",'Inserts - General'!E21)</f>
        <v>V</v>
      </c>
      <c r="L1906" s="2">
        <f t="shared" si="377"/>
        <v>1</v>
      </c>
      <c r="M1906" s="2">
        <f t="shared" si="378"/>
        <v>0</v>
      </c>
      <c r="N1906" s="2">
        <f t="shared" si="379"/>
        <v>1</v>
      </c>
      <c r="O1906" s="2">
        <f t="shared" si="380"/>
        <v>0</v>
      </c>
      <c r="P1906" s="112">
        <f t="shared" si="381"/>
        <v>2</v>
      </c>
      <c r="Q1906" s="112">
        <f t="shared" si="382"/>
        <v>0</v>
      </c>
      <c r="R1906" s="53"/>
      <c r="S1906" s="53" t="str">
        <f t="shared" si="383"/>
        <v>Inserts - General|Metal Prints|MP-20|Base</v>
      </c>
      <c r="T1906" s="57">
        <f>IF($S1906="","",IFERROR(VLOOKUP($S1906,'Pop Estimates (Non-#d)'!$N$2:$O$500,2,FALSE),""))</f>
        <v>570</v>
      </c>
      <c r="U1906" s="57">
        <f t="shared" si="384"/>
        <v>570</v>
      </c>
      <c r="V1906" s="53" t="str">
        <f t="shared" si="385"/>
        <v/>
      </c>
      <c r="W1906" s="53" t="str">
        <f t="shared" si="386"/>
        <v/>
      </c>
      <c r="X1906" s="53" t="str">
        <f t="shared" si="387"/>
        <v/>
      </c>
      <c r="Y1906" s="57" t="str">
        <f>IF($X1906="","",IFERROR(VLOOKUP($X1906,'Char Popularity'!$A$2:$C$500,2,FALSE),""))</f>
        <v/>
      </c>
      <c r="Z1906" s="56">
        <f>IF($X1906="",1,IFERROR(VLOOKUP($X1906,'Char Popularity'!$A$2:$C$500,3,FALSE),1))</f>
        <v>1</v>
      </c>
      <c r="AA1906" s="62">
        <f>IF($H1906&lt;&gt;"Y",0,(IF($F1906&lt;&gt;"",ROUND(Dashboard!$R$4/$F1906,1),IF(AND($I1906="Base",$E1906="Base"),Dashboard!$R$5,IF(AND($I1906="Base",$E1906="Red"),Dashboard!$R$6,IF(AND($I1906="Base",$E1906="Gold"),Dashboard!$R$7,VLOOKUP($I1906,Dashboard!$Q$16:$R$21,2,FALSE)))))*VLOOKUP($I1906,Dashboard!$Q$9:$R$13,2,FALSE)*IF(AND($I1906="Auto",$F1906="",OR($B1906="Autographs Duals",$B1906="Autographs Triples",$B1906="Autographs Quads",$B1906="Autographs Quads (Inscribed)")),IF($B1906="Autographs Duals",2,IF($B1906="Autographs Triples",3,4)),1)))</f>
        <v>6</v>
      </c>
      <c r="AB1906" s="62">
        <f t="shared" si="388"/>
        <v>6</v>
      </c>
      <c r="AC1906" s="62">
        <f t="shared" si="389"/>
        <v>0</v>
      </c>
    </row>
    <row r="1907" spans="1:29" ht="30" customHeight="1" x14ac:dyDescent="0.25">
      <c r="A1907" s="4" t="s">
        <v>31</v>
      </c>
      <c r="B1907" s="7" t="s">
        <v>124</v>
      </c>
      <c r="C1907" s="2" t="s">
        <v>529</v>
      </c>
      <c r="D1907" s="7" t="s">
        <v>345</v>
      </c>
      <c r="E1907" s="4" t="s">
        <v>60</v>
      </c>
      <c r="F1907" s="2"/>
      <c r="G1907" s="2" t="s">
        <v>1399</v>
      </c>
      <c r="H1907" s="2" t="s">
        <v>1400</v>
      </c>
      <c r="I1907" s="4" t="s">
        <v>62</v>
      </c>
      <c r="J1907" s="112">
        <f>IF($H1907&lt;&gt;"Y",0,ROUND(MIN(Dashboard!$R$24,IF(IFERROR(VLOOKUP($B1907,Dashboard!$Q$28:$S$60,2,FALSE),0)&gt;0,IFERROR(VLOOKUP($B1907,Dashboard!$Q$28:$S$60,2,FALSE),0),$Z1907*IF($U1907&lt;&gt;"",ROUND((Dashboard!$R$4/$U1907)*VLOOKUP($I1907,Dashboard!$Q$9:$R$13,2,FALSE)*IF(ISNUMBER(SEARCH("Duals",$B1907)),2,IF(ISNUMBER(SEARCH("Triples",$B1907)),3,IF(ISNUMBER(SEARCH("Quads",$B1907)),4,1))),2),ROUND(VLOOKUP($I1907,Dashboard!$Q$15:$R$20,2,FALSE)*IF($E1907="Red",Dashboard!$R$6,IF($E1907="Gold",Dashboard!$R$7,Dashboard!$R$5))*IF(ISNUMBER(SEARCH("Duals",$B1907)),2,IF(ISNUMBER(SEARCH("Triples",$B1907)),3,IF(ISNUMBER(SEARCH("Quads",$B1907)),4,1))),2))*IF(IFERROR(VLOOKUP($B1907,Dashboard!$Q$28:$S$60,3,FALSE),0)&gt;0,VLOOKUP($B1907,Dashboard!$Q$28:$S$60,3,FALSE),1))),0))</f>
        <v>2</v>
      </c>
      <c r="K1907" s="2" t="str">
        <f>IF('Inserts - General'!E22="","",'Inserts - General'!E22)</f>
        <v>C</v>
      </c>
      <c r="L1907" s="2">
        <f t="shared" si="377"/>
        <v>1</v>
      </c>
      <c r="M1907" s="2">
        <f t="shared" si="378"/>
        <v>0</v>
      </c>
      <c r="N1907" s="2">
        <f t="shared" si="379"/>
        <v>1</v>
      </c>
      <c r="O1907" s="2">
        <f t="shared" si="380"/>
        <v>0</v>
      </c>
      <c r="P1907" s="112">
        <f t="shared" si="381"/>
        <v>2</v>
      </c>
      <c r="Q1907" s="112">
        <f t="shared" si="382"/>
        <v>0</v>
      </c>
      <c r="R1907" s="53"/>
      <c r="S1907" s="53" t="str">
        <f t="shared" si="383"/>
        <v>Inserts - General|Metal Prints|MP-21|Base</v>
      </c>
      <c r="T1907" s="57">
        <f>IF($S1907="","",IFERROR(VLOOKUP($S1907,'Pop Estimates (Non-#d)'!$N$2:$O$500,2,FALSE),""))</f>
        <v>570</v>
      </c>
      <c r="U1907" s="57">
        <f t="shared" si="384"/>
        <v>570</v>
      </c>
      <c r="V1907" s="53" t="str">
        <f t="shared" si="385"/>
        <v/>
      </c>
      <c r="W1907" s="53" t="str">
        <f t="shared" si="386"/>
        <v/>
      </c>
      <c r="X1907" s="53" t="str">
        <f t="shared" si="387"/>
        <v/>
      </c>
      <c r="Y1907" s="57" t="str">
        <f>IF($X1907="","",IFERROR(VLOOKUP($X1907,'Char Popularity'!$A$2:$C$500,2,FALSE),""))</f>
        <v/>
      </c>
      <c r="Z1907" s="56">
        <f>IF($X1907="",1,IFERROR(VLOOKUP($X1907,'Char Popularity'!$A$2:$C$500,3,FALSE),1))</f>
        <v>1</v>
      </c>
      <c r="AA1907" s="62">
        <f>IF($H1907&lt;&gt;"Y",0,(IF($F1907&lt;&gt;"",ROUND(Dashboard!$R$4/$F1907,1),IF(AND($I1907="Base",$E1907="Base"),Dashboard!$R$5,IF(AND($I1907="Base",$E1907="Red"),Dashboard!$R$6,IF(AND($I1907="Base",$E1907="Gold"),Dashboard!$R$7,VLOOKUP($I1907,Dashboard!$Q$16:$R$21,2,FALSE)))))*VLOOKUP($I1907,Dashboard!$Q$9:$R$13,2,FALSE)*IF(AND($I1907="Auto",$F1907="",OR($B1907="Autographs Duals",$B1907="Autographs Triples",$B1907="Autographs Quads",$B1907="Autographs Quads (Inscribed)")),IF($B1907="Autographs Duals",2,IF($B1907="Autographs Triples",3,4)),1)))</f>
        <v>6</v>
      </c>
      <c r="AB1907" s="62">
        <f t="shared" si="388"/>
        <v>6</v>
      </c>
      <c r="AC1907" s="62">
        <f t="shared" si="389"/>
        <v>0</v>
      </c>
    </row>
    <row r="1908" spans="1:29" ht="30" customHeight="1" x14ac:dyDescent="0.25">
      <c r="A1908" s="4" t="s">
        <v>31</v>
      </c>
      <c r="B1908" s="7" t="s">
        <v>124</v>
      </c>
      <c r="C1908" s="2" t="s">
        <v>530</v>
      </c>
      <c r="D1908" s="7" t="s">
        <v>531</v>
      </c>
      <c r="E1908" s="4" t="s">
        <v>60</v>
      </c>
      <c r="F1908" s="2"/>
      <c r="G1908" s="2" t="s">
        <v>1399</v>
      </c>
      <c r="H1908" s="2" t="s">
        <v>1400</v>
      </c>
      <c r="I1908" s="4" t="s">
        <v>62</v>
      </c>
      <c r="J1908" s="112">
        <f>IF($H1908&lt;&gt;"Y",0,ROUND(MIN(Dashboard!$R$24,IF(IFERROR(VLOOKUP($B1908,Dashboard!$Q$28:$S$60,2,FALSE),0)&gt;0,IFERROR(VLOOKUP($B1908,Dashboard!$Q$28:$S$60,2,FALSE),0),$Z1908*IF($U1908&lt;&gt;"",ROUND((Dashboard!$R$4/$U1908)*VLOOKUP($I1908,Dashboard!$Q$9:$R$13,2,FALSE)*IF(ISNUMBER(SEARCH("Duals",$B1908)),2,IF(ISNUMBER(SEARCH("Triples",$B1908)),3,IF(ISNUMBER(SEARCH("Quads",$B1908)),4,1))),2),ROUND(VLOOKUP($I1908,Dashboard!$Q$15:$R$20,2,FALSE)*IF($E1908="Red",Dashboard!$R$6,IF($E1908="Gold",Dashboard!$R$7,Dashboard!$R$5))*IF(ISNUMBER(SEARCH("Duals",$B1908)),2,IF(ISNUMBER(SEARCH("Triples",$B1908)),3,IF(ISNUMBER(SEARCH("Quads",$B1908)),4,1))),2))*IF(IFERROR(VLOOKUP($B1908,Dashboard!$Q$28:$S$60,3,FALSE),0)&gt;0,VLOOKUP($B1908,Dashboard!$Q$28:$S$60,3,FALSE),1))),0))</f>
        <v>2</v>
      </c>
      <c r="K1908" s="2" t="str">
        <f>IF('Inserts - General'!E23="","",'Inserts - General'!E23)</f>
        <v>V</v>
      </c>
      <c r="L1908" s="2">
        <f t="shared" si="377"/>
        <v>1</v>
      </c>
      <c r="M1908" s="2">
        <f t="shared" si="378"/>
        <v>0</v>
      </c>
      <c r="N1908" s="2">
        <f t="shared" si="379"/>
        <v>1</v>
      </c>
      <c r="O1908" s="2">
        <f t="shared" si="380"/>
        <v>0</v>
      </c>
      <c r="P1908" s="112">
        <f t="shared" si="381"/>
        <v>2</v>
      </c>
      <c r="Q1908" s="112">
        <f t="shared" si="382"/>
        <v>0</v>
      </c>
      <c r="R1908" s="53"/>
      <c r="S1908" s="53" t="str">
        <f t="shared" si="383"/>
        <v>Inserts - General|Metal Prints|MP-22|Base</v>
      </c>
      <c r="T1908" s="57">
        <f>IF($S1908="","",IFERROR(VLOOKUP($S1908,'Pop Estimates (Non-#d)'!$N$2:$O$500,2,FALSE),""))</f>
        <v>570</v>
      </c>
      <c r="U1908" s="57">
        <f t="shared" si="384"/>
        <v>570</v>
      </c>
      <c r="V1908" s="53" t="str">
        <f t="shared" si="385"/>
        <v/>
      </c>
      <c r="W1908" s="53" t="str">
        <f t="shared" si="386"/>
        <v/>
      </c>
      <c r="X1908" s="53" t="str">
        <f t="shared" si="387"/>
        <v/>
      </c>
      <c r="Y1908" s="57" t="str">
        <f>IF($X1908="","",IFERROR(VLOOKUP($X1908,'Char Popularity'!$A$2:$C$500,2,FALSE),""))</f>
        <v/>
      </c>
      <c r="Z1908" s="56">
        <f>IF($X1908="",1,IFERROR(VLOOKUP($X1908,'Char Popularity'!$A$2:$C$500,3,FALSE),1))</f>
        <v>1</v>
      </c>
      <c r="AA1908" s="62">
        <f>IF($H1908&lt;&gt;"Y",0,(IF($F1908&lt;&gt;"",ROUND(Dashboard!$R$4/$F1908,1),IF(AND($I1908="Base",$E1908="Base"),Dashboard!$R$5,IF(AND($I1908="Base",$E1908="Red"),Dashboard!$R$6,IF(AND($I1908="Base",$E1908="Gold"),Dashboard!$R$7,VLOOKUP($I1908,Dashboard!$Q$16:$R$21,2,FALSE)))))*VLOOKUP($I1908,Dashboard!$Q$9:$R$13,2,FALSE)*IF(AND($I1908="Auto",$F1908="",OR($B1908="Autographs Duals",$B1908="Autographs Triples",$B1908="Autographs Quads",$B1908="Autographs Quads (Inscribed)")),IF($B1908="Autographs Duals",2,IF($B1908="Autographs Triples",3,4)),1)))</f>
        <v>6</v>
      </c>
      <c r="AB1908" s="62">
        <f t="shared" si="388"/>
        <v>6</v>
      </c>
      <c r="AC1908" s="62">
        <f t="shared" si="389"/>
        <v>0</v>
      </c>
    </row>
    <row r="1909" spans="1:29" ht="30" customHeight="1" x14ac:dyDescent="0.25">
      <c r="A1909" s="4" t="s">
        <v>31</v>
      </c>
      <c r="B1909" s="7" t="s">
        <v>124</v>
      </c>
      <c r="C1909" s="2" t="s">
        <v>532</v>
      </c>
      <c r="D1909" s="7" t="s">
        <v>533</v>
      </c>
      <c r="E1909" s="4" t="s">
        <v>60</v>
      </c>
      <c r="F1909" s="2"/>
      <c r="G1909" s="2" t="s">
        <v>1399</v>
      </c>
      <c r="H1909" s="2" t="s">
        <v>1400</v>
      </c>
      <c r="I1909" s="4" t="s">
        <v>62</v>
      </c>
      <c r="J1909" s="112">
        <f>IF($H1909&lt;&gt;"Y",0,ROUND(MIN(Dashboard!$R$24,IF(IFERROR(VLOOKUP($B1909,Dashboard!$Q$28:$S$60,2,FALSE),0)&gt;0,IFERROR(VLOOKUP($B1909,Dashboard!$Q$28:$S$60,2,FALSE),0),$Z1909*IF($U1909&lt;&gt;"",ROUND((Dashboard!$R$4/$U1909)*VLOOKUP($I1909,Dashboard!$Q$9:$R$13,2,FALSE)*IF(ISNUMBER(SEARCH("Duals",$B1909)),2,IF(ISNUMBER(SEARCH("Triples",$B1909)),3,IF(ISNUMBER(SEARCH("Quads",$B1909)),4,1))),2),ROUND(VLOOKUP($I1909,Dashboard!$Q$15:$R$20,2,FALSE)*IF($E1909="Red",Dashboard!$R$6,IF($E1909="Gold",Dashboard!$R$7,Dashboard!$R$5))*IF(ISNUMBER(SEARCH("Duals",$B1909)),2,IF(ISNUMBER(SEARCH("Triples",$B1909)),3,IF(ISNUMBER(SEARCH("Quads",$B1909)),4,1))),2))*IF(IFERROR(VLOOKUP($B1909,Dashboard!$Q$28:$S$60,3,FALSE),0)&gt;0,VLOOKUP($B1909,Dashboard!$Q$28:$S$60,3,FALSE),1))),0))</f>
        <v>2</v>
      </c>
      <c r="K1909" s="2" t="str">
        <f>IF('Inserts - General'!E24="","",'Inserts - General'!E24)</f>
        <v>C</v>
      </c>
      <c r="L1909" s="2">
        <f t="shared" si="377"/>
        <v>1</v>
      </c>
      <c r="M1909" s="2">
        <f t="shared" si="378"/>
        <v>0</v>
      </c>
      <c r="N1909" s="2">
        <f t="shared" si="379"/>
        <v>1</v>
      </c>
      <c r="O1909" s="2">
        <f t="shared" si="380"/>
        <v>0</v>
      </c>
      <c r="P1909" s="112">
        <f t="shared" si="381"/>
        <v>2</v>
      </c>
      <c r="Q1909" s="112">
        <f t="shared" si="382"/>
        <v>0</v>
      </c>
      <c r="R1909" s="53"/>
      <c r="S1909" s="53" t="str">
        <f t="shared" si="383"/>
        <v>Inserts - General|Metal Prints|MP-23|Base</v>
      </c>
      <c r="T1909" s="57">
        <f>IF($S1909="","",IFERROR(VLOOKUP($S1909,'Pop Estimates (Non-#d)'!$N$2:$O$500,2,FALSE),""))</f>
        <v>570</v>
      </c>
      <c r="U1909" s="57">
        <f t="shared" si="384"/>
        <v>570</v>
      </c>
      <c r="V1909" s="53" t="str">
        <f t="shared" si="385"/>
        <v/>
      </c>
      <c r="W1909" s="53" t="str">
        <f t="shared" si="386"/>
        <v/>
      </c>
      <c r="X1909" s="53" t="str">
        <f t="shared" si="387"/>
        <v/>
      </c>
      <c r="Y1909" s="57" t="str">
        <f>IF($X1909="","",IFERROR(VLOOKUP($X1909,'Char Popularity'!$A$2:$C$500,2,FALSE),""))</f>
        <v/>
      </c>
      <c r="Z1909" s="56">
        <f>IF($X1909="",1,IFERROR(VLOOKUP($X1909,'Char Popularity'!$A$2:$C$500,3,FALSE),1))</f>
        <v>1</v>
      </c>
      <c r="AA1909" s="62">
        <f>IF($H1909&lt;&gt;"Y",0,(IF($F1909&lt;&gt;"",ROUND(Dashboard!$R$4/$F1909,1),IF(AND($I1909="Base",$E1909="Base"),Dashboard!$R$5,IF(AND($I1909="Base",$E1909="Red"),Dashboard!$R$6,IF(AND($I1909="Base",$E1909="Gold"),Dashboard!$R$7,VLOOKUP($I1909,Dashboard!$Q$16:$R$21,2,FALSE)))))*VLOOKUP($I1909,Dashboard!$Q$9:$R$13,2,FALSE)*IF(AND($I1909="Auto",$F1909="",OR($B1909="Autographs Duals",$B1909="Autographs Triples",$B1909="Autographs Quads",$B1909="Autographs Quads (Inscribed)")),IF($B1909="Autographs Duals",2,IF($B1909="Autographs Triples",3,4)),1)))</f>
        <v>6</v>
      </c>
      <c r="AB1909" s="62">
        <f t="shared" si="388"/>
        <v>6</v>
      </c>
      <c r="AC1909" s="62">
        <f t="shared" si="389"/>
        <v>0</v>
      </c>
    </row>
    <row r="1910" spans="1:29" ht="30" customHeight="1" x14ac:dyDescent="0.25">
      <c r="A1910" s="4" t="s">
        <v>31</v>
      </c>
      <c r="B1910" s="7" t="s">
        <v>124</v>
      </c>
      <c r="C1910" s="2" t="s">
        <v>534</v>
      </c>
      <c r="D1910" s="7" t="s">
        <v>535</v>
      </c>
      <c r="E1910" s="4" t="s">
        <v>60</v>
      </c>
      <c r="F1910" s="2"/>
      <c r="G1910" s="2" t="s">
        <v>1399</v>
      </c>
      <c r="H1910" s="2" t="s">
        <v>1400</v>
      </c>
      <c r="I1910" s="4" t="s">
        <v>62</v>
      </c>
      <c r="J1910" s="112">
        <f>IF($H1910&lt;&gt;"Y",0,ROUND(MIN(Dashboard!$R$24,IF(IFERROR(VLOOKUP($B1910,Dashboard!$Q$28:$S$60,2,FALSE),0)&gt;0,IFERROR(VLOOKUP($B1910,Dashboard!$Q$28:$S$60,2,FALSE),0),$Z1910*IF($U1910&lt;&gt;"",ROUND((Dashboard!$R$4/$U1910)*VLOOKUP($I1910,Dashboard!$Q$9:$R$13,2,FALSE)*IF(ISNUMBER(SEARCH("Duals",$B1910)),2,IF(ISNUMBER(SEARCH("Triples",$B1910)),3,IF(ISNUMBER(SEARCH("Quads",$B1910)),4,1))),2),ROUND(VLOOKUP($I1910,Dashboard!$Q$15:$R$20,2,FALSE)*IF($E1910="Red",Dashboard!$R$6,IF($E1910="Gold",Dashboard!$R$7,Dashboard!$R$5))*IF(ISNUMBER(SEARCH("Duals",$B1910)),2,IF(ISNUMBER(SEARCH("Triples",$B1910)),3,IF(ISNUMBER(SEARCH("Quads",$B1910)),4,1))),2))*IF(IFERROR(VLOOKUP($B1910,Dashboard!$Q$28:$S$60,3,FALSE),0)&gt;0,VLOOKUP($B1910,Dashboard!$Q$28:$S$60,3,FALSE),1))),0))</f>
        <v>2</v>
      </c>
      <c r="K1910" s="2" t="str">
        <f>IF('Inserts - General'!E25="","",'Inserts - General'!E25)</f>
        <v>C</v>
      </c>
      <c r="L1910" s="2">
        <f t="shared" si="377"/>
        <v>1</v>
      </c>
      <c r="M1910" s="2">
        <f t="shared" si="378"/>
        <v>0</v>
      </c>
      <c r="N1910" s="2">
        <f t="shared" si="379"/>
        <v>1</v>
      </c>
      <c r="O1910" s="2">
        <f t="shared" si="380"/>
        <v>0</v>
      </c>
      <c r="P1910" s="112">
        <f t="shared" si="381"/>
        <v>2</v>
      </c>
      <c r="Q1910" s="112">
        <f t="shared" si="382"/>
        <v>0</v>
      </c>
      <c r="R1910" s="53"/>
      <c r="S1910" s="53" t="str">
        <f t="shared" si="383"/>
        <v>Inserts - General|Metal Prints|MP-24|Base</v>
      </c>
      <c r="T1910" s="57">
        <f>IF($S1910="","",IFERROR(VLOOKUP($S1910,'Pop Estimates (Non-#d)'!$N$2:$O$500,2,FALSE),""))</f>
        <v>570</v>
      </c>
      <c r="U1910" s="57">
        <f t="shared" si="384"/>
        <v>570</v>
      </c>
      <c r="V1910" s="53" t="str">
        <f t="shared" si="385"/>
        <v/>
      </c>
      <c r="W1910" s="53" t="str">
        <f t="shared" si="386"/>
        <v/>
      </c>
      <c r="X1910" s="53" t="str">
        <f t="shared" si="387"/>
        <v/>
      </c>
      <c r="Y1910" s="57" t="str">
        <f>IF($X1910="","",IFERROR(VLOOKUP($X1910,'Char Popularity'!$A$2:$C$500,2,FALSE),""))</f>
        <v/>
      </c>
      <c r="Z1910" s="56">
        <f>IF($X1910="",1,IFERROR(VLOOKUP($X1910,'Char Popularity'!$A$2:$C$500,3,FALSE),1))</f>
        <v>1</v>
      </c>
      <c r="AA1910" s="62">
        <f>IF($H1910&lt;&gt;"Y",0,(IF($F1910&lt;&gt;"",ROUND(Dashboard!$R$4/$F1910,1),IF(AND($I1910="Base",$E1910="Base"),Dashboard!$R$5,IF(AND($I1910="Base",$E1910="Red"),Dashboard!$R$6,IF(AND($I1910="Base",$E1910="Gold"),Dashboard!$R$7,VLOOKUP($I1910,Dashboard!$Q$16:$R$21,2,FALSE)))))*VLOOKUP($I1910,Dashboard!$Q$9:$R$13,2,FALSE)*IF(AND($I1910="Auto",$F1910="",OR($B1910="Autographs Duals",$B1910="Autographs Triples",$B1910="Autographs Quads",$B1910="Autographs Quads (Inscribed)")),IF($B1910="Autographs Duals",2,IF($B1910="Autographs Triples",3,4)),1)))</f>
        <v>6</v>
      </c>
      <c r="AB1910" s="62">
        <f t="shared" si="388"/>
        <v>6</v>
      </c>
      <c r="AC1910" s="62">
        <f t="shared" si="389"/>
        <v>0</v>
      </c>
    </row>
    <row r="1911" spans="1:29" ht="30" customHeight="1" x14ac:dyDescent="0.25">
      <c r="A1911" s="4" t="s">
        <v>31</v>
      </c>
      <c r="B1911" s="7" t="s">
        <v>124</v>
      </c>
      <c r="C1911" s="2" t="s">
        <v>536</v>
      </c>
      <c r="D1911" s="7" t="s">
        <v>537</v>
      </c>
      <c r="E1911" s="4" t="s">
        <v>60</v>
      </c>
      <c r="F1911" s="2"/>
      <c r="G1911" s="2" t="s">
        <v>1399</v>
      </c>
      <c r="H1911" s="2" t="s">
        <v>1400</v>
      </c>
      <c r="I1911" s="4" t="s">
        <v>62</v>
      </c>
      <c r="J1911" s="112">
        <f>IF($H1911&lt;&gt;"Y",0,ROUND(MIN(Dashboard!$R$24,IF(IFERROR(VLOOKUP($B1911,Dashboard!$Q$28:$S$60,2,FALSE),0)&gt;0,IFERROR(VLOOKUP($B1911,Dashboard!$Q$28:$S$60,2,FALSE),0),$Z1911*IF($U1911&lt;&gt;"",ROUND((Dashboard!$R$4/$U1911)*VLOOKUP($I1911,Dashboard!$Q$9:$R$13,2,FALSE)*IF(ISNUMBER(SEARCH("Duals",$B1911)),2,IF(ISNUMBER(SEARCH("Triples",$B1911)),3,IF(ISNUMBER(SEARCH("Quads",$B1911)),4,1))),2),ROUND(VLOOKUP($I1911,Dashboard!$Q$15:$R$20,2,FALSE)*IF($E1911="Red",Dashboard!$R$6,IF($E1911="Gold",Dashboard!$R$7,Dashboard!$R$5))*IF(ISNUMBER(SEARCH("Duals",$B1911)),2,IF(ISNUMBER(SEARCH("Triples",$B1911)),3,IF(ISNUMBER(SEARCH("Quads",$B1911)),4,1))),2))*IF(IFERROR(VLOOKUP($B1911,Dashboard!$Q$28:$S$60,3,FALSE),0)&gt;0,VLOOKUP($B1911,Dashboard!$Q$28:$S$60,3,FALSE),1))),0))</f>
        <v>2</v>
      </c>
      <c r="K1911" s="2" t="str">
        <f>IF('Inserts - General'!E26="","",'Inserts - General'!E26)</f>
        <v>V</v>
      </c>
      <c r="L1911" s="2">
        <f t="shared" si="377"/>
        <v>1</v>
      </c>
      <c r="M1911" s="2">
        <f t="shared" si="378"/>
        <v>0</v>
      </c>
      <c r="N1911" s="2">
        <f t="shared" si="379"/>
        <v>1</v>
      </c>
      <c r="O1911" s="2">
        <f t="shared" si="380"/>
        <v>0</v>
      </c>
      <c r="P1911" s="112">
        <f t="shared" si="381"/>
        <v>2</v>
      </c>
      <c r="Q1911" s="112">
        <f t="shared" si="382"/>
        <v>0</v>
      </c>
      <c r="R1911" s="53"/>
      <c r="S1911" s="53" t="str">
        <f t="shared" si="383"/>
        <v>Inserts - General|Metal Prints|MP-25|Base</v>
      </c>
      <c r="T1911" s="57">
        <f>IF($S1911="","",IFERROR(VLOOKUP($S1911,'Pop Estimates (Non-#d)'!$N$2:$O$500,2,FALSE),""))</f>
        <v>570</v>
      </c>
      <c r="U1911" s="57">
        <f t="shared" si="384"/>
        <v>570</v>
      </c>
      <c r="V1911" s="53" t="str">
        <f t="shared" si="385"/>
        <v/>
      </c>
      <c r="W1911" s="53" t="str">
        <f t="shared" si="386"/>
        <v/>
      </c>
      <c r="X1911" s="53" t="str">
        <f t="shared" si="387"/>
        <v/>
      </c>
      <c r="Y1911" s="57" t="str">
        <f>IF($X1911="","",IFERROR(VLOOKUP($X1911,'Char Popularity'!$A$2:$C$500,2,FALSE),""))</f>
        <v/>
      </c>
      <c r="Z1911" s="56">
        <f>IF($X1911="",1,IFERROR(VLOOKUP($X1911,'Char Popularity'!$A$2:$C$500,3,FALSE),1))</f>
        <v>1</v>
      </c>
      <c r="AA1911" s="62">
        <f>IF($H1911&lt;&gt;"Y",0,(IF($F1911&lt;&gt;"",ROUND(Dashboard!$R$4/$F1911,1),IF(AND($I1911="Base",$E1911="Base"),Dashboard!$R$5,IF(AND($I1911="Base",$E1911="Red"),Dashboard!$R$6,IF(AND($I1911="Base",$E1911="Gold"),Dashboard!$R$7,VLOOKUP($I1911,Dashboard!$Q$16:$R$21,2,FALSE)))))*VLOOKUP($I1911,Dashboard!$Q$9:$R$13,2,FALSE)*IF(AND($I1911="Auto",$F1911="",OR($B1911="Autographs Duals",$B1911="Autographs Triples",$B1911="Autographs Quads",$B1911="Autographs Quads (Inscribed)")),IF($B1911="Autographs Duals",2,IF($B1911="Autographs Triples",3,4)),1)))</f>
        <v>6</v>
      </c>
      <c r="AB1911" s="62">
        <f t="shared" si="388"/>
        <v>6</v>
      </c>
      <c r="AC1911" s="62">
        <f t="shared" si="389"/>
        <v>0</v>
      </c>
    </row>
    <row r="1912" spans="1:29" ht="30" customHeight="1" x14ac:dyDescent="0.25">
      <c r="A1912" s="4" t="s">
        <v>31</v>
      </c>
      <c r="B1912" s="7" t="s">
        <v>124</v>
      </c>
      <c r="C1912" s="2" t="s">
        <v>538</v>
      </c>
      <c r="D1912" s="7" t="s">
        <v>539</v>
      </c>
      <c r="E1912" s="4" t="s">
        <v>60</v>
      </c>
      <c r="F1912" s="2"/>
      <c r="G1912" s="2" t="s">
        <v>1399</v>
      </c>
      <c r="H1912" s="2" t="s">
        <v>1400</v>
      </c>
      <c r="I1912" s="4" t="s">
        <v>62</v>
      </c>
      <c r="J1912" s="112">
        <f>IF($H1912&lt;&gt;"Y",0,ROUND(MIN(Dashboard!$R$24,IF(IFERROR(VLOOKUP($B1912,Dashboard!$Q$28:$S$60,2,FALSE),0)&gt;0,IFERROR(VLOOKUP($B1912,Dashboard!$Q$28:$S$60,2,FALSE),0),$Z1912*IF($U1912&lt;&gt;"",ROUND((Dashboard!$R$4/$U1912)*VLOOKUP($I1912,Dashboard!$Q$9:$R$13,2,FALSE)*IF(ISNUMBER(SEARCH("Duals",$B1912)),2,IF(ISNUMBER(SEARCH("Triples",$B1912)),3,IF(ISNUMBER(SEARCH("Quads",$B1912)),4,1))),2),ROUND(VLOOKUP($I1912,Dashboard!$Q$15:$R$20,2,FALSE)*IF($E1912="Red",Dashboard!$R$6,IF($E1912="Gold",Dashboard!$R$7,Dashboard!$R$5))*IF(ISNUMBER(SEARCH("Duals",$B1912)),2,IF(ISNUMBER(SEARCH("Triples",$B1912)),3,IF(ISNUMBER(SEARCH("Quads",$B1912)),4,1))),2))*IF(IFERROR(VLOOKUP($B1912,Dashboard!$Q$28:$S$60,3,FALSE),0)&gt;0,VLOOKUP($B1912,Dashboard!$Q$28:$S$60,3,FALSE),1))),0))</f>
        <v>2</v>
      </c>
      <c r="K1912" s="2" t="str">
        <f>IF('Inserts - General'!E27="","",'Inserts - General'!E27)</f>
        <v>V</v>
      </c>
      <c r="L1912" s="2">
        <f t="shared" si="377"/>
        <v>1</v>
      </c>
      <c r="M1912" s="2">
        <f t="shared" si="378"/>
        <v>0</v>
      </c>
      <c r="N1912" s="2">
        <f t="shared" si="379"/>
        <v>1</v>
      </c>
      <c r="O1912" s="2">
        <f t="shared" si="380"/>
        <v>0</v>
      </c>
      <c r="P1912" s="112">
        <f t="shared" si="381"/>
        <v>2</v>
      </c>
      <c r="Q1912" s="112">
        <f t="shared" si="382"/>
        <v>0</v>
      </c>
      <c r="R1912" s="53"/>
      <c r="S1912" s="53" t="str">
        <f t="shared" si="383"/>
        <v>Inserts - General|Metal Prints|MP-26|Base</v>
      </c>
      <c r="T1912" s="57">
        <f>IF($S1912="","",IFERROR(VLOOKUP($S1912,'Pop Estimates (Non-#d)'!$N$2:$O$500,2,FALSE),""))</f>
        <v>570</v>
      </c>
      <c r="U1912" s="57">
        <f t="shared" si="384"/>
        <v>570</v>
      </c>
      <c r="V1912" s="53" t="str">
        <f t="shared" si="385"/>
        <v/>
      </c>
      <c r="W1912" s="53" t="str">
        <f t="shared" si="386"/>
        <v/>
      </c>
      <c r="X1912" s="53" t="str">
        <f t="shared" si="387"/>
        <v/>
      </c>
      <c r="Y1912" s="57" t="str">
        <f>IF($X1912="","",IFERROR(VLOOKUP($X1912,'Char Popularity'!$A$2:$C$500,2,FALSE),""))</f>
        <v/>
      </c>
      <c r="Z1912" s="56">
        <f>IF($X1912="",1,IFERROR(VLOOKUP($X1912,'Char Popularity'!$A$2:$C$500,3,FALSE),1))</f>
        <v>1</v>
      </c>
      <c r="AA1912" s="62">
        <f>IF($H1912&lt;&gt;"Y",0,(IF($F1912&lt;&gt;"",ROUND(Dashboard!$R$4/$F1912,1),IF(AND($I1912="Base",$E1912="Base"),Dashboard!$R$5,IF(AND($I1912="Base",$E1912="Red"),Dashboard!$R$6,IF(AND($I1912="Base",$E1912="Gold"),Dashboard!$R$7,VLOOKUP($I1912,Dashboard!$Q$16:$R$21,2,FALSE)))))*VLOOKUP($I1912,Dashboard!$Q$9:$R$13,2,FALSE)*IF(AND($I1912="Auto",$F1912="",OR($B1912="Autographs Duals",$B1912="Autographs Triples",$B1912="Autographs Quads",$B1912="Autographs Quads (Inscribed)")),IF($B1912="Autographs Duals",2,IF($B1912="Autographs Triples",3,4)),1)))</f>
        <v>6</v>
      </c>
      <c r="AB1912" s="62">
        <f t="shared" si="388"/>
        <v>6</v>
      </c>
      <c r="AC1912" s="62">
        <f t="shared" si="389"/>
        <v>0</v>
      </c>
    </row>
    <row r="1913" spans="1:29" ht="30" customHeight="1" x14ac:dyDescent="0.25">
      <c r="A1913" s="4" t="s">
        <v>31</v>
      </c>
      <c r="B1913" s="7" t="s">
        <v>124</v>
      </c>
      <c r="C1913" s="2" t="s">
        <v>540</v>
      </c>
      <c r="D1913" s="7" t="s">
        <v>347</v>
      </c>
      <c r="E1913" s="4" t="s">
        <v>60</v>
      </c>
      <c r="F1913" s="2"/>
      <c r="G1913" s="2" t="s">
        <v>1399</v>
      </c>
      <c r="H1913" s="2" t="s">
        <v>1400</v>
      </c>
      <c r="I1913" s="4" t="s">
        <v>62</v>
      </c>
      <c r="J1913" s="112">
        <f>IF($H1913&lt;&gt;"Y",0,ROUND(MIN(Dashboard!$R$24,IF(IFERROR(VLOOKUP($B1913,Dashboard!$Q$28:$S$60,2,FALSE),0)&gt;0,IFERROR(VLOOKUP($B1913,Dashboard!$Q$28:$S$60,2,FALSE),0),$Z1913*IF($U1913&lt;&gt;"",ROUND((Dashboard!$R$4/$U1913)*VLOOKUP($I1913,Dashboard!$Q$9:$R$13,2,FALSE)*IF(ISNUMBER(SEARCH("Duals",$B1913)),2,IF(ISNUMBER(SEARCH("Triples",$B1913)),3,IF(ISNUMBER(SEARCH("Quads",$B1913)),4,1))),2),ROUND(VLOOKUP($I1913,Dashboard!$Q$15:$R$20,2,FALSE)*IF($E1913="Red",Dashboard!$R$6,IF($E1913="Gold",Dashboard!$R$7,Dashboard!$R$5))*IF(ISNUMBER(SEARCH("Duals",$B1913)),2,IF(ISNUMBER(SEARCH("Triples",$B1913)),3,IF(ISNUMBER(SEARCH("Quads",$B1913)),4,1))),2))*IF(IFERROR(VLOOKUP($B1913,Dashboard!$Q$28:$S$60,3,FALSE),0)&gt;0,VLOOKUP($B1913,Dashboard!$Q$28:$S$60,3,FALSE),1))),0))</f>
        <v>2</v>
      </c>
      <c r="K1913" s="2" t="str">
        <f>IF('Inserts - General'!E28="","",'Inserts - General'!E28)</f>
        <v>V</v>
      </c>
      <c r="L1913" s="2">
        <f t="shared" si="377"/>
        <v>1</v>
      </c>
      <c r="M1913" s="2">
        <f t="shared" si="378"/>
        <v>0</v>
      </c>
      <c r="N1913" s="2">
        <f t="shared" si="379"/>
        <v>1</v>
      </c>
      <c r="O1913" s="2">
        <f t="shared" si="380"/>
        <v>0</v>
      </c>
      <c r="P1913" s="112">
        <f t="shared" si="381"/>
        <v>2</v>
      </c>
      <c r="Q1913" s="112">
        <f t="shared" si="382"/>
        <v>0</v>
      </c>
      <c r="R1913" s="53"/>
      <c r="S1913" s="53" t="str">
        <f t="shared" si="383"/>
        <v>Inserts - General|Metal Prints|MP-27|Base</v>
      </c>
      <c r="T1913" s="57">
        <f>IF($S1913="","",IFERROR(VLOOKUP($S1913,'Pop Estimates (Non-#d)'!$N$2:$O$500,2,FALSE),""))</f>
        <v>570</v>
      </c>
      <c r="U1913" s="57">
        <f t="shared" si="384"/>
        <v>570</v>
      </c>
      <c r="V1913" s="53" t="str">
        <f t="shared" si="385"/>
        <v/>
      </c>
      <c r="W1913" s="53" t="str">
        <f t="shared" si="386"/>
        <v/>
      </c>
      <c r="X1913" s="53" t="str">
        <f t="shared" si="387"/>
        <v/>
      </c>
      <c r="Y1913" s="57" t="str">
        <f>IF($X1913="","",IFERROR(VLOOKUP($X1913,'Char Popularity'!$A$2:$C$500,2,FALSE),""))</f>
        <v/>
      </c>
      <c r="Z1913" s="56">
        <f>IF($X1913="",1,IFERROR(VLOOKUP($X1913,'Char Popularity'!$A$2:$C$500,3,FALSE),1))</f>
        <v>1</v>
      </c>
      <c r="AA1913" s="62">
        <f>IF($H1913&lt;&gt;"Y",0,(IF($F1913&lt;&gt;"",ROUND(Dashboard!$R$4/$F1913,1),IF(AND($I1913="Base",$E1913="Base"),Dashboard!$R$5,IF(AND($I1913="Base",$E1913="Red"),Dashboard!$R$6,IF(AND($I1913="Base",$E1913="Gold"),Dashboard!$R$7,VLOOKUP($I1913,Dashboard!$Q$16:$R$21,2,FALSE)))))*VLOOKUP($I1913,Dashboard!$Q$9:$R$13,2,FALSE)*IF(AND($I1913="Auto",$F1913="",OR($B1913="Autographs Duals",$B1913="Autographs Triples",$B1913="Autographs Quads",$B1913="Autographs Quads (Inscribed)")),IF($B1913="Autographs Duals",2,IF($B1913="Autographs Triples",3,4)),1)))</f>
        <v>6</v>
      </c>
      <c r="AB1913" s="62">
        <f t="shared" si="388"/>
        <v>6</v>
      </c>
      <c r="AC1913" s="62">
        <f t="shared" si="389"/>
        <v>0</v>
      </c>
    </row>
    <row r="1914" spans="1:29" ht="30" customHeight="1" x14ac:dyDescent="0.25">
      <c r="A1914" s="4" t="s">
        <v>31</v>
      </c>
      <c r="B1914" s="7" t="s">
        <v>124</v>
      </c>
      <c r="C1914" s="2" t="s">
        <v>541</v>
      </c>
      <c r="D1914" s="7" t="s">
        <v>542</v>
      </c>
      <c r="E1914" s="4" t="s">
        <v>60</v>
      </c>
      <c r="F1914" s="2"/>
      <c r="G1914" s="2" t="s">
        <v>1399</v>
      </c>
      <c r="H1914" s="2" t="s">
        <v>1400</v>
      </c>
      <c r="I1914" s="4" t="s">
        <v>62</v>
      </c>
      <c r="J1914" s="112">
        <f>IF($H1914&lt;&gt;"Y",0,ROUND(MIN(Dashboard!$R$24,IF(IFERROR(VLOOKUP($B1914,Dashboard!$Q$28:$S$60,2,FALSE),0)&gt;0,IFERROR(VLOOKUP($B1914,Dashboard!$Q$28:$S$60,2,FALSE),0),$Z1914*IF($U1914&lt;&gt;"",ROUND((Dashboard!$R$4/$U1914)*VLOOKUP($I1914,Dashboard!$Q$9:$R$13,2,FALSE)*IF(ISNUMBER(SEARCH("Duals",$B1914)),2,IF(ISNUMBER(SEARCH("Triples",$B1914)),3,IF(ISNUMBER(SEARCH("Quads",$B1914)),4,1))),2),ROUND(VLOOKUP($I1914,Dashboard!$Q$15:$R$20,2,FALSE)*IF($E1914="Red",Dashboard!$R$6,IF($E1914="Gold",Dashboard!$R$7,Dashboard!$R$5))*IF(ISNUMBER(SEARCH("Duals",$B1914)),2,IF(ISNUMBER(SEARCH("Triples",$B1914)),3,IF(ISNUMBER(SEARCH("Quads",$B1914)),4,1))),2))*IF(IFERROR(VLOOKUP($B1914,Dashboard!$Q$28:$S$60,3,FALSE),0)&gt;0,VLOOKUP($B1914,Dashboard!$Q$28:$S$60,3,FALSE),1))),0))</f>
        <v>2</v>
      </c>
      <c r="K1914" s="2" t="str">
        <f>IF('Inserts - General'!E29="","",'Inserts - General'!E29)</f>
        <v>V</v>
      </c>
      <c r="L1914" s="2">
        <f t="shared" si="377"/>
        <v>1</v>
      </c>
      <c r="M1914" s="2">
        <f t="shared" si="378"/>
        <v>0</v>
      </c>
      <c r="N1914" s="2">
        <f t="shared" si="379"/>
        <v>1</v>
      </c>
      <c r="O1914" s="2">
        <f t="shared" si="380"/>
        <v>0</v>
      </c>
      <c r="P1914" s="112">
        <f t="shared" si="381"/>
        <v>2</v>
      </c>
      <c r="Q1914" s="112">
        <f t="shared" si="382"/>
        <v>0</v>
      </c>
      <c r="R1914" s="53"/>
      <c r="S1914" s="53" t="str">
        <f t="shared" si="383"/>
        <v>Inserts - General|Metal Prints|MP-28|Base</v>
      </c>
      <c r="T1914" s="57">
        <f>IF($S1914="","",IFERROR(VLOOKUP($S1914,'Pop Estimates (Non-#d)'!$N$2:$O$500,2,FALSE),""))</f>
        <v>570</v>
      </c>
      <c r="U1914" s="57">
        <f t="shared" si="384"/>
        <v>570</v>
      </c>
      <c r="V1914" s="53" t="str">
        <f t="shared" si="385"/>
        <v/>
      </c>
      <c r="W1914" s="53" t="str">
        <f t="shared" si="386"/>
        <v/>
      </c>
      <c r="X1914" s="53" t="str">
        <f t="shared" si="387"/>
        <v/>
      </c>
      <c r="Y1914" s="57" t="str">
        <f>IF($X1914="","",IFERROR(VLOOKUP($X1914,'Char Popularity'!$A$2:$C$500,2,FALSE),""))</f>
        <v/>
      </c>
      <c r="Z1914" s="56">
        <f>IF($X1914="",1,IFERROR(VLOOKUP($X1914,'Char Popularity'!$A$2:$C$500,3,FALSE),1))</f>
        <v>1</v>
      </c>
      <c r="AA1914" s="62">
        <f>IF($H1914&lt;&gt;"Y",0,(IF($F1914&lt;&gt;"",ROUND(Dashboard!$R$4/$F1914,1),IF(AND($I1914="Base",$E1914="Base"),Dashboard!$R$5,IF(AND($I1914="Base",$E1914="Red"),Dashboard!$R$6,IF(AND($I1914="Base",$E1914="Gold"),Dashboard!$R$7,VLOOKUP($I1914,Dashboard!$Q$16:$R$21,2,FALSE)))))*VLOOKUP($I1914,Dashboard!$Q$9:$R$13,2,FALSE)*IF(AND($I1914="Auto",$F1914="",OR($B1914="Autographs Duals",$B1914="Autographs Triples",$B1914="Autographs Quads",$B1914="Autographs Quads (Inscribed)")),IF($B1914="Autographs Duals",2,IF($B1914="Autographs Triples",3,4)),1)))</f>
        <v>6</v>
      </c>
      <c r="AB1914" s="62">
        <f t="shared" si="388"/>
        <v>6</v>
      </c>
      <c r="AC1914" s="62">
        <f t="shared" si="389"/>
        <v>0</v>
      </c>
    </row>
    <row r="1915" spans="1:29" ht="30" customHeight="1" x14ac:dyDescent="0.25">
      <c r="A1915" s="4" t="s">
        <v>31</v>
      </c>
      <c r="B1915" s="7" t="s">
        <v>124</v>
      </c>
      <c r="C1915" s="2" t="s">
        <v>543</v>
      </c>
      <c r="D1915" s="7" t="s">
        <v>441</v>
      </c>
      <c r="E1915" s="4" t="s">
        <v>60</v>
      </c>
      <c r="F1915" s="2"/>
      <c r="G1915" s="2" t="s">
        <v>1399</v>
      </c>
      <c r="H1915" s="2" t="s">
        <v>1400</v>
      </c>
      <c r="I1915" s="4" t="s">
        <v>62</v>
      </c>
      <c r="J1915" s="112">
        <f>IF($H1915&lt;&gt;"Y",0,ROUND(MIN(Dashboard!$R$24,IF(IFERROR(VLOOKUP($B1915,Dashboard!$Q$28:$S$60,2,FALSE),0)&gt;0,IFERROR(VLOOKUP($B1915,Dashboard!$Q$28:$S$60,2,FALSE),0),$Z1915*IF($U1915&lt;&gt;"",ROUND((Dashboard!$R$4/$U1915)*VLOOKUP($I1915,Dashboard!$Q$9:$R$13,2,FALSE)*IF(ISNUMBER(SEARCH("Duals",$B1915)),2,IF(ISNUMBER(SEARCH("Triples",$B1915)),3,IF(ISNUMBER(SEARCH("Quads",$B1915)),4,1))),2),ROUND(VLOOKUP($I1915,Dashboard!$Q$15:$R$20,2,FALSE)*IF($E1915="Red",Dashboard!$R$6,IF($E1915="Gold",Dashboard!$R$7,Dashboard!$R$5))*IF(ISNUMBER(SEARCH("Duals",$B1915)),2,IF(ISNUMBER(SEARCH("Triples",$B1915)),3,IF(ISNUMBER(SEARCH("Quads",$B1915)),4,1))),2))*IF(IFERROR(VLOOKUP($B1915,Dashboard!$Q$28:$S$60,3,FALSE),0)&gt;0,VLOOKUP($B1915,Dashboard!$Q$28:$S$60,3,FALSE),1))),0))</f>
        <v>2</v>
      </c>
      <c r="K1915" s="2" t="str">
        <f>IF('Inserts - General'!E30="","",'Inserts - General'!E30)</f>
        <v>C</v>
      </c>
      <c r="L1915" s="2">
        <f t="shared" si="377"/>
        <v>1</v>
      </c>
      <c r="M1915" s="2">
        <f t="shared" si="378"/>
        <v>0</v>
      </c>
      <c r="N1915" s="2">
        <f t="shared" si="379"/>
        <v>1</v>
      </c>
      <c r="O1915" s="2">
        <f t="shared" si="380"/>
        <v>0</v>
      </c>
      <c r="P1915" s="112">
        <f t="shared" si="381"/>
        <v>2</v>
      </c>
      <c r="Q1915" s="112">
        <f t="shared" si="382"/>
        <v>0</v>
      </c>
      <c r="R1915" s="53"/>
      <c r="S1915" s="53" t="str">
        <f t="shared" si="383"/>
        <v>Inserts - General|Metal Prints|MP-29|Base</v>
      </c>
      <c r="T1915" s="57">
        <f>IF($S1915="","",IFERROR(VLOOKUP($S1915,'Pop Estimates (Non-#d)'!$N$2:$O$500,2,FALSE),""))</f>
        <v>570</v>
      </c>
      <c r="U1915" s="57">
        <f t="shared" si="384"/>
        <v>570</v>
      </c>
      <c r="V1915" s="53" t="str">
        <f t="shared" si="385"/>
        <v/>
      </c>
      <c r="W1915" s="53" t="str">
        <f t="shared" si="386"/>
        <v/>
      </c>
      <c r="X1915" s="53" t="str">
        <f t="shared" si="387"/>
        <v/>
      </c>
      <c r="Y1915" s="57" t="str">
        <f>IF($X1915="","",IFERROR(VLOOKUP($X1915,'Char Popularity'!$A$2:$C$500,2,FALSE),""))</f>
        <v/>
      </c>
      <c r="Z1915" s="56">
        <f>IF($X1915="",1,IFERROR(VLOOKUP($X1915,'Char Popularity'!$A$2:$C$500,3,FALSE),1))</f>
        <v>1</v>
      </c>
      <c r="AA1915" s="62">
        <f>IF($H1915&lt;&gt;"Y",0,(IF($F1915&lt;&gt;"",ROUND(Dashboard!$R$4/$F1915,1),IF(AND($I1915="Base",$E1915="Base"),Dashboard!$R$5,IF(AND($I1915="Base",$E1915="Red"),Dashboard!$R$6,IF(AND($I1915="Base",$E1915="Gold"),Dashboard!$R$7,VLOOKUP($I1915,Dashboard!$Q$16:$R$21,2,FALSE)))))*VLOOKUP($I1915,Dashboard!$Q$9:$R$13,2,FALSE)*IF(AND($I1915="Auto",$F1915="",OR($B1915="Autographs Duals",$B1915="Autographs Triples",$B1915="Autographs Quads",$B1915="Autographs Quads (Inscribed)")),IF($B1915="Autographs Duals",2,IF($B1915="Autographs Triples",3,4)),1)))</f>
        <v>6</v>
      </c>
      <c r="AB1915" s="62">
        <f t="shared" si="388"/>
        <v>6</v>
      </c>
      <c r="AC1915" s="62">
        <f t="shared" si="389"/>
        <v>0</v>
      </c>
    </row>
    <row r="1916" spans="1:29" ht="30" customHeight="1" x14ac:dyDescent="0.25">
      <c r="A1916" s="4" t="s">
        <v>31</v>
      </c>
      <c r="B1916" s="7" t="s">
        <v>124</v>
      </c>
      <c r="C1916" s="2" t="s">
        <v>545</v>
      </c>
      <c r="D1916" s="7" t="s">
        <v>350</v>
      </c>
      <c r="E1916" s="4" t="s">
        <v>60</v>
      </c>
      <c r="F1916" s="2"/>
      <c r="G1916" s="2" t="s">
        <v>1399</v>
      </c>
      <c r="H1916" s="2" t="s">
        <v>1400</v>
      </c>
      <c r="I1916" s="4" t="s">
        <v>62</v>
      </c>
      <c r="J1916" s="112">
        <f>IF($H1916&lt;&gt;"Y",0,ROUND(MIN(Dashboard!$R$24,IF(IFERROR(VLOOKUP($B1916,Dashboard!$Q$28:$S$60,2,FALSE),0)&gt;0,IFERROR(VLOOKUP($B1916,Dashboard!$Q$28:$S$60,2,FALSE),0),$Z1916*IF($U1916&lt;&gt;"",ROUND((Dashboard!$R$4/$U1916)*VLOOKUP($I1916,Dashboard!$Q$9:$R$13,2,FALSE)*IF(ISNUMBER(SEARCH("Duals",$B1916)),2,IF(ISNUMBER(SEARCH("Triples",$B1916)),3,IF(ISNUMBER(SEARCH("Quads",$B1916)),4,1))),2),ROUND(VLOOKUP($I1916,Dashboard!$Q$15:$R$20,2,FALSE)*IF($E1916="Red",Dashboard!$R$6,IF($E1916="Gold",Dashboard!$R$7,Dashboard!$R$5))*IF(ISNUMBER(SEARCH("Duals",$B1916)),2,IF(ISNUMBER(SEARCH("Triples",$B1916)),3,IF(ISNUMBER(SEARCH("Quads",$B1916)),4,1))),2))*IF(IFERROR(VLOOKUP($B1916,Dashboard!$Q$28:$S$60,3,FALSE),0)&gt;0,VLOOKUP($B1916,Dashboard!$Q$28:$S$60,3,FALSE),1))),0))</f>
        <v>2</v>
      </c>
      <c r="K1916" s="2" t="str">
        <f>IF('Inserts - General'!E31="","",'Inserts - General'!E31)</f>
        <v>V</v>
      </c>
      <c r="L1916" s="2">
        <f t="shared" si="377"/>
        <v>1</v>
      </c>
      <c r="M1916" s="2">
        <f t="shared" si="378"/>
        <v>0</v>
      </c>
      <c r="N1916" s="2">
        <f t="shared" si="379"/>
        <v>1</v>
      </c>
      <c r="O1916" s="2">
        <f t="shared" si="380"/>
        <v>0</v>
      </c>
      <c r="P1916" s="112">
        <f t="shared" si="381"/>
        <v>2</v>
      </c>
      <c r="Q1916" s="112">
        <f t="shared" si="382"/>
        <v>0</v>
      </c>
      <c r="R1916" s="53"/>
      <c r="S1916" s="53" t="str">
        <f t="shared" si="383"/>
        <v>Inserts - General|Metal Prints|MP-30|Base</v>
      </c>
      <c r="T1916" s="57">
        <f>IF($S1916="","",IFERROR(VLOOKUP($S1916,'Pop Estimates (Non-#d)'!$N$2:$O$500,2,FALSE),""))</f>
        <v>570</v>
      </c>
      <c r="U1916" s="57">
        <f t="shared" si="384"/>
        <v>570</v>
      </c>
      <c r="V1916" s="53" t="str">
        <f t="shared" si="385"/>
        <v/>
      </c>
      <c r="W1916" s="53" t="str">
        <f t="shared" si="386"/>
        <v/>
      </c>
      <c r="X1916" s="53" t="str">
        <f t="shared" si="387"/>
        <v/>
      </c>
      <c r="Y1916" s="57" t="str">
        <f>IF($X1916="","",IFERROR(VLOOKUP($X1916,'Char Popularity'!$A$2:$C$500,2,FALSE),""))</f>
        <v/>
      </c>
      <c r="Z1916" s="56">
        <f>IF($X1916="",1,IFERROR(VLOOKUP($X1916,'Char Popularity'!$A$2:$C$500,3,FALSE),1))</f>
        <v>1</v>
      </c>
      <c r="AA1916" s="62">
        <f>IF($H1916&lt;&gt;"Y",0,(IF($F1916&lt;&gt;"",ROUND(Dashboard!$R$4/$F1916,1),IF(AND($I1916="Base",$E1916="Base"),Dashboard!$R$5,IF(AND($I1916="Base",$E1916="Red"),Dashboard!$R$6,IF(AND($I1916="Base",$E1916="Gold"),Dashboard!$R$7,VLOOKUP($I1916,Dashboard!$Q$16:$R$21,2,FALSE)))))*VLOOKUP($I1916,Dashboard!$Q$9:$R$13,2,FALSE)*IF(AND($I1916="Auto",$F1916="",OR($B1916="Autographs Duals",$B1916="Autographs Triples",$B1916="Autographs Quads",$B1916="Autographs Quads (Inscribed)")),IF($B1916="Autographs Duals",2,IF($B1916="Autographs Triples",3,4)),1)))</f>
        <v>6</v>
      </c>
      <c r="AB1916" s="62">
        <f t="shared" si="388"/>
        <v>6</v>
      </c>
      <c r="AC1916" s="62">
        <f t="shared" si="389"/>
        <v>0</v>
      </c>
    </row>
    <row r="1917" spans="1:29" ht="30" customHeight="1" x14ac:dyDescent="0.25">
      <c r="A1917" s="4" t="s">
        <v>31</v>
      </c>
      <c r="B1917" s="7" t="s">
        <v>86</v>
      </c>
      <c r="C1917" s="2" t="s">
        <v>383</v>
      </c>
      <c r="D1917" s="7" t="s">
        <v>384</v>
      </c>
      <c r="E1917" s="4" t="s">
        <v>60</v>
      </c>
      <c r="F1917" s="2"/>
      <c r="G1917" s="2" t="s">
        <v>1399</v>
      </c>
      <c r="H1917" s="2" t="s">
        <v>1400</v>
      </c>
      <c r="I1917" s="4" t="s">
        <v>62</v>
      </c>
      <c r="J1917" s="112">
        <f>IF($H1917&lt;&gt;"Y",0,ROUND(MIN(Dashboard!$R$24,IF(IFERROR(VLOOKUP($B1917,Dashboard!$Q$28:$S$60,2,FALSE),0)&gt;0,IFERROR(VLOOKUP($B1917,Dashboard!$Q$28:$S$60,2,FALSE),0),$Z1917*IF($U1917&lt;&gt;"",ROUND((Dashboard!$R$4/$U1917)*VLOOKUP($I1917,Dashboard!$Q$9:$R$13,2,FALSE)*IF(ISNUMBER(SEARCH("Duals",$B1917)),2,IF(ISNUMBER(SEARCH("Triples",$B1917)),3,IF(ISNUMBER(SEARCH("Quads",$B1917)),4,1))),2),ROUND(VLOOKUP($I1917,Dashboard!$Q$15:$R$20,2,FALSE)*IF($E1917="Red",Dashboard!$R$6,IF($E1917="Gold",Dashboard!$R$7,Dashboard!$R$5))*IF(ISNUMBER(SEARCH("Duals",$B1917)),2,IF(ISNUMBER(SEARCH("Triples",$B1917)),3,IF(ISNUMBER(SEARCH("Quads",$B1917)),4,1))),2))*IF(IFERROR(VLOOKUP($B1917,Dashboard!$Q$28:$S$60,3,FALSE),0)&gt;0,VLOOKUP($B1917,Dashboard!$Q$28:$S$60,3,FALSE),1))),0))</f>
        <v>60</v>
      </c>
      <c r="K1917" s="2" t="str">
        <f>IF('Inserts - General'!E32="","",'Inserts - General'!E32)</f>
        <v>C</v>
      </c>
      <c r="L1917" s="2">
        <f t="shared" si="377"/>
        <v>1</v>
      </c>
      <c r="M1917" s="2">
        <f t="shared" si="378"/>
        <v>0</v>
      </c>
      <c r="N1917" s="2">
        <f t="shared" si="379"/>
        <v>1</v>
      </c>
      <c r="O1917" s="2">
        <f t="shared" si="380"/>
        <v>0</v>
      </c>
      <c r="P1917" s="112">
        <f t="shared" si="381"/>
        <v>60</v>
      </c>
      <c r="Q1917" s="112">
        <f t="shared" si="382"/>
        <v>0</v>
      </c>
      <c r="R1917" s="53"/>
      <c r="S1917" s="53" t="str">
        <f t="shared" si="383"/>
        <v>Inserts - General|Most Wanted|MW-1|Base</v>
      </c>
      <c r="T1917" s="57">
        <f>IF($S1917="","",IFERROR(VLOOKUP($S1917,'Pop Estimates (Non-#d)'!$N$2:$O$500,2,FALSE),""))</f>
        <v>228</v>
      </c>
      <c r="U1917" s="57">
        <f t="shared" si="384"/>
        <v>228</v>
      </c>
      <c r="V1917" s="53" t="str">
        <f t="shared" si="385"/>
        <v/>
      </c>
      <c r="W1917" s="53" t="str">
        <f t="shared" si="386"/>
        <v/>
      </c>
      <c r="X1917" s="53" t="str">
        <f t="shared" si="387"/>
        <v/>
      </c>
      <c r="Y1917" s="57" t="str">
        <f>IF($X1917="","",IFERROR(VLOOKUP($X1917,'Char Popularity'!$A$2:$C$500,2,FALSE),""))</f>
        <v/>
      </c>
      <c r="Z1917" s="56">
        <f>IF($X1917="",1,IFERROR(VLOOKUP($X1917,'Char Popularity'!$A$2:$C$500,3,FALSE),1))</f>
        <v>1</v>
      </c>
      <c r="AA1917" s="62">
        <f>IF($H1917&lt;&gt;"Y",0,(IF($F1917&lt;&gt;"",ROUND(Dashboard!$R$4/$F1917,1),IF(AND($I1917="Base",$E1917="Base"),Dashboard!$R$5,IF(AND($I1917="Base",$E1917="Red"),Dashboard!$R$6,IF(AND($I1917="Base",$E1917="Gold"),Dashboard!$R$7,VLOOKUP($I1917,Dashboard!$Q$16:$R$21,2,FALSE)))))*VLOOKUP($I1917,Dashboard!$Q$9:$R$13,2,FALSE)*IF(AND($I1917="Auto",$F1917="",OR($B1917="Autographs Duals",$B1917="Autographs Triples",$B1917="Autographs Quads",$B1917="Autographs Quads (Inscribed)")),IF($B1917="Autographs Duals",2,IF($B1917="Autographs Triples",3,4)),1)))</f>
        <v>6</v>
      </c>
      <c r="AB1917" s="62">
        <f t="shared" si="388"/>
        <v>6</v>
      </c>
      <c r="AC1917" s="62">
        <f t="shared" si="389"/>
        <v>0</v>
      </c>
    </row>
    <row r="1918" spans="1:29" ht="30" customHeight="1" x14ac:dyDescent="0.25">
      <c r="A1918" s="4" t="s">
        <v>31</v>
      </c>
      <c r="B1918" s="7" t="s">
        <v>86</v>
      </c>
      <c r="C1918" s="2" t="s">
        <v>385</v>
      </c>
      <c r="D1918" s="7" t="s">
        <v>347</v>
      </c>
      <c r="E1918" s="4" t="s">
        <v>60</v>
      </c>
      <c r="F1918" s="2"/>
      <c r="G1918" s="2" t="s">
        <v>1399</v>
      </c>
      <c r="H1918" s="2" t="s">
        <v>1400</v>
      </c>
      <c r="I1918" s="4" t="s">
        <v>62</v>
      </c>
      <c r="J1918" s="112">
        <f>IF($H1918&lt;&gt;"Y",0,ROUND(MIN(Dashboard!$R$24,IF(IFERROR(VLOOKUP($B1918,Dashboard!$Q$28:$S$60,2,FALSE),0)&gt;0,IFERROR(VLOOKUP($B1918,Dashboard!$Q$28:$S$60,2,FALSE),0),$Z1918*IF($U1918&lt;&gt;"",ROUND((Dashboard!$R$4/$U1918)*VLOOKUP($I1918,Dashboard!$Q$9:$R$13,2,FALSE)*IF(ISNUMBER(SEARCH("Duals",$B1918)),2,IF(ISNUMBER(SEARCH("Triples",$B1918)),3,IF(ISNUMBER(SEARCH("Quads",$B1918)),4,1))),2),ROUND(VLOOKUP($I1918,Dashboard!$Q$15:$R$20,2,FALSE)*IF($E1918="Red",Dashboard!$R$6,IF($E1918="Gold",Dashboard!$R$7,Dashboard!$R$5))*IF(ISNUMBER(SEARCH("Duals",$B1918)),2,IF(ISNUMBER(SEARCH("Triples",$B1918)),3,IF(ISNUMBER(SEARCH("Quads",$B1918)),4,1))),2))*IF(IFERROR(VLOOKUP($B1918,Dashboard!$Q$28:$S$60,3,FALSE),0)&gt;0,VLOOKUP($B1918,Dashboard!$Q$28:$S$60,3,FALSE),1))),0))</f>
        <v>60</v>
      </c>
      <c r="K1918" s="2" t="str">
        <f>IF('Inserts - General'!E33="","",'Inserts - General'!E33)</f>
        <v>V</v>
      </c>
      <c r="L1918" s="2">
        <f t="shared" si="377"/>
        <v>1</v>
      </c>
      <c r="M1918" s="2">
        <f t="shared" si="378"/>
        <v>0</v>
      </c>
      <c r="N1918" s="2">
        <f t="shared" si="379"/>
        <v>1</v>
      </c>
      <c r="O1918" s="2">
        <f t="shared" si="380"/>
        <v>0</v>
      </c>
      <c r="P1918" s="112">
        <f t="shared" si="381"/>
        <v>60</v>
      </c>
      <c r="Q1918" s="112">
        <f t="shared" si="382"/>
        <v>0</v>
      </c>
      <c r="R1918" s="53"/>
      <c r="S1918" s="53" t="str">
        <f t="shared" si="383"/>
        <v>Inserts - General|Most Wanted|MW-2|Base</v>
      </c>
      <c r="T1918" s="57">
        <f>IF($S1918="","",IFERROR(VLOOKUP($S1918,'Pop Estimates (Non-#d)'!$N$2:$O$500,2,FALSE),""))</f>
        <v>228</v>
      </c>
      <c r="U1918" s="57">
        <f t="shared" si="384"/>
        <v>228</v>
      </c>
      <c r="V1918" s="53" t="str">
        <f t="shared" si="385"/>
        <v/>
      </c>
      <c r="W1918" s="53" t="str">
        <f t="shared" si="386"/>
        <v/>
      </c>
      <c r="X1918" s="53" t="str">
        <f t="shared" si="387"/>
        <v/>
      </c>
      <c r="Y1918" s="57" t="str">
        <f>IF($X1918="","",IFERROR(VLOOKUP($X1918,'Char Popularity'!$A$2:$C$500,2,FALSE),""))</f>
        <v/>
      </c>
      <c r="Z1918" s="56">
        <f>IF($X1918="",1,IFERROR(VLOOKUP($X1918,'Char Popularity'!$A$2:$C$500,3,FALSE),1))</f>
        <v>1</v>
      </c>
      <c r="AA1918" s="62">
        <f>IF($H1918&lt;&gt;"Y",0,(IF($F1918&lt;&gt;"",ROUND(Dashboard!$R$4/$F1918,1),IF(AND($I1918="Base",$E1918="Base"),Dashboard!$R$5,IF(AND($I1918="Base",$E1918="Red"),Dashboard!$R$6,IF(AND($I1918="Base",$E1918="Gold"),Dashboard!$R$7,VLOOKUP($I1918,Dashboard!$Q$16:$R$21,2,FALSE)))))*VLOOKUP($I1918,Dashboard!$Q$9:$R$13,2,FALSE)*IF(AND($I1918="Auto",$F1918="",OR($B1918="Autographs Duals",$B1918="Autographs Triples",$B1918="Autographs Quads",$B1918="Autographs Quads (Inscribed)")),IF($B1918="Autographs Duals",2,IF($B1918="Autographs Triples",3,4)),1)))</f>
        <v>6</v>
      </c>
      <c r="AB1918" s="62">
        <f t="shared" si="388"/>
        <v>6</v>
      </c>
      <c r="AC1918" s="62">
        <f t="shared" si="389"/>
        <v>0</v>
      </c>
    </row>
    <row r="1919" spans="1:29" ht="30" customHeight="1" x14ac:dyDescent="0.25">
      <c r="A1919" s="4" t="s">
        <v>31</v>
      </c>
      <c r="B1919" s="7" t="s">
        <v>86</v>
      </c>
      <c r="C1919" s="2" t="s">
        <v>386</v>
      </c>
      <c r="D1919" s="7" t="s">
        <v>387</v>
      </c>
      <c r="E1919" s="4" t="s">
        <v>60</v>
      </c>
      <c r="F1919" s="2"/>
      <c r="G1919" s="2" t="s">
        <v>1399</v>
      </c>
      <c r="H1919" s="2" t="s">
        <v>1400</v>
      </c>
      <c r="I1919" s="4" t="s">
        <v>62</v>
      </c>
      <c r="J1919" s="112">
        <f>IF($H1919&lt;&gt;"Y",0,ROUND(MIN(Dashboard!$R$24,IF(IFERROR(VLOOKUP($B1919,Dashboard!$Q$28:$S$60,2,FALSE),0)&gt;0,IFERROR(VLOOKUP($B1919,Dashboard!$Q$28:$S$60,2,FALSE),0),$Z1919*IF($U1919&lt;&gt;"",ROUND((Dashboard!$R$4/$U1919)*VLOOKUP($I1919,Dashboard!$Q$9:$R$13,2,FALSE)*IF(ISNUMBER(SEARCH("Duals",$B1919)),2,IF(ISNUMBER(SEARCH("Triples",$B1919)),3,IF(ISNUMBER(SEARCH("Quads",$B1919)),4,1))),2),ROUND(VLOOKUP($I1919,Dashboard!$Q$15:$R$20,2,FALSE)*IF($E1919="Red",Dashboard!$R$6,IF($E1919="Gold",Dashboard!$R$7,Dashboard!$R$5))*IF(ISNUMBER(SEARCH("Duals",$B1919)),2,IF(ISNUMBER(SEARCH("Triples",$B1919)),3,IF(ISNUMBER(SEARCH("Quads",$B1919)),4,1))),2))*IF(IFERROR(VLOOKUP($B1919,Dashboard!$Q$28:$S$60,3,FALSE),0)&gt;0,VLOOKUP($B1919,Dashboard!$Q$28:$S$60,3,FALSE),1))),0))</f>
        <v>60</v>
      </c>
      <c r="K1919" s="2" t="str">
        <f>IF('Inserts - General'!E34="","",'Inserts - General'!E34)</f>
        <v>C</v>
      </c>
      <c r="L1919" s="2">
        <f t="shared" si="377"/>
        <v>1</v>
      </c>
      <c r="M1919" s="2">
        <f t="shared" si="378"/>
        <v>0</v>
      </c>
      <c r="N1919" s="2">
        <f t="shared" si="379"/>
        <v>1</v>
      </c>
      <c r="O1919" s="2">
        <f t="shared" si="380"/>
        <v>0</v>
      </c>
      <c r="P1919" s="112">
        <f t="shared" si="381"/>
        <v>60</v>
      </c>
      <c r="Q1919" s="112">
        <f t="shared" si="382"/>
        <v>0</v>
      </c>
      <c r="R1919" s="53"/>
      <c r="S1919" s="53" t="str">
        <f t="shared" si="383"/>
        <v>Inserts - General|Most Wanted|MW-3|Base</v>
      </c>
      <c r="T1919" s="57">
        <f>IF($S1919="","",IFERROR(VLOOKUP($S1919,'Pop Estimates (Non-#d)'!$N$2:$O$500,2,FALSE),""))</f>
        <v>228</v>
      </c>
      <c r="U1919" s="57">
        <f t="shared" si="384"/>
        <v>228</v>
      </c>
      <c r="V1919" s="53" t="str">
        <f t="shared" si="385"/>
        <v/>
      </c>
      <c r="W1919" s="53" t="str">
        <f t="shared" si="386"/>
        <v/>
      </c>
      <c r="X1919" s="53" t="str">
        <f t="shared" si="387"/>
        <v/>
      </c>
      <c r="Y1919" s="57" t="str">
        <f>IF($X1919="","",IFERROR(VLOOKUP($X1919,'Char Popularity'!$A$2:$C$500,2,FALSE),""))</f>
        <v/>
      </c>
      <c r="Z1919" s="56">
        <f>IF($X1919="",1,IFERROR(VLOOKUP($X1919,'Char Popularity'!$A$2:$C$500,3,FALSE),1))</f>
        <v>1</v>
      </c>
      <c r="AA1919" s="62">
        <f>IF($H1919&lt;&gt;"Y",0,(IF($F1919&lt;&gt;"",ROUND(Dashboard!$R$4/$F1919,1),IF(AND($I1919="Base",$E1919="Base"),Dashboard!$R$5,IF(AND($I1919="Base",$E1919="Red"),Dashboard!$R$6,IF(AND($I1919="Base",$E1919="Gold"),Dashboard!$R$7,VLOOKUP($I1919,Dashboard!$Q$16:$R$21,2,FALSE)))))*VLOOKUP($I1919,Dashboard!$Q$9:$R$13,2,FALSE)*IF(AND($I1919="Auto",$F1919="",OR($B1919="Autographs Duals",$B1919="Autographs Triples",$B1919="Autographs Quads",$B1919="Autographs Quads (Inscribed)")),IF($B1919="Autographs Duals",2,IF($B1919="Autographs Triples",3,4)),1)))</f>
        <v>6</v>
      </c>
      <c r="AB1919" s="62">
        <f t="shared" si="388"/>
        <v>6</v>
      </c>
      <c r="AC1919" s="62">
        <f t="shared" si="389"/>
        <v>0</v>
      </c>
    </row>
    <row r="1920" spans="1:29" ht="30" customHeight="1" x14ac:dyDescent="0.25">
      <c r="A1920" s="4" t="s">
        <v>31</v>
      </c>
      <c r="B1920" s="7" t="s">
        <v>86</v>
      </c>
      <c r="C1920" s="2" t="s">
        <v>388</v>
      </c>
      <c r="D1920" s="7" t="s">
        <v>389</v>
      </c>
      <c r="E1920" s="4" t="s">
        <v>60</v>
      </c>
      <c r="F1920" s="2"/>
      <c r="G1920" s="2" t="s">
        <v>1399</v>
      </c>
      <c r="H1920" s="2" t="s">
        <v>1400</v>
      </c>
      <c r="I1920" s="4" t="s">
        <v>62</v>
      </c>
      <c r="J1920" s="112">
        <f>IF($H1920&lt;&gt;"Y",0,ROUND(MIN(Dashboard!$R$24,IF(IFERROR(VLOOKUP($B1920,Dashboard!$Q$28:$S$60,2,FALSE),0)&gt;0,IFERROR(VLOOKUP($B1920,Dashboard!$Q$28:$S$60,2,FALSE),0),$Z1920*IF($U1920&lt;&gt;"",ROUND((Dashboard!$R$4/$U1920)*VLOOKUP($I1920,Dashboard!$Q$9:$R$13,2,FALSE)*IF(ISNUMBER(SEARCH("Duals",$B1920)),2,IF(ISNUMBER(SEARCH("Triples",$B1920)),3,IF(ISNUMBER(SEARCH("Quads",$B1920)),4,1))),2),ROUND(VLOOKUP($I1920,Dashboard!$Q$15:$R$20,2,FALSE)*IF($E1920="Red",Dashboard!$R$6,IF($E1920="Gold",Dashboard!$R$7,Dashboard!$R$5))*IF(ISNUMBER(SEARCH("Duals",$B1920)),2,IF(ISNUMBER(SEARCH("Triples",$B1920)),3,IF(ISNUMBER(SEARCH("Quads",$B1920)),4,1))),2))*IF(IFERROR(VLOOKUP($B1920,Dashboard!$Q$28:$S$60,3,FALSE),0)&gt;0,VLOOKUP($B1920,Dashboard!$Q$28:$S$60,3,FALSE),1))),0))</f>
        <v>60</v>
      </c>
      <c r="K1920" s="2" t="str">
        <f>IF('Inserts - General'!E35="","",'Inserts - General'!E35)</f>
        <v>C</v>
      </c>
      <c r="L1920" s="2">
        <f t="shared" si="377"/>
        <v>1</v>
      </c>
      <c r="M1920" s="2">
        <f t="shared" si="378"/>
        <v>0</v>
      </c>
      <c r="N1920" s="2">
        <f t="shared" si="379"/>
        <v>1</v>
      </c>
      <c r="O1920" s="2">
        <f t="shared" si="380"/>
        <v>0</v>
      </c>
      <c r="P1920" s="112">
        <f t="shared" si="381"/>
        <v>60</v>
      </c>
      <c r="Q1920" s="112">
        <f t="shared" si="382"/>
        <v>0</v>
      </c>
      <c r="R1920" s="53"/>
      <c r="S1920" s="53" t="str">
        <f t="shared" si="383"/>
        <v>Inserts - General|Most Wanted|MW-4|Base</v>
      </c>
      <c r="T1920" s="57">
        <f>IF($S1920="","",IFERROR(VLOOKUP($S1920,'Pop Estimates (Non-#d)'!$N$2:$O$500,2,FALSE),""))</f>
        <v>228</v>
      </c>
      <c r="U1920" s="57">
        <f t="shared" si="384"/>
        <v>228</v>
      </c>
      <c r="V1920" s="53" t="str">
        <f t="shared" si="385"/>
        <v/>
      </c>
      <c r="W1920" s="53" t="str">
        <f t="shared" si="386"/>
        <v/>
      </c>
      <c r="X1920" s="53" t="str">
        <f t="shared" si="387"/>
        <v/>
      </c>
      <c r="Y1920" s="57" t="str">
        <f>IF($X1920="","",IFERROR(VLOOKUP($X1920,'Char Popularity'!$A$2:$C$500,2,FALSE),""))</f>
        <v/>
      </c>
      <c r="Z1920" s="56">
        <f>IF($X1920="",1,IFERROR(VLOOKUP($X1920,'Char Popularity'!$A$2:$C$500,3,FALSE),1))</f>
        <v>1</v>
      </c>
      <c r="AA1920" s="62">
        <f>IF($H1920&lt;&gt;"Y",0,(IF($F1920&lt;&gt;"",ROUND(Dashboard!$R$4/$F1920,1),IF(AND($I1920="Base",$E1920="Base"),Dashboard!$R$5,IF(AND($I1920="Base",$E1920="Red"),Dashboard!$R$6,IF(AND($I1920="Base",$E1920="Gold"),Dashboard!$R$7,VLOOKUP($I1920,Dashboard!$Q$16:$R$21,2,FALSE)))))*VLOOKUP($I1920,Dashboard!$Q$9:$R$13,2,FALSE)*IF(AND($I1920="Auto",$F1920="",OR($B1920="Autographs Duals",$B1920="Autographs Triples",$B1920="Autographs Quads",$B1920="Autographs Quads (Inscribed)")),IF($B1920="Autographs Duals",2,IF($B1920="Autographs Triples",3,4)),1)))</f>
        <v>6</v>
      </c>
      <c r="AB1920" s="62">
        <f t="shared" si="388"/>
        <v>6</v>
      </c>
      <c r="AC1920" s="62">
        <f t="shared" si="389"/>
        <v>0</v>
      </c>
    </row>
    <row r="1921" spans="1:29" ht="30" customHeight="1" x14ac:dyDescent="0.25">
      <c r="A1921" s="4" t="s">
        <v>31</v>
      </c>
      <c r="B1921" s="7" t="s">
        <v>86</v>
      </c>
      <c r="C1921" s="2" t="s">
        <v>390</v>
      </c>
      <c r="D1921" s="7" t="s">
        <v>391</v>
      </c>
      <c r="E1921" s="4" t="s">
        <v>60</v>
      </c>
      <c r="F1921" s="2"/>
      <c r="G1921" s="2" t="s">
        <v>1399</v>
      </c>
      <c r="H1921" s="2" t="s">
        <v>1400</v>
      </c>
      <c r="I1921" s="4" t="s">
        <v>62</v>
      </c>
      <c r="J1921" s="112">
        <f>IF($H1921&lt;&gt;"Y",0,ROUND(MIN(Dashboard!$R$24,IF(IFERROR(VLOOKUP($B1921,Dashboard!$Q$28:$S$60,2,FALSE),0)&gt;0,IFERROR(VLOOKUP($B1921,Dashboard!$Q$28:$S$60,2,FALSE),0),$Z1921*IF($U1921&lt;&gt;"",ROUND((Dashboard!$R$4/$U1921)*VLOOKUP($I1921,Dashboard!$Q$9:$R$13,2,FALSE)*IF(ISNUMBER(SEARCH("Duals",$B1921)),2,IF(ISNUMBER(SEARCH("Triples",$B1921)),3,IF(ISNUMBER(SEARCH("Quads",$B1921)),4,1))),2),ROUND(VLOOKUP($I1921,Dashboard!$Q$15:$R$20,2,FALSE)*IF($E1921="Red",Dashboard!$R$6,IF($E1921="Gold",Dashboard!$R$7,Dashboard!$R$5))*IF(ISNUMBER(SEARCH("Duals",$B1921)),2,IF(ISNUMBER(SEARCH("Triples",$B1921)),3,IF(ISNUMBER(SEARCH("Quads",$B1921)),4,1))),2))*IF(IFERROR(VLOOKUP($B1921,Dashboard!$Q$28:$S$60,3,FALSE),0)&gt;0,VLOOKUP($B1921,Dashboard!$Q$28:$S$60,3,FALSE),1))),0))</f>
        <v>60</v>
      </c>
      <c r="K1921" s="2" t="str">
        <f>IF('Inserts - General'!E36="","",'Inserts - General'!E36)</f>
        <v>V</v>
      </c>
      <c r="L1921" s="2">
        <f t="shared" si="377"/>
        <v>1</v>
      </c>
      <c r="M1921" s="2">
        <f t="shared" si="378"/>
        <v>0</v>
      </c>
      <c r="N1921" s="2">
        <f t="shared" si="379"/>
        <v>1</v>
      </c>
      <c r="O1921" s="2">
        <f t="shared" si="380"/>
        <v>0</v>
      </c>
      <c r="P1921" s="112">
        <f t="shared" si="381"/>
        <v>60</v>
      </c>
      <c r="Q1921" s="112">
        <f t="shared" si="382"/>
        <v>0</v>
      </c>
      <c r="R1921" s="53"/>
      <c r="S1921" s="53" t="str">
        <f t="shared" si="383"/>
        <v>Inserts - General|Most Wanted|MW-5|Base</v>
      </c>
      <c r="T1921" s="57">
        <f>IF($S1921="","",IFERROR(VLOOKUP($S1921,'Pop Estimates (Non-#d)'!$N$2:$O$500,2,FALSE),""))</f>
        <v>228</v>
      </c>
      <c r="U1921" s="57">
        <f t="shared" si="384"/>
        <v>228</v>
      </c>
      <c r="V1921" s="53" t="str">
        <f t="shared" si="385"/>
        <v/>
      </c>
      <c r="W1921" s="53" t="str">
        <f t="shared" si="386"/>
        <v/>
      </c>
      <c r="X1921" s="53" t="str">
        <f t="shared" si="387"/>
        <v/>
      </c>
      <c r="Y1921" s="57" t="str">
        <f>IF($X1921="","",IFERROR(VLOOKUP($X1921,'Char Popularity'!$A$2:$C$500,2,FALSE),""))</f>
        <v/>
      </c>
      <c r="Z1921" s="56">
        <f>IF($X1921="",1,IFERROR(VLOOKUP($X1921,'Char Popularity'!$A$2:$C$500,3,FALSE),1))</f>
        <v>1</v>
      </c>
      <c r="AA1921" s="62">
        <f>IF($H1921&lt;&gt;"Y",0,(IF($F1921&lt;&gt;"",ROUND(Dashboard!$R$4/$F1921,1),IF(AND($I1921="Base",$E1921="Base"),Dashboard!$R$5,IF(AND($I1921="Base",$E1921="Red"),Dashboard!$R$6,IF(AND($I1921="Base",$E1921="Gold"),Dashboard!$R$7,VLOOKUP($I1921,Dashboard!$Q$16:$R$21,2,FALSE)))))*VLOOKUP($I1921,Dashboard!$Q$9:$R$13,2,FALSE)*IF(AND($I1921="Auto",$F1921="",OR($B1921="Autographs Duals",$B1921="Autographs Triples",$B1921="Autographs Quads",$B1921="Autographs Quads (Inscribed)")),IF($B1921="Autographs Duals",2,IF($B1921="Autographs Triples",3,4)),1)))</f>
        <v>6</v>
      </c>
      <c r="AB1921" s="62">
        <f t="shared" si="388"/>
        <v>6</v>
      </c>
      <c r="AC1921" s="62">
        <f t="shared" si="389"/>
        <v>0</v>
      </c>
    </row>
    <row r="1922" spans="1:29" x14ac:dyDescent="0.25">
      <c r="A1922" s="4" t="s">
        <v>29</v>
      </c>
      <c r="B1922" s="7" t="s">
        <v>29</v>
      </c>
      <c r="C1922" s="2" t="s">
        <v>439</v>
      </c>
      <c r="D1922" s="7" t="s">
        <v>391</v>
      </c>
      <c r="E1922" s="4" t="s">
        <v>60</v>
      </c>
      <c r="F1922" s="2"/>
      <c r="G1922" s="2" t="s">
        <v>1399</v>
      </c>
      <c r="H1922" s="2" t="s">
        <v>1400</v>
      </c>
      <c r="I1922" s="4" t="s">
        <v>62</v>
      </c>
      <c r="J1922" s="112">
        <f>IF($H1922&lt;&gt;"Y",0,ROUND(MIN(Dashboard!$R$24,IF(IFERROR(VLOOKUP($B1922,Dashboard!$Q$28:$S$60,2,FALSE),0)&gt;0,IFERROR(VLOOKUP($B1922,Dashboard!$Q$28:$S$60,2,FALSE),0),$Z1922*IF($U1922&lt;&gt;"",ROUND((Dashboard!$R$4/$U1922)*VLOOKUP($I1922,Dashboard!$Q$9:$R$13,2,FALSE)*IF(ISNUMBER(SEARCH("Duals",$B1922)),2,IF(ISNUMBER(SEARCH("Triples",$B1922)),3,IF(ISNUMBER(SEARCH("Quads",$B1922)),4,1))),2),ROUND(VLOOKUP($I1922,Dashboard!$Q$15:$R$20,2,FALSE)*IF($E1922="Red",Dashboard!$R$6,IF($E1922="Gold",Dashboard!$R$7,Dashboard!$R$5))*IF(ISNUMBER(SEARCH("Duals",$B1922)),2,IF(ISNUMBER(SEARCH("Triples",$B1922)),3,IF(ISNUMBER(SEARCH("Quads",$B1922)),4,1))),2))*IF(IFERROR(VLOOKUP($B1922,Dashboard!$Q$28:$S$60,3,FALSE),0)&gt;0,VLOOKUP($B1922,Dashboard!$Q$28:$S$60,3,FALSE),1))),0))</f>
        <v>3</v>
      </c>
      <c r="K1922" s="2" t="str">
        <f>IF(Retro!C2="","",Retro!C2)</f>
        <v>V</v>
      </c>
      <c r="L1922" s="2">
        <f t="shared" ref="L1922:L1985" si="390">IF(AND($K1922&lt;&gt;"",LEFT($K1922,1)&lt;&gt;"Y"),1,0)</f>
        <v>1</v>
      </c>
      <c r="M1922" s="2">
        <f t="shared" ref="M1922:M1985" si="391">IF(LEFT($K1922,1)="Y",1,0)</f>
        <v>0</v>
      </c>
      <c r="N1922" s="2">
        <f t="shared" ref="N1922:N1985" si="392">$L1922+$M1922</f>
        <v>1</v>
      </c>
      <c r="O1922" s="2">
        <f t="shared" ref="O1922:O1985" si="393">IF($H1922="Y",1-$N1922,0)</f>
        <v>0</v>
      </c>
      <c r="P1922" s="112">
        <f t="shared" ref="P1922:P1985" si="394">IF($L1922=1,$J1922,0)</f>
        <v>3</v>
      </c>
      <c r="Q1922" s="112">
        <f t="shared" ref="Q1922:Q1985" si="395">IF($M1922=1,$J1922,0)</f>
        <v>0</v>
      </c>
      <c r="R1922" s="53"/>
      <c r="S1922" s="53" t="str">
        <f t="shared" ref="S1922:S1985" si="396">IF($A1922="","",$A1922&amp;"|"&amp;$B1922&amp;"|"&amp;$C1922&amp;"|"&amp;$E1922)</f>
        <v>Retro|Retro|R-1|Base</v>
      </c>
      <c r="T1922" s="57">
        <f>IF($S1922="","",IFERROR(VLOOKUP($S1922,'Pop Estimates (Non-#d)'!$N$2:$O$500,2,FALSE),""))</f>
        <v>380</v>
      </c>
      <c r="U1922" s="57">
        <f t="shared" ref="U1922:U1985" si="397">IF($A1922="","",IF($F1922&lt;&gt;"",$F1922,$T1922))</f>
        <v>380</v>
      </c>
      <c r="V1922" s="53" t="str">
        <f t="shared" ref="V1922:V1985" si="398">IF($A1922="","",IF(ISNUMBER(SEARCH(" as ",$D1922)),MID($D1922,SEARCH(" as ",$D1922)+4,255),IF(ISNUMBER(SEARCH("/",$D1922)),LEFT($D1922,FIND("/",$D1922&amp;"/")-1),"")))</f>
        <v/>
      </c>
      <c r="W1922" s="53" t="str">
        <f t="shared" ref="W1922:W1985" si="399">IF($V1922="","",TRIM(IFERROR(MID($V1922,SEARCH("(", $V1922)+1,SEARCH(")",$V1922)-SEARCH("(", $V1922)-1),$V1922)))</f>
        <v/>
      </c>
      <c r="X1922" s="53" t="str">
        <f t="shared" ref="X1922:X1985" si="400">IF($W1922="","",TRIM(LEFT($W1922&amp;"""",FIND("""",$W1922&amp;"""")-1)))</f>
        <v/>
      </c>
      <c r="Y1922" s="57" t="str">
        <f>IF($X1922="","",IFERROR(VLOOKUP($X1922,'Char Popularity'!$A$2:$C$500,2,FALSE),""))</f>
        <v/>
      </c>
      <c r="Z1922" s="56">
        <f>IF($X1922="",1,IFERROR(VLOOKUP($X1922,'Char Popularity'!$A$2:$C$500,3,FALSE),1))</f>
        <v>1</v>
      </c>
      <c r="AA1922" s="62">
        <f>IF($H1922&lt;&gt;"Y",0,(IF($F1922&lt;&gt;"",ROUND(Dashboard!$R$4/$F1922,1),IF(AND($I1922="Base",$E1922="Base"),Dashboard!$R$5,IF(AND($I1922="Base",$E1922="Red"),Dashboard!$R$6,IF(AND($I1922="Base",$E1922="Gold"),Dashboard!$R$7,VLOOKUP($I1922,Dashboard!$Q$16:$R$21,2,FALSE)))))*VLOOKUP($I1922,Dashboard!$Q$9:$R$13,2,FALSE)*IF(AND($I1922="Auto",$F1922="",OR($B1922="Autographs Duals",$B1922="Autographs Triples",$B1922="Autographs Quads",$B1922="Autographs Quads (Inscribed)")),IF($B1922="Autographs Duals",2,IF($B1922="Autographs Triples",3,4)),1)))</f>
        <v>6</v>
      </c>
      <c r="AB1922" s="62">
        <f t="shared" ref="AB1922:AB1985" si="401">IF($L1922=1,$AA1922,0)</f>
        <v>6</v>
      </c>
      <c r="AC1922" s="62">
        <f t="shared" ref="AC1922:AC1985" si="402">IF($M1922=1,$AA1922,0)</f>
        <v>0</v>
      </c>
    </row>
    <row r="1923" spans="1:29" x14ac:dyDescent="0.25">
      <c r="A1923" s="4" t="s">
        <v>29</v>
      </c>
      <c r="B1923" s="7" t="s">
        <v>29</v>
      </c>
      <c r="C1923" s="2" t="s">
        <v>449</v>
      </c>
      <c r="D1923" s="7" t="s">
        <v>341</v>
      </c>
      <c r="E1923" s="4" t="s">
        <v>60</v>
      </c>
      <c r="F1923" s="2"/>
      <c r="G1923" s="2" t="s">
        <v>1399</v>
      </c>
      <c r="H1923" s="2" t="s">
        <v>1400</v>
      </c>
      <c r="I1923" s="4" t="s">
        <v>62</v>
      </c>
      <c r="J1923" s="112">
        <f>IF($H1923&lt;&gt;"Y",0,ROUND(MIN(Dashboard!$R$24,IF(IFERROR(VLOOKUP($B1923,Dashboard!$Q$28:$S$60,2,FALSE),0)&gt;0,IFERROR(VLOOKUP($B1923,Dashboard!$Q$28:$S$60,2,FALSE),0),$Z1923*IF($U1923&lt;&gt;"",ROUND((Dashboard!$R$4/$U1923)*VLOOKUP($I1923,Dashboard!$Q$9:$R$13,2,FALSE)*IF(ISNUMBER(SEARCH("Duals",$B1923)),2,IF(ISNUMBER(SEARCH("Triples",$B1923)),3,IF(ISNUMBER(SEARCH("Quads",$B1923)),4,1))),2),ROUND(VLOOKUP($I1923,Dashboard!$Q$15:$R$20,2,FALSE)*IF($E1923="Red",Dashboard!$R$6,IF($E1923="Gold",Dashboard!$R$7,Dashboard!$R$5))*IF(ISNUMBER(SEARCH("Duals",$B1923)),2,IF(ISNUMBER(SEARCH("Triples",$B1923)),3,IF(ISNUMBER(SEARCH("Quads",$B1923)),4,1))),2))*IF(IFERROR(VLOOKUP($B1923,Dashboard!$Q$28:$S$60,3,FALSE),0)&gt;0,VLOOKUP($B1923,Dashboard!$Q$28:$S$60,3,FALSE),1))),0))</f>
        <v>3</v>
      </c>
      <c r="K1923" s="2" t="str">
        <f>IF(Retro!C3="","",Retro!C3)</f>
        <v>C</v>
      </c>
      <c r="L1923" s="2">
        <f t="shared" si="390"/>
        <v>1</v>
      </c>
      <c r="M1923" s="2">
        <f t="shared" si="391"/>
        <v>0</v>
      </c>
      <c r="N1923" s="2">
        <f t="shared" si="392"/>
        <v>1</v>
      </c>
      <c r="O1923" s="2">
        <f t="shared" si="393"/>
        <v>0</v>
      </c>
      <c r="P1923" s="112">
        <f t="shared" si="394"/>
        <v>3</v>
      </c>
      <c r="Q1923" s="112">
        <f t="shared" si="395"/>
        <v>0</v>
      </c>
      <c r="R1923" s="53"/>
      <c r="S1923" s="53" t="str">
        <f t="shared" si="396"/>
        <v>Retro|Retro|R-2|Base</v>
      </c>
      <c r="T1923" s="57">
        <f>IF($S1923="","",IFERROR(VLOOKUP($S1923,'Pop Estimates (Non-#d)'!$N$2:$O$500,2,FALSE),""))</f>
        <v>380</v>
      </c>
      <c r="U1923" s="57">
        <f t="shared" si="397"/>
        <v>380</v>
      </c>
      <c r="V1923" s="53" t="str">
        <f t="shared" si="398"/>
        <v/>
      </c>
      <c r="W1923" s="53" t="str">
        <f t="shared" si="399"/>
        <v/>
      </c>
      <c r="X1923" s="53" t="str">
        <f t="shared" si="400"/>
        <v/>
      </c>
      <c r="Y1923" s="57" t="str">
        <f>IF($X1923="","",IFERROR(VLOOKUP($X1923,'Char Popularity'!$A$2:$C$500,2,FALSE),""))</f>
        <v/>
      </c>
      <c r="Z1923" s="56">
        <f>IF($X1923="",1,IFERROR(VLOOKUP($X1923,'Char Popularity'!$A$2:$C$500,3,FALSE),1))</f>
        <v>1</v>
      </c>
      <c r="AA1923" s="62">
        <f>IF($H1923&lt;&gt;"Y",0,(IF($F1923&lt;&gt;"",ROUND(Dashboard!$R$4/$F1923,1),IF(AND($I1923="Base",$E1923="Base"),Dashboard!$R$5,IF(AND($I1923="Base",$E1923="Red"),Dashboard!$R$6,IF(AND($I1923="Base",$E1923="Gold"),Dashboard!$R$7,VLOOKUP($I1923,Dashboard!$Q$16:$R$21,2,FALSE)))))*VLOOKUP($I1923,Dashboard!$Q$9:$R$13,2,FALSE)*IF(AND($I1923="Auto",$F1923="",OR($B1923="Autographs Duals",$B1923="Autographs Triples",$B1923="Autographs Quads",$B1923="Autographs Quads (Inscribed)")),IF($B1923="Autographs Duals",2,IF($B1923="Autographs Triples",3,4)),1)))</f>
        <v>6</v>
      </c>
      <c r="AB1923" s="62">
        <f t="shared" si="401"/>
        <v>6</v>
      </c>
      <c r="AC1923" s="62">
        <f t="shared" si="402"/>
        <v>0</v>
      </c>
    </row>
    <row r="1924" spans="1:29" x14ac:dyDescent="0.25">
      <c r="A1924" s="4" t="s">
        <v>29</v>
      </c>
      <c r="B1924" s="7" t="s">
        <v>29</v>
      </c>
      <c r="C1924" s="2" t="s">
        <v>450</v>
      </c>
      <c r="D1924" s="7" t="s">
        <v>384</v>
      </c>
      <c r="E1924" s="4" t="s">
        <v>60</v>
      </c>
      <c r="F1924" s="2"/>
      <c r="G1924" s="2" t="s">
        <v>1399</v>
      </c>
      <c r="H1924" s="2" t="s">
        <v>1400</v>
      </c>
      <c r="I1924" s="4" t="s">
        <v>62</v>
      </c>
      <c r="J1924" s="112">
        <f>IF($H1924&lt;&gt;"Y",0,ROUND(MIN(Dashboard!$R$24,IF(IFERROR(VLOOKUP($B1924,Dashboard!$Q$28:$S$60,2,FALSE),0)&gt;0,IFERROR(VLOOKUP($B1924,Dashboard!$Q$28:$S$60,2,FALSE),0),$Z1924*IF($U1924&lt;&gt;"",ROUND((Dashboard!$R$4/$U1924)*VLOOKUP($I1924,Dashboard!$Q$9:$R$13,2,FALSE)*IF(ISNUMBER(SEARCH("Duals",$B1924)),2,IF(ISNUMBER(SEARCH("Triples",$B1924)),3,IF(ISNUMBER(SEARCH("Quads",$B1924)),4,1))),2),ROUND(VLOOKUP($I1924,Dashboard!$Q$15:$R$20,2,FALSE)*IF($E1924="Red",Dashboard!$R$6,IF($E1924="Gold",Dashboard!$R$7,Dashboard!$R$5))*IF(ISNUMBER(SEARCH("Duals",$B1924)),2,IF(ISNUMBER(SEARCH("Triples",$B1924)),3,IF(ISNUMBER(SEARCH("Quads",$B1924)),4,1))),2))*IF(IFERROR(VLOOKUP($B1924,Dashboard!$Q$28:$S$60,3,FALSE),0)&gt;0,VLOOKUP($B1924,Dashboard!$Q$28:$S$60,3,FALSE),1))),0))</f>
        <v>3</v>
      </c>
      <c r="K1924" s="2" t="str">
        <f>IF(Retro!C4="","",Retro!C4)</f>
        <v>C</v>
      </c>
      <c r="L1924" s="2">
        <f t="shared" si="390"/>
        <v>1</v>
      </c>
      <c r="M1924" s="2">
        <f t="shared" si="391"/>
        <v>0</v>
      </c>
      <c r="N1924" s="2">
        <f t="shared" si="392"/>
        <v>1</v>
      </c>
      <c r="O1924" s="2">
        <f t="shared" si="393"/>
        <v>0</v>
      </c>
      <c r="P1924" s="112">
        <f t="shared" si="394"/>
        <v>3</v>
      </c>
      <c r="Q1924" s="112">
        <f t="shared" si="395"/>
        <v>0</v>
      </c>
      <c r="R1924" s="53"/>
      <c r="S1924" s="53" t="str">
        <f t="shared" si="396"/>
        <v>Retro|Retro|R-3|Base</v>
      </c>
      <c r="T1924" s="57">
        <f>IF($S1924="","",IFERROR(VLOOKUP($S1924,'Pop Estimates (Non-#d)'!$N$2:$O$500,2,FALSE),""))</f>
        <v>380</v>
      </c>
      <c r="U1924" s="57">
        <f t="shared" si="397"/>
        <v>380</v>
      </c>
      <c r="V1924" s="53" t="str">
        <f t="shared" si="398"/>
        <v/>
      </c>
      <c r="W1924" s="53" t="str">
        <f t="shared" si="399"/>
        <v/>
      </c>
      <c r="X1924" s="53" t="str">
        <f t="shared" si="400"/>
        <v/>
      </c>
      <c r="Y1924" s="57" t="str">
        <f>IF($X1924="","",IFERROR(VLOOKUP($X1924,'Char Popularity'!$A$2:$C$500,2,FALSE),""))</f>
        <v/>
      </c>
      <c r="Z1924" s="56">
        <f>IF($X1924="",1,IFERROR(VLOOKUP($X1924,'Char Popularity'!$A$2:$C$500,3,FALSE),1))</f>
        <v>1</v>
      </c>
      <c r="AA1924" s="62">
        <f>IF($H1924&lt;&gt;"Y",0,(IF($F1924&lt;&gt;"",ROUND(Dashboard!$R$4/$F1924,1),IF(AND($I1924="Base",$E1924="Base"),Dashboard!$R$5,IF(AND($I1924="Base",$E1924="Red"),Dashboard!$R$6,IF(AND($I1924="Base",$E1924="Gold"),Dashboard!$R$7,VLOOKUP($I1924,Dashboard!$Q$16:$R$21,2,FALSE)))))*VLOOKUP($I1924,Dashboard!$Q$9:$R$13,2,FALSE)*IF(AND($I1924="Auto",$F1924="",OR($B1924="Autographs Duals",$B1924="Autographs Triples",$B1924="Autographs Quads",$B1924="Autographs Quads (Inscribed)")),IF($B1924="Autographs Duals",2,IF($B1924="Autographs Triples",3,4)),1)))</f>
        <v>6</v>
      </c>
      <c r="AB1924" s="62">
        <f t="shared" si="401"/>
        <v>6</v>
      </c>
      <c r="AC1924" s="62">
        <f t="shared" si="402"/>
        <v>0</v>
      </c>
    </row>
    <row r="1925" spans="1:29" x14ac:dyDescent="0.25">
      <c r="A1925" s="4" t="s">
        <v>29</v>
      </c>
      <c r="B1925" s="7" t="s">
        <v>29</v>
      </c>
      <c r="C1925" s="2" t="s">
        <v>451</v>
      </c>
      <c r="D1925" s="7" t="s">
        <v>343</v>
      </c>
      <c r="E1925" s="4" t="s">
        <v>60</v>
      </c>
      <c r="F1925" s="2"/>
      <c r="G1925" s="2" t="s">
        <v>1399</v>
      </c>
      <c r="H1925" s="2" t="s">
        <v>1400</v>
      </c>
      <c r="I1925" s="4" t="s">
        <v>62</v>
      </c>
      <c r="J1925" s="112">
        <f>IF($H1925&lt;&gt;"Y",0,ROUND(MIN(Dashboard!$R$24,IF(IFERROR(VLOOKUP($B1925,Dashboard!$Q$28:$S$60,2,FALSE),0)&gt;0,IFERROR(VLOOKUP($B1925,Dashboard!$Q$28:$S$60,2,FALSE),0),$Z1925*IF($U1925&lt;&gt;"",ROUND((Dashboard!$R$4/$U1925)*VLOOKUP($I1925,Dashboard!$Q$9:$R$13,2,FALSE)*IF(ISNUMBER(SEARCH("Duals",$B1925)),2,IF(ISNUMBER(SEARCH("Triples",$B1925)),3,IF(ISNUMBER(SEARCH("Quads",$B1925)),4,1))),2),ROUND(VLOOKUP($I1925,Dashboard!$Q$15:$R$20,2,FALSE)*IF($E1925="Red",Dashboard!$R$6,IF($E1925="Gold",Dashboard!$R$7,Dashboard!$R$5))*IF(ISNUMBER(SEARCH("Duals",$B1925)),2,IF(ISNUMBER(SEARCH("Triples",$B1925)),3,IF(ISNUMBER(SEARCH("Quads",$B1925)),4,1))),2))*IF(IFERROR(VLOOKUP($B1925,Dashboard!$Q$28:$S$60,3,FALSE),0)&gt;0,VLOOKUP($B1925,Dashboard!$Q$28:$S$60,3,FALSE),1))),0))</f>
        <v>3</v>
      </c>
      <c r="K1925" s="2" t="str">
        <f>IF(Retro!C5="","",Retro!C5)</f>
        <v>V</v>
      </c>
      <c r="L1925" s="2">
        <f t="shared" si="390"/>
        <v>1</v>
      </c>
      <c r="M1925" s="2">
        <f t="shared" si="391"/>
        <v>0</v>
      </c>
      <c r="N1925" s="2">
        <f t="shared" si="392"/>
        <v>1</v>
      </c>
      <c r="O1925" s="2">
        <f t="shared" si="393"/>
        <v>0</v>
      </c>
      <c r="P1925" s="112">
        <f t="shared" si="394"/>
        <v>3</v>
      </c>
      <c r="Q1925" s="112">
        <f t="shared" si="395"/>
        <v>0</v>
      </c>
      <c r="R1925" s="53"/>
      <c r="S1925" s="53" t="str">
        <f t="shared" si="396"/>
        <v>Retro|Retro|R-4|Base</v>
      </c>
      <c r="T1925" s="57">
        <f>IF($S1925="","",IFERROR(VLOOKUP($S1925,'Pop Estimates (Non-#d)'!$N$2:$O$500,2,FALSE),""))</f>
        <v>380</v>
      </c>
      <c r="U1925" s="57">
        <f t="shared" si="397"/>
        <v>380</v>
      </c>
      <c r="V1925" s="53" t="str">
        <f t="shared" si="398"/>
        <v/>
      </c>
      <c r="W1925" s="53" t="str">
        <f t="shared" si="399"/>
        <v/>
      </c>
      <c r="X1925" s="53" t="str">
        <f t="shared" si="400"/>
        <v/>
      </c>
      <c r="Y1925" s="57" t="str">
        <f>IF($X1925="","",IFERROR(VLOOKUP($X1925,'Char Popularity'!$A$2:$C$500,2,FALSE),""))</f>
        <v/>
      </c>
      <c r="Z1925" s="56">
        <f>IF($X1925="",1,IFERROR(VLOOKUP($X1925,'Char Popularity'!$A$2:$C$500,3,FALSE),1))</f>
        <v>1</v>
      </c>
      <c r="AA1925" s="62">
        <f>IF($H1925&lt;&gt;"Y",0,(IF($F1925&lt;&gt;"",ROUND(Dashboard!$R$4/$F1925,1),IF(AND($I1925="Base",$E1925="Base"),Dashboard!$R$5,IF(AND($I1925="Base",$E1925="Red"),Dashboard!$R$6,IF(AND($I1925="Base",$E1925="Gold"),Dashboard!$R$7,VLOOKUP($I1925,Dashboard!$Q$16:$R$21,2,FALSE)))))*VLOOKUP($I1925,Dashboard!$Q$9:$R$13,2,FALSE)*IF(AND($I1925="Auto",$F1925="",OR($B1925="Autographs Duals",$B1925="Autographs Triples",$B1925="Autographs Quads",$B1925="Autographs Quads (Inscribed)")),IF($B1925="Autographs Duals",2,IF($B1925="Autographs Triples",3,4)),1)))</f>
        <v>6</v>
      </c>
      <c r="AB1925" s="62">
        <f t="shared" si="401"/>
        <v>6</v>
      </c>
      <c r="AC1925" s="62">
        <f t="shared" si="402"/>
        <v>0</v>
      </c>
    </row>
    <row r="1926" spans="1:29" x14ac:dyDescent="0.25">
      <c r="A1926" s="4" t="s">
        <v>29</v>
      </c>
      <c r="B1926" s="7" t="s">
        <v>29</v>
      </c>
      <c r="C1926" s="2" t="s">
        <v>452</v>
      </c>
      <c r="D1926" s="7" t="s">
        <v>337</v>
      </c>
      <c r="E1926" s="4" t="s">
        <v>60</v>
      </c>
      <c r="F1926" s="2"/>
      <c r="G1926" s="2" t="s">
        <v>1399</v>
      </c>
      <c r="H1926" s="2" t="s">
        <v>1400</v>
      </c>
      <c r="I1926" s="4" t="s">
        <v>62</v>
      </c>
      <c r="J1926" s="112">
        <f>IF($H1926&lt;&gt;"Y",0,ROUND(MIN(Dashboard!$R$24,IF(IFERROR(VLOOKUP($B1926,Dashboard!$Q$28:$S$60,2,FALSE),0)&gt;0,IFERROR(VLOOKUP($B1926,Dashboard!$Q$28:$S$60,2,FALSE),0),$Z1926*IF($U1926&lt;&gt;"",ROUND((Dashboard!$R$4/$U1926)*VLOOKUP($I1926,Dashboard!$Q$9:$R$13,2,FALSE)*IF(ISNUMBER(SEARCH("Duals",$B1926)),2,IF(ISNUMBER(SEARCH("Triples",$B1926)),3,IF(ISNUMBER(SEARCH("Quads",$B1926)),4,1))),2),ROUND(VLOOKUP($I1926,Dashboard!$Q$15:$R$20,2,FALSE)*IF($E1926="Red",Dashboard!$R$6,IF($E1926="Gold",Dashboard!$R$7,Dashboard!$R$5))*IF(ISNUMBER(SEARCH("Duals",$B1926)),2,IF(ISNUMBER(SEARCH("Triples",$B1926)),3,IF(ISNUMBER(SEARCH("Quads",$B1926)),4,1))),2))*IF(IFERROR(VLOOKUP($B1926,Dashboard!$Q$28:$S$60,3,FALSE),0)&gt;0,VLOOKUP($B1926,Dashboard!$Q$28:$S$60,3,FALSE),1))),0))</f>
        <v>3</v>
      </c>
      <c r="K1926" s="2" t="str">
        <f>IF(Retro!C6="","",Retro!C6)</f>
        <v/>
      </c>
      <c r="L1926" s="2">
        <f t="shared" si="390"/>
        <v>0</v>
      </c>
      <c r="M1926" s="2">
        <f t="shared" si="391"/>
        <v>0</v>
      </c>
      <c r="N1926" s="2">
        <f t="shared" si="392"/>
        <v>0</v>
      </c>
      <c r="O1926" s="2">
        <f t="shared" si="393"/>
        <v>1</v>
      </c>
      <c r="P1926" s="112">
        <f t="shared" si="394"/>
        <v>0</v>
      </c>
      <c r="Q1926" s="112">
        <f t="shared" si="395"/>
        <v>0</v>
      </c>
      <c r="R1926" s="53"/>
      <c r="S1926" s="53" t="str">
        <f t="shared" si="396"/>
        <v>Retro|Retro|R-5|Base</v>
      </c>
      <c r="T1926" s="57">
        <f>IF($S1926="","",IFERROR(VLOOKUP($S1926,'Pop Estimates (Non-#d)'!$N$2:$O$500,2,FALSE),""))</f>
        <v>380</v>
      </c>
      <c r="U1926" s="57">
        <f t="shared" si="397"/>
        <v>380</v>
      </c>
      <c r="V1926" s="53" t="str">
        <f t="shared" si="398"/>
        <v/>
      </c>
      <c r="W1926" s="53" t="str">
        <f t="shared" si="399"/>
        <v/>
      </c>
      <c r="X1926" s="53" t="str">
        <f t="shared" si="400"/>
        <v/>
      </c>
      <c r="Y1926" s="57" t="str">
        <f>IF($X1926="","",IFERROR(VLOOKUP($X1926,'Char Popularity'!$A$2:$C$500,2,FALSE),""))</f>
        <v/>
      </c>
      <c r="Z1926" s="56">
        <f>IF($X1926="",1,IFERROR(VLOOKUP($X1926,'Char Popularity'!$A$2:$C$500,3,FALSE),1))</f>
        <v>1</v>
      </c>
      <c r="AA1926" s="62">
        <f>IF($H1926&lt;&gt;"Y",0,(IF($F1926&lt;&gt;"",ROUND(Dashboard!$R$4/$F1926,1),IF(AND($I1926="Base",$E1926="Base"),Dashboard!$R$5,IF(AND($I1926="Base",$E1926="Red"),Dashboard!$R$6,IF(AND($I1926="Base",$E1926="Gold"),Dashboard!$R$7,VLOOKUP($I1926,Dashboard!$Q$16:$R$21,2,FALSE)))))*VLOOKUP($I1926,Dashboard!$Q$9:$R$13,2,FALSE)*IF(AND($I1926="Auto",$F1926="",OR($B1926="Autographs Duals",$B1926="Autographs Triples",$B1926="Autographs Quads",$B1926="Autographs Quads (Inscribed)")),IF($B1926="Autographs Duals",2,IF($B1926="Autographs Triples",3,4)),1)))</f>
        <v>6</v>
      </c>
      <c r="AB1926" s="62">
        <f t="shared" si="401"/>
        <v>0</v>
      </c>
      <c r="AC1926" s="62">
        <f t="shared" si="402"/>
        <v>0</v>
      </c>
    </row>
    <row r="1927" spans="1:29" x14ac:dyDescent="0.25">
      <c r="A1927" s="4" t="s">
        <v>29</v>
      </c>
      <c r="B1927" s="7" t="s">
        <v>29</v>
      </c>
      <c r="C1927" s="2" t="s">
        <v>453</v>
      </c>
      <c r="D1927" s="7" t="s">
        <v>454</v>
      </c>
      <c r="E1927" s="4" t="s">
        <v>60</v>
      </c>
      <c r="F1927" s="2"/>
      <c r="G1927" s="2" t="s">
        <v>1399</v>
      </c>
      <c r="H1927" s="2" t="s">
        <v>1400</v>
      </c>
      <c r="I1927" s="4" t="s">
        <v>62</v>
      </c>
      <c r="J1927" s="112">
        <f>IF($H1927&lt;&gt;"Y",0,ROUND(MIN(Dashboard!$R$24,IF(IFERROR(VLOOKUP($B1927,Dashboard!$Q$28:$S$60,2,FALSE),0)&gt;0,IFERROR(VLOOKUP($B1927,Dashboard!$Q$28:$S$60,2,FALSE),0),$Z1927*IF($U1927&lt;&gt;"",ROUND((Dashboard!$R$4/$U1927)*VLOOKUP($I1927,Dashboard!$Q$9:$R$13,2,FALSE)*IF(ISNUMBER(SEARCH("Duals",$B1927)),2,IF(ISNUMBER(SEARCH("Triples",$B1927)),3,IF(ISNUMBER(SEARCH("Quads",$B1927)),4,1))),2),ROUND(VLOOKUP($I1927,Dashboard!$Q$15:$R$20,2,FALSE)*IF($E1927="Red",Dashboard!$R$6,IF($E1927="Gold",Dashboard!$R$7,Dashboard!$R$5))*IF(ISNUMBER(SEARCH("Duals",$B1927)),2,IF(ISNUMBER(SEARCH("Triples",$B1927)),3,IF(ISNUMBER(SEARCH("Quads",$B1927)),4,1))),2))*IF(IFERROR(VLOOKUP($B1927,Dashboard!$Q$28:$S$60,3,FALSE),0)&gt;0,VLOOKUP($B1927,Dashboard!$Q$28:$S$60,3,FALSE),1))),0))</f>
        <v>3</v>
      </c>
      <c r="K1927" s="2" t="str">
        <f>IF(Retro!C7="","",Retro!C7)</f>
        <v>V</v>
      </c>
      <c r="L1927" s="2">
        <f t="shared" si="390"/>
        <v>1</v>
      </c>
      <c r="M1927" s="2">
        <f t="shared" si="391"/>
        <v>0</v>
      </c>
      <c r="N1927" s="2">
        <f t="shared" si="392"/>
        <v>1</v>
      </c>
      <c r="O1927" s="2">
        <f t="shared" si="393"/>
        <v>0</v>
      </c>
      <c r="P1927" s="112">
        <f t="shared" si="394"/>
        <v>3</v>
      </c>
      <c r="Q1927" s="112">
        <f t="shared" si="395"/>
        <v>0</v>
      </c>
      <c r="R1927" s="53"/>
      <c r="S1927" s="53" t="str">
        <f t="shared" si="396"/>
        <v>Retro|Retro|R-6|Base</v>
      </c>
      <c r="T1927" s="57">
        <f>IF($S1927="","",IFERROR(VLOOKUP($S1927,'Pop Estimates (Non-#d)'!$N$2:$O$500,2,FALSE),""))</f>
        <v>380</v>
      </c>
      <c r="U1927" s="57">
        <f t="shared" si="397"/>
        <v>380</v>
      </c>
      <c r="V1927" s="53" t="str">
        <f t="shared" si="398"/>
        <v/>
      </c>
      <c r="W1927" s="53" t="str">
        <f t="shared" si="399"/>
        <v/>
      </c>
      <c r="X1927" s="53" t="str">
        <f t="shared" si="400"/>
        <v/>
      </c>
      <c r="Y1927" s="57" t="str">
        <f>IF($X1927="","",IFERROR(VLOOKUP($X1927,'Char Popularity'!$A$2:$C$500,2,FALSE),""))</f>
        <v/>
      </c>
      <c r="Z1927" s="56">
        <f>IF($X1927="",1,IFERROR(VLOOKUP($X1927,'Char Popularity'!$A$2:$C$500,3,FALSE),1))</f>
        <v>1</v>
      </c>
      <c r="AA1927" s="62">
        <f>IF($H1927&lt;&gt;"Y",0,(IF($F1927&lt;&gt;"",ROUND(Dashboard!$R$4/$F1927,1),IF(AND($I1927="Base",$E1927="Base"),Dashboard!$R$5,IF(AND($I1927="Base",$E1927="Red"),Dashboard!$R$6,IF(AND($I1927="Base",$E1927="Gold"),Dashboard!$R$7,VLOOKUP($I1927,Dashboard!$Q$16:$R$21,2,FALSE)))))*VLOOKUP($I1927,Dashboard!$Q$9:$R$13,2,FALSE)*IF(AND($I1927="Auto",$F1927="",OR($B1927="Autographs Duals",$B1927="Autographs Triples",$B1927="Autographs Quads",$B1927="Autographs Quads (Inscribed)")),IF($B1927="Autographs Duals",2,IF($B1927="Autographs Triples",3,4)),1)))</f>
        <v>6</v>
      </c>
      <c r="AB1927" s="62">
        <f t="shared" si="401"/>
        <v>6</v>
      </c>
      <c r="AC1927" s="62">
        <f t="shared" si="402"/>
        <v>0</v>
      </c>
    </row>
    <row r="1928" spans="1:29" x14ac:dyDescent="0.25">
      <c r="A1928" s="4" t="s">
        <v>29</v>
      </c>
      <c r="B1928" s="7" t="s">
        <v>29</v>
      </c>
      <c r="C1928" s="2" t="s">
        <v>455</v>
      </c>
      <c r="D1928" s="7" t="s">
        <v>387</v>
      </c>
      <c r="E1928" s="4" t="s">
        <v>60</v>
      </c>
      <c r="F1928" s="2"/>
      <c r="G1928" s="2" t="s">
        <v>1399</v>
      </c>
      <c r="H1928" s="2" t="s">
        <v>1400</v>
      </c>
      <c r="I1928" s="4" t="s">
        <v>62</v>
      </c>
      <c r="J1928" s="112">
        <f>IF($H1928&lt;&gt;"Y",0,ROUND(MIN(Dashboard!$R$24,IF(IFERROR(VLOOKUP($B1928,Dashboard!$Q$28:$S$60,2,FALSE),0)&gt;0,IFERROR(VLOOKUP($B1928,Dashboard!$Q$28:$S$60,2,FALSE),0),$Z1928*IF($U1928&lt;&gt;"",ROUND((Dashboard!$R$4/$U1928)*VLOOKUP($I1928,Dashboard!$Q$9:$R$13,2,FALSE)*IF(ISNUMBER(SEARCH("Duals",$B1928)),2,IF(ISNUMBER(SEARCH("Triples",$B1928)),3,IF(ISNUMBER(SEARCH("Quads",$B1928)),4,1))),2),ROUND(VLOOKUP($I1928,Dashboard!$Q$15:$R$20,2,FALSE)*IF($E1928="Red",Dashboard!$R$6,IF($E1928="Gold",Dashboard!$R$7,Dashboard!$R$5))*IF(ISNUMBER(SEARCH("Duals",$B1928)),2,IF(ISNUMBER(SEARCH("Triples",$B1928)),3,IF(ISNUMBER(SEARCH("Quads",$B1928)),4,1))),2))*IF(IFERROR(VLOOKUP($B1928,Dashboard!$Q$28:$S$60,3,FALSE),0)&gt;0,VLOOKUP($B1928,Dashboard!$Q$28:$S$60,3,FALSE),1))),0))</f>
        <v>3</v>
      </c>
      <c r="K1928" s="2" t="str">
        <f>IF(Retro!C8="","",Retro!C8)</f>
        <v>V</v>
      </c>
      <c r="L1928" s="2">
        <f t="shared" si="390"/>
        <v>1</v>
      </c>
      <c r="M1928" s="2">
        <f t="shared" si="391"/>
        <v>0</v>
      </c>
      <c r="N1928" s="2">
        <f t="shared" si="392"/>
        <v>1</v>
      </c>
      <c r="O1928" s="2">
        <f t="shared" si="393"/>
        <v>0</v>
      </c>
      <c r="P1928" s="112">
        <f t="shared" si="394"/>
        <v>3</v>
      </c>
      <c r="Q1928" s="112">
        <f t="shared" si="395"/>
        <v>0</v>
      </c>
      <c r="R1928" s="53"/>
      <c r="S1928" s="53" t="str">
        <f t="shared" si="396"/>
        <v>Retro|Retro|R-7|Base</v>
      </c>
      <c r="T1928" s="57">
        <f>IF($S1928="","",IFERROR(VLOOKUP($S1928,'Pop Estimates (Non-#d)'!$N$2:$O$500,2,FALSE),""))</f>
        <v>380</v>
      </c>
      <c r="U1928" s="57">
        <f t="shared" si="397"/>
        <v>380</v>
      </c>
      <c r="V1928" s="53" t="str">
        <f t="shared" si="398"/>
        <v/>
      </c>
      <c r="W1928" s="53" t="str">
        <f t="shared" si="399"/>
        <v/>
      </c>
      <c r="X1928" s="53" t="str">
        <f t="shared" si="400"/>
        <v/>
      </c>
      <c r="Y1928" s="57" t="str">
        <f>IF($X1928="","",IFERROR(VLOOKUP($X1928,'Char Popularity'!$A$2:$C$500,2,FALSE),""))</f>
        <v/>
      </c>
      <c r="Z1928" s="56">
        <f>IF($X1928="",1,IFERROR(VLOOKUP($X1928,'Char Popularity'!$A$2:$C$500,3,FALSE),1))</f>
        <v>1</v>
      </c>
      <c r="AA1928" s="62">
        <f>IF($H1928&lt;&gt;"Y",0,(IF($F1928&lt;&gt;"",ROUND(Dashboard!$R$4/$F1928,1),IF(AND($I1928="Base",$E1928="Base"),Dashboard!$R$5,IF(AND($I1928="Base",$E1928="Red"),Dashboard!$R$6,IF(AND($I1928="Base",$E1928="Gold"),Dashboard!$R$7,VLOOKUP($I1928,Dashboard!$Q$16:$R$21,2,FALSE)))))*VLOOKUP($I1928,Dashboard!$Q$9:$R$13,2,FALSE)*IF(AND($I1928="Auto",$F1928="",OR($B1928="Autographs Duals",$B1928="Autographs Triples",$B1928="Autographs Quads",$B1928="Autographs Quads (Inscribed)")),IF($B1928="Autographs Duals",2,IF($B1928="Autographs Triples",3,4)),1)))</f>
        <v>6</v>
      </c>
      <c r="AB1928" s="62">
        <f t="shared" si="401"/>
        <v>6</v>
      </c>
      <c r="AC1928" s="62">
        <f t="shared" si="402"/>
        <v>0</v>
      </c>
    </row>
    <row r="1929" spans="1:29" x14ac:dyDescent="0.25">
      <c r="A1929" s="4" t="s">
        <v>29</v>
      </c>
      <c r="B1929" s="7" t="s">
        <v>29</v>
      </c>
      <c r="C1929" s="2" t="s">
        <v>456</v>
      </c>
      <c r="D1929" s="7" t="s">
        <v>347</v>
      </c>
      <c r="E1929" s="4" t="s">
        <v>60</v>
      </c>
      <c r="F1929" s="2"/>
      <c r="G1929" s="2" t="s">
        <v>1399</v>
      </c>
      <c r="H1929" s="2" t="s">
        <v>1400</v>
      </c>
      <c r="I1929" s="4" t="s">
        <v>62</v>
      </c>
      <c r="J1929" s="112">
        <f>IF($H1929&lt;&gt;"Y",0,ROUND(MIN(Dashboard!$R$24,IF(IFERROR(VLOOKUP($B1929,Dashboard!$Q$28:$S$60,2,FALSE),0)&gt;0,IFERROR(VLOOKUP($B1929,Dashboard!$Q$28:$S$60,2,FALSE),0),$Z1929*IF($U1929&lt;&gt;"",ROUND((Dashboard!$R$4/$U1929)*VLOOKUP($I1929,Dashboard!$Q$9:$R$13,2,FALSE)*IF(ISNUMBER(SEARCH("Duals",$B1929)),2,IF(ISNUMBER(SEARCH("Triples",$B1929)),3,IF(ISNUMBER(SEARCH("Quads",$B1929)),4,1))),2),ROUND(VLOOKUP($I1929,Dashboard!$Q$15:$R$20,2,FALSE)*IF($E1929="Red",Dashboard!$R$6,IF($E1929="Gold",Dashboard!$R$7,Dashboard!$R$5))*IF(ISNUMBER(SEARCH("Duals",$B1929)),2,IF(ISNUMBER(SEARCH("Triples",$B1929)),3,IF(ISNUMBER(SEARCH("Quads",$B1929)),4,1))),2))*IF(IFERROR(VLOOKUP($B1929,Dashboard!$Q$28:$S$60,3,FALSE),0)&gt;0,VLOOKUP($B1929,Dashboard!$Q$28:$S$60,3,FALSE),1))),0))</f>
        <v>3</v>
      </c>
      <c r="K1929" s="2" t="str">
        <f>IF(Retro!C9="","",Retro!C9)</f>
        <v>V</v>
      </c>
      <c r="L1929" s="2">
        <f t="shared" si="390"/>
        <v>1</v>
      </c>
      <c r="M1929" s="2">
        <f t="shared" si="391"/>
        <v>0</v>
      </c>
      <c r="N1929" s="2">
        <f t="shared" si="392"/>
        <v>1</v>
      </c>
      <c r="O1929" s="2">
        <f t="shared" si="393"/>
        <v>0</v>
      </c>
      <c r="P1929" s="112">
        <f t="shared" si="394"/>
        <v>3</v>
      </c>
      <c r="Q1929" s="112">
        <f t="shared" si="395"/>
        <v>0</v>
      </c>
      <c r="R1929" s="53"/>
      <c r="S1929" s="53" t="str">
        <f t="shared" si="396"/>
        <v>Retro|Retro|R-8|Base</v>
      </c>
      <c r="T1929" s="57">
        <f>IF($S1929="","",IFERROR(VLOOKUP($S1929,'Pop Estimates (Non-#d)'!$N$2:$O$500,2,FALSE),""))</f>
        <v>380</v>
      </c>
      <c r="U1929" s="57">
        <f t="shared" si="397"/>
        <v>380</v>
      </c>
      <c r="V1929" s="53" t="str">
        <f t="shared" si="398"/>
        <v/>
      </c>
      <c r="W1929" s="53" t="str">
        <f t="shared" si="399"/>
        <v/>
      </c>
      <c r="X1929" s="53" t="str">
        <f t="shared" si="400"/>
        <v/>
      </c>
      <c r="Y1929" s="57" t="str">
        <f>IF($X1929="","",IFERROR(VLOOKUP($X1929,'Char Popularity'!$A$2:$C$500,2,FALSE),""))</f>
        <v/>
      </c>
      <c r="Z1929" s="56">
        <f>IF($X1929="",1,IFERROR(VLOOKUP($X1929,'Char Popularity'!$A$2:$C$500,3,FALSE),1))</f>
        <v>1</v>
      </c>
      <c r="AA1929" s="62">
        <f>IF($H1929&lt;&gt;"Y",0,(IF($F1929&lt;&gt;"",ROUND(Dashboard!$R$4/$F1929,1),IF(AND($I1929="Base",$E1929="Base"),Dashboard!$R$5,IF(AND($I1929="Base",$E1929="Red"),Dashboard!$R$6,IF(AND($I1929="Base",$E1929="Gold"),Dashboard!$R$7,VLOOKUP($I1929,Dashboard!$Q$16:$R$21,2,FALSE)))))*VLOOKUP($I1929,Dashboard!$Q$9:$R$13,2,FALSE)*IF(AND($I1929="Auto",$F1929="",OR($B1929="Autographs Duals",$B1929="Autographs Triples",$B1929="Autographs Quads",$B1929="Autographs Quads (Inscribed)")),IF($B1929="Autographs Duals",2,IF($B1929="Autographs Triples",3,4)),1)))</f>
        <v>6</v>
      </c>
      <c r="AB1929" s="62">
        <f t="shared" si="401"/>
        <v>6</v>
      </c>
      <c r="AC1929" s="62">
        <f t="shared" si="402"/>
        <v>0</v>
      </c>
    </row>
    <row r="1930" spans="1:29" x14ac:dyDescent="0.25">
      <c r="A1930" s="4" t="s">
        <v>29</v>
      </c>
      <c r="B1930" s="7" t="s">
        <v>29</v>
      </c>
      <c r="C1930" s="2" t="s">
        <v>457</v>
      </c>
      <c r="D1930" s="7" t="s">
        <v>458</v>
      </c>
      <c r="E1930" s="4" t="s">
        <v>60</v>
      </c>
      <c r="F1930" s="2"/>
      <c r="G1930" s="2" t="s">
        <v>1399</v>
      </c>
      <c r="H1930" s="2" t="s">
        <v>1400</v>
      </c>
      <c r="I1930" s="4" t="s">
        <v>62</v>
      </c>
      <c r="J1930" s="112">
        <f>IF($H1930&lt;&gt;"Y",0,ROUND(MIN(Dashboard!$R$24,IF(IFERROR(VLOOKUP($B1930,Dashboard!$Q$28:$S$60,2,FALSE),0)&gt;0,IFERROR(VLOOKUP($B1930,Dashboard!$Q$28:$S$60,2,FALSE),0),$Z1930*IF($U1930&lt;&gt;"",ROUND((Dashboard!$R$4/$U1930)*VLOOKUP($I1930,Dashboard!$Q$9:$R$13,2,FALSE)*IF(ISNUMBER(SEARCH("Duals",$B1930)),2,IF(ISNUMBER(SEARCH("Triples",$B1930)),3,IF(ISNUMBER(SEARCH("Quads",$B1930)),4,1))),2),ROUND(VLOOKUP($I1930,Dashboard!$Q$15:$R$20,2,FALSE)*IF($E1930="Red",Dashboard!$R$6,IF($E1930="Gold",Dashboard!$R$7,Dashboard!$R$5))*IF(ISNUMBER(SEARCH("Duals",$B1930)),2,IF(ISNUMBER(SEARCH("Triples",$B1930)),3,IF(ISNUMBER(SEARCH("Quads",$B1930)),4,1))),2))*IF(IFERROR(VLOOKUP($B1930,Dashboard!$Q$28:$S$60,3,FALSE),0)&gt;0,VLOOKUP($B1930,Dashboard!$Q$28:$S$60,3,FALSE),1))),0))</f>
        <v>3</v>
      </c>
      <c r="K1930" s="2" t="str">
        <f>IF(Retro!C10="","",Retro!C10)</f>
        <v>C</v>
      </c>
      <c r="L1930" s="2">
        <f t="shared" si="390"/>
        <v>1</v>
      </c>
      <c r="M1930" s="2">
        <f t="shared" si="391"/>
        <v>0</v>
      </c>
      <c r="N1930" s="2">
        <f t="shared" si="392"/>
        <v>1</v>
      </c>
      <c r="O1930" s="2">
        <f t="shared" si="393"/>
        <v>0</v>
      </c>
      <c r="P1930" s="112">
        <f t="shared" si="394"/>
        <v>3</v>
      </c>
      <c r="Q1930" s="112">
        <f t="shared" si="395"/>
        <v>0</v>
      </c>
      <c r="R1930" s="53"/>
      <c r="S1930" s="53" t="str">
        <f t="shared" si="396"/>
        <v>Retro|Retro|R-9|Base</v>
      </c>
      <c r="T1930" s="57">
        <f>IF($S1930="","",IFERROR(VLOOKUP($S1930,'Pop Estimates (Non-#d)'!$N$2:$O$500,2,FALSE),""))</f>
        <v>380</v>
      </c>
      <c r="U1930" s="57">
        <f t="shared" si="397"/>
        <v>380</v>
      </c>
      <c r="V1930" s="53" t="str">
        <f t="shared" si="398"/>
        <v/>
      </c>
      <c r="W1930" s="53" t="str">
        <f t="shared" si="399"/>
        <v/>
      </c>
      <c r="X1930" s="53" t="str">
        <f t="shared" si="400"/>
        <v/>
      </c>
      <c r="Y1930" s="57" t="str">
        <f>IF($X1930="","",IFERROR(VLOOKUP($X1930,'Char Popularity'!$A$2:$C$500,2,FALSE),""))</f>
        <v/>
      </c>
      <c r="Z1930" s="56">
        <f>IF($X1930="",1,IFERROR(VLOOKUP($X1930,'Char Popularity'!$A$2:$C$500,3,FALSE),1))</f>
        <v>1</v>
      </c>
      <c r="AA1930" s="62">
        <f>IF($H1930&lt;&gt;"Y",0,(IF($F1930&lt;&gt;"",ROUND(Dashboard!$R$4/$F1930,1),IF(AND($I1930="Base",$E1930="Base"),Dashboard!$R$5,IF(AND($I1930="Base",$E1930="Red"),Dashboard!$R$6,IF(AND($I1930="Base",$E1930="Gold"),Dashboard!$R$7,VLOOKUP($I1930,Dashboard!$Q$16:$R$21,2,FALSE)))))*VLOOKUP($I1930,Dashboard!$Q$9:$R$13,2,FALSE)*IF(AND($I1930="Auto",$F1930="",OR($B1930="Autographs Duals",$B1930="Autographs Triples",$B1930="Autographs Quads",$B1930="Autographs Quads (Inscribed)")),IF($B1930="Autographs Duals",2,IF($B1930="Autographs Triples",3,4)),1)))</f>
        <v>6</v>
      </c>
      <c r="AB1930" s="62">
        <f t="shared" si="401"/>
        <v>6</v>
      </c>
      <c r="AC1930" s="62">
        <f t="shared" si="402"/>
        <v>0</v>
      </c>
    </row>
    <row r="1931" spans="1:29" ht="30" customHeight="1" x14ac:dyDescent="0.25">
      <c r="A1931" s="4" t="s">
        <v>29</v>
      </c>
      <c r="B1931" s="7" t="s">
        <v>29</v>
      </c>
      <c r="C1931" s="2" t="s">
        <v>440</v>
      </c>
      <c r="D1931" s="7" t="s">
        <v>441</v>
      </c>
      <c r="E1931" s="4" t="s">
        <v>60</v>
      </c>
      <c r="F1931" s="2"/>
      <c r="G1931" s="2" t="s">
        <v>1399</v>
      </c>
      <c r="H1931" s="2" t="s">
        <v>1400</v>
      </c>
      <c r="I1931" s="4" t="s">
        <v>62</v>
      </c>
      <c r="J1931" s="112">
        <f>IF($H1931&lt;&gt;"Y",0,ROUND(MIN(Dashboard!$R$24,IF(IFERROR(VLOOKUP($B1931,Dashboard!$Q$28:$S$60,2,FALSE),0)&gt;0,IFERROR(VLOOKUP($B1931,Dashboard!$Q$28:$S$60,2,FALSE),0),$Z1931*IF($U1931&lt;&gt;"",ROUND((Dashboard!$R$4/$U1931)*VLOOKUP($I1931,Dashboard!$Q$9:$R$13,2,FALSE)*IF(ISNUMBER(SEARCH("Duals",$B1931)),2,IF(ISNUMBER(SEARCH("Triples",$B1931)),3,IF(ISNUMBER(SEARCH("Quads",$B1931)),4,1))),2),ROUND(VLOOKUP($I1931,Dashboard!$Q$15:$R$20,2,FALSE)*IF($E1931="Red",Dashboard!$R$6,IF($E1931="Gold",Dashboard!$R$7,Dashboard!$R$5))*IF(ISNUMBER(SEARCH("Duals",$B1931)),2,IF(ISNUMBER(SEARCH("Triples",$B1931)),3,IF(ISNUMBER(SEARCH("Quads",$B1931)),4,1))),2))*IF(IFERROR(VLOOKUP($B1931,Dashboard!$Q$28:$S$60,3,FALSE),0)&gt;0,VLOOKUP($B1931,Dashboard!$Q$28:$S$60,3,FALSE),1))),0))</f>
        <v>3</v>
      </c>
      <c r="K1931" s="2" t="str">
        <f>IF(Retro!C11="","",Retro!C11)</f>
        <v>V</v>
      </c>
      <c r="L1931" s="2">
        <f t="shared" si="390"/>
        <v>1</v>
      </c>
      <c r="M1931" s="2">
        <f t="shared" si="391"/>
        <v>0</v>
      </c>
      <c r="N1931" s="2">
        <f t="shared" si="392"/>
        <v>1</v>
      </c>
      <c r="O1931" s="2">
        <f t="shared" si="393"/>
        <v>0</v>
      </c>
      <c r="P1931" s="112">
        <f t="shared" si="394"/>
        <v>3</v>
      </c>
      <c r="Q1931" s="112">
        <f t="shared" si="395"/>
        <v>0</v>
      </c>
      <c r="R1931" s="53"/>
      <c r="S1931" s="53" t="str">
        <f t="shared" si="396"/>
        <v>Retro|Retro|R-10|Base</v>
      </c>
      <c r="T1931" s="57">
        <f>IF($S1931="","",IFERROR(VLOOKUP($S1931,'Pop Estimates (Non-#d)'!$N$2:$O$500,2,FALSE),""))</f>
        <v>380</v>
      </c>
      <c r="U1931" s="57">
        <f t="shared" si="397"/>
        <v>380</v>
      </c>
      <c r="V1931" s="53" t="str">
        <f t="shared" si="398"/>
        <v/>
      </c>
      <c r="W1931" s="53" t="str">
        <f t="shared" si="399"/>
        <v/>
      </c>
      <c r="X1931" s="53" t="str">
        <f t="shared" si="400"/>
        <v/>
      </c>
      <c r="Y1931" s="57" t="str">
        <f>IF($X1931="","",IFERROR(VLOOKUP($X1931,'Char Popularity'!$A$2:$C$500,2,FALSE),""))</f>
        <v/>
      </c>
      <c r="Z1931" s="56">
        <f>IF($X1931="",1,IFERROR(VLOOKUP($X1931,'Char Popularity'!$A$2:$C$500,3,FALSE),1))</f>
        <v>1</v>
      </c>
      <c r="AA1931" s="62">
        <f>IF($H1931&lt;&gt;"Y",0,(IF($F1931&lt;&gt;"",ROUND(Dashboard!$R$4/$F1931,1),IF(AND($I1931="Base",$E1931="Base"),Dashboard!$R$5,IF(AND($I1931="Base",$E1931="Red"),Dashboard!$R$6,IF(AND($I1931="Base",$E1931="Gold"),Dashboard!$R$7,VLOOKUP($I1931,Dashboard!$Q$16:$R$21,2,FALSE)))))*VLOOKUP($I1931,Dashboard!$Q$9:$R$13,2,FALSE)*IF(AND($I1931="Auto",$F1931="",OR($B1931="Autographs Duals",$B1931="Autographs Triples",$B1931="Autographs Quads",$B1931="Autographs Quads (Inscribed)")),IF($B1931="Autographs Duals",2,IF($B1931="Autographs Triples",3,4)),1)))</f>
        <v>6</v>
      </c>
      <c r="AB1931" s="62">
        <f t="shared" si="401"/>
        <v>6</v>
      </c>
      <c r="AC1931" s="62">
        <f t="shared" si="402"/>
        <v>0</v>
      </c>
    </row>
    <row r="1932" spans="1:29" ht="30" customHeight="1" x14ac:dyDescent="0.25">
      <c r="A1932" s="4" t="s">
        <v>29</v>
      </c>
      <c r="B1932" s="7" t="s">
        <v>29</v>
      </c>
      <c r="C1932" s="2" t="s">
        <v>442</v>
      </c>
      <c r="D1932" s="7" t="s">
        <v>389</v>
      </c>
      <c r="E1932" s="4" t="s">
        <v>60</v>
      </c>
      <c r="F1932" s="2"/>
      <c r="G1932" s="2" t="s">
        <v>1399</v>
      </c>
      <c r="H1932" s="2" t="s">
        <v>1400</v>
      </c>
      <c r="I1932" s="4" t="s">
        <v>62</v>
      </c>
      <c r="J1932" s="112">
        <f>IF($H1932&lt;&gt;"Y",0,ROUND(MIN(Dashboard!$R$24,IF(IFERROR(VLOOKUP($B1932,Dashboard!$Q$28:$S$60,2,FALSE),0)&gt;0,IFERROR(VLOOKUP($B1932,Dashboard!$Q$28:$S$60,2,FALSE),0),$Z1932*IF($U1932&lt;&gt;"",ROUND((Dashboard!$R$4/$U1932)*VLOOKUP($I1932,Dashboard!$Q$9:$R$13,2,FALSE)*IF(ISNUMBER(SEARCH("Duals",$B1932)),2,IF(ISNUMBER(SEARCH("Triples",$B1932)),3,IF(ISNUMBER(SEARCH("Quads",$B1932)),4,1))),2),ROUND(VLOOKUP($I1932,Dashboard!$Q$15:$R$20,2,FALSE)*IF($E1932="Red",Dashboard!$R$6,IF($E1932="Gold",Dashboard!$R$7,Dashboard!$R$5))*IF(ISNUMBER(SEARCH("Duals",$B1932)),2,IF(ISNUMBER(SEARCH("Triples",$B1932)),3,IF(ISNUMBER(SEARCH("Quads",$B1932)),4,1))),2))*IF(IFERROR(VLOOKUP($B1932,Dashboard!$Q$28:$S$60,3,FALSE),0)&gt;0,VLOOKUP($B1932,Dashboard!$Q$28:$S$60,3,FALSE),1))),0))</f>
        <v>3</v>
      </c>
      <c r="K1932" s="2" t="str">
        <f>IF(Retro!C12="","",Retro!C12)</f>
        <v>C</v>
      </c>
      <c r="L1932" s="2">
        <f t="shared" si="390"/>
        <v>1</v>
      </c>
      <c r="M1932" s="2">
        <f t="shared" si="391"/>
        <v>0</v>
      </c>
      <c r="N1932" s="2">
        <f t="shared" si="392"/>
        <v>1</v>
      </c>
      <c r="O1932" s="2">
        <f t="shared" si="393"/>
        <v>0</v>
      </c>
      <c r="P1932" s="112">
        <f t="shared" si="394"/>
        <v>3</v>
      </c>
      <c r="Q1932" s="112">
        <f t="shared" si="395"/>
        <v>0</v>
      </c>
      <c r="R1932" s="53"/>
      <c r="S1932" s="53" t="str">
        <f t="shared" si="396"/>
        <v>Retro|Retro|R-11|Base</v>
      </c>
      <c r="T1932" s="57">
        <f>IF($S1932="","",IFERROR(VLOOKUP($S1932,'Pop Estimates (Non-#d)'!$N$2:$O$500,2,FALSE),""))</f>
        <v>380</v>
      </c>
      <c r="U1932" s="57">
        <f t="shared" si="397"/>
        <v>380</v>
      </c>
      <c r="V1932" s="53" t="str">
        <f t="shared" si="398"/>
        <v/>
      </c>
      <c r="W1932" s="53" t="str">
        <f t="shared" si="399"/>
        <v/>
      </c>
      <c r="X1932" s="53" t="str">
        <f t="shared" si="400"/>
        <v/>
      </c>
      <c r="Y1932" s="57" t="str">
        <f>IF($X1932="","",IFERROR(VLOOKUP($X1932,'Char Popularity'!$A$2:$C$500,2,FALSE),""))</f>
        <v/>
      </c>
      <c r="Z1932" s="56">
        <f>IF($X1932="",1,IFERROR(VLOOKUP($X1932,'Char Popularity'!$A$2:$C$500,3,FALSE),1))</f>
        <v>1</v>
      </c>
      <c r="AA1932" s="62">
        <f>IF($H1932&lt;&gt;"Y",0,(IF($F1932&lt;&gt;"",ROUND(Dashboard!$R$4/$F1932,1),IF(AND($I1932="Base",$E1932="Base"),Dashboard!$R$5,IF(AND($I1932="Base",$E1932="Red"),Dashboard!$R$6,IF(AND($I1932="Base",$E1932="Gold"),Dashboard!$R$7,VLOOKUP($I1932,Dashboard!$Q$16:$R$21,2,FALSE)))))*VLOOKUP($I1932,Dashboard!$Q$9:$R$13,2,FALSE)*IF(AND($I1932="Auto",$F1932="",OR($B1932="Autographs Duals",$B1932="Autographs Triples",$B1932="Autographs Quads",$B1932="Autographs Quads (Inscribed)")),IF($B1932="Autographs Duals",2,IF($B1932="Autographs Triples",3,4)),1)))</f>
        <v>6</v>
      </c>
      <c r="AB1932" s="62">
        <f t="shared" si="401"/>
        <v>6</v>
      </c>
      <c r="AC1932" s="62">
        <f t="shared" si="402"/>
        <v>0</v>
      </c>
    </row>
    <row r="1933" spans="1:29" ht="30" customHeight="1" x14ac:dyDescent="0.25">
      <c r="A1933" s="4" t="s">
        <v>29</v>
      </c>
      <c r="B1933" s="7" t="s">
        <v>29</v>
      </c>
      <c r="C1933" s="2" t="s">
        <v>443</v>
      </c>
      <c r="D1933" s="7" t="s">
        <v>444</v>
      </c>
      <c r="E1933" s="4" t="s">
        <v>60</v>
      </c>
      <c r="F1933" s="2"/>
      <c r="G1933" s="2" t="s">
        <v>1399</v>
      </c>
      <c r="H1933" s="2" t="s">
        <v>1400</v>
      </c>
      <c r="I1933" s="4" t="s">
        <v>62</v>
      </c>
      <c r="J1933" s="112">
        <f>IF($H1933&lt;&gt;"Y",0,ROUND(MIN(Dashboard!$R$24,IF(IFERROR(VLOOKUP($B1933,Dashboard!$Q$28:$S$60,2,FALSE),0)&gt;0,IFERROR(VLOOKUP($B1933,Dashboard!$Q$28:$S$60,2,FALSE),0),$Z1933*IF($U1933&lt;&gt;"",ROUND((Dashboard!$R$4/$U1933)*VLOOKUP($I1933,Dashboard!$Q$9:$R$13,2,FALSE)*IF(ISNUMBER(SEARCH("Duals",$B1933)),2,IF(ISNUMBER(SEARCH("Triples",$B1933)),3,IF(ISNUMBER(SEARCH("Quads",$B1933)),4,1))),2),ROUND(VLOOKUP($I1933,Dashboard!$Q$15:$R$20,2,FALSE)*IF($E1933="Red",Dashboard!$R$6,IF($E1933="Gold",Dashboard!$R$7,Dashboard!$R$5))*IF(ISNUMBER(SEARCH("Duals",$B1933)),2,IF(ISNUMBER(SEARCH("Triples",$B1933)),3,IF(ISNUMBER(SEARCH("Quads",$B1933)),4,1))),2))*IF(IFERROR(VLOOKUP($B1933,Dashboard!$Q$28:$S$60,3,FALSE),0)&gt;0,VLOOKUP($B1933,Dashboard!$Q$28:$S$60,3,FALSE),1))),0))</f>
        <v>3</v>
      </c>
      <c r="K1933" s="2" t="str">
        <f>IF(Retro!C13="","",Retro!C13)</f>
        <v>V</v>
      </c>
      <c r="L1933" s="2">
        <f t="shared" si="390"/>
        <v>1</v>
      </c>
      <c r="M1933" s="2">
        <f t="shared" si="391"/>
        <v>0</v>
      </c>
      <c r="N1933" s="2">
        <f t="shared" si="392"/>
        <v>1</v>
      </c>
      <c r="O1933" s="2">
        <f t="shared" si="393"/>
        <v>0</v>
      </c>
      <c r="P1933" s="112">
        <f t="shared" si="394"/>
        <v>3</v>
      </c>
      <c r="Q1933" s="112">
        <f t="shared" si="395"/>
        <v>0</v>
      </c>
      <c r="R1933" s="53"/>
      <c r="S1933" s="53" t="str">
        <f t="shared" si="396"/>
        <v>Retro|Retro|R-12|Base</v>
      </c>
      <c r="T1933" s="57">
        <f>IF($S1933="","",IFERROR(VLOOKUP($S1933,'Pop Estimates (Non-#d)'!$N$2:$O$500,2,FALSE),""))</f>
        <v>380</v>
      </c>
      <c r="U1933" s="57">
        <f t="shared" si="397"/>
        <v>380</v>
      </c>
      <c r="V1933" s="53" t="str">
        <f t="shared" si="398"/>
        <v/>
      </c>
      <c r="W1933" s="53" t="str">
        <f t="shared" si="399"/>
        <v/>
      </c>
      <c r="X1933" s="53" t="str">
        <f t="shared" si="400"/>
        <v/>
      </c>
      <c r="Y1933" s="57" t="str">
        <f>IF($X1933="","",IFERROR(VLOOKUP($X1933,'Char Popularity'!$A$2:$C$500,2,FALSE),""))</f>
        <v/>
      </c>
      <c r="Z1933" s="56">
        <f>IF($X1933="",1,IFERROR(VLOOKUP($X1933,'Char Popularity'!$A$2:$C$500,3,FALSE),1))</f>
        <v>1</v>
      </c>
      <c r="AA1933" s="62">
        <f>IF($H1933&lt;&gt;"Y",0,(IF($F1933&lt;&gt;"",ROUND(Dashboard!$R$4/$F1933,1),IF(AND($I1933="Base",$E1933="Base"),Dashboard!$R$5,IF(AND($I1933="Base",$E1933="Red"),Dashboard!$R$6,IF(AND($I1933="Base",$E1933="Gold"),Dashboard!$R$7,VLOOKUP($I1933,Dashboard!$Q$16:$R$21,2,FALSE)))))*VLOOKUP($I1933,Dashboard!$Q$9:$R$13,2,FALSE)*IF(AND($I1933="Auto",$F1933="",OR($B1933="Autographs Duals",$B1933="Autographs Triples",$B1933="Autographs Quads",$B1933="Autographs Quads (Inscribed)")),IF($B1933="Autographs Duals",2,IF($B1933="Autographs Triples",3,4)),1)))</f>
        <v>6</v>
      </c>
      <c r="AB1933" s="62">
        <f t="shared" si="401"/>
        <v>6</v>
      </c>
      <c r="AC1933" s="62">
        <f t="shared" si="402"/>
        <v>0</v>
      </c>
    </row>
    <row r="1934" spans="1:29" ht="30" customHeight="1" x14ac:dyDescent="0.25">
      <c r="A1934" s="4" t="s">
        <v>29</v>
      </c>
      <c r="B1934" s="7" t="s">
        <v>29</v>
      </c>
      <c r="C1934" s="2" t="s">
        <v>445</v>
      </c>
      <c r="D1934" s="7" t="s">
        <v>446</v>
      </c>
      <c r="E1934" s="4" t="s">
        <v>60</v>
      </c>
      <c r="F1934" s="2"/>
      <c r="G1934" s="2" t="s">
        <v>1399</v>
      </c>
      <c r="H1934" s="2" t="s">
        <v>1400</v>
      </c>
      <c r="I1934" s="4" t="s">
        <v>62</v>
      </c>
      <c r="J1934" s="112">
        <f>IF($H1934&lt;&gt;"Y",0,ROUND(MIN(Dashboard!$R$24,IF(IFERROR(VLOOKUP($B1934,Dashboard!$Q$28:$S$60,2,FALSE),0)&gt;0,IFERROR(VLOOKUP($B1934,Dashboard!$Q$28:$S$60,2,FALSE),0),$Z1934*IF($U1934&lt;&gt;"",ROUND((Dashboard!$R$4/$U1934)*VLOOKUP($I1934,Dashboard!$Q$9:$R$13,2,FALSE)*IF(ISNUMBER(SEARCH("Duals",$B1934)),2,IF(ISNUMBER(SEARCH("Triples",$B1934)),3,IF(ISNUMBER(SEARCH("Quads",$B1934)),4,1))),2),ROUND(VLOOKUP($I1934,Dashboard!$Q$15:$R$20,2,FALSE)*IF($E1934="Red",Dashboard!$R$6,IF($E1934="Gold",Dashboard!$R$7,Dashboard!$R$5))*IF(ISNUMBER(SEARCH("Duals",$B1934)),2,IF(ISNUMBER(SEARCH("Triples",$B1934)),3,IF(ISNUMBER(SEARCH("Quads",$B1934)),4,1))),2))*IF(IFERROR(VLOOKUP($B1934,Dashboard!$Q$28:$S$60,3,FALSE),0)&gt;0,VLOOKUP($B1934,Dashboard!$Q$28:$S$60,3,FALSE),1))),0))</f>
        <v>3</v>
      </c>
      <c r="K1934" s="2" t="str">
        <f>IF(Retro!C14="","",Retro!C14)</f>
        <v>V</v>
      </c>
      <c r="L1934" s="2">
        <f t="shared" si="390"/>
        <v>1</v>
      </c>
      <c r="M1934" s="2">
        <f t="shared" si="391"/>
        <v>0</v>
      </c>
      <c r="N1934" s="2">
        <f t="shared" si="392"/>
        <v>1</v>
      </c>
      <c r="O1934" s="2">
        <f t="shared" si="393"/>
        <v>0</v>
      </c>
      <c r="P1934" s="112">
        <f t="shared" si="394"/>
        <v>3</v>
      </c>
      <c r="Q1934" s="112">
        <f t="shared" si="395"/>
        <v>0</v>
      </c>
      <c r="R1934" s="53"/>
      <c r="S1934" s="53" t="str">
        <f t="shared" si="396"/>
        <v>Retro|Retro|R-13|Base</v>
      </c>
      <c r="T1934" s="57">
        <f>IF($S1934="","",IFERROR(VLOOKUP($S1934,'Pop Estimates (Non-#d)'!$N$2:$O$500,2,FALSE),""))</f>
        <v>380</v>
      </c>
      <c r="U1934" s="57">
        <f t="shared" si="397"/>
        <v>380</v>
      </c>
      <c r="V1934" s="53" t="str">
        <f t="shared" si="398"/>
        <v/>
      </c>
      <c r="W1934" s="53" t="str">
        <f t="shared" si="399"/>
        <v/>
      </c>
      <c r="X1934" s="53" t="str">
        <f t="shared" si="400"/>
        <v/>
      </c>
      <c r="Y1934" s="57" t="str">
        <f>IF($X1934="","",IFERROR(VLOOKUP($X1934,'Char Popularity'!$A$2:$C$500,2,FALSE),""))</f>
        <v/>
      </c>
      <c r="Z1934" s="56">
        <f>IF($X1934="",1,IFERROR(VLOOKUP($X1934,'Char Popularity'!$A$2:$C$500,3,FALSE),1))</f>
        <v>1</v>
      </c>
      <c r="AA1934" s="62">
        <f>IF($H1934&lt;&gt;"Y",0,(IF($F1934&lt;&gt;"",ROUND(Dashboard!$R$4/$F1934,1),IF(AND($I1934="Base",$E1934="Base"),Dashboard!$R$5,IF(AND($I1934="Base",$E1934="Red"),Dashboard!$R$6,IF(AND($I1934="Base",$E1934="Gold"),Dashboard!$R$7,VLOOKUP($I1934,Dashboard!$Q$16:$R$21,2,FALSE)))))*VLOOKUP($I1934,Dashboard!$Q$9:$R$13,2,FALSE)*IF(AND($I1934="Auto",$F1934="",OR($B1934="Autographs Duals",$B1934="Autographs Triples",$B1934="Autographs Quads",$B1934="Autographs Quads (Inscribed)")),IF($B1934="Autographs Duals",2,IF($B1934="Autographs Triples",3,4)),1)))</f>
        <v>6</v>
      </c>
      <c r="AB1934" s="62">
        <f t="shared" si="401"/>
        <v>6</v>
      </c>
      <c r="AC1934" s="62">
        <f t="shared" si="402"/>
        <v>0</v>
      </c>
    </row>
    <row r="1935" spans="1:29" ht="30" customHeight="1" x14ac:dyDescent="0.25">
      <c r="A1935" s="4" t="s">
        <v>29</v>
      </c>
      <c r="B1935" s="7" t="s">
        <v>29</v>
      </c>
      <c r="C1935" s="2" t="s">
        <v>447</v>
      </c>
      <c r="D1935" s="7" t="s">
        <v>345</v>
      </c>
      <c r="E1935" s="4" t="s">
        <v>60</v>
      </c>
      <c r="F1935" s="2"/>
      <c r="G1935" s="2" t="s">
        <v>1399</v>
      </c>
      <c r="H1935" s="2" t="s">
        <v>1400</v>
      </c>
      <c r="I1935" s="4" t="s">
        <v>62</v>
      </c>
      <c r="J1935" s="112">
        <f>IF($H1935&lt;&gt;"Y",0,ROUND(MIN(Dashboard!$R$24,IF(IFERROR(VLOOKUP($B1935,Dashboard!$Q$28:$S$60,2,FALSE),0)&gt;0,IFERROR(VLOOKUP($B1935,Dashboard!$Q$28:$S$60,2,FALSE),0),$Z1935*IF($U1935&lt;&gt;"",ROUND((Dashboard!$R$4/$U1935)*VLOOKUP($I1935,Dashboard!$Q$9:$R$13,2,FALSE)*IF(ISNUMBER(SEARCH("Duals",$B1935)),2,IF(ISNUMBER(SEARCH("Triples",$B1935)),3,IF(ISNUMBER(SEARCH("Quads",$B1935)),4,1))),2),ROUND(VLOOKUP($I1935,Dashboard!$Q$15:$R$20,2,FALSE)*IF($E1935="Red",Dashboard!$R$6,IF($E1935="Gold",Dashboard!$R$7,Dashboard!$R$5))*IF(ISNUMBER(SEARCH("Duals",$B1935)),2,IF(ISNUMBER(SEARCH("Triples",$B1935)),3,IF(ISNUMBER(SEARCH("Quads",$B1935)),4,1))),2))*IF(IFERROR(VLOOKUP($B1935,Dashboard!$Q$28:$S$60,3,FALSE),0)&gt;0,VLOOKUP($B1935,Dashboard!$Q$28:$S$60,3,FALSE),1))),0))</f>
        <v>3</v>
      </c>
      <c r="K1935" s="2" t="str">
        <f>IF(Retro!C15="","",Retro!C15)</f>
        <v>C</v>
      </c>
      <c r="L1935" s="2">
        <f t="shared" si="390"/>
        <v>1</v>
      </c>
      <c r="M1935" s="2">
        <f t="shared" si="391"/>
        <v>0</v>
      </c>
      <c r="N1935" s="2">
        <f t="shared" si="392"/>
        <v>1</v>
      </c>
      <c r="O1935" s="2">
        <f t="shared" si="393"/>
        <v>0</v>
      </c>
      <c r="P1935" s="112">
        <f t="shared" si="394"/>
        <v>3</v>
      </c>
      <c r="Q1935" s="112">
        <f t="shared" si="395"/>
        <v>0</v>
      </c>
      <c r="R1935" s="53"/>
      <c r="S1935" s="53" t="str">
        <f t="shared" si="396"/>
        <v>Retro|Retro|R-14|Base</v>
      </c>
      <c r="T1935" s="57">
        <f>IF($S1935="","",IFERROR(VLOOKUP($S1935,'Pop Estimates (Non-#d)'!$N$2:$O$500,2,FALSE),""))</f>
        <v>380</v>
      </c>
      <c r="U1935" s="57">
        <f t="shared" si="397"/>
        <v>380</v>
      </c>
      <c r="V1935" s="53" t="str">
        <f t="shared" si="398"/>
        <v/>
      </c>
      <c r="W1935" s="53" t="str">
        <f t="shared" si="399"/>
        <v/>
      </c>
      <c r="X1935" s="53" t="str">
        <f t="shared" si="400"/>
        <v/>
      </c>
      <c r="Y1935" s="57" t="str">
        <f>IF($X1935="","",IFERROR(VLOOKUP($X1935,'Char Popularity'!$A$2:$C$500,2,FALSE),""))</f>
        <v/>
      </c>
      <c r="Z1935" s="56">
        <f>IF($X1935="",1,IFERROR(VLOOKUP($X1935,'Char Popularity'!$A$2:$C$500,3,FALSE),1))</f>
        <v>1</v>
      </c>
      <c r="AA1935" s="62">
        <f>IF($H1935&lt;&gt;"Y",0,(IF($F1935&lt;&gt;"",ROUND(Dashboard!$R$4/$F1935,1),IF(AND($I1935="Base",$E1935="Base"),Dashboard!$R$5,IF(AND($I1935="Base",$E1935="Red"),Dashboard!$R$6,IF(AND($I1935="Base",$E1935="Gold"),Dashboard!$R$7,VLOOKUP($I1935,Dashboard!$Q$16:$R$21,2,FALSE)))))*VLOOKUP($I1935,Dashboard!$Q$9:$R$13,2,FALSE)*IF(AND($I1935="Auto",$F1935="",OR($B1935="Autographs Duals",$B1935="Autographs Triples",$B1935="Autographs Quads",$B1935="Autographs Quads (Inscribed)")),IF($B1935="Autographs Duals",2,IF($B1935="Autographs Triples",3,4)),1)))</f>
        <v>6</v>
      </c>
      <c r="AB1935" s="62">
        <f t="shared" si="401"/>
        <v>6</v>
      </c>
      <c r="AC1935" s="62">
        <f t="shared" si="402"/>
        <v>0</v>
      </c>
    </row>
    <row r="1936" spans="1:29" ht="30" customHeight="1" x14ac:dyDescent="0.25">
      <c r="A1936" s="4" t="s">
        <v>29</v>
      </c>
      <c r="B1936" s="7" t="s">
        <v>29</v>
      </c>
      <c r="C1936" s="2" t="s">
        <v>448</v>
      </c>
      <c r="D1936" s="7" t="s">
        <v>339</v>
      </c>
      <c r="E1936" s="4" t="s">
        <v>60</v>
      </c>
      <c r="F1936" s="2"/>
      <c r="G1936" s="2" t="s">
        <v>1399</v>
      </c>
      <c r="H1936" s="2" t="s">
        <v>1400</v>
      </c>
      <c r="I1936" s="4" t="s">
        <v>62</v>
      </c>
      <c r="J1936" s="112">
        <f>IF($H1936&lt;&gt;"Y",0,ROUND(MIN(Dashboard!$R$24,IF(IFERROR(VLOOKUP($B1936,Dashboard!$Q$28:$S$60,2,FALSE),0)&gt;0,IFERROR(VLOOKUP($B1936,Dashboard!$Q$28:$S$60,2,FALSE),0),$Z1936*IF($U1936&lt;&gt;"",ROUND((Dashboard!$R$4/$U1936)*VLOOKUP($I1936,Dashboard!$Q$9:$R$13,2,FALSE)*IF(ISNUMBER(SEARCH("Duals",$B1936)),2,IF(ISNUMBER(SEARCH("Triples",$B1936)),3,IF(ISNUMBER(SEARCH("Quads",$B1936)),4,1))),2),ROUND(VLOOKUP($I1936,Dashboard!$Q$15:$R$20,2,FALSE)*IF($E1936="Red",Dashboard!$R$6,IF($E1936="Gold",Dashboard!$R$7,Dashboard!$R$5))*IF(ISNUMBER(SEARCH("Duals",$B1936)),2,IF(ISNUMBER(SEARCH("Triples",$B1936)),3,IF(ISNUMBER(SEARCH("Quads",$B1936)),4,1))),2))*IF(IFERROR(VLOOKUP($B1936,Dashboard!$Q$28:$S$60,3,FALSE),0)&gt;0,VLOOKUP($B1936,Dashboard!$Q$28:$S$60,3,FALSE),1))),0))</f>
        <v>3</v>
      </c>
      <c r="K1936" s="2" t="str">
        <f>IF(Retro!C16="","",Retro!C16)</f>
        <v>V</v>
      </c>
      <c r="L1936" s="2">
        <f t="shared" si="390"/>
        <v>1</v>
      </c>
      <c r="M1936" s="2">
        <f t="shared" si="391"/>
        <v>0</v>
      </c>
      <c r="N1936" s="2">
        <f t="shared" si="392"/>
        <v>1</v>
      </c>
      <c r="O1936" s="2">
        <f t="shared" si="393"/>
        <v>0</v>
      </c>
      <c r="P1936" s="112">
        <f t="shared" si="394"/>
        <v>3</v>
      </c>
      <c r="Q1936" s="112">
        <f t="shared" si="395"/>
        <v>0</v>
      </c>
      <c r="R1936" s="53"/>
      <c r="S1936" s="53" t="str">
        <f t="shared" si="396"/>
        <v>Retro|Retro|R-15|Base</v>
      </c>
      <c r="T1936" s="57">
        <f>IF($S1936="","",IFERROR(VLOOKUP($S1936,'Pop Estimates (Non-#d)'!$N$2:$O$500,2,FALSE),""))</f>
        <v>380</v>
      </c>
      <c r="U1936" s="57">
        <f t="shared" si="397"/>
        <v>380</v>
      </c>
      <c r="V1936" s="53" t="str">
        <f t="shared" si="398"/>
        <v/>
      </c>
      <c r="W1936" s="53" t="str">
        <f t="shared" si="399"/>
        <v/>
      </c>
      <c r="X1936" s="53" t="str">
        <f t="shared" si="400"/>
        <v/>
      </c>
      <c r="Y1936" s="57" t="str">
        <f>IF($X1936="","",IFERROR(VLOOKUP($X1936,'Char Popularity'!$A$2:$C$500,2,FALSE),""))</f>
        <v/>
      </c>
      <c r="Z1936" s="56">
        <f>IF($X1936="",1,IFERROR(VLOOKUP($X1936,'Char Popularity'!$A$2:$C$500,3,FALSE),1))</f>
        <v>1</v>
      </c>
      <c r="AA1936" s="62">
        <f>IF($H1936&lt;&gt;"Y",0,(IF($F1936&lt;&gt;"",ROUND(Dashboard!$R$4/$F1936,1),IF(AND($I1936="Base",$E1936="Base"),Dashboard!$R$5,IF(AND($I1936="Base",$E1936="Red"),Dashboard!$R$6,IF(AND($I1936="Base",$E1936="Gold"),Dashboard!$R$7,VLOOKUP($I1936,Dashboard!$Q$16:$R$21,2,FALSE)))))*VLOOKUP($I1936,Dashboard!$Q$9:$R$13,2,FALSE)*IF(AND($I1936="Auto",$F1936="",OR($B1936="Autographs Duals",$B1936="Autographs Triples",$B1936="Autographs Quads",$B1936="Autographs Quads (Inscribed)")),IF($B1936="Autographs Duals",2,IF($B1936="Autographs Triples",3,4)),1)))</f>
        <v>6</v>
      </c>
      <c r="AB1936" s="62">
        <f t="shared" si="401"/>
        <v>6</v>
      </c>
      <c r="AC1936" s="62">
        <f t="shared" si="402"/>
        <v>0</v>
      </c>
    </row>
    <row r="1937" spans="1:29" ht="28.7" customHeight="1" x14ac:dyDescent="0.25">
      <c r="A1937" s="4" t="s">
        <v>25</v>
      </c>
      <c r="B1937" s="7" t="s">
        <v>25</v>
      </c>
      <c r="C1937" s="2" t="s">
        <v>459</v>
      </c>
      <c r="D1937" s="7" t="s">
        <v>460</v>
      </c>
      <c r="E1937" s="4" t="s">
        <v>60</v>
      </c>
      <c r="F1937" s="2"/>
      <c r="G1937" s="2" t="s">
        <v>1399</v>
      </c>
      <c r="H1937" s="2" t="s">
        <v>1400</v>
      </c>
      <c r="I1937" s="4" t="s">
        <v>62</v>
      </c>
      <c r="J1937" s="112">
        <f>IF($H1937&lt;&gt;"Y",0,ROUND(MIN(Dashboard!$R$24,IF(IFERROR(VLOOKUP($B1937,Dashboard!$Q$28:$S$60,2,FALSE),0)&gt;0,IFERROR(VLOOKUP($B1937,Dashboard!$Q$28:$S$60,2,FALSE),0),$Z1937*IF($U1937&lt;&gt;"",ROUND((Dashboard!$R$4/$U1937)*VLOOKUP($I1937,Dashboard!$Q$9:$R$13,2,FALSE)*IF(ISNUMBER(SEARCH("Duals",$B1937)),2,IF(ISNUMBER(SEARCH("Triples",$B1937)),3,IF(ISNUMBER(SEARCH("Quads",$B1937)),4,1))),2),ROUND(VLOOKUP($I1937,Dashboard!$Q$15:$R$20,2,FALSE)*IF($E1937="Red",Dashboard!$R$6,IF($E1937="Gold",Dashboard!$R$7,Dashboard!$R$5))*IF(ISNUMBER(SEARCH("Duals",$B1937)),2,IF(ISNUMBER(SEARCH("Triples",$B1937)),3,IF(ISNUMBER(SEARCH("Quads",$B1937)),4,1))),2))*IF(IFERROR(VLOOKUP($B1937,Dashboard!$Q$28:$S$60,3,FALSE),0)&gt;0,VLOOKUP($B1937,Dashboard!$Q$28:$S$60,3,FALSE),1))),0))</f>
        <v>10</v>
      </c>
      <c r="K1937" s="2" t="str">
        <f>IF('Team Ups'!E2="","",'Team Ups'!E2)</f>
        <v>C</v>
      </c>
      <c r="L1937" s="2">
        <f t="shared" si="390"/>
        <v>1</v>
      </c>
      <c r="M1937" s="2">
        <f t="shared" si="391"/>
        <v>0</v>
      </c>
      <c r="N1937" s="2">
        <f t="shared" si="392"/>
        <v>1</v>
      </c>
      <c r="O1937" s="2">
        <f t="shared" si="393"/>
        <v>0</v>
      </c>
      <c r="P1937" s="112">
        <f t="shared" si="394"/>
        <v>10</v>
      </c>
      <c r="Q1937" s="112">
        <f t="shared" si="395"/>
        <v>0</v>
      </c>
      <c r="R1937" s="53"/>
      <c r="S1937" s="53" t="str">
        <f t="shared" si="396"/>
        <v>Team Ups|Team Ups|TU-1|Base</v>
      </c>
      <c r="T1937" s="57">
        <f>IF($S1937="","",IFERROR(VLOOKUP($S1937,'Pop Estimates (Non-#d)'!$N$2:$O$500,2,FALSE),""))</f>
        <v>410</v>
      </c>
      <c r="U1937" s="57">
        <f t="shared" si="397"/>
        <v>410</v>
      </c>
      <c r="V1937" s="53" t="str">
        <f t="shared" si="398"/>
        <v>Billy Butcher</v>
      </c>
      <c r="W1937" s="53" t="str">
        <f t="shared" si="399"/>
        <v>Billy Butcher</v>
      </c>
      <c r="X1937" s="53" t="str">
        <f t="shared" si="400"/>
        <v>Billy Butcher</v>
      </c>
      <c r="Y1937" s="57">
        <f>IF($X1937="","",IFERROR(VLOOKUP($X1937,'Char Popularity'!$A$2:$C$500,2,FALSE),""))</f>
        <v>5</v>
      </c>
      <c r="Z1937" s="56">
        <f>IF($X1937="",1,IFERROR(VLOOKUP($X1937,'Char Popularity'!$A$2:$C$500,3,FALSE),1))</f>
        <v>1.2</v>
      </c>
      <c r="AA1937" s="62">
        <f>IF($H1937&lt;&gt;"Y",0,(IF($F1937&lt;&gt;"",ROUND(Dashboard!$R$4/$F1937,1),IF(AND($I1937="Base",$E1937="Base"),Dashboard!$R$5,IF(AND($I1937="Base",$E1937="Red"),Dashboard!$R$6,IF(AND($I1937="Base",$E1937="Gold"),Dashboard!$R$7,VLOOKUP($I1937,Dashboard!$Q$16:$R$21,2,FALSE)))))*VLOOKUP($I1937,Dashboard!$Q$9:$R$13,2,FALSE)*IF(AND($I1937="Auto",$F1937="",OR($B1937="Autographs Duals",$B1937="Autographs Triples",$B1937="Autographs Quads",$B1937="Autographs Quads (Inscribed)")),IF($B1937="Autographs Duals",2,IF($B1937="Autographs Triples",3,4)),1)))</f>
        <v>6</v>
      </c>
      <c r="AB1937" s="62">
        <f t="shared" si="401"/>
        <v>6</v>
      </c>
      <c r="AC1937" s="62">
        <f t="shared" si="402"/>
        <v>0</v>
      </c>
    </row>
    <row r="1938" spans="1:29" ht="28.7" customHeight="1" x14ac:dyDescent="0.25">
      <c r="A1938" s="4" t="s">
        <v>25</v>
      </c>
      <c r="B1938" s="7" t="s">
        <v>25</v>
      </c>
      <c r="C1938" s="2" t="s">
        <v>481</v>
      </c>
      <c r="D1938" s="7" t="s">
        <v>482</v>
      </c>
      <c r="E1938" s="4" t="s">
        <v>60</v>
      </c>
      <c r="F1938" s="2"/>
      <c r="G1938" s="2" t="s">
        <v>1399</v>
      </c>
      <c r="H1938" s="2" t="s">
        <v>1400</v>
      </c>
      <c r="I1938" s="4" t="s">
        <v>62</v>
      </c>
      <c r="J1938" s="112">
        <f>IF($H1938&lt;&gt;"Y",0,ROUND(MIN(Dashboard!$R$24,IF(IFERROR(VLOOKUP($B1938,Dashboard!$Q$28:$S$60,2,FALSE),0)&gt;0,IFERROR(VLOOKUP($B1938,Dashboard!$Q$28:$S$60,2,FALSE),0),$Z1938*IF($U1938&lt;&gt;"",ROUND((Dashboard!$R$4/$U1938)*VLOOKUP($I1938,Dashboard!$Q$9:$R$13,2,FALSE)*IF(ISNUMBER(SEARCH("Duals",$B1938)),2,IF(ISNUMBER(SEARCH("Triples",$B1938)),3,IF(ISNUMBER(SEARCH("Quads",$B1938)),4,1))),2),ROUND(VLOOKUP($I1938,Dashboard!$Q$15:$R$20,2,FALSE)*IF($E1938="Red",Dashboard!$R$6,IF($E1938="Gold",Dashboard!$R$7,Dashboard!$R$5))*IF(ISNUMBER(SEARCH("Duals",$B1938)),2,IF(ISNUMBER(SEARCH("Triples",$B1938)),3,IF(ISNUMBER(SEARCH("Quads",$B1938)),4,1))),2))*IF(IFERROR(VLOOKUP($B1938,Dashboard!$Q$28:$S$60,3,FALSE),0)&gt;0,VLOOKUP($B1938,Dashboard!$Q$28:$S$60,3,FALSE),1))),0))</f>
        <v>10</v>
      </c>
      <c r="K1938" s="2" t="str">
        <f>IF('Team Ups'!E3="","",'Team Ups'!E3)</f>
        <v>C</v>
      </c>
      <c r="L1938" s="2">
        <f t="shared" si="390"/>
        <v>1</v>
      </c>
      <c r="M1938" s="2">
        <f t="shared" si="391"/>
        <v>0</v>
      </c>
      <c r="N1938" s="2">
        <f t="shared" si="392"/>
        <v>1</v>
      </c>
      <c r="O1938" s="2">
        <f t="shared" si="393"/>
        <v>0</v>
      </c>
      <c r="P1938" s="112">
        <f t="shared" si="394"/>
        <v>10</v>
      </c>
      <c r="Q1938" s="112">
        <f t="shared" si="395"/>
        <v>0</v>
      </c>
      <c r="R1938" s="53"/>
      <c r="S1938" s="53" t="str">
        <f t="shared" si="396"/>
        <v>Team Ups|Team Ups|TU-2|Base</v>
      </c>
      <c r="T1938" s="57">
        <f>IF($S1938="","",IFERROR(VLOOKUP($S1938,'Pop Estimates (Non-#d)'!$N$2:$O$500,2,FALSE),""))</f>
        <v>410</v>
      </c>
      <c r="U1938" s="57">
        <f t="shared" si="397"/>
        <v>410</v>
      </c>
      <c r="V1938" s="53" t="str">
        <f t="shared" si="398"/>
        <v>Queen Maeve</v>
      </c>
      <c r="W1938" s="53" t="str">
        <f t="shared" si="399"/>
        <v>Queen Maeve</v>
      </c>
      <c r="X1938" s="53" t="str">
        <f t="shared" si="400"/>
        <v>Queen Maeve</v>
      </c>
      <c r="Y1938" s="57">
        <f>IF($X1938="","",IFERROR(VLOOKUP($X1938,'Char Popularity'!$A$2:$C$500,2,FALSE),""))</f>
        <v>4</v>
      </c>
      <c r="Z1938" s="56">
        <f>IF($X1938="",1,IFERROR(VLOOKUP($X1938,'Char Popularity'!$A$2:$C$500,3,FALSE),1))</f>
        <v>1.1000000000000001</v>
      </c>
      <c r="AA1938" s="62">
        <f>IF($H1938&lt;&gt;"Y",0,(IF($F1938&lt;&gt;"",ROUND(Dashboard!$R$4/$F1938,1),IF(AND($I1938="Base",$E1938="Base"),Dashboard!$R$5,IF(AND($I1938="Base",$E1938="Red"),Dashboard!$R$6,IF(AND($I1938="Base",$E1938="Gold"),Dashboard!$R$7,VLOOKUP($I1938,Dashboard!$Q$16:$R$21,2,FALSE)))))*VLOOKUP($I1938,Dashboard!$Q$9:$R$13,2,FALSE)*IF(AND($I1938="Auto",$F1938="",OR($B1938="Autographs Duals",$B1938="Autographs Triples",$B1938="Autographs Quads",$B1938="Autographs Quads (Inscribed)")),IF($B1938="Autographs Duals",2,IF($B1938="Autographs Triples",3,4)),1)))</f>
        <v>6</v>
      </c>
      <c r="AB1938" s="62">
        <f t="shared" si="401"/>
        <v>6</v>
      </c>
      <c r="AC1938" s="62">
        <f t="shared" si="402"/>
        <v>0</v>
      </c>
    </row>
    <row r="1939" spans="1:29" ht="28.7" customHeight="1" x14ac:dyDescent="0.25">
      <c r="A1939" s="4" t="s">
        <v>25</v>
      </c>
      <c r="B1939" s="7" t="s">
        <v>25</v>
      </c>
      <c r="C1939" s="2" t="s">
        <v>495</v>
      </c>
      <c r="D1939" s="7" t="s">
        <v>496</v>
      </c>
      <c r="E1939" s="4" t="s">
        <v>60</v>
      </c>
      <c r="F1939" s="2"/>
      <c r="G1939" s="2" t="s">
        <v>1399</v>
      </c>
      <c r="H1939" s="2" t="s">
        <v>1400</v>
      </c>
      <c r="I1939" s="4" t="s">
        <v>62</v>
      </c>
      <c r="J1939" s="112">
        <f>IF($H1939&lt;&gt;"Y",0,ROUND(MIN(Dashboard!$R$24,IF(IFERROR(VLOOKUP($B1939,Dashboard!$Q$28:$S$60,2,FALSE),0)&gt;0,IFERROR(VLOOKUP($B1939,Dashboard!$Q$28:$S$60,2,FALSE),0),$Z1939*IF($U1939&lt;&gt;"",ROUND((Dashboard!$R$4/$U1939)*VLOOKUP($I1939,Dashboard!$Q$9:$R$13,2,FALSE)*IF(ISNUMBER(SEARCH("Duals",$B1939)),2,IF(ISNUMBER(SEARCH("Triples",$B1939)),3,IF(ISNUMBER(SEARCH("Quads",$B1939)),4,1))),2),ROUND(VLOOKUP($I1939,Dashboard!$Q$15:$R$20,2,FALSE)*IF($E1939="Red",Dashboard!$R$6,IF($E1939="Gold",Dashboard!$R$7,Dashboard!$R$5))*IF(ISNUMBER(SEARCH("Duals",$B1939)),2,IF(ISNUMBER(SEARCH("Triples",$B1939)),3,IF(ISNUMBER(SEARCH("Quads",$B1939)),4,1))),2))*IF(IFERROR(VLOOKUP($B1939,Dashboard!$Q$28:$S$60,3,FALSE),0)&gt;0,VLOOKUP($B1939,Dashboard!$Q$28:$S$60,3,FALSE),1))),0))</f>
        <v>10</v>
      </c>
      <c r="K1939" s="2" t="str">
        <f>IF('Team Ups'!E4="","",'Team Ups'!E4)</f>
        <v>C</v>
      </c>
      <c r="L1939" s="2">
        <f t="shared" si="390"/>
        <v>1</v>
      </c>
      <c r="M1939" s="2">
        <f t="shared" si="391"/>
        <v>0</v>
      </c>
      <c r="N1939" s="2">
        <f t="shared" si="392"/>
        <v>1</v>
      </c>
      <c r="O1939" s="2">
        <f t="shared" si="393"/>
        <v>0</v>
      </c>
      <c r="P1939" s="112">
        <f t="shared" si="394"/>
        <v>10</v>
      </c>
      <c r="Q1939" s="112">
        <f t="shared" si="395"/>
        <v>0</v>
      </c>
      <c r="R1939" s="53"/>
      <c r="S1939" s="53" t="str">
        <f t="shared" si="396"/>
        <v>Team Ups|Team Ups|TU-3|Base</v>
      </c>
      <c r="T1939" s="57">
        <f>IF($S1939="","",IFERROR(VLOOKUP($S1939,'Pop Estimates (Non-#d)'!$N$2:$O$500,2,FALSE),""))</f>
        <v>410</v>
      </c>
      <c r="U1939" s="57">
        <f t="shared" si="397"/>
        <v>410</v>
      </c>
      <c r="V1939" s="53" t="str">
        <f t="shared" si="398"/>
        <v>The Deep</v>
      </c>
      <c r="W1939" s="53" t="str">
        <f t="shared" si="399"/>
        <v>The Deep</v>
      </c>
      <c r="X1939" s="53" t="str">
        <f t="shared" si="400"/>
        <v>The Deep</v>
      </c>
      <c r="Y1939" s="57">
        <f>IF($X1939="","",IFERROR(VLOOKUP($X1939,'Char Popularity'!$A$2:$C$500,2,FALSE),""))</f>
        <v>4</v>
      </c>
      <c r="Z1939" s="56">
        <f>IF($X1939="",1,IFERROR(VLOOKUP($X1939,'Char Popularity'!$A$2:$C$500,3,FALSE),1))</f>
        <v>1.1000000000000001</v>
      </c>
      <c r="AA1939" s="62">
        <f>IF($H1939&lt;&gt;"Y",0,(IF($F1939&lt;&gt;"",ROUND(Dashboard!$R$4/$F1939,1),IF(AND($I1939="Base",$E1939="Base"),Dashboard!$R$5,IF(AND($I1939="Base",$E1939="Red"),Dashboard!$R$6,IF(AND($I1939="Base",$E1939="Gold"),Dashboard!$R$7,VLOOKUP($I1939,Dashboard!$Q$16:$R$21,2,FALSE)))))*VLOOKUP($I1939,Dashboard!$Q$9:$R$13,2,FALSE)*IF(AND($I1939="Auto",$F1939="",OR($B1939="Autographs Duals",$B1939="Autographs Triples",$B1939="Autographs Quads",$B1939="Autographs Quads (Inscribed)")),IF($B1939="Autographs Duals",2,IF($B1939="Autographs Triples",3,4)),1)))</f>
        <v>6</v>
      </c>
      <c r="AB1939" s="62">
        <f t="shared" si="401"/>
        <v>6</v>
      </c>
      <c r="AC1939" s="62">
        <f t="shared" si="402"/>
        <v>0</v>
      </c>
    </row>
    <row r="1940" spans="1:29" ht="28.7" customHeight="1" x14ac:dyDescent="0.25">
      <c r="A1940" s="4" t="s">
        <v>25</v>
      </c>
      <c r="B1940" s="7" t="s">
        <v>25</v>
      </c>
      <c r="C1940" s="2" t="s">
        <v>497</v>
      </c>
      <c r="D1940" s="7" t="s">
        <v>498</v>
      </c>
      <c r="E1940" s="4" t="s">
        <v>60</v>
      </c>
      <c r="F1940" s="2"/>
      <c r="G1940" s="2" t="s">
        <v>1399</v>
      </c>
      <c r="H1940" s="2" t="s">
        <v>1400</v>
      </c>
      <c r="I1940" s="4" t="s">
        <v>62</v>
      </c>
      <c r="J1940" s="112">
        <f>IF($H1940&lt;&gt;"Y",0,ROUND(MIN(Dashboard!$R$24,IF(IFERROR(VLOOKUP($B1940,Dashboard!$Q$28:$S$60,2,FALSE),0)&gt;0,IFERROR(VLOOKUP($B1940,Dashboard!$Q$28:$S$60,2,FALSE),0),$Z1940*IF($U1940&lt;&gt;"",ROUND((Dashboard!$R$4/$U1940)*VLOOKUP($I1940,Dashboard!$Q$9:$R$13,2,FALSE)*IF(ISNUMBER(SEARCH("Duals",$B1940)),2,IF(ISNUMBER(SEARCH("Triples",$B1940)),3,IF(ISNUMBER(SEARCH("Quads",$B1940)),4,1))),2),ROUND(VLOOKUP($I1940,Dashboard!$Q$15:$R$20,2,FALSE)*IF($E1940="Red",Dashboard!$R$6,IF($E1940="Gold",Dashboard!$R$7,Dashboard!$R$5))*IF(ISNUMBER(SEARCH("Duals",$B1940)),2,IF(ISNUMBER(SEARCH("Triples",$B1940)),3,IF(ISNUMBER(SEARCH("Quads",$B1940)),4,1))),2))*IF(IFERROR(VLOOKUP($B1940,Dashboard!$Q$28:$S$60,3,FALSE),0)&gt;0,VLOOKUP($B1940,Dashboard!$Q$28:$S$60,3,FALSE),1))),0))</f>
        <v>10</v>
      </c>
      <c r="K1940" s="2" t="str">
        <f>IF('Team Ups'!E5="","",'Team Ups'!E5)</f>
        <v>C</v>
      </c>
      <c r="L1940" s="2">
        <f t="shared" si="390"/>
        <v>1</v>
      </c>
      <c r="M1940" s="2">
        <f t="shared" si="391"/>
        <v>0</v>
      </c>
      <c r="N1940" s="2">
        <f t="shared" si="392"/>
        <v>1</v>
      </c>
      <c r="O1940" s="2">
        <f t="shared" si="393"/>
        <v>0</v>
      </c>
      <c r="P1940" s="112">
        <f t="shared" si="394"/>
        <v>10</v>
      </c>
      <c r="Q1940" s="112">
        <f t="shared" si="395"/>
        <v>0</v>
      </c>
      <c r="R1940" s="53"/>
      <c r="S1940" s="53" t="str">
        <f t="shared" si="396"/>
        <v>Team Ups|Team Ups|TU-4|Base</v>
      </c>
      <c r="T1940" s="57">
        <f>IF($S1940="","",IFERROR(VLOOKUP($S1940,'Pop Estimates (Non-#d)'!$N$2:$O$500,2,FALSE),""))</f>
        <v>410</v>
      </c>
      <c r="U1940" s="57">
        <f t="shared" si="397"/>
        <v>410</v>
      </c>
      <c r="V1940" s="53" t="str">
        <f t="shared" si="398"/>
        <v>Mother's Milk</v>
      </c>
      <c r="W1940" s="53" t="str">
        <f t="shared" si="399"/>
        <v>Mother's Milk</v>
      </c>
      <c r="X1940" s="53" t="str">
        <f t="shared" si="400"/>
        <v>Mother's Milk</v>
      </c>
      <c r="Y1940" s="57">
        <f>IF($X1940="","",IFERROR(VLOOKUP($X1940,'Char Popularity'!$A$2:$C$500,2,FALSE),""))</f>
        <v>4</v>
      </c>
      <c r="Z1940" s="56">
        <f>IF($X1940="",1,IFERROR(VLOOKUP($X1940,'Char Popularity'!$A$2:$C$500,3,FALSE),1))</f>
        <v>1.1000000000000001</v>
      </c>
      <c r="AA1940" s="62">
        <f>IF($H1940&lt;&gt;"Y",0,(IF($F1940&lt;&gt;"",ROUND(Dashboard!$R$4/$F1940,1),IF(AND($I1940="Base",$E1940="Base"),Dashboard!$R$5,IF(AND($I1940="Base",$E1940="Red"),Dashboard!$R$6,IF(AND($I1940="Base",$E1940="Gold"),Dashboard!$R$7,VLOOKUP($I1940,Dashboard!$Q$16:$R$21,2,FALSE)))))*VLOOKUP($I1940,Dashboard!$Q$9:$R$13,2,FALSE)*IF(AND($I1940="Auto",$F1940="",OR($B1940="Autographs Duals",$B1940="Autographs Triples",$B1940="Autographs Quads",$B1940="Autographs Quads (Inscribed)")),IF($B1940="Autographs Duals",2,IF($B1940="Autographs Triples",3,4)),1)))</f>
        <v>6</v>
      </c>
      <c r="AB1940" s="62">
        <f t="shared" si="401"/>
        <v>6</v>
      </c>
      <c r="AC1940" s="62">
        <f t="shared" si="402"/>
        <v>0</v>
      </c>
    </row>
    <row r="1941" spans="1:29" ht="28.7" customHeight="1" x14ac:dyDescent="0.25">
      <c r="A1941" s="4" t="s">
        <v>25</v>
      </c>
      <c r="B1941" s="7" t="s">
        <v>25</v>
      </c>
      <c r="C1941" s="2" t="s">
        <v>499</v>
      </c>
      <c r="D1941" s="7" t="s">
        <v>500</v>
      </c>
      <c r="E1941" s="4" t="s">
        <v>60</v>
      </c>
      <c r="F1941" s="2"/>
      <c r="G1941" s="2" t="s">
        <v>1399</v>
      </c>
      <c r="H1941" s="2" t="s">
        <v>1400</v>
      </c>
      <c r="I1941" s="4" t="s">
        <v>62</v>
      </c>
      <c r="J1941" s="112">
        <f>IF($H1941&lt;&gt;"Y",0,ROUND(MIN(Dashboard!$R$24,IF(IFERROR(VLOOKUP($B1941,Dashboard!$Q$28:$S$60,2,FALSE),0)&gt;0,IFERROR(VLOOKUP($B1941,Dashboard!$Q$28:$S$60,2,FALSE),0),$Z1941*IF($U1941&lt;&gt;"",ROUND((Dashboard!$R$4/$U1941)*VLOOKUP($I1941,Dashboard!$Q$9:$R$13,2,FALSE)*IF(ISNUMBER(SEARCH("Duals",$B1941)),2,IF(ISNUMBER(SEARCH("Triples",$B1941)),3,IF(ISNUMBER(SEARCH("Quads",$B1941)),4,1))),2),ROUND(VLOOKUP($I1941,Dashboard!$Q$15:$R$20,2,FALSE)*IF($E1941="Red",Dashboard!$R$6,IF($E1941="Gold",Dashboard!$R$7,Dashboard!$R$5))*IF(ISNUMBER(SEARCH("Duals",$B1941)),2,IF(ISNUMBER(SEARCH("Triples",$B1941)),3,IF(ISNUMBER(SEARCH("Quads",$B1941)),4,1))),2))*IF(IFERROR(VLOOKUP($B1941,Dashboard!$Q$28:$S$60,3,FALSE),0)&gt;0,VLOOKUP($B1941,Dashboard!$Q$28:$S$60,3,FALSE),1))),0))</f>
        <v>10</v>
      </c>
      <c r="K1941" s="2" t="str">
        <f>IF('Team Ups'!E6="","",'Team Ups'!E6)</f>
        <v>C</v>
      </c>
      <c r="L1941" s="2">
        <f t="shared" si="390"/>
        <v>1</v>
      </c>
      <c r="M1941" s="2">
        <f t="shared" si="391"/>
        <v>0</v>
      </c>
      <c r="N1941" s="2">
        <f t="shared" si="392"/>
        <v>1</v>
      </c>
      <c r="O1941" s="2">
        <f t="shared" si="393"/>
        <v>0</v>
      </c>
      <c r="P1941" s="112">
        <f t="shared" si="394"/>
        <v>10</v>
      </c>
      <c r="Q1941" s="112">
        <f t="shared" si="395"/>
        <v>0</v>
      </c>
      <c r="R1941" s="53"/>
      <c r="S1941" s="53" t="str">
        <f t="shared" si="396"/>
        <v>Team Ups|Team Ups|TU-5|Base</v>
      </c>
      <c r="T1941" s="57">
        <f>IF($S1941="","",IFERROR(VLOOKUP($S1941,'Pop Estimates (Non-#d)'!$N$2:$O$500,2,FALSE),""))</f>
        <v>410</v>
      </c>
      <c r="U1941" s="57">
        <f t="shared" si="397"/>
        <v>410</v>
      </c>
      <c r="V1941" s="53" t="str">
        <f t="shared" si="398"/>
        <v>Kimiko</v>
      </c>
      <c r="W1941" s="53" t="str">
        <f t="shared" si="399"/>
        <v>Kimiko</v>
      </c>
      <c r="X1941" s="53" t="str">
        <f t="shared" si="400"/>
        <v>Kimiko</v>
      </c>
      <c r="Y1941" s="57">
        <f>IF($X1941="","",IFERROR(VLOOKUP($X1941,'Char Popularity'!$A$2:$C$500,2,FALSE),""))</f>
        <v>4</v>
      </c>
      <c r="Z1941" s="56">
        <f>IF($X1941="",1,IFERROR(VLOOKUP($X1941,'Char Popularity'!$A$2:$C$500,3,FALSE),1))</f>
        <v>1.1000000000000001</v>
      </c>
      <c r="AA1941" s="62">
        <f>IF($H1941&lt;&gt;"Y",0,(IF($F1941&lt;&gt;"",ROUND(Dashboard!$R$4/$F1941,1),IF(AND($I1941="Base",$E1941="Base"),Dashboard!$R$5,IF(AND($I1941="Base",$E1941="Red"),Dashboard!$R$6,IF(AND($I1941="Base",$E1941="Gold"),Dashboard!$R$7,VLOOKUP($I1941,Dashboard!$Q$16:$R$21,2,FALSE)))))*VLOOKUP($I1941,Dashboard!$Q$9:$R$13,2,FALSE)*IF(AND($I1941="Auto",$F1941="",OR($B1941="Autographs Duals",$B1941="Autographs Triples",$B1941="Autographs Quads",$B1941="Autographs Quads (Inscribed)")),IF($B1941="Autographs Duals",2,IF($B1941="Autographs Triples",3,4)),1)))</f>
        <v>6</v>
      </c>
      <c r="AB1941" s="62">
        <f t="shared" si="401"/>
        <v>6</v>
      </c>
      <c r="AC1941" s="62">
        <f t="shared" si="402"/>
        <v>0</v>
      </c>
    </row>
    <row r="1942" spans="1:29" ht="28.7" customHeight="1" x14ac:dyDescent="0.25">
      <c r="A1942" s="4" t="s">
        <v>25</v>
      </c>
      <c r="B1942" s="7" t="s">
        <v>25</v>
      </c>
      <c r="C1942" s="2" t="s">
        <v>501</v>
      </c>
      <c r="D1942" s="7" t="s">
        <v>502</v>
      </c>
      <c r="E1942" s="4" t="s">
        <v>60</v>
      </c>
      <c r="F1942" s="2"/>
      <c r="G1942" s="2" t="s">
        <v>1399</v>
      </c>
      <c r="H1942" s="2" t="s">
        <v>1400</v>
      </c>
      <c r="I1942" s="4" t="s">
        <v>62</v>
      </c>
      <c r="J1942" s="112">
        <f>IF($H1942&lt;&gt;"Y",0,ROUND(MIN(Dashboard!$R$24,IF(IFERROR(VLOOKUP($B1942,Dashboard!$Q$28:$S$60,2,FALSE),0)&gt;0,IFERROR(VLOOKUP($B1942,Dashboard!$Q$28:$S$60,2,FALSE),0),$Z1942*IF($U1942&lt;&gt;"",ROUND((Dashboard!$R$4/$U1942)*VLOOKUP($I1942,Dashboard!$Q$9:$R$13,2,FALSE)*IF(ISNUMBER(SEARCH("Duals",$B1942)),2,IF(ISNUMBER(SEARCH("Triples",$B1942)),3,IF(ISNUMBER(SEARCH("Quads",$B1942)),4,1))),2),ROUND(VLOOKUP($I1942,Dashboard!$Q$15:$R$20,2,FALSE)*IF($E1942="Red",Dashboard!$R$6,IF($E1942="Gold",Dashboard!$R$7,Dashboard!$R$5))*IF(ISNUMBER(SEARCH("Duals",$B1942)),2,IF(ISNUMBER(SEARCH("Triples",$B1942)),3,IF(ISNUMBER(SEARCH("Quads",$B1942)),4,1))),2))*IF(IFERROR(VLOOKUP($B1942,Dashboard!$Q$28:$S$60,3,FALSE),0)&gt;0,VLOOKUP($B1942,Dashboard!$Q$28:$S$60,3,FALSE),1))),0))</f>
        <v>10</v>
      </c>
      <c r="K1942" s="2" t="str">
        <f>IF('Team Ups'!E7="","",'Team Ups'!E7)</f>
        <v>V</v>
      </c>
      <c r="L1942" s="2">
        <f t="shared" si="390"/>
        <v>1</v>
      </c>
      <c r="M1942" s="2">
        <f t="shared" si="391"/>
        <v>0</v>
      </c>
      <c r="N1942" s="2">
        <f t="shared" si="392"/>
        <v>1</v>
      </c>
      <c r="O1942" s="2">
        <f t="shared" si="393"/>
        <v>0</v>
      </c>
      <c r="P1942" s="112">
        <f t="shared" si="394"/>
        <v>10</v>
      </c>
      <c r="Q1942" s="112">
        <f t="shared" si="395"/>
        <v>0</v>
      </c>
      <c r="R1942" s="53"/>
      <c r="S1942" s="53" t="str">
        <f t="shared" si="396"/>
        <v>Team Ups|Team Ups|TU-6|Base</v>
      </c>
      <c r="T1942" s="57">
        <f>IF($S1942="","",IFERROR(VLOOKUP($S1942,'Pop Estimates (Non-#d)'!$N$2:$O$500,2,FALSE),""))</f>
        <v>410</v>
      </c>
      <c r="U1942" s="57">
        <f t="shared" si="397"/>
        <v>410</v>
      </c>
      <c r="V1942" s="53" t="str">
        <f t="shared" si="398"/>
        <v>Homelander</v>
      </c>
      <c r="W1942" s="53" t="str">
        <f t="shared" si="399"/>
        <v>Homelander</v>
      </c>
      <c r="X1942" s="53" t="str">
        <f t="shared" si="400"/>
        <v>Homelander</v>
      </c>
      <c r="Y1942" s="57">
        <f>IF($X1942="","",IFERROR(VLOOKUP($X1942,'Char Popularity'!$A$2:$C$500,2,FALSE),""))</f>
        <v>5</v>
      </c>
      <c r="Z1942" s="56">
        <f>IF($X1942="",1,IFERROR(VLOOKUP($X1942,'Char Popularity'!$A$2:$C$500,3,FALSE),1))</f>
        <v>1.2</v>
      </c>
      <c r="AA1942" s="62">
        <f>IF($H1942&lt;&gt;"Y",0,(IF($F1942&lt;&gt;"",ROUND(Dashboard!$R$4/$F1942,1),IF(AND($I1942="Base",$E1942="Base"),Dashboard!$R$5,IF(AND($I1942="Base",$E1942="Red"),Dashboard!$R$6,IF(AND($I1942="Base",$E1942="Gold"),Dashboard!$R$7,VLOOKUP($I1942,Dashboard!$Q$16:$R$21,2,FALSE)))))*VLOOKUP($I1942,Dashboard!$Q$9:$R$13,2,FALSE)*IF(AND($I1942="Auto",$F1942="",OR($B1942="Autographs Duals",$B1942="Autographs Triples",$B1942="Autographs Quads",$B1942="Autographs Quads (Inscribed)")),IF($B1942="Autographs Duals",2,IF($B1942="Autographs Triples",3,4)),1)))</f>
        <v>6</v>
      </c>
      <c r="AB1942" s="62">
        <f t="shared" si="401"/>
        <v>6</v>
      </c>
      <c r="AC1942" s="62">
        <f t="shared" si="402"/>
        <v>0</v>
      </c>
    </row>
    <row r="1943" spans="1:29" ht="28.7" customHeight="1" x14ac:dyDescent="0.25">
      <c r="A1943" s="4" t="s">
        <v>25</v>
      </c>
      <c r="B1943" s="7" t="s">
        <v>25</v>
      </c>
      <c r="C1943" s="2" t="s">
        <v>503</v>
      </c>
      <c r="D1943" s="7" t="s">
        <v>504</v>
      </c>
      <c r="E1943" s="4" t="s">
        <v>60</v>
      </c>
      <c r="F1943" s="2"/>
      <c r="G1943" s="2" t="s">
        <v>1399</v>
      </c>
      <c r="H1943" s="2" t="s">
        <v>1400</v>
      </c>
      <c r="I1943" s="4" t="s">
        <v>62</v>
      </c>
      <c r="J1943" s="112">
        <f>IF($H1943&lt;&gt;"Y",0,ROUND(MIN(Dashboard!$R$24,IF(IFERROR(VLOOKUP($B1943,Dashboard!$Q$28:$S$60,2,FALSE),0)&gt;0,IFERROR(VLOOKUP($B1943,Dashboard!$Q$28:$S$60,2,FALSE),0),$Z1943*IF($U1943&lt;&gt;"",ROUND((Dashboard!$R$4/$U1943)*VLOOKUP($I1943,Dashboard!$Q$9:$R$13,2,FALSE)*IF(ISNUMBER(SEARCH("Duals",$B1943)),2,IF(ISNUMBER(SEARCH("Triples",$B1943)),3,IF(ISNUMBER(SEARCH("Quads",$B1943)),4,1))),2),ROUND(VLOOKUP($I1943,Dashboard!$Q$15:$R$20,2,FALSE)*IF($E1943="Red",Dashboard!$R$6,IF($E1943="Gold",Dashboard!$R$7,Dashboard!$R$5))*IF(ISNUMBER(SEARCH("Duals",$B1943)),2,IF(ISNUMBER(SEARCH("Triples",$B1943)),3,IF(ISNUMBER(SEARCH("Quads",$B1943)),4,1))),2))*IF(IFERROR(VLOOKUP($B1943,Dashboard!$Q$28:$S$60,3,FALSE),0)&gt;0,VLOOKUP($B1943,Dashboard!$Q$28:$S$60,3,FALSE),1))),0))</f>
        <v>10</v>
      </c>
      <c r="K1943" s="2" t="str">
        <f>IF('Team Ups'!E8="","",'Team Ups'!E8)</f>
        <v>C</v>
      </c>
      <c r="L1943" s="2">
        <f t="shared" si="390"/>
        <v>1</v>
      </c>
      <c r="M1943" s="2">
        <f t="shared" si="391"/>
        <v>0</v>
      </c>
      <c r="N1943" s="2">
        <f t="shared" si="392"/>
        <v>1</v>
      </c>
      <c r="O1943" s="2">
        <f t="shared" si="393"/>
        <v>0</v>
      </c>
      <c r="P1943" s="112">
        <f t="shared" si="394"/>
        <v>10</v>
      </c>
      <c r="Q1943" s="112">
        <f t="shared" si="395"/>
        <v>0</v>
      </c>
      <c r="R1943" s="53"/>
      <c r="S1943" s="53" t="str">
        <f t="shared" si="396"/>
        <v>Team Ups|Team Ups|TU-7|Base</v>
      </c>
      <c r="T1943" s="57">
        <f>IF($S1943="","",IFERROR(VLOOKUP($S1943,'Pop Estimates (Non-#d)'!$N$2:$O$500,2,FALSE),""))</f>
        <v>410</v>
      </c>
      <c r="U1943" s="57">
        <f t="shared" si="397"/>
        <v>410</v>
      </c>
      <c r="V1943" s="53" t="str">
        <f t="shared" si="398"/>
        <v>Becca Butcher</v>
      </c>
      <c r="W1943" s="53" t="str">
        <f t="shared" si="399"/>
        <v>Becca Butcher</v>
      </c>
      <c r="X1943" s="53" t="str">
        <f t="shared" si="400"/>
        <v>Becca Butcher</v>
      </c>
      <c r="Y1943" s="57">
        <f>IF($X1943="","",IFERROR(VLOOKUP($X1943,'Char Popularity'!$A$2:$C$500,2,FALSE),""))</f>
        <v>3</v>
      </c>
      <c r="Z1943" s="56">
        <f>IF($X1943="",1,IFERROR(VLOOKUP($X1943,'Char Popularity'!$A$2:$C$500,3,FALSE),1))</f>
        <v>1</v>
      </c>
      <c r="AA1943" s="62">
        <f>IF($H1943&lt;&gt;"Y",0,(IF($F1943&lt;&gt;"",ROUND(Dashboard!$R$4/$F1943,1),IF(AND($I1943="Base",$E1943="Base"),Dashboard!$R$5,IF(AND($I1943="Base",$E1943="Red"),Dashboard!$R$6,IF(AND($I1943="Base",$E1943="Gold"),Dashboard!$R$7,VLOOKUP($I1943,Dashboard!$Q$16:$R$21,2,FALSE)))))*VLOOKUP($I1943,Dashboard!$Q$9:$R$13,2,FALSE)*IF(AND($I1943="Auto",$F1943="",OR($B1943="Autographs Duals",$B1943="Autographs Triples",$B1943="Autographs Quads",$B1943="Autographs Quads (Inscribed)")),IF($B1943="Autographs Duals",2,IF($B1943="Autographs Triples",3,4)),1)))</f>
        <v>6</v>
      </c>
      <c r="AB1943" s="62">
        <f t="shared" si="401"/>
        <v>6</v>
      </c>
      <c r="AC1943" s="62">
        <f t="shared" si="402"/>
        <v>0</v>
      </c>
    </row>
    <row r="1944" spans="1:29" ht="28.7" customHeight="1" x14ac:dyDescent="0.25">
      <c r="A1944" s="4" t="s">
        <v>25</v>
      </c>
      <c r="B1944" s="7" t="s">
        <v>25</v>
      </c>
      <c r="C1944" s="2" t="s">
        <v>505</v>
      </c>
      <c r="D1944" s="7" t="s">
        <v>506</v>
      </c>
      <c r="E1944" s="4" t="s">
        <v>60</v>
      </c>
      <c r="F1944" s="2"/>
      <c r="G1944" s="2" t="s">
        <v>1399</v>
      </c>
      <c r="H1944" s="2" t="s">
        <v>1400</v>
      </c>
      <c r="I1944" s="4" t="s">
        <v>62</v>
      </c>
      <c r="J1944" s="112">
        <f>IF($H1944&lt;&gt;"Y",0,ROUND(MIN(Dashboard!$R$24,IF(IFERROR(VLOOKUP($B1944,Dashboard!$Q$28:$S$60,2,FALSE),0)&gt;0,IFERROR(VLOOKUP($B1944,Dashboard!$Q$28:$S$60,2,FALSE),0),$Z1944*IF($U1944&lt;&gt;"",ROUND((Dashboard!$R$4/$U1944)*VLOOKUP($I1944,Dashboard!$Q$9:$R$13,2,FALSE)*IF(ISNUMBER(SEARCH("Duals",$B1944)),2,IF(ISNUMBER(SEARCH("Triples",$B1944)),3,IF(ISNUMBER(SEARCH("Quads",$B1944)),4,1))),2),ROUND(VLOOKUP($I1944,Dashboard!$Q$15:$R$20,2,FALSE)*IF($E1944="Red",Dashboard!$R$6,IF($E1944="Gold",Dashboard!$R$7,Dashboard!$R$5))*IF(ISNUMBER(SEARCH("Duals",$B1944)),2,IF(ISNUMBER(SEARCH("Triples",$B1944)),3,IF(ISNUMBER(SEARCH("Quads",$B1944)),4,1))),2))*IF(IFERROR(VLOOKUP($B1944,Dashboard!$Q$28:$S$60,3,FALSE),0)&gt;0,VLOOKUP($B1944,Dashboard!$Q$28:$S$60,3,FALSE),1))),0))</f>
        <v>10</v>
      </c>
      <c r="K1944" s="2" t="str">
        <f>IF('Team Ups'!E9="","",'Team Ups'!E9)</f>
        <v>C</v>
      </c>
      <c r="L1944" s="2">
        <f t="shared" si="390"/>
        <v>1</v>
      </c>
      <c r="M1944" s="2">
        <f t="shared" si="391"/>
        <v>0</v>
      </c>
      <c r="N1944" s="2">
        <f t="shared" si="392"/>
        <v>1</v>
      </c>
      <c r="O1944" s="2">
        <f t="shared" si="393"/>
        <v>0</v>
      </c>
      <c r="P1944" s="112">
        <f t="shared" si="394"/>
        <v>10</v>
      </c>
      <c r="Q1944" s="112">
        <f t="shared" si="395"/>
        <v>0</v>
      </c>
      <c r="R1944" s="53"/>
      <c r="S1944" s="53" t="str">
        <f t="shared" si="396"/>
        <v>Team Ups|Team Ups|TU-8|Base</v>
      </c>
      <c r="T1944" s="57">
        <f>IF($S1944="","",IFERROR(VLOOKUP($S1944,'Pop Estimates (Non-#d)'!$N$2:$O$500,2,FALSE),""))</f>
        <v>410</v>
      </c>
      <c r="U1944" s="57">
        <f t="shared" si="397"/>
        <v>410</v>
      </c>
      <c r="V1944" s="53" t="str">
        <f t="shared" si="398"/>
        <v>Hughie Campbell</v>
      </c>
      <c r="W1944" s="53" t="str">
        <f t="shared" si="399"/>
        <v>Hughie Campbell</v>
      </c>
      <c r="X1944" s="53" t="str">
        <f t="shared" si="400"/>
        <v>Hughie Campbell</v>
      </c>
      <c r="Y1944" s="57">
        <f>IF($X1944="","",IFERROR(VLOOKUP($X1944,'Char Popularity'!$A$2:$C$500,2,FALSE),""))</f>
        <v>5</v>
      </c>
      <c r="Z1944" s="56">
        <f>IF($X1944="",1,IFERROR(VLOOKUP($X1944,'Char Popularity'!$A$2:$C$500,3,FALSE),1))</f>
        <v>1.2</v>
      </c>
      <c r="AA1944" s="62">
        <f>IF($H1944&lt;&gt;"Y",0,(IF($F1944&lt;&gt;"",ROUND(Dashboard!$R$4/$F1944,1),IF(AND($I1944="Base",$E1944="Base"),Dashboard!$R$5,IF(AND($I1944="Base",$E1944="Red"),Dashboard!$R$6,IF(AND($I1944="Base",$E1944="Gold"),Dashboard!$R$7,VLOOKUP($I1944,Dashboard!$Q$16:$R$21,2,FALSE)))))*VLOOKUP($I1944,Dashboard!$Q$9:$R$13,2,FALSE)*IF(AND($I1944="Auto",$F1944="",OR($B1944="Autographs Duals",$B1944="Autographs Triples",$B1944="Autographs Quads",$B1944="Autographs Quads (Inscribed)")),IF($B1944="Autographs Duals",2,IF($B1944="Autographs Triples",3,4)),1)))</f>
        <v>6</v>
      </c>
      <c r="AB1944" s="62">
        <f t="shared" si="401"/>
        <v>6</v>
      </c>
      <c r="AC1944" s="62">
        <f t="shared" si="402"/>
        <v>0</v>
      </c>
    </row>
    <row r="1945" spans="1:29" ht="28.7" customHeight="1" x14ac:dyDescent="0.25">
      <c r="A1945" s="4" t="s">
        <v>25</v>
      </c>
      <c r="B1945" s="7" t="s">
        <v>25</v>
      </c>
      <c r="C1945" s="2" t="s">
        <v>507</v>
      </c>
      <c r="D1945" s="7" t="s">
        <v>508</v>
      </c>
      <c r="E1945" s="4" t="s">
        <v>60</v>
      </c>
      <c r="F1945" s="2"/>
      <c r="G1945" s="2" t="s">
        <v>1399</v>
      </c>
      <c r="H1945" s="2" t="s">
        <v>1400</v>
      </c>
      <c r="I1945" s="4" t="s">
        <v>62</v>
      </c>
      <c r="J1945" s="112">
        <f>IF($H1945&lt;&gt;"Y",0,ROUND(MIN(Dashboard!$R$24,IF(IFERROR(VLOOKUP($B1945,Dashboard!$Q$28:$S$60,2,FALSE),0)&gt;0,IFERROR(VLOOKUP($B1945,Dashboard!$Q$28:$S$60,2,FALSE),0),$Z1945*IF($U1945&lt;&gt;"",ROUND((Dashboard!$R$4/$U1945)*VLOOKUP($I1945,Dashboard!$Q$9:$R$13,2,FALSE)*IF(ISNUMBER(SEARCH("Duals",$B1945)),2,IF(ISNUMBER(SEARCH("Triples",$B1945)),3,IF(ISNUMBER(SEARCH("Quads",$B1945)),4,1))),2),ROUND(VLOOKUP($I1945,Dashboard!$Q$15:$R$20,2,FALSE)*IF($E1945="Red",Dashboard!$R$6,IF($E1945="Gold",Dashboard!$R$7,Dashboard!$R$5))*IF(ISNUMBER(SEARCH("Duals",$B1945)),2,IF(ISNUMBER(SEARCH("Triples",$B1945)),3,IF(ISNUMBER(SEARCH("Quads",$B1945)),4,1))),2))*IF(IFERROR(VLOOKUP($B1945,Dashboard!$Q$28:$S$60,3,FALSE),0)&gt;0,VLOOKUP($B1945,Dashboard!$Q$28:$S$60,3,FALSE),1))),0))</f>
        <v>10</v>
      </c>
      <c r="K1945" s="2" t="str">
        <f>IF('Team Ups'!E10="","",'Team Ups'!E10)</f>
        <v>C</v>
      </c>
      <c r="L1945" s="2">
        <f t="shared" si="390"/>
        <v>1</v>
      </c>
      <c r="M1945" s="2">
        <f t="shared" si="391"/>
        <v>0</v>
      </c>
      <c r="N1945" s="2">
        <f t="shared" si="392"/>
        <v>1</v>
      </c>
      <c r="O1945" s="2">
        <f t="shared" si="393"/>
        <v>0</v>
      </c>
      <c r="P1945" s="112">
        <f t="shared" si="394"/>
        <v>10</v>
      </c>
      <c r="Q1945" s="112">
        <f t="shared" si="395"/>
        <v>0</v>
      </c>
      <c r="R1945" s="53"/>
      <c r="S1945" s="53" t="str">
        <f t="shared" si="396"/>
        <v>Team Ups|Team Ups|TU-9|Base</v>
      </c>
      <c r="T1945" s="57">
        <f>IF($S1945="","",IFERROR(VLOOKUP($S1945,'Pop Estimates (Non-#d)'!$N$2:$O$500,2,FALSE),""))</f>
        <v>410</v>
      </c>
      <c r="U1945" s="57">
        <f t="shared" si="397"/>
        <v>410</v>
      </c>
      <c r="V1945" s="53" t="str">
        <f t="shared" si="398"/>
        <v>Hughie Campbell</v>
      </c>
      <c r="W1945" s="53" t="str">
        <f t="shared" si="399"/>
        <v>Hughie Campbell</v>
      </c>
      <c r="X1945" s="53" t="str">
        <f t="shared" si="400"/>
        <v>Hughie Campbell</v>
      </c>
      <c r="Y1945" s="57">
        <f>IF($X1945="","",IFERROR(VLOOKUP($X1945,'Char Popularity'!$A$2:$C$500,2,FALSE),""))</f>
        <v>5</v>
      </c>
      <c r="Z1945" s="56">
        <f>IF($X1945="",1,IFERROR(VLOOKUP($X1945,'Char Popularity'!$A$2:$C$500,3,FALSE),1))</f>
        <v>1.2</v>
      </c>
      <c r="AA1945" s="62">
        <f>IF($H1945&lt;&gt;"Y",0,(IF($F1945&lt;&gt;"",ROUND(Dashboard!$R$4/$F1945,1),IF(AND($I1945="Base",$E1945="Base"),Dashboard!$R$5,IF(AND($I1945="Base",$E1945="Red"),Dashboard!$R$6,IF(AND($I1945="Base",$E1945="Gold"),Dashboard!$R$7,VLOOKUP($I1945,Dashboard!$Q$16:$R$21,2,FALSE)))))*VLOOKUP($I1945,Dashboard!$Q$9:$R$13,2,FALSE)*IF(AND($I1945="Auto",$F1945="",OR($B1945="Autographs Duals",$B1945="Autographs Triples",$B1945="Autographs Quads",$B1945="Autographs Quads (Inscribed)")),IF($B1945="Autographs Duals",2,IF($B1945="Autographs Triples",3,4)),1)))</f>
        <v>6</v>
      </c>
      <c r="AB1945" s="62">
        <f t="shared" si="401"/>
        <v>6</v>
      </c>
      <c r="AC1945" s="62">
        <f t="shared" si="402"/>
        <v>0</v>
      </c>
    </row>
    <row r="1946" spans="1:29" ht="28.7" customHeight="1" x14ac:dyDescent="0.25">
      <c r="A1946" s="4" t="s">
        <v>25</v>
      </c>
      <c r="B1946" s="7" t="s">
        <v>25</v>
      </c>
      <c r="C1946" s="2" t="s">
        <v>461</v>
      </c>
      <c r="D1946" s="7" t="s">
        <v>462</v>
      </c>
      <c r="E1946" s="4" t="s">
        <v>60</v>
      </c>
      <c r="F1946" s="2"/>
      <c r="G1946" s="2" t="s">
        <v>1399</v>
      </c>
      <c r="H1946" s="2" t="s">
        <v>1400</v>
      </c>
      <c r="I1946" s="4" t="s">
        <v>62</v>
      </c>
      <c r="J1946" s="112">
        <f>IF($H1946&lt;&gt;"Y",0,ROUND(MIN(Dashboard!$R$24,IF(IFERROR(VLOOKUP($B1946,Dashboard!$Q$28:$S$60,2,FALSE),0)&gt;0,IFERROR(VLOOKUP($B1946,Dashboard!$Q$28:$S$60,2,FALSE),0),$Z1946*IF($U1946&lt;&gt;"",ROUND((Dashboard!$R$4/$U1946)*VLOOKUP($I1946,Dashboard!$Q$9:$R$13,2,FALSE)*IF(ISNUMBER(SEARCH("Duals",$B1946)),2,IF(ISNUMBER(SEARCH("Triples",$B1946)),3,IF(ISNUMBER(SEARCH("Quads",$B1946)),4,1))),2),ROUND(VLOOKUP($I1946,Dashboard!$Q$15:$R$20,2,FALSE)*IF($E1946="Red",Dashboard!$R$6,IF($E1946="Gold",Dashboard!$R$7,Dashboard!$R$5))*IF(ISNUMBER(SEARCH("Duals",$B1946)),2,IF(ISNUMBER(SEARCH("Triples",$B1946)),3,IF(ISNUMBER(SEARCH("Quads",$B1946)),4,1))),2))*IF(IFERROR(VLOOKUP($B1946,Dashboard!$Q$28:$S$60,3,FALSE),0)&gt;0,VLOOKUP($B1946,Dashboard!$Q$28:$S$60,3,FALSE),1))),0))</f>
        <v>10</v>
      </c>
      <c r="K1946" s="2" t="str">
        <f>IF('Team Ups'!E11="","",'Team Ups'!E11)</f>
        <v>V</v>
      </c>
      <c r="L1946" s="2">
        <f t="shared" si="390"/>
        <v>1</v>
      </c>
      <c r="M1946" s="2">
        <f t="shared" si="391"/>
        <v>0</v>
      </c>
      <c r="N1946" s="2">
        <f t="shared" si="392"/>
        <v>1</v>
      </c>
      <c r="O1946" s="2">
        <f t="shared" si="393"/>
        <v>0</v>
      </c>
      <c r="P1946" s="112">
        <f t="shared" si="394"/>
        <v>10</v>
      </c>
      <c r="Q1946" s="112">
        <f t="shared" si="395"/>
        <v>0</v>
      </c>
      <c r="R1946" s="53"/>
      <c r="S1946" s="53" t="str">
        <f t="shared" si="396"/>
        <v>Team Ups|Team Ups|TU-10|Base</v>
      </c>
      <c r="T1946" s="57">
        <f>IF($S1946="","",IFERROR(VLOOKUP($S1946,'Pop Estimates (Non-#d)'!$N$2:$O$500,2,FALSE),""))</f>
        <v>410</v>
      </c>
      <c r="U1946" s="57">
        <f t="shared" si="397"/>
        <v>410</v>
      </c>
      <c r="V1946" s="53" t="str">
        <f t="shared" si="398"/>
        <v>Billy Butcher</v>
      </c>
      <c r="W1946" s="53" t="str">
        <f t="shared" si="399"/>
        <v>Billy Butcher</v>
      </c>
      <c r="X1946" s="53" t="str">
        <f t="shared" si="400"/>
        <v>Billy Butcher</v>
      </c>
      <c r="Y1946" s="57">
        <f>IF($X1946="","",IFERROR(VLOOKUP($X1946,'Char Popularity'!$A$2:$C$500,2,FALSE),""))</f>
        <v>5</v>
      </c>
      <c r="Z1946" s="56">
        <f>IF($X1946="",1,IFERROR(VLOOKUP($X1946,'Char Popularity'!$A$2:$C$500,3,FALSE),1))</f>
        <v>1.2</v>
      </c>
      <c r="AA1946" s="62">
        <f>IF($H1946&lt;&gt;"Y",0,(IF($F1946&lt;&gt;"",ROUND(Dashboard!$R$4/$F1946,1),IF(AND($I1946="Base",$E1946="Base"),Dashboard!$R$5,IF(AND($I1946="Base",$E1946="Red"),Dashboard!$R$6,IF(AND($I1946="Base",$E1946="Gold"),Dashboard!$R$7,VLOOKUP($I1946,Dashboard!$Q$16:$R$21,2,FALSE)))))*VLOOKUP($I1946,Dashboard!$Q$9:$R$13,2,FALSE)*IF(AND($I1946="Auto",$F1946="",OR($B1946="Autographs Duals",$B1946="Autographs Triples",$B1946="Autographs Quads",$B1946="Autographs Quads (Inscribed)")),IF($B1946="Autographs Duals",2,IF($B1946="Autographs Triples",3,4)),1)))</f>
        <v>6</v>
      </c>
      <c r="AB1946" s="62">
        <f t="shared" si="401"/>
        <v>6</v>
      </c>
      <c r="AC1946" s="62">
        <f t="shared" si="402"/>
        <v>0</v>
      </c>
    </row>
    <row r="1947" spans="1:29" ht="28.7" customHeight="1" x14ac:dyDescent="0.25">
      <c r="A1947" s="4" t="s">
        <v>25</v>
      </c>
      <c r="B1947" s="7" t="s">
        <v>25</v>
      </c>
      <c r="C1947" s="2" t="s">
        <v>463</v>
      </c>
      <c r="D1947" s="7" t="s">
        <v>464</v>
      </c>
      <c r="E1947" s="4" t="s">
        <v>60</v>
      </c>
      <c r="F1947" s="2"/>
      <c r="G1947" s="2" t="s">
        <v>1399</v>
      </c>
      <c r="H1947" s="2" t="s">
        <v>1400</v>
      </c>
      <c r="I1947" s="4" t="s">
        <v>62</v>
      </c>
      <c r="J1947" s="112">
        <f>IF($H1947&lt;&gt;"Y",0,ROUND(MIN(Dashboard!$R$24,IF(IFERROR(VLOOKUP($B1947,Dashboard!$Q$28:$S$60,2,FALSE),0)&gt;0,IFERROR(VLOOKUP($B1947,Dashboard!$Q$28:$S$60,2,FALSE),0),$Z1947*IF($U1947&lt;&gt;"",ROUND((Dashboard!$R$4/$U1947)*VLOOKUP($I1947,Dashboard!$Q$9:$R$13,2,FALSE)*IF(ISNUMBER(SEARCH("Duals",$B1947)),2,IF(ISNUMBER(SEARCH("Triples",$B1947)),3,IF(ISNUMBER(SEARCH("Quads",$B1947)),4,1))),2),ROUND(VLOOKUP($I1947,Dashboard!$Q$15:$R$20,2,FALSE)*IF($E1947="Red",Dashboard!$R$6,IF($E1947="Gold",Dashboard!$R$7,Dashboard!$R$5))*IF(ISNUMBER(SEARCH("Duals",$B1947)),2,IF(ISNUMBER(SEARCH("Triples",$B1947)),3,IF(ISNUMBER(SEARCH("Quads",$B1947)),4,1))),2))*IF(IFERROR(VLOOKUP($B1947,Dashboard!$Q$28:$S$60,3,FALSE),0)&gt;0,VLOOKUP($B1947,Dashboard!$Q$28:$S$60,3,FALSE),1))),0))</f>
        <v>10</v>
      </c>
      <c r="K1947" s="2" t="str">
        <f>IF('Team Ups'!E12="","",'Team Ups'!E12)</f>
        <v>C</v>
      </c>
      <c r="L1947" s="2">
        <f t="shared" si="390"/>
        <v>1</v>
      </c>
      <c r="M1947" s="2">
        <f t="shared" si="391"/>
        <v>0</v>
      </c>
      <c r="N1947" s="2">
        <f t="shared" si="392"/>
        <v>1</v>
      </c>
      <c r="O1947" s="2">
        <f t="shared" si="393"/>
        <v>0</v>
      </c>
      <c r="P1947" s="112">
        <f t="shared" si="394"/>
        <v>10</v>
      </c>
      <c r="Q1947" s="112">
        <f t="shared" si="395"/>
        <v>0</v>
      </c>
      <c r="R1947" s="53"/>
      <c r="S1947" s="53" t="str">
        <f t="shared" si="396"/>
        <v>Team Ups|Team Ups|TU-11|Base</v>
      </c>
      <c r="T1947" s="57">
        <f>IF($S1947="","",IFERROR(VLOOKUP($S1947,'Pop Estimates (Non-#d)'!$N$2:$O$500,2,FALSE),""))</f>
        <v>410</v>
      </c>
      <c r="U1947" s="57">
        <f t="shared" si="397"/>
        <v>410</v>
      </c>
      <c r="V1947" s="53" t="str">
        <f t="shared" si="398"/>
        <v>Kenji</v>
      </c>
      <c r="W1947" s="53" t="str">
        <f t="shared" si="399"/>
        <v>Kenji</v>
      </c>
      <c r="X1947" s="53" t="str">
        <f t="shared" si="400"/>
        <v>Kenji</v>
      </c>
      <c r="Y1947" s="57">
        <f>IF($X1947="","",IFERROR(VLOOKUP($X1947,'Char Popularity'!$A$2:$C$500,2,FALSE),""))</f>
        <v>3</v>
      </c>
      <c r="Z1947" s="56">
        <f>IF($X1947="",1,IFERROR(VLOOKUP($X1947,'Char Popularity'!$A$2:$C$500,3,FALSE),1))</f>
        <v>1</v>
      </c>
      <c r="AA1947" s="62">
        <f>IF($H1947&lt;&gt;"Y",0,(IF($F1947&lt;&gt;"",ROUND(Dashboard!$R$4/$F1947,1),IF(AND($I1947="Base",$E1947="Base"),Dashboard!$R$5,IF(AND($I1947="Base",$E1947="Red"),Dashboard!$R$6,IF(AND($I1947="Base",$E1947="Gold"),Dashboard!$R$7,VLOOKUP($I1947,Dashboard!$Q$16:$R$21,2,FALSE)))))*VLOOKUP($I1947,Dashboard!$Q$9:$R$13,2,FALSE)*IF(AND($I1947="Auto",$F1947="",OR($B1947="Autographs Duals",$B1947="Autographs Triples",$B1947="Autographs Quads",$B1947="Autographs Quads (Inscribed)")),IF($B1947="Autographs Duals",2,IF($B1947="Autographs Triples",3,4)),1)))</f>
        <v>6</v>
      </c>
      <c r="AB1947" s="62">
        <f t="shared" si="401"/>
        <v>6</v>
      </c>
      <c r="AC1947" s="62">
        <f t="shared" si="402"/>
        <v>0</v>
      </c>
    </row>
    <row r="1948" spans="1:29" ht="28.7" customHeight="1" x14ac:dyDescent="0.25">
      <c r="A1948" s="4" t="s">
        <v>25</v>
      </c>
      <c r="B1948" s="7" t="s">
        <v>25</v>
      </c>
      <c r="C1948" s="2" t="s">
        <v>465</v>
      </c>
      <c r="D1948" s="7" t="s">
        <v>466</v>
      </c>
      <c r="E1948" s="4" t="s">
        <v>60</v>
      </c>
      <c r="F1948" s="2"/>
      <c r="G1948" s="2" t="s">
        <v>1399</v>
      </c>
      <c r="H1948" s="2" t="s">
        <v>1400</v>
      </c>
      <c r="I1948" s="4" t="s">
        <v>62</v>
      </c>
      <c r="J1948" s="112">
        <f>IF($H1948&lt;&gt;"Y",0,ROUND(MIN(Dashboard!$R$24,IF(IFERROR(VLOOKUP($B1948,Dashboard!$Q$28:$S$60,2,FALSE),0)&gt;0,IFERROR(VLOOKUP($B1948,Dashboard!$Q$28:$S$60,2,FALSE),0),$Z1948*IF($U1948&lt;&gt;"",ROUND((Dashboard!$R$4/$U1948)*VLOOKUP($I1948,Dashboard!$Q$9:$R$13,2,FALSE)*IF(ISNUMBER(SEARCH("Duals",$B1948)),2,IF(ISNUMBER(SEARCH("Triples",$B1948)),3,IF(ISNUMBER(SEARCH("Quads",$B1948)),4,1))),2),ROUND(VLOOKUP($I1948,Dashboard!$Q$15:$R$20,2,FALSE)*IF($E1948="Red",Dashboard!$R$6,IF($E1948="Gold",Dashboard!$R$7,Dashboard!$R$5))*IF(ISNUMBER(SEARCH("Duals",$B1948)),2,IF(ISNUMBER(SEARCH("Triples",$B1948)),3,IF(ISNUMBER(SEARCH("Quads",$B1948)),4,1))),2))*IF(IFERROR(VLOOKUP($B1948,Dashboard!$Q$28:$S$60,3,FALSE),0)&gt;0,VLOOKUP($B1948,Dashboard!$Q$28:$S$60,3,FALSE),1))),0))</f>
        <v>10</v>
      </c>
      <c r="K1948" s="2" t="str">
        <f>IF('Team Ups'!E13="","",'Team Ups'!E13)</f>
        <v>V</v>
      </c>
      <c r="L1948" s="2">
        <f t="shared" si="390"/>
        <v>1</v>
      </c>
      <c r="M1948" s="2">
        <f t="shared" si="391"/>
        <v>0</v>
      </c>
      <c r="N1948" s="2">
        <f t="shared" si="392"/>
        <v>1</v>
      </c>
      <c r="O1948" s="2">
        <f t="shared" si="393"/>
        <v>0</v>
      </c>
      <c r="P1948" s="112">
        <f t="shared" si="394"/>
        <v>10</v>
      </c>
      <c r="Q1948" s="112">
        <f t="shared" si="395"/>
        <v>0</v>
      </c>
      <c r="R1948" s="53"/>
      <c r="S1948" s="53" t="str">
        <f t="shared" si="396"/>
        <v>Team Ups|Team Ups|TU-12|Base</v>
      </c>
      <c r="T1948" s="57">
        <f>IF($S1948="","",IFERROR(VLOOKUP($S1948,'Pop Estimates (Non-#d)'!$N$2:$O$500,2,FALSE),""))</f>
        <v>410</v>
      </c>
      <c r="U1948" s="57">
        <f t="shared" si="397"/>
        <v>410</v>
      </c>
      <c r="V1948" s="53" t="str">
        <f t="shared" si="398"/>
        <v>Starlight</v>
      </c>
      <c r="W1948" s="53" t="str">
        <f t="shared" si="399"/>
        <v>Starlight</v>
      </c>
      <c r="X1948" s="53" t="str">
        <f t="shared" si="400"/>
        <v>Starlight</v>
      </c>
      <c r="Y1948" s="57">
        <f>IF($X1948="","",IFERROR(VLOOKUP($X1948,'Char Popularity'!$A$2:$C$500,2,FALSE),""))</f>
        <v>5</v>
      </c>
      <c r="Z1948" s="56">
        <f>IF($X1948="",1,IFERROR(VLOOKUP($X1948,'Char Popularity'!$A$2:$C$500,3,FALSE),1))</f>
        <v>1.2</v>
      </c>
      <c r="AA1948" s="62">
        <f>IF($H1948&lt;&gt;"Y",0,(IF($F1948&lt;&gt;"",ROUND(Dashboard!$R$4/$F1948,1),IF(AND($I1948="Base",$E1948="Base"),Dashboard!$R$5,IF(AND($I1948="Base",$E1948="Red"),Dashboard!$R$6,IF(AND($I1948="Base",$E1948="Gold"),Dashboard!$R$7,VLOOKUP($I1948,Dashboard!$Q$16:$R$21,2,FALSE)))))*VLOOKUP($I1948,Dashboard!$Q$9:$R$13,2,FALSE)*IF(AND($I1948="Auto",$F1948="",OR($B1948="Autographs Duals",$B1948="Autographs Triples",$B1948="Autographs Quads",$B1948="Autographs Quads (Inscribed)")),IF($B1948="Autographs Duals",2,IF($B1948="Autographs Triples",3,4)),1)))</f>
        <v>6</v>
      </c>
      <c r="AB1948" s="62">
        <f t="shared" si="401"/>
        <v>6</v>
      </c>
      <c r="AC1948" s="62">
        <f t="shared" si="402"/>
        <v>0</v>
      </c>
    </row>
    <row r="1949" spans="1:29" ht="28.7" customHeight="1" x14ac:dyDescent="0.25">
      <c r="A1949" s="4" t="s">
        <v>25</v>
      </c>
      <c r="B1949" s="7" t="s">
        <v>25</v>
      </c>
      <c r="C1949" s="2" t="s">
        <v>467</v>
      </c>
      <c r="D1949" s="7" t="s">
        <v>468</v>
      </c>
      <c r="E1949" s="4" t="s">
        <v>60</v>
      </c>
      <c r="F1949" s="2"/>
      <c r="G1949" s="2" t="s">
        <v>1399</v>
      </c>
      <c r="H1949" s="2" t="s">
        <v>1400</v>
      </c>
      <c r="I1949" s="4" t="s">
        <v>62</v>
      </c>
      <c r="J1949" s="112">
        <f>IF($H1949&lt;&gt;"Y",0,ROUND(MIN(Dashboard!$R$24,IF(IFERROR(VLOOKUP($B1949,Dashboard!$Q$28:$S$60,2,FALSE),0)&gt;0,IFERROR(VLOOKUP($B1949,Dashboard!$Q$28:$S$60,2,FALSE),0),$Z1949*IF($U1949&lt;&gt;"",ROUND((Dashboard!$R$4/$U1949)*VLOOKUP($I1949,Dashboard!$Q$9:$R$13,2,FALSE)*IF(ISNUMBER(SEARCH("Duals",$B1949)),2,IF(ISNUMBER(SEARCH("Triples",$B1949)),3,IF(ISNUMBER(SEARCH("Quads",$B1949)),4,1))),2),ROUND(VLOOKUP($I1949,Dashboard!$Q$15:$R$20,2,FALSE)*IF($E1949="Red",Dashboard!$R$6,IF($E1949="Gold",Dashboard!$R$7,Dashboard!$R$5))*IF(ISNUMBER(SEARCH("Duals",$B1949)),2,IF(ISNUMBER(SEARCH("Triples",$B1949)),3,IF(ISNUMBER(SEARCH("Quads",$B1949)),4,1))),2))*IF(IFERROR(VLOOKUP($B1949,Dashboard!$Q$28:$S$60,3,FALSE),0)&gt;0,VLOOKUP($B1949,Dashboard!$Q$28:$S$60,3,FALSE),1))),0))</f>
        <v>10</v>
      </c>
      <c r="K1949" s="2" t="str">
        <f>IF('Team Ups'!E14="","",'Team Ups'!E14)</f>
        <v>C</v>
      </c>
      <c r="L1949" s="2">
        <f t="shared" si="390"/>
        <v>1</v>
      </c>
      <c r="M1949" s="2">
        <f t="shared" si="391"/>
        <v>0</v>
      </c>
      <c r="N1949" s="2">
        <f t="shared" si="392"/>
        <v>1</v>
      </c>
      <c r="O1949" s="2">
        <f t="shared" si="393"/>
        <v>0</v>
      </c>
      <c r="P1949" s="112">
        <f t="shared" si="394"/>
        <v>10</v>
      </c>
      <c r="Q1949" s="112">
        <f t="shared" si="395"/>
        <v>0</v>
      </c>
      <c r="R1949" s="53"/>
      <c r="S1949" s="53" t="str">
        <f t="shared" si="396"/>
        <v>Team Ups|Team Ups|TU-13|Base</v>
      </c>
      <c r="T1949" s="57">
        <f>IF($S1949="","",IFERROR(VLOOKUP($S1949,'Pop Estimates (Non-#d)'!$N$2:$O$500,2,FALSE),""))</f>
        <v>410</v>
      </c>
      <c r="U1949" s="57">
        <f t="shared" si="397"/>
        <v>410</v>
      </c>
      <c r="V1949" s="53" t="str">
        <f t="shared" si="398"/>
        <v>The Deep</v>
      </c>
      <c r="W1949" s="53" t="str">
        <f t="shared" si="399"/>
        <v>The Deep</v>
      </c>
      <c r="X1949" s="53" t="str">
        <f t="shared" si="400"/>
        <v>The Deep</v>
      </c>
      <c r="Y1949" s="57">
        <f>IF($X1949="","",IFERROR(VLOOKUP($X1949,'Char Popularity'!$A$2:$C$500,2,FALSE),""))</f>
        <v>4</v>
      </c>
      <c r="Z1949" s="56">
        <f>IF($X1949="",1,IFERROR(VLOOKUP($X1949,'Char Popularity'!$A$2:$C$500,3,FALSE),1))</f>
        <v>1.1000000000000001</v>
      </c>
      <c r="AA1949" s="62">
        <f>IF($H1949&lt;&gt;"Y",0,(IF($F1949&lt;&gt;"",ROUND(Dashboard!$R$4/$F1949,1),IF(AND($I1949="Base",$E1949="Base"),Dashboard!$R$5,IF(AND($I1949="Base",$E1949="Red"),Dashboard!$R$6,IF(AND($I1949="Base",$E1949="Gold"),Dashboard!$R$7,VLOOKUP($I1949,Dashboard!$Q$16:$R$21,2,FALSE)))))*VLOOKUP($I1949,Dashboard!$Q$9:$R$13,2,FALSE)*IF(AND($I1949="Auto",$F1949="",OR($B1949="Autographs Duals",$B1949="Autographs Triples",$B1949="Autographs Quads",$B1949="Autographs Quads (Inscribed)")),IF($B1949="Autographs Duals",2,IF($B1949="Autographs Triples",3,4)),1)))</f>
        <v>6</v>
      </c>
      <c r="AB1949" s="62">
        <f t="shared" si="401"/>
        <v>6</v>
      </c>
      <c r="AC1949" s="62">
        <f t="shared" si="402"/>
        <v>0</v>
      </c>
    </row>
    <row r="1950" spans="1:29" ht="28.7" customHeight="1" x14ac:dyDescent="0.25">
      <c r="A1950" s="4" t="s">
        <v>25</v>
      </c>
      <c r="B1950" s="7" t="s">
        <v>25</v>
      </c>
      <c r="C1950" s="2" t="s">
        <v>469</v>
      </c>
      <c r="D1950" s="7" t="s">
        <v>470</v>
      </c>
      <c r="E1950" s="4" t="s">
        <v>60</v>
      </c>
      <c r="F1950" s="2"/>
      <c r="G1950" s="2" t="s">
        <v>1399</v>
      </c>
      <c r="H1950" s="2" t="s">
        <v>1400</v>
      </c>
      <c r="I1950" s="4" t="s">
        <v>62</v>
      </c>
      <c r="J1950" s="112">
        <f>IF($H1950&lt;&gt;"Y",0,ROUND(MIN(Dashboard!$R$24,IF(IFERROR(VLOOKUP($B1950,Dashboard!$Q$28:$S$60,2,FALSE),0)&gt;0,IFERROR(VLOOKUP($B1950,Dashboard!$Q$28:$S$60,2,FALSE),0),$Z1950*IF($U1950&lt;&gt;"",ROUND((Dashboard!$R$4/$U1950)*VLOOKUP($I1950,Dashboard!$Q$9:$R$13,2,FALSE)*IF(ISNUMBER(SEARCH("Duals",$B1950)),2,IF(ISNUMBER(SEARCH("Triples",$B1950)),3,IF(ISNUMBER(SEARCH("Quads",$B1950)),4,1))),2),ROUND(VLOOKUP($I1950,Dashboard!$Q$15:$R$20,2,FALSE)*IF($E1950="Red",Dashboard!$R$6,IF($E1950="Gold",Dashboard!$R$7,Dashboard!$R$5))*IF(ISNUMBER(SEARCH("Duals",$B1950)),2,IF(ISNUMBER(SEARCH("Triples",$B1950)),3,IF(ISNUMBER(SEARCH("Quads",$B1950)),4,1))),2))*IF(IFERROR(VLOOKUP($B1950,Dashboard!$Q$28:$S$60,3,FALSE),0)&gt;0,VLOOKUP($B1950,Dashboard!$Q$28:$S$60,3,FALSE),1))),0))</f>
        <v>10</v>
      </c>
      <c r="K1950" s="2" t="str">
        <f>IF('Team Ups'!E15="","",'Team Ups'!E15)</f>
        <v>C</v>
      </c>
      <c r="L1950" s="2">
        <f t="shared" si="390"/>
        <v>1</v>
      </c>
      <c r="M1950" s="2">
        <f t="shared" si="391"/>
        <v>0</v>
      </c>
      <c r="N1950" s="2">
        <f t="shared" si="392"/>
        <v>1</v>
      </c>
      <c r="O1950" s="2">
        <f t="shared" si="393"/>
        <v>0</v>
      </c>
      <c r="P1950" s="112">
        <f t="shared" si="394"/>
        <v>10</v>
      </c>
      <c r="Q1950" s="112">
        <f t="shared" si="395"/>
        <v>0</v>
      </c>
      <c r="R1950" s="53"/>
      <c r="S1950" s="53" t="str">
        <f t="shared" si="396"/>
        <v>Team Ups|Team Ups|TU-14|Base</v>
      </c>
      <c r="T1950" s="57">
        <f>IF($S1950="","",IFERROR(VLOOKUP($S1950,'Pop Estimates (Non-#d)'!$N$2:$O$500,2,FALSE),""))</f>
        <v>410</v>
      </c>
      <c r="U1950" s="57">
        <f t="shared" si="397"/>
        <v>410</v>
      </c>
      <c r="V1950" s="53" t="str">
        <f t="shared" si="398"/>
        <v>Elena</v>
      </c>
      <c r="W1950" s="53" t="str">
        <f t="shared" si="399"/>
        <v>Elena</v>
      </c>
      <c r="X1950" s="53" t="str">
        <f t="shared" si="400"/>
        <v>Elena</v>
      </c>
      <c r="Y1950" s="57">
        <f>IF($X1950="","",IFERROR(VLOOKUP($X1950,'Char Popularity'!$A$2:$C$500,2,FALSE),""))</f>
        <v>3</v>
      </c>
      <c r="Z1950" s="56">
        <f>IF($X1950="",1,IFERROR(VLOOKUP($X1950,'Char Popularity'!$A$2:$C$500,3,FALSE),1))</f>
        <v>1</v>
      </c>
      <c r="AA1950" s="62">
        <f>IF($H1950&lt;&gt;"Y",0,(IF($F1950&lt;&gt;"",ROUND(Dashboard!$R$4/$F1950,1),IF(AND($I1950="Base",$E1950="Base"),Dashboard!$R$5,IF(AND($I1950="Base",$E1950="Red"),Dashboard!$R$6,IF(AND($I1950="Base",$E1950="Gold"),Dashboard!$R$7,VLOOKUP($I1950,Dashboard!$Q$16:$R$21,2,FALSE)))))*VLOOKUP($I1950,Dashboard!$Q$9:$R$13,2,FALSE)*IF(AND($I1950="Auto",$F1950="",OR($B1950="Autographs Duals",$B1950="Autographs Triples",$B1950="Autographs Quads",$B1950="Autographs Quads (Inscribed)")),IF($B1950="Autographs Duals",2,IF($B1950="Autographs Triples",3,4)),1)))</f>
        <v>6</v>
      </c>
      <c r="AB1950" s="62">
        <f t="shared" si="401"/>
        <v>6</v>
      </c>
      <c r="AC1950" s="62">
        <f t="shared" si="402"/>
        <v>0</v>
      </c>
    </row>
    <row r="1951" spans="1:29" ht="28.7" customHeight="1" x14ac:dyDescent="0.25">
      <c r="A1951" s="4" t="s">
        <v>25</v>
      </c>
      <c r="B1951" s="7" t="s">
        <v>25</v>
      </c>
      <c r="C1951" s="2" t="s">
        <v>471</v>
      </c>
      <c r="D1951" s="7" t="s">
        <v>472</v>
      </c>
      <c r="E1951" s="4" t="s">
        <v>60</v>
      </c>
      <c r="F1951" s="2"/>
      <c r="G1951" s="2" t="s">
        <v>1399</v>
      </c>
      <c r="H1951" s="2" t="s">
        <v>1400</v>
      </c>
      <c r="I1951" s="4" t="s">
        <v>62</v>
      </c>
      <c r="J1951" s="112">
        <f>IF($H1951&lt;&gt;"Y",0,ROUND(MIN(Dashboard!$R$24,IF(IFERROR(VLOOKUP($B1951,Dashboard!$Q$28:$S$60,2,FALSE),0)&gt;0,IFERROR(VLOOKUP($B1951,Dashboard!$Q$28:$S$60,2,FALSE),0),$Z1951*IF($U1951&lt;&gt;"",ROUND((Dashboard!$R$4/$U1951)*VLOOKUP($I1951,Dashboard!$Q$9:$R$13,2,FALSE)*IF(ISNUMBER(SEARCH("Duals",$B1951)),2,IF(ISNUMBER(SEARCH("Triples",$B1951)),3,IF(ISNUMBER(SEARCH("Quads",$B1951)),4,1))),2),ROUND(VLOOKUP($I1951,Dashboard!$Q$15:$R$20,2,FALSE)*IF($E1951="Red",Dashboard!$R$6,IF($E1951="Gold",Dashboard!$R$7,Dashboard!$R$5))*IF(ISNUMBER(SEARCH("Duals",$B1951)),2,IF(ISNUMBER(SEARCH("Triples",$B1951)),3,IF(ISNUMBER(SEARCH("Quads",$B1951)),4,1))),2))*IF(IFERROR(VLOOKUP($B1951,Dashboard!$Q$28:$S$60,3,FALSE),0)&gt;0,VLOOKUP($B1951,Dashboard!$Q$28:$S$60,3,FALSE),1))),0))</f>
        <v>10</v>
      </c>
      <c r="K1951" s="2" t="str">
        <f>IF('Team Ups'!E16="","",'Team Ups'!E16)</f>
        <v>V</v>
      </c>
      <c r="L1951" s="2">
        <f t="shared" si="390"/>
        <v>1</v>
      </c>
      <c r="M1951" s="2">
        <f t="shared" si="391"/>
        <v>0</v>
      </c>
      <c r="N1951" s="2">
        <f t="shared" si="392"/>
        <v>1</v>
      </c>
      <c r="O1951" s="2">
        <f t="shared" si="393"/>
        <v>0</v>
      </c>
      <c r="P1951" s="112">
        <f t="shared" si="394"/>
        <v>10</v>
      </c>
      <c r="Q1951" s="112">
        <f t="shared" si="395"/>
        <v>0</v>
      </c>
      <c r="R1951" s="53"/>
      <c r="S1951" s="53" t="str">
        <f t="shared" si="396"/>
        <v>Team Ups|Team Ups|TU-15|Base</v>
      </c>
      <c r="T1951" s="57">
        <f>IF($S1951="","",IFERROR(VLOOKUP($S1951,'Pop Estimates (Non-#d)'!$N$2:$O$500,2,FALSE),""))</f>
        <v>410</v>
      </c>
      <c r="U1951" s="57">
        <f t="shared" si="397"/>
        <v>410</v>
      </c>
      <c r="V1951" s="53" t="str">
        <f t="shared" si="398"/>
        <v>A-Train</v>
      </c>
      <c r="W1951" s="53" t="str">
        <f t="shared" si="399"/>
        <v>A-Train</v>
      </c>
      <c r="X1951" s="53" t="str">
        <f t="shared" si="400"/>
        <v>A-Train</v>
      </c>
      <c r="Y1951" s="57">
        <f>IF($X1951="","",IFERROR(VLOOKUP($X1951,'Char Popularity'!$A$2:$C$500,2,FALSE),""))</f>
        <v>4</v>
      </c>
      <c r="Z1951" s="56">
        <f>IF($X1951="",1,IFERROR(VLOOKUP($X1951,'Char Popularity'!$A$2:$C$500,3,FALSE),1))</f>
        <v>1.1000000000000001</v>
      </c>
      <c r="AA1951" s="62">
        <f>IF($H1951&lt;&gt;"Y",0,(IF($F1951&lt;&gt;"",ROUND(Dashboard!$R$4/$F1951,1),IF(AND($I1951="Base",$E1951="Base"),Dashboard!$R$5,IF(AND($I1951="Base",$E1951="Red"),Dashboard!$R$6,IF(AND($I1951="Base",$E1951="Gold"),Dashboard!$R$7,VLOOKUP($I1951,Dashboard!$Q$16:$R$21,2,FALSE)))))*VLOOKUP($I1951,Dashboard!$Q$9:$R$13,2,FALSE)*IF(AND($I1951="Auto",$F1951="",OR($B1951="Autographs Duals",$B1951="Autographs Triples",$B1951="Autographs Quads",$B1951="Autographs Quads (Inscribed)")),IF($B1951="Autographs Duals",2,IF($B1951="Autographs Triples",3,4)),1)))</f>
        <v>6</v>
      </c>
      <c r="AB1951" s="62">
        <f t="shared" si="401"/>
        <v>6</v>
      </c>
      <c r="AC1951" s="62">
        <f t="shared" si="402"/>
        <v>0</v>
      </c>
    </row>
    <row r="1952" spans="1:29" ht="28.7" customHeight="1" x14ac:dyDescent="0.25">
      <c r="A1952" s="4" t="s">
        <v>25</v>
      </c>
      <c r="B1952" s="7" t="s">
        <v>25</v>
      </c>
      <c r="C1952" s="2" t="s">
        <v>473</v>
      </c>
      <c r="D1952" s="7" t="s">
        <v>474</v>
      </c>
      <c r="E1952" s="4" t="s">
        <v>60</v>
      </c>
      <c r="F1952" s="2"/>
      <c r="G1952" s="2" t="s">
        <v>1399</v>
      </c>
      <c r="H1952" s="2" t="s">
        <v>1400</v>
      </c>
      <c r="I1952" s="4" t="s">
        <v>62</v>
      </c>
      <c r="J1952" s="112">
        <f>IF($H1952&lt;&gt;"Y",0,ROUND(MIN(Dashboard!$R$24,IF(IFERROR(VLOOKUP($B1952,Dashboard!$Q$28:$S$60,2,FALSE),0)&gt;0,IFERROR(VLOOKUP($B1952,Dashboard!$Q$28:$S$60,2,FALSE),0),$Z1952*IF($U1952&lt;&gt;"",ROUND((Dashboard!$R$4/$U1952)*VLOOKUP($I1952,Dashboard!$Q$9:$R$13,2,FALSE)*IF(ISNUMBER(SEARCH("Duals",$B1952)),2,IF(ISNUMBER(SEARCH("Triples",$B1952)),3,IF(ISNUMBER(SEARCH("Quads",$B1952)),4,1))),2),ROUND(VLOOKUP($I1952,Dashboard!$Q$15:$R$20,2,FALSE)*IF($E1952="Red",Dashboard!$R$6,IF($E1952="Gold",Dashboard!$R$7,Dashboard!$R$5))*IF(ISNUMBER(SEARCH("Duals",$B1952)),2,IF(ISNUMBER(SEARCH("Triples",$B1952)),3,IF(ISNUMBER(SEARCH("Quads",$B1952)),4,1))),2))*IF(IFERROR(VLOOKUP($B1952,Dashboard!$Q$28:$S$60,3,FALSE),0)&gt;0,VLOOKUP($B1952,Dashboard!$Q$28:$S$60,3,FALSE),1))),0))</f>
        <v>10</v>
      </c>
      <c r="K1952" s="2" t="str">
        <f>IF('Team Ups'!E17="","",'Team Ups'!E17)</f>
        <v>V</v>
      </c>
      <c r="L1952" s="2">
        <f t="shared" si="390"/>
        <v>1</v>
      </c>
      <c r="M1952" s="2">
        <f t="shared" si="391"/>
        <v>0</v>
      </c>
      <c r="N1952" s="2">
        <f t="shared" si="392"/>
        <v>1</v>
      </c>
      <c r="O1952" s="2">
        <f t="shared" si="393"/>
        <v>0</v>
      </c>
      <c r="P1952" s="112">
        <f t="shared" si="394"/>
        <v>10</v>
      </c>
      <c r="Q1952" s="112">
        <f t="shared" si="395"/>
        <v>0</v>
      </c>
      <c r="R1952" s="53"/>
      <c r="S1952" s="53" t="str">
        <f t="shared" si="396"/>
        <v>Team Ups|Team Ups|TU-16|Base</v>
      </c>
      <c r="T1952" s="57">
        <f>IF($S1952="","",IFERROR(VLOOKUP($S1952,'Pop Estimates (Non-#d)'!$N$2:$O$500,2,FALSE),""))</f>
        <v>410</v>
      </c>
      <c r="U1952" s="57">
        <f t="shared" si="397"/>
        <v>410</v>
      </c>
      <c r="V1952" s="53" t="str">
        <f t="shared" si="398"/>
        <v>Hughie Campbell</v>
      </c>
      <c r="W1952" s="53" t="str">
        <f t="shared" si="399"/>
        <v>Hughie Campbell</v>
      </c>
      <c r="X1952" s="53" t="str">
        <f t="shared" si="400"/>
        <v>Hughie Campbell</v>
      </c>
      <c r="Y1952" s="57">
        <f>IF($X1952="","",IFERROR(VLOOKUP($X1952,'Char Popularity'!$A$2:$C$500,2,FALSE),""))</f>
        <v>5</v>
      </c>
      <c r="Z1952" s="56">
        <f>IF($X1952="",1,IFERROR(VLOOKUP($X1952,'Char Popularity'!$A$2:$C$500,3,FALSE),1))</f>
        <v>1.2</v>
      </c>
      <c r="AA1952" s="62">
        <f>IF($H1952&lt;&gt;"Y",0,(IF($F1952&lt;&gt;"",ROUND(Dashboard!$R$4/$F1952,1),IF(AND($I1952="Base",$E1952="Base"),Dashboard!$R$5,IF(AND($I1952="Base",$E1952="Red"),Dashboard!$R$6,IF(AND($I1952="Base",$E1952="Gold"),Dashboard!$R$7,VLOOKUP($I1952,Dashboard!$Q$16:$R$21,2,FALSE)))))*VLOOKUP($I1952,Dashboard!$Q$9:$R$13,2,FALSE)*IF(AND($I1952="Auto",$F1952="",OR($B1952="Autographs Duals",$B1952="Autographs Triples",$B1952="Autographs Quads",$B1952="Autographs Quads (Inscribed)")),IF($B1952="Autographs Duals",2,IF($B1952="Autographs Triples",3,4)),1)))</f>
        <v>6</v>
      </c>
      <c r="AB1952" s="62">
        <f t="shared" si="401"/>
        <v>6</v>
      </c>
      <c r="AC1952" s="62">
        <f t="shared" si="402"/>
        <v>0</v>
      </c>
    </row>
    <row r="1953" spans="1:29" ht="28.7" customHeight="1" x14ac:dyDescent="0.25">
      <c r="A1953" s="4" t="s">
        <v>25</v>
      </c>
      <c r="B1953" s="7" t="s">
        <v>25</v>
      </c>
      <c r="C1953" s="2" t="s">
        <v>475</v>
      </c>
      <c r="D1953" s="7" t="s">
        <v>476</v>
      </c>
      <c r="E1953" s="4" t="s">
        <v>60</v>
      </c>
      <c r="F1953" s="2"/>
      <c r="G1953" s="2" t="s">
        <v>1399</v>
      </c>
      <c r="H1953" s="2" t="s">
        <v>1400</v>
      </c>
      <c r="I1953" s="4" t="s">
        <v>62</v>
      </c>
      <c r="J1953" s="112">
        <f>IF($H1953&lt;&gt;"Y",0,ROUND(MIN(Dashboard!$R$24,IF(IFERROR(VLOOKUP($B1953,Dashboard!$Q$28:$S$60,2,FALSE),0)&gt;0,IFERROR(VLOOKUP($B1953,Dashboard!$Q$28:$S$60,2,FALSE),0),$Z1953*IF($U1953&lt;&gt;"",ROUND((Dashboard!$R$4/$U1953)*VLOOKUP($I1953,Dashboard!$Q$9:$R$13,2,FALSE)*IF(ISNUMBER(SEARCH("Duals",$B1953)),2,IF(ISNUMBER(SEARCH("Triples",$B1953)),3,IF(ISNUMBER(SEARCH("Quads",$B1953)),4,1))),2),ROUND(VLOOKUP($I1953,Dashboard!$Q$15:$R$20,2,FALSE)*IF($E1953="Red",Dashboard!$R$6,IF($E1953="Gold",Dashboard!$R$7,Dashboard!$R$5))*IF(ISNUMBER(SEARCH("Duals",$B1953)),2,IF(ISNUMBER(SEARCH("Triples",$B1953)),3,IF(ISNUMBER(SEARCH("Quads",$B1953)),4,1))),2))*IF(IFERROR(VLOOKUP($B1953,Dashboard!$Q$28:$S$60,3,FALSE),0)&gt;0,VLOOKUP($B1953,Dashboard!$Q$28:$S$60,3,FALSE),1))),0))</f>
        <v>10</v>
      </c>
      <c r="K1953" s="2" t="str">
        <f>IF('Team Ups'!E18="","",'Team Ups'!E18)</f>
        <v>C</v>
      </c>
      <c r="L1953" s="2">
        <f t="shared" si="390"/>
        <v>1</v>
      </c>
      <c r="M1953" s="2">
        <f t="shared" si="391"/>
        <v>0</v>
      </c>
      <c r="N1953" s="2">
        <f t="shared" si="392"/>
        <v>1</v>
      </c>
      <c r="O1953" s="2">
        <f t="shared" si="393"/>
        <v>0</v>
      </c>
      <c r="P1953" s="112">
        <f t="shared" si="394"/>
        <v>10</v>
      </c>
      <c r="Q1953" s="112">
        <f t="shared" si="395"/>
        <v>0</v>
      </c>
      <c r="R1953" s="53"/>
      <c r="S1953" s="53" t="str">
        <f t="shared" si="396"/>
        <v>Team Ups|Team Ups|TU-17|Base</v>
      </c>
      <c r="T1953" s="57">
        <f>IF($S1953="","",IFERROR(VLOOKUP($S1953,'Pop Estimates (Non-#d)'!$N$2:$O$500,2,FALSE),""))</f>
        <v>410</v>
      </c>
      <c r="U1953" s="57">
        <f t="shared" si="397"/>
        <v>410</v>
      </c>
      <c r="V1953" s="53" t="str">
        <f t="shared" si="398"/>
        <v>Madelyn Stillwell</v>
      </c>
      <c r="W1953" s="53" t="str">
        <f t="shared" si="399"/>
        <v>Madelyn Stillwell</v>
      </c>
      <c r="X1953" s="53" t="str">
        <f t="shared" si="400"/>
        <v>Madelyn Stillwell</v>
      </c>
      <c r="Y1953" s="57">
        <f>IF($X1953="","",IFERROR(VLOOKUP($X1953,'Char Popularity'!$A$2:$C$500,2,FALSE),""))</f>
        <v>3</v>
      </c>
      <c r="Z1953" s="56">
        <f>IF($X1953="",1,IFERROR(VLOOKUP($X1953,'Char Popularity'!$A$2:$C$500,3,FALSE),1))</f>
        <v>1</v>
      </c>
      <c r="AA1953" s="62">
        <f>IF($H1953&lt;&gt;"Y",0,(IF($F1953&lt;&gt;"",ROUND(Dashboard!$R$4/$F1953,1),IF(AND($I1953="Base",$E1953="Base"),Dashboard!$R$5,IF(AND($I1953="Base",$E1953="Red"),Dashboard!$R$6,IF(AND($I1953="Base",$E1953="Gold"),Dashboard!$R$7,VLOOKUP($I1953,Dashboard!$Q$16:$R$21,2,FALSE)))))*VLOOKUP($I1953,Dashboard!$Q$9:$R$13,2,FALSE)*IF(AND($I1953="Auto",$F1953="",OR($B1953="Autographs Duals",$B1953="Autographs Triples",$B1953="Autographs Quads",$B1953="Autographs Quads (Inscribed)")),IF($B1953="Autographs Duals",2,IF($B1953="Autographs Triples",3,4)),1)))</f>
        <v>6</v>
      </c>
      <c r="AB1953" s="62">
        <f t="shared" si="401"/>
        <v>6</v>
      </c>
      <c r="AC1953" s="62">
        <f t="shared" si="402"/>
        <v>0</v>
      </c>
    </row>
    <row r="1954" spans="1:29" ht="28.7" customHeight="1" x14ac:dyDescent="0.25">
      <c r="A1954" s="4" t="s">
        <v>25</v>
      </c>
      <c r="B1954" s="7" t="s">
        <v>25</v>
      </c>
      <c r="C1954" s="2" t="s">
        <v>477</v>
      </c>
      <c r="D1954" s="7" t="s">
        <v>478</v>
      </c>
      <c r="E1954" s="4" t="s">
        <v>60</v>
      </c>
      <c r="F1954" s="2"/>
      <c r="G1954" s="2" t="s">
        <v>1399</v>
      </c>
      <c r="H1954" s="2" t="s">
        <v>1400</v>
      </c>
      <c r="I1954" s="4" t="s">
        <v>62</v>
      </c>
      <c r="J1954" s="112">
        <f>IF($H1954&lt;&gt;"Y",0,ROUND(MIN(Dashboard!$R$24,IF(IFERROR(VLOOKUP($B1954,Dashboard!$Q$28:$S$60,2,FALSE),0)&gt;0,IFERROR(VLOOKUP($B1954,Dashboard!$Q$28:$S$60,2,FALSE),0),$Z1954*IF($U1954&lt;&gt;"",ROUND((Dashboard!$R$4/$U1954)*VLOOKUP($I1954,Dashboard!$Q$9:$R$13,2,FALSE)*IF(ISNUMBER(SEARCH("Duals",$B1954)),2,IF(ISNUMBER(SEARCH("Triples",$B1954)),3,IF(ISNUMBER(SEARCH("Quads",$B1954)),4,1))),2),ROUND(VLOOKUP($I1954,Dashboard!$Q$15:$R$20,2,FALSE)*IF($E1954="Red",Dashboard!$R$6,IF($E1954="Gold",Dashboard!$R$7,Dashboard!$R$5))*IF(ISNUMBER(SEARCH("Duals",$B1954)),2,IF(ISNUMBER(SEARCH("Triples",$B1954)),3,IF(ISNUMBER(SEARCH("Quads",$B1954)),4,1))),2))*IF(IFERROR(VLOOKUP($B1954,Dashboard!$Q$28:$S$60,3,FALSE),0)&gt;0,VLOOKUP($B1954,Dashboard!$Q$28:$S$60,3,FALSE),1))),0))</f>
        <v>10</v>
      </c>
      <c r="K1954" s="2" t="str">
        <f>IF('Team Ups'!E19="","",'Team Ups'!E19)</f>
        <v>C</v>
      </c>
      <c r="L1954" s="2">
        <f t="shared" si="390"/>
        <v>1</v>
      </c>
      <c r="M1954" s="2">
        <f t="shared" si="391"/>
        <v>0</v>
      </c>
      <c r="N1954" s="2">
        <f t="shared" si="392"/>
        <v>1</v>
      </c>
      <c r="O1954" s="2">
        <f t="shared" si="393"/>
        <v>0</v>
      </c>
      <c r="P1954" s="112">
        <f t="shared" si="394"/>
        <v>10</v>
      </c>
      <c r="Q1954" s="112">
        <f t="shared" si="395"/>
        <v>0</v>
      </c>
      <c r="R1954" s="53"/>
      <c r="S1954" s="53" t="str">
        <f t="shared" si="396"/>
        <v>Team Ups|Team Ups|TU-18|Base</v>
      </c>
      <c r="T1954" s="57">
        <f>IF($S1954="","",IFERROR(VLOOKUP($S1954,'Pop Estimates (Non-#d)'!$N$2:$O$500,2,FALSE),""))</f>
        <v>410</v>
      </c>
      <c r="U1954" s="57">
        <f t="shared" si="397"/>
        <v>410</v>
      </c>
      <c r="V1954" s="53" t="str">
        <f t="shared" si="398"/>
        <v>Starlight</v>
      </c>
      <c r="W1954" s="53" t="str">
        <f t="shared" si="399"/>
        <v>Starlight</v>
      </c>
      <c r="X1954" s="53" t="str">
        <f t="shared" si="400"/>
        <v>Starlight</v>
      </c>
      <c r="Y1954" s="57">
        <f>IF($X1954="","",IFERROR(VLOOKUP($X1954,'Char Popularity'!$A$2:$C$500,2,FALSE),""))</f>
        <v>5</v>
      </c>
      <c r="Z1954" s="56">
        <f>IF($X1954="",1,IFERROR(VLOOKUP($X1954,'Char Popularity'!$A$2:$C$500,3,FALSE),1))</f>
        <v>1.2</v>
      </c>
      <c r="AA1954" s="62">
        <f>IF($H1954&lt;&gt;"Y",0,(IF($F1954&lt;&gt;"",ROUND(Dashboard!$R$4/$F1954,1),IF(AND($I1954="Base",$E1954="Base"),Dashboard!$R$5,IF(AND($I1954="Base",$E1954="Red"),Dashboard!$R$6,IF(AND($I1954="Base",$E1954="Gold"),Dashboard!$R$7,VLOOKUP($I1954,Dashboard!$Q$16:$R$21,2,FALSE)))))*VLOOKUP($I1954,Dashboard!$Q$9:$R$13,2,FALSE)*IF(AND($I1954="Auto",$F1954="",OR($B1954="Autographs Duals",$B1954="Autographs Triples",$B1954="Autographs Quads",$B1954="Autographs Quads (Inscribed)")),IF($B1954="Autographs Duals",2,IF($B1954="Autographs Triples",3,4)),1)))</f>
        <v>6</v>
      </c>
      <c r="AB1954" s="62">
        <f t="shared" si="401"/>
        <v>6</v>
      </c>
      <c r="AC1954" s="62">
        <f t="shared" si="402"/>
        <v>0</v>
      </c>
    </row>
    <row r="1955" spans="1:29" ht="28.7" customHeight="1" x14ac:dyDescent="0.25">
      <c r="A1955" s="4" t="s">
        <v>25</v>
      </c>
      <c r="B1955" s="7" t="s">
        <v>25</v>
      </c>
      <c r="C1955" s="2" t="s">
        <v>479</v>
      </c>
      <c r="D1955" s="7" t="s">
        <v>480</v>
      </c>
      <c r="E1955" s="4" t="s">
        <v>60</v>
      </c>
      <c r="F1955" s="2"/>
      <c r="G1955" s="2" t="s">
        <v>1399</v>
      </c>
      <c r="H1955" s="2" t="s">
        <v>1400</v>
      </c>
      <c r="I1955" s="4" t="s">
        <v>62</v>
      </c>
      <c r="J1955" s="112">
        <f>IF($H1955&lt;&gt;"Y",0,ROUND(MIN(Dashboard!$R$24,IF(IFERROR(VLOOKUP($B1955,Dashboard!$Q$28:$S$60,2,FALSE),0)&gt;0,IFERROR(VLOOKUP($B1955,Dashboard!$Q$28:$S$60,2,FALSE),0),$Z1955*IF($U1955&lt;&gt;"",ROUND((Dashboard!$R$4/$U1955)*VLOOKUP($I1955,Dashboard!$Q$9:$R$13,2,FALSE)*IF(ISNUMBER(SEARCH("Duals",$B1955)),2,IF(ISNUMBER(SEARCH("Triples",$B1955)),3,IF(ISNUMBER(SEARCH("Quads",$B1955)),4,1))),2),ROUND(VLOOKUP($I1955,Dashboard!$Q$15:$R$20,2,FALSE)*IF($E1955="Red",Dashboard!$R$6,IF($E1955="Gold",Dashboard!$R$7,Dashboard!$R$5))*IF(ISNUMBER(SEARCH("Duals",$B1955)),2,IF(ISNUMBER(SEARCH("Triples",$B1955)),3,IF(ISNUMBER(SEARCH("Quads",$B1955)),4,1))),2))*IF(IFERROR(VLOOKUP($B1955,Dashboard!$Q$28:$S$60,3,FALSE),0)&gt;0,VLOOKUP($B1955,Dashboard!$Q$28:$S$60,3,FALSE),1))),0))</f>
        <v>10</v>
      </c>
      <c r="K1955" s="2" t="str">
        <f>IF('Team Ups'!E20="","",'Team Ups'!E20)</f>
        <v>C</v>
      </c>
      <c r="L1955" s="2">
        <f t="shared" si="390"/>
        <v>1</v>
      </c>
      <c r="M1955" s="2">
        <f t="shared" si="391"/>
        <v>0</v>
      </c>
      <c r="N1955" s="2">
        <f t="shared" si="392"/>
        <v>1</v>
      </c>
      <c r="O1955" s="2">
        <f t="shared" si="393"/>
        <v>0</v>
      </c>
      <c r="P1955" s="112">
        <f t="shared" si="394"/>
        <v>10</v>
      </c>
      <c r="Q1955" s="112">
        <f t="shared" si="395"/>
        <v>0</v>
      </c>
      <c r="R1955" s="53"/>
      <c r="S1955" s="53" t="str">
        <f t="shared" si="396"/>
        <v>Team Ups|Team Ups|TU-19|Base</v>
      </c>
      <c r="T1955" s="57">
        <f>IF($S1955="","",IFERROR(VLOOKUP($S1955,'Pop Estimates (Non-#d)'!$N$2:$O$500,2,FALSE),""))</f>
        <v>410</v>
      </c>
      <c r="U1955" s="57">
        <f t="shared" si="397"/>
        <v>410</v>
      </c>
      <c r="V1955" s="53" t="str">
        <f t="shared" si="398"/>
        <v>Hughie Campbell</v>
      </c>
      <c r="W1955" s="53" t="str">
        <f t="shared" si="399"/>
        <v>Hughie Campbell</v>
      </c>
      <c r="X1955" s="53" t="str">
        <f t="shared" si="400"/>
        <v>Hughie Campbell</v>
      </c>
      <c r="Y1955" s="57">
        <f>IF($X1955="","",IFERROR(VLOOKUP($X1955,'Char Popularity'!$A$2:$C$500,2,FALSE),""))</f>
        <v>5</v>
      </c>
      <c r="Z1955" s="56">
        <f>IF($X1955="",1,IFERROR(VLOOKUP($X1955,'Char Popularity'!$A$2:$C$500,3,FALSE),1))</f>
        <v>1.2</v>
      </c>
      <c r="AA1955" s="62">
        <f>IF($H1955&lt;&gt;"Y",0,(IF($F1955&lt;&gt;"",ROUND(Dashboard!$R$4/$F1955,1),IF(AND($I1955="Base",$E1955="Base"),Dashboard!$R$5,IF(AND($I1955="Base",$E1955="Red"),Dashboard!$R$6,IF(AND($I1955="Base",$E1955="Gold"),Dashboard!$R$7,VLOOKUP($I1955,Dashboard!$Q$16:$R$21,2,FALSE)))))*VLOOKUP($I1955,Dashboard!$Q$9:$R$13,2,FALSE)*IF(AND($I1955="Auto",$F1955="",OR($B1955="Autographs Duals",$B1955="Autographs Triples",$B1955="Autographs Quads",$B1955="Autographs Quads (Inscribed)")),IF($B1955="Autographs Duals",2,IF($B1955="Autographs Triples",3,4)),1)))</f>
        <v>6</v>
      </c>
      <c r="AB1955" s="62">
        <f t="shared" si="401"/>
        <v>6</v>
      </c>
      <c r="AC1955" s="62">
        <f t="shared" si="402"/>
        <v>0</v>
      </c>
    </row>
    <row r="1956" spans="1:29" ht="28.7" customHeight="1" x14ac:dyDescent="0.25">
      <c r="A1956" s="4" t="s">
        <v>25</v>
      </c>
      <c r="B1956" s="7" t="s">
        <v>25</v>
      </c>
      <c r="C1956" s="2" t="s">
        <v>483</v>
      </c>
      <c r="D1956" s="7" t="s">
        <v>484</v>
      </c>
      <c r="E1956" s="4" t="s">
        <v>60</v>
      </c>
      <c r="F1956" s="2"/>
      <c r="G1956" s="2" t="s">
        <v>1399</v>
      </c>
      <c r="H1956" s="2" t="s">
        <v>1400</v>
      </c>
      <c r="I1956" s="4" t="s">
        <v>62</v>
      </c>
      <c r="J1956" s="112">
        <f>IF($H1956&lt;&gt;"Y",0,ROUND(MIN(Dashboard!$R$24,IF(IFERROR(VLOOKUP($B1956,Dashboard!$Q$28:$S$60,2,FALSE),0)&gt;0,IFERROR(VLOOKUP($B1956,Dashboard!$Q$28:$S$60,2,FALSE),0),$Z1956*IF($U1956&lt;&gt;"",ROUND((Dashboard!$R$4/$U1956)*VLOOKUP($I1956,Dashboard!$Q$9:$R$13,2,FALSE)*IF(ISNUMBER(SEARCH("Duals",$B1956)),2,IF(ISNUMBER(SEARCH("Triples",$B1956)),3,IF(ISNUMBER(SEARCH("Quads",$B1956)),4,1))),2),ROUND(VLOOKUP($I1956,Dashboard!$Q$15:$R$20,2,FALSE)*IF($E1956="Red",Dashboard!$R$6,IF($E1956="Gold",Dashboard!$R$7,Dashboard!$R$5))*IF(ISNUMBER(SEARCH("Duals",$B1956)),2,IF(ISNUMBER(SEARCH("Triples",$B1956)),3,IF(ISNUMBER(SEARCH("Quads",$B1956)),4,1))),2))*IF(IFERROR(VLOOKUP($B1956,Dashboard!$Q$28:$S$60,3,FALSE),0)&gt;0,VLOOKUP($B1956,Dashboard!$Q$28:$S$60,3,FALSE),1))),0))</f>
        <v>10</v>
      </c>
      <c r="K1956" s="2" t="str">
        <f>IF('Team Ups'!E21="","",'Team Ups'!E21)</f>
        <v>C</v>
      </c>
      <c r="L1956" s="2">
        <f t="shared" si="390"/>
        <v>1</v>
      </c>
      <c r="M1956" s="2">
        <f t="shared" si="391"/>
        <v>0</v>
      </c>
      <c r="N1956" s="2">
        <f t="shared" si="392"/>
        <v>1</v>
      </c>
      <c r="O1956" s="2">
        <f t="shared" si="393"/>
        <v>0</v>
      </c>
      <c r="P1956" s="112">
        <f t="shared" si="394"/>
        <v>10</v>
      </c>
      <c r="Q1956" s="112">
        <f t="shared" si="395"/>
        <v>0</v>
      </c>
      <c r="R1956" s="53"/>
      <c r="S1956" s="53" t="str">
        <f t="shared" si="396"/>
        <v>Team Ups|Team Ups|TU-20|Base</v>
      </c>
      <c r="T1956" s="57">
        <f>IF($S1956="","",IFERROR(VLOOKUP($S1956,'Pop Estimates (Non-#d)'!$N$2:$O$500,2,FALSE),""))</f>
        <v>410</v>
      </c>
      <c r="U1956" s="57">
        <f t="shared" si="397"/>
        <v>410</v>
      </c>
      <c r="V1956" s="53" t="str">
        <f t="shared" si="398"/>
        <v>Homelander</v>
      </c>
      <c r="W1956" s="53" t="str">
        <f t="shared" si="399"/>
        <v>Homelander</v>
      </c>
      <c r="X1956" s="53" t="str">
        <f t="shared" si="400"/>
        <v>Homelander</v>
      </c>
      <c r="Y1956" s="57">
        <f>IF($X1956="","",IFERROR(VLOOKUP($X1956,'Char Popularity'!$A$2:$C$500,2,FALSE),""))</f>
        <v>5</v>
      </c>
      <c r="Z1956" s="56">
        <f>IF($X1956="",1,IFERROR(VLOOKUP($X1956,'Char Popularity'!$A$2:$C$500,3,FALSE),1))</f>
        <v>1.2</v>
      </c>
      <c r="AA1956" s="62">
        <f>IF($H1956&lt;&gt;"Y",0,(IF($F1956&lt;&gt;"",ROUND(Dashboard!$R$4/$F1956,1),IF(AND($I1956="Base",$E1956="Base"),Dashboard!$R$5,IF(AND($I1956="Base",$E1956="Red"),Dashboard!$R$6,IF(AND($I1956="Base",$E1956="Gold"),Dashboard!$R$7,VLOOKUP($I1956,Dashboard!$Q$16:$R$21,2,FALSE)))))*VLOOKUP($I1956,Dashboard!$Q$9:$R$13,2,FALSE)*IF(AND($I1956="Auto",$F1956="",OR($B1956="Autographs Duals",$B1956="Autographs Triples",$B1956="Autographs Quads",$B1956="Autographs Quads (Inscribed)")),IF($B1956="Autographs Duals",2,IF($B1956="Autographs Triples",3,4)),1)))</f>
        <v>6</v>
      </c>
      <c r="AB1956" s="62">
        <f t="shared" si="401"/>
        <v>6</v>
      </c>
      <c r="AC1956" s="62">
        <f t="shared" si="402"/>
        <v>0</v>
      </c>
    </row>
    <row r="1957" spans="1:29" ht="28.7" customHeight="1" x14ac:dyDescent="0.25">
      <c r="A1957" s="4" t="s">
        <v>25</v>
      </c>
      <c r="B1957" s="7" t="s">
        <v>25</v>
      </c>
      <c r="C1957" s="2" t="s">
        <v>485</v>
      </c>
      <c r="D1957" s="7" t="s">
        <v>486</v>
      </c>
      <c r="E1957" s="4" t="s">
        <v>60</v>
      </c>
      <c r="F1957" s="2"/>
      <c r="G1957" s="2" t="s">
        <v>1399</v>
      </c>
      <c r="H1957" s="2" t="s">
        <v>1400</v>
      </c>
      <c r="I1957" s="4" t="s">
        <v>62</v>
      </c>
      <c r="J1957" s="112">
        <f>IF($H1957&lt;&gt;"Y",0,ROUND(MIN(Dashboard!$R$24,IF(IFERROR(VLOOKUP($B1957,Dashboard!$Q$28:$S$60,2,FALSE),0)&gt;0,IFERROR(VLOOKUP($B1957,Dashboard!$Q$28:$S$60,2,FALSE),0),$Z1957*IF($U1957&lt;&gt;"",ROUND((Dashboard!$R$4/$U1957)*VLOOKUP($I1957,Dashboard!$Q$9:$R$13,2,FALSE)*IF(ISNUMBER(SEARCH("Duals",$B1957)),2,IF(ISNUMBER(SEARCH("Triples",$B1957)),3,IF(ISNUMBER(SEARCH("Quads",$B1957)),4,1))),2),ROUND(VLOOKUP($I1957,Dashboard!$Q$15:$R$20,2,FALSE)*IF($E1957="Red",Dashboard!$R$6,IF($E1957="Gold",Dashboard!$R$7,Dashboard!$R$5))*IF(ISNUMBER(SEARCH("Duals",$B1957)),2,IF(ISNUMBER(SEARCH("Triples",$B1957)),3,IF(ISNUMBER(SEARCH("Quads",$B1957)),4,1))),2))*IF(IFERROR(VLOOKUP($B1957,Dashboard!$Q$28:$S$60,3,FALSE),0)&gt;0,VLOOKUP($B1957,Dashboard!$Q$28:$S$60,3,FALSE),1))),0))</f>
        <v>10</v>
      </c>
      <c r="K1957" s="2" t="str">
        <f>IF('Team Ups'!E22="","",'Team Ups'!E22)</f>
        <v>C</v>
      </c>
      <c r="L1957" s="2">
        <f t="shared" si="390"/>
        <v>1</v>
      </c>
      <c r="M1957" s="2">
        <f t="shared" si="391"/>
        <v>0</v>
      </c>
      <c r="N1957" s="2">
        <f t="shared" si="392"/>
        <v>1</v>
      </c>
      <c r="O1957" s="2">
        <f t="shared" si="393"/>
        <v>0</v>
      </c>
      <c r="P1957" s="112">
        <f t="shared" si="394"/>
        <v>10</v>
      </c>
      <c r="Q1957" s="112">
        <f t="shared" si="395"/>
        <v>0</v>
      </c>
      <c r="R1957" s="53"/>
      <c r="S1957" s="53" t="str">
        <f t="shared" si="396"/>
        <v>Team Ups|Team Ups|TU-21|Base</v>
      </c>
      <c r="T1957" s="57">
        <f>IF($S1957="","",IFERROR(VLOOKUP($S1957,'Pop Estimates (Non-#d)'!$N$2:$O$500,2,FALSE),""))</f>
        <v>410</v>
      </c>
      <c r="U1957" s="57">
        <f t="shared" si="397"/>
        <v>410</v>
      </c>
      <c r="V1957" s="53" t="str">
        <f t="shared" si="398"/>
        <v>Frenchie</v>
      </c>
      <c r="W1957" s="53" t="str">
        <f t="shared" si="399"/>
        <v>Frenchie</v>
      </c>
      <c r="X1957" s="53" t="str">
        <f t="shared" si="400"/>
        <v>Frenchie</v>
      </c>
      <c r="Y1957" s="57">
        <f>IF($X1957="","",IFERROR(VLOOKUP($X1957,'Char Popularity'!$A$2:$C$500,2,FALSE),""))</f>
        <v>4</v>
      </c>
      <c r="Z1957" s="56">
        <f>IF($X1957="",1,IFERROR(VLOOKUP($X1957,'Char Popularity'!$A$2:$C$500,3,FALSE),1))</f>
        <v>1.1000000000000001</v>
      </c>
      <c r="AA1957" s="62">
        <f>IF($H1957&lt;&gt;"Y",0,(IF($F1957&lt;&gt;"",ROUND(Dashboard!$R$4/$F1957,1),IF(AND($I1957="Base",$E1957="Base"),Dashboard!$R$5,IF(AND($I1957="Base",$E1957="Red"),Dashboard!$R$6,IF(AND($I1957="Base",$E1957="Gold"),Dashboard!$R$7,VLOOKUP($I1957,Dashboard!$Q$16:$R$21,2,FALSE)))))*VLOOKUP($I1957,Dashboard!$Q$9:$R$13,2,FALSE)*IF(AND($I1957="Auto",$F1957="",OR($B1957="Autographs Duals",$B1957="Autographs Triples",$B1957="Autographs Quads",$B1957="Autographs Quads (Inscribed)")),IF($B1957="Autographs Duals",2,IF($B1957="Autographs Triples",3,4)),1)))</f>
        <v>6</v>
      </c>
      <c r="AB1957" s="62">
        <f t="shared" si="401"/>
        <v>6</v>
      </c>
      <c r="AC1957" s="62">
        <f t="shared" si="402"/>
        <v>0</v>
      </c>
    </row>
    <row r="1958" spans="1:29" ht="28.7" customHeight="1" x14ac:dyDescent="0.25">
      <c r="A1958" s="4" t="s">
        <v>25</v>
      </c>
      <c r="B1958" s="7" t="s">
        <v>25</v>
      </c>
      <c r="C1958" s="2" t="s">
        <v>487</v>
      </c>
      <c r="D1958" s="7" t="s">
        <v>488</v>
      </c>
      <c r="E1958" s="4" t="s">
        <v>60</v>
      </c>
      <c r="F1958" s="2"/>
      <c r="G1958" s="2" t="s">
        <v>1399</v>
      </c>
      <c r="H1958" s="2" t="s">
        <v>1400</v>
      </c>
      <c r="I1958" s="4" t="s">
        <v>62</v>
      </c>
      <c r="J1958" s="112">
        <f>IF($H1958&lt;&gt;"Y",0,ROUND(MIN(Dashboard!$R$24,IF(IFERROR(VLOOKUP($B1958,Dashboard!$Q$28:$S$60,2,FALSE),0)&gt;0,IFERROR(VLOOKUP($B1958,Dashboard!$Q$28:$S$60,2,FALSE),0),$Z1958*IF($U1958&lt;&gt;"",ROUND((Dashboard!$R$4/$U1958)*VLOOKUP($I1958,Dashboard!$Q$9:$R$13,2,FALSE)*IF(ISNUMBER(SEARCH("Duals",$B1958)),2,IF(ISNUMBER(SEARCH("Triples",$B1958)),3,IF(ISNUMBER(SEARCH("Quads",$B1958)),4,1))),2),ROUND(VLOOKUP($I1958,Dashboard!$Q$15:$R$20,2,FALSE)*IF($E1958="Red",Dashboard!$R$6,IF($E1958="Gold",Dashboard!$R$7,Dashboard!$R$5))*IF(ISNUMBER(SEARCH("Duals",$B1958)),2,IF(ISNUMBER(SEARCH("Triples",$B1958)),3,IF(ISNUMBER(SEARCH("Quads",$B1958)),4,1))),2))*IF(IFERROR(VLOOKUP($B1958,Dashboard!$Q$28:$S$60,3,FALSE),0)&gt;0,VLOOKUP($B1958,Dashboard!$Q$28:$S$60,3,FALSE),1))),0))</f>
        <v>10</v>
      </c>
      <c r="K1958" s="2" t="str">
        <f>IF('Team Ups'!E23="","",'Team Ups'!E23)</f>
        <v>C</v>
      </c>
      <c r="L1958" s="2">
        <f t="shared" si="390"/>
        <v>1</v>
      </c>
      <c r="M1958" s="2">
        <f t="shared" si="391"/>
        <v>0</v>
      </c>
      <c r="N1958" s="2">
        <f t="shared" si="392"/>
        <v>1</v>
      </c>
      <c r="O1958" s="2">
        <f t="shared" si="393"/>
        <v>0</v>
      </c>
      <c r="P1958" s="112">
        <f t="shared" si="394"/>
        <v>10</v>
      </c>
      <c r="Q1958" s="112">
        <f t="shared" si="395"/>
        <v>0</v>
      </c>
      <c r="R1958" s="53"/>
      <c r="S1958" s="53" t="str">
        <f t="shared" si="396"/>
        <v>Team Ups|Team Ups|TU-22|Base</v>
      </c>
      <c r="T1958" s="57">
        <f>IF($S1958="","",IFERROR(VLOOKUP($S1958,'Pop Estimates (Non-#d)'!$N$2:$O$500,2,FALSE),""))</f>
        <v>410</v>
      </c>
      <c r="U1958" s="57">
        <f t="shared" si="397"/>
        <v>410</v>
      </c>
      <c r="V1958" s="53" t="str">
        <f t="shared" si="398"/>
        <v>Madelyn Stillwell</v>
      </c>
      <c r="W1958" s="53" t="str">
        <f t="shared" si="399"/>
        <v>Madelyn Stillwell</v>
      </c>
      <c r="X1958" s="53" t="str">
        <f t="shared" si="400"/>
        <v>Madelyn Stillwell</v>
      </c>
      <c r="Y1958" s="57">
        <f>IF($X1958="","",IFERROR(VLOOKUP($X1958,'Char Popularity'!$A$2:$C$500,2,FALSE),""))</f>
        <v>3</v>
      </c>
      <c r="Z1958" s="56">
        <f>IF($X1958="",1,IFERROR(VLOOKUP($X1958,'Char Popularity'!$A$2:$C$500,3,FALSE),1))</f>
        <v>1</v>
      </c>
      <c r="AA1958" s="62">
        <f>IF($H1958&lt;&gt;"Y",0,(IF($F1958&lt;&gt;"",ROUND(Dashboard!$R$4/$F1958,1),IF(AND($I1958="Base",$E1958="Base"),Dashboard!$R$5,IF(AND($I1958="Base",$E1958="Red"),Dashboard!$R$6,IF(AND($I1958="Base",$E1958="Gold"),Dashboard!$R$7,VLOOKUP($I1958,Dashboard!$Q$16:$R$21,2,FALSE)))))*VLOOKUP($I1958,Dashboard!$Q$9:$R$13,2,FALSE)*IF(AND($I1958="Auto",$F1958="",OR($B1958="Autographs Duals",$B1958="Autographs Triples",$B1958="Autographs Quads",$B1958="Autographs Quads (Inscribed)")),IF($B1958="Autographs Duals",2,IF($B1958="Autographs Triples",3,4)),1)))</f>
        <v>6</v>
      </c>
      <c r="AB1958" s="62">
        <f t="shared" si="401"/>
        <v>6</v>
      </c>
      <c r="AC1958" s="62">
        <f t="shared" si="402"/>
        <v>0</v>
      </c>
    </row>
    <row r="1959" spans="1:29" ht="28.7" customHeight="1" x14ac:dyDescent="0.25">
      <c r="A1959" s="4" t="s">
        <v>25</v>
      </c>
      <c r="B1959" s="7" t="s">
        <v>25</v>
      </c>
      <c r="C1959" s="2" t="s">
        <v>489</v>
      </c>
      <c r="D1959" s="7" t="s">
        <v>490</v>
      </c>
      <c r="E1959" s="4" t="s">
        <v>60</v>
      </c>
      <c r="F1959" s="2"/>
      <c r="G1959" s="2" t="s">
        <v>1399</v>
      </c>
      <c r="H1959" s="2" t="s">
        <v>1400</v>
      </c>
      <c r="I1959" s="4" t="s">
        <v>62</v>
      </c>
      <c r="J1959" s="112">
        <f>IF($H1959&lt;&gt;"Y",0,ROUND(MIN(Dashboard!$R$24,IF(IFERROR(VLOOKUP($B1959,Dashboard!$Q$28:$S$60,2,FALSE),0)&gt;0,IFERROR(VLOOKUP($B1959,Dashboard!$Q$28:$S$60,2,FALSE),0),$Z1959*IF($U1959&lt;&gt;"",ROUND((Dashboard!$R$4/$U1959)*VLOOKUP($I1959,Dashboard!$Q$9:$R$13,2,FALSE)*IF(ISNUMBER(SEARCH("Duals",$B1959)),2,IF(ISNUMBER(SEARCH("Triples",$B1959)),3,IF(ISNUMBER(SEARCH("Quads",$B1959)),4,1))),2),ROUND(VLOOKUP($I1959,Dashboard!$Q$15:$R$20,2,FALSE)*IF($E1959="Red",Dashboard!$R$6,IF($E1959="Gold",Dashboard!$R$7,Dashboard!$R$5))*IF(ISNUMBER(SEARCH("Duals",$B1959)),2,IF(ISNUMBER(SEARCH("Triples",$B1959)),3,IF(ISNUMBER(SEARCH("Quads",$B1959)),4,1))),2))*IF(IFERROR(VLOOKUP($B1959,Dashboard!$Q$28:$S$60,3,FALSE),0)&gt;0,VLOOKUP($B1959,Dashboard!$Q$28:$S$60,3,FALSE),1))),0))</f>
        <v>10</v>
      </c>
      <c r="K1959" s="2" t="str">
        <f>IF('Team Ups'!E24="","",'Team Ups'!E24)</f>
        <v>C</v>
      </c>
      <c r="L1959" s="2">
        <f t="shared" si="390"/>
        <v>1</v>
      </c>
      <c r="M1959" s="2">
        <f t="shared" si="391"/>
        <v>0</v>
      </c>
      <c r="N1959" s="2">
        <f t="shared" si="392"/>
        <v>1</v>
      </c>
      <c r="O1959" s="2">
        <f t="shared" si="393"/>
        <v>0</v>
      </c>
      <c r="P1959" s="112">
        <f t="shared" si="394"/>
        <v>10</v>
      </c>
      <c r="Q1959" s="112">
        <f t="shared" si="395"/>
        <v>0</v>
      </c>
      <c r="R1959" s="53"/>
      <c r="S1959" s="53" t="str">
        <f t="shared" si="396"/>
        <v>Team Ups|Team Ups|TU-23|Base</v>
      </c>
      <c r="T1959" s="57">
        <f>IF($S1959="","",IFERROR(VLOOKUP($S1959,'Pop Estimates (Non-#d)'!$N$2:$O$500,2,FALSE),""))</f>
        <v>410</v>
      </c>
      <c r="U1959" s="57">
        <f t="shared" si="397"/>
        <v>410</v>
      </c>
      <c r="V1959" s="53" t="str">
        <f t="shared" si="398"/>
        <v>A-Train</v>
      </c>
      <c r="W1959" s="53" t="str">
        <f t="shared" si="399"/>
        <v>A-Train</v>
      </c>
      <c r="X1959" s="53" t="str">
        <f t="shared" si="400"/>
        <v>A-Train</v>
      </c>
      <c r="Y1959" s="57">
        <f>IF($X1959="","",IFERROR(VLOOKUP($X1959,'Char Popularity'!$A$2:$C$500,2,FALSE),""))</f>
        <v>4</v>
      </c>
      <c r="Z1959" s="56">
        <f>IF($X1959="",1,IFERROR(VLOOKUP($X1959,'Char Popularity'!$A$2:$C$500,3,FALSE),1))</f>
        <v>1.1000000000000001</v>
      </c>
      <c r="AA1959" s="62">
        <f>IF($H1959&lt;&gt;"Y",0,(IF($F1959&lt;&gt;"",ROUND(Dashboard!$R$4/$F1959,1),IF(AND($I1959="Base",$E1959="Base"),Dashboard!$R$5,IF(AND($I1959="Base",$E1959="Red"),Dashboard!$R$6,IF(AND($I1959="Base",$E1959="Gold"),Dashboard!$R$7,VLOOKUP($I1959,Dashboard!$Q$16:$R$21,2,FALSE)))))*VLOOKUP($I1959,Dashboard!$Q$9:$R$13,2,FALSE)*IF(AND($I1959="Auto",$F1959="",OR($B1959="Autographs Duals",$B1959="Autographs Triples",$B1959="Autographs Quads",$B1959="Autographs Quads (Inscribed)")),IF($B1959="Autographs Duals",2,IF($B1959="Autographs Triples",3,4)),1)))</f>
        <v>6</v>
      </c>
      <c r="AB1959" s="62">
        <f t="shared" si="401"/>
        <v>6</v>
      </c>
      <c r="AC1959" s="62">
        <f t="shared" si="402"/>
        <v>0</v>
      </c>
    </row>
    <row r="1960" spans="1:29" ht="28.7" customHeight="1" x14ac:dyDescent="0.25">
      <c r="A1960" s="4" t="s">
        <v>25</v>
      </c>
      <c r="B1960" s="7" t="s">
        <v>25</v>
      </c>
      <c r="C1960" s="2" t="s">
        <v>491</v>
      </c>
      <c r="D1960" s="7" t="s">
        <v>492</v>
      </c>
      <c r="E1960" s="4" t="s">
        <v>60</v>
      </c>
      <c r="F1960" s="2"/>
      <c r="G1960" s="2" t="s">
        <v>1399</v>
      </c>
      <c r="H1960" s="2" t="s">
        <v>1400</v>
      </c>
      <c r="I1960" s="4" t="s">
        <v>62</v>
      </c>
      <c r="J1960" s="112">
        <f>IF($H1960&lt;&gt;"Y",0,ROUND(MIN(Dashboard!$R$24,IF(IFERROR(VLOOKUP($B1960,Dashboard!$Q$28:$S$60,2,FALSE),0)&gt;0,IFERROR(VLOOKUP($B1960,Dashboard!$Q$28:$S$60,2,FALSE),0),$Z1960*IF($U1960&lt;&gt;"",ROUND((Dashboard!$R$4/$U1960)*VLOOKUP($I1960,Dashboard!$Q$9:$R$13,2,FALSE)*IF(ISNUMBER(SEARCH("Duals",$B1960)),2,IF(ISNUMBER(SEARCH("Triples",$B1960)),3,IF(ISNUMBER(SEARCH("Quads",$B1960)),4,1))),2),ROUND(VLOOKUP($I1960,Dashboard!$Q$15:$R$20,2,FALSE)*IF($E1960="Red",Dashboard!$R$6,IF($E1960="Gold",Dashboard!$R$7,Dashboard!$R$5))*IF(ISNUMBER(SEARCH("Duals",$B1960)),2,IF(ISNUMBER(SEARCH("Triples",$B1960)),3,IF(ISNUMBER(SEARCH("Quads",$B1960)),4,1))),2))*IF(IFERROR(VLOOKUP($B1960,Dashboard!$Q$28:$S$60,3,FALSE),0)&gt;0,VLOOKUP($B1960,Dashboard!$Q$28:$S$60,3,FALSE),1))),0))</f>
        <v>10</v>
      </c>
      <c r="K1960" s="2" t="str">
        <f>IF('Team Ups'!E25="","",'Team Ups'!E25)</f>
        <v>C</v>
      </c>
      <c r="L1960" s="2">
        <f t="shared" si="390"/>
        <v>1</v>
      </c>
      <c r="M1960" s="2">
        <f t="shared" si="391"/>
        <v>0</v>
      </c>
      <c r="N1960" s="2">
        <f t="shared" si="392"/>
        <v>1</v>
      </c>
      <c r="O1960" s="2">
        <f t="shared" si="393"/>
        <v>0</v>
      </c>
      <c r="P1960" s="112">
        <f t="shared" si="394"/>
        <v>10</v>
      </c>
      <c r="Q1960" s="112">
        <f t="shared" si="395"/>
        <v>0</v>
      </c>
      <c r="R1960" s="53"/>
      <c r="S1960" s="53" t="str">
        <f t="shared" si="396"/>
        <v>Team Ups|Team Ups|TU-24|Base</v>
      </c>
      <c r="T1960" s="57">
        <f>IF($S1960="","",IFERROR(VLOOKUP($S1960,'Pop Estimates (Non-#d)'!$N$2:$O$500,2,FALSE),""))</f>
        <v>410</v>
      </c>
      <c r="U1960" s="57">
        <f t="shared" si="397"/>
        <v>410</v>
      </c>
      <c r="V1960" s="53" t="str">
        <f t="shared" si="398"/>
        <v>Hugh Campbell Sr.</v>
      </c>
      <c r="W1960" s="53" t="str">
        <f t="shared" si="399"/>
        <v>Hugh Campbell Sr.</v>
      </c>
      <c r="X1960" s="53" t="str">
        <f t="shared" si="400"/>
        <v>Hugh Campbell Sr.</v>
      </c>
      <c r="Y1960" s="57">
        <f>IF($X1960="","",IFERROR(VLOOKUP($X1960,'Char Popularity'!$A$2:$C$500,2,FALSE),""))</f>
        <v>3</v>
      </c>
      <c r="Z1960" s="56">
        <f>IF($X1960="",1,IFERROR(VLOOKUP($X1960,'Char Popularity'!$A$2:$C$500,3,FALSE),1))</f>
        <v>1</v>
      </c>
      <c r="AA1960" s="62">
        <f>IF($H1960&lt;&gt;"Y",0,(IF($F1960&lt;&gt;"",ROUND(Dashboard!$R$4/$F1960,1),IF(AND($I1960="Base",$E1960="Base"),Dashboard!$R$5,IF(AND($I1960="Base",$E1960="Red"),Dashboard!$R$6,IF(AND($I1960="Base",$E1960="Gold"),Dashboard!$R$7,VLOOKUP($I1960,Dashboard!$Q$16:$R$21,2,FALSE)))))*VLOOKUP($I1960,Dashboard!$Q$9:$R$13,2,FALSE)*IF(AND($I1960="Auto",$F1960="",OR($B1960="Autographs Duals",$B1960="Autographs Triples",$B1960="Autographs Quads",$B1960="Autographs Quads (Inscribed)")),IF($B1960="Autographs Duals",2,IF($B1960="Autographs Triples",3,4)),1)))</f>
        <v>6</v>
      </c>
      <c r="AB1960" s="62">
        <f t="shared" si="401"/>
        <v>6</v>
      </c>
      <c r="AC1960" s="62">
        <f t="shared" si="402"/>
        <v>0</v>
      </c>
    </row>
    <row r="1961" spans="1:29" ht="28.7" customHeight="1" x14ac:dyDescent="0.25">
      <c r="A1961" s="4" t="s">
        <v>25</v>
      </c>
      <c r="B1961" s="7" t="s">
        <v>25</v>
      </c>
      <c r="C1961" s="2" t="s">
        <v>493</v>
      </c>
      <c r="D1961" s="7" t="s">
        <v>494</v>
      </c>
      <c r="E1961" s="4" t="s">
        <v>60</v>
      </c>
      <c r="F1961" s="2"/>
      <c r="G1961" s="2" t="s">
        <v>1399</v>
      </c>
      <c r="H1961" s="2" t="s">
        <v>1400</v>
      </c>
      <c r="I1961" s="4" t="s">
        <v>62</v>
      </c>
      <c r="J1961" s="112">
        <f>IF($H1961&lt;&gt;"Y",0,ROUND(MIN(Dashboard!$R$24,IF(IFERROR(VLOOKUP($B1961,Dashboard!$Q$28:$S$60,2,FALSE),0)&gt;0,IFERROR(VLOOKUP($B1961,Dashboard!$Q$28:$S$60,2,FALSE),0),$Z1961*IF($U1961&lt;&gt;"",ROUND((Dashboard!$R$4/$U1961)*VLOOKUP($I1961,Dashboard!$Q$9:$R$13,2,FALSE)*IF(ISNUMBER(SEARCH("Duals",$B1961)),2,IF(ISNUMBER(SEARCH("Triples",$B1961)),3,IF(ISNUMBER(SEARCH("Quads",$B1961)),4,1))),2),ROUND(VLOOKUP($I1961,Dashboard!$Q$15:$R$20,2,FALSE)*IF($E1961="Red",Dashboard!$R$6,IF($E1961="Gold",Dashboard!$R$7,Dashboard!$R$5))*IF(ISNUMBER(SEARCH("Duals",$B1961)),2,IF(ISNUMBER(SEARCH("Triples",$B1961)),3,IF(ISNUMBER(SEARCH("Quads",$B1961)),4,1))),2))*IF(IFERROR(VLOOKUP($B1961,Dashboard!$Q$28:$S$60,3,FALSE),0)&gt;0,VLOOKUP($B1961,Dashboard!$Q$28:$S$60,3,FALSE),1))),0))</f>
        <v>10</v>
      </c>
      <c r="K1961" s="2" t="str">
        <f>IF('Team Ups'!E26="","",'Team Ups'!E26)</f>
        <v>V</v>
      </c>
      <c r="L1961" s="2">
        <f t="shared" si="390"/>
        <v>1</v>
      </c>
      <c r="M1961" s="2">
        <f t="shared" si="391"/>
        <v>0</v>
      </c>
      <c r="N1961" s="2">
        <f t="shared" si="392"/>
        <v>1</v>
      </c>
      <c r="O1961" s="2">
        <f t="shared" si="393"/>
        <v>0</v>
      </c>
      <c r="P1961" s="112">
        <f t="shared" si="394"/>
        <v>10</v>
      </c>
      <c r="Q1961" s="112">
        <f t="shared" si="395"/>
        <v>0</v>
      </c>
      <c r="R1961" s="53"/>
      <c r="S1961" s="53" t="str">
        <f t="shared" si="396"/>
        <v>Team Ups|Team Ups|TU-25|Base</v>
      </c>
      <c r="T1961" s="57">
        <f>IF($S1961="","",IFERROR(VLOOKUP($S1961,'Pop Estimates (Non-#d)'!$N$2:$O$500,2,FALSE),""))</f>
        <v>410</v>
      </c>
      <c r="U1961" s="57">
        <f t="shared" si="397"/>
        <v>410</v>
      </c>
      <c r="V1961" s="53" t="str">
        <f t="shared" si="398"/>
        <v>Susan Rayner</v>
      </c>
      <c r="W1961" s="53" t="str">
        <f t="shared" si="399"/>
        <v>Susan Rayner</v>
      </c>
      <c r="X1961" s="53" t="str">
        <f t="shared" si="400"/>
        <v>Susan Rayner</v>
      </c>
      <c r="Y1961" s="57">
        <f>IF($X1961="","",IFERROR(VLOOKUP($X1961,'Char Popularity'!$A$2:$C$500,2,FALSE),""))</f>
        <v>3</v>
      </c>
      <c r="Z1961" s="56">
        <f>IF($X1961="",1,IFERROR(VLOOKUP($X1961,'Char Popularity'!$A$2:$C$500,3,FALSE),1))</f>
        <v>1</v>
      </c>
      <c r="AA1961" s="62">
        <f>IF($H1961&lt;&gt;"Y",0,(IF($F1961&lt;&gt;"",ROUND(Dashboard!$R$4/$F1961,1),IF(AND($I1961="Base",$E1961="Base"),Dashboard!$R$5,IF(AND($I1961="Base",$E1961="Red"),Dashboard!$R$6,IF(AND($I1961="Base",$E1961="Gold"),Dashboard!$R$7,VLOOKUP($I1961,Dashboard!$Q$16:$R$21,2,FALSE)))))*VLOOKUP($I1961,Dashboard!$Q$9:$R$13,2,FALSE)*IF(AND($I1961="Auto",$F1961="",OR($B1961="Autographs Duals",$B1961="Autographs Triples",$B1961="Autographs Quads",$B1961="Autographs Quads (Inscribed)")),IF($B1961="Autographs Duals",2,IF($B1961="Autographs Triples",3,4)),1)))</f>
        <v>6</v>
      </c>
      <c r="AB1961" s="62">
        <f t="shared" si="401"/>
        <v>6</v>
      </c>
      <c r="AC1961" s="62">
        <f t="shared" si="402"/>
        <v>0</v>
      </c>
    </row>
    <row r="1962" spans="1:29" ht="30" customHeight="1" x14ac:dyDescent="0.25">
      <c r="A1962" s="4" t="s">
        <v>27</v>
      </c>
      <c r="B1962" s="7" t="s">
        <v>88</v>
      </c>
      <c r="C1962" s="2" t="s">
        <v>316</v>
      </c>
      <c r="D1962" s="7" t="s">
        <v>317</v>
      </c>
      <c r="E1962" s="4" t="s">
        <v>60</v>
      </c>
      <c r="F1962" s="2"/>
      <c r="G1962" s="2" t="s">
        <v>1399</v>
      </c>
      <c r="H1962" s="2" t="s">
        <v>1400</v>
      </c>
      <c r="I1962" s="4" t="s">
        <v>64</v>
      </c>
      <c r="J1962" s="112">
        <f>IF($H1962&lt;&gt;"Y",0,ROUND(MIN(Dashboard!$R$24,IF(IFERROR(VLOOKUP($B1962,Dashboard!$Q$28:$S$60,2,FALSE),0)&gt;0,IFERROR(VLOOKUP($B1962,Dashboard!$Q$28:$S$60,2,FALSE),0),$Z1962*IF($U1962&lt;&gt;"",ROUND((Dashboard!$R$4/$U1962)*VLOOKUP($I1962,Dashboard!$Q$9:$R$13,2,FALSE)*IF(ISNUMBER(SEARCH("Duals",$B1962)),2,IF(ISNUMBER(SEARCH("Triples",$B1962)),3,IF(ISNUMBER(SEARCH("Quads",$B1962)),4,1))),2),ROUND(VLOOKUP($I1962,Dashboard!$Q$15:$R$20,2,FALSE)*IF($E1962="Red",Dashboard!$R$6,IF($E1962="Gold",Dashboard!$R$7,Dashboard!$R$5))*IF(ISNUMBER(SEARCH("Duals",$B1962)),2,IF(ISNUMBER(SEARCH("Triples",$B1962)),3,IF(ISNUMBER(SEARCH("Quads",$B1962)),4,1))),2))*IF(IFERROR(VLOOKUP($B1962,Dashboard!$Q$28:$S$60,3,FALSE),0)&gt;0,VLOOKUP($B1962,Dashboard!$Q$28:$S$60,3,FALSE),1))),0))</f>
        <v>12</v>
      </c>
      <c r="K1962" s="2" t="str">
        <f>IF('A View From Home'!E32="","",'A View From Home'!E32)</f>
        <v>V</v>
      </c>
      <c r="L1962" s="2">
        <f t="shared" si="390"/>
        <v>1</v>
      </c>
      <c r="M1962" s="2">
        <f t="shared" si="391"/>
        <v>0</v>
      </c>
      <c r="N1962" s="2">
        <f t="shared" si="392"/>
        <v>1</v>
      </c>
      <c r="O1962" s="2">
        <f t="shared" si="393"/>
        <v>0</v>
      </c>
      <c r="P1962" s="112">
        <f t="shared" si="394"/>
        <v>12</v>
      </c>
      <c r="Q1962" s="112">
        <f t="shared" si="395"/>
        <v>0</v>
      </c>
      <c r="R1962" s="53"/>
      <c r="S1962" s="53" t="str">
        <f t="shared" si="396"/>
        <v>A View From Home|A View From Home SPs|VHSP-1|Base</v>
      </c>
      <c r="T1962" s="57">
        <f>IF($S1962="","",IFERROR(VLOOKUP($S1962,'Pop Estimates (Non-#d)'!$N$2:$O$500,2,FALSE),""))</f>
        <v>143</v>
      </c>
      <c r="U1962" s="57">
        <f t="shared" si="397"/>
        <v>143</v>
      </c>
      <c r="V1962" s="53" t="str">
        <f t="shared" si="398"/>
        <v/>
      </c>
      <c r="W1962" s="53" t="str">
        <f t="shared" si="399"/>
        <v/>
      </c>
      <c r="X1962" s="53" t="str">
        <f t="shared" si="400"/>
        <v/>
      </c>
      <c r="Y1962" s="57" t="str">
        <f>IF($X1962="","",IFERROR(VLOOKUP($X1962,'Char Popularity'!$A$2:$C$500,2,FALSE),""))</f>
        <v/>
      </c>
      <c r="Z1962" s="56">
        <f>IF($X1962="",1,IFERROR(VLOOKUP($X1962,'Char Popularity'!$A$2:$C$500,3,FALSE),1))</f>
        <v>1</v>
      </c>
      <c r="AA1962" s="62">
        <f>IF($H1962&lt;&gt;"Y",0,(IF($F1962&lt;&gt;"",ROUND(Dashboard!$R$4/$F1962,1),IF(AND($I1962="Base",$E1962="Base"),Dashboard!$R$5,IF(AND($I1962="Base",$E1962="Red"),Dashboard!$R$6,IF(AND($I1962="Base",$E1962="Gold"),Dashboard!$R$7,VLOOKUP($I1962,Dashboard!$Q$16:$R$21,2,FALSE)))))*VLOOKUP($I1962,Dashboard!$Q$9:$R$13,2,FALSE)*IF(AND($I1962="Auto",$F1962="",OR($B1962="Autographs Duals",$B1962="Autographs Triples",$B1962="Autographs Quads",$B1962="Autographs Quads (Inscribed)")),IF($B1962="Autographs Duals",2,IF($B1962="Autographs Triples",3,4)),1)))</f>
        <v>19.5</v>
      </c>
      <c r="AB1962" s="62">
        <f t="shared" si="401"/>
        <v>19.5</v>
      </c>
      <c r="AC1962" s="62">
        <f t="shared" si="402"/>
        <v>0</v>
      </c>
    </row>
    <row r="1963" spans="1:29" ht="30" customHeight="1" x14ac:dyDescent="0.25">
      <c r="A1963" s="4" t="s">
        <v>27</v>
      </c>
      <c r="B1963" s="7" t="s">
        <v>88</v>
      </c>
      <c r="C1963" s="2" t="s">
        <v>320</v>
      </c>
      <c r="D1963" s="7" t="s">
        <v>321</v>
      </c>
      <c r="E1963" s="4" t="s">
        <v>60</v>
      </c>
      <c r="F1963" s="2"/>
      <c r="G1963" s="2" t="s">
        <v>1399</v>
      </c>
      <c r="H1963" s="2" t="s">
        <v>1400</v>
      </c>
      <c r="I1963" s="4" t="s">
        <v>64</v>
      </c>
      <c r="J1963" s="112">
        <f>IF($H1963&lt;&gt;"Y",0,ROUND(MIN(Dashboard!$R$24,IF(IFERROR(VLOOKUP($B1963,Dashboard!$Q$28:$S$60,2,FALSE),0)&gt;0,IFERROR(VLOOKUP($B1963,Dashboard!$Q$28:$S$60,2,FALSE),0),$Z1963*IF($U1963&lt;&gt;"",ROUND((Dashboard!$R$4/$U1963)*VLOOKUP($I1963,Dashboard!$Q$9:$R$13,2,FALSE)*IF(ISNUMBER(SEARCH("Duals",$B1963)),2,IF(ISNUMBER(SEARCH("Triples",$B1963)),3,IF(ISNUMBER(SEARCH("Quads",$B1963)),4,1))),2),ROUND(VLOOKUP($I1963,Dashboard!$Q$15:$R$20,2,FALSE)*IF($E1963="Red",Dashboard!$R$6,IF($E1963="Gold",Dashboard!$R$7,Dashboard!$R$5))*IF(ISNUMBER(SEARCH("Duals",$B1963)),2,IF(ISNUMBER(SEARCH("Triples",$B1963)),3,IF(ISNUMBER(SEARCH("Quads",$B1963)),4,1))),2))*IF(IFERROR(VLOOKUP($B1963,Dashboard!$Q$28:$S$60,3,FALSE),0)&gt;0,VLOOKUP($B1963,Dashboard!$Q$28:$S$60,3,FALSE),1))),0))</f>
        <v>12</v>
      </c>
      <c r="K1963" s="2" t="str">
        <f>IF('A View From Home'!E33="","",'A View From Home'!E33)</f>
        <v>C</v>
      </c>
      <c r="L1963" s="2">
        <f t="shared" si="390"/>
        <v>1</v>
      </c>
      <c r="M1963" s="2">
        <f t="shared" si="391"/>
        <v>0</v>
      </c>
      <c r="N1963" s="2">
        <f t="shared" si="392"/>
        <v>1</v>
      </c>
      <c r="O1963" s="2">
        <f t="shared" si="393"/>
        <v>0</v>
      </c>
      <c r="P1963" s="112">
        <f t="shared" si="394"/>
        <v>12</v>
      </c>
      <c r="Q1963" s="112">
        <f t="shared" si="395"/>
        <v>0</v>
      </c>
      <c r="R1963" s="53"/>
      <c r="S1963" s="53" t="str">
        <f t="shared" si="396"/>
        <v>A View From Home|A View From Home SPs|VHSP-2|Base</v>
      </c>
      <c r="T1963" s="57">
        <f>IF($S1963="","",IFERROR(VLOOKUP($S1963,'Pop Estimates (Non-#d)'!$N$2:$O$500,2,FALSE),""))</f>
        <v>143</v>
      </c>
      <c r="U1963" s="57">
        <f t="shared" si="397"/>
        <v>143</v>
      </c>
      <c r="V1963" s="53" t="str">
        <f t="shared" si="398"/>
        <v/>
      </c>
      <c r="W1963" s="53" t="str">
        <f t="shared" si="399"/>
        <v/>
      </c>
      <c r="X1963" s="53" t="str">
        <f t="shared" si="400"/>
        <v/>
      </c>
      <c r="Y1963" s="57" t="str">
        <f>IF($X1963="","",IFERROR(VLOOKUP($X1963,'Char Popularity'!$A$2:$C$500,2,FALSE),""))</f>
        <v/>
      </c>
      <c r="Z1963" s="56">
        <f>IF($X1963="",1,IFERROR(VLOOKUP($X1963,'Char Popularity'!$A$2:$C$500,3,FALSE),1))</f>
        <v>1</v>
      </c>
      <c r="AA1963" s="62">
        <f>IF($H1963&lt;&gt;"Y",0,(IF($F1963&lt;&gt;"",ROUND(Dashboard!$R$4/$F1963,1),IF(AND($I1963="Base",$E1963="Base"),Dashboard!$R$5,IF(AND($I1963="Base",$E1963="Red"),Dashboard!$R$6,IF(AND($I1963="Base",$E1963="Gold"),Dashboard!$R$7,VLOOKUP($I1963,Dashboard!$Q$16:$R$21,2,FALSE)))))*VLOOKUP($I1963,Dashboard!$Q$9:$R$13,2,FALSE)*IF(AND($I1963="Auto",$F1963="",OR($B1963="Autographs Duals",$B1963="Autographs Triples",$B1963="Autographs Quads",$B1963="Autographs Quads (Inscribed)")),IF($B1963="Autographs Duals",2,IF($B1963="Autographs Triples",3,4)),1)))</f>
        <v>19.5</v>
      </c>
      <c r="AB1963" s="62">
        <f t="shared" si="401"/>
        <v>19.5</v>
      </c>
      <c r="AC1963" s="62">
        <f t="shared" si="402"/>
        <v>0</v>
      </c>
    </row>
    <row r="1964" spans="1:29" ht="30" customHeight="1" x14ac:dyDescent="0.25">
      <c r="A1964" s="4" t="s">
        <v>27</v>
      </c>
      <c r="B1964" s="7" t="s">
        <v>88</v>
      </c>
      <c r="C1964" s="2" t="s">
        <v>322</v>
      </c>
      <c r="D1964" s="7" t="s">
        <v>323</v>
      </c>
      <c r="E1964" s="4" t="s">
        <v>60</v>
      </c>
      <c r="F1964" s="2"/>
      <c r="G1964" s="2" t="s">
        <v>1399</v>
      </c>
      <c r="H1964" s="2" t="s">
        <v>1400</v>
      </c>
      <c r="I1964" s="4" t="s">
        <v>64</v>
      </c>
      <c r="J1964" s="112">
        <f>IF($H1964&lt;&gt;"Y",0,ROUND(MIN(Dashboard!$R$24,IF(IFERROR(VLOOKUP($B1964,Dashboard!$Q$28:$S$60,2,FALSE),0)&gt;0,IFERROR(VLOOKUP($B1964,Dashboard!$Q$28:$S$60,2,FALSE),0),$Z1964*IF($U1964&lt;&gt;"",ROUND((Dashboard!$R$4/$U1964)*VLOOKUP($I1964,Dashboard!$Q$9:$R$13,2,FALSE)*IF(ISNUMBER(SEARCH("Duals",$B1964)),2,IF(ISNUMBER(SEARCH("Triples",$B1964)),3,IF(ISNUMBER(SEARCH("Quads",$B1964)),4,1))),2),ROUND(VLOOKUP($I1964,Dashboard!$Q$15:$R$20,2,FALSE)*IF($E1964="Red",Dashboard!$R$6,IF($E1964="Gold",Dashboard!$R$7,Dashboard!$R$5))*IF(ISNUMBER(SEARCH("Duals",$B1964)),2,IF(ISNUMBER(SEARCH("Triples",$B1964)),3,IF(ISNUMBER(SEARCH("Quads",$B1964)),4,1))),2))*IF(IFERROR(VLOOKUP($B1964,Dashboard!$Q$28:$S$60,3,FALSE),0)&gt;0,VLOOKUP($B1964,Dashboard!$Q$28:$S$60,3,FALSE),1))),0))</f>
        <v>12</v>
      </c>
      <c r="K1964" s="2" t="str">
        <f>IF('A View From Home'!E34="","",'A View From Home'!E34)</f>
        <v>V</v>
      </c>
      <c r="L1964" s="2">
        <f t="shared" si="390"/>
        <v>1</v>
      </c>
      <c r="M1964" s="2">
        <f t="shared" si="391"/>
        <v>0</v>
      </c>
      <c r="N1964" s="2">
        <f t="shared" si="392"/>
        <v>1</v>
      </c>
      <c r="O1964" s="2">
        <f t="shared" si="393"/>
        <v>0</v>
      </c>
      <c r="P1964" s="112">
        <f t="shared" si="394"/>
        <v>12</v>
      </c>
      <c r="Q1964" s="112">
        <f t="shared" si="395"/>
        <v>0</v>
      </c>
      <c r="R1964" s="53"/>
      <c r="S1964" s="53" t="str">
        <f t="shared" si="396"/>
        <v>A View From Home|A View From Home SPs|VHSP-3|Base</v>
      </c>
      <c r="T1964" s="57">
        <f>IF($S1964="","",IFERROR(VLOOKUP($S1964,'Pop Estimates (Non-#d)'!$N$2:$O$500,2,FALSE),""))</f>
        <v>143</v>
      </c>
      <c r="U1964" s="57">
        <f t="shared" si="397"/>
        <v>143</v>
      </c>
      <c r="V1964" s="53" t="str">
        <f t="shared" si="398"/>
        <v/>
      </c>
      <c r="W1964" s="53" t="str">
        <f t="shared" si="399"/>
        <v/>
      </c>
      <c r="X1964" s="53" t="str">
        <f t="shared" si="400"/>
        <v/>
      </c>
      <c r="Y1964" s="57" t="str">
        <f>IF($X1964="","",IFERROR(VLOOKUP($X1964,'Char Popularity'!$A$2:$C$500,2,FALSE),""))</f>
        <v/>
      </c>
      <c r="Z1964" s="56">
        <f>IF($X1964="",1,IFERROR(VLOOKUP($X1964,'Char Popularity'!$A$2:$C$500,3,FALSE),1))</f>
        <v>1</v>
      </c>
      <c r="AA1964" s="62">
        <f>IF($H1964&lt;&gt;"Y",0,(IF($F1964&lt;&gt;"",ROUND(Dashboard!$R$4/$F1964,1),IF(AND($I1964="Base",$E1964="Base"),Dashboard!$R$5,IF(AND($I1964="Base",$E1964="Red"),Dashboard!$R$6,IF(AND($I1964="Base",$E1964="Gold"),Dashboard!$R$7,VLOOKUP($I1964,Dashboard!$Q$16:$R$21,2,FALSE)))))*VLOOKUP($I1964,Dashboard!$Q$9:$R$13,2,FALSE)*IF(AND($I1964="Auto",$F1964="",OR($B1964="Autographs Duals",$B1964="Autographs Triples",$B1964="Autographs Quads",$B1964="Autographs Quads (Inscribed)")),IF($B1964="Autographs Duals",2,IF($B1964="Autographs Triples",3,4)),1)))</f>
        <v>19.5</v>
      </c>
      <c r="AB1964" s="62">
        <f t="shared" si="401"/>
        <v>19.5</v>
      </c>
      <c r="AC1964" s="62">
        <f t="shared" si="402"/>
        <v>0</v>
      </c>
    </row>
    <row r="1965" spans="1:29" ht="30" customHeight="1" x14ac:dyDescent="0.25">
      <c r="A1965" s="4" t="s">
        <v>27</v>
      </c>
      <c r="B1965" s="7" t="s">
        <v>88</v>
      </c>
      <c r="C1965" s="2" t="s">
        <v>324</v>
      </c>
      <c r="D1965" s="7" t="s">
        <v>325</v>
      </c>
      <c r="E1965" s="4" t="s">
        <v>60</v>
      </c>
      <c r="F1965" s="2"/>
      <c r="G1965" s="2" t="s">
        <v>1399</v>
      </c>
      <c r="H1965" s="2" t="s">
        <v>1400</v>
      </c>
      <c r="I1965" s="4" t="s">
        <v>64</v>
      </c>
      <c r="J1965" s="112">
        <f>IF($H1965&lt;&gt;"Y",0,ROUND(MIN(Dashboard!$R$24,IF(IFERROR(VLOOKUP($B1965,Dashboard!$Q$28:$S$60,2,FALSE),0)&gt;0,IFERROR(VLOOKUP($B1965,Dashboard!$Q$28:$S$60,2,FALSE),0),$Z1965*IF($U1965&lt;&gt;"",ROUND((Dashboard!$R$4/$U1965)*VLOOKUP($I1965,Dashboard!$Q$9:$R$13,2,FALSE)*IF(ISNUMBER(SEARCH("Duals",$B1965)),2,IF(ISNUMBER(SEARCH("Triples",$B1965)),3,IF(ISNUMBER(SEARCH("Quads",$B1965)),4,1))),2),ROUND(VLOOKUP($I1965,Dashboard!$Q$15:$R$20,2,FALSE)*IF($E1965="Red",Dashboard!$R$6,IF($E1965="Gold",Dashboard!$R$7,Dashboard!$R$5))*IF(ISNUMBER(SEARCH("Duals",$B1965)),2,IF(ISNUMBER(SEARCH("Triples",$B1965)),3,IF(ISNUMBER(SEARCH("Quads",$B1965)),4,1))),2))*IF(IFERROR(VLOOKUP($B1965,Dashboard!$Q$28:$S$60,3,FALSE),0)&gt;0,VLOOKUP($B1965,Dashboard!$Q$28:$S$60,3,FALSE),1))),0))</f>
        <v>12</v>
      </c>
      <c r="K1965" s="2" t="str">
        <f>IF('A View From Home'!E35="","",'A View From Home'!E35)</f>
        <v/>
      </c>
      <c r="L1965" s="2">
        <f t="shared" si="390"/>
        <v>0</v>
      </c>
      <c r="M1965" s="2">
        <f t="shared" si="391"/>
        <v>0</v>
      </c>
      <c r="N1965" s="2">
        <f t="shared" si="392"/>
        <v>0</v>
      </c>
      <c r="O1965" s="2">
        <f t="shared" si="393"/>
        <v>1</v>
      </c>
      <c r="P1965" s="112">
        <f t="shared" si="394"/>
        <v>0</v>
      </c>
      <c r="Q1965" s="112">
        <f t="shared" si="395"/>
        <v>0</v>
      </c>
      <c r="R1965" s="53"/>
      <c r="S1965" s="53" t="str">
        <f t="shared" si="396"/>
        <v>A View From Home|A View From Home SPs|VHSP-4|Base</v>
      </c>
      <c r="T1965" s="57">
        <f>IF($S1965="","",IFERROR(VLOOKUP($S1965,'Pop Estimates (Non-#d)'!$N$2:$O$500,2,FALSE),""))</f>
        <v>143</v>
      </c>
      <c r="U1965" s="57">
        <f t="shared" si="397"/>
        <v>143</v>
      </c>
      <c r="V1965" s="53" t="str">
        <f t="shared" si="398"/>
        <v/>
      </c>
      <c r="W1965" s="53" t="str">
        <f t="shared" si="399"/>
        <v/>
      </c>
      <c r="X1965" s="53" t="str">
        <f t="shared" si="400"/>
        <v/>
      </c>
      <c r="Y1965" s="57" t="str">
        <f>IF($X1965="","",IFERROR(VLOOKUP($X1965,'Char Popularity'!$A$2:$C$500,2,FALSE),""))</f>
        <v/>
      </c>
      <c r="Z1965" s="56">
        <f>IF($X1965="",1,IFERROR(VLOOKUP($X1965,'Char Popularity'!$A$2:$C$500,3,FALSE),1))</f>
        <v>1</v>
      </c>
      <c r="AA1965" s="62">
        <f>IF($H1965&lt;&gt;"Y",0,(IF($F1965&lt;&gt;"",ROUND(Dashboard!$R$4/$F1965,1),IF(AND($I1965="Base",$E1965="Base"),Dashboard!$R$5,IF(AND($I1965="Base",$E1965="Red"),Dashboard!$R$6,IF(AND($I1965="Base",$E1965="Gold"),Dashboard!$R$7,VLOOKUP($I1965,Dashboard!$Q$16:$R$21,2,FALSE)))))*VLOOKUP($I1965,Dashboard!$Q$9:$R$13,2,FALSE)*IF(AND($I1965="Auto",$F1965="",OR($B1965="Autographs Duals",$B1965="Autographs Triples",$B1965="Autographs Quads",$B1965="Autographs Quads (Inscribed)")),IF($B1965="Autographs Duals",2,IF($B1965="Autographs Triples",3,4)),1)))</f>
        <v>19.5</v>
      </c>
      <c r="AB1965" s="62">
        <f t="shared" si="401"/>
        <v>0</v>
      </c>
      <c r="AC1965" s="62">
        <f t="shared" si="402"/>
        <v>0</v>
      </c>
    </row>
    <row r="1966" spans="1:29" ht="30" customHeight="1" x14ac:dyDescent="0.25">
      <c r="A1966" s="4" t="s">
        <v>27</v>
      </c>
      <c r="B1966" s="7" t="s">
        <v>88</v>
      </c>
      <c r="C1966" s="2" t="s">
        <v>326</v>
      </c>
      <c r="D1966" s="7" t="s">
        <v>327</v>
      </c>
      <c r="E1966" s="4" t="s">
        <v>60</v>
      </c>
      <c r="F1966" s="2"/>
      <c r="G1966" s="2" t="s">
        <v>1399</v>
      </c>
      <c r="H1966" s="2" t="s">
        <v>1400</v>
      </c>
      <c r="I1966" s="4" t="s">
        <v>64</v>
      </c>
      <c r="J1966" s="112">
        <f>IF($H1966&lt;&gt;"Y",0,ROUND(MIN(Dashboard!$R$24,IF(IFERROR(VLOOKUP($B1966,Dashboard!$Q$28:$S$60,2,FALSE),0)&gt;0,IFERROR(VLOOKUP($B1966,Dashboard!$Q$28:$S$60,2,FALSE),0),$Z1966*IF($U1966&lt;&gt;"",ROUND((Dashboard!$R$4/$U1966)*VLOOKUP($I1966,Dashboard!$Q$9:$R$13,2,FALSE)*IF(ISNUMBER(SEARCH("Duals",$B1966)),2,IF(ISNUMBER(SEARCH("Triples",$B1966)),3,IF(ISNUMBER(SEARCH("Quads",$B1966)),4,1))),2),ROUND(VLOOKUP($I1966,Dashboard!$Q$15:$R$20,2,FALSE)*IF($E1966="Red",Dashboard!$R$6,IF($E1966="Gold",Dashboard!$R$7,Dashboard!$R$5))*IF(ISNUMBER(SEARCH("Duals",$B1966)),2,IF(ISNUMBER(SEARCH("Triples",$B1966)),3,IF(ISNUMBER(SEARCH("Quads",$B1966)),4,1))),2))*IF(IFERROR(VLOOKUP($B1966,Dashboard!$Q$28:$S$60,3,FALSE),0)&gt;0,VLOOKUP($B1966,Dashboard!$Q$28:$S$60,3,FALSE),1))),0))</f>
        <v>12</v>
      </c>
      <c r="K1966" s="2" t="str">
        <f>IF('A View From Home'!E36="","",'A View From Home'!E36)</f>
        <v/>
      </c>
      <c r="L1966" s="2">
        <f t="shared" si="390"/>
        <v>0</v>
      </c>
      <c r="M1966" s="2">
        <f t="shared" si="391"/>
        <v>0</v>
      </c>
      <c r="N1966" s="2">
        <f t="shared" si="392"/>
        <v>0</v>
      </c>
      <c r="O1966" s="2">
        <f t="shared" si="393"/>
        <v>1</v>
      </c>
      <c r="P1966" s="112">
        <f t="shared" si="394"/>
        <v>0</v>
      </c>
      <c r="Q1966" s="112">
        <f t="shared" si="395"/>
        <v>0</v>
      </c>
      <c r="R1966" s="53"/>
      <c r="S1966" s="53" t="str">
        <f t="shared" si="396"/>
        <v>A View From Home|A View From Home SPs|VHSP-5|Base</v>
      </c>
      <c r="T1966" s="57">
        <f>IF($S1966="","",IFERROR(VLOOKUP($S1966,'Pop Estimates (Non-#d)'!$N$2:$O$500,2,FALSE),""))</f>
        <v>143</v>
      </c>
      <c r="U1966" s="57">
        <f t="shared" si="397"/>
        <v>143</v>
      </c>
      <c r="V1966" s="53" t="str">
        <f t="shared" si="398"/>
        <v/>
      </c>
      <c r="W1966" s="53" t="str">
        <f t="shared" si="399"/>
        <v/>
      </c>
      <c r="X1966" s="53" t="str">
        <f t="shared" si="400"/>
        <v/>
      </c>
      <c r="Y1966" s="57" t="str">
        <f>IF($X1966="","",IFERROR(VLOOKUP($X1966,'Char Popularity'!$A$2:$C$500,2,FALSE),""))</f>
        <v/>
      </c>
      <c r="Z1966" s="56">
        <f>IF($X1966="",1,IFERROR(VLOOKUP($X1966,'Char Popularity'!$A$2:$C$500,3,FALSE),1))</f>
        <v>1</v>
      </c>
      <c r="AA1966" s="62">
        <f>IF($H1966&lt;&gt;"Y",0,(IF($F1966&lt;&gt;"",ROUND(Dashboard!$R$4/$F1966,1),IF(AND($I1966="Base",$E1966="Base"),Dashboard!$R$5,IF(AND($I1966="Base",$E1966="Red"),Dashboard!$R$6,IF(AND($I1966="Base",$E1966="Gold"),Dashboard!$R$7,VLOOKUP($I1966,Dashboard!$Q$16:$R$21,2,FALSE)))))*VLOOKUP($I1966,Dashboard!$Q$9:$R$13,2,FALSE)*IF(AND($I1966="Auto",$F1966="",OR($B1966="Autographs Duals",$B1966="Autographs Triples",$B1966="Autographs Quads",$B1966="Autographs Quads (Inscribed)")),IF($B1966="Autographs Duals",2,IF($B1966="Autographs Triples",3,4)),1)))</f>
        <v>19.5</v>
      </c>
      <c r="AB1966" s="62">
        <f t="shared" si="401"/>
        <v>0</v>
      </c>
      <c r="AC1966" s="62">
        <f t="shared" si="402"/>
        <v>0</v>
      </c>
    </row>
    <row r="1967" spans="1:29" ht="30" customHeight="1" x14ac:dyDescent="0.25">
      <c r="A1967" s="4" t="s">
        <v>27</v>
      </c>
      <c r="B1967" s="7" t="s">
        <v>88</v>
      </c>
      <c r="C1967" s="2" t="s">
        <v>328</v>
      </c>
      <c r="D1967" s="7" t="s">
        <v>329</v>
      </c>
      <c r="E1967" s="4" t="s">
        <v>60</v>
      </c>
      <c r="F1967" s="2"/>
      <c r="G1967" s="2" t="s">
        <v>1399</v>
      </c>
      <c r="H1967" s="2" t="s">
        <v>1400</v>
      </c>
      <c r="I1967" s="4" t="s">
        <v>64</v>
      </c>
      <c r="J1967" s="112">
        <f>IF($H1967&lt;&gt;"Y",0,ROUND(MIN(Dashboard!$R$24,IF(IFERROR(VLOOKUP($B1967,Dashboard!$Q$28:$S$60,2,FALSE),0)&gt;0,IFERROR(VLOOKUP($B1967,Dashboard!$Q$28:$S$60,2,FALSE),0),$Z1967*IF($U1967&lt;&gt;"",ROUND((Dashboard!$R$4/$U1967)*VLOOKUP($I1967,Dashboard!$Q$9:$R$13,2,FALSE)*IF(ISNUMBER(SEARCH("Duals",$B1967)),2,IF(ISNUMBER(SEARCH("Triples",$B1967)),3,IF(ISNUMBER(SEARCH("Quads",$B1967)),4,1))),2),ROUND(VLOOKUP($I1967,Dashboard!$Q$15:$R$20,2,FALSE)*IF($E1967="Red",Dashboard!$R$6,IF($E1967="Gold",Dashboard!$R$7,Dashboard!$R$5))*IF(ISNUMBER(SEARCH("Duals",$B1967)),2,IF(ISNUMBER(SEARCH("Triples",$B1967)),3,IF(ISNUMBER(SEARCH("Quads",$B1967)),4,1))),2))*IF(IFERROR(VLOOKUP($B1967,Dashboard!$Q$28:$S$60,3,FALSE),0)&gt;0,VLOOKUP($B1967,Dashboard!$Q$28:$S$60,3,FALSE),1))),0))</f>
        <v>12</v>
      </c>
      <c r="K1967" s="2" t="str">
        <f>IF('A View From Home'!E37="","",'A View From Home'!E37)</f>
        <v>d</v>
      </c>
      <c r="L1967" s="2">
        <f t="shared" si="390"/>
        <v>1</v>
      </c>
      <c r="M1967" s="2">
        <f t="shared" si="391"/>
        <v>0</v>
      </c>
      <c r="N1967" s="2">
        <f t="shared" si="392"/>
        <v>1</v>
      </c>
      <c r="O1967" s="2">
        <f t="shared" si="393"/>
        <v>0</v>
      </c>
      <c r="P1967" s="112">
        <f t="shared" si="394"/>
        <v>12</v>
      </c>
      <c r="Q1967" s="112">
        <f t="shared" si="395"/>
        <v>0</v>
      </c>
      <c r="R1967" s="53"/>
      <c r="S1967" s="53" t="str">
        <f t="shared" si="396"/>
        <v>A View From Home|A View From Home SPs|VHSP-6|Base</v>
      </c>
      <c r="T1967" s="57">
        <f>IF($S1967="","",IFERROR(VLOOKUP($S1967,'Pop Estimates (Non-#d)'!$N$2:$O$500,2,FALSE),""))</f>
        <v>143</v>
      </c>
      <c r="U1967" s="57">
        <f t="shared" si="397"/>
        <v>143</v>
      </c>
      <c r="V1967" s="53" t="str">
        <f t="shared" si="398"/>
        <v/>
      </c>
      <c r="W1967" s="53" t="str">
        <f t="shared" si="399"/>
        <v/>
      </c>
      <c r="X1967" s="53" t="str">
        <f t="shared" si="400"/>
        <v/>
      </c>
      <c r="Y1967" s="57" t="str">
        <f>IF($X1967="","",IFERROR(VLOOKUP($X1967,'Char Popularity'!$A$2:$C$500,2,FALSE),""))</f>
        <v/>
      </c>
      <c r="Z1967" s="56">
        <f>IF($X1967="",1,IFERROR(VLOOKUP($X1967,'Char Popularity'!$A$2:$C$500,3,FALSE),1))</f>
        <v>1</v>
      </c>
      <c r="AA1967" s="62">
        <f>IF($H1967&lt;&gt;"Y",0,(IF($F1967&lt;&gt;"",ROUND(Dashboard!$R$4/$F1967,1),IF(AND($I1967="Base",$E1967="Base"),Dashboard!$R$5,IF(AND($I1967="Base",$E1967="Red"),Dashboard!$R$6,IF(AND($I1967="Base",$E1967="Gold"),Dashboard!$R$7,VLOOKUP($I1967,Dashboard!$Q$16:$R$21,2,FALSE)))))*VLOOKUP($I1967,Dashboard!$Q$9:$R$13,2,FALSE)*IF(AND($I1967="Auto",$F1967="",OR($B1967="Autographs Duals",$B1967="Autographs Triples",$B1967="Autographs Quads",$B1967="Autographs Quads (Inscribed)")),IF($B1967="Autographs Duals",2,IF($B1967="Autographs Triples",3,4)),1)))</f>
        <v>19.5</v>
      </c>
      <c r="AB1967" s="62">
        <f t="shared" si="401"/>
        <v>19.5</v>
      </c>
      <c r="AC1967" s="62">
        <f t="shared" si="402"/>
        <v>0</v>
      </c>
    </row>
    <row r="1968" spans="1:29" ht="30" customHeight="1" x14ac:dyDescent="0.25">
      <c r="A1968" s="4" t="s">
        <v>27</v>
      </c>
      <c r="B1968" s="7" t="s">
        <v>88</v>
      </c>
      <c r="C1968" s="2" t="s">
        <v>330</v>
      </c>
      <c r="D1968" s="7" t="s">
        <v>331</v>
      </c>
      <c r="E1968" s="4" t="s">
        <v>60</v>
      </c>
      <c r="F1968" s="2"/>
      <c r="G1968" s="2" t="s">
        <v>1399</v>
      </c>
      <c r="H1968" s="2" t="s">
        <v>1400</v>
      </c>
      <c r="I1968" s="4" t="s">
        <v>64</v>
      </c>
      <c r="J1968" s="112">
        <f>IF($H1968&lt;&gt;"Y",0,ROUND(MIN(Dashboard!$R$24,IF(IFERROR(VLOOKUP($B1968,Dashboard!$Q$28:$S$60,2,FALSE),0)&gt;0,IFERROR(VLOOKUP($B1968,Dashboard!$Q$28:$S$60,2,FALSE),0),$Z1968*IF($U1968&lt;&gt;"",ROUND((Dashboard!$R$4/$U1968)*VLOOKUP($I1968,Dashboard!$Q$9:$R$13,2,FALSE)*IF(ISNUMBER(SEARCH("Duals",$B1968)),2,IF(ISNUMBER(SEARCH("Triples",$B1968)),3,IF(ISNUMBER(SEARCH("Quads",$B1968)),4,1))),2),ROUND(VLOOKUP($I1968,Dashboard!$Q$15:$R$20,2,FALSE)*IF($E1968="Red",Dashboard!$R$6,IF($E1968="Gold",Dashboard!$R$7,Dashboard!$R$5))*IF(ISNUMBER(SEARCH("Duals",$B1968)),2,IF(ISNUMBER(SEARCH("Triples",$B1968)),3,IF(ISNUMBER(SEARCH("Quads",$B1968)),4,1))),2))*IF(IFERROR(VLOOKUP($B1968,Dashboard!$Q$28:$S$60,3,FALSE),0)&gt;0,VLOOKUP($B1968,Dashboard!$Q$28:$S$60,3,FALSE),1))),0))</f>
        <v>12</v>
      </c>
      <c r="K1968" s="2" t="str">
        <f>IF('A View From Home'!E38="","",'A View From Home'!E38)</f>
        <v/>
      </c>
      <c r="L1968" s="2">
        <f t="shared" si="390"/>
        <v>0</v>
      </c>
      <c r="M1968" s="2">
        <f t="shared" si="391"/>
        <v>0</v>
      </c>
      <c r="N1968" s="2">
        <f t="shared" si="392"/>
        <v>0</v>
      </c>
      <c r="O1968" s="2">
        <f t="shared" si="393"/>
        <v>1</v>
      </c>
      <c r="P1968" s="112">
        <f t="shared" si="394"/>
        <v>0</v>
      </c>
      <c r="Q1968" s="112">
        <f t="shared" si="395"/>
        <v>0</v>
      </c>
      <c r="R1968" s="53"/>
      <c r="S1968" s="53" t="str">
        <f t="shared" si="396"/>
        <v>A View From Home|A View From Home SPs|VHSP-7|Base</v>
      </c>
      <c r="T1968" s="57">
        <f>IF($S1968="","",IFERROR(VLOOKUP($S1968,'Pop Estimates (Non-#d)'!$N$2:$O$500,2,FALSE),""))</f>
        <v>143</v>
      </c>
      <c r="U1968" s="57">
        <f t="shared" si="397"/>
        <v>143</v>
      </c>
      <c r="V1968" s="53" t="str">
        <f t="shared" si="398"/>
        <v/>
      </c>
      <c r="W1968" s="53" t="str">
        <f t="shared" si="399"/>
        <v/>
      </c>
      <c r="X1968" s="53" t="str">
        <f t="shared" si="400"/>
        <v/>
      </c>
      <c r="Y1968" s="57" t="str">
        <f>IF($X1968="","",IFERROR(VLOOKUP($X1968,'Char Popularity'!$A$2:$C$500,2,FALSE),""))</f>
        <v/>
      </c>
      <c r="Z1968" s="56">
        <f>IF($X1968="",1,IFERROR(VLOOKUP($X1968,'Char Popularity'!$A$2:$C$500,3,FALSE),1))</f>
        <v>1</v>
      </c>
      <c r="AA1968" s="62">
        <f>IF($H1968&lt;&gt;"Y",0,(IF($F1968&lt;&gt;"",ROUND(Dashboard!$R$4/$F1968,1),IF(AND($I1968="Base",$E1968="Base"),Dashboard!$R$5,IF(AND($I1968="Base",$E1968="Red"),Dashboard!$R$6,IF(AND($I1968="Base",$E1968="Gold"),Dashboard!$R$7,VLOOKUP($I1968,Dashboard!$Q$16:$R$21,2,FALSE)))))*VLOOKUP($I1968,Dashboard!$Q$9:$R$13,2,FALSE)*IF(AND($I1968="Auto",$F1968="",OR($B1968="Autographs Duals",$B1968="Autographs Triples",$B1968="Autographs Quads",$B1968="Autographs Quads (Inscribed)")),IF($B1968="Autographs Duals",2,IF($B1968="Autographs Triples",3,4)),1)))</f>
        <v>19.5</v>
      </c>
      <c r="AB1968" s="62">
        <f t="shared" si="401"/>
        <v>0</v>
      </c>
      <c r="AC1968" s="62">
        <f t="shared" si="402"/>
        <v>0</v>
      </c>
    </row>
    <row r="1969" spans="1:29" ht="30" customHeight="1" x14ac:dyDescent="0.25">
      <c r="A1969" s="4" t="s">
        <v>27</v>
      </c>
      <c r="B1969" s="7" t="s">
        <v>88</v>
      </c>
      <c r="C1969" s="2" t="s">
        <v>332</v>
      </c>
      <c r="D1969" s="7" t="s">
        <v>333</v>
      </c>
      <c r="E1969" s="4" t="s">
        <v>60</v>
      </c>
      <c r="F1969" s="2"/>
      <c r="G1969" s="2" t="s">
        <v>1399</v>
      </c>
      <c r="H1969" s="2" t="s">
        <v>1400</v>
      </c>
      <c r="I1969" s="4" t="s">
        <v>64</v>
      </c>
      <c r="J1969" s="112">
        <f>IF($H1969&lt;&gt;"Y",0,ROUND(MIN(Dashboard!$R$24,IF(IFERROR(VLOOKUP($B1969,Dashboard!$Q$28:$S$60,2,FALSE),0)&gt;0,IFERROR(VLOOKUP($B1969,Dashboard!$Q$28:$S$60,2,FALSE),0),$Z1969*IF($U1969&lt;&gt;"",ROUND((Dashboard!$R$4/$U1969)*VLOOKUP($I1969,Dashboard!$Q$9:$R$13,2,FALSE)*IF(ISNUMBER(SEARCH("Duals",$B1969)),2,IF(ISNUMBER(SEARCH("Triples",$B1969)),3,IF(ISNUMBER(SEARCH("Quads",$B1969)),4,1))),2),ROUND(VLOOKUP($I1969,Dashboard!$Q$15:$R$20,2,FALSE)*IF($E1969="Red",Dashboard!$R$6,IF($E1969="Gold",Dashboard!$R$7,Dashboard!$R$5))*IF(ISNUMBER(SEARCH("Duals",$B1969)),2,IF(ISNUMBER(SEARCH("Triples",$B1969)),3,IF(ISNUMBER(SEARCH("Quads",$B1969)),4,1))),2))*IF(IFERROR(VLOOKUP($B1969,Dashboard!$Q$28:$S$60,3,FALSE),0)&gt;0,VLOOKUP($B1969,Dashboard!$Q$28:$S$60,3,FALSE),1))),0))</f>
        <v>12</v>
      </c>
      <c r="K1969" s="2" t="str">
        <f>IF('A View From Home'!E39="","",'A View From Home'!E39)</f>
        <v>V</v>
      </c>
      <c r="L1969" s="2">
        <f t="shared" si="390"/>
        <v>1</v>
      </c>
      <c r="M1969" s="2">
        <f t="shared" si="391"/>
        <v>0</v>
      </c>
      <c r="N1969" s="2">
        <f t="shared" si="392"/>
        <v>1</v>
      </c>
      <c r="O1969" s="2">
        <f t="shared" si="393"/>
        <v>0</v>
      </c>
      <c r="P1969" s="112">
        <f t="shared" si="394"/>
        <v>12</v>
      </c>
      <c r="Q1969" s="112">
        <f t="shared" si="395"/>
        <v>0</v>
      </c>
      <c r="R1969" s="53"/>
      <c r="S1969" s="53" t="str">
        <f t="shared" si="396"/>
        <v>A View From Home|A View From Home SPs|VHSP-8|Base</v>
      </c>
      <c r="T1969" s="57">
        <f>IF($S1969="","",IFERROR(VLOOKUP($S1969,'Pop Estimates (Non-#d)'!$N$2:$O$500,2,FALSE),""))</f>
        <v>143</v>
      </c>
      <c r="U1969" s="57">
        <f t="shared" si="397"/>
        <v>143</v>
      </c>
      <c r="V1969" s="53" t="str">
        <f t="shared" si="398"/>
        <v/>
      </c>
      <c r="W1969" s="53" t="str">
        <f t="shared" si="399"/>
        <v/>
      </c>
      <c r="X1969" s="53" t="str">
        <f t="shared" si="400"/>
        <v/>
      </c>
      <c r="Y1969" s="57" t="str">
        <f>IF($X1969="","",IFERROR(VLOOKUP($X1969,'Char Popularity'!$A$2:$C$500,2,FALSE),""))</f>
        <v/>
      </c>
      <c r="Z1969" s="56">
        <f>IF($X1969="",1,IFERROR(VLOOKUP($X1969,'Char Popularity'!$A$2:$C$500,3,FALSE),1))</f>
        <v>1</v>
      </c>
      <c r="AA1969" s="62">
        <f>IF($H1969&lt;&gt;"Y",0,(IF($F1969&lt;&gt;"",ROUND(Dashboard!$R$4/$F1969,1),IF(AND($I1969="Base",$E1969="Base"),Dashboard!$R$5,IF(AND($I1969="Base",$E1969="Red"),Dashboard!$R$6,IF(AND($I1969="Base",$E1969="Gold"),Dashboard!$R$7,VLOOKUP($I1969,Dashboard!$Q$16:$R$21,2,FALSE)))))*VLOOKUP($I1969,Dashboard!$Q$9:$R$13,2,FALSE)*IF(AND($I1969="Auto",$F1969="",OR($B1969="Autographs Duals",$B1969="Autographs Triples",$B1969="Autographs Quads",$B1969="Autographs Quads (Inscribed)")),IF($B1969="Autographs Duals",2,IF($B1969="Autographs Triples",3,4)),1)))</f>
        <v>19.5</v>
      </c>
      <c r="AB1969" s="62">
        <f t="shared" si="401"/>
        <v>19.5</v>
      </c>
      <c r="AC1969" s="62">
        <f t="shared" si="402"/>
        <v>0</v>
      </c>
    </row>
    <row r="1970" spans="1:29" ht="30" customHeight="1" x14ac:dyDescent="0.25">
      <c r="A1970" s="4" t="s">
        <v>27</v>
      </c>
      <c r="B1970" s="7" t="s">
        <v>88</v>
      </c>
      <c r="C1970" s="2" t="s">
        <v>334</v>
      </c>
      <c r="D1970" s="7" t="s">
        <v>335</v>
      </c>
      <c r="E1970" s="4" t="s">
        <v>60</v>
      </c>
      <c r="F1970" s="2"/>
      <c r="G1970" s="2" t="s">
        <v>1399</v>
      </c>
      <c r="H1970" s="2" t="s">
        <v>1400</v>
      </c>
      <c r="I1970" s="4" t="s">
        <v>64</v>
      </c>
      <c r="J1970" s="112">
        <f>IF($H1970&lt;&gt;"Y",0,ROUND(MIN(Dashboard!$R$24,IF(IFERROR(VLOOKUP($B1970,Dashboard!$Q$28:$S$60,2,FALSE),0)&gt;0,IFERROR(VLOOKUP($B1970,Dashboard!$Q$28:$S$60,2,FALSE),0),$Z1970*IF($U1970&lt;&gt;"",ROUND((Dashboard!$R$4/$U1970)*VLOOKUP($I1970,Dashboard!$Q$9:$R$13,2,FALSE)*IF(ISNUMBER(SEARCH("Duals",$B1970)),2,IF(ISNUMBER(SEARCH("Triples",$B1970)),3,IF(ISNUMBER(SEARCH("Quads",$B1970)),4,1))),2),ROUND(VLOOKUP($I1970,Dashboard!$Q$15:$R$20,2,FALSE)*IF($E1970="Red",Dashboard!$R$6,IF($E1970="Gold",Dashboard!$R$7,Dashboard!$R$5))*IF(ISNUMBER(SEARCH("Duals",$B1970)),2,IF(ISNUMBER(SEARCH("Triples",$B1970)),3,IF(ISNUMBER(SEARCH("Quads",$B1970)),4,1))),2))*IF(IFERROR(VLOOKUP($B1970,Dashboard!$Q$28:$S$60,3,FALSE),0)&gt;0,VLOOKUP($B1970,Dashboard!$Q$28:$S$60,3,FALSE),1))),0))</f>
        <v>12</v>
      </c>
      <c r="K1970" s="2" t="str">
        <f>IF('A View From Home'!E40="","",'A View From Home'!E40)</f>
        <v>d</v>
      </c>
      <c r="L1970" s="2">
        <f t="shared" si="390"/>
        <v>1</v>
      </c>
      <c r="M1970" s="2">
        <f t="shared" si="391"/>
        <v>0</v>
      </c>
      <c r="N1970" s="2">
        <f t="shared" si="392"/>
        <v>1</v>
      </c>
      <c r="O1970" s="2">
        <f t="shared" si="393"/>
        <v>0</v>
      </c>
      <c r="P1970" s="112">
        <f t="shared" si="394"/>
        <v>12</v>
      </c>
      <c r="Q1970" s="112">
        <f t="shared" si="395"/>
        <v>0</v>
      </c>
      <c r="R1970" s="53"/>
      <c r="S1970" s="53" t="str">
        <f t="shared" si="396"/>
        <v>A View From Home|A View From Home SPs|VHSP-9|Base</v>
      </c>
      <c r="T1970" s="57">
        <f>IF($S1970="","",IFERROR(VLOOKUP($S1970,'Pop Estimates (Non-#d)'!$N$2:$O$500,2,FALSE),""))</f>
        <v>143</v>
      </c>
      <c r="U1970" s="57">
        <f t="shared" si="397"/>
        <v>143</v>
      </c>
      <c r="V1970" s="53" t="str">
        <f t="shared" si="398"/>
        <v/>
      </c>
      <c r="W1970" s="53" t="str">
        <f t="shared" si="399"/>
        <v/>
      </c>
      <c r="X1970" s="53" t="str">
        <f t="shared" si="400"/>
        <v/>
      </c>
      <c r="Y1970" s="57" t="str">
        <f>IF($X1970="","",IFERROR(VLOOKUP($X1970,'Char Popularity'!$A$2:$C$500,2,FALSE),""))</f>
        <v/>
      </c>
      <c r="Z1970" s="56">
        <f>IF($X1970="",1,IFERROR(VLOOKUP($X1970,'Char Popularity'!$A$2:$C$500,3,FALSE),1))</f>
        <v>1</v>
      </c>
      <c r="AA1970" s="62">
        <f>IF($H1970&lt;&gt;"Y",0,(IF($F1970&lt;&gt;"",ROUND(Dashboard!$R$4/$F1970,1),IF(AND($I1970="Base",$E1970="Base"),Dashboard!$R$5,IF(AND($I1970="Base",$E1970="Red"),Dashboard!$R$6,IF(AND($I1970="Base",$E1970="Gold"),Dashboard!$R$7,VLOOKUP($I1970,Dashboard!$Q$16:$R$21,2,FALSE)))))*VLOOKUP($I1970,Dashboard!$Q$9:$R$13,2,FALSE)*IF(AND($I1970="Auto",$F1970="",OR($B1970="Autographs Duals",$B1970="Autographs Triples",$B1970="Autographs Quads",$B1970="Autographs Quads (Inscribed)")),IF($B1970="Autographs Duals",2,IF($B1970="Autographs Triples",3,4)),1)))</f>
        <v>19.5</v>
      </c>
      <c r="AB1970" s="62">
        <f t="shared" si="401"/>
        <v>19.5</v>
      </c>
      <c r="AC1970" s="62">
        <f t="shared" si="402"/>
        <v>0</v>
      </c>
    </row>
    <row r="1971" spans="1:29" ht="30" customHeight="1" x14ac:dyDescent="0.25">
      <c r="A1971" s="4" t="s">
        <v>27</v>
      </c>
      <c r="B1971" s="7" t="s">
        <v>88</v>
      </c>
      <c r="C1971" s="2" t="s">
        <v>318</v>
      </c>
      <c r="D1971" s="7" t="s">
        <v>319</v>
      </c>
      <c r="E1971" s="4" t="s">
        <v>60</v>
      </c>
      <c r="F1971" s="2"/>
      <c r="G1971" s="2" t="s">
        <v>1399</v>
      </c>
      <c r="H1971" s="2" t="s">
        <v>1400</v>
      </c>
      <c r="I1971" s="4" t="s">
        <v>64</v>
      </c>
      <c r="J1971" s="112">
        <f>IF($H1971&lt;&gt;"Y",0,ROUND(MIN(Dashboard!$R$24,IF(IFERROR(VLOOKUP($B1971,Dashboard!$Q$28:$S$60,2,FALSE),0)&gt;0,IFERROR(VLOOKUP($B1971,Dashboard!$Q$28:$S$60,2,FALSE),0),$Z1971*IF($U1971&lt;&gt;"",ROUND((Dashboard!$R$4/$U1971)*VLOOKUP($I1971,Dashboard!$Q$9:$R$13,2,FALSE)*IF(ISNUMBER(SEARCH("Duals",$B1971)),2,IF(ISNUMBER(SEARCH("Triples",$B1971)),3,IF(ISNUMBER(SEARCH("Quads",$B1971)),4,1))),2),ROUND(VLOOKUP($I1971,Dashboard!$Q$15:$R$20,2,FALSE)*IF($E1971="Red",Dashboard!$R$6,IF($E1971="Gold",Dashboard!$R$7,Dashboard!$R$5))*IF(ISNUMBER(SEARCH("Duals",$B1971)),2,IF(ISNUMBER(SEARCH("Triples",$B1971)),3,IF(ISNUMBER(SEARCH("Quads",$B1971)),4,1))),2))*IF(IFERROR(VLOOKUP($B1971,Dashboard!$Q$28:$S$60,3,FALSE),0)&gt;0,VLOOKUP($B1971,Dashboard!$Q$28:$S$60,3,FALSE),1))),0))</f>
        <v>12</v>
      </c>
      <c r="K1971" s="2" t="str">
        <f>IF('A View From Home'!E41="","",'A View From Home'!E41)</f>
        <v>V</v>
      </c>
      <c r="L1971" s="2">
        <f t="shared" si="390"/>
        <v>1</v>
      </c>
      <c r="M1971" s="2">
        <f t="shared" si="391"/>
        <v>0</v>
      </c>
      <c r="N1971" s="2">
        <f t="shared" si="392"/>
        <v>1</v>
      </c>
      <c r="O1971" s="2">
        <f t="shared" si="393"/>
        <v>0</v>
      </c>
      <c r="P1971" s="112">
        <f t="shared" si="394"/>
        <v>12</v>
      </c>
      <c r="Q1971" s="112">
        <f t="shared" si="395"/>
        <v>0</v>
      </c>
      <c r="R1971" s="53"/>
      <c r="S1971" s="53" t="str">
        <f t="shared" si="396"/>
        <v>A View From Home|A View From Home SPs|VHSP-10|Base</v>
      </c>
      <c r="T1971" s="57">
        <f>IF($S1971="","",IFERROR(VLOOKUP($S1971,'Pop Estimates (Non-#d)'!$N$2:$O$500,2,FALSE),""))</f>
        <v>143</v>
      </c>
      <c r="U1971" s="57">
        <f t="shared" si="397"/>
        <v>143</v>
      </c>
      <c r="V1971" s="53" t="str">
        <f t="shared" si="398"/>
        <v/>
      </c>
      <c r="W1971" s="53" t="str">
        <f t="shared" si="399"/>
        <v/>
      </c>
      <c r="X1971" s="53" t="str">
        <f t="shared" si="400"/>
        <v/>
      </c>
      <c r="Y1971" s="57" t="str">
        <f>IF($X1971="","",IFERROR(VLOOKUP($X1971,'Char Popularity'!$A$2:$C$500,2,FALSE),""))</f>
        <v/>
      </c>
      <c r="Z1971" s="56">
        <f>IF($X1971="",1,IFERROR(VLOOKUP($X1971,'Char Popularity'!$A$2:$C$500,3,FALSE),1))</f>
        <v>1</v>
      </c>
      <c r="AA1971" s="62">
        <f>IF($H1971&lt;&gt;"Y",0,(IF($F1971&lt;&gt;"",ROUND(Dashboard!$R$4/$F1971,1),IF(AND($I1971="Base",$E1971="Base"),Dashboard!$R$5,IF(AND($I1971="Base",$E1971="Red"),Dashboard!$R$6,IF(AND($I1971="Base",$E1971="Gold"),Dashboard!$R$7,VLOOKUP($I1971,Dashboard!$Q$16:$R$21,2,FALSE)))))*VLOOKUP($I1971,Dashboard!$Q$9:$R$13,2,FALSE)*IF(AND($I1971="Auto",$F1971="",OR($B1971="Autographs Duals",$B1971="Autographs Triples",$B1971="Autographs Quads",$B1971="Autographs Quads (Inscribed)")),IF($B1971="Autographs Duals",2,IF($B1971="Autographs Triples",3,4)),1)))</f>
        <v>19.5</v>
      </c>
      <c r="AB1971" s="62">
        <f t="shared" si="401"/>
        <v>19.5</v>
      </c>
      <c r="AC1971" s="62">
        <f t="shared" si="402"/>
        <v>0</v>
      </c>
    </row>
    <row r="1972" spans="1:29" ht="30" customHeight="1" x14ac:dyDescent="0.25">
      <c r="A1972" s="4" t="s">
        <v>126</v>
      </c>
      <c r="B1972" s="7" t="s">
        <v>90</v>
      </c>
      <c r="C1972" s="2" t="s">
        <v>636</v>
      </c>
      <c r="D1972" s="7" t="s">
        <v>539</v>
      </c>
      <c r="E1972" s="4" t="s">
        <v>60</v>
      </c>
      <c r="F1972" s="2"/>
      <c r="G1972" s="2" t="s">
        <v>1399</v>
      </c>
      <c r="H1972" s="2" t="s">
        <v>1400</v>
      </c>
      <c r="I1972" s="4" t="s">
        <v>64</v>
      </c>
      <c r="J1972" s="112">
        <f>IF($H1972&lt;&gt;"Y",0,ROUND(MIN(Dashboard!$R$24,IF(IFERROR(VLOOKUP($B1972,Dashboard!$Q$28:$S$60,2,FALSE),0)&gt;0,IFERROR(VLOOKUP($B1972,Dashboard!$Q$28:$S$60,2,FALSE),0),$Z1972*IF($U1972&lt;&gt;"",ROUND((Dashboard!$R$4/$U1972)*VLOOKUP($I1972,Dashboard!$Q$9:$R$13,2,FALSE)*IF(ISNUMBER(SEARCH("Duals",$B1972)),2,IF(ISNUMBER(SEARCH("Triples",$B1972)),3,IF(ISNUMBER(SEARCH("Quads",$B1972)),4,1))),2),ROUND(VLOOKUP($I1972,Dashboard!$Q$15:$R$20,2,FALSE)*IF($E1972="Red",Dashboard!$R$6,IF($E1972="Gold",Dashboard!$R$7,Dashboard!$R$5))*IF(ISNUMBER(SEARCH("Duals",$B1972)),2,IF(ISNUMBER(SEARCH("Triples",$B1972)),3,IF(ISNUMBER(SEARCH("Quads",$B1972)),4,1))),2))*IF(IFERROR(VLOOKUP($B1972,Dashboard!$Q$28:$S$60,3,FALSE),0)&gt;0,VLOOKUP($B1972,Dashboard!$Q$28:$S$60,3,FALSE),1))),0))</f>
        <v>2</v>
      </c>
      <c r="K1972" s="2" t="str">
        <f>IF('Supes &amp; Supes SPs'!F2="","",'Supes &amp; Supes SPs'!F2)</f>
        <v>V</v>
      </c>
      <c r="L1972" s="2">
        <f t="shared" si="390"/>
        <v>1</v>
      </c>
      <c r="M1972" s="2">
        <f t="shared" si="391"/>
        <v>0</v>
      </c>
      <c r="N1972" s="2">
        <f t="shared" si="392"/>
        <v>1</v>
      </c>
      <c r="O1972" s="2">
        <f t="shared" si="393"/>
        <v>0</v>
      </c>
      <c r="P1972" s="112">
        <f t="shared" si="394"/>
        <v>2</v>
      </c>
      <c r="Q1972" s="112">
        <f t="shared" si="395"/>
        <v>0</v>
      </c>
      <c r="R1972" s="53"/>
      <c r="S1972" s="53" t="str">
        <f t="shared" si="396"/>
        <v>Lenticular &amp; SP|Supes|S3D-1|Base</v>
      </c>
      <c r="T1972" s="57">
        <f>IF($S1972="","",IFERROR(VLOOKUP($S1972,'Pop Estimates (Non-#d)'!$N$2:$O$500,2,FALSE),""))</f>
        <v>1140</v>
      </c>
      <c r="U1972" s="57">
        <f t="shared" si="397"/>
        <v>1140</v>
      </c>
      <c r="V1972" s="53" t="str">
        <f t="shared" si="398"/>
        <v/>
      </c>
      <c r="W1972" s="53" t="str">
        <f t="shared" si="399"/>
        <v/>
      </c>
      <c r="X1972" s="53" t="str">
        <f t="shared" si="400"/>
        <v/>
      </c>
      <c r="Y1972" s="57" t="str">
        <f>IF($X1972="","",IFERROR(VLOOKUP($X1972,'Char Popularity'!$A$2:$C$500,2,FALSE),""))</f>
        <v/>
      </c>
      <c r="Z1972" s="56">
        <f>IF($X1972="",1,IFERROR(VLOOKUP($X1972,'Char Popularity'!$A$2:$C$500,3,FALSE),1))</f>
        <v>1</v>
      </c>
      <c r="AA1972" s="62">
        <f>IF($H1972&lt;&gt;"Y",0,(IF($F1972&lt;&gt;"",ROUND(Dashboard!$R$4/$F1972,1),IF(AND($I1972="Base",$E1972="Base"),Dashboard!$R$5,IF(AND($I1972="Base",$E1972="Red"),Dashboard!$R$6,IF(AND($I1972="Base",$E1972="Gold"),Dashboard!$R$7,VLOOKUP($I1972,Dashboard!$Q$16:$R$21,2,FALSE)))))*VLOOKUP($I1972,Dashboard!$Q$9:$R$13,2,FALSE)*IF(AND($I1972="Auto",$F1972="",OR($B1972="Autographs Duals",$B1972="Autographs Triples",$B1972="Autographs Quads",$B1972="Autographs Quads (Inscribed)")),IF($B1972="Autographs Duals",2,IF($B1972="Autographs Triples",3,4)),1)))</f>
        <v>19.5</v>
      </c>
      <c r="AB1972" s="62">
        <f t="shared" si="401"/>
        <v>19.5</v>
      </c>
      <c r="AC1972" s="62">
        <f t="shared" si="402"/>
        <v>0</v>
      </c>
    </row>
    <row r="1973" spans="1:29" ht="30" customHeight="1" x14ac:dyDescent="0.25">
      <c r="A1973" s="4" t="s">
        <v>126</v>
      </c>
      <c r="B1973" s="7" t="s">
        <v>90</v>
      </c>
      <c r="C1973" s="2" t="s">
        <v>637</v>
      </c>
      <c r="D1973" s="7" t="s">
        <v>454</v>
      </c>
      <c r="E1973" s="4" t="s">
        <v>60</v>
      </c>
      <c r="F1973" s="2"/>
      <c r="G1973" s="2" t="s">
        <v>1399</v>
      </c>
      <c r="H1973" s="2" t="s">
        <v>1400</v>
      </c>
      <c r="I1973" s="4" t="s">
        <v>64</v>
      </c>
      <c r="J1973" s="112">
        <f>IF($H1973&lt;&gt;"Y",0,ROUND(MIN(Dashboard!$R$24,IF(IFERROR(VLOOKUP($B1973,Dashboard!$Q$28:$S$60,2,FALSE),0)&gt;0,IFERROR(VLOOKUP($B1973,Dashboard!$Q$28:$S$60,2,FALSE),0),$Z1973*IF($U1973&lt;&gt;"",ROUND((Dashboard!$R$4/$U1973)*VLOOKUP($I1973,Dashboard!$Q$9:$R$13,2,FALSE)*IF(ISNUMBER(SEARCH("Duals",$B1973)),2,IF(ISNUMBER(SEARCH("Triples",$B1973)),3,IF(ISNUMBER(SEARCH("Quads",$B1973)),4,1))),2),ROUND(VLOOKUP($I1973,Dashboard!$Q$15:$R$20,2,FALSE)*IF($E1973="Red",Dashboard!$R$6,IF($E1973="Gold",Dashboard!$R$7,Dashboard!$R$5))*IF(ISNUMBER(SEARCH("Duals",$B1973)),2,IF(ISNUMBER(SEARCH("Triples",$B1973)),3,IF(ISNUMBER(SEARCH("Quads",$B1973)),4,1))),2))*IF(IFERROR(VLOOKUP($B1973,Dashboard!$Q$28:$S$60,3,FALSE),0)&gt;0,VLOOKUP($B1973,Dashboard!$Q$28:$S$60,3,FALSE),1))),0))</f>
        <v>2</v>
      </c>
      <c r="K1973" s="2" t="str">
        <f>IF('Supes &amp; Supes SPs'!F21="","",'Supes &amp; Supes SPs'!F21)</f>
        <v>C</v>
      </c>
      <c r="L1973" s="2">
        <f t="shared" si="390"/>
        <v>1</v>
      </c>
      <c r="M1973" s="2">
        <f t="shared" si="391"/>
        <v>0</v>
      </c>
      <c r="N1973" s="2">
        <f t="shared" si="392"/>
        <v>1</v>
      </c>
      <c r="O1973" s="2">
        <f t="shared" si="393"/>
        <v>0</v>
      </c>
      <c r="P1973" s="112">
        <f t="shared" si="394"/>
        <v>2</v>
      </c>
      <c r="Q1973" s="112">
        <f t="shared" si="395"/>
        <v>0</v>
      </c>
      <c r="R1973" s="53"/>
      <c r="S1973" s="53" t="str">
        <f t="shared" si="396"/>
        <v>Lenticular &amp; SP|Supes|S3D-10|Base</v>
      </c>
      <c r="T1973" s="57">
        <f>IF($S1973="","",IFERROR(VLOOKUP($S1973,'Pop Estimates (Non-#d)'!$N$2:$O$500,2,FALSE),""))</f>
        <v>1140</v>
      </c>
      <c r="U1973" s="57">
        <f t="shared" si="397"/>
        <v>1140</v>
      </c>
      <c r="V1973" s="53" t="str">
        <f t="shared" si="398"/>
        <v/>
      </c>
      <c r="W1973" s="53" t="str">
        <f t="shared" si="399"/>
        <v/>
      </c>
      <c r="X1973" s="53" t="str">
        <f t="shared" si="400"/>
        <v/>
      </c>
      <c r="Y1973" s="57" t="str">
        <f>IF($X1973="","",IFERROR(VLOOKUP($X1973,'Char Popularity'!$A$2:$C$500,2,FALSE),""))</f>
        <v/>
      </c>
      <c r="Z1973" s="56">
        <f>IF($X1973="",1,IFERROR(VLOOKUP($X1973,'Char Popularity'!$A$2:$C$500,3,FALSE),1))</f>
        <v>1</v>
      </c>
      <c r="AA1973" s="62">
        <f>IF($H1973&lt;&gt;"Y",0,(IF($F1973&lt;&gt;"",ROUND(Dashboard!$R$4/$F1973,1),IF(AND($I1973="Base",$E1973="Base"),Dashboard!$R$5,IF(AND($I1973="Base",$E1973="Red"),Dashboard!$R$6,IF(AND($I1973="Base",$E1973="Gold"),Dashboard!$R$7,VLOOKUP($I1973,Dashboard!$Q$16:$R$21,2,FALSE)))))*VLOOKUP($I1973,Dashboard!$Q$9:$R$13,2,FALSE)*IF(AND($I1973="Auto",$F1973="",OR($B1973="Autographs Duals",$B1973="Autographs Triples",$B1973="Autographs Quads",$B1973="Autographs Quads (Inscribed)")),IF($B1973="Autographs Duals",2,IF($B1973="Autographs Triples",3,4)),1)))</f>
        <v>19.5</v>
      </c>
      <c r="AB1973" s="62">
        <f t="shared" si="401"/>
        <v>19.5</v>
      </c>
      <c r="AC1973" s="62">
        <f t="shared" si="402"/>
        <v>0</v>
      </c>
    </row>
    <row r="1974" spans="1:29" ht="30" customHeight="1" x14ac:dyDescent="0.25">
      <c r="A1974" s="4" t="s">
        <v>126</v>
      </c>
      <c r="B1974" s="7" t="s">
        <v>90</v>
      </c>
      <c r="C1974" s="2" t="s">
        <v>638</v>
      </c>
      <c r="D1974" s="7" t="s">
        <v>337</v>
      </c>
      <c r="E1974" s="4" t="s">
        <v>60</v>
      </c>
      <c r="F1974" s="2"/>
      <c r="G1974" s="2" t="s">
        <v>1399</v>
      </c>
      <c r="H1974" s="2" t="s">
        <v>1400</v>
      </c>
      <c r="I1974" s="4" t="s">
        <v>64</v>
      </c>
      <c r="J1974" s="112">
        <f>IF($H1974&lt;&gt;"Y",0,ROUND(MIN(Dashboard!$R$24,IF(IFERROR(VLOOKUP($B1974,Dashboard!$Q$28:$S$60,2,FALSE),0)&gt;0,IFERROR(VLOOKUP($B1974,Dashboard!$Q$28:$S$60,2,FALSE),0),$Z1974*IF($U1974&lt;&gt;"",ROUND((Dashboard!$R$4/$U1974)*VLOOKUP($I1974,Dashboard!$Q$9:$R$13,2,FALSE)*IF(ISNUMBER(SEARCH("Duals",$B1974)),2,IF(ISNUMBER(SEARCH("Triples",$B1974)),3,IF(ISNUMBER(SEARCH("Quads",$B1974)),4,1))),2),ROUND(VLOOKUP($I1974,Dashboard!$Q$15:$R$20,2,FALSE)*IF($E1974="Red",Dashboard!$R$6,IF($E1974="Gold",Dashboard!$R$7,Dashboard!$R$5))*IF(ISNUMBER(SEARCH("Duals",$B1974)),2,IF(ISNUMBER(SEARCH("Triples",$B1974)),3,IF(ISNUMBER(SEARCH("Quads",$B1974)),4,1))),2))*IF(IFERROR(VLOOKUP($B1974,Dashboard!$Q$28:$S$60,3,FALSE),0)&gt;0,VLOOKUP($B1974,Dashboard!$Q$28:$S$60,3,FALSE),1))),0))</f>
        <v>2</v>
      </c>
      <c r="K1974" s="2" t="str">
        <f>IF('Supes &amp; Supes SPs'!F20="","",'Supes &amp; Supes SPs'!F20)</f>
        <v>V</v>
      </c>
      <c r="L1974" s="2">
        <f t="shared" si="390"/>
        <v>1</v>
      </c>
      <c r="M1974" s="2">
        <f t="shared" si="391"/>
        <v>0</v>
      </c>
      <c r="N1974" s="2">
        <f t="shared" si="392"/>
        <v>1</v>
      </c>
      <c r="O1974" s="2">
        <f t="shared" si="393"/>
        <v>0</v>
      </c>
      <c r="P1974" s="112">
        <f t="shared" si="394"/>
        <v>2</v>
      </c>
      <c r="Q1974" s="112">
        <f t="shared" si="395"/>
        <v>0</v>
      </c>
      <c r="R1974" s="53"/>
      <c r="S1974" s="53" t="str">
        <f t="shared" si="396"/>
        <v>Lenticular &amp; SP|Supes|S3D-11|Base</v>
      </c>
      <c r="T1974" s="57">
        <f>IF($S1974="","",IFERROR(VLOOKUP($S1974,'Pop Estimates (Non-#d)'!$N$2:$O$500,2,FALSE),""))</f>
        <v>1140</v>
      </c>
      <c r="U1974" s="57">
        <f t="shared" si="397"/>
        <v>1140</v>
      </c>
      <c r="V1974" s="53" t="str">
        <f t="shared" si="398"/>
        <v/>
      </c>
      <c r="W1974" s="53" t="str">
        <f t="shared" si="399"/>
        <v/>
      </c>
      <c r="X1974" s="53" t="str">
        <f t="shared" si="400"/>
        <v/>
      </c>
      <c r="Y1974" s="57" t="str">
        <f>IF($X1974="","",IFERROR(VLOOKUP($X1974,'Char Popularity'!$A$2:$C$500,2,FALSE),""))</f>
        <v/>
      </c>
      <c r="Z1974" s="56">
        <f>IF($X1974="",1,IFERROR(VLOOKUP($X1974,'Char Popularity'!$A$2:$C$500,3,FALSE),1))</f>
        <v>1</v>
      </c>
      <c r="AA1974" s="62">
        <f>IF($H1974&lt;&gt;"Y",0,(IF($F1974&lt;&gt;"",ROUND(Dashboard!$R$4/$F1974,1),IF(AND($I1974="Base",$E1974="Base"),Dashboard!$R$5,IF(AND($I1974="Base",$E1974="Red"),Dashboard!$R$6,IF(AND($I1974="Base",$E1974="Gold"),Dashboard!$R$7,VLOOKUP($I1974,Dashboard!$Q$16:$R$21,2,FALSE)))))*VLOOKUP($I1974,Dashboard!$Q$9:$R$13,2,FALSE)*IF(AND($I1974="Auto",$F1974="",OR($B1974="Autographs Duals",$B1974="Autographs Triples",$B1974="Autographs Quads",$B1974="Autographs Quads (Inscribed)")),IF($B1974="Autographs Duals",2,IF($B1974="Autographs Triples",3,4)),1)))</f>
        <v>19.5</v>
      </c>
      <c r="AB1974" s="62">
        <f t="shared" si="401"/>
        <v>19.5</v>
      </c>
      <c r="AC1974" s="62">
        <f t="shared" si="402"/>
        <v>0</v>
      </c>
    </row>
    <row r="1975" spans="1:29" ht="30" customHeight="1" x14ac:dyDescent="0.25">
      <c r="A1975" s="4" t="s">
        <v>126</v>
      </c>
      <c r="B1975" s="7" t="s">
        <v>90</v>
      </c>
      <c r="C1975" s="2" t="s">
        <v>639</v>
      </c>
      <c r="D1975" s="7" t="s">
        <v>341</v>
      </c>
      <c r="E1975" s="4" t="s">
        <v>60</v>
      </c>
      <c r="F1975" s="2"/>
      <c r="G1975" s="2" t="s">
        <v>1399</v>
      </c>
      <c r="H1975" s="2" t="s">
        <v>1400</v>
      </c>
      <c r="I1975" s="4" t="s">
        <v>64</v>
      </c>
      <c r="J1975" s="112">
        <f>IF($H1975&lt;&gt;"Y",0,ROUND(MIN(Dashboard!$R$24,IF(IFERROR(VLOOKUP($B1975,Dashboard!$Q$28:$S$60,2,FALSE),0)&gt;0,IFERROR(VLOOKUP($B1975,Dashboard!$Q$28:$S$60,2,FALSE),0),$Z1975*IF($U1975&lt;&gt;"",ROUND((Dashboard!$R$4/$U1975)*VLOOKUP($I1975,Dashboard!$Q$9:$R$13,2,FALSE)*IF(ISNUMBER(SEARCH("Duals",$B1975)),2,IF(ISNUMBER(SEARCH("Triples",$B1975)),3,IF(ISNUMBER(SEARCH("Quads",$B1975)),4,1))),2),ROUND(VLOOKUP($I1975,Dashboard!$Q$15:$R$20,2,FALSE)*IF($E1975="Red",Dashboard!$R$6,IF($E1975="Gold",Dashboard!$R$7,Dashboard!$R$5))*IF(ISNUMBER(SEARCH("Duals",$B1975)),2,IF(ISNUMBER(SEARCH("Triples",$B1975)),3,IF(ISNUMBER(SEARCH("Quads",$B1975)),4,1))),2))*IF(IFERROR(VLOOKUP($B1975,Dashboard!$Q$28:$S$60,3,FALSE),0)&gt;0,VLOOKUP($B1975,Dashboard!$Q$28:$S$60,3,FALSE),1))),0))</f>
        <v>2</v>
      </c>
      <c r="K1975" s="2" t="str">
        <f>IF('Supes &amp; Supes SPs'!F19="","",'Supes &amp; Supes SPs'!F19)</f>
        <v>V</v>
      </c>
      <c r="L1975" s="2">
        <f t="shared" si="390"/>
        <v>1</v>
      </c>
      <c r="M1975" s="2">
        <f t="shared" si="391"/>
        <v>0</v>
      </c>
      <c r="N1975" s="2">
        <f t="shared" si="392"/>
        <v>1</v>
      </c>
      <c r="O1975" s="2">
        <f t="shared" si="393"/>
        <v>0</v>
      </c>
      <c r="P1975" s="112">
        <f t="shared" si="394"/>
        <v>2</v>
      </c>
      <c r="Q1975" s="112">
        <f t="shared" si="395"/>
        <v>0</v>
      </c>
      <c r="R1975" s="53"/>
      <c r="S1975" s="53" t="str">
        <f t="shared" si="396"/>
        <v>Lenticular &amp; SP|Supes|S3D-12|Base</v>
      </c>
      <c r="T1975" s="57">
        <f>IF($S1975="","",IFERROR(VLOOKUP($S1975,'Pop Estimates (Non-#d)'!$N$2:$O$500,2,FALSE),""))</f>
        <v>1140</v>
      </c>
      <c r="U1975" s="57">
        <f t="shared" si="397"/>
        <v>1140</v>
      </c>
      <c r="V1975" s="53" t="str">
        <f t="shared" si="398"/>
        <v/>
      </c>
      <c r="W1975" s="53" t="str">
        <f t="shared" si="399"/>
        <v/>
      </c>
      <c r="X1975" s="53" t="str">
        <f t="shared" si="400"/>
        <v/>
      </c>
      <c r="Y1975" s="57" t="str">
        <f>IF($X1975="","",IFERROR(VLOOKUP($X1975,'Char Popularity'!$A$2:$C$500,2,FALSE),""))</f>
        <v/>
      </c>
      <c r="Z1975" s="56">
        <f>IF($X1975="",1,IFERROR(VLOOKUP($X1975,'Char Popularity'!$A$2:$C$500,3,FALSE),1))</f>
        <v>1</v>
      </c>
      <c r="AA1975" s="62">
        <f>IF($H1975&lt;&gt;"Y",0,(IF($F1975&lt;&gt;"",ROUND(Dashboard!$R$4/$F1975,1),IF(AND($I1975="Base",$E1975="Base"),Dashboard!$R$5,IF(AND($I1975="Base",$E1975="Red"),Dashboard!$R$6,IF(AND($I1975="Base",$E1975="Gold"),Dashboard!$R$7,VLOOKUP($I1975,Dashboard!$Q$16:$R$21,2,FALSE)))))*VLOOKUP($I1975,Dashboard!$Q$9:$R$13,2,FALSE)*IF(AND($I1975="Auto",$F1975="",OR($B1975="Autographs Duals",$B1975="Autographs Triples",$B1975="Autographs Quads",$B1975="Autographs Quads (Inscribed)")),IF($B1975="Autographs Duals",2,IF($B1975="Autographs Triples",3,4)),1)))</f>
        <v>19.5</v>
      </c>
      <c r="AB1975" s="62">
        <f t="shared" si="401"/>
        <v>19.5</v>
      </c>
      <c r="AC1975" s="62">
        <f t="shared" si="402"/>
        <v>0</v>
      </c>
    </row>
    <row r="1976" spans="1:29" ht="30" customHeight="1" x14ac:dyDescent="0.25">
      <c r="A1976" s="4" t="s">
        <v>126</v>
      </c>
      <c r="B1976" s="7" t="s">
        <v>90</v>
      </c>
      <c r="C1976" s="2" t="s">
        <v>640</v>
      </c>
      <c r="D1976" s="7" t="s">
        <v>337</v>
      </c>
      <c r="E1976" s="4" t="s">
        <v>60</v>
      </c>
      <c r="F1976" s="2"/>
      <c r="G1976" s="2" t="s">
        <v>1399</v>
      </c>
      <c r="H1976" s="2" t="s">
        <v>1400</v>
      </c>
      <c r="I1976" s="4" t="s">
        <v>64</v>
      </c>
      <c r="J1976" s="112">
        <f>IF($H1976&lt;&gt;"Y",0,ROUND(MIN(Dashboard!$R$24,IF(IFERROR(VLOOKUP($B1976,Dashboard!$Q$28:$S$60,2,FALSE),0)&gt;0,IFERROR(VLOOKUP($B1976,Dashboard!$Q$28:$S$60,2,FALSE),0),$Z1976*IF($U1976&lt;&gt;"",ROUND((Dashboard!$R$4/$U1976)*VLOOKUP($I1976,Dashboard!$Q$9:$R$13,2,FALSE)*IF(ISNUMBER(SEARCH("Duals",$B1976)),2,IF(ISNUMBER(SEARCH("Triples",$B1976)),3,IF(ISNUMBER(SEARCH("Quads",$B1976)),4,1))),2),ROUND(VLOOKUP($I1976,Dashboard!$Q$15:$R$20,2,FALSE)*IF($E1976="Red",Dashboard!$R$6,IF($E1976="Gold",Dashboard!$R$7,Dashboard!$R$5))*IF(ISNUMBER(SEARCH("Duals",$B1976)),2,IF(ISNUMBER(SEARCH("Triples",$B1976)),3,IF(ISNUMBER(SEARCH("Quads",$B1976)),4,1))),2))*IF(IFERROR(VLOOKUP($B1976,Dashboard!$Q$28:$S$60,3,FALSE),0)&gt;0,VLOOKUP($B1976,Dashboard!$Q$28:$S$60,3,FALSE),1))),0))</f>
        <v>2</v>
      </c>
      <c r="K1976" s="2" t="str">
        <f>IF('Supes &amp; Supes SPs'!F18="","",'Supes &amp; Supes SPs'!F18)</f>
        <v>V</v>
      </c>
      <c r="L1976" s="2">
        <f t="shared" si="390"/>
        <v>1</v>
      </c>
      <c r="M1976" s="2">
        <f t="shared" si="391"/>
        <v>0</v>
      </c>
      <c r="N1976" s="2">
        <f t="shared" si="392"/>
        <v>1</v>
      </c>
      <c r="O1976" s="2">
        <f t="shared" si="393"/>
        <v>0</v>
      </c>
      <c r="P1976" s="112">
        <f t="shared" si="394"/>
        <v>2</v>
      </c>
      <c r="Q1976" s="112">
        <f t="shared" si="395"/>
        <v>0</v>
      </c>
      <c r="R1976" s="53"/>
      <c r="S1976" s="53" t="str">
        <f t="shared" si="396"/>
        <v>Lenticular &amp; SP|Supes|S3D-13|Base</v>
      </c>
      <c r="T1976" s="57">
        <f>IF($S1976="","",IFERROR(VLOOKUP($S1976,'Pop Estimates (Non-#d)'!$N$2:$O$500,2,FALSE),""))</f>
        <v>1140</v>
      </c>
      <c r="U1976" s="57">
        <f t="shared" si="397"/>
        <v>1140</v>
      </c>
      <c r="V1976" s="53" t="str">
        <f t="shared" si="398"/>
        <v/>
      </c>
      <c r="W1976" s="53" t="str">
        <f t="shared" si="399"/>
        <v/>
      </c>
      <c r="X1976" s="53" t="str">
        <f t="shared" si="400"/>
        <v/>
      </c>
      <c r="Y1976" s="57" t="str">
        <f>IF($X1976="","",IFERROR(VLOOKUP($X1976,'Char Popularity'!$A$2:$C$500,2,FALSE),""))</f>
        <v/>
      </c>
      <c r="Z1976" s="56">
        <f>IF($X1976="",1,IFERROR(VLOOKUP($X1976,'Char Popularity'!$A$2:$C$500,3,FALSE),1))</f>
        <v>1</v>
      </c>
      <c r="AA1976" s="62">
        <f>IF($H1976&lt;&gt;"Y",0,(IF($F1976&lt;&gt;"",ROUND(Dashboard!$R$4/$F1976,1),IF(AND($I1976="Base",$E1976="Base"),Dashboard!$R$5,IF(AND($I1976="Base",$E1976="Red"),Dashboard!$R$6,IF(AND($I1976="Base",$E1976="Gold"),Dashboard!$R$7,VLOOKUP($I1976,Dashboard!$Q$16:$R$21,2,FALSE)))))*VLOOKUP($I1976,Dashboard!$Q$9:$R$13,2,FALSE)*IF(AND($I1976="Auto",$F1976="",OR($B1976="Autographs Duals",$B1976="Autographs Triples",$B1976="Autographs Quads",$B1976="Autographs Quads (Inscribed)")),IF($B1976="Autographs Duals",2,IF($B1976="Autographs Triples",3,4)),1)))</f>
        <v>19.5</v>
      </c>
      <c r="AB1976" s="62">
        <f t="shared" si="401"/>
        <v>19.5</v>
      </c>
      <c r="AC1976" s="62">
        <f t="shared" si="402"/>
        <v>0</v>
      </c>
    </row>
    <row r="1977" spans="1:29" ht="30" customHeight="1" x14ac:dyDescent="0.25">
      <c r="A1977" s="4" t="s">
        <v>126</v>
      </c>
      <c r="B1977" s="7" t="s">
        <v>90</v>
      </c>
      <c r="C1977" s="2" t="s">
        <v>641</v>
      </c>
      <c r="D1977" s="7" t="s">
        <v>345</v>
      </c>
      <c r="E1977" s="4" t="s">
        <v>60</v>
      </c>
      <c r="F1977" s="2"/>
      <c r="G1977" s="2" t="s">
        <v>1399</v>
      </c>
      <c r="H1977" s="2" t="s">
        <v>1400</v>
      </c>
      <c r="I1977" s="4" t="s">
        <v>64</v>
      </c>
      <c r="J1977" s="112">
        <f>IF($H1977&lt;&gt;"Y",0,ROUND(MIN(Dashboard!$R$24,IF(IFERROR(VLOOKUP($B1977,Dashboard!$Q$28:$S$60,2,FALSE),0)&gt;0,IFERROR(VLOOKUP($B1977,Dashboard!$Q$28:$S$60,2,FALSE),0),$Z1977*IF($U1977&lt;&gt;"",ROUND((Dashboard!$R$4/$U1977)*VLOOKUP($I1977,Dashboard!$Q$9:$R$13,2,FALSE)*IF(ISNUMBER(SEARCH("Duals",$B1977)),2,IF(ISNUMBER(SEARCH("Triples",$B1977)),3,IF(ISNUMBER(SEARCH("Quads",$B1977)),4,1))),2),ROUND(VLOOKUP($I1977,Dashboard!$Q$15:$R$20,2,FALSE)*IF($E1977="Red",Dashboard!$R$6,IF($E1977="Gold",Dashboard!$R$7,Dashboard!$R$5))*IF(ISNUMBER(SEARCH("Duals",$B1977)),2,IF(ISNUMBER(SEARCH("Triples",$B1977)),3,IF(ISNUMBER(SEARCH("Quads",$B1977)),4,1))),2))*IF(IFERROR(VLOOKUP($B1977,Dashboard!$Q$28:$S$60,3,FALSE),0)&gt;0,VLOOKUP($B1977,Dashboard!$Q$28:$S$60,3,FALSE),1))),0))</f>
        <v>2</v>
      </c>
      <c r="K1977" s="2" t="str">
        <f>IF('Supes &amp; Supes SPs'!F17="","",'Supes &amp; Supes SPs'!F17)</f>
        <v>C</v>
      </c>
      <c r="L1977" s="2">
        <f t="shared" si="390"/>
        <v>1</v>
      </c>
      <c r="M1977" s="2">
        <f t="shared" si="391"/>
        <v>0</v>
      </c>
      <c r="N1977" s="2">
        <f t="shared" si="392"/>
        <v>1</v>
      </c>
      <c r="O1977" s="2">
        <f t="shared" si="393"/>
        <v>0</v>
      </c>
      <c r="P1977" s="112">
        <f t="shared" si="394"/>
        <v>2</v>
      </c>
      <c r="Q1977" s="112">
        <f t="shared" si="395"/>
        <v>0</v>
      </c>
      <c r="R1977" s="53"/>
      <c r="S1977" s="53" t="str">
        <f t="shared" si="396"/>
        <v>Lenticular &amp; SP|Supes|S3D-14|Base</v>
      </c>
      <c r="T1977" s="57">
        <f>IF($S1977="","",IFERROR(VLOOKUP($S1977,'Pop Estimates (Non-#d)'!$N$2:$O$500,2,FALSE),""))</f>
        <v>1140</v>
      </c>
      <c r="U1977" s="57">
        <f t="shared" si="397"/>
        <v>1140</v>
      </c>
      <c r="V1977" s="53" t="str">
        <f t="shared" si="398"/>
        <v/>
      </c>
      <c r="W1977" s="53" t="str">
        <f t="shared" si="399"/>
        <v/>
      </c>
      <c r="X1977" s="53" t="str">
        <f t="shared" si="400"/>
        <v/>
      </c>
      <c r="Y1977" s="57" t="str">
        <f>IF($X1977="","",IFERROR(VLOOKUP($X1977,'Char Popularity'!$A$2:$C$500,2,FALSE),""))</f>
        <v/>
      </c>
      <c r="Z1977" s="56">
        <f>IF($X1977="",1,IFERROR(VLOOKUP($X1977,'Char Popularity'!$A$2:$C$500,3,FALSE),1))</f>
        <v>1</v>
      </c>
      <c r="AA1977" s="62">
        <f>IF($H1977&lt;&gt;"Y",0,(IF($F1977&lt;&gt;"",ROUND(Dashboard!$R$4/$F1977,1),IF(AND($I1977="Base",$E1977="Base"),Dashboard!$R$5,IF(AND($I1977="Base",$E1977="Red"),Dashboard!$R$6,IF(AND($I1977="Base",$E1977="Gold"),Dashboard!$R$7,VLOOKUP($I1977,Dashboard!$Q$16:$R$21,2,FALSE)))))*VLOOKUP($I1977,Dashboard!$Q$9:$R$13,2,FALSE)*IF(AND($I1977="Auto",$F1977="",OR($B1977="Autographs Duals",$B1977="Autographs Triples",$B1977="Autographs Quads",$B1977="Autographs Quads (Inscribed)")),IF($B1977="Autographs Duals",2,IF($B1977="Autographs Triples",3,4)),1)))</f>
        <v>19.5</v>
      </c>
      <c r="AB1977" s="62">
        <f t="shared" si="401"/>
        <v>19.5</v>
      </c>
      <c r="AC1977" s="62">
        <f t="shared" si="402"/>
        <v>0</v>
      </c>
    </row>
    <row r="1978" spans="1:29" ht="30" customHeight="1" x14ac:dyDescent="0.25">
      <c r="A1978" s="4" t="s">
        <v>126</v>
      </c>
      <c r="B1978" s="7" t="s">
        <v>90</v>
      </c>
      <c r="C1978" s="2" t="s">
        <v>642</v>
      </c>
      <c r="D1978" s="7" t="s">
        <v>454</v>
      </c>
      <c r="E1978" s="4" t="s">
        <v>60</v>
      </c>
      <c r="F1978" s="2"/>
      <c r="G1978" s="2" t="s">
        <v>1399</v>
      </c>
      <c r="H1978" s="2" t="s">
        <v>1400</v>
      </c>
      <c r="I1978" s="4" t="s">
        <v>64</v>
      </c>
      <c r="J1978" s="112">
        <f>IF($H1978&lt;&gt;"Y",0,ROUND(MIN(Dashboard!$R$24,IF(IFERROR(VLOOKUP($B1978,Dashboard!$Q$28:$S$60,2,FALSE),0)&gt;0,IFERROR(VLOOKUP($B1978,Dashboard!$Q$28:$S$60,2,FALSE),0),$Z1978*IF($U1978&lt;&gt;"",ROUND((Dashboard!$R$4/$U1978)*VLOOKUP($I1978,Dashboard!$Q$9:$R$13,2,FALSE)*IF(ISNUMBER(SEARCH("Duals",$B1978)),2,IF(ISNUMBER(SEARCH("Triples",$B1978)),3,IF(ISNUMBER(SEARCH("Quads",$B1978)),4,1))),2),ROUND(VLOOKUP($I1978,Dashboard!$Q$15:$R$20,2,FALSE)*IF($E1978="Red",Dashboard!$R$6,IF($E1978="Gold",Dashboard!$R$7,Dashboard!$R$5))*IF(ISNUMBER(SEARCH("Duals",$B1978)),2,IF(ISNUMBER(SEARCH("Triples",$B1978)),3,IF(ISNUMBER(SEARCH("Quads",$B1978)),4,1))),2))*IF(IFERROR(VLOOKUP($B1978,Dashboard!$Q$28:$S$60,3,FALSE),0)&gt;0,VLOOKUP($B1978,Dashboard!$Q$28:$S$60,3,FALSE),1))),0))</f>
        <v>2</v>
      </c>
      <c r="K1978" s="2" t="str">
        <f>IF('Supes &amp; Supes SPs'!F16="","",'Supes &amp; Supes SPs'!F16)</f>
        <v>V</v>
      </c>
      <c r="L1978" s="2">
        <f t="shared" si="390"/>
        <v>1</v>
      </c>
      <c r="M1978" s="2">
        <f t="shared" si="391"/>
        <v>0</v>
      </c>
      <c r="N1978" s="2">
        <f t="shared" si="392"/>
        <v>1</v>
      </c>
      <c r="O1978" s="2">
        <f t="shared" si="393"/>
        <v>0</v>
      </c>
      <c r="P1978" s="112">
        <f t="shared" si="394"/>
        <v>2</v>
      </c>
      <c r="Q1978" s="112">
        <f t="shared" si="395"/>
        <v>0</v>
      </c>
      <c r="R1978" s="53"/>
      <c r="S1978" s="53" t="str">
        <f t="shared" si="396"/>
        <v>Lenticular &amp; SP|Supes|S3D-15|Base</v>
      </c>
      <c r="T1978" s="57">
        <f>IF($S1978="","",IFERROR(VLOOKUP($S1978,'Pop Estimates (Non-#d)'!$N$2:$O$500,2,FALSE),""))</f>
        <v>1140</v>
      </c>
      <c r="U1978" s="57">
        <f t="shared" si="397"/>
        <v>1140</v>
      </c>
      <c r="V1978" s="53" t="str">
        <f t="shared" si="398"/>
        <v/>
      </c>
      <c r="W1978" s="53" t="str">
        <f t="shared" si="399"/>
        <v/>
      </c>
      <c r="X1978" s="53" t="str">
        <f t="shared" si="400"/>
        <v/>
      </c>
      <c r="Y1978" s="57" t="str">
        <f>IF($X1978="","",IFERROR(VLOOKUP($X1978,'Char Popularity'!$A$2:$C$500,2,FALSE),""))</f>
        <v/>
      </c>
      <c r="Z1978" s="56">
        <f>IF($X1978="",1,IFERROR(VLOOKUP($X1978,'Char Popularity'!$A$2:$C$500,3,FALSE),1))</f>
        <v>1</v>
      </c>
      <c r="AA1978" s="62">
        <f>IF($H1978&lt;&gt;"Y",0,(IF($F1978&lt;&gt;"",ROUND(Dashboard!$R$4/$F1978,1),IF(AND($I1978="Base",$E1978="Base"),Dashboard!$R$5,IF(AND($I1978="Base",$E1978="Red"),Dashboard!$R$6,IF(AND($I1978="Base",$E1978="Gold"),Dashboard!$R$7,VLOOKUP($I1978,Dashboard!$Q$16:$R$21,2,FALSE)))))*VLOOKUP($I1978,Dashboard!$Q$9:$R$13,2,FALSE)*IF(AND($I1978="Auto",$F1978="",OR($B1978="Autographs Duals",$B1978="Autographs Triples",$B1978="Autographs Quads",$B1978="Autographs Quads (Inscribed)")),IF($B1978="Autographs Duals",2,IF($B1978="Autographs Triples",3,4)),1)))</f>
        <v>19.5</v>
      </c>
      <c r="AB1978" s="62">
        <f t="shared" si="401"/>
        <v>19.5</v>
      </c>
      <c r="AC1978" s="62">
        <f t="shared" si="402"/>
        <v>0</v>
      </c>
    </row>
    <row r="1979" spans="1:29" ht="30" customHeight="1" x14ac:dyDescent="0.25">
      <c r="A1979" s="4" t="s">
        <v>126</v>
      </c>
      <c r="B1979" s="7" t="s">
        <v>90</v>
      </c>
      <c r="C1979" s="2" t="s">
        <v>643</v>
      </c>
      <c r="D1979" s="7" t="s">
        <v>337</v>
      </c>
      <c r="E1979" s="4" t="s">
        <v>60</v>
      </c>
      <c r="F1979" s="2"/>
      <c r="G1979" s="2" t="s">
        <v>1399</v>
      </c>
      <c r="H1979" s="2" t="s">
        <v>1400</v>
      </c>
      <c r="I1979" s="4" t="s">
        <v>64</v>
      </c>
      <c r="J1979" s="112">
        <f>IF($H1979&lt;&gt;"Y",0,ROUND(MIN(Dashboard!$R$24,IF(IFERROR(VLOOKUP($B1979,Dashboard!$Q$28:$S$60,2,FALSE),0)&gt;0,IFERROR(VLOOKUP($B1979,Dashboard!$Q$28:$S$60,2,FALSE),0),$Z1979*IF($U1979&lt;&gt;"",ROUND((Dashboard!$R$4/$U1979)*VLOOKUP($I1979,Dashboard!$Q$9:$R$13,2,FALSE)*IF(ISNUMBER(SEARCH("Duals",$B1979)),2,IF(ISNUMBER(SEARCH("Triples",$B1979)),3,IF(ISNUMBER(SEARCH("Quads",$B1979)),4,1))),2),ROUND(VLOOKUP($I1979,Dashboard!$Q$15:$R$20,2,FALSE)*IF($E1979="Red",Dashboard!$R$6,IF($E1979="Gold",Dashboard!$R$7,Dashboard!$R$5))*IF(ISNUMBER(SEARCH("Duals",$B1979)),2,IF(ISNUMBER(SEARCH("Triples",$B1979)),3,IF(ISNUMBER(SEARCH("Quads",$B1979)),4,1))),2))*IF(IFERROR(VLOOKUP($B1979,Dashboard!$Q$28:$S$60,3,FALSE),0)&gt;0,VLOOKUP($B1979,Dashboard!$Q$28:$S$60,3,FALSE),1))),0))</f>
        <v>2</v>
      </c>
      <c r="K1979" s="2" t="str">
        <f>IF('Supes &amp; Supes SPs'!F15="","",'Supes &amp; Supes SPs'!F15)</f>
        <v>V</v>
      </c>
      <c r="L1979" s="2">
        <f t="shared" si="390"/>
        <v>1</v>
      </c>
      <c r="M1979" s="2">
        <f t="shared" si="391"/>
        <v>0</v>
      </c>
      <c r="N1979" s="2">
        <f t="shared" si="392"/>
        <v>1</v>
      </c>
      <c r="O1979" s="2">
        <f t="shared" si="393"/>
        <v>0</v>
      </c>
      <c r="P1979" s="112">
        <f t="shared" si="394"/>
        <v>2</v>
      </c>
      <c r="Q1979" s="112">
        <f t="shared" si="395"/>
        <v>0</v>
      </c>
      <c r="R1979" s="53"/>
      <c r="S1979" s="53" t="str">
        <f t="shared" si="396"/>
        <v>Lenticular &amp; SP|Supes|S3D-16|Base</v>
      </c>
      <c r="T1979" s="57">
        <f>IF($S1979="","",IFERROR(VLOOKUP($S1979,'Pop Estimates (Non-#d)'!$N$2:$O$500,2,FALSE),""))</f>
        <v>1140</v>
      </c>
      <c r="U1979" s="57">
        <f t="shared" si="397"/>
        <v>1140</v>
      </c>
      <c r="V1979" s="53" t="str">
        <f t="shared" si="398"/>
        <v/>
      </c>
      <c r="W1979" s="53" t="str">
        <f t="shared" si="399"/>
        <v/>
      </c>
      <c r="X1979" s="53" t="str">
        <f t="shared" si="400"/>
        <v/>
      </c>
      <c r="Y1979" s="57" t="str">
        <f>IF($X1979="","",IFERROR(VLOOKUP($X1979,'Char Popularity'!$A$2:$C$500,2,FALSE),""))</f>
        <v/>
      </c>
      <c r="Z1979" s="56">
        <f>IF($X1979="",1,IFERROR(VLOOKUP($X1979,'Char Popularity'!$A$2:$C$500,3,FALSE),1))</f>
        <v>1</v>
      </c>
      <c r="AA1979" s="62">
        <f>IF($H1979&lt;&gt;"Y",0,(IF($F1979&lt;&gt;"",ROUND(Dashboard!$R$4/$F1979,1),IF(AND($I1979="Base",$E1979="Base"),Dashboard!$R$5,IF(AND($I1979="Base",$E1979="Red"),Dashboard!$R$6,IF(AND($I1979="Base",$E1979="Gold"),Dashboard!$R$7,VLOOKUP($I1979,Dashboard!$Q$16:$R$21,2,FALSE)))))*VLOOKUP($I1979,Dashboard!$Q$9:$R$13,2,FALSE)*IF(AND($I1979="Auto",$F1979="",OR($B1979="Autographs Duals",$B1979="Autographs Triples",$B1979="Autographs Quads",$B1979="Autographs Quads (Inscribed)")),IF($B1979="Autographs Duals",2,IF($B1979="Autographs Triples",3,4)),1)))</f>
        <v>19.5</v>
      </c>
      <c r="AB1979" s="62">
        <f t="shared" si="401"/>
        <v>19.5</v>
      </c>
      <c r="AC1979" s="62">
        <f t="shared" si="402"/>
        <v>0</v>
      </c>
    </row>
    <row r="1980" spans="1:29" ht="30" customHeight="1" x14ac:dyDescent="0.25">
      <c r="A1980" s="4" t="s">
        <v>126</v>
      </c>
      <c r="B1980" s="7" t="s">
        <v>90</v>
      </c>
      <c r="C1980" s="2" t="s">
        <v>644</v>
      </c>
      <c r="D1980" s="7" t="s">
        <v>343</v>
      </c>
      <c r="E1980" s="4" t="s">
        <v>60</v>
      </c>
      <c r="F1980" s="2"/>
      <c r="G1980" s="2" t="s">
        <v>1399</v>
      </c>
      <c r="H1980" s="2" t="s">
        <v>1400</v>
      </c>
      <c r="I1980" s="4" t="s">
        <v>64</v>
      </c>
      <c r="J1980" s="112">
        <f>IF($H1980&lt;&gt;"Y",0,ROUND(MIN(Dashboard!$R$24,IF(IFERROR(VLOOKUP($B1980,Dashboard!$Q$28:$S$60,2,FALSE),0)&gt;0,IFERROR(VLOOKUP($B1980,Dashboard!$Q$28:$S$60,2,FALSE),0),$Z1980*IF($U1980&lt;&gt;"",ROUND((Dashboard!$R$4/$U1980)*VLOOKUP($I1980,Dashboard!$Q$9:$R$13,2,FALSE)*IF(ISNUMBER(SEARCH("Duals",$B1980)),2,IF(ISNUMBER(SEARCH("Triples",$B1980)),3,IF(ISNUMBER(SEARCH("Quads",$B1980)),4,1))),2),ROUND(VLOOKUP($I1980,Dashboard!$Q$15:$R$20,2,FALSE)*IF($E1980="Red",Dashboard!$R$6,IF($E1980="Gold",Dashboard!$R$7,Dashboard!$R$5))*IF(ISNUMBER(SEARCH("Duals",$B1980)),2,IF(ISNUMBER(SEARCH("Triples",$B1980)),3,IF(ISNUMBER(SEARCH("Quads",$B1980)),4,1))),2))*IF(IFERROR(VLOOKUP($B1980,Dashboard!$Q$28:$S$60,3,FALSE),0)&gt;0,VLOOKUP($B1980,Dashboard!$Q$28:$S$60,3,FALSE),1))),0))</f>
        <v>2</v>
      </c>
      <c r="K1980" s="2" t="str">
        <f>IF('Supes &amp; Supes SPs'!F14="","",'Supes &amp; Supes SPs'!F14)</f>
        <v>C</v>
      </c>
      <c r="L1980" s="2">
        <f t="shared" si="390"/>
        <v>1</v>
      </c>
      <c r="M1980" s="2">
        <f t="shared" si="391"/>
        <v>0</v>
      </c>
      <c r="N1980" s="2">
        <f t="shared" si="392"/>
        <v>1</v>
      </c>
      <c r="O1980" s="2">
        <f t="shared" si="393"/>
        <v>0</v>
      </c>
      <c r="P1980" s="112">
        <f t="shared" si="394"/>
        <v>2</v>
      </c>
      <c r="Q1980" s="112">
        <f t="shared" si="395"/>
        <v>0</v>
      </c>
      <c r="R1980" s="53"/>
      <c r="S1980" s="53" t="str">
        <f t="shared" si="396"/>
        <v>Lenticular &amp; SP|Supes|S3D-17|Base</v>
      </c>
      <c r="T1980" s="57">
        <f>IF($S1980="","",IFERROR(VLOOKUP($S1980,'Pop Estimates (Non-#d)'!$N$2:$O$500,2,FALSE),""))</f>
        <v>1140</v>
      </c>
      <c r="U1980" s="57">
        <f t="shared" si="397"/>
        <v>1140</v>
      </c>
      <c r="V1980" s="53" t="str">
        <f t="shared" si="398"/>
        <v/>
      </c>
      <c r="W1980" s="53" t="str">
        <f t="shared" si="399"/>
        <v/>
      </c>
      <c r="X1980" s="53" t="str">
        <f t="shared" si="400"/>
        <v/>
      </c>
      <c r="Y1980" s="57" t="str">
        <f>IF($X1980="","",IFERROR(VLOOKUP($X1980,'Char Popularity'!$A$2:$C$500,2,FALSE),""))</f>
        <v/>
      </c>
      <c r="Z1980" s="56">
        <f>IF($X1980="",1,IFERROR(VLOOKUP($X1980,'Char Popularity'!$A$2:$C$500,3,FALSE),1))</f>
        <v>1</v>
      </c>
      <c r="AA1980" s="62">
        <f>IF($H1980&lt;&gt;"Y",0,(IF($F1980&lt;&gt;"",ROUND(Dashboard!$R$4/$F1980,1),IF(AND($I1980="Base",$E1980="Base"),Dashboard!$R$5,IF(AND($I1980="Base",$E1980="Red"),Dashboard!$R$6,IF(AND($I1980="Base",$E1980="Gold"),Dashboard!$R$7,VLOOKUP($I1980,Dashboard!$Q$16:$R$21,2,FALSE)))))*VLOOKUP($I1980,Dashboard!$Q$9:$R$13,2,FALSE)*IF(AND($I1980="Auto",$F1980="",OR($B1980="Autographs Duals",$B1980="Autographs Triples",$B1980="Autographs Quads",$B1980="Autographs Quads (Inscribed)")),IF($B1980="Autographs Duals",2,IF($B1980="Autographs Triples",3,4)),1)))</f>
        <v>19.5</v>
      </c>
      <c r="AB1980" s="62">
        <f t="shared" si="401"/>
        <v>19.5</v>
      </c>
      <c r="AC1980" s="62">
        <f t="shared" si="402"/>
        <v>0</v>
      </c>
    </row>
    <row r="1981" spans="1:29" ht="30" customHeight="1" x14ac:dyDescent="0.25">
      <c r="A1981" s="4" t="s">
        <v>126</v>
      </c>
      <c r="B1981" s="7" t="s">
        <v>90</v>
      </c>
      <c r="C1981" s="2" t="s">
        <v>645</v>
      </c>
      <c r="D1981" s="7" t="s">
        <v>446</v>
      </c>
      <c r="E1981" s="4" t="s">
        <v>60</v>
      </c>
      <c r="F1981" s="2"/>
      <c r="G1981" s="2" t="s">
        <v>1399</v>
      </c>
      <c r="H1981" s="2" t="s">
        <v>1400</v>
      </c>
      <c r="I1981" s="4" t="s">
        <v>64</v>
      </c>
      <c r="J1981" s="112">
        <f>IF($H1981&lt;&gt;"Y",0,ROUND(MIN(Dashboard!$R$24,IF(IFERROR(VLOOKUP($B1981,Dashboard!$Q$28:$S$60,2,FALSE),0)&gt;0,IFERROR(VLOOKUP($B1981,Dashboard!$Q$28:$S$60,2,FALSE),0),$Z1981*IF($U1981&lt;&gt;"",ROUND((Dashboard!$R$4/$U1981)*VLOOKUP($I1981,Dashboard!$Q$9:$R$13,2,FALSE)*IF(ISNUMBER(SEARCH("Duals",$B1981)),2,IF(ISNUMBER(SEARCH("Triples",$B1981)),3,IF(ISNUMBER(SEARCH("Quads",$B1981)),4,1))),2),ROUND(VLOOKUP($I1981,Dashboard!$Q$15:$R$20,2,FALSE)*IF($E1981="Red",Dashboard!$R$6,IF($E1981="Gold",Dashboard!$R$7,Dashboard!$R$5))*IF(ISNUMBER(SEARCH("Duals",$B1981)),2,IF(ISNUMBER(SEARCH("Triples",$B1981)),3,IF(ISNUMBER(SEARCH("Quads",$B1981)),4,1))),2))*IF(IFERROR(VLOOKUP($B1981,Dashboard!$Q$28:$S$60,3,FALSE),0)&gt;0,VLOOKUP($B1981,Dashboard!$Q$28:$S$60,3,FALSE),1))),0))</f>
        <v>2</v>
      </c>
      <c r="K1981" s="2" t="str">
        <f>IF('Supes &amp; Supes SPs'!F13="","",'Supes &amp; Supes SPs'!F13)</f>
        <v>C</v>
      </c>
      <c r="L1981" s="2">
        <f t="shared" si="390"/>
        <v>1</v>
      </c>
      <c r="M1981" s="2">
        <f t="shared" si="391"/>
        <v>0</v>
      </c>
      <c r="N1981" s="2">
        <f t="shared" si="392"/>
        <v>1</v>
      </c>
      <c r="O1981" s="2">
        <f t="shared" si="393"/>
        <v>0</v>
      </c>
      <c r="P1981" s="112">
        <f t="shared" si="394"/>
        <v>2</v>
      </c>
      <c r="Q1981" s="112">
        <f t="shared" si="395"/>
        <v>0</v>
      </c>
      <c r="R1981" s="53"/>
      <c r="S1981" s="53" t="str">
        <f t="shared" si="396"/>
        <v>Lenticular &amp; SP|Supes|S3D-18|Base</v>
      </c>
      <c r="T1981" s="57">
        <f>IF($S1981="","",IFERROR(VLOOKUP($S1981,'Pop Estimates (Non-#d)'!$N$2:$O$500,2,FALSE),""))</f>
        <v>1140</v>
      </c>
      <c r="U1981" s="57">
        <f t="shared" si="397"/>
        <v>1140</v>
      </c>
      <c r="V1981" s="53" t="str">
        <f t="shared" si="398"/>
        <v/>
      </c>
      <c r="W1981" s="53" t="str">
        <f t="shared" si="399"/>
        <v/>
      </c>
      <c r="X1981" s="53" t="str">
        <f t="shared" si="400"/>
        <v/>
      </c>
      <c r="Y1981" s="57" t="str">
        <f>IF($X1981="","",IFERROR(VLOOKUP($X1981,'Char Popularity'!$A$2:$C$500,2,FALSE),""))</f>
        <v/>
      </c>
      <c r="Z1981" s="56">
        <f>IF($X1981="",1,IFERROR(VLOOKUP($X1981,'Char Popularity'!$A$2:$C$500,3,FALSE),1))</f>
        <v>1</v>
      </c>
      <c r="AA1981" s="62">
        <f>IF($H1981&lt;&gt;"Y",0,(IF($F1981&lt;&gt;"",ROUND(Dashboard!$R$4/$F1981,1),IF(AND($I1981="Base",$E1981="Base"),Dashboard!$R$5,IF(AND($I1981="Base",$E1981="Red"),Dashboard!$R$6,IF(AND($I1981="Base",$E1981="Gold"),Dashboard!$R$7,VLOOKUP($I1981,Dashboard!$Q$16:$R$21,2,FALSE)))))*VLOOKUP($I1981,Dashboard!$Q$9:$R$13,2,FALSE)*IF(AND($I1981="Auto",$F1981="",OR($B1981="Autographs Duals",$B1981="Autographs Triples",$B1981="Autographs Quads",$B1981="Autographs Quads (Inscribed)")),IF($B1981="Autographs Duals",2,IF($B1981="Autographs Triples",3,4)),1)))</f>
        <v>19.5</v>
      </c>
      <c r="AB1981" s="62">
        <f t="shared" si="401"/>
        <v>19.5</v>
      </c>
      <c r="AC1981" s="62">
        <f t="shared" si="402"/>
        <v>0</v>
      </c>
    </row>
    <row r="1982" spans="1:29" ht="30" customHeight="1" x14ac:dyDescent="0.25">
      <c r="A1982" s="4" t="s">
        <v>126</v>
      </c>
      <c r="B1982" s="7" t="s">
        <v>90</v>
      </c>
      <c r="C1982" s="2" t="s">
        <v>646</v>
      </c>
      <c r="D1982" s="7" t="s">
        <v>520</v>
      </c>
      <c r="E1982" s="4" t="s">
        <v>60</v>
      </c>
      <c r="F1982" s="2"/>
      <c r="G1982" s="2" t="s">
        <v>1399</v>
      </c>
      <c r="H1982" s="2" t="s">
        <v>1400</v>
      </c>
      <c r="I1982" s="4" t="s">
        <v>64</v>
      </c>
      <c r="J1982" s="112">
        <f>IF($H1982&lt;&gt;"Y",0,ROUND(MIN(Dashboard!$R$24,IF(IFERROR(VLOOKUP($B1982,Dashboard!$Q$28:$S$60,2,FALSE),0)&gt;0,IFERROR(VLOOKUP($B1982,Dashboard!$Q$28:$S$60,2,FALSE),0),$Z1982*IF($U1982&lt;&gt;"",ROUND((Dashboard!$R$4/$U1982)*VLOOKUP($I1982,Dashboard!$Q$9:$R$13,2,FALSE)*IF(ISNUMBER(SEARCH("Duals",$B1982)),2,IF(ISNUMBER(SEARCH("Triples",$B1982)),3,IF(ISNUMBER(SEARCH("Quads",$B1982)),4,1))),2),ROUND(VLOOKUP($I1982,Dashboard!$Q$15:$R$20,2,FALSE)*IF($E1982="Red",Dashboard!$R$6,IF($E1982="Gold",Dashboard!$R$7,Dashboard!$R$5))*IF(ISNUMBER(SEARCH("Duals",$B1982)),2,IF(ISNUMBER(SEARCH("Triples",$B1982)),3,IF(ISNUMBER(SEARCH("Quads",$B1982)),4,1))),2))*IF(IFERROR(VLOOKUP($B1982,Dashboard!$Q$28:$S$60,3,FALSE),0)&gt;0,VLOOKUP($B1982,Dashboard!$Q$28:$S$60,3,FALSE),1))),0))</f>
        <v>2</v>
      </c>
      <c r="K1982" s="2" t="str">
        <f>IF('Supes &amp; Supes SPs'!F12="","",'Supes &amp; Supes SPs'!F12)</f>
        <v>C</v>
      </c>
      <c r="L1982" s="2">
        <f t="shared" si="390"/>
        <v>1</v>
      </c>
      <c r="M1982" s="2">
        <f t="shared" si="391"/>
        <v>0</v>
      </c>
      <c r="N1982" s="2">
        <f t="shared" si="392"/>
        <v>1</v>
      </c>
      <c r="O1982" s="2">
        <f t="shared" si="393"/>
        <v>0</v>
      </c>
      <c r="P1982" s="112">
        <f t="shared" si="394"/>
        <v>2</v>
      </c>
      <c r="Q1982" s="112">
        <f t="shared" si="395"/>
        <v>0</v>
      </c>
      <c r="R1982" s="53"/>
      <c r="S1982" s="53" t="str">
        <f t="shared" si="396"/>
        <v>Lenticular &amp; SP|Supes|S3D-19|Base</v>
      </c>
      <c r="T1982" s="57">
        <f>IF($S1982="","",IFERROR(VLOOKUP($S1982,'Pop Estimates (Non-#d)'!$N$2:$O$500,2,FALSE),""))</f>
        <v>1140</v>
      </c>
      <c r="U1982" s="57">
        <f t="shared" si="397"/>
        <v>1140</v>
      </c>
      <c r="V1982" s="53" t="str">
        <f t="shared" si="398"/>
        <v/>
      </c>
      <c r="W1982" s="53" t="str">
        <f t="shared" si="399"/>
        <v/>
      </c>
      <c r="X1982" s="53" t="str">
        <f t="shared" si="400"/>
        <v/>
      </c>
      <c r="Y1982" s="57" t="str">
        <f>IF($X1982="","",IFERROR(VLOOKUP($X1982,'Char Popularity'!$A$2:$C$500,2,FALSE),""))</f>
        <v/>
      </c>
      <c r="Z1982" s="56">
        <f>IF($X1982="",1,IFERROR(VLOOKUP($X1982,'Char Popularity'!$A$2:$C$500,3,FALSE),1))</f>
        <v>1</v>
      </c>
      <c r="AA1982" s="62">
        <f>IF($H1982&lt;&gt;"Y",0,(IF($F1982&lt;&gt;"",ROUND(Dashboard!$R$4/$F1982,1),IF(AND($I1982="Base",$E1982="Base"),Dashboard!$R$5,IF(AND($I1982="Base",$E1982="Red"),Dashboard!$R$6,IF(AND($I1982="Base",$E1982="Gold"),Dashboard!$R$7,VLOOKUP($I1982,Dashboard!$Q$16:$R$21,2,FALSE)))))*VLOOKUP($I1982,Dashboard!$Q$9:$R$13,2,FALSE)*IF(AND($I1982="Auto",$F1982="",OR($B1982="Autographs Duals",$B1982="Autographs Triples",$B1982="Autographs Quads",$B1982="Autographs Quads (Inscribed)")),IF($B1982="Autographs Duals",2,IF($B1982="Autographs Triples",3,4)),1)))</f>
        <v>19.5</v>
      </c>
      <c r="AB1982" s="62">
        <f t="shared" si="401"/>
        <v>19.5</v>
      </c>
      <c r="AC1982" s="62">
        <f t="shared" si="402"/>
        <v>0</v>
      </c>
    </row>
    <row r="1983" spans="1:29" ht="30" customHeight="1" x14ac:dyDescent="0.25">
      <c r="A1983" s="4" t="s">
        <v>126</v>
      </c>
      <c r="B1983" s="7" t="s">
        <v>90</v>
      </c>
      <c r="C1983" s="2" t="s">
        <v>647</v>
      </c>
      <c r="D1983" s="7" t="s">
        <v>337</v>
      </c>
      <c r="E1983" s="4" t="s">
        <v>60</v>
      </c>
      <c r="F1983" s="2"/>
      <c r="G1983" s="2" t="s">
        <v>1399</v>
      </c>
      <c r="H1983" s="2" t="s">
        <v>1400</v>
      </c>
      <c r="I1983" s="4" t="s">
        <v>64</v>
      </c>
      <c r="J1983" s="112">
        <f>IF($H1983&lt;&gt;"Y",0,ROUND(MIN(Dashboard!$R$24,IF(IFERROR(VLOOKUP($B1983,Dashboard!$Q$28:$S$60,2,FALSE),0)&gt;0,IFERROR(VLOOKUP($B1983,Dashboard!$Q$28:$S$60,2,FALSE),0),$Z1983*IF($U1983&lt;&gt;"",ROUND((Dashboard!$R$4/$U1983)*VLOOKUP($I1983,Dashboard!$Q$9:$R$13,2,FALSE)*IF(ISNUMBER(SEARCH("Duals",$B1983)),2,IF(ISNUMBER(SEARCH("Triples",$B1983)),3,IF(ISNUMBER(SEARCH("Quads",$B1983)),4,1))),2),ROUND(VLOOKUP($I1983,Dashboard!$Q$15:$R$20,2,FALSE)*IF($E1983="Red",Dashboard!$R$6,IF($E1983="Gold",Dashboard!$R$7,Dashboard!$R$5))*IF(ISNUMBER(SEARCH("Duals",$B1983)),2,IF(ISNUMBER(SEARCH("Triples",$B1983)),3,IF(ISNUMBER(SEARCH("Quads",$B1983)),4,1))),2))*IF(IFERROR(VLOOKUP($B1983,Dashboard!$Q$28:$S$60,3,FALSE),0)&gt;0,VLOOKUP($B1983,Dashboard!$Q$28:$S$60,3,FALSE),1))),0))</f>
        <v>2</v>
      </c>
      <c r="K1983" s="2" t="str">
        <f>IF('Supes &amp; Supes SPs'!F29="","",'Supes &amp; Supes SPs'!F29)</f>
        <v>V</v>
      </c>
      <c r="L1983" s="2">
        <f t="shared" si="390"/>
        <v>1</v>
      </c>
      <c r="M1983" s="2">
        <f t="shared" si="391"/>
        <v>0</v>
      </c>
      <c r="N1983" s="2">
        <f t="shared" si="392"/>
        <v>1</v>
      </c>
      <c r="O1983" s="2">
        <f t="shared" si="393"/>
        <v>0</v>
      </c>
      <c r="P1983" s="112">
        <f t="shared" si="394"/>
        <v>2</v>
      </c>
      <c r="Q1983" s="112">
        <f t="shared" si="395"/>
        <v>0</v>
      </c>
      <c r="R1983" s="53"/>
      <c r="S1983" s="53" t="str">
        <f t="shared" si="396"/>
        <v>Lenticular &amp; SP|Supes|S3D-2|Base</v>
      </c>
      <c r="T1983" s="57">
        <f>IF($S1983="","",IFERROR(VLOOKUP($S1983,'Pop Estimates (Non-#d)'!$N$2:$O$500,2,FALSE),""))</f>
        <v>1140</v>
      </c>
      <c r="U1983" s="57">
        <f t="shared" si="397"/>
        <v>1140</v>
      </c>
      <c r="V1983" s="53" t="str">
        <f t="shared" si="398"/>
        <v/>
      </c>
      <c r="W1983" s="53" t="str">
        <f t="shared" si="399"/>
        <v/>
      </c>
      <c r="X1983" s="53" t="str">
        <f t="shared" si="400"/>
        <v/>
      </c>
      <c r="Y1983" s="57" t="str">
        <f>IF($X1983="","",IFERROR(VLOOKUP($X1983,'Char Popularity'!$A$2:$C$500,2,FALSE),""))</f>
        <v/>
      </c>
      <c r="Z1983" s="56">
        <f>IF($X1983="",1,IFERROR(VLOOKUP($X1983,'Char Popularity'!$A$2:$C$500,3,FALSE),1))</f>
        <v>1</v>
      </c>
      <c r="AA1983" s="62">
        <f>IF($H1983&lt;&gt;"Y",0,(IF($F1983&lt;&gt;"",ROUND(Dashboard!$R$4/$F1983,1),IF(AND($I1983="Base",$E1983="Base"),Dashboard!$R$5,IF(AND($I1983="Base",$E1983="Red"),Dashboard!$R$6,IF(AND($I1983="Base",$E1983="Gold"),Dashboard!$R$7,VLOOKUP($I1983,Dashboard!$Q$16:$R$21,2,FALSE)))))*VLOOKUP($I1983,Dashboard!$Q$9:$R$13,2,FALSE)*IF(AND($I1983="Auto",$F1983="",OR($B1983="Autographs Duals",$B1983="Autographs Triples",$B1983="Autographs Quads",$B1983="Autographs Quads (Inscribed)")),IF($B1983="Autographs Duals",2,IF($B1983="Autographs Triples",3,4)),1)))</f>
        <v>19.5</v>
      </c>
      <c r="AB1983" s="62">
        <f t="shared" si="401"/>
        <v>19.5</v>
      </c>
      <c r="AC1983" s="62">
        <f t="shared" si="402"/>
        <v>0</v>
      </c>
    </row>
    <row r="1984" spans="1:29" ht="30" customHeight="1" x14ac:dyDescent="0.25">
      <c r="A1984" s="4" t="s">
        <v>126</v>
      </c>
      <c r="B1984" s="7" t="s">
        <v>90</v>
      </c>
      <c r="C1984" s="2" t="s">
        <v>648</v>
      </c>
      <c r="D1984" s="7" t="s">
        <v>341</v>
      </c>
      <c r="E1984" s="4" t="s">
        <v>60</v>
      </c>
      <c r="F1984" s="2"/>
      <c r="G1984" s="2" t="s">
        <v>1399</v>
      </c>
      <c r="H1984" s="2" t="s">
        <v>1400</v>
      </c>
      <c r="I1984" s="4" t="s">
        <v>64</v>
      </c>
      <c r="J1984" s="112">
        <f>IF($H1984&lt;&gt;"Y",0,ROUND(MIN(Dashboard!$R$24,IF(IFERROR(VLOOKUP($B1984,Dashboard!$Q$28:$S$60,2,FALSE),0)&gt;0,IFERROR(VLOOKUP($B1984,Dashboard!$Q$28:$S$60,2,FALSE),0),$Z1984*IF($U1984&lt;&gt;"",ROUND((Dashboard!$R$4/$U1984)*VLOOKUP($I1984,Dashboard!$Q$9:$R$13,2,FALSE)*IF(ISNUMBER(SEARCH("Duals",$B1984)),2,IF(ISNUMBER(SEARCH("Triples",$B1984)),3,IF(ISNUMBER(SEARCH("Quads",$B1984)),4,1))),2),ROUND(VLOOKUP($I1984,Dashboard!$Q$15:$R$20,2,FALSE)*IF($E1984="Red",Dashboard!$R$6,IF($E1984="Gold",Dashboard!$R$7,Dashboard!$R$5))*IF(ISNUMBER(SEARCH("Duals",$B1984)),2,IF(ISNUMBER(SEARCH("Triples",$B1984)),3,IF(ISNUMBER(SEARCH("Quads",$B1984)),4,1))),2))*IF(IFERROR(VLOOKUP($B1984,Dashboard!$Q$28:$S$60,3,FALSE),0)&gt;0,VLOOKUP($B1984,Dashboard!$Q$28:$S$60,3,FALSE),1))),0))</f>
        <v>2</v>
      </c>
      <c r="K1984" s="2" t="str">
        <f>IF('Supes &amp; Supes SPs'!F11="","",'Supes &amp; Supes SPs'!F11)</f>
        <v>V</v>
      </c>
      <c r="L1984" s="2">
        <f t="shared" si="390"/>
        <v>1</v>
      </c>
      <c r="M1984" s="2">
        <f t="shared" si="391"/>
        <v>0</v>
      </c>
      <c r="N1984" s="2">
        <f t="shared" si="392"/>
        <v>1</v>
      </c>
      <c r="O1984" s="2">
        <f t="shared" si="393"/>
        <v>0</v>
      </c>
      <c r="P1984" s="112">
        <f t="shared" si="394"/>
        <v>2</v>
      </c>
      <c r="Q1984" s="112">
        <f t="shared" si="395"/>
        <v>0</v>
      </c>
      <c r="R1984" s="53"/>
      <c r="S1984" s="53" t="str">
        <f t="shared" si="396"/>
        <v>Lenticular &amp; SP|Supes|S3D-20|Base</v>
      </c>
      <c r="T1984" s="57">
        <f>IF($S1984="","",IFERROR(VLOOKUP($S1984,'Pop Estimates (Non-#d)'!$N$2:$O$500,2,FALSE),""))</f>
        <v>1140</v>
      </c>
      <c r="U1984" s="57">
        <f t="shared" si="397"/>
        <v>1140</v>
      </c>
      <c r="V1984" s="53" t="str">
        <f t="shared" si="398"/>
        <v/>
      </c>
      <c r="W1984" s="53" t="str">
        <f t="shared" si="399"/>
        <v/>
      </c>
      <c r="X1984" s="53" t="str">
        <f t="shared" si="400"/>
        <v/>
      </c>
      <c r="Y1984" s="57" t="str">
        <f>IF($X1984="","",IFERROR(VLOOKUP($X1984,'Char Popularity'!$A$2:$C$500,2,FALSE),""))</f>
        <v/>
      </c>
      <c r="Z1984" s="56">
        <f>IF($X1984="",1,IFERROR(VLOOKUP($X1984,'Char Popularity'!$A$2:$C$500,3,FALSE),1))</f>
        <v>1</v>
      </c>
      <c r="AA1984" s="62">
        <f>IF($H1984&lt;&gt;"Y",0,(IF($F1984&lt;&gt;"",ROUND(Dashboard!$R$4/$F1984,1),IF(AND($I1984="Base",$E1984="Base"),Dashboard!$R$5,IF(AND($I1984="Base",$E1984="Red"),Dashboard!$R$6,IF(AND($I1984="Base",$E1984="Gold"),Dashboard!$R$7,VLOOKUP($I1984,Dashboard!$Q$16:$R$21,2,FALSE)))))*VLOOKUP($I1984,Dashboard!$Q$9:$R$13,2,FALSE)*IF(AND($I1984="Auto",$F1984="",OR($B1984="Autographs Duals",$B1984="Autographs Triples",$B1984="Autographs Quads",$B1984="Autographs Quads (Inscribed)")),IF($B1984="Autographs Duals",2,IF($B1984="Autographs Triples",3,4)),1)))</f>
        <v>19.5</v>
      </c>
      <c r="AB1984" s="62">
        <f t="shared" si="401"/>
        <v>19.5</v>
      </c>
      <c r="AC1984" s="62">
        <f t="shared" si="402"/>
        <v>0</v>
      </c>
    </row>
    <row r="1985" spans="1:29" ht="30" customHeight="1" x14ac:dyDescent="0.25">
      <c r="A1985" s="4" t="s">
        <v>126</v>
      </c>
      <c r="B1985" s="7" t="s">
        <v>90</v>
      </c>
      <c r="C1985" s="2" t="s">
        <v>649</v>
      </c>
      <c r="D1985" s="7" t="s">
        <v>350</v>
      </c>
      <c r="E1985" s="4" t="s">
        <v>60</v>
      </c>
      <c r="F1985" s="2"/>
      <c r="G1985" s="2" t="s">
        <v>1399</v>
      </c>
      <c r="H1985" s="2" t="s">
        <v>1400</v>
      </c>
      <c r="I1985" s="4" t="s">
        <v>64</v>
      </c>
      <c r="J1985" s="112">
        <f>IF($H1985&lt;&gt;"Y",0,ROUND(MIN(Dashboard!$R$24,IF(IFERROR(VLOOKUP($B1985,Dashboard!$Q$28:$S$60,2,FALSE),0)&gt;0,IFERROR(VLOOKUP($B1985,Dashboard!$Q$28:$S$60,2,FALSE),0),$Z1985*IF($U1985&lt;&gt;"",ROUND((Dashboard!$R$4/$U1985)*VLOOKUP($I1985,Dashboard!$Q$9:$R$13,2,FALSE)*IF(ISNUMBER(SEARCH("Duals",$B1985)),2,IF(ISNUMBER(SEARCH("Triples",$B1985)),3,IF(ISNUMBER(SEARCH("Quads",$B1985)),4,1))),2),ROUND(VLOOKUP($I1985,Dashboard!$Q$15:$R$20,2,FALSE)*IF($E1985="Red",Dashboard!$R$6,IF($E1985="Gold",Dashboard!$R$7,Dashboard!$R$5))*IF(ISNUMBER(SEARCH("Duals",$B1985)),2,IF(ISNUMBER(SEARCH("Triples",$B1985)),3,IF(ISNUMBER(SEARCH("Quads",$B1985)),4,1))),2))*IF(IFERROR(VLOOKUP($B1985,Dashboard!$Q$28:$S$60,3,FALSE),0)&gt;0,VLOOKUP($B1985,Dashboard!$Q$28:$S$60,3,FALSE),1))),0))</f>
        <v>2</v>
      </c>
      <c r="K1985" s="2" t="str">
        <f>IF('Supes &amp; Supes SPs'!F10="","",'Supes &amp; Supes SPs'!F10)</f>
        <v>V</v>
      </c>
      <c r="L1985" s="2">
        <f t="shared" si="390"/>
        <v>1</v>
      </c>
      <c r="M1985" s="2">
        <f t="shared" si="391"/>
        <v>0</v>
      </c>
      <c r="N1985" s="2">
        <f t="shared" si="392"/>
        <v>1</v>
      </c>
      <c r="O1985" s="2">
        <f t="shared" si="393"/>
        <v>0</v>
      </c>
      <c r="P1985" s="112">
        <f t="shared" si="394"/>
        <v>2</v>
      </c>
      <c r="Q1985" s="112">
        <f t="shared" si="395"/>
        <v>0</v>
      </c>
      <c r="R1985" s="53"/>
      <c r="S1985" s="53" t="str">
        <f t="shared" si="396"/>
        <v>Lenticular &amp; SP|Supes|S3D-21|Base</v>
      </c>
      <c r="T1985" s="57">
        <f>IF($S1985="","",IFERROR(VLOOKUP($S1985,'Pop Estimates (Non-#d)'!$N$2:$O$500,2,FALSE),""))</f>
        <v>1140</v>
      </c>
      <c r="U1985" s="57">
        <f t="shared" si="397"/>
        <v>1140</v>
      </c>
      <c r="V1985" s="53" t="str">
        <f t="shared" si="398"/>
        <v/>
      </c>
      <c r="W1985" s="53" t="str">
        <f t="shared" si="399"/>
        <v/>
      </c>
      <c r="X1985" s="53" t="str">
        <f t="shared" si="400"/>
        <v/>
      </c>
      <c r="Y1985" s="57" t="str">
        <f>IF($X1985="","",IFERROR(VLOOKUP($X1985,'Char Popularity'!$A$2:$C$500,2,FALSE),""))</f>
        <v/>
      </c>
      <c r="Z1985" s="56">
        <f>IF($X1985="",1,IFERROR(VLOOKUP($X1985,'Char Popularity'!$A$2:$C$500,3,FALSE),1))</f>
        <v>1</v>
      </c>
      <c r="AA1985" s="62">
        <f>IF($H1985&lt;&gt;"Y",0,(IF($F1985&lt;&gt;"",ROUND(Dashboard!$R$4/$F1985,1),IF(AND($I1985="Base",$E1985="Base"),Dashboard!$R$5,IF(AND($I1985="Base",$E1985="Red"),Dashboard!$R$6,IF(AND($I1985="Base",$E1985="Gold"),Dashboard!$R$7,VLOOKUP($I1985,Dashboard!$Q$16:$R$21,2,FALSE)))))*VLOOKUP($I1985,Dashboard!$Q$9:$R$13,2,FALSE)*IF(AND($I1985="Auto",$F1985="",OR($B1985="Autographs Duals",$B1985="Autographs Triples",$B1985="Autographs Quads",$B1985="Autographs Quads (Inscribed)")),IF($B1985="Autographs Duals",2,IF($B1985="Autographs Triples",3,4)),1)))</f>
        <v>19.5</v>
      </c>
      <c r="AB1985" s="62">
        <f t="shared" si="401"/>
        <v>19.5</v>
      </c>
      <c r="AC1985" s="62">
        <f t="shared" si="402"/>
        <v>0</v>
      </c>
    </row>
    <row r="1986" spans="1:29" ht="30" customHeight="1" x14ac:dyDescent="0.25">
      <c r="A1986" s="4" t="s">
        <v>126</v>
      </c>
      <c r="B1986" s="7" t="s">
        <v>90</v>
      </c>
      <c r="C1986" s="2" t="s">
        <v>650</v>
      </c>
      <c r="D1986" s="7" t="s">
        <v>339</v>
      </c>
      <c r="E1986" s="4" t="s">
        <v>60</v>
      </c>
      <c r="F1986" s="2"/>
      <c r="G1986" s="2" t="s">
        <v>1399</v>
      </c>
      <c r="H1986" s="2" t="s">
        <v>1400</v>
      </c>
      <c r="I1986" s="4" t="s">
        <v>64</v>
      </c>
      <c r="J1986" s="112">
        <f>IF($H1986&lt;&gt;"Y",0,ROUND(MIN(Dashboard!$R$24,IF(IFERROR(VLOOKUP($B1986,Dashboard!$Q$28:$S$60,2,FALSE),0)&gt;0,IFERROR(VLOOKUP($B1986,Dashboard!$Q$28:$S$60,2,FALSE),0),$Z1986*IF($U1986&lt;&gt;"",ROUND((Dashboard!$R$4/$U1986)*VLOOKUP($I1986,Dashboard!$Q$9:$R$13,2,FALSE)*IF(ISNUMBER(SEARCH("Duals",$B1986)),2,IF(ISNUMBER(SEARCH("Triples",$B1986)),3,IF(ISNUMBER(SEARCH("Quads",$B1986)),4,1))),2),ROUND(VLOOKUP($I1986,Dashboard!$Q$15:$R$20,2,FALSE)*IF($E1986="Red",Dashboard!$R$6,IF($E1986="Gold",Dashboard!$R$7,Dashboard!$R$5))*IF(ISNUMBER(SEARCH("Duals",$B1986)),2,IF(ISNUMBER(SEARCH("Triples",$B1986)),3,IF(ISNUMBER(SEARCH("Quads",$B1986)),4,1))),2))*IF(IFERROR(VLOOKUP($B1986,Dashboard!$Q$28:$S$60,3,FALSE),0)&gt;0,VLOOKUP($B1986,Dashboard!$Q$28:$S$60,3,FALSE),1))),0))</f>
        <v>2</v>
      </c>
      <c r="K1986" s="2" t="str">
        <f>IF('Supes &amp; Supes SPs'!F9="","",'Supes &amp; Supes SPs'!F9)</f>
        <v>V</v>
      </c>
      <c r="L1986" s="2">
        <f t="shared" ref="L1986:L2049" si="403">IF(AND($K1986&lt;&gt;"",LEFT($K1986,1)&lt;&gt;"Y"),1,0)</f>
        <v>1</v>
      </c>
      <c r="M1986" s="2">
        <f t="shared" ref="M1986:M2049" si="404">IF(LEFT($K1986,1)="Y",1,0)</f>
        <v>0</v>
      </c>
      <c r="N1986" s="2">
        <f t="shared" ref="N1986:N2049" si="405">$L1986+$M1986</f>
        <v>1</v>
      </c>
      <c r="O1986" s="2">
        <f t="shared" ref="O1986:O2049" si="406">IF($H1986="Y",1-$N1986,0)</f>
        <v>0</v>
      </c>
      <c r="P1986" s="112">
        <f t="shared" ref="P1986:P2049" si="407">IF($L1986=1,$J1986,0)</f>
        <v>2</v>
      </c>
      <c r="Q1986" s="112">
        <f t="shared" ref="Q1986:Q2049" si="408">IF($M1986=1,$J1986,0)</f>
        <v>0</v>
      </c>
      <c r="R1986" s="53"/>
      <c r="S1986" s="53" t="str">
        <f t="shared" ref="S1986:S2049" si="409">IF($A1986="","",$A1986&amp;"|"&amp;$B1986&amp;"|"&amp;$C1986&amp;"|"&amp;$E1986)</f>
        <v>Lenticular &amp; SP|Supes|S3D-22|Base</v>
      </c>
      <c r="T1986" s="57">
        <f>IF($S1986="","",IFERROR(VLOOKUP($S1986,'Pop Estimates (Non-#d)'!$N$2:$O$500,2,FALSE),""))</f>
        <v>1140</v>
      </c>
      <c r="U1986" s="57">
        <f t="shared" ref="U1986:U2049" si="410">IF($A1986="","",IF($F1986&lt;&gt;"",$F1986,$T1986))</f>
        <v>1140</v>
      </c>
      <c r="V1986" s="53" t="str">
        <f t="shared" ref="V1986:V2049" si="411">IF($A1986="","",IF(ISNUMBER(SEARCH(" as ",$D1986)),MID($D1986,SEARCH(" as ",$D1986)+4,255),IF(ISNUMBER(SEARCH("/",$D1986)),LEFT($D1986,FIND("/",$D1986&amp;"/")-1),"")))</f>
        <v/>
      </c>
      <c r="W1986" s="53" t="str">
        <f t="shared" ref="W1986:W2049" si="412">IF($V1986="","",TRIM(IFERROR(MID($V1986,SEARCH("(", $V1986)+1,SEARCH(")",$V1986)-SEARCH("(", $V1986)-1),$V1986)))</f>
        <v/>
      </c>
      <c r="X1986" s="53" t="str">
        <f t="shared" ref="X1986:X2049" si="413">IF($W1986="","",TRIM(LEFT($W1986&amp;"""",FIND("""",$W1986&amp;"""")-1)))</f>
        <v/>
      </c>
      <c r="Y1986" s="57" t="str">
        <f>IF($X1986="","",IFERROR(VLOOKUP($X1986,'Char Popularity'!$A$2:$C$500,2,FALSE),""))</f>
        <v/>
      </c>
      <c r="Z1986" s="56">
        <f>IF($X1986="",1,IFERROR(VLOOKUP($X1986,'Char Popularity'!$A$2:$C$500,3,FALSE),1))</f>
        <v>1</v>
      </c>
      <c r="AA1986" s="62">
        <f>IF($H1986&lt;&gt;"Y",0,(IF($F1986&lt;&gt;"",ROUND(Dashboard!$R$4/$F1986,1),IF(AND($I1986="Base",$E1986="Base"),Dashboard!$R$5,IF(AND($I1986="Base",$E1986="Red"),Dashboard!$R$6,IF(AND($I1986="Base",$E1986="Gold"),Dashboard!$R$7,VLOOKUP($I1986,Dashboard!$Q$16:$R$21,2,FALSE)))))*VLOOKUP($I1986,Dashboard!$Q$9:$R$13,2,FALSE)*IF(AND($I1986="Auto",$F1986="",OR($B1986="Autographs Duals",$B1986="Autographs Triples",$B1986="Autographs Quads",$B1986="Autographs Quads (Inscribed)")),IF($B1986="Autographs Duals",2,IF($B1986="Autographs Triples",3,4)),1)))</f>
        <v>19.5</v>
      </c>
      <c r="AB1986" s="62">
        <f t="shared" ref="AB1986:AB2049" si="414">IF($L1986=1,$AA1986,0)</f>
        <v>19.5</v>
      </c>
      <c r="AC1986" s="62">
        <f t="shared" ref="AC1986:AC2049" si="415">IF($M1986=1,$AA1986,0)</f>
        <v>0</v>
      </c>
    </row>
    <row r="1987" spans="1:29" ht="30" customHeight="1" x14ac:dyDescent="0.25">
      <c r="A1987" s="4" t="s">
        <v>126</v>
      </c>
      <c r="B1987" s="7" t="s">
        <v>90</v>
      </c>
      <c r="C1987" s="2" t="s">
        <v>651</v>
      </c>
      <c r="D1987" s="7" t="s">
        <v>528</v>
      </c>
      <c r="E1987" s="4" t="s">
        <v>60</v>
      </c>
      <c r="F1987" s="2"/>
      <c r="G1987" s="2" t="s">
        <v>1399</v>
      </c>
      <c r="H1987" s="2" t="s">
        <v>1400</v>
      </c>
      <c r="I1987" s="4" t="s">
        <v>64</v>
      </c>
      <c r="J1987" s="112">
        <f>IF($H1987&lt;&gt;"Y",0,ROUND(MIN(Dashboard!$R$24,IF(IFERROR(VLOOKUP($B1987,Dashboard!$Q$28:$S$60,2,FALSE),0)&gt;0,IFERROR(VLOOKUP($B1987,Dashboard!$Q$28:$S$60,2,FALSE),0),$Z1987*IF($U1987&lt;&gt;"",ROUND((Dashboard!$R$4/$U1987)*VLOOKUP($I1987,Dashboard!$Q$9:$R$13,2,FALSE)*IF(ISNUMBER(SEARCH("Duals",$B1987)),2,IF(ISNUMBER(SEARCH("Triples",$B1987)),3,IF(ISNUMBER(SEARCH("Quads",$B1987)),4,1))),2),ROUND(VLOOKUP($I1987,Dashboard!$Q$15:$R$20,2,FALSE)*IF($E1987="Red",Dashboard!$R$6,IF($E1987="Gold",Dashboard!$R$7,Dashboard!$R$5))*IF(ISNUMBER(SEARCH("Duals",$B1987)),2,IF(ISNUMBER(SEARCH("Triples",$B1987)),3,IF(ISNUMBER(SEARCH("Quads",$B1987)),4,1))),2))*IF(IFERROR(VLOOKUP($B1987,Dashboard!$Q$28:$S$60,3,FALSE),0)&gt;0,VLOOKUP($B1987,Dashboard!$Q$28:$S$60,3,FALSE),1))),0))</f>
        <v>2</v>
      </c>
      <c r="K1987" s="2" t="str">
        <f>IF('Supes &amp; Supes SPs'!F8="","",'Supes &amp; Supes SPs'!F8)</f>
        <v>V</v>
      </c>
      <c r="L1987" s="2">
        <f t="shared" si="403"/>
        <v>1</v>
      </c>
      <c r="M1987" s="2">
        <f t="shared" si="404"/>
        <v>0</v>
      </c>
      <c r="N1987" s="2">
        <f t="shared" si="405"/>
        <v>1</v>
      </c>
      <c r="O1987" s="2">
        <f t="shared" si="406"/>
        <v>0</v>
      </c>
      <c r="P1987" s="112">
        <f t="shared" si="407"/>
        <v>2</v>
      </c>
      <c r="Q1987" s="112">
        <f t="shared" si="408"/>
        <v>0</v>
      </c>
      <c r="R1987" s="53"/>
      <c r="S1987" s="53" t="str">
        <f t="shared" si="409"/>
        <v>Lenticular &amp; SP|Supes|S3D-23|Base</v>
      </c>
      <c r="T1987" s="57">
        <f>IF($S1987="","",IFERROR(VLOOKUP($S1987,'Pop Estimates (Non-#d)'!$N$2:$O$500,2,FALSE),""))</f>
        <v>1140</v>
      </c>
      <c r="U1987" s="57">
        <f t="shared" si="410"/>
        <v>1140</v>
      </c>
      <c r="V1987" s="53" t="str">
        <f t="shared" si="411"/>
        <v/>
      </c>
      <c r="W1987" s="53" t="str">
        <f t="shared" si="412"/>
        <v/>
      </c>
      <c r="X1987" s="53" t="str">
        <f t="shared" si="413"/>
        <v/>
      </c>
      <c r="Y1987" s="57" t="str">
        <f>IF($X1987="","",IFERROR(VLOOKUP($X1987,'Char Popularity'!$A$2:$C$500,2,FALSE),""))</f>
        <v/>
      </c>
      <c r="Z1987" s="56">
        <f>IF($X1987="",1,IFERROR(VLOOKUP($X1987,'Char Popularity'!$A$2:$C$500,3,FALSE),1))</f>
        <v>1</v>
      </c>
      <c r="AA1987" s="62">
        <f>IF($H1987&lt;&gt;"Y",0,(IF($F1987&lt;&gt;"",ROUND(Dashboard!$R$4/$F1987,1),IF(AND($I1987="Base",$E1987="Base"),Dashboard!$R$5,IF(AND($I1987="Base",$E1987="Red"),Dashboard!$R$6,IF(AND($I1987="Base",$E1987="Gold"),Dashboard!$R$7,VLOOKUP($I1987,Dashboard!$Q$16:$R$21,2,FALSE)))))*VLOOKUP($I1987,Dashboard!$Q$9:$R$13,2,FALSE)*IF(AND($I1987="Auto",$F1987="",OR($B1987="Autographs Duals",$B1987="Autographs Triples",$B1987="Autographs Quads",$B1987="Autographs Quads (Inscribed)")),IF($B1987="Autographs Duals",2,IF($B1987="Autographs Triples",3,4)),1)))</f>
        <v>19.5</v>
      </c>
      <c r="AB1987" s="62">
        <f t="shared" si="414"/>
        <v>19.5</v>
      </c>
      <c r="AC1987" s="62">
        <f t="shared" si="415"/>
        <v>0</v>
      </c>
    </row>
    <row r="1988" spans="1:29" ht="30" customHeight="1" x14ac:dyDescent="0.25">
      <c r="A1988" s="4" t="s">
        <v>126</v>
      </c>
      <c r="B1988" s="7" t="s">
        <v>90</v>
      </c>
      <c r="C1988" s="2" t="s">
        <v>652</v>
      </c>
      <c r="D1988" s="7" t="s">
        <v>441</v>
      </c>
      <c r="E1988" s="4" t="s">
        <v>60</v>
      </c>
      <c r="F1988" s="2"/>
      <c r="G1988" s="2" t="s">
        <v>1399</v>
      </c>
      <c r="H1988" s="2" t="s">
        <v>1400</v>
      </c>
      <c r="I1988" s="4" t="s">
        <v>64</v>
      </c>
      <c r="J1988" s="112">
        <f>IF($H1988&lt;&gt;"Y",0,ROUND(MIN(Dashboard!$R$24,IF(IFERROR(VLOOKUP($B1988,Dashboard!$Q$28:$S$60,2,FALSE),0)&gt;0,IFERROR(VLOOKUP($B1988,Dashboard!$Q$28:$S$60,2,FALSE),0),$Z1988*IF($U1988&lt;&gt;"",ROUND((Dashboard!$R$4/$U1988)*VLOOKUP($I1988,Dashboard!$Q$9:$R$13,2,FALSE)*IF(ISNUMBER(SEARCH("Duals",$B1988)),2,IF(ISNUMBER(SEARCH("Triples",$B1988)),3,IF(ISNUMBER(SEARCH("Quads",$B1988)),4,1))),2),ROUND(VLOOKUP($I1988,Dashboard!$Q$15:$R$20,2,FALSE)*IF($E1988="Red",Dashboard!$R$6,IF($E1988="Gold",Dashboard!$R$7,Dashboard!$R$5))*IF(ISNUMBER(SEARCH("Duals",$B1988)),2,IF(ISNUMBER(SEARCH("Triples",$B1988)),3,IF(ISNUMBER(SEARCH("Quads",$B1988)),4,1))),2))*IF(IFERROR(VLOOKUP($B1988,Dashboard!$Q$28:$S$60,3,FALSE),0)&gt;0,VLOOKUP($B1988,Dashboard!$Q$28:$S$60,3,FALSE),1))),0))</f>
        <v>2</v>
      </c>
      <c r="K1988" s="2" t="str">
        <f>IF('Supes &amp; Supes SPs'!F7="","",'Supes &amp; Supes SPs'!F7)</f>
        <v>V</v>
      </c>
      <c r="L1988" s="2">
        <f t="shared" si="403"/>
        <v>1</v>
      </c>
      <c r="M1988" s="2">
        <f t="shared" si="404"/>
        <v>0</v>
      </c>
      <c r="N1988" s="2">
        <f t="shared" si="405"/>
        <v>1</v>
      </c>
      <c r="O1988" s="2">
        <f t="shared" si="406"/>
        <v>0</v>
      </c>
      <c r="P1988" s="112">
        <f t="shared" si="407"/>
        <v>2</v>
      </c>
      <c r="Q1988" s="112">
        <f t="shared" si="408"/>
        <v>0</v>
      </c>
      <c r="R1988" s="53"/>
      <c r="S1988" s="53" t="str">
        <f t="shared" si="409"/>
        <v>Lenticular &amp; SP|Supes|S3D-24|Base</v>
      </c>
      <c r="T1988" s="57">
        <f>IF($S1988="","",IFERROR(VLOOKUP($S1988,'Pop Estimates (Non-#d)'!$N$2:$O$500,2,FALSE),""))</f>
        <v>1140</v>
      </c>
      <c r="U1988" s="57">
        <f t="shared" si="410"/>
        <v>1140</v>
      </c>
      <c r="V1988" s="53" t="str">
        <f t="shared" si="411"/>
        <v/>
      </c>
      <c r="W1988" s="53" t="str">
        <f t="shared" si="412"/>
        <v/>
      </c>
      <c r="X1988" s="53" t="str">
        <f t="shared" si="413"/>
        <v/>
      </c>
      <c r="Y1988" s="57" t="str">
        <f>IF($X1988="","",IFERROR(VLOOKUP($X1988,'Char Popularity'!$A$2:$C$500,2,FALSE),""))</f>
        <v/>
      </c>
      <c r="Z1988" s="56">
        <f>IF($X1988="",1,IFERROR(VLOOKUP($X1988,'Char Popularity'!$A$2:$C$500,3,FALSE),1))</f>
        <v>1</v>
      </c>
      <c r="AA1988" s="62">
        <f>IF($H1988&lt;&gt;"Y",0,(IF($F1988&lt;&gt;"",ROUND(Dashboard!$R$4/$F1988,1),IF(AND($I1988="Base",$E1988="Base"),Dashboard!$R$5,IF(AND($I1988="Base",$E1988="Red"),Dashboard!$R$6,IF(AND($I1988="Base",$E1988="Gold"),Dashboard!$R$7,VLOOKUP($I1988,Dashboard!$Q$16:$R$21,2,FALSE)))))*VLOOKUP($I1988,Dashboard!$Q$9:$R$13,2,FALSE)*IF(AND($I1988="Auto",$F1988="",OR($B1988="Autographs Duals",$B1988="Autographs Triples",$B1988="Autographs Quads",$B1988="Autographs Quads (Inscribed)")),IF($B1988="Autographs Duals",2,IF($B1988="Autographs Triples",3,4)),1)))</f>
        <v>19.5</v>
      </c>
      <c r="AB1988" s="62">
        <f t="shared" si="414"/>
        <v>19.5</v>
      </c>
      <c r="AC1988" s="62">
        <f t="shared" si="415"/>
        <v>0</v>
      </c>
    </row>
    <row r="1989" spans="1:29" ht="30" customHeight="1" x14ac:dyDescent="0.25">
      <c r="A1989" s="4" t="s">
        <v>126</v>
      </c>
      <c r="B1989" s="7" t="s">
        <v>90</v>
      </c>
      <c r="C1989" s="2" t="s">
        <v>653</v>
      </c>
      <c r="D1989" s="7" t="s">
        <v>337</v>
      </c>
      <c r="E1989" s="4" t="s">
        <v>60</v>
      </c>
      <c r="F1989" s="2"/>
      <c r="G1989" s="2" t="s">
        <v>1399</v>
      </c>
      <c r="H1989" s="2" t="s">
        <v>1400</v>
      </c>
      <c r="I1989" s="4" t="s">
        <v>64</v>
      </c>
      <c r="J1989" s="112">
        <f>IF($H1989&lt;&gt;"Y",0,ROUND(MIN(Dashboard!$R$24,IF(IFERROR(VLOOKUP($B1989,Dashboard!$Q$28:$S$60,2,FALSE),0)&gt;0,IFERROR(VLOOKUP($B1989,Dashboard!$Q$28:$S$60,2,FALSE),0),$Z1989*IF($U1989&lt;&gt;"",ROUND((Dashboard!$R$4/$U1989)*VLOOKUP($I1989,Dashboard!$Q$9:$R$13,2,FALSE)*IF(ISNUMBER(SEARCH("Duals",$B1989)),2,IF(ISNUMBER(SEARCH("Triples",$B1989)),3,IF(ISNUMBER(SEARCH("Quads",$B1989)),4,1))),2),ROUND(VLOOKUP($I1989,Dashboard!$Q$15:$R$20,2,FALSE)*IF($E1989="Red",Dashboard!$R$6,IF($E1989="Gold",Dashboard!$R$7,Dashboard!$R$5))*IF(ISNUMBER(SEARCH("Duals",$B1989)),2,IF(ISNUMBER(SEARCH("Triples",$B1989)),3,IF(ISNUMBER(SEARCH("Quads",$B1989)),4,1))),2))*IF(IFERROR(VLOOKUP($B1989,Dashboard!$Q$28:$S$60,3,FALSE),0)&gt;0,VLOOKUP($B1989,Dashboard!$Q$28:$S$60,3,FALSE),1))),0))</f>
        <v>2</v>
      </c>
      <c r="K1989" s="2" t="str">
        <f>IF('Supes &amp; Supes SPs'!F6="","",'Supes &amp; Supes SPs'!F6)</f>
        <v>V</v>
      </c>
      <c r="L1989" s="2">
        <f t="shared" si="403"/>
        <v>1</v>
      </c>
      <c r="M1989" s="2">
        <f t="shared" si="404"/>
        <v>0</v>
      </c>
      <c r="N1989" s="2">
        <f t="shared" si="405"/>
        <v>1</v>
      </c>
      <c r="O1989" s="2">
        <f t="shared" si="406"/>
        <v>0</v>
      </c>
      <c r="P1989" s="112">
        <f t="shared" si="407"/>
        <v>2</v>
      </c>
      <c r="Q1989" s="112">
        <f t="shared" si="408"/>
        <v>0</v>
      </c>
      <c r="R1989" s="53"/>
      <c r="S1989" s="53" t="str">
        <f t="shared" si="409"/>
        <v>Lenticular &amp; SP|Supes|S3D-25|Base</v>
      </c>
      <c r="T1989" s="57">
        <f>IF($S1989="","",IFERROR(VLOOKUP($S1989,'Pop Estimates (Non-#d)'!$N$2:$O$500,2,FALSE),""))</f>
        <v>1140</v>
      </c>
      <c r="U1989" s="57">
        <f t="shared" si="410"/>
        <v>1140</v>
      </c>
      <c r="V1989" s="53" t="str">
        <f t="shared" si="411"/>
        <v/>
      </c>
      <c r="W1989" s="53" t="str">
        <f t="shared" si="412"/>
        <v/>
      </c>
      <c r="X1989" s="53" t="str">
        <f t="shared" si="413"/>
        <v/>
      </c>
      <c r="Y1989" s="57" t="str">
        <f>IF($X1989="","",IFERROR(VLOOKUP($X1989,'Char Popularity'!$A$2:$C$500,2,FALSE),""))</f>
        <v/>
      </c>
      <c r="Z1989" s="56">
        <f>IF($X1989="",1,IFERROR(VLOOKUP($X1989,'Char Popularity'!$A$2:$C$500,3,FALSE),1))</f>
        <v>1</v>
      </c>
      <c r="AA1989" s="62">
        <f>IF($H1989&lt;&gt;"Y",0,(IF($F1989&lt;&gt;"",ROUND(Dashboard!$R$4/$F1989,1),IF(AND($I1989="Base",$E1989="Base"),Dashboard!$R$5,IF(AND($I1989="Base",$E1989="Red"),Dashboard!$R$6,IF(AND($I1989="Base",$E1989="Gold"),Dashboard!$R$7,VLOOKUP($I1989,Dashboard!$Q$16:$R$21,2,FALSE)))))*VLOOKUP($I1989,Dashboard!$Q$9:$R$13,2,FALSE)*IF(AND($I1989="Auto",$F1989="",OR($B1989="Autographs Duals",$B1989="Autographs Triples",$B1989="Autographs Quads",$B1989="Autographs Quads (Inscribed)")),IF($B1989="Autographs Duals",2,IF($B1989="Autographs Triples",3,4)),1)))</f>
        <v>19.5</v>
      </c>
      <c r="AB1989" s="62">
        <f t="shared" si="414"/>
        <v>19.5</v>
      </c>
      <c r="AC1989" s="62">
        <f t="shared" si="415"/>
        <v>0</v>
      </c>
    </row>
    <row r="1990" spans="1:29" ht="30" customHeight="1" x14ac:dyDescent="0.25">
      <c r="A1990" s="4" t="s">
        <v>126</v>
      </c>
      <c r="B1990" s="7" t="s">
        <v>90</v>
      </c>
      <c r="C1990" s="2" t="s">
        <v>654</v>
      </c>
      <c r="D1990" s="7" t="s">
        <v>531</v>
      </c>
      <c r="E1990" s="4" t="s">
        <v>60</v>
      </c>
      <c r="F1990" s="2"/>
      <c r="G1990" s="2" t="s">
        <v>1399</v>
      </c>
      <c r="H1990" s="2" t="s">
        <v>1400</v>
      </c>
      <c r="I1990" s="4" t="s">
        <v>64</v>
      </c>
      <c r="J1990" s="112">
        <f>IF($H1990&lt;&gt;"Y",0,ROUND(MIN(Dashboard!$R$24,IF(IFERROR(VLOOKUP($B1990,Dashboard!$Q$28:$S$60,2,FALSE),0)&gt;0,IFERROR(VLOOKUP($B1990,Dashboard!$Q$28:$S$60,2,FALSE),0),$Z1990*IF($U1990&lt;&gt;"",ROUND((Dashboard!$R$4/$U1990)*VLOOKUP($I1990,Dashboard!$Q$9:$R$13,2,FALSE)*IF(ISNUMBER(SEARCH("Duals",$B1990)),2,IF(ISNUMBER(SEARCH("Triples",$B1990)),3,IF(ISNUMBER(SEARCH("Quads",$B1990)),4,1))),2),ROUND(VLOOKUP($I1990,Dashboard!$Q$15:$R$20,2,FALSE)*IF($E1990="Red",Dashboard!$R$6,IF($E1990="Gold",Dashboard!$R$7,Dashboard!$R$5))*IF(ISNUMBER(SEARCH("Duals",$B1990)),2,IF(ISNUMBER(SEARCH("Triples",$B1990)),3,IF(ISNUMBER(SEARCH("Quads",$B1990)),4,1))),2))*IF(IFERROR(VLOOKUP($B1990,Dashboard!$Q$28:$S$60,3,FALSE),0)&gt;0,VLOOKUP($B1990,Dashboard!$Q$28:$S$60,3,FALSE),1))),0))</f>
        <v>2</v>
      </c>
      <c r="K1990" s="2" t="str">
        <f>IF('Supes &amp; Supes SPs'!F5="","",'Supes &amp; Supes SPs'!F5)</f>
        <v>C</v>
      </c>
      <c r="L1990" s="2">
        <f t="shared" si="403"/>
        <v>1</v>
      </c>
      <c r="M1990" s="2">
        <f t="shared" si="404"/>
        <v>0</v>
      </c>
      <c r="N1990" s="2">
        <f t="shared" si="405"/>
        <v>1</v>
      </c>
      <c r="O1990" s="2">
        <f t="shared" si="406"/>
        <v>0</v>
      </c>
      <c r="P1990" s="112">
        <f t="shared" si="407"/>
        <v>2</v>
      </c>
      <c r="Q1990" s="112">
        <f t="shared" si="408"/>
        <v>0</v>
      </c>
      <c r="R1990" s="53"/>
      <c r="S1990" s="53" t="str">
        <f t="shared" si="409"/>
        <v>Lenticular &amp; SP|Supes|S3D-26|Base</v>
      </c>
      <c r="T1990" s="57">
        <f>IF($S1990="","",IFERROR(VLOOKUP($S1990,'Pop Estimates (Non-#d)'!$N$2:$O$500,2,FALSE),""))</f>
        <v>1140</v>
      </c>
      <c r="U1990" s="57">
        <f t="shared" si="410"/>
        <v>1140</v>
      </c>
      <c r="V1990" s="53" t="str">
        <f t="shared" si="411"/>
        <v/>
      </c>
      <c r="W1990" s="53" t="str">
        <f t="shared" si="412"/>
        <v/>
      </c>
      <c r="X1990" s="53" t="str">
        <f t="shared" si="413"/>
        <v/>
      </c>
      <c r="Y1990" s="57" t="str">
        <f>IF($X1990="","",IFERROR(VLOOKUP($X1990,'Char Popularity'!$A$2:$C$500,2,FALSE),""))</f>
        <v/>
      </c>
      <c r="Z1990" s="56">
        <f>IF($X1990="",1,IFERROR(VLOOKUP($X1990,'Char Popularity'!$A$2:$C$500,3,FALSE),1))</f>
        <v>1</v>
      </c>
      <c r="AA1990" s="62">
        <f>IF($H1990&lt;&gt;"Y",0,(IF($F1990&lt;&gt;"",ROUND(Dashboard!$R$4/$F1990,1),IF(AND($I1990="Base",$E1990="Base"),Dashboard!$R$5,IF(AND($I1990="Base",$E1990="Red"),Dashboard!$R$6,IF(AND($I1990="Base",$E1990="Gold"),Dashboard!$R$7,VLOOKUP($I1990,Dashboard!$Q$16:$R$21,2,FALSE)))))*VLOOKUP($I1990,Dashboard!$Q$9:$R$13,2,FALSE)*IF(AND($I1990="Auto",$F1990="",OR($B1990="Autographs Duals",$B1990="Autographs Triples",$B1990="Autographs Quads",$B1990="Autographs Quads (Inscribed)")),IF($B1990="Autographs Duals",2,IF($B1990="Autographs Triples",3,4)),1)))</f>
        <v>19.5</v>
      </c>
      <c r="AB1990" s="62">
        <f t="shared" si="414"/>
        <v>19.5</v>
      </c>
      <c r="AC1990" s="62">
        <f t="shared" si="415"/>
        <v>0</v>
      </c>
    </row>
    <row r="1991" spans="1:29" ht="30" customHeight="1" x14ac:dyDescent="0.25">
      <c r="A1991" s="4" t="s">
        <v>126</v>
      </c>
      <c r="B1991" s="7" t="s">
        <v>90</v>
      </c>
      <c r="C1991" s="2" t="s">
        <v>655</v>
      </c>
      <c r="D1991" s="7" t="s">
        <v>341</v>
      </c>
      <c r="E1991" s="4" t="s">
        <v>60</v>
      </c>
      <c r="F1991" s="2"/>
      <c r="G1991" s="2" t="s">
        <v>1399</v>
      </c>
      <c r="H1991" s="2" t="s">
        <v>1400</v>
      </c>
      <c r="I1991" s="4" t="s">
        <v>64</v>
      </c>
      <c r="J1991" s="112">
        <f>IF($H1991&lt;&gt;"Y",0,ROUND(MIN(Dashboard!$R$24,IF(IFERROR(VLOOKUP($B1991,Dashboard!$Q$28:$S$60,2,FALSE),0)&gt;0,IFERROR(VLOOKUP($B1991,Dashboard!$Q$28:$S$60,2,FALSE),0),$Z1991*IF($U1991&lt;&gt;"",ROUND((Dashboard!$R$4/$U1991)*VLOOKUP($I1991,Dashboard!$Q$9:$R$13,2,FALSE)*IF(ISNUMBER(SEARCH("Duals",$B1991)),2,IF(ISNUMBER(SEARCH("Triples",$B1991)),3,IF(ISNUMBER(SEARCH("Quads",$B1991)),4,1))),2),ROUND(VLOOKUP($I1991,Dashboard!$Q$15:$R$20,2,FALSE)*IF($E1991="Red",Dashboard!$R$6,IF($E1991="Gold",Dashboard!$R$7,Dashboard!$R$5))*IF(ISNUMBER(SEARCH("Duals",$B1991)),2,IF(ISNUMBER(SEARCH("Triples",$B1991)),3,IF(ISNUMBER(SEARCH("Quads",$B1991)),4,1))),2))*IF(IFERROR(VLOOKUP($B1991,Dashboard!$Q$28:$S$60,3,FALSE),0)&gt;0,VLOOKUP($B1991,Dashboard!$Q$28:$S$60,3,FALSE),1))),0))</f>
        <v>2</v>
      </c>
      <c r="K1991" s="2" t="str">
        <f>IF('Supes &amp; Supes SPs'!F4="","",'Supes &amp; Supes SPs'!F4)</f>
        <v>C</v>
      </c>
      <c r="L1991" s="2">
        <f t="shared" si="403"/>
        <v>1</v>
      </c>
      <c r="M1991" s="2">
        <f t="shared" si="404"/>
        <v>0</v>
      </c>
      <c r="N1991" s="2">
        <f t="shared" si="405"/>
        <v>1</v>
      </c>
      <c r="O1991" s="2">
        <f t="shared" si="406"/>
        <v>0</v>
      </c>
      <c r="P1991" s="112">
        <f t="shared" si="407"/>
        <v>2</v>
      </c>
      <c r="Q1991" s="112">
        <f t="shared" si="408"/>
        <v>0</v>
      </c>
      <c r="R1991" s="53"/>
      <c r="S1991" s="53" t="str">
        <f t="shared" si="409"/>
        <v>Lenticular &amp; SP|Supes|S3D-27|Base</v>
      </c>
      <c r="T1991" s="57">
        <f>IF($S1991="","",IFERROR(VLOOKUP($S1991,'Pop Estimates (Non-#d)'!$N$2:$O$500,2,FALSE),""))</f>
        <v>1140</v>
      </c>
      <c r="U1991" s="57">
        <f t="shared" si="410"/>
        <v>1140</v>
      </c>
      <c r="V1991" s="53" t="str">
        <f t="shared" si="411"/>
        <v/>
      </c>
      <c r="W1991" s="53" t="str">
        <f t="shared" si="412"/>
        <v/>
      </c>
      <c r="X1991" s="53" t="str">
        <f t="shared" si="413"/>
        <v/>
      </c>
      <c r="Y1991" s="57" t="str">
        <f>IF($X1991="","",IFERROR(VLOOKUP($X1991,'Char Popularity'!$A$2:$C$500,2,FALSE),""))</f>
        <v/>
      </c>
      <c r="Z1991" s="56">
        <f>IF($X1991="",1,IFERROR(VLOOKUP($X1991,'Char Popularity'!$A$2:$C$500,3,FALSE),1))</f>
        <v>1</v>
      </c>
      <c r="AA1991" s="62">
        <f>IF($H1991&lt;&gt;"Y",0,(IF($F1991&lt;&gt;"",ROUND(Dashboard!$R$4/$F1991,1),IF(AND($I1991="Base",$E1991="Base"),Dashboard!$R$5,IF(AND($I1991="Base",$E1991="Red"),Dashboard!$R$6,IF(AND($I1991="Base",$E1991="Gold"),Dashboard!$R$7,VLOOKUP($I1991,Dashboard!$Q$16:$R$21,2,FALSE)))))*VLOOKUP($I1991,Dashboard!$Q$9:$R$13,2,FALSE)*IF(AND($I1991="Auto",$F1991="",OR($B1991="Autographs Duals",$B1991="Autographs Triples",$B1991="Autographs Quads",$B1991="Autographs Quads (Inscribed)")),IF($B1991="Autographs Duals",2,IF($B1991="Autographs Triples",3,4)),1)))</f>
        <v>19.5</v>
      </c>
      <c r="AB1991" s="62">
        <f t="shared" si="414"/>
        <v>19.5</v>
      </c>
      <c r="AC1991" s="62">
        <f t="shared" si="415"/>
        <v>0</v>
      </c>
    </row>
    <row r="1992" spans="1:29" ht="30" customHeight="1" x14ac:dyDescent="0.25">
      <c r="A1992" s="4" t="s">
        <v>126</v>
      </c>
      <c r="B1992" s="7" t="s">
        <v>90</v>
      </c>
      <c r="C1992" s="2" t="s">
        <v>656</v>
      </c>
      <c r="D1992" s="7" t="s">
        <v>343</v>
      </c>
      <c r="E1992" s="4" t="s">
        <v>60</v>
      </c>
      <c r="F1992" s="2"/>
      <c r="G1992" s="2" t="s">
        <v>1399</v>
      </c>
      <c r="H1992" s="2" t="s">
        <v>1400</v>
      </c>
      <c r="I1992" s="4" t="s">
        <v>64</v>
      </c>
      <c r="J1992" s="112">
        <f>IF($H1992&lt;&gt;"Y",0,ROUND(MIN(Dashboard!$R$24,IF(IFERROR(VLOOKUP($B1992,Dashboard!$Q$28:$S$60,2,FALSE),0)&gt;0,IFERROR(VLOOKUP($B1992,Dashboard!$Q$28:$S$60,2,FALSE),0),$Z1992*IF($U1992&lt;&gt;"",ROUND((Dashboard!$R$4/$U1992)*VLOOKUP($I1992,Dashboard!$Q$9:$R$13,2,FALSE)*IF(ISNUMBER(SEARCH("Duals",$B1992)),2,IF(ISNUMBER(SEARCH("Triples",$B1992)),3,IF(ISNUMBER(SEARCH("Quads",$B1992)),4,1))),2),ROUND(VLOOKUP($I1992,Dashboard!$Q$15:$R$20,2,FALSE)*IF($E1992="Red",Dashboard!$R$6,IF($E1992="Gold",Dashboard!$R$7,Dashboard!$R$5))*IF(ISNUMBER(SEARCH("Duals",$B1992)),2,IF(ISNUMBER(SEARCH("Triples",$B1992)),3,IF(ISNUMBER(SEARCH("Quads",$B1992)),4,1))),2))*IF(IFERROR(VLOOKUP($B1992,Dashboard!$Q$28:$S$60,3,FALSE),0)&gt;0,VLOOKUP($B1992,Dashboard!$Q$28:$S$60,3,FALSE),1))),0))</f>
        <v>2</v>
      </c>
      <c r="K1992" s="2" t="str">
        <f>IF('Supes &amp; Supes SPs'!F3="","",'Supes &amp; Supes SPs'!F3)</f>
        <v>C</v>
      </c>
      <c r="L1992" s="2">
        <f t="shared" si="403"/>
        <v>1</v>
      </c>
      <c r="M1992" s="2">
        <f t="shared" si="404"/>
        <v>0</v>
      </c>
      <c r="N1992" s="2">
        <f t="shared" si="405"/>
        <v>1</v>
      </c>
      <c r="O1992" s="2">
        <f t="shared" si="406"/>
        <v>0</v>
      </c>
      <c r="P1992" s="112">
        <f t="shared" si="407"/>
        <v>2</v>
      </c>
      <c r="Q1992" s="112">
        <f t="shared" si="408"/>
        <v>0</v>
      </c>
      <c r="R1992" s="53"/>
      <c r="S1992" s="53" t="str">
        <f t="shared" si="409"/>
        <v>Lenticular &amp; SP|Supes|S3D-28|Base</v>
      </c>
      <c r="T1992" s="57">
        <f>IF($S1992="","",IFERROR(VLOOKUP($S1992,'Pop Estimates (Non-#d)'!$N$2:$O$500,2,FALSE),""))</f>
        <v>1140</v>
      </c>
      <c r="U1992" s="57">
        <f t="shared" si="410"/>
        <v>1140</v>
      </c>
      <c r="V1992" s="53" t="str">
        <f t="shared" si="411"/>
        <v/>
      </c>
      <c r="W1992" s="53" t="str">
        <f t="shared" si="412"/>
        <v/>
      </c>
      <c r="X1992" s="53" t="str">
        <f t="shared" si="413"/>
        <v/>
      </c>
      <c r="Y1992" s="57" t="str">
        <f>IF($X1992="","",IFERROR(VLOOKUP($X1992,'Char Popularity'!$A$2:$C$500,2,FALSE),""))</f>
        <v/>
      </c>
      <c r="Z1992" s="56">
        <f>IF($X1992="",1,IFERROR(VLOOKUP($X1992,'Char Popularity'!$A$2:$C$500,3,FALSE),1))</f>
        <v>1</v>
      </c>
      <c r="AA1992" s="62">
        <f>IF($H1992&lt;&gt;"Y",0,(IF($F1992&lt;&gt;"",ROUND(Dashboard!$R$4/$F1992,1),IF(AND($I1992="Base",$E1992="Base"),Dashboard!$R$5,IF(AND($I1992="Base",$E1992="Red"),Dashboard!$R$6,IF(AND($I1992="Base",$E1992="Gold"),Dashboard!$R$7,VLOOKUP($I1992,Dashboard!$Q$16:$R$21,2,FALSE)))))*VLOOKUP($I1992,Dashboard!$Q$9:$R$13,2,FALSE)*IF(AND($I1992="Auto",$F1992="",OR($B1992="Autographs Duals",$B1992="Autographs Triples",$B1992="Autographs Quads",$B1992="Autographs Quads (Inscribed)")),IF($B1992="Autographs Duals",2,IF($B1992="Autographs Triples",3,4)),1)))</f>
        <v>19.5</v>
      </c>
      <c r="AB1992" s="62">
        <f t="shared" si="414"/>
        <v>19.5</v>
      </c>
      <c r="AC1992" s="62">
        <f t="shared" si="415"/>
        <v>0</v>
      </c>
    </row>
    <row r="1993" spans="1:29" ht="30" customHeight="1" x14ac:dyDescent="0.25">
      <c r="A1993" s="4" t="s">
        <v>126</v>
      </c>
      <c r="B1993" s="7" t="s">
        <v>90</v>
      </c>
      <c r="C1993" s="2" t="s">
        <v>657</v>
      </c>
      <c r="D1993" s="7" t="s">
        <v>345</v>
      </c>
      <c r="E1993" s="4" t="s">
        <v>60</v>
      </c>
      <c r="F1993" s="2"/>
      <c r="G1993" s="2" t="s">
        <v>1399</v>
      </c>
      <c r="H1993" s="2" t="s">
        <v>1400</v>
      </c>
      <c r="I1993" s="4" t="s">
        <v>64</v>
      </c>
      <c r="J1993" s="112">
        <f>IF($H1993&lt;&gt;"Y",0,ROUND(MIN(Dashboard!$R$24,IF(IFERROR(VLOOKUP($B1993,Dashboard!$Q$28:$S$60,2,FALSE),0)&gt;0,IFERROR(VLOOKUP($B1993,Dashboard!$Q$28:$S$60,2,FALSE),0),$Z1993*IF($U1993&lt;&gt;"",ROUND((Dashboard!$R$4/$U1993)*VLOOKUP($I1993,Dashboard!$Q$9:$R$13,2,FALSE)*IF(ISNUMBER(SEARCH("Duals",$B1993)),2,IF(ISNUMBER(SEARCH("Triples",$B1993)),3,IF(ISNUMBER(SEARCH("Quads",$B1993)),4,1))),2),ROUND(VLOOKUP($I1993,Dashboard!$Q$15:$R$20,2,FALSE)*IF($E1993="Red",Dashboard!$R$6,IF($E1993="Gold",Dashboard!$R$7,Dashboard!$R$5))*IF(ISNUMBER(SEARCH("Duals",$B1993)),2,IF(ISNUMBER(SEARCH("Triples",$B1993)),3,IF(ISNUMBER(SEARCH("Quads",$B1993)),4,1))),2))*IF(IFERROR(VLOOKUP($B1993,Dashboard!$Q$28:$S$60,3,FALSE),0)&gt;0,VLOOKUP($B1993,Dashboard!$Q$28:$S$60,3,FALSE),1))),0))</f>
        <v>2</v>
      </c>
      <c r="K1993" s="2" t="str">
        <f>IF('Supes &amp; Supes SPs'!F30="","",'Supes &amp; Supes SPs'!F30)</f>
        <v>V</v>
      </c>
      <c r="L1993" s="2">
        <f t="shared" si="403"/>
        <v>1</v>
      </c>
      <c r="M1993" s="2">
        <f t="shared" si="404"/>
        <v>0</v>
      </c>
      <c r="N1993" s="2">
        <f t="shared" si="405"/>
        <v>1</v>
      </c>
      <c r="O1993" s="2">
        <f t="shared" si="406"/>
        <v>0</v>
      </c>
      <c r="P1993" s="112">
        <f t="shared" si="407"/>
        <v>2</v>
      </c>
      <c r="Q1993" s="112">
        <f t="shared" si="408"/>
        <v>0</v>
      </c>
      <c r="R1993" s="53"/>
      <c r="S1993" s="53" t="str">
        <f t="shared" si="409"/>
        <v>Lenticular &amp; SP|Supes|S3D-29|Base</v>
      </c>
      <c r="T1993" s="57">
        <f>IF($S1993="","",IFERROR(VLOOKUP($S1993,'Pop Estimates (Non-#d)'!$N$2:$O$500,2,FALSE),""))</f>
        <v>1140</v>
      </c>
      <c r="U1993" s="57">
        <f t="shared" si="410"/>
        <v>1140</v>
      </c>
      <c r="V1993" s="53" t="str">
        <f t="shared" si="411"/>
        <v/>
      </c>
      <c r="W1993" s="53" t="str">
        <f t="shared" si="412"/>
        <v/>
      </c>
      <c r="X1993" s="53" t="str">
        <f t="shared" si="413"/>
        <v/>
      </c>
      <c r="Y1993" s="57" t="str">
        <f>IF($X1993="","",IFERROR(VLOOKUP($X1993,'Char Popularity'!$A$2:$C$500,2,FALSE),""))</f>
        <v/>
      </c>
      <c r="Z1993" s="56">
        <f>IF($X1993="",1,IFERROR(VLOOKUP($X1993,'Char Popularity'!$A$2:$C$500,3,FALSE),1))</f>
        <v>1</v>
      </c>
      <c r="AA1993" s="62">
        <f>IF($H1993&lt;&gt;"Y",0,(IF($F1993&lt;&gt;"",ROUND(Dashboard!$R$4/$F1993,1),IF(AND($I1993="Base",$E1993="Base"),Dashboard!$R$5,IF(AND($I1993="Base",$E1993="Red"),Dashboard!$R$6,IF(AND($I1993="Base",$E1993="Gold"),Dashboard!$R$7,VLOOKUP($I1993,Dashboard!$Q$16:$R$21,2,FALSE)))))*VLOOKUP($I1993,Dashboard!$Q$9:$R$13,2,FALSE)*IF(AND($I1993="Auto",$F1993="",OR($B1993="Autographs Duals",$B1993="Autographs Triples",$B1993="Autographs Quads",$B1993="Autographs Quads (Inscribed)")),IF($B1993="Autographs Duals",2,IF($B1993="Autographs Triples",3,4)),1)))</f>
        <v>19.5</v>
      </c>
      <c r="AB1993" s="62">
        <f t="shared" si="414"/>
        <v>19.5</v>
      </c>
      <c r="AC1993" s="62">
        <f t="shared" si="415"/>
        <v>0</v>
      </c>
    </row>
    <row r="1994" spans="1:29" ht="30" customHeight="1" x14ac:dyDescent="0.25">
      <c r="A1994" s="4" t="s">
        <v>126</v>
      </c>
      <c r="B1994" s="7" t="s">
        <v>90</v>
      </c>
      <c r="C1994" s="2" t="s">
        <v>658</v>
      </c>
      <c r="D1994" s="7" t="s">
        <v>341</v>
      </c>
      <c r="E1994" s="4" t="s">
        <v>60</v>
      </c>
      <c r="F1994" s="2"/>
      <c r="G1994" s="2" t="s">
        <v>1399</v>
      </c>
      <c r="H1994" s="2" t="s">
        <v>1400</v>
      </c>
      <c r="I1994" s="4" t="s">
        <v>64</v>
      </c>
      <c r="J1994" s="112">
        <f>IF($H1994&lt;&gt;"Y",0,ROUND(MIN(Dashboard!$R$24,IF(IFERROR(VLOOKUP($B1994,Dashboard!$Q$28:$S$60,2,FALSE),0)&gt;0,IFERROR(VLOOKUP($B1994,Dashboard!$Q$28:$S$60,2,FALSE),0),$Z1994*IF($U1994&lt;&gt;"",ROUND((Dashboard!$R$4/$U1994)*VLOOKUP($I1994,Dashboard!$Q$9:$R$13,2,FALSE)*IF(ISNUMBER(SEARCH("Duals",$B1994)),2,IF(ISNUMBER(SEARCH("Triples",$B1994)),3,IF(ISNUMBER(SEARCH("Quads",$B1994)),4,1))),2),ROUND(VLOOKUP($I1994,Dashboard!$Q$15:$R$20,2,FALSE)*IF($E1994="Red",Dashboard!$R$6,IF($E1994="Gold",Dashboard!$R$7,Dashboard!$R$5))*IF(ISNUMBER(SEARCH("Duals",$B1994)),2,IF(ISNUMBER(SEARCH("Triples",$B1994)),3,IF(ISNUMBER(SEARCH("Quads",$B1994)),4,1))),2))*IF(IFERROR(VLOOKUP($B1994,Dashboard!$Q$28:$S$60,3,FALSE),0)&gt;0,VLOOKUP($B1994,Dashboard!$Q$28:$S$60,3,FALSE),1))),0))</f>
        <v>2</v>
      </c>
      <c r="K1994" s="2" t="str">
        <f>IF('Supes &amp; Supes SPs'!F28="","",'Supes &amp; Supes SPs'!F28)</f>
        <v>V</v>
      </c>
      <c r="L1994" s="2">
        <f t="shared" si="403"/>
        <v>1</v>
      </c>
      <c r="M1994" s="2">
        <f t="shared" si="404"/>
        <v>0</v>
      </c>
      <c r="N1994" s="2">
        <f t="shared" si="405"/>
        <v>1</v>
      </c>
      <c r="O1994" s="2">
        <f t="shared" si="406"/>
        <v>0</v>
      </c>
      <c r="P1994" s="112">
        <f t="shared" si="407"/>
        <v>2</v>
      </c>
      <c r="Q1994" s="112">
        <f t="shared" si="408"/>
        <v>0</v>
      </c>
      <c r="R1994" s="53"/>
      <c r="S1994" s="53" t="str">
        <f t="shared" si="409"/>
        <v>Lenticular &amp; SP|Supes|S3D-3|Base</v>
      </c>
      <c r="T1994" s="57">
        <f>IF($S1994="","",IFERROR(VLOOKUP($S1994,'Pop Estimates (Non-#d)'!$N$2:$O$500,2,FALSE),""))</f>
        <v>1140</v>
      </c>
      <c r="U1994" s="57">
        <f t="shared" si="410"/>
        <v>1140</v>
      </c>
      <c r="V1994" s="53" t="str">
        <f t="shared" si="411"/>
        <v/>
      </c>
      <c r="W1994" s="53" t="str">
        <f t="shared" si="412"/>
        <v/>
      </c>
      <c r="X1994" s="53" t="str">
        <f t="shared" si="413"/>
        <v/>
      </c>
      <c r="Y1994" s="57" t="str">
        <f>IF($X1994="","",IFERROR(VLOOKUP($X1994,'Char Popularity'!$A$2:$C$500,2,FALSE),""))</f>
        <v/>
      </c>
      <c r="Z1994" s="56">
        <f>IF($X1994="",1,IFERROR(VLOOKUP($X1994,'Char Popularity'!$A$2:$C$500,3,FALSE),1))</f>
        <v>1</v>
      </c>
      <c r="AA1994" s="62">
        <f>IF($H1994&lt;&gt;"Y",0,(IF($F1994&lt;&gt;"",ROUND(Dashboard!$R$4/$F1994,1),IF(AND($I1994="Base",$E1994="Base"),Dashboard!$R$5,IF(AND($I1994="Base",$E1994="Red"),Dashboard!$R$6,IF(AND($I1994="Base",$E1994="Gold"),Dashboard!$R$7,VLOOKUP($I1994,Dashboard!$Q$16:$R$21,2,FALSE)))))*VLOOKUP($I1994,Dashboard!$Q$9:$R$13,2,FALSE)*IF(AND($I1994="Auto",$F1994="",OR($B1994="Autographs Duals",$B1994="Autographs Triples",$B1994="Autographs Quads",$B1994="Autographs Quads (Inscribed)")),IF($B1994="Autographs Duals",2,IF($B1994="Autographs Triples",3,4)),1)))</f>
        <v>19.5</v>
      </c>
      <c r="AB1994" s="62">
        <f t="shared" si="414"/>
        <v>19.5</v>
      </c>
      <c r="AC1994" s="62">
        <f t="shared" si="415"/>
        <v>0</v>
      </c>
    </row>
    <row r="1995" spans="1:29" ht="30" customHeight="1" x14ac:dyDescent="0.25">
      <c r="A1995" s="4" t="s">
        <v>126</v>
      </c>
      <c r="B1995" s="7" t="s">
        <v>90</v>
      </c>
      <c r="C1995" s="2" t="s">
        <v>659</v>
      </c>
      <c r="D1995" s="7" t="s">
        <v>347</v>
      </c>
      <c r="E1995" s="4" t="s">
        <v>60</v>
      </c>
      <c r="F1995" s="2"/>
      <c r="G1995" s="2" t="s">
        <v>1399</v>
      </c>
      <c r="H1995" s="2" t="s">
        <v>1400</v>
      </c>
      <c r="I1995" s="4" t="s">
        <v>64</v>
      </c>
      <c r="J1995" s="112">
        <f>IF($H1995&lt;&gt;"Y",0,ROUND(MIN(Dashboard!$R$24,IF(IFERROR(VLOOKUP($B1995,Dashboard!$Q$28:$S$60,2,FALSE),0)&gt;0,IFERROR(VLOOKUP($B1995,Dashboard!$Q$28:$S$60,2,FALSE),0),$Z1995*IF($U1995&lt;&gt;"",ROUND((Dashboard!$R$4/$U1995)*VLOOKUP($I1995,Dashboard!$Q$9:$R$13,2,FALSE)*IF(ISNUMBER(SEARCH("Duals",$B1995)),2,IF(ISNUMBER(SEARCH("Triples",$B1995)),3,IF(ISNUMBER(SEARCH("Quads",$B1995)),4,1))),2),ROUND(VLOOKUP($I1995,Dashboard!$Q$15:$R$20,2,FALSE)*IF($E1995="Red",Dashboard!$R$6,IF($E1995="Gold",Dashboard!$R$7,Dashboard!$R$5))*IF(ISNUMBER(SEARCH("Duals",$B1995)),2,IF(ISNUMBER(SEARCH("Triples",$B1995)),3,IF(ISNUMBER(SEARCH("Quads",$B1995)),4,1))),2))*IF(IFERROR(VLOOKUP($B1995,Dashboard!$Q$28:$S$60,3,FALSE),0)&gt;0,VLOOKUP($B1995,Dashboard!$Q$28:$S$60,3,FALSE),1))),0))</f>
        <v>2</v>
      </c>
      <c r="K1995" s="2" t="str">
        <f>IF('Supes &amp; Supes SPs'!F31="","",'Supes &amp; Supes SPs'!F31)</f>
        <v>V</v>
      </c>
      <c r="L1995" s="2">
        <f t="shared" si="403"/>
        <v>1</v>
      </c>
      <c r="M1995" s="2">
        <f t="shared" si="404"/>
        <v>0</v>
      </c>
      <c r="N1995" s="2">
        <f t="shared" si="405"/>
        <v>1</v>
      </c>
      <c r="O1995" s="2">
        <f t="shared" si="406"/>
        <v>0</v>
      </c>
      <c r="P1995" s="112">
        <f t="shared" si="407"/>
        <v>2</v>
      </c>
      <c r="Q1995" s="112">
        <f t="shared" si="408"/>
        <v>0</v>
      </c>
      <c r="R1995" s="53"/>
      <c r="S1995" s="53" t="str">
        <f t="shared" si="409"/>
        <v>Lenticular &amp; SP|Supes|S3D-30|Base</v>
      </c>
      <c r="T1995" s="57">
        <f>IF($S1995="","",IFERROR(VLOOKUP($S1995,'Pop Estimates (Non-#d)'!$N$2:$O$500,2,FALSE),""))</f>
        <v>1140</v>
      </c>
      <c r="U1995" s="57">
        <f t="shared" si="410"/>
        <v>1140</v>
      </c>
      <c r="V1995" s="53" t="str">
        <f t="shared" si="411"/>
        <v/>
      </c>
      <c r="W1995" s="53" t="str">
        <f t="shared" si="412"/>
        <v/>
      </c>
      <c r="X1995" s="53" t="str">
        <f t="shared" si="413"/>
        <v/>
      </c>
      <c r="Y1995" s="57" t="str">
        <f>IF($X1995="","",IFERROR(VLOOKUP($X1995,'Char Popularity'!$A$2:$C$500,2,FALSE),""))</f>
        <v/>
      </c>
      <c r="Z1995" s="56">
        <f>IF($X1995="",1,IFERROR(VLOOKUP($X1995,'Char Popularity'!$A$2:$C$500,3,FALSE),1))</f>
        <v>1</v>
      </c>
      <c r="AA1995" s="62">
        <f>IF($H1995&lt;&gt;"Y",0,(IF($F1995&lt;&gt;"",ROUND(Dashboard!$R$4/$F1995,1),IF(AND($I1995="Base",$E1995="Base"),Dashboard!$R$5,IF(AND($I1995="Base",$E1995="Red"),Dashboard!$R$6,IF(AND($I1995="Base",$E1995="Gold"),Dashboard!$R$7,VLOOKUP($I1995,Dashboard!$Q$16:$R$21,2,FALSE)))))*VLOOKUP($I1995,Dashboard!$Q$9:$R$13,2,FALSE)*IF(AND($I1995="Auto",$F1995="",OR($B1995="Autographs Duals",$B1995="Autographs Triples",$B1995="Autographs Quads",$B1995="Autographs Quads (Inscribed)")),IF($B1995="Autographs Duals",2,IF($B1995="Autographs Triples",3,4)),1)))</f>
        <v>19.5</v>
      </c>
      <c r="AB1995" s="62">
        <f t="shared" si="414"/>
        <v>19.5</v>
      </c>
      <c r="AC1995" s="62">
        <f t="shared" si="415"/>
        <v>0</v>
      </c>
    </row>
    <row r="1996" spans="1:29" ht="30" customHeight="1" x14ac:dyDescent="0.25">
      <c r="A1996" s="4" t="s">
        <v>126</v>
      </c>
      <c r="B1996" s="7" t="s">
        <v>90</v>
      </c>
      <c r="C1996" s="2" t="s">
        <v>660</v>
      </c>
      <c r="D1996" s="7" t="s">
        <v>341</v>
      </c>
      <c r="E1996" s="4" t="s">
        <v>60</v>
      </c>
      <c r="F1996" s="2"/>
      <c r="G1996" s="2" t="s">
        <v>1399</v>
      </c>
      <c r="H1996" s="2" t="s">
        <v>1400</v>
      </c>
      <c r="I1996" s="4" t="s">
        <v>64</v>
      </c>
      <c r="J1996" s="112">
        <f>IF($H1996&lt;&gt;"Y",0,ROUND(MIN(Dashboard!$R$24,IF(IFERROR(VLOOKUP($B1996,Dashboard!$Q$28:$S$60,2,FALSE),0)&gt;0,IFERROR(VLOOKUP($B1996,Dashboard!$Q$28:$S$60,2,FALSE),0),$Z1996*IF($U1996&lt;&gt;"",ROUND((Dashboard!$R$4/$U1996)*VLOOKUP($I1996,Dashboard!$Q$9:$R$13,2,FALSE)*IF(ISNUMBER(SEARCH("Duals",$B1996)),2,IF(ISNUMBER(SEARCH("Triples",$B1996)),3,IF(ISNUMBER(SEARCH("Quads",$B1996)),4,1))),2),ROUND(VLOOKUP($I1996,Dashboard!$Q$15:$R$20,2,FALSE)*IF($E1996="Red",Dashboard!$R$6,IF($E1996="Gold",Dashboard!$R$7,Dashboard!$R$5))*IF(ISNUMBER(SEARCH("Duals",$B1996)),2,IF(ISNUMBER(SEARCH("Triples",$B1996)),3,IF(ISNUMBER(SEARCH("Quads",$B1996)),4,1))),2))*IF(IFERROR(VLOOKUP($B1996,Dashboard!$Q$28:$S$60,3,FALSE),0)&gt;0,VLOOKUP($B1996,Dashboard!$Q$28:$S$60,3,FALSE),1))),0))</f>
        <v>2</v>
      </c>
      <c r="K1996" s="2" t="str">
        <f>IF('Supes &amp; Supes SPs'!F27="","",'Supes &amp; Supes SPs'!F27)</f>
        <v>V</v>
      </c>
      <c r="L1996" s="2">
        <f t="shared" si="403"/>
        <v>1</v>
      </c>
      <c r="M1996" s="2">
        <f t="shared" si="404"/>
        <v>0</v>
      </c>
      <c r="N1996" s="2">
        <f t="shared" si="405"/>
        <v>1</v>
      </c>
      <c r="O1996" s="2">
        <f t="shared" si="406"/>
        <v>0</v>
      </c>
      <c r="P1996" s="112">
        <f t="shared" si="407"/>
        <v>2</v>
      </c>
      <c r="Q1996" s="112">
        <f t="shared" si="408"/>
        <v>0</v>
      </c>
      <c r="R1996" s="53"/>
      <c r="S1996" s="53" t="str">
        <f t="shared" si="409"/>
        <v>Lenticular &amp; SP|Supes|S3D-4|Base</v>
      </c>
      <c r="T1996" s="57">
        <f>IF($S1996="","",IFERROR(VLOOKUP($S1996,'Pop Estimates (Non-#d)'!$N$2:$O$500,2,FALSE),""))</f>
        <v>1140</v>
      </c>
      <c r="U1996" s="57">
        <f t="shared" si="410"/>
        <v>1140</v>
      </c>
      <c r="V1996" s="53" t="str">
        <f t="shared" si="411"/>
        <v/>
      </c>
      <c r="W1996" s="53" t="str">
        <f t="shared" si="412"/>
        <v/>
      </c>
      <c r="X1996" s="53" t="str">
        <f t="shared" si="413"/>
        <v/>
      </c>
      <c r="Y1996" s="57" t="str">
        <f>IF($X1996="","",IFERROR(VLOOKUP($X1996,'Char Popularity'!$A$2:$C$500,2,FALSE),""))</f>
        <v/>
      </c>
      <c r="Z1996" s="56">
        <f>IF($X1996="",1,IFERROR(VLOOKUP($X1996,'Char Popularity'!$A$2:$C$500,3,FALSE),1))</f>
        <v>1</v>
      </c>
      <c r="AA1996" s="62">
        <f>IF($H1996&lt;&gt;"Y",0,(IF($F1996&lt;&gt;"",ROUND(Dashboard!$R$4/$F1996,1),IF(AND($I1996="Base",$E1996="Base"),Dashboard!$R$5,IF(AND($I1996="Base",$E1996="Red"),Dashboard!$R$6,IF(AND($I1996="Base",$E1996="Gold"),Dashboard!$R$7,VLOOKUP($I1996,Dashboard!$Q$16:$R$21,2,FALSE)))))*VLOOKUP($I1996,Dashboard!$Q$9:$R$13,2,FALSE)*IF(AND($I1996="Auto",$F1996="",OR($B1996="Autographs Duals",$B1996="Autographs Triples",$B1996="Autographs Quads",$B1996="Autographs Quads (Inscribed)")),IF($B1996="Autographs Duals",2,IF($B1996="Autographs Triples",3,4)),1)))</f>
        <v>19.5</v>
      </c>
      <c r="AB1996" s="62">
        <f t="shared" si="414"/>
        <v>19.5</v>
      </c>
      <c r="AC1996" s="62">
        <f t="shared" si="415"/>
        <v>0</v>
      </c>
    </row>
    <row r="1997" spans="1:29" ht="30" customHeight="1" x14ac:dyDescent="0.25">
      <c r="A1997" s="4" t="s">
        <v>126</v>
      </c>
      <c r="B1997" s="7" t="s">
        <v>90</v>
      </c>
      <c r="C1997" s="2" t="s">
        <v>661</v>
      </c>
      <c r="D1997" s="7" t="s">
        <v>458</v>
      </c>
      <c r="E1997" s="4" t="s">
        <v>60</v>
      </c>
      <c r="F1997" s="2"/>
      <c r="G1997" s="2" t="s">
        <v>1399</v>
      </c>
      <c r="H1997" s="2" t="s">
        <v>1400</v>
      </c>
      <c r="I1997" s="4" t="s">
        <v>64</v>
      </c>
      <c r="J1997" s="112">
        <f>IF($H1997&lt;&gt;"Y",0,ROUND(MIN(Dashboard!$R$24,IF(IFERROR(VLOOKUP($B1997,Dashboard!$Q$28:$S$60,2,FALSE),0)&gt;0,IFERROR(VLOOKUP($B1997,Dashboard!$Q$28:$S$60,2,FALSE),0),$Z1997*IF($U1997&lt;&gt;"",ROUND((Dashboard!$R$4/$U1997)*VLOOKUP($I1997,Dashboard!$Q$9:$R$13,2,FALSE)*IF(ISNUMBER(SEARCH("Duals",$B1997)),2,IF(ISNUMBER(SEARCH("Triples",$B1997)),3,IF(ISNUMBER(SEARCH("Quads",$B1997)),4,1))),2),ROUND(VLOOKUP($I1997,Dashboard!$Q$15:$R$20,2,FALSE)*IF($E1997="Red",Dashboard!$R$6,IF($E1997="Gold",Dashboard!$R$7,Dashboard!$R$5))*IF(ISNUMBER(SEARCH("Duals",$B1997)),2,IF(ISNUMBER(SEARCH("Triples",$B1997)),3,IF(ISNUMBER(SEARCH("Quads",$B1997)),4,1))),2))*IF(IFERROR(VLOOKUP($B1997,Dashboard!$Q$28:$S$60,3,FALSE),0)&gt;0,VLOOKUP($B1997,Dashboard!$Q$28:$S$60,3,FALSE),1))),0))</f>
        <v>2</v>
      </c>
      <c r="K1997" s="2" t="str">
        <f>IF('Supes &amp; Supes SPs'!F26="","",'Supes &amp; Supes SPs'!F26)</f>
        <v>V</v>
      </c>
      <c r="L1997" s="2">
        <f t="shared" si="403"/>
        <v>1</v>
      </c>
      <c r="M1997" s="2">
        <f t="shared" si="404"/>
        <v>0</v>
      </c>
      <c r="N1997" s="2">
        <f t="shared" si="405"/>
        <v>1</v>
      </c>
      <c r="O1997" s="2">
        <f t="shared" si="406"/>
        <v>0</v>
      </c>
      <c r="P1997" s="112">
        <f t="shared" si="407"/>
        <v>2</v>
      </c>
      <c r="Q1997" s="112">
        <f t="shared" si="408"/>
        <v>0</v>
      </c>
      <c r="R1997" s="53"/>
      <c r="S1997" s="53" t="str">
        <f t="shared" si="409"/>
        <v>Lenticular &amp; SP|Supes|S3D-5|Base</v>
      </c>
      <c r="T1997" s="57">
        <f>IF($S1997="","",IFERROR(VLOOKUP($S1997,'Pop Estimates (Non-#d)'!$N$2:$O$500,2,FALSE),""))</f>
        <v>1140</v>
      </c>
      <c r="U1997" s="57">
        <f t="shared" si="410"/>
        <v>1140</v>
      </c>
      <c r="V1997" s="53" t="str">
        <f t="shared" si="411"/>
        <v/>
      </c>
      <c r="W1997" s="53" t="str">
        <f t="shared" si="412"/>
        <v/>
      </c>
      <c r="X1997" s="53" t="str">
        <f t="shared" si="413"/>
        <v/>
      </c>
      <c r="Y1997" s="57" t="str">
        <f>IF($X1997="","",IFERROR(VLOOKUP($X1997,'Char Popularity'!$A$2:$C$500,2,FALSE),""))</f>
        <v/>
      </c>
      <c r="Z1997" s="56">
        <f>IF($X1997="",1,IFERROR(VLOOKUP($X1997,'Char Popularity'!$A$2:$C$500,3,FALSE),1))</f>
        <v>1</v>
      </c>
      <c r="AA1997" s="62">
        <f>IF($H1997&lt;&gt;"Y",0,(IF($F1997&lt;&gt;"",ROUND(Dashboard!$R$4/$F1997,1),IF(AND($I1997="Base",$E1997="Base"),Dashboard!$R$5,IF(AND($I1997="Base",$E1997="Red"),Dashboard!$R$6,IF(AND($I1997="Base",$E1997="Gold"),Dashboard!$R$7,VLOOKUP($I1997,Dashboard!$Q$16:$R$21,2,FALSE)))))*VLOOKUP($I1997,Dashboard!$Q$9:$R$13,2,FALSE)*IF(AND($I1997="Auto",$F1997="",OR($B1997="Autographs Duals",$B1997="Autographs Triples",$B1997="Autographs Quads",$B1997="Autographs Quads (Inscribed)")),IF($B1997="Autographs Duals",2,IF($B1997="Autographs Triples",3,4)),1)))</f>
        <v>19.5</v>
      </c>
      <c r="AB1997" s="62">
        <f t="shared" si="414"/>
        <v>19.5</v>
      </c>
      <c r="AC1997" s="62">
        <f t="shared" si="415"/>
        <v>0</v>
      </c>
    </row>
    <row r="1998" spans="1:29" ht="30" customHeight="1" x14ac:dyDescent="0.25">
      <c r="A1998" s="4" t="s">
        <v>126</v>
      </c>
      <c r="B1998" s="7" t="s">
        <v>90</v>
      </c>
      <c r="C1998" s="2" t="s">
        <v>662</v>
      </c>
      <c r="D1998" s="7" t="s">
        <v>347</v>
      </c>
      <c r="E1998" s="4" t="s">
        <v>60</v>
      </c>
      <c r="F1998" s="2"/>
      <c r="G1998" s="2" t="s">
        <v>1399</v>
      </c>
      <c r="H1998" s="2" t="s">
        <v>1400</v>
      </c>
      <c r="I1998" s="4" t="s">
        <v>64</v>
      </c>
      <c r="J1998" s="112">
        <f>IF($H1998&lt;&gt;"Y",0,ROUND(MIN(Dashboard!$R$24,IF(IFERROR(VLOOKUP($B1998,Dashboard!$Q$28:$S$60,2,FALSE),0)&gt;0,IFERROR(VLOOKUP($B1998,Dashboard!$Q$28:$S$60,2,FALSE),0),$Z1998*IF($U1998&lt;&gt;"",ROUND((Dashboard!$R$4/$U1998)*VLOOKUP($I1998,Dashboard!$Q$9:$R$13,2,FALSE)*IF(ISNUMBER(SEARCH("Duals",$B1998)),2,IF(ISNUMBER(SEARCH("Triples",$B1998)),3,IF(ISNUMBER(SEARCH("Quads",$B1998)),4,1))),2),ROUND(VLOOKUP($I1998,Dashboard!$Q$15:$R$20,2,FALSE)*IF($E1998="Red",Dashboard!$R$6,IF($E1998="Gold",Dashboard!$R$7,Dashboard!$R$5))*IF(ISNUMBER(SEARCH("Duals",$B1998)),2,IF(ISNUMBER(SEARCH("Triples",$B1998)),3,IF(ISNUMBER(SEARCH("Quads",$B1998)),4,1))),2))*IF(IFERROR(VLOOKUP($B1998,Dashboard!$Q$28:$S$60,3,FALSE),0)&gt;0,VLOOKUP($B1998,Dashboard!$Q$28:$S$60,3,FALSE),1))),0))</f>
        <v>2</v>
      </c>
      <c r="K1998" s="2" t="str">
        <f>IF('Supes &amp; Supes SPs'!F25="","",'Supes &amp; Supes SPs'!F25)</f>
        <v>V</v>
      </c>
      <c r="L1998" s="2">
        <f t="shared" si="403"/>
        <v>1</v>
      </c>
      <c r="M1998" s="2">
        <f t="shared" si="404"/>
        <v>0</v>
      </c>
      <c r="N1998" s="2">
        <f t="shared" si="405"/>
        <v>1</v>
      </c>
      <c r="O1998" s="2">
        <f t="shared" si="406"/>
        <v>0</v>
      </c>
      <c r="P1998" s="112">
        <f t="shared" si="407"/>
        <v>2</v>
      </c>
      <c r="Q1998" s="112">
        <f t="shared" si="408"/>
        <v>0</v>
      </c>
      <c r="R1998" s="53"/>
      <c r="S1998" s="53" t="str">
        <f t="shared" si="409"/>
        <v>Lenticular &amp; SP|Supes|S3D-6|Base</v>
      </c>
      <c r="T1998" s="57">
        <f>IF($S1998="","",IFERROR(VLOOKUP($S1998,'Pop Estimates (Non-#d)'!$N$2:$O$500,2,FALSE),""))</f>
        <v>1140</v>
      </c>
      <c r="U1998" s="57">
        <f t="shared" si="410"/>
        <v>1140</v>
      </c>
      <c r="V1998" s="53" t="str">
        <f t="shared" si="411"/>
        <v/>
      </c>
      <c r="W1998" s="53" t="str">
        <f t="shared" si="412"/>
        <v/>
      </c>
      <c r="X1998" s="53" t="str">
        <f t="shared" si="413"/>
        <v/>
      </c>
      <c r="Y1998" s="57" t="str">
        <f>IF($X1998="","",IFERROR(VLOOKUP($X1998,'Char Popularity'!$A$2:$C$500,2,FALSE),""))</f>
        <v/>
      </c>
      <c r="Z1998" s="56">
        <f>IF($X1998="",1,IFERROR(VLOOKUP($X1998,'Char Popularity'!$A$2:$C$500,3,FALSE),1))</f>
        <v>1</v>
      </c>
      <c r="AA1998" s="62">
        <f>IF($H1998&lt;&gt;"Y",0,(IF($F1998&lt;&gt;"",ROUND(Dashboard!$R$4/$F1998,1),IF(AND($I1998="Base",$E1998="Base"),Dashboard!$R$5,IF(AND($I1998="Base",$E1998="Red"),Dashboard!$R$6,IF(AND($I1998="Base",$E1998="Gold"),Dashboard!$R$7,VLOOKUP($I1998,Dashboard!$Q$16:$R$21,2,FALSE)))))*VLOOKUP($I1998,Dashboard!$Q$9:$R$13,2,FALSE)*IF(AND($I1998="Auto",$F1998="",OR($B1998="Autographs Duals",$B1998="Autographs Triples",$B1998="Autographs Quads",$B1998="Autographs Quads (Inscribed)")),IF($B1998="Autographs Duals",2,IF($B1998="Autographs Triples",3,4)),1)))</f>
        <v>19.5</v>
      </c>
      <c r="AB1998" s="62">
        <f t="shared" si="414"/>
        <v>19.5</v>
      </c>
      <c r="AC1998" s="62">
        <f t="shared" si="415"/>
        <v>0</v>
      </c>
    </row>
    <row r="1999" spans="1:29" ht="30" customHeight="1" x14ac:dyDescent="0.25">
      <c r="A1999" s="4" t="s">
        <v>126</v>
      </c>
      <c r="B1999" s="7" t="s">
        <v>90</v>
      </c>
      <c r="C1999" s="2" t="s">
        <v>663</v>
      </c>
      <c r="D1999" s="7" t="s">
        <v>339</v>
      </c>
      <c r="E1999" s="4" t="s">
        <v>60</v>
      </c>
      <c r="F1999" s="2"/>
      <c r="G1999" s="2" t="s">
        <v>1399</v>
      </c>
      <c r="H1999" s="2" t="s">
        <v>1400</v>
      </c>
      <c r="I1999" s="4" t="s">
        <v>64</v>
      </c>
      <c r="J1999" s="112">
        <f>IF($H1999&lt;&gt;"Y",0,ROUND(MIN(Dashboard!$R$24,IF(IFERROR(VLOOKUP($B1999,Dashboard!$Q$28:$S$60,2,FALSE),0)&gt;0,IFERROR(VLOOKUP($B1999,Dashboard!$Q$28:$S$60,2,FALSE),0),$Z1999*IF($U1999&lt;&gt;"",ROUND((Dashboard!$R$4/$U1999)*VLOOKUP($I1999,Dashboard!$Q$9:$R$13,2,FALSE)*IF(ISNUMBER(SEARCH("Duals",$B1999)),2,IF(ISNUMBER(SEARCH("Triples",$B1999)),3,IF(ISNUMBER(SEARCH("Quads",$B1999)),4,1))),2),ROUND(VLOOKUP($I1999,Dashboard!$Q$15:$R$20,2,FALSE)*IF($E1999="Red",Dashboard!$R$6,IF($E1999="Gold",Dashboard!$R$7,Dashboard!$R$5))*IF(ISNUMBER(SEARCH("Duals",$B1999)),2,IF(ISNUMBER(SEARCH("Triples",$B1999)),3,IF(ISNUMBER(SEARCH("Quads",$B1999)),4,1))),2))*IF(IFERROR(VLOOKUP($B1999,Dashboard!$Q$28:$S$60,3,FALSE),0)&gt;0,VLOOKUP($B1999,Dashboard!$Q$28:$S$60,3,FALSE),1))),0))</f>
        <v>2</v>
      </c>
      <c r="K1999" s="2" t="str">
        <f>IF('Supes &amp; Supes SPs'!F24="","",'Supes &amp; Supes SPs'!F24)</f>
        <v>V</v>
      </c>
      <c r="L1999" s="2">
        <f t="shared" si="403"/>
        <v>1</v>
      </c>
      <c r="M1999" s="2">
        <f t="shared" si="404"/>
        <v>0</v>
      </c>
      <c r="N1999" s="2">
        <f t="shared" si="405"/>
        <v>1</v>
      </c>
      <c r="O1999" s="2">
        <f t="shared" si="406"/>
        <v>0</v>
      </c>
      <c r="P1999" s="112">
        <f t="shared" si="407"/>
        <v>2</v>
      </c>
      <c r="Q1999" s="112">
        <f t="shared" si="408"/>
        <v>0</v>
      </c>
      <c r="R1999" s="53"/>
      <c r="S1999" s="53" t="str">
        <f t="shared" si="409"/>
        <v>Lenticular &amp; SP|Supes|S3D-7|Base</v>
      </c>
      <c r="T1999" s="57">
        <f>IF($S1999="","",IFERROR(VLOOKUP($S1999,'Pop Estimates (Non-#d)'!$N$2:$O$500,2,FALSE),""))</f>
        <v>1140</v>
      </c>
      <c r="U1999" s="57">
        <f t="shared" si="410"/>
        <v>1140</v>
      </c>
      <c r="V1999" s="53" t="str">
        <f t="shared" si="411"/>
        <v/>
      </c>
      <c r="W1999" s="53" t="str">
        <f t="shared" si="412"/>
        <v/>
      </c>
      <c r="X1999" s="53" t="str">
        <f t="shared" si="413"/>
        <v/>
      </c>
      <c r="Y1999" s="57" t="str">
        <f>IF($X1999="","",IFERROR(VLOOKUP($X1999,'Char Popularity'!$A$2:$C$500,2,FALSE),""))</f>
        <v/>
      </c>
      <c r="Z1999" s="56">
        <f>IF($X1999="",1,IFERROR(VLOOKUP($X1999,'Char Popularity'!$A$2:$C$500,3,FALSE),1))</f>
        <v>1</v>
      </c>
      <c r="AA1999" s="62">
        <f>IF($H1999&lt;&gt;"Y",0,(IF($F1999&lt;&gt;"",ROUND(Dashboard!$R$4/$F1999,1),IF(AND($I1999="Base",$E1999="Base"),Dashboard!$R$5,IF(AND($I1999="Base",$E1999="Red"),Dashboard!$R$6,IF(AND($I1999="Base",$E1999="Gold"),Dashboard!$R$7,VLOOKUP($I1999,Dashboard!$Q$16:$R$21,2,FALSE)))))*VLOOKUP($I1999,Dashboard!$Q$9:$R$13,2,FALSE)*IF(AND($I1999="Auto",$F1999="",OR($B1999="Autographs Duals",$B1999="Autographs Triples",$B1999="Autographs Quads",$B1999="Autographs Quads (Inscribed)")),IF($B1999="Autographs Duals",2,IF($B1999="Autographs Triples",3,4)),1)))</f>
        <v>19.5</v>
      </c>
      <c r="AB1999" s="62">
        <f t="shared" si="414"/>
        <v>19.5</v>
      </c>
      <c r="AC1999" s="62">
        <f t="shared" si="415"/>
        <v>0</v>
      </c>
    </row>
    <row r="2000" spans="1:29" ht="30" customHeight="1" x14ac:dyDescent="0.25">
      <c r="A2000" s="4" t="s">
        <v>126</v>
      </c>
      <c r="B2000" s="7" t="s">
        <v>90</v>
      </c>
      <c r="C2000" s="2" t="s">
        <v>664</v>
      </c>
      <c r="D2000" s="7" t="s">
        <v>352</v>
      </c>
      <c r="E2000" s="4" t="s">
        <v>60</v>
      </c>
      <c r="F2000" s="2"/>
      <c r="G2000" s="2" t="s">
        <v>1399</v>
      </c>
      <c r="H2000" s="2" t="s">
        <v>1400</v>
      </c>
      <c r="I2000" s="4" t="s">
        <v>64</v>
      </c>
      <c r="J2000" s="112">
        <f>IF($H2000&lt;&gt;"Y",0,ROUND(MIN(Dashboard!$R$24,IF(IFERROR(VLOOKUP($B2000,Dashboard!$Q$28:$S$60,2,FALSE),0)&gt;0,IFERROR(VLOOKUP($B2000,Dashboard!$Q$28:$S$60,2,FALSE),0),$Z2000*IF($U2000&lt;&gt;"",ROUND((Dashboard!$R$4/$U2000)*VLOOKUP($I2000,Dashboard!$Q$9:$R$13,2,FALSE)*IF(ISNUMBER(SEARCH("Duals",$B2000)),2,IF(ISNUMBER(SEARCH("Triples",$B2000)),3,IF(ISNUMBER(SEARCH("Quads",$B2000)),4,1))),2),ROUND(VLOOKUP($I2000,Dashboard!$Q$15:$R$20,2,FALSE)*IF($E2000="Red",Dashboard!$R$6,IF($E2000="Gold",Dashboard!$R$7,Dashboard!$R$5))*IF(ISNUMBER(SEARCH("Duals",$B2000)),2,IF(ISNUMBER(SEARCH("Triples",$B2000)),3,IF(ISNUMBER(SEARCH("Quads",$B2000)),4,1))),2))*IF(IFERROR(VLOOKUP($B2000,Dashboard!$Q$28:$S$60,3,FALSE),0)&gt;0,VLOOKUP($B2000,Dashboard!$Q$28:$S$60,3,FALSE),1))),0))</f>
        <v>2</v>
      </c>
      <c r="K2000" s="2" t="str">
        <f>IF('Supes &amp; Supes SPs'!F23="","",'Supes &amp; Supes SPs'!F23)</f>
        <v>V</v>
      </c>
      <c r="L2000" s="2">
        <f t="shared" si="403"/>
        <v>1</v>
      </c>
      <c r="M2000" s="2">
        <f t="shared" si="404"/>
        <v>0</v>
      </c>
      <c r="N2000" s="2">
        <f t="shared" si="405"/>
        <v>1</v>
      </c>
      <c r="O2000" s="2">
        <f t="shared" si="406"/>
        <v>0</v>
      </c>
      <c r="P2000" s="112">
        <f t="shared" si="407"/>
        <v>2</v>
      </c>
      <c r="Q2000" s="112">
        <f t="shared" si="408"/>
        <v>0</v>
      </c>
      <c r="R2000" s="53"/>
      <c r="S2000" s="53" t="str">
        <f t="shared" si="409"/>
        <v>Lenticular &amp; SP|Supes|S3D-8|Base</v>
      </c>
      <c r="T2000" s="57">
        <f>IF($S2000="","",IFERROR(VLOOKUP($S2000,'Pop Estimates (Non-#d)'!$N$2:$O$500,2,FALSE),""))</f>
        <v>1140</v>
      </c>
      <c r="U2000" s="57">
        <f t="shared" si="410"/>
        <v>1140</v>
      </c>
      <c r="V2000" s="53" t="str">
        <f t="shared" si="411"/>
        <v/>
      </c>
      <c r="W2000" s="53" t="str">
        <f t="shared" si="412"/>
        <v/>
      </c>
      <c r="X2000" s="53" t="str">
        <f t="shared" si="413"/>
        <v/>
      </c>
      <c r="Y2000" s="57" t="str">
        <f>IF($X2000="","",IFERROR(VLOOKUP($X2000,'Char Popularity'!$A$2:$C$500,2,FALSE),""))</f>
        <v/>
      </c>
      <c r="Z2000" s="56">
        <f>IF($X2000="",1,IFERROR(VLOOKUP($X2000,'Char Popularity'!$A$2:$C$500,3,FALSE),1))</f>
        <v>1</v>
      </c>
      <c r="AA2000" s="62">
        <f>IF($H2000&lt;&gt;"Y",0,(IF($F2000&lt;&gt;"",ROUND(Dashboard!$R$4/$F2000,1),IF(AND($I2000="Base",$E2000="Base"),Dashboard!$R$5,IF(AND($I2000="Base",$E2000="Red"),Dashboard!$R$6,IF(AND($I2000="Base",$E2000="Gold"),Dashboard!$R$7,VLOOKUP($I2000,Dashboard!$Q$16:$R$21,2,FALSE)))))*VLOOKUP($I2000,Dashboard!$Q$9:$R$13,2,FALSE)*IF(AND($I2000="Auto",$F2000="",OR($B2000="Autographs Duals",$B2000="Autographs Triples",$B2000="Autographs Quads",$B2000="Autographs Quads (Inscribed)")),IF($B2000="Autographs Duals",2,IF($B2000="Autographs Triples",3,4)),1)))</f>
        <v>19.5</v>
      </c>
      <c r="AB2000" s="62">
        <f t="shared" si="414"/>
        <v>19.5</v>
      </c>
      <c r="AC2000" s="62">
        <f t="shared" si="415"/>
        <v>0</v>
      </c>
    </row>
    <row r="2001" spans="1:29" ht="30" customHeight="1" x14ac:dyDescent="0.25">
      <c r="A2001" s="4" t="s">
        <v>126</v>
      </c>
      <c r="B2001" s="7" t="s">
        <v>90</v>
      </c>
      <c r="C2001" s="2" t="s">
        <v>665</v>
      </c>
      <c r="D2001" s="7" t="s">
        <v>343</v>
      </c>
      <c r="E2001" s="4" t="s">
        <v>60</v>
      </c>
      <c r="F2001" s="2"/>
      <c r="G2001" s="2" t="s">
        <v>1399</v>
      </c>
      <c r="H2001" s="2" t="s">
        <v>1400</v>
      </c>
      <c r="I2001" s="4" t="s">
        <v>64</v>
      </c>
      <c r="J2001" s="112">
        <f>IF($H2001&lt;&gt;"Y",0,ROUND(MIN(Dashboard!$R$24,IF(IFERROR(VLOOKUP($B2001,Dashboard!$Q$28:$S$60,2,FALSE),0)&gt;0,IFERROR(VLOOKUP($B2001,Dashboard!$Q$28:$S$60,2,FALSE),0),$Z2001*IF($U2001&lt;&gt;"",ROUND((Dashboard!$R$4/$U2001)*VLOOKUP($I2001,Dashboard!$Q$9:$R$13,2,FALSE)*IF(ISNUMBER(SEARCH("Duals",$B2001)),2,IF(ISNUMBER(SEARCH("Triples",$B2001)),3,IF(ISNUMBER(SEARCH("Quads",$B2001)),4,1))),2),ROUND(VLOOKUP($I2001,Dashboard!$Q$15:$R$20,2,FALSE)*IF($E2001="Red",Dashboard!$R$6,IF($E2001="Gold",Dashboard!$R$7,Dashboard!$R$5))*IF(ISNUMBER(SEARCH("Duals",$B2001)),2,IF(ISNUMBER(SEARCH("Triples",$B2001)),3,IF(ISNUMBER(SEARCH("Quads",$B2001)),4,1))),2))*IF(IFERROR(VLOOKUP($B2001,Dashboard!$Q$28:$S$60,3,FALSE),0)&gt;0,VLOOKUP($B2001,Dashboard!$Q$28:$S$60,3,FALSE),1))),0))</f>
        <v>2</v>
      </c>
      <c r="K2001" s="2" t="str">
        <f>IF('Supes &amp; Supes SPs'!F22="","",'Supes &amp; Supes SPs'!F22)</f>
        <v>V</v>
      </c>
      <c r="L2001" s="2">
        <f t="shared" si="403"/>
        <v>1</v>
      </c>
      <c r="M2001" s="2">
        <f t="shared" si="404"/>
        <v>0</v>
      </c>
      <c r="N2001" s="2">
        <f t="shared" si="405"/>
        <v>1</v>
      </c>
      <c r="O2001" s="2">
        <f t="shared" si="406"/>
        <v>0</v>
      </c>
      <c r="P2001" s="112">
        <f t="shared" si="407"/>
        <v>2</v>
      </c>
      <c r="Q2001" s="112">
        <f t="shared" si="408"/>
        <v>0</v>
      </c>
      <c r="R2001" s="53"/>
      <c r="S2001" s="53" t="str">
        <f t="shared" si="409"/>
        <v>Lenticular &amp; SP|Supes|S3D-9|Base</v>
      </c>
      <c r="T2001" s="57">
        <f>IF($S2001="","",IFERROR(VLOOKUP($S2001,'Pop Estimates (Non-#d)'!$N$2:$O$500,2,FALSE),""))</f>
        <v>1140</v>
      </c>
      <c r="U2001" s="57">
        <f t="shared" si="410"/>
        <v>1140</v>
      </c>
      <c r="V2001" s="53" t="str">
        <f t="shared" si="411"/>
        <v/>
      </c>
      <c r="W2001" s="53" t="str">
        <f t="shared" si="412"/>
        <v/>
      </c>
      <c r="X2001" s="53" t="str">
        <f t="shared" si="413"/>
        <v/>
      </c>
      <c r="Y2001" s="57" t="str">
        <f>IF($X2001="","",IFERROR(VLOOKUP($X2001,'Char Popularity'!$A$2:$C$500,2,FALSE),""))</f>
        <v/>
      </c>
      <c r="Z2001" s="56">
        <f>IF($X2001="",1,IFERROR(VLOOKUP($X2001,'Char Popularity'!$A$2:$C$500,3,FALSE),1))</f>
        <v>1</v>
      </c>
      <c r="AA2001" s="62">
        <f>IF($H2001&lt;&gt;"Y",0,(IF($F2001&lt;&gt;"",ROUND(Dashboard!$R$4/$F2001,1),IF(AND($I2001="Base",$E2001="Base"),Dashboard!$R$5,IF(AND($I2001="Base",$E2001="Red"),Dashboard!$R$6,IF(AND($I2001="Base",$E2001="Gold"),Dashboard!$R$7,VLOOKUP($I2001,Dashboard!$Q$16:$R$21,2,FALSE)))))*VLOOKUP($I2001,Dashboard!$Q$9:$R$13,2,FALSE)*IF(AND($I2001="Auto",$F2001="",OR($B2001="Autographs Duals",$B2001="Autographs Triples",$B2001="Autographs Quads",$B2001="Autographs Quads (Inscribed)")),IF($B2001="Autographs Duals",2,IF($B2001="Autographs Triples",3,4)),1)))</f>
        <v>19.5</v>
      </c>
      <c r="AB2001" s="62">
        <f t="shared" si="414"/>
        <v>19.5</v>
      </c>
      <c r="AC2001" s="62">
        <f t="shared" si="415"/>
        <v>0</v>
      </c>
    </row>
    <row r="2002" spans="1:29" ht="30" customHeight="1" x14ac:dyDescent="0.25">
      <c r="A2002" s="4" t="s">
        <v>126</v>
      </c>
      <c r="B2002" s="7" t="s">
        <v>92</v>
      </c>
      <c r="C2002" s="2" t="s">
        <v>336</v>
      </c>
      <c r="D2002" s="7" t="s">
        <v>337</v>
      </c>
      <c r="E2002" s="4" t="s">
        <v>60</v>
      </c>
      <c r="F2002" s="2"/>
      <c r="G2002" s="2" t="s">
        <v>1399</v>
      </c>
      <c r="H2002" s="2" t="s">
        <v>1400</v>
      </c>
      <c r="I2002" s="4" t="s">
        <v>64</v>
      </c>
      <c r="J2002" s="112">
        <f>IF($H2002&lt;&gt;"Y",0,ROUND(MIN(Dashboard!$R$24,IF(IFERROR(VLOOKUP($B2002,Dashboard!$Q$28:$S$60,2,FALSE),0)&gt;0,IFERROR(VLOOKUP($B2002,Dashboard!$Q$28:$S$60,2,FALSE),0),$Z2002*IF($U2002&lt;&gt;"",ROUND((Dashboard!$R$4/$U2002)*VLOOKUP($I2002,Dashboard!$Q$9:$R$13,2,FALSE)*IF(ISNUMBER(SEARCH("Duals",$B2002)),2,IF(ISNUMBER(SEARCH("Triples",$B2002)),3,IF(ISNUMBER(SEARCH("Quads",$B2002)),4,1))),2),ROUND(VLOOKUP($I2002,Dashboard!$Q$15:$R$20,2,FALSE)*IF($E2002="Red",Dashboard!$R$6,IF($E2002="Gold",Dashboard!$R$7,Dashboard!$R$5))*IF(ISNUMBER(SEARCH("Duals",$B2002)),2,IF(ISNUMBER(SEARCH("Triples",$B2002)),3,IF(ISNUMBER(SEARCH("Quads",$B2002)),4,1))),2))*IF(IFERROR(VLOOKUP($B2002,Dashboard!$Q$28:$S$60,3,FALSE),0)&gt;0,VLOOKUP($B2002,Dashboard!$Q$28:$S$60,3,FALSE),1))),0))</f>
        <v>18</v>
      </c>
      <c r="K2002" s="2" t="str">
        <f>IF('Supes &amp; Supes SPs'!F32="","",'Supes &amp; Supes SPs'!F32)</f>
        <v>C</v>
      </c>
      <c r="L2002" s="2">
        <f t="shared" si="403"/>
        <v>1</v>
      </c>
      <c r="M2002" s="2">
        <f t="shared" si="404"/>
        <v>0</v>
      </c>
      <c r="N2002" s="2">
        <f t="shared" si="405"/>
        <v>1</v>
      </c>
      <c r="O2002" s="2">
        <f t="shared" si="406"/>
        <v>0</v>
      </c>
      <c r="P2002" s="112">
        <f t="shared" si="407"/>
        <v>18</v>
      </c>
      <c r="Q2002" s="112">
        <f t="shared" si="408"/>
        <v>0</v>
      </c>
      <c r="R2002" s="53"/>
      <c r="S2002" s="53" t="str">
        <f t="shared" si="409"/>
        <v>Lenticular &amp; SP|Supes SPs|S3SP-1|Base</v>
      </c>
      <c r="T2002" s="57">
        <f>IF($S2002="","",IFERROR(VLOOKUP($S2002,'Pop Estimates (Non-#d)'!$N$2:$O$500,2,FALSE),""))</f>
        <v>143</v>
      </c>
      <c r="U2002" s="57">
        <f t="shared" si="410"/>
        <v>143</v>
      </c>
      <c r="V2002" s="53" t="str">
        <f t="shared" si="411"/>
        <v/>
      </c>
      <c r="W2002" s="53" t="str">
        <f t="shared" si="412"/>
        <v/>
      </c>
      <c r="X2002" s="53" t="str">
        <f t="shared" si="413"/>
        <v/>
      </c>
      <c r="Y2002" s="57" t="str">
        <f>IF($X2002="","",IFERROR(VLOOKUP($X2002,'Char Popularity'!$A$2:$C$500,2,FALSE),""))</f>
        <v/>
      </c>
      <c r="Z2002" s="56">
        <f>IF($X2002="",1,IFERROR(VLOOKUP($X2002,'Char Popularity'!$A$2:$C$500,3,FALSE),1))</f>
        <v>1</v>
      </c>
      <c r="AA2002" s="62">
        <f>IF($H2002&lt;&gt;"Y",0,(IF($F2002&lt;&gt;"",ROUND(Dashboard!$R$4/$F2002,1),IF(AND($I2002="Base",$E2002="Base"),Dashboard!$R$5,IF(AND($I2002="Base",$E2002="Red"),Dashboard!$R$6,IF(AND($I2002="Base",$E2002="Gold"),Dashboard!$R$7,VLOOKUP($I2002,Dashboard!$Q$16:$R$21,2,FALSE)))))*VLOOKUP($I2002,Dashboard!$Q$9:$R$13,2,FALSE)*IF(AND($I2002="Auto",$F2002="",OR($B2002="Autographs Duals",$B2002="Autographs Triples",$B2002="Autographs Quads",$B2002="Autographs Quads (Inscribed)")),IF($B2002="Autographs Duals",2,IF($B2002="Autographs Triples",3,4)),1)))</f>
        <v>19.5</v>
      </c>
      <c r="AB2002" s="62">
        <f t="shared" si="414"/>
        <v>19.5</v>
      </c>
      <c r="AC2002" s="62">
        <f t="shared" si="415"/>
        <v>0</v>
      </c>
    </row>
    <row r="2003" spans="1:29" ht="30" customHeight="1" x14ac:dyDescent="0.25">
      <c r="A2003" s="4" t="s">
        <v>126</v>
      </c>
      <c r="B2003" s="7" t="s">
        <v>92</v>
      </c>
      <c r="C2003" s="2" t="s">
        <v>338</v>
      </c>
      <c r="D2003" s="7" t="s">
        <v>339</v>
      </c>
      <c r="E2003" s="4" t="s">
        <v>60</v>
      </c>
      <c r="F2003" s="2"/>
      <c r="G2003" s="2" t="s">
        <v>1399</v>
      </c>
      <c r="H2003" s="2" t="s">
        <v>1400</v>
      </c>
      <c r="I2003" s="4" t="s">
        <v>64</v>
      </c>
      <c r="J2003" s="112">
        <f>IF($H2003&lt;&gt;"Y",0,ROUND(MIN(Dashboard!$R$24,IF(IFERROR(VLOOKUP($B2003,Dashboard!$Q$28:$S$60,2,FALSE),0)&gt;0,IFERROR(VLOOKUP($B2003,Dashboard!$Q$28:$S$60,2,FALSE),0),$Z2003*IF($U2003&lt;&gt;"",ROUND((Dashboard!$R$4/$U2003)*VLOOKUP($I2003,Dashboard!$Q$9:$R$13,2,FALSE)*IF(ISNUMBER(SEARCH("Duals",$B2003)),2,IF(ISNUMBER(SEARCH("Triples",$B2003)),3,IF(ISNUMBER(SEARCH("Quads",$B2003)),4,1))),2),ROUND(VLOOKUP($I2003,Dashboard!$Q$15:$R$20,2,FALSE)*IF($E2003="Red",Dashboard!$R$6,IF($E2003="Gold",Dashboard!$R$7,Dashboard!$R$5))*IF(ISNUMBER(SEARCH("Duals",$B2003)),2,IF(ISNUMBER(SEARCH("Triples",$B2003)),3,IF(ISNUMBER(SEARCH("Quads",$B2003)),4,1))),2))*IF(IFERROR(VLOOKUP($B2003,Dashboard!$Q$28:$S$60,3,FALSE),0)&gt;0,VLOOKUP($B2003,Dashboard!$Q$28:$S$60,3,FALSE),1))),0))</f>
        <v>18</v>
      </c>
      <c r="K2003" s="2" t="str">
        <f>IF('Supes &amp; Supes SPs'!F41="","",'Supes &amp; Supes SPs'!F41)</f>
        <v>C</v>
      </c>
      <c r="L2003" s="2">
        <f t="shared" si="403"/>
        <v>1</v>
      </c>
      <c r="M2003" s="2">
        <f t="shared" si="404"/>
        <v>0</v>
      </c>
      <c r="N2003" s="2">
        <f t="shared" si="405"/>
        <v>1</v>
      </c>
      <c r="O2003" s="2">
        <f t="shared" si="406"/>
        <v>0</v>
      </c>
      <c r="P2003" s="112">
        <f t="shared" si="407"/>
        <v>18</v>
      </c>
      <c r="Q2003" s="112">
        <f t="shared" si="408"/>
        <v>0</v>
      </c>
      <c r="R2003" s="53"/>
      <c r="S2003" s="53" t="str">
        <f t="shared" si="409"/>
        <v>Lenticular &amp; SP|Supes SPs|S3SP-10|Base</v>
      </c>
      <c r="T2003" s="57">
        <f>IF($S2003="","",IFERROR(VLOOKUP($S2003,'Pop Estimates (Non-#d)'!$N$2:$O$500,2,FALSE),""))</f>
        <v>143</v>
      </c>
      <c r="U2003" s="57">
        <f t="shared" si="410"/>
        <v>143</v>
      </c>
      <c r="V2003" s="53" t="str">
        <f t="shared" si="411"/>
        <v/>
      </c>
      <c r="W2003" s="53" t="str">
        <f t="shared" si="412"/>
        <v/>
      </c>
      <c r="X2003" s="53" t="str">
        <f t="shared" si="413"/>
        <v/>
      </c>
      <c r="Y2003" s="57" t="str">
        <f>IF($X2003="","",IFERROR(VLOOKUP($X2003,'Char Popularity'!$A$2:$C$500,2,FALSE),""))</f>
        <v/>
      </c>
      <c r="Z2003" s="56">
        <f>IF($X2003="",1,IFERROR(VLOOKUP($X2003,'Char Popularity'!$A$2:$C$500,3,FALSE),1))</f>
        <v>1</v>
      </c>
      <c r="AA2003" s="62">
        <f>IF($H2003&lt;&gt;"Y",0,(IF($F2003&lt;&gt;"",ROUND(Dashboard!$R$4/$F2003,1),IF(AND($I2003="Base",$E2003="Base"),Dashboard!$R$5,IF(AND($I2003="Base",$E2003="Red"),Dashboard!$R$6,IF(AND($I2003="Base",$E2003="Gold"),Dashboard!$R$7,VLOOKUP($I2003,Dashboard!$Q$16:$R$21,2,FALSE)))))*VLOOKUP($I2003,Dashboard!$Q$9:$R$13,2,FALSE)*IF(AND($I2003="Auto",$F2003="",OR($B2003="Autographs Duals",$B2003="Autographs Triples",$B2003="Autographs Quads",$B2003="Autographs Quads (Inscribed)")),IF($B2003="Autographs Duals",2,IF($B2003="Autographs Triples",3,4)),1)))</f>
        <v>19.5</v>
      </c>
      <c r="AB2003" s="62">
        <f t="shared" si="414"/>
        <v>19.5</v>
      </c>
      <c r="AC2003" s="62">
        <f t="shared" si="415"/>
        <v>0</v>
      </c>
    </row>
    <row r="2004" spans="1:29" ht="30" customHeight="1" x14ac:dyDescent="0.25">
      <c r="A2004" s="4" t="s">
        <v>126</v>
      </c>
      <c r="B2004" s="7" t="s">
        <v>92</v>
      </c>
      <c r="C2004" s="2" t="s">
        <v>340</v>
      </c>
      <c r="D2004" s="7" t="s">
        <v>341</v>
      </c>
      <c r="E2004" s="4" t="s">
        <v>60</v>
      </c>
      <c r="F2004" s="2"/>
      <c r="G2004" s="2" t="s">
        <v>1399</v>
      </c>
      <c r="H2004" s="2" t="s">
        <v>1400</v>
      </c>
      <c r="I2004" s="4" t="s">
        <v>64</v>
      </c>
      <c r="J2004" s="112">
        <f>IF($H2004&lt;&gt;"Y",0,ROUND(MIN(Dashboard!$R$24,IF(IFERROR(VLOOKUP($B2004,Dashboard!$Q$28:$S$60,2,FALSE),0)&gt;0,IFERROR(VLOOKUP($B2004,Dashboard!$Q$28:$S$60,2,FALSE),0),$Z2004*IF($U2004&lt;&gt;"",ROUND((Dashboard!$R$4/$U2004)*VLOOKUP($I2004,Dashboard!$Q$9:$R$13,2,FALSE)*IF(ISNUMBER(SEARCH("Duals",$B2004)),2,IF(ISNUMBER(SEARCH("Triples",$B2004)),3,IF(ISNUMBER(SEARCH("Quads",$B2004)),4,1))),2),ROUND(VLOOKUP($I2004,Dashboard!$Q$15:$R$20,2,FALSE)*IF($E2004="Red",Dashboard!$R$6,IF($E2004="Gold",Dashboard!$R$7,Dashboard!$R$5))*IF(ISNUMBER(SEARCH("Duals",$B2004)),2,IF(ISNUMBER(SEARCH("Triples",$B2004)),3,IF(ISNUMBER(SEARCH("Quads",$B2004)),4,1))),2))*IF(IFERROR(VLOOKUP($B2004,Dashboard!$Q$28:$S$60,3,FALSE),0)&gt;0,VLOOKUP($B2004,Dashboard!$Q$28:$S$60,3,FALSE),1))),0))</f>
        <v>18</v>
      </c>
      <c r="K2004" s="2" t="str">
        <f>IF('Supes &amp; Supes SPs'!F33="","",'Supes &amp; Supes SPs'!F33)</f>
        <v>C</v>
      </c>
      <c r="L2004" s="2">
        <f t="shared" si="403"/>
        <v>1</v>
      </c>
      <c r="M2004" s="2">
        <f t="shared" si="404"/>
        <v>0</v>
      </c>
      <c r="N2004" s="2">
        <f t="shared" si="405"/>
        <v>1</v>
      </c>
      <c r="O2004" s="2">
        <f t="shared" si="406"/>
        <v>0</v>
      </c>
      <c r="P2004" s="112">
        <f t="shared" si="407"/>
        <v>18</v>
      </c>
      <c r="Q2004" s="112">
        <f t="shared" si="408"/>
        <v>0</v>
      </c>
      <c r="R2004" s="53"/>
      <c r="S2004" s="53" t="str">
        <f t="shared" si="409"/>
        <v>Lenticular &amp; SP|Supes SPs|S3SP-2|Base</v>
      </c>
      <c r="T2004" s="57">
        <f>IF($S2004="","",IFERROR(VLOOKUP($S2004,'Pop Estimates (Non-#d)'!$N$2:$O$500,2,FALSE),""))</f>
        <v>143</v>
      </c>
      <c r="U2004" s="57">
        <f t="shared" si="410"/>
        <v>143</v>
      </c>
      <c r="V2004" s="53" t="str">
        <f t="shared" si="411"/>
        <v/>
      </c>
      <c r="W2004" s="53" t="str">
        <f t="shared" si="412"/>
        <v/>
      </c>
      <c r="X2004" s="53" t="str">
        <f t="shared" si="413"/>
        <v/>
      </c>
      <c r="Y2004" s="57" t="str">
        <f>IF($X2004="","",IFERROR(VLOOKUP($X2004,'Char Popularity'!$A$2:$C$500,2,FALSE),""))</f>
        <v/>
      </c>
      <c r="Z2004" s="56">
        <f>IF($X2004="",1,IFERROR(VLOOKUP($X2004,'Char Popularity'!$A$2:$C$500,3,FALSE),1))</f>
        <v>1</v>
      </c>
      <c r="AA2004" s="62">
        <f>IF($H2004&lt;&gt;"Y",0,(IF($F2004&lt;&gt;"",ROUND(Dashboard!$R$4/$F2004,1),IF(AND($I2004="Base",$E2004="Base"),Dashboard!$R$5,IF(AND($I2004="Base",$E2004="Red"),Dashboard!$R$6,IF(AND($I2004="Base",$E2004="Gold"),Dashboard!$R$7,VLOOKUP($I2004,Dashboard!$Q$16:$R$21,2,FALSE)))))*VLOOKUP($I2004,Dashboard!$Q$9:$R$13,2,FALSE)*IF(AND($I2004="Auto",$F2004="",OR($B2004="Autographs Duals",$B2004="Autographs Triples",$B2004="Autographs Quads",$B2004="Autographs Quads (Inscribed)")),IF($B2004="Autographs Duals",2,IF($B2004="Autographs Triples",3,4)),1)))</f>
        <v>19.5</v>
      </c>
      <c r="AB2004" s="62">
        <f t="shared" si="414"/>
        <v>19.5</v>
      </c>
      <c r="AC2004" s="62">
        <f t="shared" si="415"/>
        <v>0</v>
      </c>
    </row>
    <row r="2005" spans="1:29" ht="30" customHeight="1" x14ac:dyDescent="0.25">
      <c r="A2005" s="4" t="s">
        <v>126</v>
      </c>
      <c r="B2005" s="7" t="s">
        <v>92</v>
      </c>
      <c r="C2005" s="2" t="s">
        <v>342</v>
      </c>
      <c r="D2005" s="7" t="s">
        <v>343</v>
      </c>
      <c r="E2005" s="4" t="s">
        <v>60</v>
      </c>
      <c r="F2005" s="2"/>
      <c r="G2005" s="2" t="s">
        <v>1399</v>
      </c>
      <c r="H2005" s="2" t="s">
        <v>1400</v>
      </c>
      <c r="I2005" s="4" t="s">
        <v>64</v>
      </c>
      <c r="J2005" s="112">
        <f>IF($H2005&lt;&gt;"Y",0,ROUND(MIN(Dashboard!$R$24,IF(IFERROR(VLOOKUP($B2005,Dashboard!$Q$28:$S$60,2,FALSE),0)&gt;0,IFERROR(VLOOKUP($B2005,Dashboard!$Q$28:$S$60,2,FALSE),0),$Z2005*IF($U2005&lt;&gt;"",ROUND((Dashboard!$R$4/$U2005)*VLOOKUP($I2005,Dashboard!$Q$9:$R$13,2,FALSE)*IF(ISNUMBER(SEARCH("Duals",$B2005)),2,IF(ISNUMBER(SEARCH("Triples",$B2005)),3,IF(ISNUMBER(SEARCH("Quads",$B2005)),4,1))),2),ROUND(VLOOKUP($I2005,Dashboard!$Q$15:$R$20,2,FALSE)*IF($E2005="Red",Dashboard!$R$6,IF($E2005="Gold",Dashboard!$R$7,Dashboard!$R$5))*IF(ISNUMBER(SEARCH("Duals",$B2005)),2,IF(ISNUMBER(SEARCH("Triples",$B2005)),3,IF(ISNUMBER(SEARCH("Quads",$B2005)),4,1))),2))*IF(IFERROR(VLOOKUP($B2005,Dashboard!$Q$28:$S$60,3,FALSE),0)&gt;0,VLOOKUP($B2005,Dashboard!$Q$28:$S$60,3,FALSE),1))),0))</f>
        <v>18</v>
      </c>
      <c r="K2005" s="2" t="str">
        <f>IF('Supes &amp; Supes SPs'!F34="","",'Supes &amp; Supes SPs'!F34)</f>
        <v>C</v>
      </c>
      <c r="L2005" s="2">
        <f t="shared" si="403"/>
        <v>1</v>
      </c>
      <c r="M2005" s="2">
        <f t="shared" si="404"/>
        <v>0</v>
      </c>
      <c r="N2005" s="2">
        <f t="shared" si="405"/>
        <v>1</v>
      </c>
      <c r="O2005" s="2">
        <f t="shared" si="406"/>
        <v>0</v>
      </c>
      <c r="P2005" s="112">
        <f t="shared" si="407"/>
        <v>18</v>
      </c>
      <c r="Q2005" s="112">
        <f t="shared" si="408"/>
        <v>0</v>
      </c>
      <c r="R2005" s="53"/>
      <c r="S2005" s="53" t="str">
        <f t="shared" si="409"/>
        <v>Lenticular &amp; SP|Supes SPs|S3SP-3|Base</v>
      </c>
      <c r="T2005" s="57">
        <f>IF($S2005="","",IFERROR(VLOOKUP($S2005,'Pop Estimates (Non-#d)'!$N$2:$O$500,2,FALSE),""))</f>
        <v>143</v>
      </c>
      <c r="U2005" s="57">
        <f t="shared" si="410"/>
        <v>143</v>
      </c>
      <c r="V2005" s="53" t="str">
        <f t="shared" si="411"/>
        <v/>
      </c>
      <c r="W2005" s="53" t="str">
        <f t="shared" si="412"/>
        <v/>
      </c>
      <c r="X2005" s="53" t="str">
        <f t="shared" si="413"/>
        <v/>
      </c>
      <c r="Y2005" s="57" t="str">
        <f>IF($X2005="","",IFERROR(VLOOKUP($X2005,'Char Popularity'!$A$2:$C$500,2,FALSE),""))</f>
        <v/>
      </c>
      <c r="Z2005" s="56">
        <f>IF($X2005="",1,IFERROR(VLOOKUP($X2005,'Char Popularity'!$A$2:$C$500,3,FALSE),1))</f>
        <v>1</v>
      </c>
      <c r="AA2005" s="62">
        <f>IF($H2005&lt;&gt;"Y",0,(IF($F2005&lt;&gt;"",ROUND(Dashboard!$R$4/$F2005,1),IF(AND($I2005="Base",$E2005="Base"),Dashboard!$R$5,IF(AND($I2005="Base",$E2005="Red"),Dashboard!$R$6,IF(AND($I2005="Base",$E2005="Gold"),Dashboard!$R$7,VLOOKUP($I2005,Dashboard!$Q$16:$R$21,2,FALSE)))))*VLOOKUP($I2005,Dashboard!$Q$9:$R$13,2,FALSE)*IF(AND($I2005="Auto",$F2005="",OR($B2005="Autographs Duals",$B2005="Autographs Triples",$B2005="Autographs Quads",$B2005="Autographs Quads (Inscribed)")),IF($B2005="Autographs Duals",2,IF($B2005="Autographs Triples",3,4)),1)))</f>
        <v>19.5</v>
      </c>
      <c r="AB2005" s="62">
        <f t="shared" si="414"/>
        <v>19.5</v>
      </c>
      <c r="AC2005" s="62">
        <f t="shared" si="415"/>
        <v>0</v>
      </c>
    </row>
    <row r="2006" spans="1:29" ht="30" customHeight="1" x14ac:dyDescent="0.25">
      <c r="A2006" s="4" t="s">
        <v>126</v>
      </c>
      <c r="B2006" s="7" t="s">
        <v>92</v>
      </c>
      <c r="C2006" s="2" t="s">
        <v>344</v>
      </c>
      <c r="D2006" s="7" t="s">
        <v>345</v>
      </c>
      <c r="E2006" s="4" t="s">
        <v>60</v>
      </c>
      <c r="F2006" s="2"/>
      <c r="G2006" s="2" t="s">
        <v>1399</v>
      </c>
      <c r="H2006" s="2" t="s">
        <v>1400</v>
      </c>
      <c r="I2006" s="4" t="s">
        <v>64</v>
      </c>
      <c r="J2006" s="112">
        <f>IF($H2006&lt;&gt;"Y",0,ROUND(MIN(Dashboard!$R$24,IF(IFERROR(VLOOKUP($B2006,Dashboard!$Q$28:$S$60,2,FALSE),0)&gt;0,IFERROR(VLOOKUP($B2006,Dashboard!$Q$28:$S$60,2,FALSE),0),$Z2006*IF($U2006&lt;&gt;"",ROUND((Dashboard!$R$4/$U2006)*VLOOKUP($I2006,Dashboard!$Q$9:$R$13,2,FALSE)*IF(ISNUMBER(SEARCH("Duals",$B2006)),2,IF(ISNUMBER(SEARCH("Triples",$B2006)),3,IF(ISNUMBER(SEARCH("Quads",$B2006)),4,1))),2),ROUND(VLOOKUP($I2006,Dashboard!$Q$15:$R$20,2,FALSE)*IF($E2006="Red",Dashboard!$R$6,IF($E2006="Gold",Dashboard!$R$7,Dashboard!$R$5))*IF(ISNUMBER(SEARCH("Duals",$B2006)),2,IF(ISNUMBER(SEARCH("Triples",$B2006)),3,IF(ISNUMBER(SEARCH("Quads",$B2006)),4,1))),2))*IF(IFERROR(VLOOKUP($B2006,Dashboard!$Q$28:$S$60,3,FALSE),0)&gt;0,VLOOKUP($B2006,Dashboard!$Q$28:$S$60,3,FALSE),1))),0))</f>
        <v>18</v>
      </c>
      <c r="K2006" s="2" t="str">
        <f>IF('Supes &amp; Supes SPs'!F35="","",'Supes &amp; Supes SPs'!F35)</f>
        <v>C</v>
      </c>
      <c r="L2006" s="2">
        <f t="shared" si="403"/>
        <v>1</v>
      </c>
      <c r="M2006" s="2">
        <f t="shared" si="404"/>
        <v>0</v>
      </c>
      <c r="N2006" s="2">
        <f t="shared" si="405"/>
        <v>1</v>
      </c>
      <c r="O2006" s="2">
        <f t="shared" si="406"/>
        <v>0</v>
      </c>
      <c r="P2006" s="112">
        <f t="shared" si="407"/>
        <v>18</v>
      </c>
      <c r="Q2006" s="112">
        <f t="shared" si="408"/>
        <v>0</v>
      </c>
      <c r="R2006" s="53"/>
      <c r="S2006" s="53" t="str">
        <f t="shared" si="409"/>
        <v>Lenticular &amp; SP|Supes SPs|S3SP-4|Base</v>
      </c>
      <c r="T2006" s="57">
        <f>IF($S2006="","",IFERROR(VLOOKUP($S2006,'Pop Estimates (Non-#d)'!$N$2:$O$500,2,FALSE),""))</f>
        <v>143</v>
      </c>
      <c r="U2006" s="57">
        <f t="shared" si="410"/>
        <v>143</v>
      </c>
      <c r="V2006" s="53" t="str">
        <f t="shared" si="411"/>
        <v/>
      </c>
      <c r="W2006" s="53" t="str">
        <f t="shared" si="412"/>
        <v/>
      </c>
      <c r="X2006" s="53" t="str">
        <f t="shared" si="413"/>
        <v/>
      </c>
      <c r="Y2006" s="57" t="str">
        <f>IF($X2006="","",IFERROR(VLOOKUP($X2006,'Char Popularity'!$A$2:$C$500,2,FALSE),""))</f>
        <v/>
      </c>
      <c r="Z2006" s="56">
        <f>IF($X2006="",1,IFERROR(VLOOKUP($X2006,'Char Popularity'!$A$2:$C$500,3,FALSE),1))</f>
        <v>1</v>
      </c>
      <c r="AA2006" s="62">
        <f>IF($H2006&lt;&gt;"Y",0,(IF($F2006&lt;&gt;"",ROUND(Dashboard!$R$4/$F2006,1),IF(AND($I2006="Base",$E2006="Base"),Dashboard!$R$5,IF(AND($I2006="Base",$E2006="Red"),Dashboard!$R$6,IF(AND($I2006="Base",$E2006="Gold"),Dashboard!$R$7,VLOOKUP($I2006,Dashboard!$Q$16:$R$21,2,FALSE)))))*VLOOKUP($I2006,Dashboard!$Q$9:$R$13,2,FALSE)*IF(AND($I2006="Auto",$F2006="",OR($B2006="Autographs Duals",$B2006="Autographs Triples",$B2006="Autographs Quads",$B2006="Autographs Quads (Inscribed)")),IF($B2006="Autographs Duals",2,IF($B2006="Autographs Triples",3,4)),1)))</f>
        <v>19.5</v>
      </c>
      <c r="AB2006" s="62">
        <f t="shared" si="414"/>
        <v>19.5</v>
      </c>
      <c r="AC2006" s="62">
        <f t="shared" si="415"/>
        <v>0</v>
      </c>
    </row>
    <row r="2007" spans="1:29" ht="30" customHeight="1" x14ac:dyDescent="0.25">
      <c r="A2007" s="4" t="s">
        <v>126</v>
      </c>
      <c r="B2007" s="7" t="s">
        <v>92</v>
      </c>
      <c r="C2007" s="2" t="s">
        <v>346</v>
      </c>
      <c r="D2007" s="7" t="s">
        <v>347</v>
      </c>
      <c r="E2007" s="4" t="s">
        <v>60</v>
      </c>
      <c r="F2007" s="2"/>
      <c r="G2007" s="2" t="s">
        <v>1399</v>
      </c>
      <c r="H2007" s="2" t="s">
        <v>1400</v>
      </c>
      <c r="I2007" s="4" t="s">
        <v>64</v>
      </c>
      <c r="J2007" s="112">
        <f>IF($H2007&lt;&gt;"Y",0,ROUND(MIN(Dashboard!$R$24,IF(IFERROR(VLOOKUP($B2007,Dashboard!$Q$28:$S$60,2,FALSE),0)&gt;0,IFERROR(VLOOKUP($B2007,Dashboard!$Q$28:$S$60,2,FALSE),0),$Z2007*IF($U2007&lt;&gt;"",ROUND((Dashboard!$R$4/$U2007)*VLOOKUP($I2007,Dashboard!$Q$9:$R$13,2,FALSE)*IF(ISNUMBER(SEARCH("Duals",$B2007)),2,IF(ISNUMBER(SEARCH("Triples",$B2007)),3,IF(ISNUMBER(SEARCH("Quads",$B2007)),4,1))),2),ROUND(VLOOKUP($I2007,Dashboard!$Q$15:$R$20,2,FALSE)*IF($E2007="Red",Dashboard!$R$6,IF($E2007="Gold",Dashboard!$R$7,Dashboard!$R$5))*IF(ISNUMBER(SEARCH("Duals",$B2007)),2,IF(ISNUMBER(SEARCH("Triples",$B2007)),3,IF(ISNUMBER(SEARCH("Quads",$B2007)),4,1))),2))*IF(IFERROR(VLOOKUP($B2007,Dashboard!$Q$28:$S$60,3,FALSE),0)&gt;0,VLOOKUP($B2007,Dashboard!$Q$28:$S$60,3,FALSE),1))),0))</f>
        <v>18</v>
      </c>
      <c r="K2007" s="2" t="str">
        <f>IF('Supes &amp; Supes SPs'!F36="","",'Supes &amp; Supes SPs'!F36)</f>
        <v>C</v>
      </c>
      <c r="L2007" s="2">
        <f t="shared" si="403"/>
        <v>1</v>
      </c>
      <c r="M2007" s="2">
        <f t="shared" si="404"/>
        <v>0</v>
      </c>
      <c r="N2007" s="2">
        <f t="shared" si="405"/>
        <v>1</v>
      </c>
      <c r="O2007" s="2">
        <f t="shared" si="406"/>
        <v>0</v>
      </c>
      <c r="P2007" s="112">
        <f t="shared" si="407"/>
        <v>18</v>
      </c>
      <c r="Q2007" s="112">
        <f t="shared" si="408"/>
        <v>0</v>
      </c>
      <c r="R2007" s="53"/>
      <c r="S2007" s="53" t="str">
        <f t="shared" si="409"/>
        <v>Lenticular &amp; SP|Supes SPs|S3SP-5|Base</v>
      </c>
      <c r="T2007" s="57">
        <f>IF($S2007="","",IFERROR(VLOOKUP($S2007,'Pop Estimates (Non-#d)'!$N$2:$O$500,2,FALSE),""))</f>
        <v>143</v>
      </c>
      <c r="U2007" s="57">
        <f t="shared" si="410"/>
        <v>143</v>
      </c>
      <c r="V2007" s="53" t="str">
        <f t="shared" si="411"/>
        <v/>
      </c>
      <c r="W2007" s="53" t="str">
        <f t="shared" si="412"/>
        <v/>
      </c>
      <c r="X2007" s="53" t="str">
        <f t="shared" si="413"/>
        <v/>
      </c>
      <c r="Y2007" s="57" t="str">
        <f>IF($X2007="","",IFERROR(VLOOKUP($X2007,'Char Popularity'!$A$2:$C$500,2,FALSE),""))</f>
        <v/>
      </c>
      <c r="Z2007" s="56">
        <f>IF($X2007="",1,IFERROR(VLOOKUP($X2007,'Char Popularity'!$A$2:$C$500,3,FALSE),1))</f>
        <v>1</v>
      </c>
      <c r="AA2007" s="62">
        <f>IF($H2007&lt;&gt;"Y",0,(IF($F2007&lt;&gt;"",ROUND(Dashboard!$R$4/$F2007,1),IF(AND($I2007="Base",$E2007="Base"),Dashboard!$R$5,IF(AND($I2007="Base",$E2007="Red"),Dashboard!$R$6,IF(AND($I2007="Base",$E2007="Gold"),Dashboard!$R$7,VLOOKUP($I2007,Dashboard!$Q$16:$R$21,2,FALSE)))))*VLOOKUP($I2007,Dashboard!$Q$9:$R$13,2,FALSE)*IF(AND($I2007="Auto",$F2007="",OR($B2007="Autographs Duals",$B2007="Autographs Triples",$B2007="Autographs Quads",$B2007="Autographs Quads (Inscribed)")),IF($B2007="Autographs Duals",2,IF($B2007="Autographs Triples",3,4)),1)))</f>
        <v>19.5</v>
      </c>
      <c r="AB2007" s="62">
        <f t="shared" si="414"/>
        <v>19.5</v>
      </c>
      <c r="AC2007" s="62">
        <f t="shared" si="415"/>
        <v>0</v>
      </c>
    </row>
    <row r="2008" spans="1:29" ht="30" customHeight="1" x14ac:dyDescent="0.25">
      <c r="A2008" s="4" t="s">
        <v>126</v>
      </c>
      <c r="B2008" s="7" t="s">
        <v>92</v>
      </c>
      <c r="C2008" s="2" t="s">
        <v>348</v>
      </c>
      <c r="D2008" s="7" t="s">
        <v>339</v>
      </c>
      <c r="E2008" s="4" t="s">
        <v>60</v>
      </c>
      <c r="F2008" s="2"/>
      <c r="G2008" s="2" t="s">
        <v>1399</v>
      </c>
      <c r="H2008" s="2" t="s">
        <v>1400</v>
      </c>
      <c r="I2008" s="4" t="s">
        <v>64</v>
      </c>
      <c r="J2008" s="112">
        <f>IF($H2008&lt;&gt;"Y",0,ROUND(MIN(Dashboard!$R$24,IF(IFERROR(VLOOKUP($B2008,Dashboard!$Q$28:$S$60,2,FALSE),0)&gt;0,IFERROR(VLOOKUP($B2008,Dashboard!$Q$28:$S$60,2,FALSE),0),$Z2008*IF($U2008&lt;&gt;"",ROUND((Dashboard!$R$4/$U2008)*VLOOKUP($I2008,Dashboard!$Q$9:$R$13,2,FALSE)*IF(ISNUMBER(SEARCH("Duals",$B2008)),2,IF(ISNUMBER(SEARCH("Triples",$B2008)),3,IF(ISNUMBER(SEARCH("Quads",$B2008)),4,1))),2),ROUND(VLOOKUP($I2008,Dashboard!$Q$15:$R$20,2,FALSE)*IF($E2008="Red",Dashboard!$R$6,IF($E2008="Gold",Dashboard!$R$7,Dashboard!$R$5))*IF(ISNUMBER(SEARCH("Duals",$B2008)),2,IF(ISNUMBER(SEARCH("Triples",$B2008)),3,IF(ISNUMBER(SEARCH("Quads",$B2008)),4,1))),2))*IF(IFERROR(VLOOKUP($B2008,Dashboard!$Q$28:$S$60,3,FALSE),0)&gt;0,VLOOKUP($B2008,Dashboard!$Q$28:$S$60,3,FALSE),1))),0))</f>
        <v>18</v>
      </c>
      <c r="K2008" s="2" t="str">
        <f>IF('Supes &amp; Supes SPs'!F37="","",'Supes &amp; Supes SPs'!F37)</f>
        <v/>
      </c>
      <c r="L2008" s="2">
        <f t="shared" si="403"/>
        <v>0</v>
      </c>
      <c r="M2008" s="2">
        <f t="shared" si="404"/>
        <v>0</v>
      </c>
      <c r="N2008" s="2">
        <f t="shared" si="405"/>
        <v>0</v>
      </c>
      <c r="O2008" s="2">
        <f t="shared" si="406"/>
        <v>1</v>
      </c>
      <c r="P2008" s="112">
        <f t="shared" si="407"/>
        <v>0</v>
      </c>
      <c r="Q2008" s="112">
        <f t="shared" si="408"/>
        <v>0</v>
      </c>
      <c r="R2008" s="53"/>
      <c r="S2008" s="53" t="str">
        <f t="shared" si="409"/>
        <v>Lenticular &amp; SP|Supes SPs|S3SP-6|Base</v>
      </c>
      <c r="T2008" s="57">
        <f>IF($S2008="","",IFERROR(VLOOKUP($S2008,'Pop Estimates (Non-#d)'!$N$2:$O$500,2,FALSE),""))</f>
        <v>143</v>
      </c>
      <c r="U2008" s="57">
        <f t="shared" si="410"/>
        <v>143</v>
      </c>
      <c r="V2008" s="53" t="str">
        <f t="shared" si="411"/>
        <v/>
      </c>
      <c r="W2008" s="53" t="str">
        <f t="shared" si="412"/>
        <v/>
      </c>
      <c r="X2008" s="53" t="str">
        <f t="shared" si="413"/>
        <v/>
      </c>
      <c r="Y2008" s="57" t="str">
        <f>IF($X2008="","",IFERROR(VLOOKUP($X2008,'Char Popularity'!$A$2:$C$500,2,FALSE),""))</f>
        <v/>
      </c>
      <c r="Z2008" s="56">
        <f>IF($X2008="",1,IFERROR(VLOOKUP($X2008,'Char Popularity'!$A$2:$C$500,3,FALSE),1))</f>
        <v>1</v>
      </c>
      <c r="AA2008" s="62">
        <f>IF($H2008&lt;&gt;"Y",0,(IF($F2008&lt;&gt;"",ROUND(Dashboard!$R$4/$F2008,1),IF(AND($I2008="Base",$E2008="Base"),Dashboard!$R$5,IF(AND($I2008="Base",$E2008="Red"),Dashboard!$R$6,IF(AND($I2008="Base",$E2008="Gold"),Dashboard!$R$7,VLOOKUP($I2008,Dashboard!$Q$16:$R$21,2,FALSE)))))*VLOOKUP($I2008,Dashboard!$Q$9:$R$13,2,FALSE)*IF(AND($I2008="Auto",$F2008="",OR($B2008="Autographs Duals",$B2008="Autographs Triples",$B2008="Autographs Quads",$B2008="Autographs Quads (Inscribed)")),IF($B2008="Autographs Duals",2,IF($B2008="Autographs Triples",3,4)),1)))</f>
        <v>19.5</v>
      </c>
      <c r="AB2008" s="62">
        <f t="shared" si="414"/>
        <v>0</v>
      </c>
      <c r="AC2008" s="62">
        <f t="shared" si="415"/>
        <v>0</v>
      </c>
    </row>
    <row r="2009" spans="1:29" ht="30" customHeight="1" x14ac:dyDescent="0.25">
      <c r="A2009" s="4" t="s">
        <v>126</v>
      </c>
      <c r="B2009" s="7" t="s">
        <v>92</v>
      </c>
      <c r="C2009" s="2" t="s">
        <v>349</v>
      </c>
      <c r="D2009" s="7" t="s">
        <v>350</v>
      </c>
      <c r="E2009" s="4" t="s">
        <v>60</v>
      </c>
      <c r="F2009" s="2"/>
      <c r="G2009" s="2" t="s">
        <v>1399</v>
      </c>
      <c r="H2009" s="2" t="s">
        <v>1400</v>
      </c>
      <c r="I2009" s="4" t="s">
        <v>64</v>
      </c>
      <c r="J2009" s="112">
        <f>IF($H2009&lt;&gt;"Y",0,ROUND(MIN(Dashboard!$R$24,IF(IFERROR(VLOOKUP($B2009,Dashboard!$Q$28:$S$60,2,FALSE),0)&gt;0,IFERROR(VLOOKUP($B2009,Dashboard!$Q$28:$S$60,2,FALSE),0),$Z2009*IF($U2009&lt;&gt;"",ROUND((Dashboard!$R$4/$U2009)*VLOOKUP($I2009,Dashboard!$Q$9:$R$13,2,FALSE)*IF(ISNUMBER(SEARCH("Duals",$B2009)),2,IF(ISNUMBER(SEARCH("Triples",$B2009)),3,IF(ISNUMBER(SEARCH("Quads",$B2009)),4,1))),2),ROUND(VLOOKUP($I2009,Dashboard!$Q$15:$R$20,2,FALSE)*IF($E2009="Red",Dashboard!$R$6,IF($E2009="Gold",Dashboard!$R$7,Dashboard!$R$5))*IF(ISNUMBER(SEARCH("Duals",$B2009)),2,IF(ISNUMBER(SEARCH("Triples",$B2009)),3,IF(ISNUMBER(SEARCH("Quads",$B2009)),4,1))),2))*IF(IFERROR(VLOOKUP($B2009,Dashboard!$Q$28:$S$60,3,FALSE),0)&gt;0,VLOOKUP($B2009,Dashboard!$Q$28:$S$60,3,FALSE),1))),0))</f>
        <v>18</v>
      </c>
      <c r="K2009" s="2" t="str">
        <f>IF('Supes &amp; Supes SPs'!F38="","",'Supes &amp; Supes SPs'!F38)</f>
        <v>C</v>
      </c>
      <c r="L2009" s="2">
        <f t="shared" si="403"/>
        <v>1</v>
      </c>
      <c r="M2009" s="2">
        <f t="shared" si="404"/>
        <v>0</v>
      </c>
      <c r="N2009" s="2">
        <f t="shared" si="405"/>
        <v>1</v>
      </c>
      <c r="O2009" s="2">
        <f t="shared" si="406"/>
        <v>0</v>
      </c>
      <c r="P2009" s="112">
        <f t="shared" si="407"/>
        <v>18</v>
      </c>
      <c r="Q2009" s="112">
        <f t="shared" si="408"/>
        <v>0</v>
      </c>
      <c r="R2009" s="53"/>
      <c r="S2009" s="53" t="str">
        <f t="shared" si="409"/>
        <v>Lenticular &amp; SP|Supes SPs|S3SP-7|Base</v>
      </c>
      <c r="T2009" s="57">
        <f>IF($S2009="","",IFERROR(VLOOKUP($S2009,'Pop Estimates (Non-#d)'!$N$2:$O$500,2,FALSE),""))</f>
        <v>143</v>
      </c>
      <c r="U2009" s="57">
        <f t="shared" si="410"/>
        <v>143</v>
      </c>
      <c r="V2009" s="53" t="str">
        <f t="shared" si="411"/>
        <v/>
      </c>
      <c r="W2009" s="53" t="str">
        <f t="shared" si="412"/>
        <v/>
      </c>
      <c r="X2009" s="53" t="str">
        <f t="shared" si="413"/>
        <v/>
      </c>
      <c r="Y2009" s="57" t="str">
        <f>IF($X2009="","",IFERROR(VLOOKUP($X2009,'Char Popularity'!$A$2:$C$500,2,FALSE),""))</f>
        <v/>
      </c>
      <c r="Z2009" s="56">
        <f>IF($X2009="",1,IFERROR(VLOOKUP($X2009,'Char Popularity'!$A$2:$C$500,3,FALSE),1))</f>
        <v>1</v>
      </c>
      <c r="AA2009" s="62">
        <f>IF($H2009&lt;&gt;"Y",0,(IF($F2009&lt;&gt;"",ROUND(Dashboard!$R$4/$F2009,1),IF(AND($I2009="Base",$E2009="Base"),Dashboard!$R$5,IF(AND($I2009="Base",$E2009="Red"),Dashboard!$R$6,IF(AND($I2009="Base",$E2009="Gold"),Dashboard!$R$7,VLOOKUP($I2009,Dashboard!$Q$16:$R$21,2,FALSE)))))*VLOOKUP($I2009,Dashboard!$Q$9:$R$13,2,FALSE)*IF(AND($I2009="Auto",$F2009="",OR($B2009="Autographs Duals",$B2009="Autographs Triples",$B2009="Autographs Quads",$B2009="Autographs Quads (Inscribed)")),IF($B2009="Autographs Duals",2,IF($B2009="Autographs Triples",3,4)),1)))</f>
        <v>19.5</v>
      </c>
      <c r="AB2009" s="62">
        <f t="shared" si="414"/>
        <v>19.5</v>
      </c>
      <c r="AC2009" s="62">
        <f t="shared" si="415"/>
        <v>0</v>
      </c>
    </row>
    <row r="2010" spans="1:29" ht="30" customHeight="1" x14ac:dyDescent="0.25">
      <c r="A2010" s="4" t="s">
        <v>126</v>
      </c>
      <c r="B2010" s="7" t="s">
        <v>92</v>
      </c>
      <c r="C2010" s="2" t="s">
        <v>351</v>
      </c>
      <c r="D2010" s="7" t="s">
        <v>352</v>
      </c>
      <c r="E2010" s="4" t="s">
        <v>60</v>
      </c>
      <c r="F2010" s="2"/>
      <c r="G2010" s="2" t="s">
        <v>1399</v>
      </c>
      <c r="H2010" s="2" t="s">
        <v>1400</v>
      </c>
      <c r="I2010" s="4" t="s">
        <v>64</v>
      </c>
      <c r="J2010" s="112">
        <f>IF($H2010&lt;&gt;"Y",0,ROUND(MIN(Dashboard!$R$24,IF(IFERROR(VLOOKUP($B2010,Dashboard!$Q$28:$S$60,2,FALSE),0)&gt;0,IFERROR(VLOOKUP($B2010,Dashboard!$Q$28:$S$60,2,FALSE),0),$Z2010*IF($U2010&lt;&gt;"",ROUND((Dashboard!$R$4/$U2010)*VLOOKUP($I2010,Dashboard!$Q$9:$R$13,2,FALSE)*IF(ISNUMBER(SEARCH("Duals",$B2010)),2,IF(ISNUMBER(SEARCH("Triples",$B2010)),3,IF(ISNUMBER(SEARCH("Quads",$B2010)),4,1))),2),ROUND(VLOOKUP($I2010,Dashboard!$Q$15:$R$20,2,FALSE)*IF($E2010="Red",Dashboard!$R$6,IF($E2010="Gold",Dashboard!$R$7,Dashboard!$R$5))*IF(ISNUMBER(SEARCH("Duals",$B2010)),2,IF(ISNUMBER(SEARCH("Triples",$B2010)),3,IF(ISNUMBER(SEARCH("Quads",$B2010)),4,1))),2))*IF(IFERROR(VLOOKUP($B2010,Dashboard!$Q$28:$S$60,3,FALSE),0)&gt;0,VLOOKUP($B2010,Dashboard!$Q$28:$S$60,3,FALSE),1))),0))</f>
        <v>18</v>
      </c>
      <c r="K2010" s="2" t="str">
        <f>IF('Supes &amp; Supes SPs'!F39="","",'Supes &amp; Supes SPs'!F39)</f>
        <v>C</v>
      </c>
      <c r="L2010" s="2">
        <f t="shared" si="403"/>
        <v>1</v>
      </c>
      <c r="M2010" s="2">
        <f t="shared" si="404"/>
        <v>0</v>
      </c>
      <c r="N2010" s="2">
        <f t="shared" si="405"/>
        <v>1</v>
      </c>
      <c r="O2010" s="2">
        <f t="shared" si="406"/>
        <v>0</v>
      </c>
      <c r="P2010" s="112">
        <f t="shared" si="407"/>
        <v>18</v>
      </c>
      <c r="Q2010" s="112">
        <f t="shared" si="408"/>
        <v>0</v>
      </c>
      <c r="R2010" s="53"/>
      <c r="S2010" s="53" t="str">
        <f t="shared" si="409"/>
        <v>Lenticular &amp; SP|Supes SPs|S3SP-8|Base</v>
      </c>
      <c r="T2010" s="57">
        <f>IF($S2010="","",IFERROR(VLOOKUP($S2010,'Pop Estimates (Non-#d)'!$N$2:$O$500,2,FALSE),""))</f>
        <v>143</v>
      </c>
      <c r="U2010" s="57">
        <f t="shared" si="410"/>
        <v>143</v>
      </c>
      <c r="V2010" s="53" t="str">
        <f t="shared" si="411"/>
        <v/>
      </c>
      <c r="W2010" s="53" t="str">
        <f t="shared" si="412"/>
        <v/>
      </c>
      <c r="X2010" s="53" t="str">
        <f t="shared" si="413"/>
        <v/>
      </c>
      <c r="Y2010" s="57" t="str">
        <f>IF($X2010="","",IFERROR(VLOOKUP($X2010,'Char Popularity'!$A$2:$C$500,2,FALSE),""))</f>
        <v/>
      </c>
      <c r="Z2010" s="56">
        <f>IF($X2010="",1,IFERROR(VLOOKUP($X2010,'Char Popularity'!$A$2:$C$500,3,FALSE),1))</f>
        <v>1</v>
      </c>
      <c r="AA2010" s="62">
        <f>IF($H2010&lt;&gt;"Y",0,(IF($F2010&lt;&gt;"",ROUND(Dashboard!$R$4/$F2010,1),IF(AND($I2010="Base",$E2010="Base"),Dashboard!$R$5,IF(AND($I2010="Base",$E2010="Red"),Dashboard!$R$6,IF(AND($I2010="Base",$E2010="Gold"),Dashboard!$R$7,VLOOKUP($I2010,Dashboard!$Q$16:$R$21,2,FALSE)))))*VLOOKUP($I2010,Dashboard!$Q$9:$R$13,2,FALSE)*IF(AND($I2010="Auto",$F2010="",OR($B2010="Autographs Duals",$B2010="Autographs Triples",$B2010="Autographs Quads",$B2010="Autographs Quads (Inscribed)")),IF($B2010="Autographs Duals",2,IF($B2010="Autographs Triples",3,4)),1)))</f>
        <v>19.5</v>
      </c>
      <c r="AB2010" s="62">
        <f t="shared" si="414"/>
        <v>19.5</v>
      </c>
      <c r="AC2010" s="62">
        <f t="shared" si="415"/>
        <v>0</v>
      </c>
    </row>
    <row r="2011" spans="1:29" ht="30" customHeight="1" x14ac:dyDescent="0.25">
      <c r="A2011" s="4" t="s">
        <v>126</v>
      </c>
      <c r="B2011" s="7" t="s">
        <v>92</v>
      </c>
      <c r="C2011" s="2" t="s">
        <v>353</v>
      </c>
      <c r="D2011" s="7" t="s">
        <v>337</v>
      </c>
      <c r="E2011" s="4" t="s">
        <v>60</v>
      </c>
      <c r="F2011" s="2"/>
      <c r="G2011" s="2" t="s">
        <v>1399</v>
      </c>
      <c r="H2011" s="2" t="s">
        <v>1400</v>
      </c>
      <c r="I2011" s="4" t="s">
        <v>64</v>
      </c>
      <c r="J2011" s="112">
        <f>IF($H2011&lt;&gt;"Y",0,ROUND(MIN(Dashboard!$R$24,IF(IFERROR(VLOOKUP($B2011,Dashboard!$Q$28:$S$60,2,FALSE),0)&gt;0,IFERROR(VLOOKUP($B2011,Dashboard!$Q$28:$S$60,2,FALSE),0),$Z2011*IF($U2011&lt;&gt;"",ROUND((Dashboard!$R$4/$U2011)*VLOOKUP($I2011,Dashboard!$Q$9:$R$13,2,FALSE)*IF(ISNUMBER(SEARCH("Duals",$B2011)),2,IF(ISNUMBER(SEARCH("Triples",$B2011)),3,IF(ISNUMBER(SEARCH("Quads",$B2011)),4,1))),2),ROUND(VLOOKUP($I2011,Dashboard!$Q$15:$R$20,2,FALSE)*IF($E2011="Red",Dashboard!$R$6,IF($E2011="Gold",Dashboard!$R$7,Dashboard!$R$5))*IF(ISNUMBER(SEARCH("Duals",$B2011)),2,IF(ISNUMBER(SEARCH("Triples",$B2011)),3,IF(ISNUMBER(SEARCH("Quads",$B2011)),4,1))),2))*IF(IFERROR(VLOOKUP($B2011,Dashboard!$Q$28:$S$60,3,FALSE),0)&gt;0,VLOOKUP($B2011,Dashboard!$Q$28:$S$60,3,FALSE),1))),0))</f>
        <v>18</v>
      </c>
      <c r="K2011" s="2" t="str">
        <f>IF('Supes &amp; Supes SPs'!F40="","",'Supes &amp; Supes SPs'!F40)</f>
        <v>C</v>
      </c>
      <c r="L2011" s="2">
        <f t="shared" si="403"/>
        <v>1</v>
      </c>
      <c r="M2011" s="2">
        <f t="shared" si="404"/>
        <v>0</v>
      </c>
      <c r="N2011" s="2">
        <f t="shared" si="405"/>
        <v>1</v>
      </c>
      <c r="O2011" s="2">
        <f t="shared" si="406"/>
        <v>0</v>
      </c>
      <c r="P2011" s="112">
        <f t="shared" si="407"/>
        <v>18</v>
      </c>
      <c r="Q2011" s="112">
        <f t="shared" si="408"/>
        <v>0</v>
      </c>
      <c r="R2011" s="53"/>
      <c r="S2011" s="53" t="str">
        <f t="shared" si="409"/>
        <v>Lenticular &amp; SP|Supes SPs|S3SP-9|Base</v>
      </c>
      <c r="T2011" s="57">
        <f>IF($S2011="","",IFERROR(VLOOKUP($S2011,'Pop Estimates (Non-#d)'!$N$2:$O$500,2,FALSE),""))</f>
        <v>143</v>
      </c>
      <c r="U2011" s="57">
        <f t="shared" si="410"/>
        <v>143</v>
      </c>
      <c r="V2011" s="53" t="str">
        <f t="shared" si="411"/>
        <v/>
      </c>
      <c r="W2011" s="53" t="str">
        <f t="shared" si="412"/>
        <v/>
      </c>
      <c r="X2011" s="53" t="str">
        <f t="shared" si="413"/>
        <v/>
      </c>
      <c r="Y2011" s="57" t="str">
        <f>IF($X2011="","",IFERROR(VLOOKUP($X2011,'Char Popularity'!$A$2:$C$500,2,FALSE),""))</f>
        <v/>
      </c>
      <c r="Z2011" s="56">
        <f>IF($X2011="",1,IFERROR(VLOOKUP($X2011,'Char Popularity'!$A$2:$C$500,3,FALSE),1))</f>
        <v>1</v>
      </c>
      <c r="AA2011" s="62">
        <f>IF($H2011&lt;&gt;"Y",0,(IF($F2011&lt;&gt;"",ROUND(Dashboard!$R$4/$F2011,1),IF(AND($I2011="Base",$E2011="Base"),Dashboard!$R$5,IF(AND($I2011="Base",$E2011="Red"),Dashboard!$R$6,IF(AND($I2011="Base",$E2011="Gold"),Dashboard!$R$7,VLOOKUP($I2011,Dashboard!$Q$16:$R$21,2,FALSE)))))*VLOOKUP($I2011,Dashboard!$Q$9:$R$13,2,FALSE)*IF(AND($I2011="Auto",$F2011="",OR($B2011="Autographs Duals",$B2011="Autographs Triples",$B2011="Autographs Quads",$B2011="Autographs Quads (Inscribed)")),IF($B2011="Autographs Duals",2,IF($B2011="Autographs Triples",3,4)),1)))</f>
        <v>19.5</v>
      </c>
      <c r="AB2011" s="62">
        <f t="shared" si="414"/>
        <v>19.5</v>
      </c>
      <c r="AC2011" s="62">
        <f t="shared" si="415"/>
        <v>0</v>
      </c>
    </row>
    <row r="2012" spans="1:29" ht="30" customHeight="1" x14ac:dyDescent="0.25">
      <c r="A2012" s="4" t="s">
        <v>35</v>
      </c>
      <c r="B2012" s="7" t="s">
        <v>132</v>
      </c>
      <c r="C2012" s="2" t="s">
        <v>397</v>
      </c>
      <c r="D2012" s="7" t="s">
        <v>398</v>
      </c>
      <c r="E2012" s="4" t="s">
        <v>60</v>
      </c>
      <c r="F2012" s="2"/>
      <c r="G2012" s="2" t="s">
        <v>1399</v>
      </c>
      <c r="H2012" s="2" t="s">
        <v>1400</v>
      </c>
      <c r="I2012" s="4" t="s">
        <v>66</v>
      </c>
      <c r="J2012" s="112">
        <f>IF($H2012&lt;&gt;"Y",0,ROUND(MIN(Dashboard!$R$24,IF(IFERROR(VLOOKUP($B2012,Dashboard!$Q$28:$S$60,2,FALSE),0)&gt;0,IFERROR(VLOOKUP($B2012,Dashboard!$Q$28:$S$60,2,FALSE),0),$Z2012*IF($U2012&lt;&gt;"",ROUND((Dashboard!$R$4/$U2012)*VLOOKUP($I2012,Dashboard!$Q$9:$R$13,2,FALSE)*IF(ISNUMBER(SEARCH("Duals",$B2012)),2,IF(ISNUMBER(SEARCH("Triples",$B2012)),3,IF(ISNUMBER(SEARCH("Quads",$B2012)),4,1))),2),ROUND(VLOOKUP($I2012,Dashboard!$Q$15:$R$20,2,FALSE)*IF($E2012="Red",Dashboard!$R$6,IF($E2012="Gold",Dashboard!$R$7,Dashboard!$R$5))*IF(ISNUMBER(SEARCH("Duals",$B2012)),2,IF(ISNUMBER(SEARCH("Triples",$B2012)),3,IF(ISNUMBER(SEARCH("Quads",$B2012)),4,1))),2))*IF(IFERROR(VLOOKUP($B2012,Dashboard!$Q$28:$S$60,3,FALSE),0)&gt;0,VLOOKUP($B2012,Dashboard!$Q$28:$S$60,3,FALSE),1))),0))</f>
        <v>7</v>
      </c>
      <c r="K2012" s="2" t="str">
        <f>IF('Supes Suits'!F22="","",'Supes Suits'!F22)</f>
        <v>C</v>
      </c>
      <c r="L2012" s="2">
        <f t="shared" si="403"/>
        <v>1</v>
      </c>
      <c r="M2012" s="2">
        <f t="shared" si="404"/>
        <v>0</v>
      </c>
      <c r="N2012" s="2">
        <f t="shared" si="405"/>
        <v>1</v>
      </c>
      <c r="O2012" s="2">
        <f t="shared" si="406"/>
        <v>0</v>
      </c>
      <c r="P2012" s="112">
        <f t="shared" si="407"/>
        <v>7</v>
      </c>
      <c r="Q2012" s="112">
        <f t="shared" si="408"/>
        <v>0</v>
      </c>
      <c r="R2012" s="53"/>
      <c r="S2012" s="53" t="str">
        <f t="shared" si="409"/>
        <v>Supes Suits|Dual Supes Suits|DSS-1|Base</v>
      </c>
      <c r="T2012" s="57">
        <f>IF($S2012="","",IFERROR(VLOOKUP($S2012,'Pop Estimates (Non-#d)'!$N$2:$O$500,2,FALSE),""))</f>
        <v>271</v>
      </c>
      <c r="U2012" s="57">
        <f t="shared" si="410"/>
        <v>271</v>
      </c>
      <c r="V2012" s="53" t="str">
        <f t="shared" si="411"/>
        <v>Homelander/Jessie T. Usher as A-Train</v>
      </c>
      <c r="W2012" s="53" t="str">
        <f t="shared" si="412"/>
        <v>Homelander/Jessie T. Usher as A-Train</v>
      </c>
      <c r="X2012" s="53" t="str">
        <f t="shared" si="413"/>
        <v>Homelander/Jessie T. Usher as A-Train</v>
      </c>
      <c r="Y2012" s="57" t="str">
        <f>IF($X2012="","",IFERROR(VLOOKUP($X2012,'Char Popularity'!$A$2:$C$500,2,FALSE),""))</f>
        <v/>
      </c>
      <c r="Z2012" s="56">
        <f>IF($X2012="",1,IFERROR(VLOOKUP($X2012,'Char Popularity'!$A$2:$C$500,3,FALSE),1))</f>
        <v>1</v>
      </c>
      <c r="AA2012" s="62">
        <f>IF($H2012&lt;&gt;"Y",0,(IF($F2012&lt;&gt;"",ROUND(Dashboard!$R$4/$F2012,1),IF(AND($I2012="Base",$E2012="Base"),Dashboard!$R$5,IF(AND($I2012="Base",$E2012="Red"),Dashboard!$R$6,IF(AND($I2012="Base",$E2012="Gold"),Dashboard!$R$7,VLOOKUP($I2012,Dashboard!$Q$16:$R$21,2,FALSE)))))*VLOOKUP($I2012,Dashboard!$Q$9:$R$13,2,FALSE)*IF(AND($I2012="Auto",$F2012="",OR($B2012="Autographs Duals",$B2012="Autographs Triples",$B2012="Autographs Quads",$B2012="Autographs Quads (Inscribed)")),IF($B2012="Autographs Duals",2,IF($B2012="Autographs Triples",3,4)),1)))</f>
        <v>45</v>
      </c>
      <c r="AB2012" s="62">
        <f t="shared" si="414"/>
        <v>45</v>
      </c>
      <c r="AC2012" s="62">
        <f t="shared" si="415"/>
        <v>0</v>
      </c>
    </row>
    <row r="2013" spans="1:29" ht="30" customHeight="1" x14ac:dyDescent="0.25">
      <c r="A2013" s="4" t="s">
        <v>35</v>
      </c>
      <c r="B2013" s="7" t="s">
        <v>132</v>
      </c>
      <c r="C2013" s="2" t="s">
        <v>399</v>
      </c>
      <c r="D2013" s="7" t="s">
        <v>400</v>
      </c>
      <c r="E2013" s="4" t="s">
        <v>60</v>
      </c>
      <c r="F2013" s="2"/>
      <c r="G2013" s="2" t="s">
        <v>1399</v>
      </c>
      <c r="H2013" s="2" t="s">
        <v>1400</v>
      </c>
      <c r="I2013" s="4" t="s">
        <v>66</v>
      </c>
      <c r="J2013" s="112">
        <f>IF($H2013&lt;&gt;"Y",0,ROUND(MIN(Dashboard!$R$24,IF(IFERROR(VLOOKUP($B2013,Dashboard!$Q$28:$S$60,2,FALSE),0)&gt;0,IFERROR(VLOOKUP($B2013,Dashboard!$Q$28:$S$60,2,FALSE),0),$Z2013*IF($U2013&lt;&gt;"",ROUND((Dashboard!$R$4/$U2013)*VLOOKUP($I2013,Dashboard!$Q$9:$R$13,2,FALSE)*IF(ISNUMBER(SEARCH("Duals",$B2013)),2,IF(ISNUMBER(SEARCH("Triples",$B2013)),3,IF(ISNUMBER(SEARCH("Quads",$B2013)),4,1))),2),ROUND(VLOOKUP($I2013,Dashboard!$Q$15:$R$20,2,FALSE)*IF($E2013="Red",Dashboard!$R$6,IF($E2013="Gold",Dashboard!$R$7,Dashboard!$R$5))*IF(ISNUMBER(SEARCH("Duals",$B2013)),2,IF(ISNUMBER(SEARCH("Triples",$B2013)),3,IF(ISNUMBER(SEARCH("Quads",$B2013)),4,1))),2))*IF(IFERROR(VLOOKUP($B2013,Dashboard!$Q$28:$S$60,3,FALSE),0)&gt;0,VLOOKUP($B2013,Dashboard!$Q$28:$S$60,3,FALSE),1))),0))</f>
        <v>7</v>
      </c>
      <c r="K2013" s="2" t="str">
        <f>IF('Supes Suits'!F23="","",'Supes Suits'!F23)</f>
        <v>C</v>
      </c>
      <c r="L2013" s="2">
        <f t="shared" si="403"/>
        <v>1</v>
      </c>
      <c r="M2013" s="2">
        <f t="shared" si="404"/>
        <v>0</v>
      </c>
      <c r="N2013" s="2">
        <f t="shared" si="405"/>
        <v>1</v>
      </c>
      <c r="O2013" s="2">
        <f t="shared" si="406"/>
        <v>0</v>
      </c>
      <c r="P2013" s="112">
        <f t="shared" si="407"/>
        <v>7</v>
      </c>
      <c r="Q2013" s="112">
        <f t="shared" si="408"/>
        <v>0</v>
      </c>
      <c r="R2013" s="53"/>
      <c r="S2013" s="53" t="str">
        <f t="shared" si="409"/>
        <v>Supes Suits|Dual Supes Suits|DSS-2|Base</v>
      </c>
      <c r="T2013" s="57">
        <f>IF($S2013="","",IFERROR(VLOOKUP($S2013,'Pop Estimates (Non-#d)'!$N$2:$O$500,2,FALSE),""))</f>
        <v>271</v>
      </c>
      <c r="U2013" s="57">
        <f t="shared" si="410"/>
        <v>271</v>
      </c>
      <c r="V2013" s="53" t="str">
        <f t="shared" si="411"/>
        <v>Translucent/Antony Starr as Homelander</v>
      </c>
      <c r="W2013" s="53" t="str">
        <f t="shared" si="412"/>
        <v>Translucent/Antony Starr as Homelander</v>
      </c>
      <c r="X2013" s="53" t="str">
        <f t="shared" si="413"/>
        <v>Translucent/Antony Starr as Homelander</v>
      </c>
      <c r="Y2013" s="57" t="str">
        <f>IF($X2013="","",IFERROR(VLOOKUP($X2013,'Char Popularity'!$A$2:$C$500,2,FALSE),""))</f>
        <v/>
      </c>
      <c r="Z2013" s="56">
        <f>IF($X2013="",1,IFERROR(VLOOKUP($X2013,'Char Popularity'!$A$2:$C$500,3,FALSE),1))</f>
        <v>1</v>
      </c>
      <c r="AA2013" s="62">
        <f>IF($H2013&lt;&gt;"Y",0,(IF($F2013&lt;&gt;"",ROUND(Dashboard!$R$4/$F2013,1),IF(AND($I2013="Base",$E2013="Base"),Dashboard!$R$5,IF(AND($I2013="Base",$E2013="Red"),Dashboard!$R$6,IF(AND($I2013="Base",$E2013="Gold"),Dashboard!$R$7,VLOOKUP($I2013,Dashboard!$Q$16:$R$21,2,FALSE)))))*VLOOKUP($I2013,Dashboard!$Q$9:$R$13,2,FALSE)*IF(AND($I2013="Auto",$F2013="",OR($B2013="Autographs Duals",$B2013="Autographs Triples",$B2013="Autographs Quads",$B2013="Autographs Quads (Inscribed)")),IF($B2013="Autographs Duals",2,IF($B2013="Autographs Triples",3,4)),1)))</f>
        <v>45</v>
      </c>
      <c r="AB2013" s="62">
        <f t="shared" si="414"/>
        <v>45</v>
      </c>
      <c r="AC2013" s="62">
        <f t="shared" si="415"/>
        <v>0</v>
      </c>
    </row>
    <row r="2014" spans="1:29" ht="30" customHeight="1" x14ac:dyDescent="0.25">
      <c r="A2014" s="4" t="s">
        <v>35</v>
      </c>
      <c r="B2014" s="7" t="s">
        <v>132</v>
      </c>
      <c r="C2014" s="2" t="s">
        <v>401</v>
      </c>
      <c r="D2014" s="7" t="s">
        <v>402</v>
      </c>
      <c r="E2014" s="4" t="s">
        <v>60</v>
      </c>
      <c r="F2014" s="2"/>
      <c r="G2014" s="2" t="s">
        <v>1399</v>
      </c>
      <c r="H2014" s="2" t="s">
        <v>1400</v>
      </c>
      <c r="I2014" s="4" t="s">
        <v>66</v>
      </c>
      <c r="J2014" s="112">
        <f>IF($H2014&lt;&gt;"Y",0,ROUND(MIN(Dashboard!$R$24,IF(IFERROR(VLOOKUP($B2014,Dashboard!$Q$28:$S$60,2,FALSE),0)&gt;0,IFERROR(VLOOKUP($B2014,Dashboard!$Q$28:$S$60,2,FALSE),0),$Z2014*IF($U2014&lt;&gt;"",ROUND((Dashboard!$R$4/$U2014)*VLOOKUP($I2014,Dashboard!$Q$9:$R$13,2,FALSE)*IF(ISNUMBER(SEARCH("Duals",$B2014)),2,IF(ISNUMBER(SEARCH("Triples",$B2014)),3,IF(ISNUMBER(SEARCH("Quads",$B2014)),4,1))),2),ROUND(VLOOKUP($I2014,Dashboard!$Q$15:$R$20,2,FALSE)*IF($E2014="Red",Dashboard!$R$6,IF($E2014="Gold",Dashboard!$R$7,Dashboard!$R$5))*IF(ISNUMBER(SEARCH("Duals",$B2014)),2,IF(ISNUMBER(SEARCH("Triples",$B2014)),3,IF(ISNUMBER(SEARCH("Quads",$B2014)),4,1))),2))*IF(IFERROR(VLOOKUP($B2014,Dashboard!$Q$28:$S$60,3,FALSE),0)&gt;0,VLOOKUP($B2014,Dashboard!$Q$28:$S$60,3,FALSE),1))),0))</f>
        <v>7</v>
      </c>
      <c r="K2014" s="2" t="str">
        <f>IF('Supes Suits'!F24="","",'Supes Suits'!F24)</f>
        <v>V</v>
      </c>
      <c r="L2014" s="2">
        <f t="shared" si="403"/>
        <v>1</v>
      </c>
      <c r="M2014" s="2">
        <f t="shared" si="404"/>
        <v>0</v>
      </c>
      <c r="N2014" s="2">
        <f t="shared" si="405"/>
        <v>1</v>
      </c>
      <c r="O2014" s="2">
        <f t="shared" si="406"/>
        <v>0</v>
      </c>
      <c r="P2014" s="112">
        <f t="shared" si="407"/>
        <v>7</v>
      </c>
      <c r="Q2014" s="112">
        <f t="shared" si="408"/>
        <v>0</v>
      </c>
      <c r="R2014" s="53"/>
      <c r="S2014" s="53" t="str">
        <f t="shared" si="409"/>
        <v>Supes Suits|Dual Supes Suits|DSS-3|Base</v>
      </c>
      <c r="T2014" s="57">
        <f>IF($S2014="","",IFERROR(VLOOKUP($S2014,'Pop Estimates (Non-#d)'!$N$2:$O$500,2,FALSE),""))</f>
        <v>271</v>
      </c>
      <c r="U2014" s="57">
        <f t="shared" si="410"/>
        <v>271</v>
      </c>
      <c r="V2014" s="53" t="str">
        <f t="shared" si="411"/>
        <v>A-Train/Erin Moriarty as Starlight</v>
      </c>
      <c r="W2014" s="53" t="str">
        <f t="shared" si="412"/>
        <v>A-Train/Erin Moriarty as Starlight</v>
      </c>
      <c r="X2014" s="53" t="str">
        <f t="shared" si="413"/>
        <v>A-Train/Erin Moriarty as Starlight</v>
      </c>
      <c r="Y2014" s="57" t="str">
        <f>IF($X2014="","",IFERROR(VLOOKUP($X2014,'Char Popularity'!$A$2:$C$500,2,FALSE),""))</f>
        <v/>
      </c>
      <c r="Z2014" s="56">
        <f>IF($X2014="",1,IFERROR(VLOOKUP($X2014,'Char Popularity'!$A$2:$C$500,3,FALSE),1))</f>
        <v>1</v>
      </c>
      <c r="AA2014" s="62">
        <f>IF($H2014&lt;&gt;"Y",0,(IF($F2014&lt;&gt;"",ROUND(Dashboard!$R$4/$F2014,1),IF(AND($I2014="Base",$E2014="Base"),Dashboard!$R$5,IF(AND($I2014="Base",$E2014="Red"),Dashboard!$R$6,IF(AND($I2014="Base",$E2014="Gold"),Dashboard!$R$7,VLOOKUP($I2014,Dashboard!$Q$16:$R$21,2,FALSE)))))*VLOOKUP($I2014,Dashboard!$Q$9:$R$13,2,FALSE)*IF(AND($I2014="Auto",$F2014="",OR($B2014="Autographs Duals",$B2014="Autographs Triples",$B2014="Autographs Quads",$B2014="Autographs Quads (Inscribed)")),IF($B2014="Autographs Duals",2,IF($B2014="Autographs Triples",3,4)),1)))</f>
        <v>45</v>
      </c>
      <c r="AB2014" s="62">
        <f t="shared" si="414"/>
        <v>45</v>
      </c>
      <c r="AC2014" s="62">
        <f t="shared" si="415"/>
        <v>0</v>
      </c>
    </row>
    <row r="2015" spans="1:29" ht="30" customHeight="1" x14ac:dyDescent="0.25">
      <c r="A2015" s="4" t="s">
        <v>35</v>
      </c>
      <c r="B2015" s="7" t="s">
        <v>132</v>
      </c>
      <c r="C2015" s="2" t="s">
        <v>403</v>
      </c>
      <c r="D2015" s="7" t="s">
        <v>404</v>
      </c>
      <c r="E2015" s="4" t="s">
        <v>60</v>
      </c>
      <c r="F2015" s="2"/>
      <c r="G2015" s="2" t="s">
        <v>1399</v>
      </c>
      <c r="H2015" s="2" t="s">
        <v>1400</v>
      </c>
      <c r="I2015" s="4" t="s">
        <v>66</v>
      </c>
      <c r="J2015" s="112">
        <f>IF($H2015&lt;&gt;"Y",0,ROUND(MIN(Dashboard!$R$24,IF(IFERROR(VLOOKUP($B2015,Dashboard!$Q$28:$S$60,2,FALSE),0)&gt;0,IFERROR(VLOOKUP($B2015,Dashboard!$Q$28:$S$60,2,FALSE),0),$Z2015*IF($U2015&lt;&gt;"",ROUND((Dashboard!$R$4/$U2015)*VLOOKUP($I2015,Dashboard!$Q$9:$R$13,2,FALSE)*IF(ISNUMBER(SEARCH("Duals",$B2015)),2,IF(ISNUMBER(SEARCH("Triples",$B2015)),3,IF(ISNUMBER(SEARCH("Quads",$B2015)),4,1))),2),ROUND(VLOOKUP($I2015,Dashboard!$Q$15:$R$20,2,FALSE)*IF($E2015="Red",Dashboard!$R$6,IF($E2015="Gold",Dashboard!$R$7,Dashboard!$R$5))*IF(ISNUMBER(SEARCH("Duals",$B2015)),2,IF(ISNUMBER(SEARCH("Triples",$B2015)),3,IF(ISNUMBER(SEARCH("Quads",$B2015)),4,1))),2))*IF(IFERROR(VLOOKUP($B2015,Dashboard!$Q$28:$S$60,3,FALSE),0)&gt;0,VLOOKUP($B2015,Dashboard!$Q$28:$S$60,3,FALSE),1))),0))</f>
        <v>7</v>
      </c>
      <c r="K2015" s="2" t="str">
        <f>IF('Supes Suits'!F25="","",'Supes Suits'!F25)</f>
        <v>C</v>
      </c>
      <c r="L2015" s="2">
        <f t="shared" si="403"/>
        <v>1</v>
      </c>
      <c r="M2015" s="2">
        <f t="shared" si="404"/>
        <v>0</v>
      </c>
      <c r="N2015" s="2">
        <f t="shared" si="405"/>
        <v>1</v>
      </c>
      <c r="O2015" s="2">
        <f t="shared" si="406"/>
        <v>0</v>
      </c>
      <c r="P2015" s="112">
        <f t="shared" si="407"/>
        <v>7</v>
      </c>
      <c r="Q2015" s="112">
        <f t="shared" si="408"/>
        <v>0</v>
      </c>
      <c r="R2015" s="53"/>
      <c r="S2015" s="53" t="str">
        <f t="shared" si="409"/>
        <v>Supes Suits|Dual Supes Suits|DSS-4|Base</v>
      </c>
      <c r="T2015" s="57">
        <f>IF($S2015="","",IFERROR(VLOOKUP($S2015,'Pop Estimates (Non-#d)'!$N$2:$O$500,2,FALSE),""))</f>
        <v>271</v>
      </c>
      <c r="U2015" s="57">
        <f t="shared" si="410"/>
        <v>271</v>
      </c>
      <c r="V2015" s="53" t="str">
        <f t="shared" si="411"/>
        <v>Starlight/Antony Starr as Homelander</v>
      </c>
      <c r="W2015" s="53" t="str">
        <f t="shared" si="412"/>
        <v>Starlight/Antony Starr as Homelander</v>
      </c>
      <c r="X2015" s="53" t="str">
        <f t="shared" si="413"/>
        <v>Starlight/Antony Starr as Homelander</v>
      </c>
      <c r="Y2015" s="57" t="str">
        <f>IF($X2015="","",IFERROR(VLOOKUP($X2015,'Char Popularity'!$A$2:$C$500,2,FALSE),""))</f>
        <v/>
      </c>
      <c r="Z2015" s="56">
        <f>IF($X2015="",1,IFERROR(VLOOKUP($X2015,'Char Popularity'!$A$2:$C$500,3,FALSE),1))</f>
        <v>1</v>
      </c>
      <c r="AA2015" s="62">
        <f>IF($H2015&lt;&gt;"Y",0,(IF($F2015&lt;&gt;"",ROUND(Dashboard!$R$4/$F2015,1),IF(AND($I2015="Base",$E2015="Base"),Dashboard!$R$5,IF(AND($I2015="Base",$E2015="Red"),Dashboard!$R$6,IF(AND($I2015="Base",$E2015="Gold"),Dashboard!$R$7,VLOOKUP($I2015,Dashboard!$Q$16:$R$21,2,FALSE)))))*VLOOKUP($I2015,Dashboard!$Q$9:$R$13,2,FALSE)*IF(AND($I2015="Auto",$F2015="",OR($B2015="Autographs Duals",$B2015="Autographs Triples",$B2015="Autographs Quads",$B2015="Autographs Quads (Inscribed)")),IF($B2015="Autographs Duals",2,IF($B2015="Autographs Triples",3,4)),1)))</f>
        <v>45</v>
      </c>
      <c r="AB2015" s="62">
        <f t="shared" si="414"/>
        <v>45</v>
      </c>
      <c r="AC2015" s="62">
        <f t="shared" si="415"/>
        <v>0</v>
      </c>
    </row>
    <row r="2016" spans="1:29" ht="30" customHeight="1" x14ac:dyDescent="0.25">
      <c r="A2016" s="4" t="s">
        <v>35</v>
      </c>
      <c r="B2016" s="7" t="s">
        <v>132</v>
      </c>
      <c r="C2016" s="2" t="s">
        <v>405</v>
      </c>
      <c r="D2016" s="7" t="s">
        <v>406</v>
      </c>
      <c r="E2016" s="4" t="s">
        <v>60</v>
      </c>
      <c r="F2016" s="2"/>
      <c r="G2016" s="2" t="s">
        <v>1399</v>
      </c>
      <c r="H2016" s="2" t="s">
        <v>1400</v>
      </c>
      <c r="I2016" s="4" t="s">
        <v>66</v>
      </c>
      <c r="J2016" s="112">
        <f>IF($H2016&lt;&gt;"Y",0,ROUND(MIN(Dashboard!$R$24,IF(IFERROR(VLOOKUP($B2016,Dashboard!$Q$28:$S$60,2,FALSE),0)&gt;0,IFERROR(VLOOKUP($B2016,Dashboard!$Q$28:$S$60,2,FALSE),0),$Z2016*IF($U2016&lt;&gt;"",ROUND((Dashboard!$R$4/$U2016)*VLOOKUP($I2016,Dashboard!$Q$9:$R$13,2,FALSE)*IF(ISNUMBER(SEARCH("Duals",$B2016)),2,IF(ISNUMBER(SEARCH("Triples",$B2016)),3,IF(ISNUMBER(SEARCH("Quads",$B2016)),4,1))),2),ROUND(VLOOKUP($I2016,Dashboard!$Q$15:$R$20,2,FALSE)*IF($E2016="Red",Dashboard!$R$6,IF($E2016="Gold",Dashboard!$R$7,Dashboard!$R$5))*IF(ISNUMBER(SEARCH("Duals",$B2016)),2,IF(ISNUMBER(SEARCH("Triples",$B2016)),3,IF(ISNUMBER(SEARCH("Quads",$B2016)),4,1))),2))*IF(IFERROR(VLOOKUP($B2016,Dashboard!$Q$28:$S$60,3,FALSE),0)&gt;0,VLOOKUP($B2016,Dashboard!$Q$28:$S$60,3,FALSE),1))),0))</f>
        <v>7</v>
      </c>
      <c r="K2016" s="2" t="str">
        <f>IF('Supes Suits'!F26="","",'Supes Suits'!F26)</f>
        <v>C</v>
      </c>
      <c r="L2016" s="2">
        <f t="shared" si="403"/>
        <v>1</v>
      </c>
      <c r="M2016" s="2">
        <f t="shared" si="404"/>
        <v>0</v>
      </c>
      <c r="N2016" s="2">
        <f t="shared" si="405"/>
        <v>1</v>
      </c>
      <c r="O2016" s="2">
        <f t="shared" si="406"/>
        <v>0</v>
      </c>
      <c r="P2016" s="112">
        <f t="shared" si="407"/>
        <v>7</v>
      </c>
      <c r="Q2016" s="112">
        <f t="shared" si="408"/>
        <v>0</v>
      </c>
      <c r="R2016" s="53"/>
      <c r="S2016" s="53" t="str">
        <f t="shared" si="409"/>
        <v>Supes Suits|Dual Supes Suits|DSS-5|Base</v>
      </c>
      <c r="T2016" s="57">
        <f>IF($S2016="","",IFERROR(VLOOKUP($S2016,'Pop Estimates (Non-#d)'!$N$2:$O$500,2,FALSE),""))</f>
        <v>271</v>
      </c>
      <c r="U2016" s="57">
        <f t="shared" si="410"/>
        <v>271</v>
      </c>
      <c r="V2016" s="53" t="str">
        <f t="shared" si="411"/>
        <v>Homelander/Alex Hassell as Translucent</v>
      </c>
      <c r="W2016" s="53" t="str">
        <f t="shared" si="412"/>
        <v>Homelander/Alex Hassell as Translucent</v>
      </c>
      <c r="X2016" s="53" t="str">
        <f t="shared" si="413"/>
        <v>Homelander/Alex Hassell as Translucent</v>
      </c>
      <c r="Y2016" s="57" t="str">
        <f>IF($X2016="","",IFERROR(VLOOKUP($X2016,'Char Popularity'!$A$2:$C$500,2,FALSE),""))</f>
        <v/>
      </c>
      <c r="Z2016" s="56">
        <f>IF($X2016="",1,IFERROR(VLOOKUP($X2016,'Char Popularity'!$A$2:$C$500,3,FALSE),1))</f>
        <v>1</v>
      </c>
      <c r="AA2016" s="62">
        <f>IF($H2016&lt;&gt;"Y",0,(IF($F2016&lt;&gt;"",ROUND(Dashboard!$R$4/$F2016,1),IF(AND($I2016="Base",$E2016="Base"),Dashboard!$R$5,IF(AND($I2016="Base",$E2016="Red"),Dashboard!$R$6,IF(AND($I2016="Base",$E2016="Gold"),Dashboard!$R$7,VLOOKUP($I2016,Dashboard!$Q$16:$R$21,2,FALSE)))))*VLOOKUP($I2016,Dashboard!$Q$9:$R$13,2,FALSE)*IF(AND($I2016="Auto",$F2016="",OR($B2016="Autographs Duals",$B2016="Autographs Triples",$B2016="Autographs Quads",$B2016="Autographs Quads (Inscribed)")),IF($B2016="Autographs Duals",2,IF($B2016="Autographs Triples",3,4)),1)))</f>
        <v>45</v>
      </c>
      <c r="AB2016" s="62">
        <f t="shared" si="414"/>
        <v>45</v>
      </c>
      <c r="AC2016" s="62">
        <f t="shared" si="415"/>
        <v>0</v>
      </c>
    </row>
    <row r="2017" spans="1:29" ht="30" customHeight="1" x14ac:dyDescent="0.25">
      <c r="A2017" s="4" t="s">
        <v>35</v>
      </c>
      <c r="B2017" s="7" t="s">
        <v>132</v>
      </c>
      <c r="C2017" s="2" t="s">
        <v>407</v>
      </c>
      <c r="D2017" s="7" t="s">
        <v>408</v>
      </c>
      <c r="E2017" s="4" t="s">
        <v>60</v>
      </c>
      <c r="F2017" s="2"/>
      <c r="G2017" s="2" t="s">
        <v>1399</v>
      </c>
      <c r="H2017" s="2" t="s">
        <v>1400</v>
      </c>
      <c r="I2017" s="4" t="s">
        <v>66</v>
      </c>
      <c r="J2017" s="112">
        <f>IF($H2017&lt;&gt;"Y",0,ROUND(MIN(Dashboard!$R$24,IF(IFERROR(VLOOKUP($B2017,Dashboard!$Q$28:$S$60,2,FALSE),0)&gt;0,IFERROR(VLOOKUP($B2017,Dashboard!$Q$28:$S$60,2,FALSE),0),$Z2017*IF($U2017&lt;&gt;"",ROUND((Dashboard!$R$4/$U2017)*VLOOKUP($I2017,Dashboard!$Q$9:$R$13,2,FALSE)*IF(ISNUMBER(SEARCH("Duals",$B2017)),2,IF(ISNUMBER(SEARCH("Triples",$B2017)),3,IF(ISNUMBER(SEARCH("Quads",$B2017)),4,1))),2),ROUND(VLOOKUP($I2017,Dashboard!$Q$15:$R$20,2,FALSE)*IF($E2017="Red",Dashboard!$R$6,IF($E2017="Gold",Dashboard!$R$7,Dashboard!$R$5))*IF(ISNUMBER(SEARCH("Duals",$B2017)),2,IF(ISNUMBER(SEARCH("Triples",$B2017)),3,IF(ISNUMBER(SEARCH("Quads",$B2017)),4,1))),2))*IF(IFERROR(VLOOKUP($B2017,Dashboard!$Q$28:$S$60,3,FALSE),0)&gt;0,VLOOKUP($B2017,Dashboard!$Q$28:$S$60,3,FALSE),1))),0))</f>
        <v>7</v>
      </c>
      <c r="K2017" s="2" t="str">
        <f>IF('Supes Suits'!F27="","",'Supes Suits'!F27)</f>
        <v>C</v>
      </c>
      <c r="L2017" s="2">
        <f t="shared" si="403"/>
        <v>1</v>
      </c>
      <c r="M2017" s="2">
        <f t="shared" si="404"/>
        <v>0</v>
      </c>
      <c r="N2017" s="2">
        <f t="shared" si="405"/>
        <v>1</v>
      </c>
      <c r="O2017" s="2">
        <f t="shared" si="406"/>
        <v>0</v>
      </c>
      <c r="P2017" s="112">
        <f t="shared" si="407"/>
        <v>7</v>
      </c>
      <c r="Q2017" s="112">
        <f t="shared" si="408"/>
        <v>0</v>
      </c>
      <c r="R2017" s="53"/>
      <c r="S2017" s="53" t="str">
        <f t="shared" si="409"/>
        <v>Supes Suits|Dual Supes Suits|DSS-6|Base</v>
      </c>
      <c r="T2017" s="57">
        <f>IF($S2017="","",IFERROR(VLOOKUP($S2017,'Pop Estimates (Non-#d)'!$N$2:$O$500,2,FALSE),""))</f>
        <v>271</v>
      </c>
      <c r="U2017" s="57">
        <f t="shared" si="410"/>
        <v>271</v>
      </c>
      <c r="V2017" s="53" t="str">
        <f t="shared" si="411"/>
        <v>Homelander/Erin Moriarty as Starlight</v>
      </c>
      <c r="W2017" s="53" t="str">
        <f t="shared" si="412"/>
        <v>Homelander/Erin Moriarty as Starlight</v>
      </c>
      <c r="X2017" s="53" t="str">
        <f t="shared" si="413"/>
        <v>Homelander/Erin Moriarty as Starlight</v>
      </c>
      <c r="Y2017" s="57" t="str">
        <f>IF($X2017="","",IFERROR(VLOOKUP($X2017,'Char Popularity'!$A$2:$C$500,2,FALSE),""))</f>
        <v/>
      </c>
      <c r="Z2017" s="56">
        <f>IF($X2017="",1,IFERROR(VLOOKUP($X2017,'Char Popularity'!$A$2:$C$500,3,FALSE),1))</f>
        <v>1</v>
      </c>
      <c r="AA2017" s="62">
        <f>IF($H2017&lt;&gt;"Y",0,(IF($F2017&lt;&gt;"",ROUND(Dashboard!$R$4/$F2017,1),IF(AND($I2017="Base",$E2017="Base"),Dashboard!$R$5,IF(AND($I2017="Base",$E2017="Red"),Dashboard!$R$6,IF(AND($I2017="Base",$E2017="Gold"),Dashboard!$R$7,VLOOKUP($I2017,Dashboard!$Q$16:$R$21,2,FALSE)))))*VLOOKUP($I2017,Dashboard!$Q$9:$R$13,2,FALSE)*IF(AND($I2017="Auto",$F2017="",OR($B2017="Autographs Duals",$B2017="Autographs Triples",$B2017="Autographs Quads",$B2017="Autographs Quads (Inscribed)")),IF($B2017="Autographs Duals",2,IF($B2017="Autographs Triples",3,4)),1)))</f>
        <v>45</v>
      </c>
      <c r="AB2017" s="62">
        <f t="shared" si="414"/>
        <v>45</v>
      </c>
      <c r="AC2017" s="62">
        <f t="shared" si="415"/>
        <v>0</v>
      </c>
    </row>
    <row r="2018" spans="1:29" ht="30" customHeight="1" x14ac:dyDescent="0.25">
      <c r="A2018" s="4" t="s">
        <v>35</v>
      </c>
      <c r="B2018" s="7" t="s">
        <v>100</v>
      </c>
      <c r="C2018" s="2" t="s">
        <v>1345</v>
      </c>
      <c r="D2018" s="7" t="s">
        <v>1346</v>
      </c>
      <c r="E2018" s="4" t="s">
        <v>60</v>
      </c>
      <c r="F2018" s="2">
        <v>25</v>
      </c>
      <c r="G2018" s="2" t="s">
        <v>1399</v>
      </c>
      <c r="H2018" s="2" t="s">
        <v>1400</v>
      </c>
      <c r="I2018" s="4" t="s">
        <v>66</v>
      </c>
      <c r="J2018" s="112">
        <f>IF($H2018&lt;&gt;"Y",0,ROUND(MIN(Dashboard!$R$24,IF(IFERROR(VLOOKUP($B2018,Dashboard!$Q$28:$S$60,2,FALSE),0)&gt;0,IFERROR(VLOOKUP($B2018,Dashboard!$Q$28:$S$60,2,FALSE),0),$Z2018*IF($U2018&lt;&gt;"",ROUND((Dashboard!$R$4/$U2018)*VLOOKUP($I2018,Dashboard!$Q$9:$R$13,2,FALSE)*IF(ISNUMBER(SEARCH("Duals",$B2018)),2,IF(ISNUMBER(SEARCH("Triples",$B2018)),3,IF(ISNUMBER(SEARCH("Quads",$B2018)),4,1))),2),ROUND(VLOOKUP($I2018,Dashboard!$Q$15:$R$20,2,FALSE)*IF($E2018="Red",Dashboard!$R$6,IF($E2018="Gold",Dashboard!$R$7,Dashboard!$R$5))*IF(ISNUMBER(SEARCH("Duals",$B2018)),2,IF(ISNUMBER(SEARCH("Triples",$B2018)),3,IF(ISNUMBER(SEARCH("Quads",$B2018)),4,1))),2))*IF(IFERROR(VLOOKUP($B2018,Dashboard!$Q$28:$S$60,3,FALSE),0)&gt;0,VLOOKUP($B2018,Dashboard!$Q$28:$S$60,3,FALSE),1))),0))</f>
        <v>144</v>
      </c>
      <c r="K2018" s="2" t="str">
        <f>IF('Supes Suits'!F28="","",'Supes Suits'!F28)</f>
        <v>V 17/25</v>
      </c>
      <c r="L2018" s="2">
        <f t="shared" si="403"/>
        <v>1</v>
      </c>
      <c r="M2018" s="2">
        <f t="shared" si="404"/>
        <v>0</v>
      </c>
      <c r="N2018" s="2">
        <f t="shared" si="405"/>
        <v>1</v>
      </c>
      <c r="O2018" s="2">
        <f t="shared" si="406"/>
        <v>0</v>
      </c>
      <c r="P2018" s="112">
        <f t="shared" si="407"/>
        <v>144</v>
      </c>
      <c r="Q2018" s="112">
        <f t="shared" si="408"/>
        <v>0</v>
      </c>
      <c r="R2018" s="53"/>
      <c r="S2018" s="53" t="str">
        <f t="shared" si="409"/>
        <v>Supes Suits|Dual Supes Suits Gold|DSG-1|Base</v>
      </c>
      <c r="T2018" s="57" t="str">
        <f>IF($S2018="","",IFERROR(VLOOKUP($S2018,'Pop Estimates (Non-#d)'!$N$2:$O$500,2,FALSE),""))</f>
        <v/>
      </c>
      <c r="U2018" s="57">
        <f t="shared" si="410"/>
        <v>25</v>
      </c>
      <c r="V2018" s="53" t="str">
        <f t="shared" si="411"/>
        <v>Translucent/Erin Moriarty as Starlight</v>
      </c>
      <c r="W2018" s="53" t="str">
        <f t="shared" si="412"/>
        <v>Translucent/Erin Moriarty as Starlight</v>
      </c>
      <c r="X2018" s="53" t="str">
        <f t="shared" si="413"/>
        <v>Translucent/Erin Moriarty as Starlight</v>
      </c>
      <c r="Y2018" s="57" t="str">
        <f>IF($X2018="","",IFERROR(VLOOKUP($X2018,'Char Popularity'!$A$2:$C$500,2,FALSE),""))</f>
        <v/>
      </c>
      <c r="Z2018" s="56">
        <f>IF($X2018="",1,IFERROR(VLOOKUP($X2018,'Char Popularity'!$A$2:$C$500,3,FALSE),1))</f>
        <v>1</v>
      </c>
      <c r="AA2018" s="62">
        <f>IF($H2018&lt;&gt;"Y",0,(IF($F2018&lt;&gt;"",ROUND(Dashboard!$R$4/$F2018,1),IF(AND($I2018="Base",$E2018="Base"),Dashboard!$R$5,IF(AND($I2018="Base",$E2018="Red"),Dashboard!$R$6,IF(AND($I2018="Base",$E2018="Gold"),Dashboard!$R$7,VLOOKUP($I2018,Dashboard!$Q$16:$R$21,2,FALSE)))))*VLOOKUP($I2018,Dashboard!$Q$9:$R$13,2,FALSE)*IF(AND($I2018="Auto",$F2018="",OR($B2018="Autographs Duals",$B2018="Autographs Triples",$B2018="Autographs Quads",$B2018="Autographs Quads (Inscribed)")),IF($B2018="Autographs Duals",2,IF($B2018="Autographs Triples",3,4)),1)))</f>
        <v>72</v>
      </c>
      <c r="AB2018" s="62">
        <f t="shared" si="414"/>
        <v>72</v>
      </c>
      <c r="AC2018" s="62">
        <f t="shared" si="415"/>
        <v>0</v>
      </c>
    </row>
    <row r="2019" spans="1:29" ht="30" customHeight="1" x14ac:dyDescent="0.25">
      <c r="A2019" s="4" t="s">
        <v>35</v>
      </c>
      <c r="B2019" s="7" t="s">
        <v>100</v>
      </c>
      <c r="C2019" s="2" t="s">
        <v>1348</v>
      </c>
      <c r="D2019" s="7" t="s">
        <v>408</v>
      </c>
      <c r="E2019" s="4" t="s">
        <v>60</v>
      </c>
      <c r="F2019" s="2">
        <v>25</v>
      </c>
      <c r="G2019" s="2" t="s">
        <v>1399</v>
      </c>
      <c r="H2019" s="2" t="s">
        <v>1400</v>
      </c>
      <c r="I2019" s="4" t="s">
        <v>66</v>
      </c>
      <c r="J2019" s="112">
        <f>IF($H2019&lt;&gt;"Y",0,ROUND(MIN(Dashboard!$R$24,IF(IFERROR(VLOOKUP($B2019,Dashboard!$Q$28:$S$60,2,FALSE),0)&gt;0,IFERROR(VLOOKUP($B2019,Dashboard!$Q$28:$S$60,2,FALSE),0),$Z2019*IF($U2019&lt;&gt;"",ROUND((Dashboard!$R$4/$U2019)*VLOOKUP($I2019,Dashboard!$Q$9:$R$13,2,FALSE)*IF(ISNUMBER(SEARCH("Duals",$B2019)),2,IF(ISNUMBER(SEARCH("Triples",$B2019)),3,IF(ISNUMBER(SEARCH("Quads",$B2019)),4,1))),2),ROUND(VLOOKUP($I2019,Dashboard!$Q$15:$R$20,2,FALSE)*IF($E2019="Red",Dashboard!$R$6,IF($E2019="Gold",Dashboard!$R$7,Dashboard!$R$5))*IF(ISNUMBER(SEARCH("Duals",$B2019)),2,IF(ISNUMBER(SEARCH("Triples",$B2019)),3,IF(ISNUMBER(SEARCH("Quads",$B2019)),4,1))),2))*IF(IFERROR(VLOOKUP($B2019,Dashboard!$Q$28:$S$60,3,FALSE),0)&gt;0,VLOOKUP($B2019,Dashboard!$Q$28:$S$60,3,FALSE),1))),0))</f>
        <v>144</v>
      </c>
      <c r="K2019" s="2" t="str">
        <f>IF('Supes Suits'!F29="","",'Supes Suits'!F29)</f>
        <v/>
      </c>
      <c r="L2019" s="2">
        <f t="shared" si="403"/>
        <v>0</v>
      </c>
      <c r="M2019" s="2">
        <f t="shared" si="404"/>
        <v>0</v>
      </c>
      <c r="N2019" s="2">
        <f t="shared" si="405"/>
        <v>0</v>
      </c>
      <c r="O2019" s="2">
        <f t="shared" si="406"/>
        <v>1</v>
      </c>
      <c r="P2019" s="112">
        <f t="shared" si="407"/>
        <v>0</v>
      </c>
      <c r="Q2019" s="112">
        <f t="shared" si="408"/>
        <v>0</v>
      </c>
      <c r="R2019" s="53"/>
      <c r="S2019" s="53" t="str">
        <f t="shared" si="409"/>
        <v>Supes Suits|Dual Supes Suits Gold|DSG-2|Base</v>
      </c>
      <c r="T2019" s="57" t="str">
        <f>IF($S2019="","",IFERROR(VLOOKUP($S2019,'Pop Estimates (Non-#d)'!$N$2:$O$500,2,FALSE),""))</f>
        <v/>
      </c>
      <c r="U2019" s="57">
        <f t="shared" si="410"/>
        <v>25</v>
      </c>
      <c r="V2019" s="53" t="str">
        <f t="shared" si="411"/>
        <v>Homelander/Erin Moriarty as Starlight</v>
      </c>
      <c r="W2019" s="53" t="str">
        <f t="shared" si="412"/>
        <v>Homelander/Erin Moriarty as Starlight</v>
      </c>
      <c r="X2019" s="53" t="str">
        <f t="shared" si="413"/>
        <v>Homelander/Erin Moriarty as Starlight</v>
      </c>
      <c r="Y2019" s="57" t="str">
        <f>IF($X2019="","",IFERROR(VLOOKUP($X2019,'Char Popularity'!$A$2:$C$500,2,FALSE),""))</f>
        <v/>
      </c>
      <c r="Z2019" s="56">
        <f>IF($X2019="",1,IFERROR(VLOOKUP($X2019,'Char Popularity'!$A$2:$C$500,3,FALSE),1))</f>
        <v>1</v>
      </c>
      <c r="AA2019" s="62">
        <f>IF($H2019&lt;&gt;"Y",0,(IF($F2019&lt;&gt;"",ROUND(Dashboard!$R$4/$F2019,1),IF(AND($I2019="Base",$E2019="Base"),Dashboard!$R$5,IF(AND($I2019="Base",$E2019="Red"),Dashboard!$R$6,IF(AND($I2019="Base",$E2019="Gold"),Dashboard!$R$7,VLOOKUP($I2019,Dashboard!$Q$16:$R$21,2,FALSE)))))*VLOOKUP($I2019,Dashboard!$Q$9:$R$13,2,FALSE)*IF(AND($I2019="Auto",$F2019="",OR($B2019="Autographs Duals",$B2019="Autographs Triples",$B2019="Autographs Quads",$B2019="Autographs Quads (Inscribed)")),IF($B2019="Autographs Duals",2,IF($B2019="Autographs Triples",3,4)),1)))</f>
        <v>72</v>
      </c>
      <c r="AB2019" s="62">
        <f t="shared" si="414"/>
        <v>0</v>
      </c>
      <c r="AC2019" s="62">
        <f t="shared" si="415"/>
        <v>0</v>
      </c>
    </row>
    <row r="2020" spans="1:29" ht="30" customHeight="1" x14ac:dyDescent="0.25">
      <c r="A2020" s="4" t="s">
        <v>35</v>
      </c>
      <c r="B2020" s="7" t="s">
        <v>100</v>
      </c>
      <c r="C2020" s="2" t="s">
        <v>1349</v>
      </c>
      <c r="D2020" s="7" t="s">
        <v>1350</v>
      </c>
      <c r="E2020" s="4" t="s">
        <v>60</v>
      </c>
      <c r="F2020" s="2">
        <v>25</v>
      </c>
      <c r="G2020" s="2" t="s">
        <v>1399</v>
      </c>
      <c r="H2020" s="2" t="s">
        <v>1400</v>
      </c>
      <c r="I2020" s="4" t="s">
        <v>66</v>
      </c>
      <c r="J2020" s="112">
        <f>IF($H2020&lt;&gt;"Y",0,ROUND(MIN(Dashboard!$R$24,IF(IFERROR(VLOOKUP($B2020,Dashboard!$Q$28:$S$60,2,FALSE),0)&gt;0,IFERROR(VLOOKUP($B2020,Dashboard!$Q$28:$S$60,2,FALSE),0),$Z2020*IF($U2020&lt;&gt;"",ROUND((Dashboard!$R$4/$U2020)*VLOOKUP($I2020,Dashboard!$Q$9:$R$13,2,FALSE)*IF(ISNUMBER(SEARCH("Duals",$B2020)),2,IF(ISNUMBER(SEARCH("Triples",$B2020)),3,IF(ISNUMBER(SEARCH("Quads",$B2020)),4,1))),2),ROUND(VLOOKUP($I2020,Dashboard!$Q$15:$R$20,2,FALSE)*IF($E2020="Red",Dashboard!$R$6,IF($E2020="Gold",Dashboard!$R$7,Dashboard!$R$5))*IF(ISNUMBER(SEARCH("Duals",$B2020)),2,IF(ISNUMBER(SEARCH("Triples",$B2020)),3,IF(ISNUMBER(SEARCH("Quads",$B2020)),4,1))),2))*IF(IFERROR(VLOOKUP($B2020,Dashboard!$Q$28:$S$60,3,FALSE),0)&gt;0,VLOOKUP($B2020,Dashboard!$Q$28:$S$60,3,FALSE),1))),0))</f>
        <v>144</v>
      </c>
      <c r="K2020" s="2" t="str">
        <f>IF('Supes Suits'!F30="","",'Supes Suits'!F30)</f>
        <v/>
      </c>
      <c r="L2020" s="2">
        <f t="shared" si="403"/>
        <v>0</v>
      </c>
      <c r="M2020" s="2">
        <f t="shared" si="404"/>
        <v>0</v>
      </c>
      <c r="N2020" s="2">
        <f t="shared" si="405"/>
        <v>0</v>
      </c>
      <c r="O2020" s="2">
        <f t="shared" si="406"/>
        <v>1</v>
      </c>
      <c r="P2020" s="112">
        <f t="shared" si="407"/>
        <v>0</v>
      </c>
      <c r="Q2020" s="112">
        <f t="shared" si="408"/>
        <v>0</v>
      </c>
      <c r="R2020" s="53"/>
      <c r="S2020" s="53" t="str">
        <f t="shared" si="409"/>
        <v>Supes Suits|Dual Supes Suits Gold|DSG-3|Base</v>
      </c>
      <c r="T2020" s="57" t="str">
        <f>IF($S2020="","",IFERROR(VLOOKUP($S2020,'Pop Estimates (Non-#d)'!$N$2:$O$500,2,FALSE),""))</f>
        <v/>
      </c>
      <c r="U2020" s="57">
        <f t="shared" si="410"/>
        <v>25</v>
      </c>
      <c r="V2020" s="53" t="str">
        <f t="shared" si="411"/>
        <v>Translucent/Jessie T. Usher as A-Train</v>
      </c>
      <c r="W2020" s="53" t="str">
        <f t="shared" si="412"/>
        <v>Translucent/Jessie T. Usher as A-Train</v>
      </c>
      <c r="X2020" s="53" t="str">
        <f t="shared" si="413"/>
        <v>Translucent/Jessie T. Usher as A-Train</v>
      </c>
      <c r="Y2020" s="57" t="str">
        <f>IF($X2020="","",IFERROR(VLOOKUP($X2020,'Char Popularity'!$A$2:$C$500,2,FALSE),""))</f>
        <v/>
      </c>
      <c r="Z2020" s="56">
        <f>IF($X2020="",1,IFERROR(VLOOKUP($X2020,'Char Popularity'!$A$2:$C$500,3,FALSE),1))</f>
        <v>1</v>
      </c>
      <c r="AA2020" s="62">
        <f>IF($H2020&lt;&gt;"Y",0,(IF($F2020&lt;&gt;"",ROUND(Dashboard!$R$4/$F2020,1),IF(AND($I2020="Base",$E2020="Base"),Dashboard!$R$5,IF(AND($I2020="Base",$E2020="Red"),Dashboard!$R$6,IF(AND($I2020="Base",$E2020="Gold"),Dashboard!$R$7,VLOOKUP($I2020,Dashboard!$Q$16:$R$21,2,FALSE)))))*VLOOKUP($I2020,Dashboard!$Q$9:$R$13,2,FALSE)*IF(AND($I2020="Auto",$F2020="",OR($B2020="Autographs Duals",$B2020="Autographs Triples",$B2020="Autographs Quads",$B2020="Autographs Quads (Inscribed)")),IF($B2020="Autographs Duals",2,IF($B2020="Autographs Triples",3,4)),1)))</f>
        <v>72</v>
      </c>
      <c r="AB2020" s="62">
        <f t="shared" si="414"/>
        <v>0</v>
      </c>
      <c r="AC2020" s="62">
        <f t="shared" si="415"/>
        <v>0</v>
      </c>
    </row>
    <row r="2021" spans="1:29" ht="45" customHeight="1" x14ac:dyDescent="0.25">
      <c r="A2021" s="4" t="s">
        <v>35</v>
      </c>
      <c r="B2021" s="7" t="s">
        <v>98</v>
      </c>
      <c r="C2021" s="2" t="s">
        <v>210</v>
      </c>
      <c r="D2021" s="7" t="s">
        <v>211</v>
      </c>
      <c r="E2021" s="4" t="s">
        <v>60</v>
      </c>
      <c r="F2021" s="2"/>
      <c r="G2021" s="2" t="s">
        <v>1399</v>
      </c>
      <c r="H2021" s="2" t="s">
        <v>1400</v>
      </c>
      <c r="I2021" s="4" t="s">
        <v>66</v>
      </c>
      <c r="J2021" s="112">
        <f>IF($H2021&lt;&gt;"Y",0,ROUND(MIN(Dashboard!$R$24,IF(IFERROR(VLOOKUP($B2021,Dashboard!$Q$28:$S$60,2,FALSE),0)&gt;0,IFERROR(VLOOKUP($B2021,Dashboard!$Q$28:$S$60,2,FALSE),0),$Z2021*IF($U2021&lt;&gt;"",ROUND((Dashboard!$R$4/$U2021)*VLOOKUP($I2021,Dashboard!$Q$9:$R$13,2,FALSE)*IF(ISNUMBER(SEARCH("Duals",$B2021)),2,IF(ISNUMBER(SEARCH("Triples",$B2021)),3,IF(ISNUMBER(SEARCH("Quads",$B2021)),4,1))),2),ROUND(VLOOKUP($I2021,Dashboard!$Q$15:$R$20,2,FALSE)*IF($E2021="Red",Dashboard!$R$6,IF($E2021="Gold",Dashboard!$R$7,Dashboard!$R$5))*IF(ISNUMBER(SEARCH("Duals",$B2021)),2,IF(ISNUMBER(SEARCH("Triples",$B2021)),3,IF(ISNUMBER(SEARCH("Quads",$B2021)),4,1))),2))*IF(IFERROR(VLOOKUP($B2021,Dashboard!$Q$28:$S$60,3,FALSE),0)&gt;0,VLOOKUP($B2021,Dashboard!$Q$28:$S$60,3,FALSE),1))),0))</f>
        <v>101</v>
      </c>
      <c r="K2021" s="2" t="str">
        <f>IF('Supes Suits'!F34="","",'Supes Suits'!F34)</f>
        <v/>
      </c>
      <c r="L2021" s="2">
        <f t="shared" si="403"/>
        <v>0</v>
      </c>
      <c r="M2021" s="2">
        <f t="shared" si="404"/>
        <v>0</v>
      </c>
      <c r="N2021" s="2">
        <f t="shared" si="405"/>
        <v>0</v>
      </c>
      <c r="O2021" s="2">
        <f t="shared" si="406"/>
        <v>1</v>
      </c>
      <c r="P2021" s="112">
        <f t="shared" si="407"/>
        <v>0</v>
      </c>
      <c r="Q2021" s="112">
        <f t="shared" si="408"/>
        <v>0</v>
      </c>
      <c r="R2021" s="53"/>
      <c r="S2021" s="53" t="str">
        <f t="shared" si="409"/>
        <v>Supes Suits|Quad Supes Suits|QSS-1|Base</v>
      </c>
      <c r="T2021" s="57">
        <f>IF($S2021="","",IFERROR(VLOOKUP($S2021,'Pop Estimates (Non-#d)'!$N$2:$O$500,2,FALSE),""))</f>
        <v>71</v>
      </c>
      <c r="U2021" s="57">
        <f t="shared" si="410"/>
        <v>71</v>
      </c>
      <c r="V2021" s="53" t="str">
        <f t="shared" si="411"/>
        <v>Homelander/Erin Moriarty as Starlight/Alex Hassell as Translucent/Jessie T. Usher as A-Train</v>
      </c>
      <c r="W2021" s="53" t="str">
        <f t="shared" si="412"/>
        <v>Homelander/Erin Moriarty as Starlight/Alex Hassell as Translucent/Jessie T. Usher as A-Train</v>
      </c>
      <c r="X2021" s="53" t="str">
        <f t="shared" si="413"/>
        <v>Homelander/Erin Moriarty as Starlight/Alex Hassell as Translucent/Jessie T. Usher as A-Train</v>
      </c>
      <c r="Y2021" s="57" t="str">
        <f>IF($X2021="","",IFERROR(VLOOKUP($X2021,'Char Popularity'!$A$2:$C$500,2,FALSE),""))</f>
        <v/>
      </c>
      <c r="Z2021" s="56">
        <f>IF($X2021="",1,IFERROR(VLOOKUP($X2021,'Char Popularity'!$A$2:$C$500,3,FALSE),1))</f>
        <v>1</v>
      </c>
      <c r="AA2021" s="62">
        <f>IF($H2021&lt;&gt;"Y",0,(IF($F2021&lt;&gt;"",ROUND(Dashboard!$R$4/$F2021,1),IF(AND($I2021="Base",$E2021="Base"),Dashboard!$R$5,IF(AND($I2021="Base",$E2021="Red"),Dashboard!$R$6,IF(AND($I2021="Base",$E2021="Gold"),Dashboard!$R$7,VLOOKUP($I2021,Dashboard!$Q$16:$R$21,2,FALSE)))))*VLOOKUP($I2021,Dashboard!$Q$9:$R$13,2,FALSE)*IF(AND($I2021="Auto",$F2021="",OR($B2021="Autographs Duals",$B2021="Autographs Triples",$B2021="Autographs Quads",$B2021="Autographs Quads (Inscribed)")),IF($B2021="Autographs Duals",2,IF($B2021="Autographs Triples",3,4)),1)))</f>
        <v>45</v>
      </c>
      <c r="AB2021" s="62">
        <f t="shared" si="414"/>
        <v>0</v>
      </c>
      <c r="AC2021" s="62">
        <f t="shared" si="415"/>
        <v>0</v>
      </c>
    </row>
    <row r="2022" spans="1:29" ht="45" customHeight="1" x14ac:dyDescent="0.25">
      <c r="A2022" s="4" t="s">
        <v>35</v>
      </c>
      <c r="B2022" s="7" t="s">
        <v>98</v>
      </c>
      <c r="C2022" s="2" t="s">
        <v>212</v>
      </c>
      <c r="D2022" s="7" t="s">
        <v>213</v>
      </c>
      <c r="E2022" s="4" t="s">
        <v>60</v>
      </c>
      <c r="F2022" s="2"/>
      <c r="G2022" s="2" t="s">
        <v>1399</v>
      </c>
      <c r="H2022" s="2" t="s">
        <v>1400</v>
      </c>
      <c r="I2022" s="4" t="s">
        <v>66</v>
      </c>
      <c r="J2022" s="112">
        <f>IF($H2022&lt;&gt;"Y",0,ROUND(MIN(Dashboard!$R$24,IF(IFERROR(VLOOKUP($B2022,Dashboard!$Q$28:$S$60,2,FALSE),0)&gt;0,IFERROR(VLOOKUP($B2022,Dashboard!$Q$28:$S$60,2,FALSE),0),$Z2022*IF($U2022&lt;&gt;"",ROUND((Dashboard!$R$4/$U2022)*VLOOKUP($I2022,Dashboard!$Q$9:$R$13,2,FALSE)*IF(ISNUMBER(SEARCH("Duals",$B2022)),2,IF(ISNUMBER(SEARCH("Triples",$B2022)),3,IF(ISNUMBER(SEARCH("Quads",$B2022)),4,1))),2),ROUND(VLOOKUP($I2022,Dashboard!$Q$15:$R$20,2,FALSE)*IF($E2022="Red",Dashboard!$R$6,IF($E2022="Gold",Dashboard!$R$7,Dashboard!$R$5))*IF(ISNUMBER(SEARCH("Duals",$B2022)),2,IF(ISNUMBER(SEARCH("Triples",$B2022)),3,IF(ISNUMBER(SEARCH("Quads",$B2022)),4,1))),2))*IF(IFERROR(VLOOKUP($B2022,Dashboard!$Q$28:$S$60,3,FALSE),0)&gt;0,VLOOKUP($B2022,Dashboard!$Q$28:$S$60,3,FALSE),1))),0))</f>
        <v>101</v>
      </c>
      <c r="K2022" s="2" t="str">
        <f>IF('Supes Suits'!F35="","",'Supes Suits'!F35)</f>
        <v/>
      </c>
      <c r="L2022" s="2">
        <f t="shared" si="403"/>
        <v>0</v>
      </c>
      <c r="M2022" s="2">
        <f t="shared" si="404"/>
        <v>0</v>
      </c>
      <c r="N2022" s="2">
        <f t="shared" si="405"/>
        <v>0</v>
      </c>
      <c r="O2022" s="2">
        <f t="shared" si="406"/>
        <v>1</v>
      </c>
      <c r="P2022" s="112">
        <f t="shared" si="407"/>
        <v>0</v>
      </c>
      <c r="Q2022" s="112">
        <f t="shared" si="408"/>
        <v>0</v>
      </c>
      <c r="R2022" s="53"/>
      <c r="S2022" s="53" t="str">
        <f t="shared" si="409"/>
        <v>Supes Suits|Quad Supes Suits|QSS-2|Base</v>
      </c>
      <c r="T2022" s="57">
        <f>IF($S2022="","",IFERROR(VLOOKUP($S2022,'Pop Estimates (Non-#d)'!$N$2:$O$500,2,FALSE),""))</f>
        <v>71</v>
      </c>
      <c r="U2022" s="57">
        <f t="shared" si="410"/>
        <v>71</v>
      </c>
      <c r="V2022" s="53" t="str">
        <f t="shared" si="411"/>
        <v>A-Train/Antony Starr as Homelander/Alex Hassell as Translucent/Erin Moriarty as Starlight</v>
      </c>
      <c r="W2022" s="53" t="str">
        <f t="shared" si="412"/>
        <v>A-Train/Antony Starr as Homelander/Alex Hassell as Translucent/Erin Moriarty as Starlight</v>
      </c>
      <c r="X2022" s="53" t="str">
        <f t="shared" si="413"/>
        <v>A-Train/Antony Starr as Homelander/Alex Hassell as Translucent/Erin Moriarty as Starlight</v>
      </c>
      <c r="Y2022" s="57" t="str">
        <f>IF($X2022="","",IFERROR(VLOOKUP($X2022,'Char Popularity'!$A$2:$C$500,2,FALSE),""))</f>
        <v/>
      </c>
      <c r="Z2022" s="56">
        <f>IF($X2022="",1,IFERROR(VLOOKUP($X2022,'Char Popularity'!$A$2:$C$500,3,FALSE),1))</f>
        <v>1</v>
      </c>
      <c r="AA2022" s="62">
        <f>IF($H2022&lt;&gt;"Y",0,(IF($F2022&lt;&gt;"",ROUND(Dashboard!$R$4/$F2022,1),IF(AND($I2022="Base",$E2022="Base"),Dashboard!$R$5,IF(AND($I2022="Base",$E2022="Red"),Dashboard!$R$6,IF(AND($I2022="Base",$E2022="Gold"),Dashboard!$R$7,VLOOKUP($I2022,Dashboard!$Q$16:$R$21,2,FALSE)))))*VLOOKUP($I2022,Dashboard!$Q$9:$R$13,2,FALSE)*IF(AND($I2022="Auto",$F2022="",OR($B2022="Autographs Duals",$B2022="Autographs Triples",$B2022="Autographs Quads",$B2022="Autographs Quads (Inscribed)")),IF($B2022="Autographs Duals",2,IF($B2022="Autographs Triples",3,4)),1)))</f>
        <v>45</v>
      </c>
      <c r="AB2022" s="62">
        <f t="shared" si="414"/>
        <v>0</v>
      </c>
      <c r="AC2022" s="62">
        <f t="shared" si="415"/>
        <v>0</v>
      </c>
    </row>
    <row r="2023" spans="1:29" ht="45" customHeight="1" x14ac:dyDescent="0.25">
      <c r="A2023" s="4" t="s">
        <v>35</v>
      </c>
      <c r="B2023" s="7" t="s">
        <v>102</v>
      </c>
      <c r="C2023" s="2" t="s">
        <v>1356</v>
      </c>
      <c r="D2023" s="7" t="s">
        <v>211</v>
      </c>
      <c r="E2023" s="4" t="s">
        <v>60</v>
      </c>
      <c r="F2023" s="2">
        <v>25</v>
      </c>
      <c r="G2023" s="2" t="s">
        <v>1399</v>
      </c>
      <c r="H2023" s="2" t="s">
        <v>1400</v>
      </c>
      <c r="I2023" s="4" t="s">
        <v>66</v>
      </c>
      <c r="J2023" s="112">
        <f>IF($H2023&lt;&gt;"Y",0,ROUND(MIN(Dashboard!$R$24,IF(IFERROR(VLOOKUP($B2023,Dashboard!$Q$28:$S$60,2,FALSE),0)&gt;0,IFERROR(VLOOKUP($B2023,Dashboard!$Q$28:$S$60,2,FALSE),0),$Z2023*IF($U2023&lt;&gt;"",ROUND((Dashboard!$R$4/$U2023)*VLOOKUP($I2023,Dashboard!$Q$9:$R$13,2,FALSE)*IF(ISNUMBER(SEARCH("Duals",$B2023)),2,IF(ISNUMBER(SEARCH("Triples",$B2023)),3,IF(ISNUMBER(SEARCH("Quads",$B2023)),4,1))),2),ROUND(VLOOKUP($I2023,Dashboard!$Q$15:$R$20,2,FALSE)*IF($E2023="Red",Dashboard!$R$6,IF($E2023="Gold",Dashboard!$R$7,Dashboard!$R$5))*IF(ISNUMBER(SEARCH("Duals",$B2023)),2,IF(ISNUMBER(SEARCH("Triples",$B2023)),3,IF(ISNUMBER(SEARCH("Quads",$B2023)),4,1))),2))*IF(IFERROR(VLOOKUP($B2023,Dashboard!$Q$28:$S$60,3,FALSE),0)&gt;0,VLOOKUP($B2023,Dashboard!$Q$28:$S$60,3,FALSE),1))),0))</f>
        <v>250</v>
      </c>
      <c r="K2023" s="2" t="str">
        <f>IF('Supes Suits'!F36="","",'Supes Suits'!F36)</f>
        <v/>
      </c>
      <c r="L2023" s="2">
        <f t="shared" si="403"/>
        <v>0</v>
      </c>
      <c r="M2023" s="2">
        <f t="shared" si="404"/>
        <v>0</v>
      </c>
      <c r="N2023" s="2">
        <f t="shared" si="405"/>
        <v>0</v>
      </c>
      <c r="O2023" s="2">
        <f t="shared" si="406"/>
        <v>1</v>
      </c>
      <c r="P2023" s="112">
        <f t="shared" si="407"/>
        <v>0</v>
      </c>
      <c r="Q2023" s="112">
        <f t="shared" si="408"/>
        <v>0</v>
      </c>
      <c r="R2023" s="53"/>
      <c r="S2023" s="53" t="str">
        <f t="shared" si="409"/>
        <v>Supes Suits|Quad Supes Suits Gold|QSG-1|Base</v>
      </c>
      <c r="T2023" s="57" t="str">
        <f>IF($S2023="","",IFERROR(VLOOKUP($S2023,'Pop Estimates (Non-#d)'!$N$2:$O$500,2,FALSE),""))</f>
        <v/>
      </c>
      <c r="U2023" s="57">
        <f t="shared" si="410"/>
        <v>25</v>
      </c>
      <c r="V2023" s="53" t="str">
        <f t="shared" si="411"/>
        <v>Homelander/Erin Moriarty as Starlight/Alex Hassell as Translucent/Jessie T. Usher as A-Train</v>
      </c>
      <c r="W2023" s="53" t="str">
        <f t="shared" si="412"/>
        <v>Homelander/Erin Moriarty as Starlight/Alex Hassell as Translucent/Jessie T. Usher as A-Train</v>
      </c>
      <c r="X2023" s="53" t="str">
        <f t="shared" si="413"/>
        <v>Homelander/Erin Moriarty as Starlight/Alex Hassell as Translucent/Jessie T. Usher as A-Train</v>
      </c>
      <c r="Y2023" s="57" t="str">
        <f>IF($X2023="","",IFERROR(VLOOKUP($X2023,'Char Popularity'!$A$2:$C$500,2,FALSE),""))</f>
        <v/>
      </c>
      <c r="Z2023" s="56">
        <f>IF($X2023="",1,IFERROR(VLOOKUP($X2023,'Char Popularity'!$A$2:$C$500,3,FALSE),1))</f>
        <v>1</v>
      </c>
      <c r="AA2023" s="62">
        <f>IF($H2023&lt;&gt;"Y",0,(IF($F2023&lt;&gt;"",ROUND(Dashboard!$R$4/$F2023,1),IF(AND($I2023="Base",$E2023="Base"),Dashboard!$R$5,IF(AND($I2023="Base",$E2023="Red"),Dashboard!$R$6,IF(AND($I2023="Base",$E2023="Gold"),Dashboard!$R$7,VLOOKUP($I2023,Dashboard!$Q$16:$R$21,2,FALSE)))))*VLOOKUP($I2023,Dashboard!$Q$9:$R$13,2,FALSE)*IF(AND($I2023="Auto",$F2023="",OR($B2023="Autographs Duals",$B2023="Autographs Triples",$B2023="Autographs Quads",$B2023="Autographs Quads (Inscribed)")),IF($B2023="Autographs Duals",2,IF($B2023="Autographs Triples",3,4)),1)))</f>
        <v>72</v>
      </c>
      <c r="AB2023" s="62">
        <f t="shared" si="414"/>
        <v>0</v>
      </c>
      <c r="AC2023" s="62">
        <f t="shared" si="415"/>
        <v>0</v>
      </c>
    </row>
    <row r="2024" spans="1:29" ht="28.7" customHeight="1" x14ac:dyDescent="0.25">
      <c r="A2024" s="4" t="s">
        <v>35</v>
      </c>
      <c r="B2024" s="7" t="s">
        <v>35</v>
      </c>
      <c r="C2024" s="2" t="s">
        <v>628</v>
      </c>
      <c r="D2024" s="7" t="s">
        <v>222</v>
      </c>
      <c r="E2024" s="4" t="s">
        <v>60</v>
      </c>
      <c r="F2024" s="2"/>
      <c r="G2024" s="2" t="s">
        <v>1399</v>
      </c>
      <c r="H2024" s="2" t="s">
        <v>1400</v>
      </c>
      <c r="I2024" s="4" t="s">
        <v>66</v>
      </c>
      <c r="J2024" s="112">
        <f>IF($H2024&lt;&gt;"Y",0,ROUND(MIN(Dashboard!$R$24,IF(IFERROR(VLOOKUP($B2024,Dashboard!$Q$28:$S$60,2,FALSE),0)&gt;0,IFERROR(VLOOKUP($B2024,Dashboard!$Q$28:$S$60,2,FALSE),0),$Z2024*IF($U2024&lt;&gt;"",ROUND((Dashboard!$R$4/$U2024)*VLOOKUP($I2024,Dashboard!$Q$9:$R$13,2,FALSE)*IF(ISNUMBER(SEARCH("Duals",$B2024)),2,IF(ISNUMBER(SEARCH("Triples",$B2024)),3,IF(ISNUMBER(SEARCH("Quads",$B2024)),4,1))),2),ROUND(VLOOKUP($I2024,Dashboard!$Q$15:$R$20,2,FALSE)*IF($E2024="Red",Dashboard!$R$6,IF($E2024="Gold",Dashboard!$R$7,Dashboard!$R$5))*IF(ISNUMBER(SEARCH("Duals",$B2024)),2,IF(ISNUMBER(SEARCH("Triples",$B2024)),3,IF(ISNUMBER(SEARCH("Quads",$B2024)),4,1))),2))*IF(IFERROR(VLOOKUP($B2024,Dashboard!$Q$28:$S$60,3,FALSE),0)&gt;0,VLOOKUP($B2024,Dashboard!$Q$28:$S$60,3,FALSE),1))),0))</f>
        <v>3</v>
      </c>
      <c r="K2024" s="2" t="str">
        <f>IF('Supes Suits'!F2="","",'Supes Suits'!F2)</f>
        <v>V</v>
      </c>
      <c r="L2024" s="2">
        <f t="shared" si="403"/>
        <v>1</v>
      </c>
      <c r="M2024" s="2">
        <f t="shared" si="404"/>
        <v>0</v>
      </c>
      <c r="N2024" s="2">
        <f t="shared" si="405"/>
        <v>1</v>
      </c>
      <c r="O2024" s="2">
        <f t="shared" si="406"/>
        <v>0</v>
      </c>
      <c r="P2024" s="112">
        <f t="shared" si="407"/>
        <v>3</v>
      </c>
      <c r="Q2024" s="112">
        <f t="shared" si="408"/>
        <v>0</v>
      </c>
      <c r="R2024" s="53"/>
      <c r="S2024" s="53" t="str">
        <f t="shared" si="409"/>
        <v>Supes Suits|Supes Suits|SS-1|Base</v>
      </c>
      <c r="T2024" s="57">
        <f>IF($S2024="","",IFERROR(VLOOKUP($S2024,'Pop Estimates (Non-#d)'!$N$2:$O$500,2,FALSE),""))</f>
        <v>777</v>
      </c>
      <c r="U2024" s="57">
        <f t="shared" si="410"/>
        <v>777</v>
      </c>
      <c r="V2024" s="53" t="str">
        <f t="shared" si="411"/>
        <v>Homelander</v>
      </c>
      <c r="W2024" s="53" t="str">
        <f t="shared" si="412"/>
        <v>Homelander</v>
      </c>
      <c r="X2024" s="53" t="str">
        <f t="shared" si="413"/>
        <v>Homelander</v>
      </c>
      <c r="Y2024" s="57">
        <f>IF($X2024="","",IFERROR(VLOOKUP($X2024,'Char Popularity'!$A$2:$C$500,2,FALSE),""))</f>
        <v>5</v>
      </c>
      <c r="Z2024" s="56">
        <f>IF($X2024="",1,IFERROR(VLOOKUP($X2024,'Char Popularity'!$A$2:$C$500,3,FALSE),1))</f>
        <v>1.2</v>
      </c>
      <c r="AA2024" s="62">
        <f>IF($H2024&lt;&gt;"Y",0,(IF($F2024&lt;&gt;"",ROUND(Dashboard!$R$4/$F2024,1),IF(AND($I2024="Base",$E2024="Base"),Dashboard!$R$5,IF(AND($I2024="Base",$E2024="Red"),Dashboard!$R$6,IF(AND($I2024="Base",$E2024="Gold"),Dashboard!$R$7,VLOOKUP($I2024,Dashboard!$Q$16:$R$21,2,FALSE)))))*VLOOKUP($I2024,Dashboard!$Q$9:$R$13,2,FALSE)*IF(AND($I2024="Auto",$F2024="",OR($B2024="Autographs Duals",$B2024="Autographs Triples",$B2024="Autographs Quads",$B2024="Autographs Quads (Inscribed)")),IF($B2024="Autographs Duals",2,IF($B2024="Autographs Triples",3,4)),1)))</f>
        <v>45</v>
      </c>
      <c r="AB2024" s="62">
        <f t="shared" si="414"/>
        <v>45</v>
      </c>
      <c r="AC2024" s="62">
        <f t="shared" si="415"/>
        <v>0</v>
      </c>
    </row>
    <row r="2025" spans="1:29" ht="28.7" customHeight="1" x14ac:dyDescent="0.25">
      <c r="A2025" s="4" t="s">
        <v>35</v>
      </c>
      <c r="B2025" s="7" t="s">
        <v>35</v>
      </c>
      <c r="C2025" s="2" t="s">
        <v>629</v>
      </c>
      <c r="D2025" s="7" t="s">
        <v>216</v>
      </c>
      <c r="E2025" s="4" t="s">
        <v>60</v>
      </c>
      <c r="F2025" s="2"/>
      <c r="G2025" s="2" t="s">
        <v>1399</v>
      </c>
      <c r="H2025" s="2" t="s">
        <v>1400</v>
      </c>
      <c r="I2025" s="4" t="s">
        <v>66</v>
      </c>
      <c r="J2025" s="112">
        <f>IF($H2025&lt;&gt;"Y",0,ROUND(MIN(Dashboard!$R$24,IF(IFERROR(VLOOKUP($B2025,Dashboard!$Q$28:$S$60,2,FALSE),0)&gt;0,IFERROR(VLOOKUP($B2025,Dashboard!$Q$28:$S$60,2,FALSE),0),$Z2025*IF($U2025&lt;&gt;"",ROUND((Dashboard!$R$4/$U2025)*VLOOKUP($I2025,Dashboard!$Q$9:$R$13,2,FALSE)*IF(ISNUMBER(SEARCH("Duals",$B2025)),2,IF(ISNUMBER(SEARCH("Triples",$B2025)),3,IF(ISNUMBER(SEARCH("Quads",$B2025)),4,1))),2),ROUND(VLOOKUP($I2025,Dashboard!$Q$15:$R$20,2,FALSE)*IF($E2025="Red",Dashboard!$R$6,IF($E2025="Gold",Dashboard!$R$7,Dashboard!$R$5))*IF(ISNUMBER(SEARCH("Duals",$B2025)),2,IF(ISNUMBER(SEARCH("Triples",$B2025)),3,IF(ISNUMBER(SEARCH("Quads",$B2025)),4,1))),2))*IF(IFERROR(VLOOKUP($B2025,Dashboard!$Q$28:$S$60,3,FALSE),0)&gt;0,VLOOKUP($B2025,Dashboard!$Q$28:$S$60,3,FALSE),1))),0))</f>
        <v>2</v>
      </c>
      <c r="K2025" s="2" t="str">
        <f>IF('Supes Suits'!F3="","",'Supes Suits'!F3)</f>
        <v>V</v>
      </c>
      <c r="L2025" s="2">
        <f t="shared" si="403"/>
        <v>1</v>
      </c>
      <c r="M2025" s="2">
        <f t="shared" si="404"/>
        <v>0</v>
      </c>
      <c r="N2025" s="2">
        <f t="shared" si="405"/>
        <v>1</v>
      </c>
      <c r="O2025" s="2">
        <f t="shared" si="406"/>
        <v>0</v>
      </c>
      <c r="P2025" s="112">
        <f t="shared" si="407"/>
        <v>2</v>
      </c>
      <c r="Q2025" s="112">
        <f t="shared" si="408"/>
        <v>0</v>
      </c>
      <c r="R2025" s="53"/>
      <c r="S2025" s="53" t="str">
        <f t="shared" si="409"/>
        <v>Supes Suits|Supes Suits|SS-2|Base</v>
      </c>
      <c r="T2025" s="57">
        <f>IF($S2025="","",IFERROR(VLOOKUP($S2025,'Pop Estimates (Non-#d)'!$N$2:$O$500,2,FALSE),""))</f>
        <v>777</v>
      </c>
      <c r="U2025" s="57">
        <f t="shared" si="410"/>
        <v>777</v>
      </c>
      <c r="V2025" s="53" t="str">
        <f t="shared" si="411"/>
        <v>Translucent</v>
      </c>
      <c r="W2025" s="53" t="str">
        <f t="shared" si="412"/>
        <v>Translucent</v>
      </c>
      <c r="X2025" s="53" t="str">
        <f t="shared" si="413"/>
        <v>Translucent</v>
      </c>
      <c r="Y2025" s="57">
        <f>IF($X2025="","",IFERROR(VLOOKUP($X2025,'Char Popularity'!$A$2:$C$500,2,FALSE),""))</f>
        <v>2</v>
      </c>
      <c r="Z2025" s="56">
        <f>IF($X2025="",1,IFERROR(VLOOKUP($X2025,'Char Popularity'!$A$2:$C$500,3,FALSE),1))</f>
        <v>0.9</v>
      </c>
      <c r="AA2025" s="62">
        <f>IF($H2025&lt;&gt;"Y",0,(IF($F2025&lt;&gt;"",ROUND(Dashboard!$R$4/$F2025,1),IF(AND($I2025="Base",$E2025="Base"),Dashboard!$R$5,IF(AND($I2025="Base",$E2025="Red"),Dashboard!$R$6,IF(AND($I2025="Base",$E2025="Gold"),Dashboard!$R$7,VLOOKUP($I2025,Dashboard!$Q$16:$R$21,2,FALSE)))))*VLOOKUP($I2025,Dashboard!$Q$9:$R$13,2,FALSE)*IF(AND($I2025="Auto",$F2025="",OR($B2025="Autographs Duals",$B2025="Autographs Triples",$B2025="Autographs Quads",$B2025="Autographs Quads (Inscribed)")),IF($B2025="Autographs Duals",2,IF($B2025="Autographs Triples",3,4)),1)))</f>
        <v>45</v>
      </c>
      <c r="AB2025" s="62">
        <f t="shared" si="414"/>
        <v>45</v>
      </c>
      <c r="AC2025" s="62">
        <f t="shared" si="415"/>
        <v>0</v>
      </c>
    </row>
    <row r="2026" spans="1:29" ht="28.7" customHeight="1" x14ac:dyDescent="0.25">
      <c r="A2026" s="4" t="s">
        <v>35</v>
      </c>
      <c r="B2026" s="7" t="s">
        <v>35</v>
      </c>
      <c r="C2026" s="2" t="s">
        <v>630</v>
      </c>
      <c r="D2026" s="7" t="s">
        <v>267</v>
      </c>
      <c r="E2026" s="4" t="s">
        <v>60</v>
      </c>
      <c r="F2026" s="2"/>
      <c r="G2026" s="2" t="s">
        <v>1399</v>
      </c>
      <c r="H2026" s="2" t="s">
        <v>1400</v>
      </c>
      <c r="I2026" s="4" t="s">
        <v>66</v>
      </c>
      <c r="J2026" s="112">
        <f>IF($H2026&lt;&gt;"Y",0,ROUND(MIN(Dashboard!$R$24,IF(IFERROR(VLOOKUP($B2026,Dashboard!$Q$28:$S$60,2,FALSE),0)&gt;0,IFERROR(VLOOKUP($B2026,Dashboard!$Q$28:$S$60,2,FALSE),0),$Z2026*IF($U2026&lt;&gt;"",ROUND((Dashboard!$R$4/$U2026)*VLOOKUP($I2026,Dashboard!$Q$9:$R$13,2,FALSE)*IF(ISNUMBER(SEARCH("Duals",$B2026)),2,IF(ISNUMBER(SEARCH("Triples",$B2026)),3,IF(ISNUMBER(SEARCH("Quads",$B2026)),4,1))),2),ROUND(VLOOKUP($I2026,Dashboard!$Q$15:$R$20,2,FALSE)*IF($E2026="Red",Dashboard!$R$6,IF($E2026="Gold",Dashboard!$R$7,Dashboard!$R$5))*IF(ISNUMBER(SEARCH("Duals",$B2026)),2,IF(ISNUMBER(SEARCH("Triples",$B2026)),3,IF(ISNUMBER(SEARCH("Quads",$B2026)),4,1))),2))*IF(IFERROR(VLOOKUP($B2026,Dashboard!$Q$28:$S$60,3,FALSE),0)&gt;0,VLOOKUP($B2026,Dashboard!$Q$28:$S$60,3,FALSE),1))),0))</f>
        <v>3</v>
      </c>
      <c r="K2026" s="2" t="str">
        <f>IF('Supes Suits'!F4="","",'Supes Suits'!F4)</f>
        <v>V</v>
      </c>
      <c r="L2026" s="2">
        <f t="shared" si="403"/>
        <v>1</v>
      </c>
      <c r="M2026" s="2">
        <f t="shared" si="404"/>
        <v>0</v>
      </c>
      <c r="N2026" s="2">
        <f t="shared" si="405"/>
        <v>1</v>
      </c>
      <c r="O2026" s="2">
        <f t="shared" si="406"/>
        <v>0</v>
      </c>
      <c r="P2026" s="112">
        <f t="shared" si="407"/>
        <v>3</v>
      </c>
      <c r="Q2026" s="112">
        <f t="shared" si="408"/>
        <v>0</v>
      </c>
      <c r="R2026" s="53"/>
      <c r="S2026" s="53" t="str">
        <f t="shared" si="409"/>
        <v>Supes Suits|Supes Suits|SS-3|Base</v>
      </c>
      <c r="T2026" s="57">
        <f>IF($S2026="","",IFERROR(VLOOKUP($S2026,'Pop Estimates (Non-#d)'!$N$2:$O$500,2,FALSE),""))</f>
        <v>777</v>
      </c>
      <c r="U2026" s="57">
        <f t="shared" si="410"/>
        <v>777</v>
      </c>
      <c r="V2026" s="53" t="str">
        <f t="shared" si="411"/>
        <v>A-Train</v>
      </c>
      <c r="W2026" s="53" t="str">
        <f t="shared" si="412"/>
        <v>A-Train</v>
      </c>
      <c r="X2026" s="53" t="str">
        <f t="shared" si="413"/>
        <v>A-Train</v>
      </c>
      <c r="Y2026" s="57">
        <f>IF($X2026="","",IFERROR(VLOOKUP($X2026,'Char Popularity'!$A$2:$C$500,2,FALSE),""))</f>
        <v>4</v>
      </c>
      <c r="Z2026" s="56">
        <f>IF($X2026="",1,IFERROR(VLOOKUP($X2026,'Char Popularity'!$A$2:$C$500,3,FALSE),1))</f>
        <v>1.1000000000000001</v>
      </c>
      <c r="AA2026" s="62">
        <f>IF($H2026&lt;&gt;"Y",0,(IF($F2026&lt;&gt;"",ROUND(Dashboard!$R$4/$F2026,1),IF(AND($I2026="Base",$E2026="Base"),Dashboard!$R$5,IF(AND($I2026="Base",$E2026="Red"),Dashboard!$R$6,IF(AND($I2026="Base",$E2026="Gold"),Dashboard!$R$7,VLOOKUP($I2026,Dashboard!$Q$16:$R$21,2,FALSE)))))*VLOOKUP($I2026,Dashboard!$Q$9:$R$13,2,FALSE)*IF(AND($I2026="Auto",$F2026="",OR($B2026="Autographs Duals",$B2026="Autographs Triples",$B2026="Autographs Quads",$B2026="Autographs Quads (Inscribed)")),IF($B2026="Autographs Duals",2,IF($B2026="Autographs Triples",3,4)),1)))</f>
        <v>45</v>
      </c>
      <c r="AB2026" s="62">
        <f t="shared" si="414"/>
        <v>45</v>
      </c>
      <c r="AC2026" s="62">
        <f t="shared" si="415"/>
        <v>0</v>
      </c>
    </row>
    <row r="2027" spans="1:29" ht="28.7" customHeight="1" x14ac:dyDescent="0.25">
      <c r="A2027" s="4" t="s">
        <v>35</v>
      </c>
      <c r="B2027" s="7" t="s">
        <v>35</v>
      </c>
      <c r="C2027" s="2" t="s">
        <v>631</v>
      </c>
      <c r="D2027" s="7" t="s">
        <v>248</v>
      </c>
      <c r="E2027" s="4" t="s">
        <v>60</v>
      </c>
      <c r="F2027" s="2"/>
      <c r="G2027" s="2" t="s">
        <v>1399</v>
      </c>
      <c r="H2027" s="2" t="s">
        <v>1400</v>
      </c>
      <c r="I2027" s="4" t="s">
        <v>66</v>
      </c>
      <c r="J2027" s="112">
        <f>IF($H2027&lt;&gt;"Y",0,ROUND(MIN(Dashboard!$R$24,IF(IFERROR(VLOOKUP($B2027,Dashboard!$Q$28:$S$60,2,FALSE),0)&gt;0,IFERROR(VLOOKUP($B2027,Dashboard!$Q$28:$S$60,2,FALSE),0),$Z2027*IF($U2027&lt;&gt;"",ROUND((Dashboard!$R$4/$U2027)*VLOOKUP($I2027,Dashboard!$Q$9:$R$13,2,FALSE)*IF(ISNUMBER(SEARCH("Duals",$B2027)),2,IF(ISNUMBER(SEARCH("Triples",$B2027)),3,IF(ISNUMBER(SEARCH("Quads",$B2027)),4,1))),2),ROUND(VLOOKUP($I2027,Dashboard!$Q$15:$R$20,2,FALSE)*IF($E2027="Red",Dashboard!$R$6,IF($E2027="Gold",Dashboard!$R$7,Dashboard!$R$5))*IF(ISNUMBER(SEARCH("Duals",$B2027)),2,IF(ISNUMBER(SEARCH("Triples",$B2027)),3,IF(ISNUMBER(SEARCH("Quads",$B2027)),4,1))),2))*IF(IFERROR(VLOOKUP($B2027,Dashboard!$Q$28:$S$60,3,FALSE),0)&gt;0,VLOOKUP($B2027,Dashboard!$Q$28:$S$60,3,FALSE),1))),0))</f>
        <v>3</v>
      </c>
      <c r="K2027" s="2" t="str">
        <f>IF('Supes Suits'!F5="","",'Supes Suits'!F5)</f>
        <v>C</v>
      </c>
      <c r="L2027" s="2">
        <f t="shared" si="403"/>
        <v>1</v>
      </c>
      <c r="M2027" s="2">
        <f t="shared" si="404"/>
        <v>0</v>
      </c>
      <c r="N2027" s="2">
        <f t="shared" si="405"/>
        <v>1</v>
      </c>
      <c r="O2027" s="2">
        <f t="shared" si="406"/>
        <v>0</v>
      </c>
      <c r="P2027" s="112">
        <f t="shared" si="407"/>
        <v>3</v>
      </c>
      <c r="Q2027" s="112">
        <f t="shared" si="408"/>
        <v>0</v>
      </c>
      <c r="R2027" s="53"/>
      <c r="S2027" s="53" t="str">
        <f t="shared" si="409"/>
        <v>Supes Suits|Supes Suits|SS-4|Base</v>
      </c>
      <c r="T2027" s="57">
        <f>IF($S2027="","",IFERROR(VLOOKUP($S2027,'Pop Estimates (Non-#d)'!$N$2:$O$500,2,FALSE),""))</f>
        <v>777</v>
      </c>
      <c r="U2027" s="57">
        <f t="shared" si="410"/>
        <v>777</v>
      </c>
      <c r="V2027" s="53" t="str">
        <f t="shared" si="411"/>
        <v>Starlight</v>
      </c>
      <c r="W2027" s="53" t="str">
        <f t="shared" si="412"/>
        <v>Starlight</v>
      </c>
      <c r="X2027" s="53" t="str">
        <f t="shared" si="413"/>
        <v>Starlight</v>
      </c>
      <c r="Y2027" s="57">
        <f>IF($X2027="","",IFERROR(VLOOKUP($X2027,'Char Popularity'!$A$2:$C$500,2,FALSE),""))</f>
        <v>5</v>
      </c>
      <c r="Z2027" s="56">
        <f>IF($X2027="",1,IFERROR(VLOOKUP($X2027,'Char Popularity'!$A$2:$C$500,3,FALSE),1))</f>
        <v>1.2</v>
      </c>
      <c r="AA2027" s="62">
        <f>IF($H2027&lt;&gt;"Y",0,(IF($F2027&lt;&gt;"",ROUND(Dashboard!$R$4/$F2027,1),IF(AND($I2027="Base",$E2027="Base"),Dashboard!$R$5,IF(AND($I2027="Base",$E2027="Red"),Dashboard!$R$6,IF(AND($I2027="Base",$E2027="Gold"),Dashboard!$R$7,VLOOKUP($I2027,Dashboard!$Q$16:$R$21,2,FALSE)))))*VLOOKUP($I2027,Dashboard!$Q$9:$R$13,2,FALSE)*IF(AND($I2027="Auto",$F2027="",OR($B2027="Autographs Duals",$B2027="Autographs Triples",$B2027="Autographs Quads",$B2027="Autographs Quads (Inscribed)")),IF($B2027="Autographs Duals",2,IF($B2027="Autographs Triples",3,4)),1)))</f>
        <v>45</v>
      </c>
      <c r="AB2027" s="62">
        <f t="shared" si="414"/>
        <v>45</v>
      </c>
      <c r="AC2027" s="62">
        <f t="shared" si="415"/>
        <v>0</v>
      </c>
    </row>
    <row r="2028" spans="1:29" ht="28.7" customHeight="1" x14ac:dyDescent="0.25">
      <c r="A2028" s="4" t="s">
        <v>35</v>
      </c>
      <c r="B2028" s="7" t="s">
        <v>35</v>
      </c>
      <c r="C2028" s="2" t="s">
        <v>632</v>
      </c>
      <c r="D2028" s="7" t="s">
        <v>222</v>
      </c>
      <c r="E2028" s="4" t="s">
        <v>60</v>
      </c>
      <c r="F2028" s="2"/>
      <c r="G2028" s="2" t="s">
        <v>1399</v>
      </c>
      <c r="H2028" s="2" t="s">
        <v>1400</v>
      </c>
      <c r="I2028" s="4" t="s">
        <v>66</v>
      </c>
      <c r="J2028" s="112">
        <f>IF($H2028&lt;&gt;"Y",0,ROUND(MIN(Dashboard!$R$24,IF(IFERROR(VLOOKUP($B2028,Dashboard!$Q$28:$S$60,2,FALSE),0)&gt;0,IFERROR(VLOOKUP($B2028,Dashboard!$Q$28:$S$60,2,FALSE),0),$Z2028*IF($U2028&lt;&gt;"",ROUND((Dashboard!$R$4/$U2028)*VLOOKUP($I2028,Dashboard!$Q$9:$R$13,2,FALSE)*IF(ISNUMBER(SEARCH("Duals",$B2028)),2,IF(ISNUMBER(SEARCH("Triples",$B2028)),3,IF(ISNUMBER(SEARCH("Quads",$B2028)),4,1))),2),ROUND(VLOOKUP($I2028,Dashboard!$Q$15:$R$20,2,FALSE)*IF($E2028="Red",Dashboard!$R$6,IF($E2028="Gold",Dashboard!$R$7,Dashboard!$R$5))*IF(ISNUMBER(SEARCH("Duals",$B2028)),2,IF(ISNUMBER(SEARCH("Triples",$B2028)),3,IF(ISNUMBER(SEARCH("Quads",$B2028)),4,1))),2))*IF(IFERROR(VLOOKUP($B2028,Dashboard!$Q$28:$S$60,3,FALSE),0)&gt;0,VLOOKUP($B2028,Dashboard!$Q$28:$S$60,3,FALSE),1))),0))</f>
        <v>3</v>
      </c>
      <c r="K2028" s="2" t="str">
        <f>IF('Supes Suits'!F6="","",'Supes Suits'!F6)</f>
        <v>V</v>
      </c>
      <c r="L2028" s="2">
        <f t="shared" si="403"/>
        <v>1</v>
      </c>
      <c r="M2028" s="2">
        <f t="shared" si="404"/>
        <v>0</v>
      </c>
      <c r="N2028" s="2">
        <f t="shared" si="405"/>
        <v>1</v>
      </c>
      <c r="O2028" s="2">
        <f t="shared" si="406"/>
        <v>0</v>
      </c>
      <c r="P2028" s="112">
        <f t="shared" si="407"/>
        <v>3</v>
      </c>
      <c r="Q2028" s="112">
        <f t="shared" si="408"/>
        <v>0</v>
      </c>
      <c r="R2028" s="53"/>
      <c r="S2028" s="53" t="str">
        <f t="shared" si="409"/>
        <v>Supes Suits|Supes Suits|SS-5|Base</v>
      </c>
      <c r="T2028" s="57">
        <f>IF($S2028="","",IFERROR(VLOOKUP($S2028,'Pop Estimates (Non-#d)'!$N$2:$O$500,2,FALSE),""))</f>
        <v>777</v>
      </c>
      <c r="U2028" s="57">
        <f t="shared" si="410"/>
        <v>777</v>
      </c>
      <c r="V2028" s="53" t="str">
        <f t="shared" si="411"/>
        <v>Homelander</v>
      </c>
      <c r="W2028" s="53" t="str">
        <f t="shared" si="412"/>
        <v>Homelander</v>
      </c>
      <c r="X2028" s="53" t="str">
        <f t="shared" si="413"/>
        <v>Homelander</v>
      </c>
      <c r="Y2028" s="57">
        <f>IF($X2028="","",IFERROR(VLOOKUP($X2028,'Char Popularity'!$A$2:$C$500,2,FALSE),""))</f>
        <v>5</v>
      </c>
      <c r="Z2028" s="56">
        <f>IF($X2028="",1,IFERROR(VLOOKUP($X2028,'Char Popularity'!$A$2:$C$500,3,FALSE),1))</f>
        <v>1.2</v>
      </c>
      <c r="AA2028" s="62">
        <f>IF($H2028&lt;&gt;"Y",0,(IF($F2028&lt;&gt;"",ROUND(Dashboard!$R$4/$F2028,1),IF(AND($I2028="Base",$E2028="Base"),Dashboard!$R$5,IF(AND($I2028="Base",$E2028="Red"),Dashboard!$R$6,IF(AND($I2028="Base",$E2028="Gold"),Dashboard!$R$7,VLOOKUP($I2028,Dashboard!$Q$16:$R$21,2,FALSE)))))*VLOOKUP($I2028,Dashboard!$Q$9:$R$13,2,FALSE)*IF(AND($I2028="Auto",$F2028="",OR($B2028="Autographs Duals",$B2028="Autographs Triples",$B2028="Autographs Quads",$B2028="Autographs Quads (Inscribed)")),IF($B2028="Autographs Duals",2,IF($B2028="Autographs Triples",3,4)),1)))</f>
        <v>45</v>
      </c>
      <c r="AB2028" s="62">
        <f t="shared" si="414"/>
        <v>45</v>
      </c>
      <c r="AC2028" s="62">
        <f t="shared" si="415"/>
        <v>0</v>
      </c>
    </row>
    <row r="2029" spans="1:29" ht="28.7" customHeight="1" x14ac:dyDescent="0.25">
      <c r="A2029" s="4" t="s">
        <v>35</v>
      </c>
      <c r="B2029" s="7" t="s">
        <v>35</v>
      </c>
      <c r="C2029" s="2" t="s">
        <v>633</v>
      </c>
      <c r="D2029" s="7" t="s">
        <v>216</v>
      </c>
      <c r="E2029" s="4" t="s">
        <v>60</v>
      </c>
      <c r="F2029" s="2"/>
      <c r="G2029" s="2" t="s">
        <v>1399</v>
      </c>
      <c r="H2029" s="2" t="s">
        <v>1400</v>
      </c>
      <c r="I2029" s="4" t="s">
        <v>66</v>
      </c>
      <c r="J2029" s="112">
        <f>IF($H2029&lt;&gt;"Y",0,ROUND(MIN(Dashboard!$R$24,IF(IFERROR(VLOOKUP($B2029,Dashboard!$Q$28:$S$60,2,FALSE),0)&gt;0,IFERROR(VLOOKUP($B2029,Dashboard!$Q$28:$S$60,2,FALSE),0),$Z2029*IF($U2029&lt;&gt;"",ROUND((Dashboard!$R$4/$U2029)*VLOOKUP($I2029,Dashboard!$Q$9:$R$13,2,FALSE)*IF(ISNUMBER(SEARCH("Duals",$B2029)),2,IF(ISNUMBER(SEARCH("Triples",$B2029)),3,IF(ISNUMBER(SEARCH("Quads",$B2029)),4,1))),2),ROUND(VLOOKUP($I2029,Dashboard!$Q$15:$R$20,2,FALSE)*IF($E2029="Red",Dashboard!$R$6,IF($E2029="Gold",Dashboard!$R$7,Dashboard!$R$5))*IF(ISNUMBER(SEARCH("Duals",$B2029)),2,IF(ISNUMBER(SEARCH("Triples",$B2029)),3,IF(ISNUMBER(SEARCH("Quads",$B2029)),4,1))),2))*IF(IFERROR(VLOOKUP($B2029,Dashboard!$Q$28:$S$60,3,FALSE),0)&gt;0,VLOOKUP($B2029,Dashboard!$Q$28:$S$60,3,FALSE),1))),0))</f>
        <v>2</v>
      </c>
      <c r="K2029" s="2" t="str">
        <f>IF('Supes Suits'!F7="","",'Supes Suits'!F7)</f>
        <v>C</v>
      </c>
      <c r="L2029" s="2">
        <f t="shared" si="403"/>
        <v>1</v>
      </c>
      <c r="M2029" s="2">
        <f t="shared" si="404"/>
        <v>0</v>
      </c>
      <c r="N2029" s="2">
        <f t="shared" si="405"/>
        <v>1</v>
      </c>
      <c r="O2029" s="2">
        <f t="shared" si="406"/>
        <v>0</v>
      </c>
      <c r="P2029" s="112">
        <f t="shared" si="407"/>
        <v>2</v>
      </c>
      <c r="Q2029" s="112">
        <f t="shared" si="408"/>
        <v>0</v>
      </c>
      <c r="R2029" s="53"/>
      <c r="S2029" s="53" t="str">
        <f t="shared" si="409"/>
        <v>Supes Suits|Supes Suits|SS-6|Base</v>
      </c>
      <c r="T2029" s="57">
        <f>IF($S2029="","",IFERROR(VLOOKUP($S2029,'Pop Estimates (Non-#d)'!$N$2:$O$500,2,FALSE),""))</f>
        <v>777</v>
      </c>
      <c r="U2029" s="57">
        <f t="shared" si="410"/>
        <v>777</v>
      </c>
      <c r="V2029" s="53" t="str">
        <f t="shared" si="411"/>
        <v>Translucent</v>
      </c>
      <c r="W2029" s="53" t="str">
        <f t="shared" si="412"/>
        <v>Translucent</v>
      </c>
      <c r="X2029" s="53" t="str">
        <f t="shared" si="413"/>
        <v>Translucent</v>
      </c>
      <c r="Y2029" s="57">
        <f>IF($X2029="","",IFERROR(VLOOKUP($X2029,'Char Popularity'!$A$2:$C$500,2,FALSE),""))</f>
        <v>2</v>
      </c>
      <c r="Z2029" s="56">
        <f>IF($X2029="",1,IFERROR(VLOOKUP($X2029,'Char Popularity'!$A$2:$C$500,3,FALSE),1))</f>
        <v>0.9</v>
      </c>
      <c r="AA2029" s="62">
        <f>IF($H2029&lt;&gt;"Y",0,(IF($F2029&lt;&gt;"",ROUND(Dashboard!$R$4/$F2029,1),IF(AND($I2029="Base",$E2029="Base"),Dashboard!$R$5,IF(AND($I2029="Base",$E2029="Red"),Dashboard!$R$6,IF(AND($I2029="Base",$E2029="Gold"),Dashboard!$R$7,VLOOKUP($I2029,Dashboard!$Q$16:$R$21,2,FALSE)))))*VLOOKUP($I2029,Dashboard!$Q$9:$R$13,2,FALSE)*IF(AND($I2029="Auto",$F2029="",OR($B2029="Autographs Duals",$B2029="Autographs Triples",$B2029="Autographs Quads",$B2029="Autographs Quads (Inscribed)")),IF($B2029="Autographs Duals",2,IF($B2029="Autographs Triples",3,4)),1)))</f>
        <v>45</v>
      </c>
      <c r="AB2029" s="62">
        <f t="shared" si="414"/>
        <v>45</v>
      </c>
      <c r="AC2029" s="62">
        <f t="shared" si="415"/>
        <v>0</v>
      </c>
    </row>
    <row r="2030" spans="1:29" ht="28.7" customHeight="1" x14ac:dyDescent="0.25">
      <c r="A2030" s="4" t="s">
        <v>35</v>
      </c>
      <c r="B2030" s="7" t="s">
        <v>35</v>
      </c>
      <c r="C2030" s="2" t="s">
        <v>634</v>
      </c>
      <c r="D2030" s="7" t="s">
        <v>248</v>
      </c>
      <c r="E2030" s="4" t="s">
        <v>60</v>
      </c>
      <c r="F2030" s="2"/>
      <c r="G2030" s="2" t="s">
        <v>1399</v>
      </c>
      <c r="H2030" s="2" t="s">
        <v>1400</v>
      </c>
      <c r="I2030" s="4" t="s">
        <v>66</v>
      </c>
      <c r="J2030" s="112">
        <f>IF($H2030&lt;&gt;"Y",0,ROUND(MIN(Dashboard!$R$24,IF(IFERROR(VLOOKUP($B2030,Dashboard!$Q$28:$S$60,2,FALSE),0)&gt;0,IFERROR(VLOOKUP($B2030,Dashboard!$Q$28:$S$60,2,FALSE),0),$Z2030*IF($U2030&lt;&gt;"",ROUND((Dashboard!$R$4/$U2030)*VLOOKUP($I2030,Dashboard!$Q$9:$R$13,2,FALSE)*IF(ISNUMBER(SEARCH("Duals",$B2030)),2,IF(ISNUMBER(SEARCH("Triples",$B2030)),3,IF(ISNUMBER(SEARCH("Quads",$B2030)),4,1))),2),ROUND(VLOOKUP($I2030,Dashboard!$Q$15:$R$20,2,FALSE)*IF($E2030="Red",Dashboard!$R$6,IF($E2030="Gold",Dashboard!$R$7,Dashboard!$R$5))*IF(ISNUMBER(SEARCH("Duals",$B2030)),2,IF(ISNUMBER(SEARCH("Triples",$B2030)),3,IF(ISNUMBER(SEARCH("Quads",$B2030)),4,1))),2))*IF(IFERROR(VLOOKUP($B2030,Dashboard!$Q$28:$S$60,3,FALSE),0)&gt;0,VLOOKUP($B2030,Dashboard!$Q$28:$S$60,3,FALSE),1))),0))</f>
        <v>3</v>
      </c>
      <c r="K2030" s="2" t="str">
        <f>IF('Supes Suits'!F8="","",'Supes Suits'!F8)</f>
        <v>V</v>
      </c>
      <c r="L2030" s="2">
        <f t="shared" si="403"/>
        <v>1</v>
      </c>
      <c r="M2030" s="2">
        <f t="shared" si="404"/>
        <v>0</v>
      </c>
      <c r="N2030" s="2">
        <f t="shared" si="405"/>
        <v>1</v>
      </c>
      <c r="O2030" s="2">
        <f t="shared" si="406"/>
        <v>0</v>
      </c>
      <c r="P2030" s="112">
        <f t="shared" si="407"/>
        <v>3</v>
      </c>
      <c r="Q2030" s="112">
        <f t="shared" si="408"/>
        <v>0</v>
      </c>
      <c r="R2030" s="53"/>
      <c r="S2030" s="53" t="str">
        <f t="shared" si="409"/>
        <v>Supes Suits|Supes Suits|SS-7|Base</v>
      </c>
      <c r="T2030" s="57">
        <f>IF($S2030="","",IFERROR(VLOOKUP($S2030,'Pop Estimates (Non-#d)'!$N$2:$O$500,2,FALSE),""))</f>
        <v>777</v>
      </c>
      <c r="U2030" s="57">
        <f t="shared" si="410"/>
        <v>777</v>
      </c>
      <c r="V2030" s="53" t="str">
        <f t="shared" si="411"/>
        <v>Starlight</v>
      </c>
      <c r="W2030" s="53" t="str">
        <f t="shared" si="412"/>
        <v>Starlight</v>
      </c>
      <c r="X2030" s="53" t="str">
        <f t="shared" si="413"/>
        <v>Starlight</v>
      </c>
      <c r="Y2030" s="57">
        <f>IF($X2030="","",IFERROR(VLOOKUP($X2030,'Char Popularity'!$A$2:$C$500,2,FALSE),""))</f>
        <v>5</v>
      </c>
      <c r="Z2030" s="56">
        <f>IF($X2030="",1,IFERROR(VLOOKUP($X2030,'Char Popularity'!$A$2:$C$500,3,FALSE),1))</f>
        <v>1.2</v>
      </c>
      <c r="AA2030" s="62">
        <f>IF($H2030&lt;&gt;"Y",0,(IF($F2030&lt;&gt;"",ROUND(Dashboard!$R$4/$F2030,1),IF(AND($I2030="Base",$E2030="Base"),Dashboard!$R$5,IF(AND($I2030="Base",$E2030="Red"),Dashboard!$R$6,IF(AND($I2030="Base",$E2030="Gold"),Dashboard!$R$7,VLOOKUP($I2030,Dashboard!$Q$16:$R$21,2,FALSE)))))*VLOOKUP($I2030,Dashboard!$Q$9:$R$13,2,FALSE)*IF(AND($I2030="Auto",$F2030="",OR($B2030="Autographs Duals",$B2030="Autographs Triples",$B2030="Autographs Quads",$B2030="Autographs Quads (Inscribed)")),IF($B2030="Autographs Duals",2,IF($B2030="Autographs Triples",3,4)),1)))</f>
        <v>45</v>
      </c>
      <c r="AB2030" s="62">
        <f t="shared" si="414"/>
        <v>45</v>
      </c>
      <c r="AC2030" s="62">
        <f t="shared" si="415"/>
        <v>0</v>
      </c>
    </row>
    <row r="2031" spans="1:29" ht="28.7" customHeight="1" x14ac:dyDescent="0.25">
      <c r="A2031" s="4" t="s">
        <v>35</v>
      </c>
      <c r="B2031" s="7" t="s">
        <v>35</v>
      </c>
      <c r="C2031" s="2" t="s">
        <v>635</v>
      </c>
      <c r="D2031" s="7" t="s">
        <v>267</v>
      </c>
      <c r="E2031" s="4" t="s">
        <v>60</v>
      </c>
      <c r="F2031" s="2"/>
      <c r="G2031" s="2" t="s">
        <v>1399</v>
      </c>
      <c r="H2031" s="2" t="s">
        <v>1400</v>
      </c>
      <c r="I2031" s="4" t="s">
        <v>66</v>
      </c>
      <c r="J2031" s="112">
        <f>IF($H2031&lt;&gt;"Y",0,ROUND(MIN(Dashboard!$R$24,IF(IFERROR(VLOOKUP($B2031,Dashboard!$Q$28:$S$60,2,FALSE),0)&gt;0,IFERROR(VLOOKUP($B2031,Dashboard!$Q$28:$S$60,2,FALSE),0),$Z2031*IF($U2031&lt;&gt;"",ROUND((Dashboard!$R$4/$U2031)*VLOOKUP($I2031,Dashboard!$Q$9:$R$13,2,FALSE)*IF(ISNUMBER(SEARCH("Duals",$B2031)),2,IF(ISNUMBER(SEARCH("Triples",$B2031)),3,IF(ISNUMBER(SEARCH("Quads",$B2031)),4,1))),2),ROUND(VLOOKUP($I2031,Dashboard!$Q$15:$R$20,2,FALSE)*IF($E2031="Red",Dashboard!$R$6,IF($E2031="Gold",Dashboard!$R$7,Dashboard!$R$5))*IF(ISNUMBER(SEARCH("Duals",$B2031)),2,IF(ISNUMBER(SEARCH("Triples",$B2031)),3,IF(ISNUMBER(SEARCH("Quads",$B2031)),4,1))),2))*IF(IFERROR(VLOOKUP($B2031,Dashboard!$Q$28:$S$60,3,FALSE),0)&gt;0,VLOOKUP($B2031,Dashboard!$Q$28:$S$60,3,FALSE),1))),0))</f>
        <v>3</v>
      </c>
      <c r="K2031" s="2" t="str">
        <f>IF('Supes Suits'!F9="","",'Supes Suits'!F9)</f>
        <v>C</v>
      </c>
      <c r="L2031" s="2">
        <f t="shared" si="403"/>
        <v>1</v>
      </c>
      <c r="M2031" s="2">
        <f t="shared" si="404"/>
        <v>0</v>
      </c>
      <c r="N2031" s="2">
        <f t="shared" si="405"/>
        <v>1</v>
      </c>
      <c r="O2031" s="2">
        <f t="shared" si="406"/>
        <v>0</v>
      </c>
      <c r="P2031" s="112">
        <f t="shared" si="407"/>
        <v>3</v>
      </c>
      <c r="Q2031" s="112">
        <f t="shared" si="408"/>
        <v>0</v>
      </c>
      <c r="R2031" s="53"/>
      <c r="S2031" s="53" t="str">
        <f t="shared" si="409"/>
        <v>Supes Suits|Supes Suits|SS-8|Base</v>
      </c>
      <c r="T2031" s="57">
        <f>IF($S2031="","",IFERROR(VLOOKUP($S2031,'Pop Estimates (Non-#d)'!$N$2:$O$500,2,FALSE),""))</f>
        <v>777</v>
      </c>
      <c r="U2031" s="57">
        <f t="shared" si="410"/>
        <v>777</v>
      </c>
      <c r="V2031" s="53" t="str">
        <f t="shared" si="411"/>
        <v>A-Train</v>
      </c>
      <c r="W2031" s="53" t="str">
        <f t="shared" si="412"/>
        <v>A-Train</v>
      </c>
      <c r="X2031" s="53" t="str">
        <f t="shared" si="413"/>
        <v>A-Train</v>
      </c>
      <c r="Y2031" s="57">
        <f>IF($X2031="","",IFERROR(VLOOKUP($X2031,'Char Popularity'!$A$2:$C$500,2,FALSE),""))</f>
        <v>4</v>
      </c>
      <c r="Z2031" s="56">
        <f>IF($X2031="",1,IFERROR(VLOOKUP($X2031,'Char Popularity'!$A$2:$C$500,3,FALSE),1))</f>
        <v>1.1000000000000001</v>
      </c>
      <c r="AA2031" s="62">
        <f>IF($H2031&lt;&gt;"Y",0,(IF($F2031&lt;&gt;"",ROUND(Dashboard!$R$4/$F2031,1),IF(AND($I2031="Base",$E2031="Base"),Dashboard!$R$5,IF(AND($I2031="Base",$E2031="Red"),Dashboard!$R$6,IF(AND($I2031="Base",$E2031="Gold"),Dashboard!$R$7,VLOOKUP($I2031,Dashboard!$Q$16:$R$21,2,FALSE)))))*VLOOKUP($I2031,Dashboard!$Q$9:$R$13,2,FALSE)*IF(AND($I2031="Auto",$F2031="",OR($B2031="Autographs Duals",$B2031="Autographs Triples",$B2031="Autographs Quads",$B2031="Autographs Quads (Inscribed)")),IF($B2031="Autographs Duals",2,IF($B2031="Autographs Triples",3,4)),1)))</f>
        <v>45</v>
      </c>
      <c r="AB2031" s="62">
        <f t="shared" si="414"/>
        <v>45</v>
      </c>
      <c r="AC2031" s="62">
        <f t="shared" si="415"/>
        <v>0</v>
      </c>
    </row>
    <row r="2032" spans="1:29" ht="28.7" customHeight="1" x14ac:dyDescent="0.25">
      <c r="A2032" s="4" t="s">
        <v>35</v>
      </c>
      <c r="B2032" s="7" t="s">
        <v>133</v>
      </c>
      <c r="C2032" s="2" t="s">
        <v>1333</v>
      </c>
      <c r="D2032" s="7" t="s">
        <v>222</v>
      </c>
      <c r="E2032" s="4" t="s">
        <v>60</v>
      </c>
      <c r="F2032" s="2">
        <v>25</v>
      </c>
      <c r="G2032" s="2" t="s">
        <v>1399</v>
      </c>
      <c r="H2032" s="2" t="s">
        <v>1400</v>
      </c>
      <c r="I2032" s="4" t="s">
        <v>66</v>
      </c>
      <c r="J2032" s="112">
        <f>IF($H2032&lt;&gt;"Y",0,ROUND(MIN(Dashboard!$R$24,IF(IFERROR(VLOOKUP($B2032,Dashboard!$Q$28:$S$60,2,FALSE),0)&gt;0,IFERROR(VLOOKUP($B2032,Dashboard!$Q$28:$S$60,2,FALSE),0),$Z2032*IF($U2032&lt;&gt;"",ROUND((Dashboard!$R$4/$U2032)*VLOOKUP($I2032,Dashboard!$Q$9:$R$13,2,FALSE)*IF(ISNUMBER(SEARCH("Duals",$B2032)),2,IF(ISNUMBER(SEARCH("Triples",$B2032)),3,IF(ISNUMBER(SEARCH("Quads",$B2032)),4,1))),2),ROUND(VLOOKUP($I2032,Dashboard!$Q$15:$R$20,2,FALSE)*IF($E2032="Red",Dashboard!$R$6,IF($E2032="Gold",Dashboard!$R$7,Dashboard!$R$5))*IF(ISNUMBER(SEARCH("Duals",$B2032)),2,IF(ISNUMBER(SEARCH("Triples",$B2032)),3,IF(ISNUMBER(SEARCH("Quads",$B2032)),4,1))),2))*IF(IFERROR(VLOOKUP($B2032,Dashboard!$Q$28:$S$60,3,FALSE),0)&gt;0,VLOOKUP($B2032,Dashboard!$Q$28:$S$60,3,FALSE),1))),0))</f>
        <v>86</v>
      </c>
      <c r="K2032" s="2" t="str">
        <f>IF('Supes Suits'!F18="","",'Supes Suits'!F18)</f>
        <v/>
      </c>
      <c r="L2032" s="2">
        <f t="shared" si="403"/>
        <v>0</v>
      </c>
      <c r="M2032" s="2">
        <f t="shared" si="404"/>
        <v>0</v>
      </c>
      <c r="N2032" s="2">
        <f t="shared" si="405"/>
        <v>0</v>
      </c>
      <c r="O2032" s="2">
        <f t="shared" si="406"/>
        <v>1</v>
      </c>
      <c r="P2032" s="112">
        <f t="shared" si="407"/>
        <v>0</v>
      </c>
      <c r="Q2032" s="112">
        <f t="shared" si="408"/>
        <v>0</v>
      </c>
      <c r="R2032" s="53"/>
      <c r="S2032" s="53" t="str">
        <f t="shared" si="409"/>
        <v>Supes Suits|Supes Suits Gold|SSG-1|Base</v>
      </c>
      <c r="T2032" s="57" t="str">
        <f>IF($S2032="","",IFERROR(VLOOKUP($S2032,'Pop Estimates (Non-#d)'!$N$2:$O$500,2,FALSE),""))</f>
        <v/>
      </c>
      <c r="U2032" s="57">
        <f t="shared" si="410"/>
        <v>25</v>
      </c>
      <c r="V2032" s="53" t="str">
        <f t="shared" si="411"/>
        <v>Homelander</v>
      </c>
      <c r="W2032" s="53" t="str">
        <f t="shared" si="412"/>
        <v>Homelander</v>
      </c>
      <c r="X2032" s="53" t="str">
        <f t="shared" si="413"/>
        <v>Homelander</v>
      </c>
      <c r="Y2032" s="57">
        <f>IF($X2032="","",IFERROR(VLOOKUP($X2032,'Char Popularity'!$A$2:$C$500,2,FALSE),""))</f>
        <v>5</v>
      </c>
      <c r="Z2032" s="56">
        <f>IF($X2032="",1,IFERROR(VLOOKUP($X2032,'Char Popularity'!$A$2:$C$500,3,FALSE),1))</f>
        <v>1.2</v>
      </c>
      <c r="AA2032" s="62">
        <f>IF($H2032&lt;&gt;"Y",0,(IF($F2032&lt;&gt;"",ROUND(Dashboard!$R$4/$F2032,1),IF(AND($I2032="Base",$E2032="Base"),Dashboard!$R$5,IF(AND($I2032="Base",$E2032="Red"),Dashboard!$R$6,IF(AND($I2032="Base",$E2032="Gold"),Dashboard!$R$7,VLOOKUP($I2032,Dashboard!$Q$16:$R$21,2,FALSE)))))*VLOOKUP($I2032,Dashboard!$Q$9:$R$13,2,FALSE)*IF(AND($I2032="Auto",$F2032="",OR($B2032="Autographs Duals",$B2032="Autographs Triples",$B2032="Autographs Quads",$B2032="Autographs Quads (Inscribed)")),IF($B2032="Autographs Duals",2,IF($B2032="Autographs Triples",3,4)),1)))</f>
        <v>72</v>
      </c>
      <c r="AB2032" s="62">
        <f t="shared" si="414"/>
        <v>0</v>
      </c>
      <c r="AC2032" s="62">
        <f t="shared" si="415"/>
        <v>0</v>
      </c>
    </row>
    <row r="2033" spans="1:29" ht="28.7" customHeight="1" x14ac:dyDescent="0.25">
      <c r="A2033" s="4" t="s">
        <v>35</v>
      </c>
      <c r="B2033" s="7" t="s">
        <v>133</v>
      </c>
      <c r="C2033" s="2" t="s">
        <v>1335</v>
      </c>
      <c r="D2033" s="7" t="s">
        <v>216</v>
      </c>
      <c r="E2033" s="4" t="s">
        <v>60</v>
      </c>
      <c r="F2033" s="2">
        <v>25</v>
      </c>
      <c r="G2033" s="2" t="s">
        <v>1399</v>
      </c>
      <c r="H2033" s="2" t="s">
        <v>1400</v>
      </c>
      <c r="I2033" s="4" t="s">
        <v>66</v>
      </c>
      <c r="J2033" s="112">
        <f>IF($H2033&lt;&gt;"Y",0,ROUND(MIN(Dashboard!$R$24,IF(IFERROR(VLOOKUP($B2033,Dashboard!$Q$28:$S$60,2,FALSE),0)&gt;0,IFERROR(VLOOKUP($B2033,Dashboard!$Q$28:$S$60,2,FALSE),0),$Z2033*IF($U2033&lt;&gt;"",ROUND((Dashboard!$R$4/$U2033)*VLOOKUP($I2033,Dashboard!$Q$9:$R$13,2,FALSE)*IF(ISNUMBER(SEARCH("Duals",$B2033)),2,IF(ISNUMBER(SEARCH("Triples",$B2033)),3,IF(ISNUMBER(SEARCH("Quads",$B2033)),4,1))),2),ROUND(VLOOKUP($I2033,Dashboard!$Q$15:$R$20,2,FALSE)*IF($E2033="Red",Dashboard!$R$6,IF($E2033="Gold",Dashboard!$R$7,Dashboard!$R$5))*IF(ISNUMBER(SEARCH("Duals",$B2033)),2,IF(ISNUMBER(SEARCH("Triples",$B2033)),3,IF(ISNUMBER(SEARCH("Quads",$B2033)),4,1))),2))*IF(IFERROR(VLOOKUP($B2033,Dashboard!$Q$28:$S$60,3,FALSE),0)&gt;0,VLOOKUP($B2033,Dashboard!$Q$28:$S$60,3,FALSE),1))),0))</f>
        <v>65</v>
      </c>
      <c r="K2033" s="2" t="str">
        <f>IF('Supes Suits'!F19="","",'Supes Suits'!F19)</f>
        <v>V '12/25</v>
      </c>
      <c r="L2033" s="2">
        <f t="shared" si="403"/>
        <v>1</v>
      </c>
      <c r="M2033" s="2">
        <f t="shared" si="404"/>
        <v>0</v>
      </c>
      <c r="N2033" s="2">
        <f t="shared" si="405"/>
        <v>1</v>
      </c>
      <c r="O2033" s="2">
        <f t="shared" si="406"/>
        <v>0</v>
      </c>
      <c r="P2033" s="112">
        <f t="shared" si="407"/>
        <v>65</v>
      </c>
      <c r="Q2033" s="112">
        <f t="shared" si="408"/>
        <v>0</v>
      </c>
      <c r="R2033" s="53"/>
      <c r="S2033" s="53" t="str">
        <f t="shared" si="409"/>
        <v>Supes Suits|Supes Suits Gold|SSG-2|Base</v>
      </c>
      <c r="T2033" s="57" t="str">
        <f>IF($S2033="","",IFERROR(VLOOKUP($S2033,'Pop Estimates (Non-#d)'!$N$2:$O$500,2,FALSE),""))</f>
        <v/>
      </c>
      <c r="U2033" s="57">
        <f t="shared" si="410"/>
        <v>25</v>
      </c>
      <c r="V2033" s="53" t="str">
        <f t="shared" si="411"/>
        <v>Translucent</v>
      </c>
      <c r="W2033" s="53" t="str">
        <f t="shared" si="412"/>
        <v>Translucent</v>
      </c>
      <c r="X2033" s="53" t="str">
        <f t="shared" si="413"/>
        <v>Translucent</v>
      </c>
      <c r="Y2033" s="57">
        <f>IF($X2033="","",IFERROR(VLOOKUP($X2033,'Char Popularity'!$A$2:$C$500,2,FALSE),""))</f>
        <v>2</v>
      </c>
      <c r="Z2033" s="56">
        <f>IF($X2033="",1,IFERROR(VLOOKUP($X2033,'Char Popularity'!$A$2:$C$500,3,FALSE),1))</f>
        <v>0.9</v>
      </c>
      <c r="AA2033" s="62">
        <f>IF($H2033&lt;&gt;"Y",0,(IF($F2033&lt;&gt;"",ROUND(Dashboard!$R$4/$F2033,1),IF(AND($I2033="Base",$E2033="Base"),Dashboard!$R$5,IF(AND($I2033="Base",$E2033="Red"),Dashboard!$R$6,IF(AND($I2033="Base",$E2033="Gold"),Dashboard!$R$7,VLOOKUP($I2033,Dashboard!$Q$16:$R$21,2,FALSE)))))*VLOOKUP($I2033,Dashboard!$Q$9:$R$13,2,FALSE)*IF(AND($I2033="Auto",$F2033="",OR($B2033="Autographs Duals",$B2033="Autographs Triples",$B2033="Autographs Quads",$B2033="Autographs Quads (Inscribed)")),IF($B2033="Autographs Duals",2,IF($B2033="Autographs Triples",3,4)),1)))</f>
        <v>72</v>
      </c>
      <c r="AB2033" s="62">
        <f t="shared" si="414"/>
        <v>72</v>
      </c>
      <c r="AC2033" s="62">
        <f t="shared" si="415"/>
        <v>0</v>
      </c>
    </row>
    <row r="2034" spans="1:29" ht="28.7" customHeight="1" x14ac:dyDescent="0.25">
      <c r="A2034" s="4" t="s">
        <v>35</v>
      </c>
      <c r="B2034" s="7" t="s">
        <v>133</v>
      </c>
      <c r="C2034" s="2" t="s">
        <v>1337</v>
      </c>
      <c r="D2034" s="7" t="s">
        <v>267</v>
      </c>
      <c r="E2034" s="4" t="s">
        <v>60</v>
      </c>
      <c r="F2034" s="2">
        <v>25</v>
      </c>
      <c r="G2034" s="2" t="s">
        <v>1399</v>
      </c>
      <c r="H2034" s="2" t="s">
        <v>1400</v>
      </c>
      <c r="I2034" s="4" t="s">
        <v>66</v>
      </c>
      <c r="J2034" s="112">
        <f>IF($H2034&lt;&gt;"Y",0,ROUND(MIN(Dashboard!$R$24,IF(IFERROR(VLOOKUP($B2034,Dashboard!$Q$28:$S$60,2,FALSE),0)&gt;0,IFERROR(VLOOKUP($B2034,Dashboard!$Q$28:$S$60,2,FALSE),0),$Z2034*IF($U2034&lt;&gt;"",ROUND((Dashboard!$R$4/$U2034)*VLOOKUP($I2034,Dashboard!$Q$9:$R$13,2,FALSE)*IF(ISNUMBER(SEARCH("Duals",$B2034)),2,IF(ISNUMBER(SEARCH("Triples",$B2034)),3,IF(ISNUMBER(SEARCH("Quads",$B2034)),4,1))),2),ROUND(VLOOKUP($I2034,Dashboard!$Q$15:$R$20,2,FALSE)*IF($E2034="Red",Dashboard!$R$6,IF($E2034="Gold",Dashboard!$R$7,Dashboard!$R$5))*IF(ISNUMBER(SEARCH("Duals",$B2034)),2,IF(ISNUMBER(SEARCH("Triples",$B2034)),3,IF(ISNUMBER(SEARCH("Quads",$B2034)),4,1))),2))*IF(IFERROR(VLOOKUP($B2034,Dashboard!$Q$28:$S$60,3,FALSE),0)&gt;0,VLOOKUP($B2034,Dashboard!$Q$28:$S$60,3,FALSE),1))),0))</f>
        <v>79</v>
      </c>
      <c r="K2034" s="2" t="str">
        <f>IF('Supes Suits'!F20="","",'Supes Suits'!F20)</f>
        <v/>
      </c>
      <c r="L2034" s="2">
        <f t="shared" si="403"/>
        <v>0</v>
      </c>
      <c r="M2034" s="2">
        <f t="shared" si="404"/>
        <v>0</v>
      </c>
      <c r="N2034" s="2">
        <f t="shared" si="405"/>
        <v>0</v>
      </c>
      <c r="O2034" s="2">
        <f t="shared" si="406"/>
        <v>1</v>
      </c>
      <c r="P2034" s="112">
        <f t="shared" si="407"/>
        <v>0</v>
      </c>
      <c r="Q2034" s="112">
        <f t="shared" si="408"/>
        <v>0</v>
      </c>
      <c r="R2034" s="53"/>
      <c r="S2034" s="53" t="str">
        <f t="shared" si="409"/>
        <v>Supes Suits|Supes Suits Gold|SSG-3|Base</v>
      </c>
      <c r="T2034" s="57" t="str">
        <f>IF($S2034="","",IFERROR(VLOOKUP($S2034,'Pop Estimates (Non-#d)'!$N$2:$O$500,2,FALSE),""))</f>
        <v/>
      </c>
      <c r="U2034" s="57">
        <f t="shared" si="410"/>
        <v>25</v>
      </c>
      <c r="V2034" s="53" t="str">
        <f t="shared" si="411"/>
        <v>A-Train</v>
      </c>
      <c r="W2034" s="53" t="str">
        <f t="shared" si="412"/>
        <v>A-Train</v>
      </c>
      <c r="X2034" s="53" t="str">
        <f t="shared" si="413"/>
        <v>A-Train</v>
      </c>
      <c r="Y2034" s="57">
        <f>IF($X2034="","",IFERROR(VLOOKUP($X2034,'Char Popularity'!$A$2:$C$500,2,FALSE),""))</f>
        <v>4</v>
      </c>
      <c r="Z2034" s="56">
        <f>IF($X2034="",1,IFERROR(VLOOKUP($X2034,'Char Popularity'!$A$2:$C$500,3,FALSE),1))</f>
        <v>1.1000000000000001</v>
      </c>
      <c r="AA2034" s="62">
        <f>IF($H2034&lt;&gt;"Y",0,(IF($F2034&lt;&gt;"",ROUND(Dashboard!$R$4/$F2034,1),IF(AND($I2034="Base",$E2034="Base"),Dashboard!$R$5,IF(AND($I2034="Base",$E2034="Red"),Dashboard!$R$6,IF(AND($I2034="Base",$E2034="Gold"),Dashboard!$R$7,VLOOKUP($I2034,Dashboard!$Q$16:$R$21,2,FALSE)))))*VLOOKUP($I2034,Dashboard!$Q$9:$R$13,2,FALSE)*IF(AND($I2034="Auto",$F2034="",OR($B2034="Autographs Duals",$B2034="Autographs Triples",$B2034="Autographs Quads",$B2034="Autographs Quads (Inscribed)")),IF($B2034="Autographs Duals",2,IF($B2034="Autographs Triples",3,4)),1)))</f>
        <v>72</v>
      </c>
      <c r="AB2034" s="62">
        <f t="shared" si="414"/>
        <v>0</v>
      </c>
      <c r="AC2034" s="62">
        <f t="shared" si="415"/>
        <v>0</v>
      </c>
    </row>
    <row r="2035" spans="1:29" ht="28.7" customHeight="1" x14ac:dyDescent="0.25">
      <c r="A2035" s="4" t="s">
        <v>35</v>
      </c>
      <c r="B2035" s="7" t="s">
        <v>133</v>
      </c>
      <c r="C2035" s="2" t="s">
        <v>1338</v>
      </c>
      <c r="D2035" s="7" t="s">
        <v>248</v>
      </c>
      <c r="E2035" s="4" t="s">
        <v>60</v>
      </c>
      <c r="F2035" s="2">
        <v>25</v>
      </c>
      <c r="G2035" s="2" t="s">
        <v>1399</v>
      </c>
      <c r="H2035" s="2" t="s">
        <v>1400</v>
      </c>
      <c r="I2035" s="4" t="s">
        <v>66</v>
      </c>
      <c r="J2035" s="112">
        <f>IF($H2035&lt;&gt;"Y",0,ROUND(MIN(Dashboard!$R$24,IF(IFERROR(VLOOKUP($B2035,Dashboard!$Q$28:$S$60,2,FALSE),0)&gt;0,IFERROR(VLOOKUP($B2035,Dashboard!$Q$28:$S$60,2,FALSE),0),$Z2035*IF($U2035&lt;&gt;"",ROUND((Dashboard!$R$4/$U2035)*VLOOKUP($I2035,Dashboard!$Q$9:$R$13,2,FALSE)*IF(ISNUMBER(SEARCH("Duals",$B2035)),2,IF(ISNUMBER(SEARCH("Triples",$B2035)),3,IF(ISNUMBER(SEARCH("Quads",$B2035)),4,1))),2),ROUND(VLOOKUP($I2035,Dashboard!$Q$15:$R$20,2,FALSE)*IF($E2035="Red",Dashboard!$R$6,IF($E2035="Gold",Dashboard!$R$7,Dashboard!$R$5))*IF(ISNUMBER(SEARCH("Duals",$B2035)),2,IF(ISNUMBER(SEARCH("Triples",$B2035)),3,IF(ISNUMBER(SEARCH("Quads",$B2035)),4,1))),2))*IF(IFERROR(VLOOKUP($B2035,Dashboard!$Q$28:$S$60,3,FALSE),0)&gt;0,VLOOKUP($B2035,Dashboard!$Q$28:$S$60,3,FALSE),1))),0))</f>
        <v>86</v>
      </c>
      <c r="K2035" s="2" t="str">
        <f>IF('Supes Suits'!F21="","",'Supes Suits'!F21)</f>
        <v>V 17/25</v>
      </c>
      <c r="L2035" s="2">
        <f t="shared" si="403"/>
        <v>1</v>
      </c>
      <c r="M2035" s="2">
        <f t="shared" si="404"/>
        <v>0</v>
      </c>
      <c r="N2035" s="2">
        <f t="shared" si="405"/>
        <v>1</v>
      </c>
      <c r="O2035" s="2">
        <f t="shared" si="406"/>
        <v>0</v>
      </c>
      <c r="P2035" s="112">
        <f t="shared" si="407"/>
        <v>86</v>
      </c>
      <c r="Q2035" s="112">
        <f t="shared" si="408"/>
        <v>0</v>
      </c>
      <c r="R2035" s="53"/>
      <c r="S2035" s="53" t="str">
        <f t="shared" si="409"/>
        <v>Supes Suits|Supes Suits Gold|SSG-4|Base</v>
      </c>
      <c r="T2035" s="57" t="str">
        <f>IF($S2035="","",IFERROR(VLOOKUP($S2035,'Pop Estimates (Non-#d)'!$N$2:$O$500,2,FALSE),""))</f>
        <v/>
      </c>
      <c r="U2035" s="57">
        <f t="shared" si="410"/>
        <v>25</v>
      </c>
      <c r="V2035" s="53" t="str">
        <f t="shared" si="411"/>
        <v>Starlight</v>
      </c>
      <c r="W2035" s="53" t="str">
        <f t="shared" si="412"/>
        <v>Starlight</v>
      </c>
      <c r="X2035" s="53" t="str">
        <f t="shared" si="413"/>
        <v>Starlight</v>
      </c>
      <c r="Y2035" s="57">
        <f>IF($X2035="","",IFERROR(VLOOKUP($X2035,'Char Popularity'!$A$2:$C$500,2,FALSE),""))</f>
        <v>5</v>
      </c>
      <c r="Z2035" s="56">
        <f>IF($X2035="",1,IFERROR(VLOOKUP($X2035,'Char Popularity'!$A$2:$C$500,3,FALSE),1))</f>
        <v>1.2</v>
      </c>
      <c r="AA2035" s="62">
        <f>IF($H2035&lt;&gt;"Y",0,(IF($F2035&lt;&gt;"",ROUND(Dashboard!$R$4/$F2035,1),IF(AND($I2035="Base",$E2035="Base"),Dashboard!$R$5,IF(AND($I2035="Base",$E2035="Red"),Dashboard!$R$6,IF(AND($I2035="Base",$E2035="Gold"),Dashboard!$R$7,VLOOKUP($I2035,Dashboard!$Q$16:$R$21,2,FALSE)))))*VLOOKUP($I2035,Dashboard!$Q$9:$R$13,2,FALSE)*IF(AND($I2035="Auto",$F2035="",OR($B2035="Autographs Duals",$B2035="Autographs Triples",$B2035="Autographs Quads",$B2035="Autographs Quads (Inscribed)")),IF($B2035="Autographs Duals",2,IF($B2035="Autographs Triples",3,4)),1)))</f>
        <v>72</v>
      </c>
      <c r="AB2035" s="62">
        <f t="shared" si="414"/>
        <v>72</v>
      </c>
      <c r="AC2035" s="62">
        <f t="shared" si="415"/>
        <v>0</v>
      </c>
    </row>
    <row r="2036" spans="1:29" ht="28.7" customHeight="1" x14ac:dyDescent="0.25">
      <c r="A2036" s="4" t="s">
        <v>35</v>
      </c>
      <c r="B2036" s="7" t="s">
        <v>131</v>
      </c>
      <c r="C2036" s="2" t="s">
        <v>358</v>
      </c>
      <c r="D2036" s="7" t="s">
        <v>222</v>
      </c>
      <c r="E2036" s="4" t="s">
        <v>359</v>
      </c>
      <c r="F2036" s="2"/>
      <c r="G2036" s="2" t="s">
        <v>1399</v>
      </c>
      <c r="H2036" s="2" t="s">
        <v>1400</v>
      </c>
      <c r="I2036" s="4" t="s">
        <v>66</v>
      </c>
      <c r="J2036" s="112">
        <f>IF($H2036&lt;&gt;"Y",0,ROUND(MIN(Dashboard!$R$24,IF(IFERROR(VLOOKUP($B2036,Dashboard!$Q$28:$S$60,2,FALSE),0)&gt;0,IFERROR(VLOOKUP($B2036,Dashboard!$Q$28:$S$60,2,FALSE),0),$Z2036*IF($U2036&lt;&gt;"",ROUND((Dashboard!$R$4/$U2036)*VLOOKUP($I2036,Dashboard!$Q$9:$R$13,2,FALSE)*IF(ISNUMBER(SEARCH("Duals",$B2036)),2,IF(ISNUMBER(SEARCH("Triples",$B2036)),3,IF(ISNUMBER(SEARCH("Quads",$B2036)),4,1))),2),ROUND(VLOOKUP($I2036,Dashboard!$Q$15:$R$20,2,FALSE)*IF($E2036="Red",Dashboard!$R$6,IF($E2036="Gold",Dashboard!$R$7,Dashboard!$R$5))*IF(ISNUMBER(SEARCH("Duals",$B2036)),2,IF(ISNUMBER(SEARCH("Triples",$B2036)),3,IF(ISNUMBER(SEARCH("Quads",$B2036)),4,1))),2))*IF(IFERROR(VLOOKUP($B2036,Dashboard!$Q$28:$S$60,3,FALSE),0)&gt;0,VLOOKUP($B2036,Dashboard!$Q$28:$S$60,3,FALSE),1))),0))</f>
        <v>12</v>
      </c>
      <c r="K2036" s="2" t="str">
        <f>IF('Supes Suits'!F10="","",'Supes Suits'!F10)</f>
        <v/>
      </c>
      <c r="L2036" s="2">
        <f t="shared" si="403"/>
        <v>0</v>
      </c>
      <c r="M2036" s="2">
        <f t="shared" si="404"/>
        <v>0</v>
      </c>
      <c r="N2036" s="2">
        <f t="shared" si="405"/>
        <v>0</v>
      </c>
      <c r="O2036" s="2">
        <f t="shared" si="406"/>
        <v>1</v>
      </c>
      <c r="P2036" s="112">
        <f t="shared" si="407"/>
        <v>0</v>
      </c>
      <c r="Q2036" s="112">
        <f t="shared" si="408"/>
        <v>0</v>
      </c>
      <c r="R2036" s="53"/>
      <c r="S2036" s="53" t="str">
        <f t="shared" si="409"/>
        <v>Supes Suits|Supes Suits SP's|SSP-1|SP</v>
      </c>
      <c r="T2036" s="57">
        <f>IF($S2036="","",IFERROR(VLOOKUP($S2036,'Pop Estimates (Non-#d)'!$N$2:$O$500,2,FALSE),""))</f>
        <v>178</v>
      </c>
      <c r="U2036" s="57">
        <f t="shared" si="410"/>
        <v>178</v>
      </c>
      <c r="V2036" s="53" t="str">
        <f t="shared" si="411"/>
        <v>Homelander</v>
      </c>
      <c r="W2036" s="53" t="str">
        <f t="shared" si="412"/>
        <v>Homelander</v>
      </c>
      <c r="X2036" s="53" t="str">
        <f t="shared" si="413"/>
        <v>Homelander</v>
      </c>
      <c r="Y2036" s="57">
        <f>IF($X2036="","",IFERROR(VLOOKUP($X2036,'Char Popularity'!$A$2:$C$500,2,FALSE),""))</f>
        <v>5</v>
      </c>
      <c r="Z2036" s="56">
        <f>IF($X2036="",1,IFERROR(VLOOKUP($X2036,'Char Popularity'!$A$2:$C$500,3,FALSE),1))</f>
        <v>1.2</v>
      </c>
      <c r="AA2036" s="62">
        <f>IF($H2036&lt;&gt;"Y",0,(IF($F2036&lt;&gt;"",ROUND(Dashboard!$R$4/$F2036,1),IF(AND($I2036="Base",$E2036="Base"),Dashboard!$R$5,IF(AND($I2036="Base",$E2036="Red"),Dashboard!$R$6,IF(AND($I2036="Base",$E2036="Gold"),Dashboard!$R$7,VLOOKUP($I2036,Dashboard!$Q$16:$R$21,2,FALSE)))))*VLOOKUP($I2036,Dashboard!$Q$9:$R$13,2,FALSE)*IF(AND($I2036="Auto",$F2036="",OR($B2036="Autographs Duals",$B2036="Autographs Triples",$B2036="Autographs Quads",$B2036="Autographs Quads (Inscribed)")),IF($B2036="Autographs Duals",2,IF($B2036="Autographs Triples",3,4)),1)))</f>
        <v>45</v>
      </c>
      <c r="AB2036" s="62">
        <f t="shared" si="414"/>
        <v>0</v>
      </c>
      <c r="AC2036" s="62">
        <f t="shared" si="415"/>
        <v>0</v>
      </c>
    </row>
    <row r="2037" spans="1:29" ht="28.7" customHeight="1" x14ac:dyDescent="0.25">
      <c r="A2037" s="4" t="s">
        <v>35</v>
      </c>
      <c r="B2037" s="7" t="s">
        <v>131</v>
      </c>
      <c r="C2037" s="2" t="s">
        <v>360</v>
      </c>
      <c r="D2037" s="7" t="s">
        <v>267</v>
      </c>
      <c r="E2037" s="4" t="s">
        <v>359</v>
      </c>
      <c r="F2037" s="2"/>
      <c r="G2037" s="2" t="s">
        <v>1399</v>
      </c>
      <c r="H2037" s="2" t="s">
        <v>1400</v>
      </c>
      <c r="I2037" s="4" t="s">
        <v>66</v>
      </c>
      <c r="J2037" s="112">
        <f>IF($H2037&lt;&gt;"Y",0,ROUND(MIN(Dashboard!$R$24,IF(IFERROR(VLOOKUP($B2037,Dashboard!$Q$28:$S$60,2,FALSE),0)&gt;0,IFERROR(VLOOKUP($B2037,Dashboard!$Q$28:$S$60,2,FALSE),0),$Z2037*IF($U2037&lt;&gt;"",ROUND((Dashboard!$R$4/$U2037)*VLOOKUP($I2037,Dashboard!$Q$9:$R$13,2,FALSE)*IF(ISNUMBER(SEARCH("Duals",$B2037)),2,IF(ISNUMBER(SEARCH("Triples",$B2037)),3,IF(ISNUMBER(SEARCH("Quads",$B2037)),4,1))),2),ROUND(VLOOKUP($I2037,Dashboard!$Q$15:$R$20,2,FALSE)*IF($E2037="Red",Dashboard!$R$6,IF($E2037="Gold",Dashboard!$R$7,Dashboard!$R$5))*IF(ISNUMBER(SEARCH("Duals",$B2037)),2,IF(ISNUMBER(SEARCH("Triples",$B2037)),3,IF(ISNUMBER(SEARCH("Quads",$B2037)),4,1))),2))*IF(IFERROR(VLOOKUP($B2037,Dashboard!$Q$28:$S$60,3,FALSE),0)&gt;0,VLOOKUP($B2037,Dashboard!$Q$28:$S$60,3,FALSE),1))),0))</f>
        <v>11</v>
      </c>
      <c r="K2037" s="2" t="str">
        <f>IF('Supes Suits'!F11="","",'Supes Suits'!F11)</f>
        <v>C</v>
      </c>
      <c r="L2037" s="2">
        <f t="shared" si="403"/>
        <v>1</v>
      </c>
      <c r="M2037" s="2">
        <f t="shared" si="404"/>
        <v>0</v>
      </c>
      <c r="N2037" s="2">
        <f t="shared" si="405"/>
        <v>1</v>
      </c>
      <c r="O2037" s="2">
        <f t="shared" si="406"/>
        <v>0</v>
      </c>
      <c r="P2037" s="112">
        <f t="shared" si="407"/>
        <v>11</v>
      </c>
      <c r="Q2037" s="112">
        <f t="shared" si="408"/>
        <v>0</v>
      </c>
      <c r="R2037" s="53"/>
      <c r="S2037" s="53" t="str">
        <f t="shared" si="409"/>
        <v>Supes Suits|Supes Suits SP's|SSP-2|SP</v>
      </c>
      <c r="T2037" s="57">
        <f>IF($S2037="","",IFERROR(VLOOKUP($S2037,'Pop Estimates (Non-#d)'!$N$2:$O$500,2,FALSE),""))</f>
        <v>178</v>
      </c>
      <c r="U2037" s="57">
        <f t="shared" si="410"/>
        <v>178</v>
      </c>
      <c r="V2037" s="53" t="str">
        <f t="shared" si="411"/>
        <v>A-Train</v>
      </c>
      <c r="W2037" s="53" t="str">
        <f t="shared" si="412"/>
        <v>A-Train</v>
      </c>
      <c r="X2037" s="53" t="str">
        <f t="shared" si="413"/>
        <v>A-Train</v>
      </c>
      <c r="Y2037" s="57">
        <f>IF($X2037="","",IFERROR(VLOOKUP($X2037,'Char Popularity'!$A$2:$C$500,2,FALSE),""))</f>
        <v>4</v>
      </c>
      <c r="Z2037" s="56">
        <f>IF($X2037="",1,IFERROR(VLOOKUP($X2037,'Char Popularity'!$A$2:$C$500,3,FALSE),1))</f>
        <v>1.1000000000000001</v>
      </c>
      <c r="AA2037" s="62">
        <f>IF($H2037&lt;&gt;"Y",0,(IF($F2037&lt;&gt;"",ROUND(Dashboard!$R$4/$F2037,1),IF(AND($I2037="Base",$E2037="Base"),Dashboard!$R$5,IF(AND($I2037="Base",$E2037="Red"),Dashboard!$R$6,IF(AND($I2037="Base",$E2037="Gold"),Dashboard!$R$7,VLOOKUP($I2037,Dashboard!$Q$16:$R$21,2,FALSE)))))*VLOOKUP($I2037,Dashboard!$Q$9:$R$13,2,FALSE)*IF(AND($I2037="Auto",$F2037="",OR($B2037="Autographs Duals",$B2037="Autographs Triples",$B2037="Autographs Quads",$B2037="Autographs Quads (Inscribed)")),IF($B2037="Autographs Duals",2,IF($B2037="Autographs Triples",3,4)),1)))</f>
        <v>45</v>
      </c>
      <c r="AB2037" s="62">
        <f t="shared" si="414"/>
        <v>45</v>
      </c>
      <c r="AC2037" s="62">
        <f t="shared" si="415"/>
        <v>0</v>
      </c>
    </row>
    <row r="2038" spans="1:29" ht="28.7" customHeight="1" x14ac:dyDescent="0.25">
      <c r="A2038" s="4" t="s">
        <v>35</v>
      </c>
      <c r="B2038" s="7" t="s">
        <v>131</v>
      </c>
      <c r="C2038" s="2" t="s">
        <v>361</v>
      </c>
      <c r="D2038" s="7" t="s">
        <v>248</v>
      </c>
      <c r="E2038" s="4" t="s">
        <v>359</v>
      </c>
      <c r="F2038" s="2"/>
      <c r="G2038" s="2" t="s">
        <v>1399</v>
      </c>
      <c r="H2038" s="2" t="s">
        <v>1400</v>
      </c>
      <c r="I2038" s="4" t="s">
        <v>66</v>
      </c>
      <c r="J2038" s="112">
        <f>IF($H2038&lt;&gt;"Y",0,ROUND(MIN(Dashboard!$R$24,IF(IFERROR(VLOOKUP($B2038,Dashboard!$Q$28:$S$60,2,FALSE),0)&gt;0,IFERROR(VLOOKUP($B2038,Dashboard!$Q$28:$S$60,2,FALSE),0),$Z2038*IF($U2038&lt;&gt;"",ROUND((Dashboard!$R$4/$U2038)*VLOOKUP($I2038,Dashboard!$Q$9:$R$13,2,FALSE)*IF(ISNUMBER(SEARCH("Duals",$B2038)),2,IF(ISNUMBER(SEARCH("Triples",$B2038)),3,IF(ISNUMBER(SEARCH("Quads",$B2038)),4,1))),2),ROUND(VLOOKUP($I2038,Dashboard!$Q$15:$R$20,2,FALSE)*IF($E2038="Red",Dashboard!$R$6,IF($E2038="Gold",Dashboard!$R$7,Dashboard!$R$5))*IF(ISNUMBER(SEARCH("Duals",$B2038)),2,IF(ISNUMBER(SEARCH("Triples",$B2038)),3,IF(ISNUMBER(SEARCH("Quads",$B2038)),4,1))),2))*IF(IFERROR(VLOOKUP($B2038,Dashboard!$Q$28:$S$60,3,FALSE),0)&gt;0,VLOOKUP($B2038,Dashboard!$Q$28:$S$60,3,FALSE),1))),0))</f>
        <v>12</v>
      </c>
      <c r="K2038" s="2" t="str">
        <f>IF('Supes Suits'!F12="","",'Supes Suits'!F12)</f>
        <v/>
      </c>
      <c r="L2038" s="2">
        <f t="shared" si="403"/>
        <v>0</v>
      </c>
      <c r="M2038" s="2">
        <f t="shared" si="404"/>
        <v>0</v>
      </c>
      <c r="N2038" s="2">
        <f t="shared" si="405"/>
        <v>0</v>
      </c>
      <c r="O2038" s="2">
        <f t="shared" si="406"/>
        <v>1</v>
      </c>
      <c r="P2038" s="112">
        <f t="shared" si="407"/>
        <v>0</v>
      </c>
      <c r="Q2038" s="112">
        <f t="shared" si="408"/>
        <v>0</v>
      </c>
      <c r="R2038" s="53"/>
      <c r="S2038" s="53" t="str">
        <f t="shared" si="409"/>
        <v>Supes Suits|Supes Suits SP's|SSP-3|SP</v>
      </c>
      <c r="T2038" s="57">
        <f>IF($S2038="","",IFERROR(VLOOKUP($S2038,'Pop Estimates (Non-#d)'!$N$2:$O$500,2,FALSE),""))</f>
        <v>178</v>
      </c>
      <c r="U2038" s="57">
        <f t="shared" si="410"/>
        <v>178</v>
      </c>
      <c r="V2038" s="53" t="str">
        <f t="shared" si="411"/>
        <v>Starlight</v>
      </c>
      <c r="W2038" s="53" t="str">
        <f t="shared" si="412"/>
        <v>Starlight</v>
      </c>
      <c r="X2038" s="53" t="str">
        <f t="shared" si="413"/>
        <v>Starlight</v>
      </c>
      <c r="Y2038" s="57">
        <f>IF($X2038="","",IFERROR(VLOOKUP($X2038,'Char Popularity'!$A$2:$C$500,2,FALSE),""))</f>
        <v>5</v>
      </c>
      <c r="Z2038" s="56">
        <f>IF($X2038="",1,IFERROR(VLOOKUP($X2038,'Char Popularity'!$A$2:$C$500,3,FALSE),1))</f>
        <v>1.2</v>
      </c>
      <c r="AA2038" s="62">
        <f>IF($H2038&lt;&gt;"Y",0,(IF($F2038&lt;&gt;"",ROUND(Dashboard!$R$4/$F2038,1),IF(AND($I2038="Base",$E2038="Base"),Dashboard!$R$5,IF(AND($I2038="Base",$E2038="Red"),Dashboard!$R$6,IF(AND($I2038="Base",$E2038="Gold"),Dashboard!$R$7,VLOOKUP($I2038,Dashboard!$Q$16:$R$21,2,FALSE)))))*VLOOKUP($I2038,Dashboard!$Q$9:$R$13,2,FALSE)*IF(AND($I2038="Auto",$F2038="",OR($B2038="Autographs Duals",$B2038="Autographs Triples",$B2038="Autographs Quads",$B2038="Autographs Quads (Inscribed)")),IF($B2038="Autographs Duals",2,IF($B2038="Autographs Triples",3,4)),1)))</f>
        <v>45</v>
      </c>
      <c r="AB2038" s="62">
        <f t="shared" si="414"/>
        <v>0</v>
      </c>
      <c r="AC2038" s="62">
        <f t="shared" si="415"/>
        <v>0</v>
      </c>
    </row>
    <row r="2039" spans="1:29" ht="28.7" customHeight="1" x14ac:dyDescent="0.25">
      <c r="A2039" s="4" t="s">
        <v>35</v>
      </c>
      <c r="B2039" s="7" t="s">
        <v>131</v>
      </c>
      <c r="C2039" s="2" t="s">
        <v>362</v>
      </c>
      <c r="D2039" s="7" t="s">
        <v>216</v>
      </c>
      <c r="E2039" s="4" t="s">
        <v>359</v>
      </c>
      <c r="F2039" s="2"/>
      <c r="G2039" s="2" t="s">
        <v>1399</v>
      </c>
      <c r="H2039" s="2" t="s">
        <v>1400</v>
      </c>
      <c r="I2039" s="4" t="s">
        <v>66</v>
      </c>
      <c r="J2039" s="112">
        <f>IF($H2039&lt;&gt;"Y",0,ROUND(MIN(Dashboard!$R$24,IF(IFERROR(VLOOKUP($B2039,Dashboard!$Q$28:$S$60,2,FALSE),0)&gt;0,IFERROR(VLOOKUP($B2039,Dashboard!$Q$28:$S$60,2,FALSE),0),$Z2039*IF($U2039&lt;&gt;"",ROUND((Dashboard!$R$4/$U2039)*VLOOKUP($I2039,Dashboard!$Q$9:$R$13,2,FALSE)*IF(ISNUMBER(SEARCH("Duals",$B2039)),2,IF(ISNUMBER(SEARCH("Triples",$B2039)),3,IF(ISNUMBER(SEARCH("Quads",$B2039)),4,1))),2),ROUND(VLOOKUP($I2039,Dashboard!$Q$15:$R$20,2,FALSE)*IF($E2039="Red",Dashboard!$R$6,IF($E2039="Gold",Dashboard!$R$7,Dashboard!$R$5))*IF(ISNUMBER(SEARCH("Duals",$B2039)),2,IF(ISNUMBER(SEARCH("Triples",$B2039)),3,IF(ISNUMBER(SEARCH("Quads",$B2039)),4,1))),2))*IF(IFERROR(VLOOKUP($B2039,Dashboard!$Q$28:$S$60,3,FALSE),0)&gt;0,VLOOKUP($B2039,Dashboard!$Q$28:$S$60,3,FALSE),1))),0))</f>
        <v>9</v>
      </c>
      <c r="K2039" s="2" t="str">
        <f>IF('Supes Suits'!F13="","",'Supes Suits'!F13)</f>
        <v>C</v>
      </c>
      <c r="L2039" s="2">
        <f t="shared" si="403"/>
        <v>1</v>
      </c>
      <c r="M2039" s="2">
        <f t="shared" si="404"/>
        <v>0</v>
      </c>
      <c r="N2039" s="2">
        <f t="shared" si="405"/>
        <v>1</v>
      </c>
      <c r="O2039" s="2">
        <f t="shared" si="406"/>
        <v>0</v>
      </c>
      <c r="P2039" s="112">
        <f t="shared" si="407"/>
        <v>9</v>
      </c>
      <c r="Q2039" s="112">
        <f t="shared" si="408"/>
        <v>0</v>
      </c>
      <c r="R2039" s="53"/>
      <c r="S2039" s="53" t="str">
        <f t="shared" si="409"/>
        <v>Supes Suits|Supes Suits SP's|SSP-4|SP</v>
      </c>
      <c r="T2039" s="57">
        <f>IF($S2039="","",IFERROR(VLOOKUP($S2039,'Pop Estimates (Non-#d)'!$N$2:$O$500,2,FALSE),""))</f>
        <v>178</v>
      </c>
      <c r="U2039" s="57">
        <f t="shared" si="410"/>
        <v>178</v>
      </c>
      <c r="V2039" s="53" t="str">
        <f t="shared" si="411"/>
        <v>Translucent</v>
      </c>
      <c r="W2039" s="53" t="str">
        <f t="shared" si="412"/>
        <v>Translucent</v>
      </c>
      <c r="X2039" s="53" t="str">
        <f t="shared" si="413"/>
        <v>Translucent</v>
      </c>
      <c r="Y2039" s="57">
        <f>IF($X2039="","",IFERROR(VLOOKUP($X2039,'Char Popularity'!$A$2:$C$500,2,FALSE),""))</f>
        <v>2</v>
      </c>
      <c r="Z2039" s="56">
        <f>IF($X2039="",1,IFERROR(VLOOKUP($X2039,'Char Popularity'!$A$2:$C$500,3,FALSE),1))</f>
        <v>0.9</v>
      </c>
      <c r="AA2039" s="62">
        <f>IF($H2039&lt;&gt;"Y",0,(IF($F2039&lt;&gt;"",ROUND(Dashboard!$R$4/$F2039,1),IF(AND($I2039="Base",$E2039="Base"),Dashboard!$R$5,IF(AND($I2039="Base",$E2039="Red"),Dashboard!$R$6,IF(AND($I2039="Base",$E2039="Gold"),Dashboard!$R$7,VLOOKUP($I2039,Dashboard!$Q$16:$R$21,2,FALSE)))))*VLOOKUP($I2039,Dashboard!$Q$9:$R$13,2,FALSE)*IF(AND($I2039="Auto",$F2039="",OR($B2039="Autographs Duals",$B2039="Autographs Triples",$B2039="Autographs Quads",$B2039="Autographs Quads (Inscribed)")),IF($B2039="Autographs Duals",2,IF($B2039="Autographs Triples",3,4)),1)))</f>
        <v>45</v>
      </c>
      <c r="AB2039" s="62">
        <f t="shared" si="414"/>
        <v>45</v>
      </c>
      <c r="AC2039" s="62">
        <f t="shared" si="415"/>
        <v>0</v>
      </c>
    </row>
    <row r="2040" spans="1:29" ht="28.7" customHeight="1" x14ac:dyDescent="0.25">
      <c r="A2040" s="4" t="s">
        <v>35</v>
      </c>
      <c r="B2040" s="7" t="s">
        <v>131</v>
      </c>
      <c r="C2040" s="2" t="s">
        <v>363</v>
      </c>
      <c r="D2040" s="7" t="s">
        <v>222</v>
      </c>
      <c r="E2040" s="4" t="s">
        <v>359</v>
      </c>
      <c r="F2040" s="2"/>
      <c r="G2040" s="2" t="s">
        <v>1399</v>
      </c>
      <c r="H2040" s="2" t="s">
        <v>1400</v>
      </c>
      <c r="I2040" s="4" t="s">
        <v>66</v>
      </c>
      <c r="J2040" s="112">
        <f>IF($H2040&lt;&gt;"Y",0,ROUND(MIN(Dashboard!$R$24,IF(IFERROR(VLOOKUP($B2040,Dashboard!$Q$28:$S$60,2,FALSE),0)&gt;0,IFERROR(VLOOKUP($B2040,Dashboard!$Q$28:$S$60,2,FALSE),0),$Z2040*IF($U2040&lt;&gt;"",ROUND((Dashboard!$R$4/$U2040)*VLOOKUP($I2040,Dashboard!$Q$9:$R$13,2,FALSE)*IF(ISNUMBER(SEARCH("Duals",$B2040)),2,IF(ISNUMBER(SEARCH("Triples",$B2040)),3,IF(ISNUMBER(SEARCH("Quads",$B2040)),4,1))),2),ROUND(VLOOKUP($I2040,Dashboard!$Q$15:$R$20,2,FALSE)*IF($E2040="Red",Dashboard!$R$6,IF($E2040="Gold",Dashboard!$R$7,Dashboard!$R$5))*IF(ISNUMBER(SEARCH("Duals",$B2040)),2,IF(ISNUMBER(SEARCH("Triples",$B2040)),3,IF(ISNUMBER(SEARCH("Quads",$B2040)),4,1))),2))*IF(IFERROR(VLOOKUP($B2040,Dashboard!$Q$28:$S$60,3,FALSE),0)&gt;0,VLOOKUP($B2040,Dashboard!$Q$28:$S$60,3,FALSE),1))),0))</f>
        <v>12</v>
      </c>
      <c r="K2040" s="2" t="str">
        <f>IF('Supes Suits'!F14="","",'Supes Suits'!F14)</f>
        <v>C</v>
      </c>
      <c r="L2040" s="2">
        <f t="shared" si="403"/>
        <v>1</v>
      </c>
      <c r="M2040" s="2">
        <f t="shared" si="404"/>
        <v>0</v>
      </c>
      <c r="N2040" s="2">
        <f t="shared" si="405"/>
        <v>1</v>
      </c>
      <c r="O2040" s="2">
        <f t="shared" si="406"/>
        <v>0</v>
      </c>
      <c r="P2040" s="112">
        <f t="shared" si="407"/>
        <v>12</v>
      </c>
      <c r="Q2040" s="112">
        <f t="shared" si="408"/>
        <v>0</v>
      </c>
      <c r="R2040" s="53"/>
      <c r="S2040" s="53" t="str">
        <f t="shared" si="409"/>
        <v>Supes Suits|Supes Suits SP's|SSP-5|SP</v>
      </c>
      <c r="T2040" s="57">
        <f>IF($S2040="","",IFERROR(VLOOKUP($S2040,'Pop Estimates (Non-#d)'!$N$2:$O$500,2,FALSE),""))</f>
        <v>178</v>
      </c>
      <c r="U2040" s="57">
        <f t="shared" si="410"/>
        <v>178</v>
      </c>
      <c r="V2040" s="53" t="str">
        <f t="shared" si="411"/>
        <v>Homelander</v>
      </c>
      <c r="W2040" s="53" t="str">
        <f t="shared" si="412"/>
        <v>Homelander</v>
      </c>
      <c r="X2040" s="53" t="str">
        <f t="shared" si="413"/>
        <v>Homelander</v>
      </c>
      <c r="Y2040" s="57">
        <f>IF($X2040="","",IFERROR(VLOOKUP($X2040,'Char Popularity'!$A$2:$C$500,2,FALSE),""))</f>
        <v>5</v>
      </c>
      <c r="Z2040" s="56">
        <f>IF($X2040="",1,IFERROR(VLOOKUP($X2040,'Char Popularity'!$A$2:$C$500,3,FALSE),1))</f>
        <v>1.2</v>
      </c>
      <c r="AA2040" s="62">
        <f>IF($H2040&lt;&gt;"Y",0,(IF($F2040&lt;&gt;"",ROUND(Dashboard!$R$4/$F2040,1),IF(AND($I2040="Base",$E2040="Base"),Dashboard!$R$5,IF(AND($I2040="Base",$E2040="Red"),Dashboard!$R$6,IF(AND($I2040="Base",$E2040="Gold"),Dashboard!$R$7,VLOOKUP($I2040,Dashboard!$Q$16:$R$21,2,FALSE)))))*VLOOKUP($I2040,Dashboard!$Q$9:$R$13,2,FALSE)*IF(AND($I2040="Auto",$F2040="",OR($B2040="Autographs Duals",$B2040="Autographs Triples",$B2040="Autographs Quads",$B2040="Autographs Quads (Inscribed)")),IF($B2040="Autographs Duals",2,IF($B2040="Autographs Triples",3,4)),1)))</f>
        <v>45</v>
      </c>
      <c r="AB2040" s="62">
        <f t="shared" si="414"/>
        <v>45</v>
      </c>
      <c r="AC2040" s="62">
        <f t="shared" si="415"/>
        <v>0</v>
      </c>
    </row>
    <row r="2041" spans="1:29" ht="28.7" customHeight="1" x14ac:dyDescent="0.25">
      <c r="A2041" s="4" t="s">
        <v>35</v>
      </c>
      <c r="B2041" s="7" t="s">
        <v>131</v>
      </c>
      <c r="C2041" s="2" t="s">
        <v>364</v>
      </c>
      <c r="D2041" s="7" t="s">
        <v>216</v>
      </c>
      <c r="E2041" s="4" t="s">
        <v>359</v>
      </c>
      <c r="F2041" s="2"/>
      <c r="G2041" s="2" t="s">
        <v>1399</v>
      </c>
      <c r="H2041" s="2" t="s">
        <v>1400</v>
      </c>
      <c r="I2041" s="4" t="s">
        <v>66</v>
      </c>
      <c r="J2041" s="112">
        <f>IF($H2041&lt;&gt;"Y",0,ROUND(MIN(Dashboard!$R$24,IF(IFERROR(VLOOKUP($B2041,Dashboard!$Q$28:$S$60,2,FALSE),0)&gt;0,IFERROR(VLOOKUP($B2041,Dashboard!$Q$28:$S$60,2,FALSE),0),$Z2041*IF($U2041&lt;&gt;"",ROUND((Dashboard!$R$4/$U2041)*VLOOKUP($I2041,Dashboard!$Q$9:$R$13,2,FALSE)*IF(ISNUMBER(SEARCH("Duals",$B2041)),2,IF(ISNUMBER(SEARCH("Triples",$B2041)),3,IF(ISNUMBER(SEARCH("Quads",$B2041)),4,1))),2),ROUND(VLOOKUP($I2041,Dashboard!$Q$15:$R$20,2,FALSE)*IF($E2041="Red",Dashboard!$R$6,IF($E2041="Gold",Dashboard!$R$7,Dashboard!$R$5))*IF(ISNUMBER(SEARCH("Duals",$B2041)),2,IF(ISNUMBER(SEARCH("Triples",$B2041)),3,IF(ISNUMBER(SEARCH("Quads",$B2041)),4,1))),2))*IF(IFERROR(VLOOKUP($B2041,Dashboard!$Q$28:$S$60,3,FALSE),0)&gt;0,VLOOKUP($B2041,Dashboard!$Q$28:$S$60,3,FALSE),1))),0))</f>
        <v>9</v>
      </c>
      <c r="K2041" s="2" t="str">
        <f>IF('Supes Suits'!F15="","",'Supes Suits'!F15)</f>
        <v>C</v>
      </c>
      <c r="L2041" s="2">
        <f t="shared" si="403"/>
        <v>1</v>
      </c>
      <c r="M2041" s="2">
        <f t="shared" si="404"/>
        <v>0</v>
      </c>
      <c r="N2041" s="2">
        <f t="shared" si="405"/>
        <v>1</v>
      </c>
      <c r="O2041" s="2">
        <f t="shared" si="406"/>
        <v>0</v>
      </c>
      <c r="P2041" s="112">
        <f t="shared" si="407"/>
        <v>9</v>
      </c>
      <c r="Q2041" s="112">
        <f t="shared" si="408"/>
        <v>0</v>
      </c>
      <c r="R2041" s="53"/>
      <c r="S2041" s="53" t="str">
        <f t="shared" si="409"/>
        <v>Supes Suits|Supes Suits SP's|SSP-6|SP</v>
      </c>
      <c r="T2041" s="57">
        <f>IF($S2041="","",IFERROR(VLOOKUP($S2041,'Pop Estimates (Non-#d)'!$N$2:$O$500,2,FALSE),""))</f>
        <v>178</v>
      </c>
      <c r="U2041" s="57">
        <f t="shared" si="410"/>
        <v>178</v>
      </c>
      <c r="V2041" s="53" t="str">
        <f t="shared" si="411"/>
        <v>Translucent</v>
      </c>
      <c r="W2041" s="53" t="str">
        <f t="shared" si="412"/>
        <v>Translucent</v>
      </c>
      <c r="X2041" s="53" t="str">
        <f t="shared" si="413"/>
        <v>Translucent</v>
      </c>
      <c r="Y2041" s="57">
        <f>IF($X2041="","",IFERROR(VLOOKUP($X2041,'Char Popularity'!$A$2:$C$500,2,FALSE),""))</f>
        <v>2</v>
      </c>
      <c r="Z2041" s="56">
        <f>IF($X2041="",1,IFERROR(VLOOKUP($X2041,'Char Popularity'!$A$2:$C$500,3,FALSE),1))</f>
        <v>0.9</v>
      </c>
      <c r="AA2041" s="62">
        <f>IF($H2041&lt;&gt;"Y",0,(IF($F2041&lt;&gt;"",ROUND(Dashboard!$R$4/$F2041,1),IF(AND($I2041="Base",$E2041="Base"),Dashboard!$R$5,IF(AND($I2041="Base",$E2041="Red"),Dashboard!$R$6,IF(AND($I2041="Base",$E2041="Gold"),Dashboard!$R$7,VLOOKUP($I2041,Dashboard!$Q$16:$R$21,2,FALSE)))))*VLOOKUP($I2041,Dashboard!$Q$9:$R$13,2,FALSE)*IF(AND($I2041="Auto",$F2041="",OR($B2041="Autographs Duals",$B2041="Autographs Triples",$B2041="Autographs Quads",$B2041="Autographs Quads (Inscribed)")),IF($B2041="Autographs Duals",2,IF($B2041="Autographs Triples",3,4)),1)))</f>
        <v>45</v>
      </c>
      <c r="AB2041" s="62">
        <f t="shared" si="414"/>
        <v>45</v>
      </c>
      <c r="AC2041" s="62">
        <f t="shared" si="415"/>
        <v>0</v>
      </c>
    </row>
    <row r="2042" spans="1:29" ht="28.7" customHeight="1" x14ac:dyDescent="0.25">
      <c r="A2042" s="4" t="s">
        <v>35</v>
      </c>
      <c r="B2042" s="7" t="s">
        <v>131</v>
      </c>
      <c r="C2042" s="2" t="s">
        <v>365</v>
      </c>
      <c r="D2042" s="7" t="s">
        <v>248</v>
      </c>
      <c r="E2042" s="4" t="s">
        <v>359</v>
      </c>
      <c r="F2042" s="2"/>
      <c r="G2042" s="2" t="s">
        <v>1399</v>
      </c>
      <c r="H2042" s="2" t="s">
        <v>1400</v>
      </c>
      <c r="I2042" s="4" t="s">
        <v>66</v>
      </c>
      <c r="J2042" s="112">
        <f>IF($H2042&lt;&gt;"Y",0,ROUND(MIN(Dashboard!$R$24,IF(IFERROR(VLOOKUP($B2042,Dashboard!$Q$28:$S$60,2,FALSE),0)&gt;0,IFERROR(VLOOKUP($B2042,Dashboard!$Q$28:$S$60,2,FALSE),0),$Z2042*IF($U2042&lt;&gt;"",ROUND((Dashboard!$R$4/$U2042)*VLOOKUP($I2042,Dashboard!$Q$9:$R$13,2,FALSE)*IF(ISNUMBER(SEARCH("Duals",$B2042)),2,IF(ISNUMBER(SEARCH("Triples",$B2042)),3,IF(ISNUMBER(SEARCH("Quads",$B2042)),4,1))),2),ROUND(VLOOKUP($I2042,Dashboard!$Q$15:$R$20,2,FALSE)*IF($E2042="Red",Dashboard!$R$6,IF($E2042="Gold",Dashboard!$R$7,Dashboard!$R$5))*IF(ISNUMBER(SEARCH("Duals",$B2042)),2,IF(ISNUMBER(SEARCH("Triples",$B2042)),3,IF(ISNUMBER(SEARCH("Quads",$B2042)),4,1))),2))*IF(IFERROR(VLOOKUP($B2042,Dashboard!$Q$28:$S$60,3,FALSE),0)&gt;0,VLOOKUP($B2042,Dashboard!$Q$28:$S$60,3,FALSE),1))),0))</f>
        <v>12</v>
      </c>
      <c r="K2042" s="2" t="str">
        <f>IF('Supes Suits'!F16="","",'Supes Suits'!F16)</f>
        <v>C</v>
      </c>
      <c r="L2042" s="2">
        <f t="shared" si="403"/>
        <v>1</v>
      </c>
      <c r="M2042" s="2">
        <f t="shared" si="404"/>
        <v>0</v>
      </c>
      <c r="N2042" s="2">
        <f t="shared" si="405"/>
        <v>1</v>
      </c>
      <c r="O2042" s="2">
        <f t="shared" si="406"/>
        <v>0</v>
      </c>
      <c r="P2042" s="112">
        <f t="shared" si="407"/>
        <v>12</v>
      </c>
      <c r="Q2042" s="112">
        <f t="shared" si="408"/>
        <v>0</v>
      </c>
      <c r="R2042" s="53"/>
      <c r="S2042" s="53" t="str">
        <f t="shared" si="409"/>
        <v>Supes Suits|Supes Suits SP's|SSP-7|SP</v>
      </c>
      <c r="T2042" s="57">
        <f>IF($S2042="","",IFERROR(VLOOKUP($S2042,'Pop Estimates (Non-#d)'!$N$2:$O$500,2,FALSE),""))</f>
        <v>178</v>
      </c>
      <c r="U2042" s="57">
        <f t="shared" si="410"/>
        <v>178</v>
      </c>
      <c r="V2042" s="53" t="str">
        <f t="shared" si="411"/>
        <v>Starlight</v>
      </c>
      <c r="W2042" s="53" t="str">
        <f t="shared" si="412"/>
        <v>Starlight</v>
      </c>
      <c r="X2042" s="53" t="str">
        <f t="shared" si="413"/>
        <v>Starlight</v>
      </c>
      <c r="Y2042" s="57">
        <f>IF($X2042="","",IFERROR(VLOOKUP($X2042,'Char Popularity'!$A$2:$C$500,2,FALSE),""))</f>
        <v>5</v>
      </c>
      <c r="Z2042" s="56">
        <f>IF($X2042="",1,IFERROR(VLOOKUP($X2042,'Char Popularity'!$A$2:$C$500,3,FALSE),1))</f>
        <v>1.2</v>
      </c>
      <c r="AA2042" s="62">
        <f>IF($H2042&lt;&gt;"Y",0,(IF($F2042&lt;&gt;"",ROUND(Dashboard!$R$4/$F2042,1),IF(AND($I2042="Base",$E2042="Base"),Dashboard!$R$5,IF(AND($I2042="Base",$E2042="Red"),Dashboard!$R$6,IF(AND($I2042="Base",$E2042="Gold"),Dashboard!$R$7,VLOOKUP($I2042,Dashboard!$Q$16:$R$21,2,FALSE)))))*VLOOKUP($I2042,Dashboard!$Q$9:$R$13,2,FALSE)*IF(AND($I2042="Auto",$F2042="",OR($B2042="Autographs Duals",$B2042="Autographs Triples",$B2042="Autographs Quads",$B2042="Autographs Quads (Inscribed)")),IF($B2042="Autographs Duals",2,IF($B2042="Autographs Triples",3,4)),1)))</f>
        <v>45</v>
      </c>
      <c r="AB2042" s="62">
        <f t="shared" si="414"/>
        <v>45</v>
      </c>
      <c r="AC2042" s="62">
        <f t="shared" si="415"/>
        <v>0</v>
      </c>
    </row>
    <row r="2043" spans="1:29" ht="28.7" customHeight="1" x14ac:dyDescent="0.25">
      <c r="A2043" s="4" t="s">
        <v>35</v>
      </c>
      <c r="B2043" s="7" t="s">
        <v>131</v>
      </c>
      <c r="C2043" s="2" t="s">
        <v>366</v>
      </c>
      <c r="D2043" s="7" t="s">
        <v>267</v>
      </c>
      <c r="E2043" s="4" t="s">
        <v>359</v>
      </c>
      <c r="F2043" s="2"/>
      <c r="G2043" s="2" t="s">
        <v>1399</v>
      </c>
      <c r="H2043" s="2" t="s">
        <v>1400</v>
      </c>
      <c r="I2043" s="4" t="s">
        <v>66</v>
      </c>
      <c r="J2043" s="112">
        <f>IF($H2043&lt;&gt;"Y",0,ROUND(MIN(Dashboard!$R$24,IF(IFERROR(VLOOKUP($B2043,Dashboard!$Q$28:$S$60,2,FALSE),0)&gt;0,IFERROR(VLOOKUP($B2043,Dashboard!$Q$28:$S$60,2,FALSE),0),$Z2043*IF($U2043&lt;&gt;"",ROUND((Dashboard!$R$4/$U2043)*VLOOKUP($I2043,Dashboard!$Q$9:$R$13,2,FALSE)*IF(ISNUMBER(SEARCH("Duals",$B2043)),2,IF(ISNUMBER(SEARCH("Triples",$B2043)),3,IF(ISNUMBER(SEARCH("Quads",$B2043)),4,1))),2),ROUND(VLOOKUP($I2043,Dashboard!$Q$15:$R$20,2,FALSE)*IF($E2043="Red",Dashboard!$R$6,IF($E2043="Gold",Dashboard!$R$7,Dashboard!$R$5))*IF(ISNUMBER(SEARCH("Duals",$B2043)),2,IF(ISNUMBER(SEARCH("Triples",$B2043)),3,IF(ISNUMBER(SEARCH("Quads",$B2043)),4,1))),2))*IF(IFERROR(VLOOKUP($B2043,Dashboard!$Q$28:$S$60,3,FALSE),0)&gt;0,VLOOKUP($B2043,Dashboard!$Q$28:$S$60,3,FALSE),1))),0))</f>
        <v>11</v>
      </c>
      <c r="K2043" s="2" t="str">
        <f>IF('Supes Suits'!F17="","",'Supes Suits'!F17)</f>
        <v/>
      </c>
      <c r="L2043" s="2">
        <f t="shared" si="403"/>
        <v>0</v>
      </c>
      <c r="M2043" s="2">
        <f t="shared" si="404"/>
        <v>0</v>
      </c>
      <c r="N2043" s="2">
        <f t="shared" si="405"/>
        <v>0</v>
      </c>
      <c r="O2043" s="2">
        <f t="shared" si="406"/>
        <v>1</v>
      </c>
      <c r="P2043" s="112">
        <f t="shared" si="407"/>
        <v>0</v>
      </c>
      <c r="Q2043" s="112">
        <f t="shared" si="408"/>
        <v>0</v>
      </c>
      <c r="R2043" s="53"/>
      <c r="S2043" s="53" t="str">
        <f t="shared" si="409"/>
        <v>Supes Suits|Supes Suits SP's|SSP-8|SP</v>
      </c>
      <c r="T2043" s="57">
        <f>IF($S2043="","",IFERROR(VLOOKUP($S2043,'Pop Estimates (Non-#d)'!$N$2:$O$500,2,FALSE),""))</f>
        <v>178</v>
      </c>
      <c r="U2043" s="57">
        <f t="shared" si="410"/>
        <v>178</v>
      </c>
      <c r="V2043" s="53" t="str">
        <f t="shared" si="411"/>
        <v>A-Train</v>
      </c>
      <c r="W2043" s="53" t="str">
        <f t="shared" si="412"/>
        <v>A-Train</v>
      </c>
      <c r="X2043" s="53" t="str">
        <f t="shared" si="413"/>
        <v>A-Train</v>
      </c>
      <c r="Y2043" s="57">
        <f>IF($X2043="","",IFERROR(VLOOKUP($X2043,'Char Popularity'!$A$2:$C$500,2,FALSE),""))</f>
        <v>4</v>
      </c>
      <c r="Z2043" s="56">
        <f>IF($X2043="",1,IFERROR(VLOOKUP($X2043,'Char Popularity'!$A$2:$C$500,3,FALSE),1))</f>
        <v>1.1000000000000001</v>
      </c>
      <c r="AA2043" s="62">
        <f>IF($H2043&lt;&gt;"Y",0,(IF($F2043&lt;&gt;"",ROUND(Dashboard!$R$4/$F2043,1),IF(AND($I2043="Base",$E2043="Base"),Dashboard!$R$5,IF(AND($I2043="Base",$E2043="Red"),Dashboard!$R$6,IF(AND($I2043="Base",$E2043="Gold"),Dashboard!$R$7,VLOOKUP($I2043,Dashboard!$Q$16:$R$21,2,FALSE)))))*VLOOKUP($I2043,Dashboard!$Q$9:$R$13,2,FALSE)*IF(AND($I2043="Auto",$F2043="",OR($B2043="Autographs Duals",$B2043="Autographs Triples",$B2043="Autographs Quads",$B2043="Autographs Quads (Inscribed)")),IF($B2043="Autographs Duals",2,IF($B2043="Autographs Triples",3,4)),1)))</f>
        <v>45</v>
      </c>
      <c r="AB2043" s="62">
        <f t="shared" si="414"/>
        <v>0</v>
      </c>
      <c r="AC2043" s="62">
        <f t="shared" si="415"/>
        <v>0</v>
      </c>
    </row>
    <row r="2044" spans="1:29" ht="30" customHeight="1" x14ac:dyDescent="0.25">
      <c r="A2044" s="4" t="s">
        <v>35</v>
      </c>
      <c r="B2044" s="7" t="s">
        <v>96</v>
      </c>
      <c r="C2044" s="2" t="s">
        <v>354</v>
      </c>
      <c r="D2044" s="7" t="s">
        <v>355</v>
      </c>
      <c r="E2044" s="4" t="s">
        <v>60</v>
      </c>
      <c r="F2044" s="2"/>
      <c r="G2044" s="2" t="s">
        <v>1399</v>
      </c>
      <c r="H2044" s="2" t="s">
        <v>1400</v>
      </c>
      <c r="I2044" s="4" t="s">
        <v>66</v>
      </c>
      <c r="J2044" s="112">
        <f>IF($H2044&lt;&gt;"Y",0,ROUND(MIN(Dashboard!$R$24,IF(IFERROR(VLOOKUP($B2044,Dashboard!$Q$28:$S$60,2,FALSE),0)&gt;0,IFERROR(VLOOKUP($B2044,Dashboard!$Q$28:$S$60,2,FALSE),0),$Z2044*IF($U2044&lt;&gt;"",ROUND((Dashboard!$R$4/$U2044)*VLOOKUP($I2044,Dashboard!$Q$9:$R$13,2,FALSE)*IF(ISNUMBER(SEARCH("Duals",$B2044)),2,IF(ISNUMBER(SEARCH("Triples",$B2044)),3,IF(ISNUMBER(SEARCH("Quads",$B2044)),4,1))),2),ROUND(VLOOKUP($I2044,Dashboard!$Q$15:$R$20,2,FALSE)*IF($E2044="Red",Dashboard!$R$6,IF($E2044="Gold",Dashboard!$R$7,Dashboard!$R$5))*IF(ISNUMBER(SEARCH("Duals",$B2044)),2,IF(ISNUMBER(SEARCH("Triples",$B2044)),3,IF(ISNUMBER(SEARCH("Quads",$B2044)),4,1))),2))*IF(IFERROR(VLOOKUP($B2044,Dashboard!$Q$28:$S$60,3,FALSE),0)&gt;0,VLOOKUP($B2044,Dashboard!$Q$28:$S$60,3,FALSE),1))),0))</f>
        <v>38</v>
      </c>
      <c r="K2044" s="2" t="str">
        <f>IF('Supes Suits'!F31="","",'Supes Suits'!F31)</f>
        <v/>
      </c>
      <c r="L2044" s="2">
        <f t="shared" si="403"/>
        <v>0</v>
      </c>
      <c r="M2044" s="2">
        <f t="shared" si="404"/>
        <v>0</v>
      </c>
      <c r="N2044" s="2">
        <f t="shared" si="405"/>
        <v>0</v>
      </c>
      <c r="O2044" s="2">
        <f t="shared" si="406"/>
        <v>1</v>
      </c>
      <c r="P2044" s="112">
        <f t="shared" si="407"/>
        <v>0</v>
      </c>
      <c r="Q2044" s="112">
        <f t="shared" si="408"/>
        <v>0</v>
      </c>
      <c r="R2044" s="53"/>
      <c r="S2044" s="53" t="str">
        <f t="shared" si="409"/>
        <v>Supes Suits|Triple Supes Suits|TSS-1|Base</v>
      </c>
      <c r="T2044" s="57">
        <f>IF($S2044="","",IFERROR(VLOOKUP($S2044,'Pop Estimates (Non-#d)'!$N$2:$O$500,2,FALSE),""))</f>
        <v>143</v>
      </c>
      <c r="U2044" s="57">
        <f t="shared" si="410"/>
        <v>143</v>
      </c>
      <c r="V2044" s="53" t="str">
        <f t="shared" si="411"/>
        <v>Homelander/Erin Moriarty as Starlight/Alex Hassell as Translucent</v>
      </c>
      <c r="W2044" s="53" t="str">
        <f t="shared" si="412"/>
        <v>Homelander/Erin Moriarty as Starlight/Alex Hassell as Translucent</v>
      </c>
      <c r="X2044" s="53" t="str">
        <f t="shared" si="413"/>
        <v>Homelander/Erin Moriarty as Starlight/Alex Hassell as Translucent</v>
      </c>
      <c r="Y2044" s="57" t="str">
        <f>IF($X2044="","",IFERROR(VLOOKUP($X2044,'Char Popularity'!$A$2:$C$500,2,FALSE),""))</f>
        <v/>
      </c>
      <c r="Z2044" s="56">
        <f>IF($X2044="",1,IFERROR(VLOOKUP($X2044,'Char Popularity'!$A$2:$C$500,3,FALSE),1))</f>
        <v>1</v>
      </c>
      <c r="AA2044" s="62">
        <f>IF($H2044&lt;&gt;"Y",0,(IF($F2044&lt;&gt;"",ROUND(Dashboard!$R$4/$F2044,1),IF(AND($I2044="Base",$E2044="Base"),Dashboard!$R$5,IF(AND($I2044="Base",$E2044="Red"),Dashboard!$R$6,IF(AND($I2044="Base",$E2044="Gold"),Dashboard!$R$7,VLOOKUP($I2044,Dashboard!$Q$16:$R$21,2,FALSE)))))*VLOOKUP($I2044,Dashboard!$Q$9:$R$13,2,FALSE)*IF(AND($I2044="Auto",$F2044="",OR($B2044="Autographs Duals",$B2044="Autographs Triples",$B2044="Autographs Quads",$B2044="Autographs Quads (Inscribed)")),IF($B2044="Autographs Duals",2,IF($B2044="Autographs Triples",3,4)),1)))</f>
        <v>45</v>
      </c>
      <c r="AB2044" s="62">
        <f t="shared" si="414"/>
        <v>0</v>
      </c>
      <c r="AC2044" s="62">
        <f t="shared" si="415"/>
        <v>0</v>
      </c>
    </row>
    <row r="2045" spans="1:29" ht="30" customHeight="1" x14ac:dyDescent="0.25">
      <c r="A2045" s="4" t="s">
        <v>35</v>
      </c>
      <c r="B2045" s="7" t="s">
        <v>96</v>
      </c>
      <c r="C2045" s="2" t="s">
        <v>356</v>
      </c>
      <c r="D2045" s="7" t="s">
        <v>357</v>
      </c>
      <c r="E2045" s="4" t="s">
        <v>60</v>
      </c>
      <c r="F2045" s="2"/>
      <c r="G2045" s="2" t="s">
        <v>1399</v>
      </c>
      <c r="H2045" s="2" t="s">
        <v>1400</v>
      </c>
      <c r="I2045" s="4" t="s">
        <v>66</v>
      </c>
      <c r="J2045" s="112">
        <f>IF($H2045&lt;&gt;"Y",0,ROUND(MIN(Dashboard!$R$24,IF(IFERROR(VLOOKUP($B2045,Dashboard!$Q$28:$S$60,2,FALSE),0)&gt;0,IFERROR(VLOOKUP($B2045,Dashboard!$Q$28:$S$60,2,FALSE),0),$Z2045*IF($U2045&lt;&gt;"",ROUND((Dashboard!$R$4/$U2045)*VLOOKUP($I2045,Dashboard!$Q$9:$R$13,2,FALSE)*IF(ISNUMBER(SEARCH("Duals",$B2045)),2,IF(ISNUMBER(SEARCH("Triples",$B2045)),3,IF(ISNUMBER(SEARCH("Quads",$B2045)),4,1))),2),ROUND(VLOOKUP($I2045,Dashboard!$Q$15:$R$20,2,FALSE)*IF($E2045="Red",Dashboard!$R$6,IF($E2045="Gold",Dashboard!$R$7,Dashboard!$R$5))*IF(ISNUMBER(SEARCH("Duals",$B2045)),2,IF(ISNUMBER(SEARCH("Triples",$B2045)),3,IF(ISNUMBER(SEARCH("Quads",$B2045)),4,1))),2))*IF(IFERROR(VLOOKUP($B2045,Dashboard!$Q$28:$S$60,3,FALSE),0)&gt;0,VLOOKUP($B2045,Dashboard!$Q$28:$S$60,3,FALSE),1))),0))</f>
        <v>38</v>
      </c>
      <c r="K2045" s="2" t="str">
        <f>IF('Supes Suits'!F32="","",'Supes Suits'!F32)</f>
        <v>C</v>
      </c>
      <c r="L2045" s="2">
        <f t="shared" si="403"/>
        <v>1</v>
      </c>
      <c r="M2045" s="2">
        <f t="shared" si="404"/>
        <v>0</v>
      </c>
      <c r="N2045" s="2">
        <f t="shared" si="405"/>
        <v>1</v>
      </c>
      <c r="O2045" s="2">
        <f t="shared" si="406"/>
        <v>0</v>
      </c>
      <c r="P2045" s="112">
        <f t="shared" si="407"/>
        <v>38</v>
      </c>
      <c r="Q2045" s="112">
        <f t="shared" si="408"/>
        <v>0</v>
      </c>
      <c r="R2045" s="53"/>
      <c r="S2045" s="53" t="str">
        <f t="shared" si="409"/>
        <v>Supes Suits|Triple Supes Suits|TSS-2|Base</v>
      </c>
      <c r="T2045" s="57">
        <f>IF($S2045="","",IFERROR(VLOOKUP($S2045,'Pop Estimates (Non-#d)'!$N$2:$O$500,2,FALSE),""))</f>
        <v>143</v>
      </c>
      <c r="U2045" s="57">
        <f t="shared" si="410"/>
        <v>143</v>
      </c>
      <c r="V2045" s="53" t="str">
        <f t="shared" si="411"/>
        <v>A-Train/Antony Starr as Homelander/Alex Hassell as Translucent</v>
      </c>
      <c r="W2045" s="53" t="str">
        <f t="shared" si="412"/>
        <v>A-Train/Antony Starr as Homelander/Alex Hassell as Translucent</v>
      </c>
      <c r="X2045" s="53" t="str">
        <f t="shared" si="413"/>
        <v>A-Train/Antony Starr as Homelander/Alex Hassell as Translucent</v>
      </c>
      <c r="Y2045" s="57" t="str">
        <f>IF($X2045="","",IFERROR(VLOOKUP($X2045,'Char Popularity'!$A$2:$C$500,2,FALSE),""))</f>
        <v/>
      </c>
      <c r="Z2045" s="56">
        <f>IF($X2045="",1,IFERROR(VLOOKUP($X2045,'Char Popularity'!$A$2:$C$500,3,FALSE),1))</f>
        <v>1</v>
      </c>
      <c r="AA2045" s="62">
        <f>IF($H2045&lt;&gt;"Y",0,(IF($F2045&lt;&gt;"",ROUND(Dashboard!$R$4/$F2045,1),IF(AND($I2045="Base",$E2045="Base"),Dashboard!$R$5,IF(AND($I2045="Base",$E2045="Red"),Dashboard!$R$6,IF(AND($I2045="Base",$E2045="Gold"),Dashboard!$R$7,VLOOKUP($I2045,Dashboard!$Q$16:$R$21,2,FALSE)))))*VLOOKUP($I2045,Dashboard!$Q$9:$R$13,2,FALSE)*IF(AND($I2045="Auto",$F2045="",OR($B2045="Autographs Duals",$B2045="Autographs Triples",$B2045="Autographs Quads",$B2045="Autographs Quads (Inscribed)")),IF($B2045="Autographs Duals",2,IF($B2045="Autographs Triples",3,4)),1)))</f>
        <v>45</v>
      </c>
      <c r="AB2045" s="62">
        <f t="shared" si="414"/>
        <v>45</v>
      </c>
      <c r="AC2045" s="62">
        <f t="shared" si="415"/>
        <v>0</v>
      </c>
    </row>
    <row r="2046" spans="1:29" ht="30" customHeight="1" x14ac:dyDescent="0.25">
      <c r="A2046" s="4" t="s">
        <v>35</v>
      </c>
      <c r="B2046" s="7" t="s">
        <v>101</v>
      </c>
      <c r="C2046" s="2" t="s">
        <v>1353</v>
      </c>
      <c r="D2046" s="7" t="s">
        <v>355</v>
      </c>
      <c r="E2046" s="4" t="s">
        <v>60</v>
      </c>
      <c r="F2046" s="2">
        <v>25</v>
      </c>
      <c r="G2046" s="2" t="s">
        <v>1399</v>
      </c>
      <c r="H2046" s="2" t="s">
        <v>1400</v>
      </c>
      <c r="I2046" s="4" t="s">
        <v>66</v>
      </c>
      <c r="J2046" s="112">
        <f>IF($H2046&lt;&gt;"Y",0,ROUND(MIN(Dashboard!$R$24,IF(IFERROR(VLOOKUP($B2046,Dashboard!$Q$28:$S$60,2,FALSE),0)&gt;0,IFERROR(VLOOKUP($B2046,Dashboard!$Q$28:$S$60,2,FALSE),0),$Z2046*IF($U2046&lt;&gt;"",ROUND((Dashboard!$R$4/$U2046)*VLOOKUP($I2046,Dashboard!$Q$9:$R$13,2,FALSE)*IF(ISNUMBER(SEARCH("Duals",$B2046)),2,IF(ISNUMBER(SEARCH("Triples",$B2046)),3,IF(ISNUMBER(SEARCH("Quads",$B2046)),4,1))),2),ROUND(VLOOKUP($I2046,Dashboard!$Q$15:$R$20,2,FALSE)*IF($E2046="Red",Dashboard!$R$6,IF($E2046="Gold",Dashboard!$R$7,Dashboard!$R$5))*IF(ISNUMBER(SEARCH("Duals",$B2046)),2,IF(ISNUMBER(SEARCH("Triples",$B2046)),3,IF(ISNUMBER(SEARCH("Quads",$B2046)),4,1))),2))*IF(IFERROR(VLOOKUP($B2046,Dashboard!$Q$28:$S$60,3,FALSE),0)&gt;0,VLOOKUP($B2046,Dashboard!$Q$28:$S$60,3,FALSE),1))),0))</f>
        <v>216</v>
      </c>
      <c r="K2046" s="2" t="str">
        <f>IF('Supes Suits'!F33="","",'Supes Suits'!F33)</f>
        <v/>
      </c>
      <c r="L2046" s="2">
        <f t="shared" si="403"/>
        <v>0</v>
      </c>
      <c r="M2046" s="2">
        <f t="shared" si="404"/>
        <v>0</v>
      </c>
      <c r="N2046" s="2">
        <f t="shared" si="405"/>
        <v>0</v>
      </c>
      <c r="O2046" s="2">
        <f t="shared" si="406"/>
        <v>1</v>
      </c>
      <c r="P2046" s="112">
        <f t="shared" si="407"/>
        <v>0</v>
      </c>
      <c r="Q2046" s="112">
        <f t="shared" si="408"/>
        <v>0</v>
      </c>
      <c r="R2046" s="53"/>
      <c r="S2046" s="53" t="str">
        <f t="shared" si="409"/>
        <v>Supes Suits|Triple Supes Suits Gold|TSG-1|Base</v>
      </c>
      <c r="T2046" s="57" t="str">
        <f>IF($S2046="","",IFERROR(VLOOKUP($S2046,'Pop Estimates (Non-#d)'!$N$2:$O$500,2,FALSE),""))</f>
        <v/>
      </c>
      <c r="U2046" s="57">
        <f t="shared" si="410"/>
        <v>25</v>
      </c>
      <c r="V2046" s="53" t="str">
        <f t="shared" si="411"/>
        <v>Homelander/Erin Moriarty as Starlight/Alex Hassell as Translucent</v>
      </c>
      <c r="W2046" s="53" t="str">
        <f t="shared" si="412"/>
        <v>Homelander/Erin Moriarty as Starlight/Alex Hassell as Translucent</v>
      </c>
      <c r="X2046" s="53" t="str">
        <f t="shared" si="413"/>
        <v>Homelander/Erin Moriarty as Starlight/Alex Hassell as Translucent</v>
      </c>
      <c r="Y2046" s="57" t="str">
        <f>IF($X2046="","",IFERROR(VLOOKUP($X2046,'Char Popularity'!$A$2:$C$500,2,FALSE),""))</f>
        <v/>
      </c>
      <c r="Z2046" s="56">
        <f>IF($X2046="",1,IFERROR(VLOOKUP($X2046,'Char Popularity'!$A$2:$C$500,3,FALSE),1))</f>
        <v>1</v>
      </c>
      <c r="AA2046" s="62">
        <f>IF($H2046&lt;&gt;"Y",0,(IF($F2046&lt;&gt;"",ROUND(Dashboard!$R$4/$F2046,1),IF(AND($I2046="Base",$E2046="Base"),Dashboard!$R$5,IF(AND($I2046="Base",$E2046="Red"),Dashboard!$R$6,IF(AND($I2046="Base",$E2046="Gold"),Dashboard!$R$7,VLOOKUP($I2046,Dashboard!$Q$16:$R$21,2,FALSE)))))*VLOOKUP($I2046,Dashboard!$Q$9:$R$13,2,FALSE)*IF(AND($I2046="Auto",$F2046="",OR($B2046="Autographs Duals",$B2046="Autographs Triples",$B2046="Autographs Quads",$B2046="Autographs Quads (Inscribed)")),IF($B2046="Autographs Duals",2,IF($B2046="Autographs Triples",3,4)),1)))</f>
        <v>72</v>
      </c>
      <c r="AB2046" s="62">
        <f t="shared" si="414"/>
        <v>0</v>
      </c>
      <c r="AC2046" s="62">
        <f t="shared" si="415"/>
        <v>0</v>
      </c>
    </row>
    <row r="2047" spans="1:29" ht="30" customHeight="1" x14ac:dyDescent="0.25">
      <c r="A2047" s="4" t="s">
        <v>37</v>
      </c>
      <c r="B2047" s="7" t="s">
        <v>214</v>
      </c>
      <c r="C2047" s="2" t="s">
        <v>215</v>
      </c>
      <c r="D2047" s="7" t="s">
        <v>216</v>
      </c>
      <c r="E2047" s="4" t="s">
        <v>60</v>
      </c>
      <c r="F2047" s="2"/>
      <c r="G2047" s="2" t="s">
        <v>1399</v>
      </c>
      <c r="H2047" s="2" t="s">
        <v>1400</v>
      </c>
      <c r="I2047" s="4" t="s">
        <v>68</v>
      </c>
      <c r="J2047" s="112">
        <f>IF($H2047&lt;&gt;"Y",0,ROUND(MIN(Dashboard!$R$24,IF(IFERROR(VLOOKUP($B2047,Dashboard!$Q$28:$S$60,2,FALSE),0)&gt;0,IFERROR(VLOOKUP($B2047,Dashboard!$Q$28:$S$60,2,FALSE),0),$Z2047*IF($U2047&lt;&gt;"",ROUND((Dashboard!$R$4/$U2047)*VLOOKUP($I2047,Dashboard!$Q$9:$R$13,2,FALSE)*IF(ISNUMBER(SEARCH("Duals",$B2047)),2,IF(ISNUMBER(SEARCH("Triples",$B2047)),3,IF(ISNUMBER(SEARCH("Quads",$B2047)),4,1))),2),ROUND(VLOOKUP($I2047,Dashboard!$Q$15:$R$20,2,FALSE)*IF($E2047="Red",Dashboard!$R$6,IF($E2047="Gold",Dashboard!$R$7,Dashboard!$R$5))*IF(ISNUMBER(SEARCH("Duals",$B2047)),2,IF(ISNUMBER(SEARCH("Triples",$B2047)),3,IF(ISNUMBER(SEARCH("Quads",$B2047)),4,1))),2))*IF(IFERROR(VLOOKUP($B2047,Dashboard!$Q$28:$S$60,3,FALSE),0)&gt;0,VLOOKUP($B2047,Dashboard!$Q$28:$S$60,3,FALSE),1))),0))</f>
        <v>14</v>
      </c>
      <c r="K2047" s="2" t="str">
        <f>IF('Autos - Singles'!D2="","",'Autos - Singles'!D2)</f>
        <v>V</v>
      </c>
      <c r="L2047" s="2">
        <f t="shared" si="403"/>
        <v>1</v>
      </c>
      <c r="M2047" s="2">
        <f t="shared" si="404"/>
        <v>0</v>
      </c>
      <c r="N2047" s="2">
        <f t="shared" si="405"/>
        <v>1</v>
      </c>
      <c r="O2047" s="2">
        <f t="shared" si="406"/>
        <v>0</v>
      </c>
      <c r="P2047" s="112">
        <f t="shared" si="407"/>
        <v>14</v>
      </c>
      <c r="Q2047" s="112">
        <f t="shared" si="408"/>
        <v>0</v>
      </c>
      <c r="R2047" s="53"/>
      <c r="S2047" s="53" t="str">
        <f t="shared" si="409"/>
        <v>Autos - Singles|Autographs|A-AH|Base</v>
      </c>
      <c r="T2047" s="57">
        <f>IF($S2047="","",IFERROR(VLOOKUP($S2047,'Pop Estimates (Non-#d)'!$N$2:$O$500,2,FALSE),""))</f>
        <v>130</v>
      </c>
      <c r="U2047" s="57">
        <f t="shared" si="410"/>
        <v>130</v>
      </c>
      <c r="V2047" s="53" t="str">
        <f t="shared" si="411"/>
        <v>Translucent</v>
      </c>
      <c r="W2047" s="53" t="str">
        <f t="shared" si="412"/>
        <v>Translucent</v>
      </c>
      <c r="X2047" s="53" t="str">
        <f t="shared" si="413"/>
        <v>Translucent</v>
      </c>
      <c r="Y2047" s="57">
        <f>IF($X2047="","",IFERROR(VLOOKUP($X2047,'Char Popularity'!$A$2:$C$500,2,FALSE),""))</f>
        <v>2</v>
      </c>
      <c r="Z2047" s="56">
        <f>IF($X2047="",1,IFERROR(VLOOKUP($X2047,'Char Popularity'!$A$2:$C$500,3,FALSE),1))</f>
        <v>0.9</v>
      </c>
      <c r="AA2047" s="62">
        <f>IF($H2047&lt;&gt;"Y",0,(IF($F2047&lt;&gt;"",ROUND(Dashboard!$R$4/$F2047,1),IF(AND($I2047="Base",$E2047="Base"),Dashboard!$R$5,IF(AND($I2047="Base",$E2047="Red"),Dashboard!$R$6,IF(AND($I2047="Base",$E2047="Gold"),Dashboard!$R$7,VLOOKUP($I2047,Dashboard!$Q$16:$R$21,2,FALSE)))))*VLOOKUP($I2047,Dashboard!$Q$9:$R$13,2,FALSE)*IF(AND($I2047="Auto",$F2047="",OR($B2047="Autographs Duals",$B2047="Autographs Triples",$B2047="Autographs Quads",$B2047="Autographs Quads (Inscribed)")),IF($B2047="Autographs Duals",2,IF($B2047="Autographs Triples",3,4)),1)))</f>
        <v>50</v>
      </c>
      <c r="AB2047" s="62">
        <f t="shared" si="414"/>
        <v>50</v>
      </c>
      <c r="AC2047" s="62">
        <f t="shared" si="415"/>
        <v>0</v>
      </c>
    </row>
    <row r="2048" spans="1:29" ht="30" customHeight="1" x14ac:dyDescent="0.25">
      <c r="A2048" s="4" t="s">
        <v>37</v>
      </c>
      <c r="B2048" s="7" t="s">
        <v>214</v>
      </c>
      <c r="C2048" s="2" t="s">
        <v>219</v>
      </c>
      <c r="D2048" s="7" t="s">
        <v>220</v>
      </c>
      <c r="E2048" s="4" t="s">
        <v>60</v>
      </c>
      <c r="F2048" s="2"/>
      <c r="G2048" s="2" t="s">
        <v>1399</v>
      </c>
      <c r="H2048" s="2" t="s">
        <v>1400</v>
      </c>
      <c r="I2048" s="4" t="s">
        <v>68</v>
      </c>
      <c r="J2048" s="112">
        <f>IF($H2048&lt;&gt;"Y",0,ROUND(MIN(Dashboard!$R$24,IF(IFERROR(VLOOKUP($B2048,Dashboard!$Q$28:$S$60,2,FALSE),0)&gt;0,IFERROR(VLOOKUP($B2048,Dashboard!$Q$28:$S$60,2,FALSE),0),$Z2048*IF($U2048&lt;&gt;"",ROUND((Dashboard!$R$4/$U2048)*VLOOKUP($I2048,Dashboard!$Q$9:$R$13,2,FALSE)*IF(ISNUMBER(SEARCH("Duals",$B2048)),2,IF(ISNUMBER(SEARCH("Triples",$B2048)),3,IF(ISNUMBER(SEARCH("Quads",$B2048)),4,1))),2),ROUND(VLOOKUP($I2048,Dashboard!$Q$15:$R$20,2,FALSE)*IF($E2048="Red",Dashboard!$R$6,IF($E2048="Gold",Dashboard!$R$7,Dashboard!$R$5))*IF(ISNUMBER(SEARCH("Duals",$B2048)),2,IF(ISNUMBER(SEARCH("Triples",$B2048)),3,IF(ISNUMBER(SEARCH("Quads",$B2048)),4,1))),2))*IF(IFERROR(VLOOKUP($B2048,Dashboard!$Q$28:$S$60,3,FALSE),0)&gt;0,VLOOKUP($B2048,Dashboard!$Q$28:$S$60,3,FALSE),1))),0))</f>
        <v>14</v>
      </c>
      <c r="K2048" s="2" t="str">
        <f>IF('Autos - Singles'!D3="","",'Autos - Singles'!D3)</f>
        <v>V</v>
      </c>
      <c r="L2048" s="2">
        <f t="shared" si="403"/>
        <v>1</v>
      </c>
      <c r="M2048" s="2">
        <f t="shared" si="404"/>
        <v>0</v>
      </c>
      <c r="N2048" s="2">
        <f t="shared" si="405"/>
        <v>1</v>
      </c>
      <c r="O2048" s="2">
        <f t="shared" si="406"/>
        <v>0</v>
      </c>
      <c r="P2048" s="112">
        <f t="shared" si="407"/>
        <v>14</v>
      </c>
      <c r="Q2048" s="112">
        <f t="shared" si="408"/>
        <v>0</v>
      </c>
      <c r="R2048" s="53" t="s">
        <v>458</v>
      </c>
      <c r="S2048" s="53" t="str">
        <f t="shared" si="409"/>
        <v>Autos - Singles|Autographs|A-AL|Base</v>
      </c>
      <c r="T2048" s="57">
        <f>IF($S2048="","",IFERROR(VLOOKUP($S2048,'Pop Estimates (Non-#d)'!$N$2:$O$500,2,FALSE),""))</f>
        <v>130</v>
      </c>
      <c r="U2048" s="57">
        <f t="shared" si="410"/>
        <v>130</v>
      </c>
      <c r="V2048" s="53" t="str">
        <f t="shared" si="411"/>
        <v>Popclaw "Popclaw"</v>
      </c>
      <c r="W2048" s="53" t="str">
        <f t="shared" si="412"/>
        <v>Popclaw "Popclaw"</v>
      </c>
      <c r="X2048" s="53" t="str">
        <f t="shared" si="413"/>
        <v>Popclaw</v>
      </c>
      <c r="Y2048" s="57">
        <f>IF($X2048="","",IFERROR(VLOOKUP($X2048,'Char Popularity'!$A$2:$C$500,2,FALSE),""))</f>
        <v>2</v>
      </c>
      <c r="Z2048" s="56">
        <f>IF($X2048="",1,IFERROR(VLOOKUP($X2048,'Char Popularity'!$A$2:$C$500,3,FALSE),1))</f>
        <v>0.9</v>
      </c>
      <c r="AA2048" s="62">
        <f>IF($H2048&lt;&gt;"Y",0,(IF($F2048&lt;&gt;"",ROUND(Dashboard!$R$4/$F2048,1),IF(AND($I2048="Base",$E2048="Base"),Dashboard!$R$5,IF(AND($I2048="Base",$E2048="Red"),Dashboard!$R$6,IF(AND($I2048="Base",$E2048="Gold"),Dashboard!$R$7,VLOOKUP($I2048,Dashboard!$Q$16:$R$21,2,FALSE)))))*VLOOKUP($I2048,Dashboard!$Q$9:$R$13,2,FALSE)*IF(AND($I2048="Auto",$F2048="",OR($B2048="Autographs Duals",$B2048="Autographs Triples",$B2048="Autographs Quads",$B2048="Autographs Quads (Inscribed)")),IF($B2048="Autographs Duals",2,IF($B2048="Autographs Triples",3,4)),1)))</f>
        <v>50</v>
      </c>
      <c r="AB2048" s="62">
        <f t="shared" si="414"/>
        <v>50</v>
      </c>
      <c r="AC2048" s="62">
        <f t="shared" si="415"/>
        <v>0</v>
      </c>
    </row>
    <row r="2049" spans="1:29" ht="30" customHeight="1" x14ac:dyDescent="0.25">
      <c r="A2049" s="4" t="s">
        <v>37</v>
      </c>
      <c r="B2049" s="7" t="s">
        <v>214</v>
      </c>
      <c r="C2049" s="2" t="s">
        <v>221</v>
      </c>
      <c r="D2049" s="7" t="s">
        <v>222</v>
      </c>
      <c r="E2049" s="4" t="s">
        <v>60</v>
      </c>
      <c r="F2049" s="2"/>
      <c r="G2049" s="2" t="s">
        <v>1399</v>
      </c>
      <c r="H2049" s="2" t="s">
        <v>1400</v>
      </c>
      <c r="I2049" s="4" t="s">
        <v>68</v>
      </c>
      <c r="J2049" s="112">
        <f>IF($H2049&lt;&gt;"Y",0,ROUND(MIN(Dashboard!$R$24,IF(IFERROR(VLOOKUP($B2049,Dashboard!$Q$28:$S$60,2,FALSE),0)&gt;0,IFERROR(VLOOKUP($B2049,Dashboard!$Q$28:$S$60,2,FALSE),0),$Z2049*IF($U2049&lt;&gt;"",ROUND((Dashboard!$R$4/$U2049)*VLOOKUP($I2049,Dashboard!$Q$9:$R$13,2,FALSE)*IF(ISNUMBER(SEARCH("Duals",$B2049)),2,IF(ISNUMBER(SEARCH("Triples",$B2049)),3,IF(ISNUMBER(SEARCH("Quads",$B2049)),4,1))),2),ROUND(VLOOKUP($I2049,Dashboard!$Q$15:$R$20,2,FALSE)*IF($E2049="Red",Dashboard!$R$6,IF($E2049="Gold",Dashboard!$R$7,Dashboard!$R$5))*IF(ISNUMBER(SEARCH("Duals",$B2049)),2,IF(ISNUMBER(SEARCH("Triples",$B2049)),3,IF(ISNUMBER(SEARCH("Quads",$B2049)),4,1))),2))*IF(IFERROR(VLOOKUP($B2049,Dashboard!$Q$28:$S$60,3,FALSE),0)&gt;0,VLOOKUP($B2049,Dashboard!$Q$28:$S$60,3,FALSE),1))),0))</f>
        <v>18</v>
      </c>
      <c r="K2049" s="2" t="str">
        <f>IF('Autos - Singles'!D4="","",'Autos - Singles'!D4)</f>
        <v>V</v>
      </c>
      <c r="L2049" s="2">
        <f t="shared" si="403"/>
        <v>1</v>
      </c>
      <c r="M2049" s="2">
        <f t="shared" si="404"/>
        <v>0</v>
      </c>
      <c r="N2049" s="2">
        <f t="shared" si="405"/>
        <v>1</v>
      </c>
      <c r="O2049" s="2">
        <f t="shared" si="406"/>
        <v>0</v>
      </c>
      <c r="P2049" s="112">
        <f t="shared" si="407"/>
        <v>18</v>
      </c>
      <c r="Q2049" s="112">
        <f t="shared" si="408"/>
        <v>0</v>
      </c>
      <c r="R2049" s="53"/>
      <c r="S2049" s="53" t="str">
        <f t="shared" si="409"/>
        <v>Autos - Singles|Autographs|A-AS|Base</v>
      </c>
      <c r="T2049" s="57">
        <f>IF($S2049="","",IFERROR(VLOOKUP($S2049,'Pop Estimates (Non-#d)'!$N$2:$O$500,2,FALSE),""))</f>
        <v>130</v>
      </c>
      <c r="U2049" s="57">
        <f t="shared" si="410"/>
        <v>130</v>
      </c>
      <c r="V2049" s="53" t="str">
        <f t="shared" si="411"/>
        <v>Homelander</v>
      </c>
      <c r="W2049" s="53" t="str">
        <f t="shared" si="412"/>
        <v>Homelander</v>
      </c>
      <c r="X2049" s="53" t="str">
        <f t="shared" si="413"/>
        <v>Homelander</v>
      </c>
      <c r="Y2049" s="57">
        <f>IF($X2049="","",IFERROR(VLOOKUP($X2049,'Char Popularity'!$A$2:$C$500,2,FALSE),""))</f>
        <v>5</v>
      </c>
      <c r="Z2049" s="56">
        <f>IF($X2049="",1,IFERROR(VLOOKUP($X2049,'Char Popularity'!$A$2:$C$500,3,FALSE),1))</f>
        <v>1.2</v>
      </c>
      <c r="AA2049" s="62">
        <f>IF($H2049&lt;&gt;"Y",0,(IF($F2049&lt;&gt;"",ROUND(Dashboard!$R$4/$F2049,1),IF(AND($I2049="Base",$E2049="Base"),Dashboard!$R$5,IF(AND($I2049="Base",$E2049="Red"),Dashboard!$R$6,IF(AND($I2049="Base",$E2049="Gold"),Dashboard!$R$7,VLOOKUP($I2049,Dashboard!$Q$16:$R$21,2,FALSE)))))*VLOOKUP($I2049,Dashboard!$Q$9:$R$13,2,FALSE)*IF(AND($I2049="Auto",$F2049="",OR($B2049="Autographs Duals",$B2049="Autographs Triples",$B2049="Autographs Quads",$B2049="Autographs Quads (Inscribed)")),IF($B2049="Autographs Duals",2,IF($B2049="Autographs Triples",3,4)),1)))</f>
        <v>50</v>
      </c>
      <c r="AB2049" s="62">
        <f t="shared" si="414"/>
        <v>50</v>
      </c>
      <c r="AC2049" s="62">
        <f t="shared" si="415"/>
        <v>0</v>
      </c>
    </row>
    <row r="2050" spans="1:29" ht="30" customHeight="1" x14ac:dyDescent="0.25">
      <c r="A2050" s="4" t="s">
        <v>37</v>
      </c>
      <c r="B2050" s="7" t="s">
        <v>214</v>
      </c>
      <c r="C2050" s="2" t="s">
        <v>223</v>
      </c>
      <c r="D2050" s="7" t="s">
        <v>224</v>
      </c>
      <c r="E2050" s="4" t="s">
        <v>60</v>
      </c>
      <c r="F2050" s="2"/>
      <c r="G2050" s="2" t="s">
        <v>1399</v>
      </c>
      <c r="H2050" s="2" t="s">
        <v>1400</v>
      </c>
      <c r="I2050" s="4" t="s">
        <v>68</v>
      </c>
      <c r="J2050" s="112">
        <f>IF($H2050&lt;&gt;"Y",0,ROUND(MIN(Dashboard!$R$24,IF(IFERROR(VLOOKUP($B2050,Dashboard!$Q$28:$S$60,2,FALSE),0)&gt;0,IFERROR(VLOOKUP($B2050,Dashboard!$Q$28:$S$60,2,FALSE),0),$Z2050*IF($U2050&lt;&gt;"",ROUND((Dashboard!$R$4/$U2050)*VLOOKUP($I2050,Dashboard!$Q$9:$R$13,2,FALSE)*IF(ISNUMBER(SEARCH("Duals",$B2050)),2,IF(ISNUMBER(SEARCH("Triples",$B2050)),3,IF(ISNUMBER(SEARCH("Quads",$B2050)),4,1))),2),ROUND(VLOOKUP($I2050,Dashboard!$Q$15:$R$20,2,FALSE)*IF($E2050="Red",Dashboard!$R$6,IF($E2050="Gold",Dashboard!$R$7,Dashboard!$R$5))*IF(ISNUMBER(SEARCH("Duals",$B2050)),2,IF(ISNUMBER(SEARCH("Triples",$B2050)),3,IF(ISNUMBER(SEARCH("Quads",$B2050)),4,1))),2))*IF(IFERROR(VLOOKUP($B2050,Dashboard!$Q$28:$S$60,3,FALSE),0)&gt;0,VLOOKUP($B2050,Dashboard!$Q$28:$S$60,3,FALSE),1))),0))</f>
        <v>14</v>
      </c>
      <c r="K2050" s="2" t="str">
        <f>IF('Autos - Singles'!D5="","",'Autos - Singles'!D5)</f>
        <v>C</v>
      </c>
      <c r="L2050" s="2">
        <f t="shared" ref="L2050:L2113" si="416">IF(AND($K2050&lt;&gt;"",LEFT($K2050,1)&lt;&gt;"Y"),1,0)</f>
        <v>1</v>
      </c>
      <c r="M2050" s="2">
        <f t="shared" ref="M2050:M2113" si="417">IF(LEFT($K2050,1)="Y",1,0)</f>
        <v>0</v>
      </c>
      <c r="N2050" s="2">
        <f t="shared" ref="N2050:N2113" si="418">$L2050+$M2050</f>
        <v>1</v>
      </c>
      <c r="O2050" s="2">
        <f t="shared" ref="O2050:O2113" si="419">IF($H2050="Y",1-$N2050,0)</f>
        <v>0</v>
      </c>
      <c r="P2050" s="112">
        <f t="shared" ref="P2050:P2113" si="420">IF($L2050=1,$J2050,0)</f>
        <v>14</v>
      </c>
      <c r="Q2050" s="112">
        <f t="shared" ref="Q2050:Q2113" si="421">IF($M2050=1,$J2050,0)</f>
        <v>0</v>
      </c>
      <c r="R2050" s="53"/>
      <c r="S2050" s="53" t="str">
        <f t="shared" ref="S2050:S2113" si="422">IF($A2050="","",$A2050&amp;"|"&amp;$B2050&amp;"|"&amp;$C2050&amp;"|"&amp;$E2050)</f>
        <v>Autos - Singles|Autographs|A-BA|Base</v>
      </c>
      <c r="T2050" s="57">
        <f>IF($S2050="","",IFERROR(VLOOKUP($S2050,'Pop Estimates (Non-#d)'!$N$2:$O$500,2,FALSE),""))</f>
        <v>130</v>
      </c>
      <c r="U2050" s="57">
        <f t="shared" ref="U2050:U2113" si="423">IF($A2050="","",IF($F2050&lt;&gt;"",$F2050,$T2050))</f>
        <v>130</v>
      </c>
      <c r="V2050" s="53" t="str">
        <f t="shared" ref="V2050:V2113" si="424">IF($A2050="","",IF(ISNUMBER(SEARCH(" as ",$D2050)),MID($D2050,SEARCH(" as ",$D2050)+4,255),IF(ISNUMBER(SEARCH("/",$D2050)),LEFT($D2050,FIND("/",$D2050&amp;"/")-1),"")))</f>
        <v>Popclaw</v>
      </c>
      <c r="W2050" s="53" t="str">
        <f t="shared" ref="W2050:W2113" si="425">IF($V2050="","",TRIM(IFERROR(MID($V2050,SEARCH("(", $V2050)+1,SEARCH(")",$V2050)-SEARCH("(", $V2050)-1),$V2050)))</f>
        <v>Popclaw</v>
      </c>
      <c r="X2050" s="53" t="str">
        <f t="shared" ref="X2050:X2113" si="426">IF($W2050="","",TRIM(LEFT($W2050&amp;"""",FIND("""",$W2050&amp;"""")-1)))</f>
        <v>Popclaw</v>
      </c>
      <c r="Y2050" s="57">
        <f>IF($X2050="","",IFERROR(VLOOKUP($X2050,'Char Popularity'!$A$2:$C$500,2,FALSE),""))</f>
        <v>2</v>
      </c>
      <c r="Z2050" s="56">
        <f>IF($X2050="",1,IFERROR(VLOOKUP($X2050,'Char Popularity'!$A$2:$C$500,3,FALSE),1))</f>
        <v>0.9</v>
      </c>
      <c r="AA2050" s="62">
        <f>IF($H2050&lt;&gt;"Y",0,(IF($F2050&lt;&gt;"",ROUND(Dashboard!$R$4/$F2050,1),IF(AND($I2050="Base",$E2050="Base"),Dashboard!$R$5,IF(AND($I2050="Base",$E2050="Red"),Dashboard!$R$6,IF(AND($I2050="Base",$E2050="Gold"),Dashboard!$R$7,VLOOKUP($I2050,Dashboard!$Q$16:$R$21,2,FALSE)))))*VLOOKUP($I2050,Dashboard!$Q$9:$R$13,2,FALSE)*IF(AND($I2050="Auto",$F2050="",OR($B2050="Autographs Duals",$B2050="Autographs Triples",$B2050="Autographs Quads",$B2050="Autographs Quads (Inscribed)")),IF($B2050="Autographs Duals",2,IF($B2050="Autographs Triples",3,4)),1)))</f>
        <v>50</v>
      </c>
      <c r="AB2050" s="62">
        <f t="shared" ref="AB2050:AB2113" si="427">IF($L2050=1,$AA2050,0)</f>
        <v>50</v>
      </c>
      <c r="AC2050" s="62">
        <f t="shared" ref="AC2050:AC2113" si="428">IF($M2050=1,$AA2050,0)</f>
        <v>0</v>
      </c>
    </row>
    <row r="2051" spans="1:29" ht="30" customHeight="1" x14ac:dyDescent="0.25">
      <c r="A2051" s="4" t="s">
        <v>37</v>
      </c>
      <c r="B2051" s="7" t="s">
        <v>214</v>
      </c>
      <c r="C2051" s="2" t="s">
        <v>225</v>
      </c>
      <c r="D2051" s="7" t="s">
        <v>224</v>
      </c>
      <c r="E2051" s="4" t="s">
        <v>60</v>
      </c>
      <c r="F2051" s="2"/>
      <c r="G2051" s="2" t="s">
        <v>1399</v>
      </c>
      <c r="H2051" s="2" t="s">
        <v>1400</v>
      </c>
      <c r="I2051" s="4" t="s">
        <v>68</v>
      </c>
      <c r="J2051" s="112">
        <f>IF($H2051&lt;&gt;"Y",0,ROUND(MIN(Dashboard!$R$24,IF(IFERROR(VLOOKUP($B2051,Dashboard!$Q$28:$S$60,2,FALSE),0)&gt;0,IFERROR(VLOOKUP($B2051,Dashboard!$Q$28:$S$60,2,FALSE),0),$Z2051*IF($U2051&lt;&gt;"",ROUND((Dashboard!$R$4/$U2051)*VLOOKUP($I2051,Dashboard!$Q$9:$R$13,2,FALSE)*IF(ISNUMBER(SEARCH("Duals",$B2051)),2,IF(ISNUMBER(SEARCH("Triples",$B2051)),3,IF(ISNUMBER(SEARCH("Quads",$B2051)),4,1))),2),ROUND(VLOOKUP($I2051,Dashboard!$Q$15:$R$20,2,FALSE)*IF($E2051="Red",Dashboard!$R$6,IF($E2051="Gold",Dashboard!$R$7,Dashboard!$R$5))*IF(ISNUMBER(SEARCH("Duals",$B2051)),2,IF(ISNUMBER(SEARCH("Triples",$B2051)),3,IF(ISNUMBER(SEARCH("Quads",$B2051)),4,1))),2))*IF(IFERROR(VLOOKUP($B2051,Dashboard!$Q$28:$S$60,3,FALSE),0)&gt;0,VLOOKUP($B2051,Dashboard!$Q$28:$S$60,3,FALSE),1))),0))</f>
        <v>14</v>
      </c>
      <c r="K2051" s="2" t="str">
        <f>IF('Autos - Singles'!D6="","",'Autos - Singles'!D6)</f>
        <v>C</v>
      </c>
      <c r="L2051" s="2">
        <f t="shared" si="416"/>
        <v>1</v>
      </c>
      <c r="M2051" s="2">
        <f t="shared" si="417"/>
        <v>0</v>
      </c>
      <c r="N2051" s="2">
        <f t="shared" si="418"/>
        <v>1</v>
      </c>
      <c r="O2051" s="2">
        <f t="shared" si="419"/>
        <v>0</v>
      </c>
      <c r="P2051" s="112">
        <f t="shared" si="420"/>
        <v>14</v>
      </c>
      <c r="Q2051" s="112">
        <f t="shared" si="421"/>
        <v>0</v>
      </c>
      <c r="R2051" s="53"/>
      <c r="S2051" s="53" t="str">
        <f t="shared" si="422"/>
        <v>Autos - Singles|Autographs|A-BI|Base</v>
      </c>
      <c r="T2051" s="57">
        <f>IF($S2051="","",IFERROR(VLOOKUP($S2051,'Pop Estimates (Non-#d)'!$N$2:$O$500,2,FALSE),""))</f>
        <v>130</v>
      </c>
      <c r="U2051" s="57">
        <f t="shared" si="423"/>
        <v>130</v>
      </c>
      <c r="V2051" s="53" t="str">
        <f t="shared" si="424"/>
        <v>Popclaw</v>
      </c>
      <c r="W2051" s="53" t="str">
        <f t="shared" si="425"/>
        <v>Popclaw</v>
      </c>
      <c r="X2051" s="53" t="str">
        <f t="shared" si="426"/>
        <v>Popclaw</v>
      </c>
      <c r="Y2051" s="57">
        <f>IF($X2051="","",IFERROR(VLOOKUP($X2051,'Char Popularity'!$A$2:$C$500,2,FALSE),""))</f>
        <v>2</v>
      </c>
      <c r="Z2051" s="56">
        <f>IF($X2051="",1,IFERROR(VLOOKUP($X2051,'Char Popularity'!$A$2:$C$500,3,FALSE),1))</f>
        <v>0.9</v>
      </c>
      <c r="AA2051" s="62">
        <f>IF($H2051&lt;&gt;"Y",0,(IF($F2051&lt;&gt;"",ROUND(Dashboard!$R$4/$F2051,1),IF(AND($I2051="Base",$E2051="Base"),Dashboard!$R$5,IF(AND($I2051="Base",$E2051="Red"),Dashboard!$R$6,IF(AND($I2051="Base",$E2051="Gold"),Dashboard!$R$7,VLOOKUP($I2051,Dashboard!$Q$16:$R$21,2,FALSE)))))*VLOOKUP($I2051,Dashboard!$Q$9:$R$13,2,FALSE)*IF(AND($I2051="Auto",$F2051="",OR($B2051="Autographs Duals",$B2051="Autographs Triples",$B2051="Autographs Quads",$B2051="Autographs Quads (Inscribed)")),IF($B2051="Autographs Duals",2,IF($B2051="Autographs Triples",3,4)),1)))</f>
        <v>50</v>
      </c>
      <c r="AB2051" s="62">
        <f t="shared" si="427"/>
        <v>50</v>
      </c>
      <c r="AC2051" s="62">
        <f t="shared" si="428"/>
        <v>0</v>
      </c>
    </row>
    <row r="2052" spans="1:29" ht="30" customHeight="1" x14ac:dyDescent="0.25">
      <c r="A2052" s="4" t="s">
        <v>37</v>
      </c>
      <c r="B2052" s="7" t="s">
        <v>214</v>
      </c>
      <c r="C2052" s="2" t="s">
        <v>226</v>
      </c>
      <c r="D2052" s="7" t="s">
        <v>224</v>
      </c>
      <c r="E2052" s="4" t="s">
        <v>60</v>
      </c>
      <c r="F2052" s="2"/>
      <c r="G2052" s="2" t="s">
        <v>1399</v>
      </c>
      <c r="H2052" s="2" t="s">
        <v>1400</v>
      </c>
      <c r="I2052" s="4" t="s">
        <v>68</v>
      </c>
      <c r="J2052" s="112">
        <f>IF($H2052&lt;&gt;"Y",0,ROUND(MIN(Dashboard!$R$24,IF(IFERROR(VLOOKUP($B2052,Dashboard!$Q$28:$S$60,2,FALSE),0)&gt;0,IFERROR(VLOOKUP($B2052,Dashboard!$Q$28:$S$60,2,FALSE),0),$Z2052*IF($U2052&lt;&gt;"",ROUND((Dashboard!$R$4/$U2052)*VLOOKUP($I2052,Dashboard!$Q$9:$R$13,2,FALSE)*IF(ISNUMBER(SEARCH("Duals",$B2052)),2,IF(ISNUMBER(SEARCH("Triples",$B2052)),3,IF(ISNUMBER(SEARCH("Quads",$B2052)),4,1))),2),ROUND(VLOOKUP($I2052,Dashboard!$Q$15:$R$20,2,FALSE)*IF($E2052="Red",Dashboard!$R$6,IF($E2052="Gold",Dashboard!$R$7,Dashboard!$R$5))*IF(ISNUMBER(SEARCH("Duals",$B2052)),2,IF(ISNUMBER(SEARCH("Triples",$B2052)),3,IF(ISNUMBER(SEARCH("Quads",$B2052)),4,1))),2))*IF(IFERROR(VLOOKUP($B2052,Dashboard!$Q$28:$S$60,3,FALSE),0)&gt;0,VLOOKUP($B2052,Dashboard!$Q$28:$S$60,3,FALSE),1))),0))</f>
        <v>14</v>
      </c>
      <c r="K2052" s="2" t="str">
        <f>IF('Autos - Singles'!D7="","",'Autos - Singles'!D7)</f>
        <v>C</v>
      </c>
      <c r="L2052" s="2">
        <f t="shared" si="416"/>
        <v>1</v>
      </c>
      <c r="M2052" s="2">
        <f t="shared" si="417"/>
        <v>0</v>
      </c>
      <c r="N2052" s="2">
        <f t="shared" si="418"/>
        <v>1</v>
      </c>
      <c r="O2052" s="2">
        <f t="shared" si="419"/>
        <v>0</v>
      </c>
      <c r="P2052" s="112">
        <f t="shared" si="420"/>
        <v>14</v>
      </c>
      <c r="Q2052" s="112">
        <f t="shared" si="421"/>
        <v>0</v>
      </c>
      <c r="R2052" s="53"/>
      <c r="S2052" s="53" t="str">
        <f t="shared" si="422"/>
        <v>Autos - Singles|Autographs|A-BR|Base</v>
      </c>
      <c r="T2052" s="57">
        <f>IF($S2052="","",IFERROR(VLOOKUP($S2052,'Pop Estimates (Non-#d)'!$N$2:$O$500,2,FALSE),""))</f>
        <v>130</v>
      </c>
      <c r="U2052" s="57">
        <f t="shared" si="423"/>
        <v>130</v>
      </c>
      <c r="V2052" s="53" t="str">
        <f t="shared" si="424"/>
        <v>Popclaw</v>
      </c>
      <c r="W2052" s="53" t="str">
        <f t="shared" si="425"/>
        <v>Popclaw</v>
      </c>
      <c r="X2052" s="53" t="str">
        <f t="shared" si="426"/>
        <v>Popclaw</v>
      </c>
      <c r="Y2052" s="57">
        <f>IF($X2052="","",IFERROR(VLOOKUP($X2052,'Char Popularity'!$A$2:$C$500,2,FALSE),""))</f>
        <v>2</v>
      </c>
      <c r="Z2052" s="56">
        <f>IF($X2052="",1,IFERROR(VLOOKUP($X2052,'Char Popularity'!$A$2:$C$500,3,FALSE),1))</f>
        <v>0.9</v>
      </c>
      <c r="AA2052" s="62">
        <f>IF($H2052&lt;&gt;"Y",0,(IF($F2052&lt;&gt;"",ROUND(Dashboard!$R$4/$F2052,1),IF(AND($I2052="Base",$E2052="Base"),Dashboard!$R$5,IF(AND($I2052="Base",$E2052="Red"),Dashboard!$R$6,IF(AND($I2052="Base",$E2052="Gold"),Dashboard!$R$7,VLOOKUP($I2052,Dashboard!$Q$16:$R$21,2,FALSE)))))*VLOOKUP($I2052,Dashboard!$Q$9:$R$13,2,FALSE)*IF(AND($I2052="Auto",$F2052="",OR($B2052="Autographs Duals",$B2052="Autographs Triples",$B2052="Autographs Quads",$B2052="Autographs Quads (Inscribed)")),IF($B2052="Autographs Duals",2,IF($B2052="Autographs Triples",3,4)),1)))</f>
        <v>50</v>
      </c>
      <c r="AB2052" s="62">
        <f t="shared" si="427"/>
        <v>50</v>
      </c>
      <c r="AC2052" s="62">
        <f t="shared" si="428"/>
        <v>0</v>
      </c>
    </row>
    <row r="2053" spans="1:29" ht="30" customHeight="1" x14ac:dyDescent="0.25">
      <c r="A2053" s="4" t="s">
        <v>37</v>
      </c>
      <c r="B2053" s="7" t="s">
        <v>214</v>
      </c>
      <c r="C2053" s="2" t="s">
        <v>227</v>
      </c>
      <c r="D2053" s="7" t="s">
        <v>228</v>
      </c>
      <c r="E2053" s="4" t="s">
        <v>60</v>
      </c>
      <c r="F2053" s="2"/>
      <c r="G2053" s="2" t="s">
        <v>1399</v>
      </c>
      <c r="H2053" s="2" t="s">
        <v>1400</v>
      </c>
      <c r="I2053" s="4" t="s">
        <v>68</v>
      </c>
      <c r="J2053" s="112">
        <f>IF($H2053&lt;&gt;"Y",0,ROUND(MIN(Dashboard!$R$24,IF(IFERROR(VLOOKUP($B2053,Dashboard!$Q$28:$S$60,2,FALSE),0)&gt;0,IFERROR(VLOOKUP($B2053,Dashboard!$Q$28:$S$60,2,FALSE),0),$Z2053*IF($U2053&lt;&gt;"",ROUND((Dashboard!$R$4/$U2053)*VLOOKUP($I2053,Dashboard!$Q$9:$R$13,2,FALSE)*IF(ISNUMBER(SEARCH("Duals",$B2053)),2,IF(ISNUMBER(SEARCH("Triples",$B2053)),3,IF(ISNUMBER(SEARCH("Quads",$B2053)),4,1))),2),ROUND(VLOOKUP($I2053,Dashboard!$Q$15:$R$20,2,FALSE)*IF($E2053="Red",Dashboard!$R$6,IF($E2053="Gold",Dashboard!$R$7,Dashboard!$R$5))*IF(ISNUMBER(SEARCH("Duals",$B2053)),2,IF(ISNUMBER(SEARCH("Triples",$B2053)),3,IF(ISNUMBER(SEARCH("Quads",$B2053)),4,1))),2))*IF(IFERROR(VLOOKUP($B2053,Dashboard!$Q$28:$S$60,3,FALSE),0)&gt;0,VLOOKUP($B2053,Dashboard!$Q$28:$S$60,3,FALSE),1))),0))</f>
        <v>17</v>
      </c>
      <c r="K2053" s="2" t="str">
        <f>IF('Autos - Singles'!D8="","",'Autos - Singles'!D8)</f>
        <v>V</v>
      </c>
      <c r="L2053" s="2">
        <f t="shared" si="416"/>
        <v>1</v>
      </c>
      <c r="M2053" s="2">
        <f t="shared" si="417"/>
        <v>0</v>
      </c>
      <c r="N2053" s="2">
        <f t="shared" si="418"/>
        <v>1</v>
      </c>
      <c r="O2053" s="2">
        <f t="shared" si="419"/>
        <v>0</v>
      </c>
      <c r="P2053" s="112">
        <f t="shared" si="420"/>
        <v>17</v>
      </c>
      <c r="Q2053" s="112">
        <f t="shared" si="421"/>
        <v>0</v>
      </c>
      <c r="R2053" s="53"/>
      <c r="S2053" s="53" t="str">
        <f t="shared" si="422"/>
        <v>Autos - Singles|Autographs|A-CA|Base</v>
      </c>
      <c r="T2053" s="57">
        <f>IF($S2053="","",IFERROR(VLOOKUP($S2053,'Pop Estimates (Non-#d)'!$N$2:$O$500,2,FALSE),""))</f>
        <v>130</v>
      </c>
      <c r="U2053" s="57">
        <f t="shared" si="423"/>
        <v>130</v>
      </c>
      <c r="V2053" s="53" t="str">
        <f t="shared" si="424"/>
        <v>Ryan</v>
      </c>
      <c r="W2053" s="53" t="str">
        <f t="shared" si="425"/>
        <v>Ryan</v>
      </c>
      <c r="X2053" s="53" t="str">
        <f t="shared" si="426"/>
        <v>Ryan</v>
      </c>
      <c r="Y2053" s="57">
        <f>IF($X2053="","",IFERROR(VLOOKUP($X2053,'Char Popularity'!$A$2:$C$500,2,FALSE),""))</f>
        <v>4</v>
      </c>
      <c r="Z2053" s="56">
        <f>IF($X2053="",1,IFERROR(VLOOKUP($X2053,'Char Popularity'!$A$2:$C$500,3,FALSE),1))</f>
        <v>1.1000000000000001</v>
      </c>
      <c r="AA2053" s="62">
        <f>IF($H2053&lt;&gt;"Y",0,(IF($F2053&lt;&gt;"",ROUND(Dashboard!$R$4/$F2053,1),IF(AND($I2053="Base",$E2053="Base"),Dashboard!$R$5,IF(AND($I2053="Base",$E2053="Red"),Dashboard!$R$6,IF(AND($I2053="Base",$E2053="Gold"),Dashboard!$R$7,VLOOKUP($I2053,Dashboard!$Q$16:$R$21,2,FALSE)))))*VLOOKUP($I2053,Dashboard!$Q$9:$R$13,2,FALSE)*IF(AND($I2053="Auto",$F2053="",OR($B2053="Autographs Duals",$B2053="Autographs Triples",$B2053="Autographs Quads",$B2053="Autographs Quads (Inscribed)")),IF($B2053="Autographs Duals",2,IF($B2053="Autographs Triples",3,4)),1)))</f>
        <v>50</v>
      </c>
      <c r="AB2053" s="62">
        <f t="shared" si="427"/>
        <v>50</v>
      </c>
      <c r="AC2053" s="62">
        <f t="shared" si="428"/>
        <v>0</v>
      </c>
    </row>
    <row r="2054" spans="1:29" ht="30" customHeight="1" x14ac:dyDescent="0.25">
      <c r="A2054" s="4" t="s">
        <v>37</v>
      </c>
      <c r="B2054" s="7" t="s">
        <v>214</v>
      </c>
      <c r="C2054" s="2" t="s">
        <v>229</v>
      </c>
      <c r="D2054" s="7" t="s">
        <v>230</v>
      </c>
      <c r="E2054" s="4" t="s">
        <v>60</v>
      </c>
      <c r="F2054" s="2"/>
      <c r="G2054" s="2" t="s">
        <v>1399</v>
      </c>
      <c r="H2054" s="2" t="s">
        <v>1400</v>
      </c>
      <c r="I2054" s="4" t="s">
        <v>68</v>
      </c>
      <c r="J2054" s="112">
        <f>IF($H2054&lt;&gt;"Y",0,ROUND(MIN(Dashboard!$R$24,IF(IFERROR(VLOOKUP($B2054,Dashboard!$Q$28:$S$60,2,FALSE),0)&gt;0,IFERROR(VLOOKUP($B2054,Dashboard!$Q$28:$S$60,2,FALSE),0),$Z2054*IF($U2054&lt;&gt;"",ROUND((Dashboard!$R$4/$U2054)*VLOOKUP($I2054,Dashboard!$Q$9:$R$13,2,FALSE)*IF(ISNUMBER(SEARCH("Duals",$B2054)),2,IF(ISNUMBER(SEARCH("Triples",$B2054)),3,IF(ISNUMBER(SEARCH("Quads",$B2054)),4,1))),2),ROUND(VLOOKUP($I2054,Dashboard!$Q$15:$R$20,2,FALSE)*IF($E2054="Red",Dashboard!$R$6,IF($E2054="Gold",Dashboard!$R$7,Dashboard!$R$5))*IF(ISNUMBER(SEARCH("Duals",$B2054)),2,IF(ISNUMBER(SEARCH("Triples",$B2054)),3,IF(ISNUMBER(SEARCH("Quads",$B2054)),4,1))),2))*IF(IFERROR(VLOOKUP($B2054,Dashboard!$Q$28:$S$60,3,FALSE),0)&gt;0,VLOOKUP($B2054,Dashboard!$Q$28:$S$60,3,FALSE),1))),0))</f>
        <v>17</v>
      </c>
      <c r="K2054" s="2" t="str">
        <f>IF('Autos - Singles'!D9="","",'Autos - Singles'!D9)</f>
        <v/>
      </c>
      <c r="L2054" s="2">
        <f t="shared" si="416"/>
        <v>0</v>
      </c>
      <c r="M2054" s="2">
        <f t="shared" si="417"/>
        <v>0</v>
      </c>
      <c r="N2054" s="2">
        <f t="shared" si="418"/>
        <v>0</v>
      </c>
      <c r="O2054" s="2">
        <f t="shared" si="419"/>
        <v>1</v>
      </c>
      <c r="P2054" s="112">
        <f t="shared" si="420"/>
        <v>0</v>
      </c>
      <c r="Q2054" s="112">
        <f t="shared" si="421"/>
        <v>0</v>
      </c>
      <c r="R2054" s="53"/>
      <c r="S2054" s="53" t="str">
        <f t="shared" si="422"/>
        <v>Autos - Singles|Autographs|A-CC|Base</v>
      </c>
      <c r="T2054" s="57">
        <f>IF($S2054="","",IFERROR(VLOOKUP($S2054,'Pop Estimates (Non-#d)'!$N$2:$O$500,2,FALSE),""))</f>
        <v>130</v>
      </c>
      <c r="U2054" s="57">
        <f t="shared" si="423"/>
        <v>130</v>
      </c>
      <c r="V2054" s="53" t="str">
        <f t="shared" si="424"/>
        <v>The Deep</v>
      </c>
      <c r="W2054" s="53" t="str">
        <f t="shared" si="425"/>
        <v>The Deep</v>
      </c>
      <c r="X2054" s="53" t="str">
        <f t="shared" si="426"/>
        <v>The Deep</v>
      </c>
      <c r="Y2054" s="57">
        <f>IF($X2054="","",IFERROR(VLOOKUP($X2054,'Char Popularity'!$A$2:$C$500,2,FALSE),""))</f>
        <v>4</v>
      </c>
      <c r="Z2054" s="56">
        <f>IF($X2054="",1,IFERROR(VLOOKUP($X2054,'Char Popularity'!$A$2:$C$500,3,FALSE),1))</f>
        <v>1.1000000000000001</v>
      </c>
      <c r="AA2054" s="62">
        <f>IF($H2054&lt;&gt;"Y",0,(IF($F2054&lt;&gt;"",ROUND(Dashboard!$R$4/$F2054,1),IF(AND($I2054="Base",$E2054="Base"),Dashboard!$R$5,IF(AND($I2054="Base",$E2054="Red"),Dashboard!$R$6,IF(AND($I2054="Base",$E2054="Gold"),Dashboard!$R$7,VLOOKUP($I2054,Dashboard!$Q$16:$R$21,2,FALSE)))))*VLOOKUP($I2054,Dashboard!$Q$9:$R$13,2,FALSE)*IF(AND($I2054="Auto",$F2054="",OR($B2054="Autographs Duals",$B2054="Autographs Triples",$B2054="Autographs Quads",$B2054="Autographs Quads (Inscribed)")),IF($B2054="Autographs Duals",2,IF($B2054="Autographs Triples",3,4)),1)))</f>
        <v>50</v>
      </c>
      <c r="AB2054" s="62">
        <f t="shared" si="427"/>
        <v>0</v>
      </c>
      <c r="AC2054" s="62">
        <f t="shared" si="428"/>
        <v>0</v>
      </c>
    </row>
    <row r="2055" spans="1:29" ht="30" customHeight="1" x14ac:dyDescent="0.25">
      <c r="A2055" s="4" t="s">
        <v>37</v>
      </c>
      <c r="B2055" s="7" t="s">
        <v>214</v>
      </c>
      <c r="C2055" s="2" t="s">
        <v>233</v>
      </c>
      <c r="D2055" s="7" t="s">
        <v>234</v>
      </c>
      <c r="E2055" s="4" t="s">
        <v>60</v>
      </c>
      <c r="F2055" s="2"/>
      <c r="G2055" s="2" t="s">
        <v>1399</v>
      </c>
      <c r="H2055" s="2" t="s">
        <v>1400</v>
      </c>
      <c r="I2055" s="4" t="s">
        <v>68</v>
      </c>
      <c r="J2055" s="112">
        <f>IF($H2055&lt;&gt;"Y",0,ROUND(MIN(Dashboard!$R$24,IF(IFERROR(VLOOKUP($B2055,Dashboard!$Q$28:$S$60,2,FALSE),0)&gt;0,IFERROR(VLOOKUP($B2055,Dashboard!$Q$28:$S$60,2,FALSE),0),$Z2055*IF($U2055&lt;&gt;"",ROUND((Dashboard!$R$4/$U2055)*VLOOKUP($I2055,Dashboard!$Q$9:$R$13,2,FALSE)*IF(ISNUMBER(SEARCH("Duals",$B2055)),2,IF(ISNUMBER(SEARCH("Triples",$B2055)),3,IF(ISNUMBER(SEARCH("Quads",$B2055)),4,1))),2),ROUND(VLOOKUP($I2055,Dashboard!$Q$15:$R$20,2,FALSE)*IF($E2055="Red",Dashboard!$R$6,IF($E2055="Gold",Dashboard!$R$7,Dashboard!$R$5))*IF(ISNUMBER(SEARCH("Duals",$B2055)),2,IF(ISNUMBER(SEARCH("Triples",$B2055)),3,IF(ISNUMBER(SEARCH("Quads",$B2055)),4,1))),2))*IF(IFERROR(VLOOKUP($B2055,Dashboard!$Q$28:$S$60,3,FALSE),0)&gt;0,VLOOKUP($B2055,Dashboard!$Q$28:$S$60,3,FALSE),1))),0))</f>
        <v>15</v>
      </c>
      <c r="K2055" s="2" t="str">
        <f>IF('Autos - Singles'!D11="","",'Autos - Singles'!D11)</f>
        <v>V</v>
      </c>
      <c r="L2055" s="2">
        <f t="shared" si="416"/>
        <v>1</v>
      </c>
      <c r="M2055" s="2">
        <f t="shared" si="417"/>
        <v>0</v>
      </c>
      <c r="N2055" s="2">
        <f t="shared" si="418"/>
        <v>1</v>
      </c>
      <c r="O2055" s="2">
        <f t="shared" si="419"/>
        <v>0</v>
      </c>
      <c r="P2055" s="112">
        <f t="shared" si="420"/>
        <v>15</v>
      </c>
      <c r="Q2055" s="112">
        <f t="shared" si="421"/>
        <v>0</v>
      </c>
      <c r="R2055" s="53"/>
      <c r="S2055" s="53" t="str">
        <f t="shared" si="422"/>
        <v>Autos - Singles|Autographs|A-CL|Base</v>
      </c>
      <c r="T2055" s="57">
        <f>IF($S2055="","",IFERROR(VLOOKUP($S2055,'Pop Estimates (Non-#d)'!$N$2:$O$500,2,FALSE),""))</f>
        <v>130</v>
      </c>
      <c r="U2055" s="57">
        <f t="shared" si="423"/>
        <v>130</v>
      </c>
      <c r="V2055" s="53" t="str">
        <f t="shared" si="424"/>
        <v>Ashley Barrett</v>
      </c>
      <c r="W2055" s="53" t="str">
        <f t="shared" si="425"/>
        <v>Ashley Barrett</v>
      </c>
      <c r="X2055" s="53" t="str">
        <f t="shared" si="426"/>
        <v>Ashley Barrett</v>
      </c>
      <c r="Y2055" s="57">
        <f>IF($X2055="","",IFERROR(VLOOKUP($X2055,'Char Popularity'!$A$2:$C$500,2,FALSE),""))</f>
        <v>3</v>
      </c>
      <c r="Z2055" s="56">
        <f>IF($X2055="",1,IFERROR(VLOOKUP($X2055,'Char Popularity'!$A$2:$C$500,3,FALSE),1))</f>
        <v>1</v>
      </c>
      <c r="AA2055" s="62">
        <f>IF($H2055&lt;&gt;"Y",0,(IF($F2055&lt;&gt;"",ROUND(Dashboard!$R$4/$F2055,1),IF(AND($I2055="Base",$E2055="Base"),Dashboard!$R$5,IF(AND($I2055="Base",$E2055="Red"),Dashboard!$R$6,IF(AND($I2055="Base",$E2055="Gold"),Dashboard!$R$7,VLOOKUP($I2055,Dashboard!$Q$16:$R$21,2,FALSE)))))*VLOOKUP($I2055,Dashboard!$Q$9:$R$13,2,FALSE)*IF(AND($I2055="Auto",$F2055="",OR($B2055="Autographs Duals",$B2055="Autographs Triples",$B2055="Autographs Quads",$B2055="Autographs Quads (Inscribed)")),IF($B2055="Autographs Duals",2,IF($B2055="Autographs Triples",3,4)),1)))</f>
        <v>50</v>
      </c>
      <c r="AB2055" s="62">
        <f t="shared" si="427"/>
        <v>50</v>
      </c>
      <c r="AC2055" s="62">
        <f t="shared" si="428"/>
        <v>0</v>
      </c>
    </row>
    <row r="2056" spans="1:29" ht="30" customHeight="1" x14ac:dyDescent="0.25">
      <c r="A2056" s="4" t="s">
        <v>37</v>
      </c>
      <c r="B2056" s="7" t="s">
        <v>214</v>
      </c>
      <c r="C2056" s="2" t="s">
        <v>235</v>
      </c>
      <c r="D2056" s="7" t="s">
        <v>234</v>
      </c>
      <c r="E2056" s="4" t="s">
        <v>60</v>
      </c>
      <c r="F2056" s="2"/>
      <c r="G2056" s="2" t="s">
        <v>1399</v>
      </c>
      <c r="H2056" s="2" t="s">
        <v>1400</v>
      </c>
      <c r="I2056" s="4" t="s">
        <v>68</v>
      </c>
      <c r="J2056" s="112">
        <f>IF($H2056&lt;&gt;"Y",0,ROUND(MIN(Dashboard!$R$24,IF(IFERROR(VLOOKUP($B2056,Dashboard!$Q$28:$S$60,2,FALSE),0)&gt;0,IFERROR(VLOOKUP($B2056,Dashboard!$Q$28:$S$60,2,FALSE),0),$Z2056*IF($U2056&lt;&gt;"",ROUND((Dashboard!$R$4/$U2056)*VLOOKUP($I2056,Dashboard!$Q$9:$R$13,2,FALSE)*IF(ISNUMBER(SEARCH("Duals",$B2056)),2,IF(ISNUMBER(SEARCH("Triples",$B2056)),3,IF(ISNUMBER(SEARCH("Quads",$B2056)),4,1))),2),ROUND(VLOOKUP($I2056,Dashboard!$Q$15:$R$20,2,FALSE)*IF($E2056="Red",Dashboard!$R$6,IF($E2056="Gold",Dashboard!$R$7,Dashboard!$R$5))*IF(ISNUMBER(SEARCH("Duals",$B2056)),2,IF(ISNUMBER(SEARCH("Triples",$B2056)),3,IF(ISNUMBER(SEARCH("Quads",$B2056)),4,1))),2))*IF(IFERROR(VLOOKUP($B2056,Dashboard!$Q$28:$S$60,3,FALSE),0)&gt;0,VLOOKUP($B2056,Dashboard!$Q$28:$S$60,3,FALSE),1))),0))</f>
        <v>15</v>
      </c>
      <c r="K2056" s="2" t="str">
        <f>IF('Autos - Singles'!D12="","",'Autos - Singles'!D12)</f>
        <v>C</v>
      </c>
      <c r="L2056" s="2">
        <f t="shared" si="416"/>
        <v>1</v>
      </c>
      <c r="M2056" s="2">
        <f t="shared" si="417"/>
        <v>0</v>
      </c>
      <c r="N2056" s="2">
        <f t="shared" si="418"/>
        <v>1</v>
      </c>
      <c r="O2056" s="2">
        <f t="shared" si="419"/>
        <v>0</v>
      </c>
      <c r="P2056" s="112">
        <f t="shared" si="420"/>
        <v>15</v>
      </c>
      <c r="Q2056" s="112">
        <f t="shared" si="421"/>
        <v>0</v>
      </c>
      <c r="R2056" s="53"/>
      <c r="S2056" s="53" t="str">
        <f t="shared" si="422"/>
        <v>Autos - Singles|Autographs|A-CM|Base</v>
      </c>
      <c r="T2056" s="57">
        <f>IF($S2056="","",IFERROR(VLOOKUP($S2056,'Pop Estimates (Non-#d)'!$N$2:$O$500,2,FALSE),""))</f>
        <v>130</v>
      </c>
      <c r="U2056" s="57">
        <f t="shared" si="423"/>
        <v>130</v>
      </c>
      <c r="V2056" s="53" t="str">
        <f t="shared" si="424"/>
        <v>Ashley Barrett</v>
      </c>
      <c r="W2056" s="53" t="str">
        <f t="shared" si="425"/>
        <v>Ashley Barrett</v>
      </c>
      <c r="X2056" s="53" t="str">
        <f t="shared" si="426"/>
        <v>Ashley Barrett</v>
      </c>
      <c r="Y2056" s="57">
        <f>IF($X2056="","",IFERROR(VLOOKUP($X2056,'Char Popularity'!$A$2:$C$500,2,FALSE),""))</f>
        <v>3</v>
      </c>
      <c r="Z2056" s="56">
        <f>IF($X2056="",1,IFERROR(VLOOKUP($X2056,'Char Popularity'!$A$2:$C$500,3,FALSE),1))</f>
        <v>1</v>
      </c>
      <c r="AA2056" s="62">
        <f>IF($H2056&lt;&gt;"Y",0,(IF($F2056&lt;&gt;"",ROUND(Dashboard!$R$4/$F2056,1),IF(AND($I2056="Base",$E2056="Base"),Dashboard!$R$5,IF(AND($I2056="Base",$E2056="Red"),Dashboard!$R$6,IF(AND($I2056="Base",$E2056="Gold"),Dashboard!$R$7,VLOOKUP($I2056,Dashboard!$Q$16:$R$21,2,FALSE)))))*VLOOKUP($I2056,Dashboard!$Q$9:$R$13,2,FALSE)*IF(AND($I2056="Auto",$F2056="",OR($B2056="Autographs Duals",$B2056="Autographs Triples",$B2056="Autographs Quads",$B2056="Autographs Quads (Inscribed)")),IF($B2056="Autographs Duals",2,IF($B2056="Autographs Triples",3,4)),1)))</f>
        <v>50</v>
      </c>
      <c r="AB2056" s="62">
        <f t="shared" si="427"/>
        <v>50</v>
      </c>
      <c r="AC2056" s="62">
        <f t="shared" si="428"/>
        <v>0</v>
      </c>
    </row>
    <row r="2057" spans="1:29" ht="30" customHeight="1" x14ac:dyDescent="0.25">
      <c r="A2057" s="4" t="s">
        <v>37</v>
      </c>
      <c r="B2057" s="7" t="s">
        <v>214</v>
      </c>
      <c r="C2057" s="2" t="s">
        <v>236</v>
      </c>
      <c r="D2057" s="7" t="s">
        <v>234</v>
      </c>
      <c r="E2057" s="4" t="s">
        <v>60</v>
      </c>
      <c r="F2057" s="2"/>
      <c r="G2057" s="2" t="s">
        <v>1399</v>
      </c>
      <c r="H2057" s="2" t="s">
        <v>1400</v>
      </c>
      <c r="I2057" s="4" t="s">
        <v>68</v>
      </c>
      <c r="J2057" s="112">
        <f>IF($H2057&lt;&gt;"Y",0,ROUND(MIN(Dashboard!$R$24,IF(IFERROR(VLOOKUP($B2057,Dashboard!$Q$28:$S$60,2,FALSE),0)&gt;0,IFERROR(VLOOKUP($B2057,Dashboard!$Q$28:$S$60,2,FALSE),0),$Z2057*IF($U2057&lt;&gt;"",ROUND((Dashboard!$R$4/$U2057)*VLOOKUP($I2057,Dashboard!$Q$9:$R$13,2,FALSE)*IF(ISNUMBER(SEARCH("Duals",$B2057)),2,IF(ISNUMBER(SEARCH("Triples",$B2057)),3,IF(ISNUMBER(SEARCH("Quads",$B2057)),4,1))),2),ROUND(VLOOKUP($I2057,Dashboard!$Q$15:$R$20,2,FALSE)*IF($E2057="Red",Dashboard!$R$6,IF($E2057="Gold",Dashboard!$R$7,Dashboard!$R$5))*IF(ISNUMBER(SEARCH("Duals",$B2057)),2,IF(ISNUMBER(SEARCH("Triples",$B2057)),3,IF(ISNUMBER(SEARCH("Quads",$B2057)),4,1))),2))*IF(IFERROR(VLOOKUP($B2057,Dashboard!$Q$28:$S$60,3,FALSE),0)&gt;0,VLOOKUP($B2057,Dashboard!$Q$28:$S$60,3,FALSE),1))),0))</f>
        <v>15</v>
      </c>
      <c r="K2057" s="2" t="str">
        <f>IF('Autos - Singles'!D13="","",'Autos - Singles'!D13)</f>
        <v>C</v>
      </c>
      <c r="L2057" s="2">
        <f t="shared" si="416"/>
        <v>1</v>
      </c>
      <c r="M2057" s="2">
        <f t="shared" si="417"/>
        <v>0</v>
      </c>
      <c r="N2057" s="2">
        <f t="shared" si="418"/>
        <v>1</v>
      </c>
      <c r="O2057" s="2">
        <f t="shared" si="419"/>
        <v>0</v>
      </c>
      <c r="P2057" s="112">
        <f t="shared" si="420"/>
        <v>15</v>
      </c>
      <c r="Q2057" s="112">
        <f t="shared" si="421"/>
        <v>0</v>
      </c>
      <c r="R2057" s="53"/>
      <c r="S2057" s="53" t="str">
        <f t="shared" si="422"/>
        <v>Autos - Singles|Autographs|A-CO|Base</v>
      </c>
      <c r="T2057" s="57">
        <f>IF($S2057="","",IFERROR(VLOOKUP($S2057,'Pop Estimates (Non-#d)'!$N$2:$O$500,2,FALSE),""))</f>
        <v>130</v>
      </c>
      <c r="U2057" s="57">
        <f t="shared" si="423"/>
        <v>130</v>
      </c>
      <c r="V2057" s="53" t="str">
        <f t="shared" si="424"/>
        <v>Ashley Barrett</v>
      </c>
      <c r="W2057" s="53" t="str">
        <f t="shared" si="425"/>
        <v>Ashley Barrett</v>
      </c>
      <c r="X2057" s="53" t="str">
        <f t="shared" si="426"/>
        <v>Ashley Barrett</v>
      </c>
      <c r="Y2057" s="57">
        <f>IF($X2057="","",IFERROR(VLOOKUP($X2057,'Char Popularity'!$A$2:$C$500,2,FALSE),""))</f>
        <v>3</v>
      </c>
      <c r="Z2057" s="56">
        <f>IF($X2057="",1,IFERROR(VLOOKUP($X2057,'Char Popularity'!$A$2:$C$500,3,FALSE),1))</f>
        <v>1</v>
      </c>
      <c r="AA2057" s="62">
        <f>IF($H2057&lt;&gt;"Y",0,(IF($F2057&lt;&gt;"",ROUND(Dashboard!$R$4/$F2057,1),IF(AND($I2057="Base",$E2057="Base"),Dashboard!$R$5,IF(AND($I2057="Base",$E2057="Red"),Dashboard!$R$6,IF(AND($I2057="Base",$E2057="Gold"),Dashboard!$R$7,VLOOKUP($I2057,Dashboard!$Q$16:$R$21,2,FALSE)))))*VLOOKUP($I2057,Dashboard!$Q$9:$R$13,2,FALSE)*IF(AND($I2057="Auto",$F2057="",OR($B2057="Autographs Duals",$B2057="Autographs Triples",$B2057="Autographs Quads",$B2057="Autographs Quads (Inscribed)")),IF($B2057="Autographs Duals",2,IF($B2057="Autographs Triples",3,4)),1)))</f>
        <v>50</v>
      </c>
      <c r="AB2057" s="62">
        <f t="shared" si="427"/>
        <v>50</v>
      </c>
      <c r="AC2057" s="62">
        <f t="shared" si="428"/>
        <v>0</v>
      </c>
    </row>
    <row r="2058" spans="1:29" ht="30" customHeight="1" x14ac:dyDescent="0.25">
      <c r="A2058" s="4" t="s">
        <v>37</v>
      </c>
      <c r="B2058" s="7" t="s">
        <v>214</v>
      </c>
      <c r="C2058" s="2" t="s">
        <v>237</v>
      </c>
      <c r="D2058" s="7" t="s">
        <v>238</v>
      </c>
      <c r="E2058" s="4" t="s">
        <v>60</v>
      </c>
      <c r="F2058" s="2"/>
      <c r="G2058" s="2" t="s">
        <v>1399</v>
      </c>
      <c r="H2058" s="2" t="s">
        <v>1400</v>
      </c>
      <c r="I2058" s="4" t="s">
        <v>68</v>
      </c>
      <c r="J2058" s="112">
        <f>IF($H2058&lt;&gt;"Y",0,ROUND(MIN(Dashboard!$R$24,IF(IFERROR(VLOOKUP($B2058,Dashboard!$Q$28:$S$60,2,FALSE),0)&gt;0,IFERROR(VLOOKUP($B2058,Dashboard!$Q$28:$S$60,2,FALSE),0),$Z2058*IF($U2058&lt;&gt;"",ROUND((Dashboard!$R$4/$U2058)*VLOOKUP($I2058,Dashboard!$Q$9:$R$13,2,FALSE)*IF(ISNUMBER(SEARCH("Duals",$B2058)),2,IF(ISNUMBER(SEARCH("Triples",$B2058)),3,IF(ISNUMBER(SEARCH("Quads",$B2058)),4,1))),2),ROUND(VLOOKUP($I2058,Dashboard!$Q$15:$R$20,2,FALSE)*IF($E2058="Red",Dashboard!$R$6,IF($E2058="Gold",Dashboard!$R$7,Dashboard!$R$5))*IF(ISNUMBER(SEARCH("Duals",$B2058)),2,IF(ISNUMBER(SEARCH("Triples",$B2058)),3,IF(ISNUMBER(SEARCH("Quads",$B2058)),4,1))),2))*IF(IFERROR(VLOOKUP($B2058,Dashboard!$Q$28:$S$60,3,FALSE),0)&gt;0,VLOOKUP($B2058,Dashboard!$Q$28:$S$60,3,FALSE),1))),0))</f>
        <v>17</v>
      </c>
      <c r="K2058" s="2" t="str">
        <f>IF('Autos - Singles'!D14="","",'Autos - Singles'!D14)</f>
        <v/>
      </c>
      <c r="L2058" s="2">
        <f t="shared" si="416"/>
        <v>0</v>
      </c>
      <c r="M2058" s="2">
        <f t="shared" si="417"/>
        <v>0</v>
      </c>
      <c r="N2058" s="2">
        <f t="shared" si="418"/>
        <v>0</v>
      </c>
      <c r="O2058" s="2">
        <f t="shared" si="419"/>
        <v>1</v>
      </c>
      <c r="P2058" s="112">
        <f t="shared" si="420"/>
        <v>0</v>
      </c>
      <c r="Q2058" s="112">
        <f t="shared" si="421"/>
        <v>0</v>
      </c>
      <c r="R2058" s="53"/>
      <c r="S2058" s="53" t="str">
        <f t="shared" si="422"/>
        <v>Autos - Singles|Autographs|A-CP|Base</v>
      </c>
      <c r="T2058" s="57">
        <f>IF($S2058="","",IFERROR(VLOOKUP($S2058,'Pop Estimates (Non-#d)'!$N$2:$O$500,2,FALSE),""))</f>
        <v>130</v>
      </c>
      <c r="U2058" s="57">
        <f t="shared" si="423"/>
        <v>130</v>
      </c>
      <c r="V2058" s="53" t="str">
        <f t="shared" si="424"/>
        <v>Frenchie</v>
      </c>
      <c r="W2058" s="53" t="str">
        <f t="shared" si="425"/>
        <v>Frenchie</v>
      </c>
      <c r="X2058" s="53" t="str">
        <f t="shared" si="426"/>
        <v>Frenchie</v>
      </c>
      <c r="Y2058" s="57">
        <f>IF($X2058="","",IFERROR(VLOOKUP($X2058,'Char Popularity'!$A$2:$C$500,2,FALSE),""))</f>
        <v>4</v>
      </c>
      <c r="Z2058" s="56">
        <f>IF($X2058="",1,IFERROR(VLOOKUP($X2058,'Char Popularity'!$A$2:$C$500,3,FALSE),1))</f>
        <v>1.1000000000000001</v>
      </c>
      <c r="AA2058" s="62">
        <f>IF($H2058&lt;&gt;"Y",0,(IF($F2058&lt;&gt;"",ROUND(Dashboard!$R$4/$F2058,1),IF(AND($I2058="Base",$E2058="Base"),Dashboard!$R$5,IF(AND($I2058="Base",$E2058="Red"),Dashboard!$R$6,IF(AND($I2058="Base",$E2058="Gold"),Dashboard!$R$7,VLOOKUP($I2058,Dashboard!$Q$16:$R$21,2,FALSE)))))*VLOOKUP($I2058,Dashboard!$Q$9:$R$13,2,FALSE)*IF(AND($I2058="Auto",$F2058="",OR($B2058="Autographs Duals",$B2058="Autographs Triples",$B2058="Autographs Quads",$B2058="Autographs Quads (Inscribed)")),IF($B2058="Autographs Duals",2,IF($B2058="Autographs Triples",3,4)),1)))</f>
        <v>50</v>
      </c>
      <c r="AB2058" s="62">
        <f t="shared" si="427"/>
        <v>0</v>
      </c>
      <c r="AC2058" s="62">
        <f t="shared" si="428"/>
        <v>0</v>
      </c>
    </row>
    <row r="2059" spans="1:29" ht="30" customHeight="1" x14ac:dyDescent="0.25">
      <c r="A2059" s="4" t="s">
        <v>37</v>
      </c>
      <c r="B2059" s="7" t="s">
        <v>214</v>
      </c>
      <c r="C2059" s="2" t="s">
        <v>239</v>
      </c>
      <c r="D2059" s="7" t="s">
        <v>228</v>
      </c>
      <c r="E2059" s="4" t="s">
        <v>60</v>
      </c>
      <c r="F2059" s="2"/>
      <c r="G2059" s="2" t="s">
        <v>1399</v>
      </c>
      <c r="H2059" s="2" t="s">
        <v>1400</v>
      </c>
      <c r="I2059" s="4" t="s">
        <v>68</v>
      </c>
      <c r="J2059" s="112">
        <f>IF($H2059&lt;&gt;"Y",0,ROUND(MIN(Dashboard!$R$24,IF(IFERROR(VLOOKUP($B2059,Dashboard!$Q$28:$S$60,2,FALSE),0)&gt;0,IFERROR(VLOOKUP($B2059,Dashboard!$Q$28:$S$60,2,FALSE),0),$Z2059*IF($U2059&lt;&gt;"",ROUND((Dashboard!$R$4/$U2059)*VLOOKUP($I2059,Dashboard!$Q$9:$R$13,2,FALSE)*IF(ISNUMBER(SEARCH("Duals",$B2059)),2,IF(ISNUMBER(SEARCH("Triples",$B2059)),3,IF(ISNUMBER(SEARCH("Quads",$B2059)),4,1))),2),ROUND(VLOOKUP($I2059,Dashboard!$Q$15:$R$20,2,FALSE)*IF($E2059="Red",Dashboard!$R$6,IF($E2059="Gold",Dashboard!$R$7,Dashboard!$R$5))*IF(ISNUMBER(SEARCH("Duals",$B2059)),2,IF(ISNUMBER(SEARCH("Triples",$B2059)),3,IF(ISNUMBER(SEARCH("Quads",$B2059)),4,1))),2))*IF(IFERROR(VLOOKUP($B2059,Dashboard!$Q$28:$S$60,3,FALSE),0)&gt;0,VLOOKUP($B2059,Dashboard!$Q$28:$S$60,3,FALSE),1))),0))</f>
        <v>17</v>
      </c>
      <c r="K2059" s="2" t="str">
        <f>IF('Autos - Singles'!D15="","",'Autos - Singles'!D15)</f>
        <v>V</v>
      </c>
      <c r="L2059" s="2">
        <f t="shared" si="416"/>
        <v>1</v>
      </c>
      <c r="M2059" s="2">
        <f t="shared" si="417"/>
        <v>0</v>
      </c>
      <c r="N2059" s="2">
        <f t="shared" si="418"/>
        <v>1</v>
      </c>
      <c r="O2059" s="2">
        <f t="shared" si="419"/>
        <v>0</v>
      </c>
      <c r="P2059" s="112">
        <f t="shared" si="420"/>
        <v>17</v>
      </c>
      <c r="Q2059" s="112">
        <f t="shared" si="421"/>
        <v>0</v>
      </c>
      <c r="R2059" s="53"/>
      <c r="S2059" s="53" t="str">
        <f t="shared" si="422"/>
        <v>Autos - Singles|Autographs|A-CR|Base</v>
      </c>
      <c r="T2059" s="57">
        <f>IF($S2059="","",IFERROR(VLOOKUP($S2059,'Pop Estimates (Non-#d)'!$N$2:$O$500,2,FALSE),""))</f>
        <v>130</v>
      </c>
      <c r="U2059" s="57">
        <f t="shared" si="423"/>
        <v>130</v>
      </c>
      <c r="V2059" s="53" t="str">
        <f t="shared" si="424"/>
        <v>Ryan</v>
      </c>
      <c r="W2059" s="53" t="str">
        <f t="shared" si="425"/>
        <v>Ryan</v>
      </c>
      <c r="X2059" s="53" t="str">
        <f t="shared" si="426"/>
        <v>Ryan</v>
      </c>
      <c r="Y2059" s="57">
        <f>IF($X2059="","",IFERROR(VLOOKUP($X2059,'Char Popularity'!$A$2:$C$500,2,FALSE),""))</f>
        <v>4</v>
      </c>
      <c r="Z2059" s="56">
        <f>IF($X2059="",1,IFERROR(VLOOKUP($X2059,'Char Popularity'!$A$2:$C$500,3,FALSE),1))</f>
        <v>1.1000000000000001</v>
      </c>
      <c r="AA2059" s="62">
        <f>IF($H2059&lt;&gt;"Y",0,(IF($F2059&lt;&gt;"",ROUND(Dashboard!$R$4/$F2059,1),IF(AND($I2059="Base",$E2059="Base"),Dashboard!$R$5,IF(AND($I2059="Base",$E2059="Red"),Dashboard!$R$6,IF(AND($I2059="Base",$E2059="Gold"),Dashboard!$R$7,VLOOKUP($I2059,Dashboard!$Q$16:$R$21,2,FALSE)))))*VLOOKUP($I2059,Dashboard!$Q$9:$R$13,2,FALSE)*IF(AND($I2059="Auto",$F2059="",OR($B2059="Autographs Duals",$B2059="Autographs Triples",$B2059="Autographs Quads",$B2059="Autographs Quads (Inscribed)")),IF($B2059="Autographs Duals",2,IF($B2059="Autographs Triples",3,4)),1)))</f>
        <v>50</v>
      </c>
      <c r="AB2059" s="62">
        <f t="shared" si="427"/>
        <v>50</v>
      </c>
      <c r="AC2059" s="62">
        <f t="shared" si="428"/>
        <v>0</v>
      </c>
    </row>
    <row r="2060" spans="1:29" ht="30" customHeight="1" x14ac:dyDescent="0.25">
      <c r="A2060" s="4" t="s">
        <v>37</v>
      </c>
      <c r="B2060" s="7" t="s">
        <v>214</v>
      </c>
      <c r="C2060" s="2" t="s">
        <v>240</v>
      </c>
      <c r="D2060" s="7" t="s">
        <v>228</v>
      </c>
      <c r="E2060" s="4" t="s">
        <v>60</v>
      </c>
      <c r="F2060" s="2"/>
      <c r="G2060" s="2" t="s">
        <v>1399</v>
      </c>
      <c r="H2060" s="2" t="s">
        <v>1400</v>
      </c>
      <c r="I2060" s="4" t="s">
        <v>68</v>
      </c>
      <c r="J2060" s="112">
        <f>IF($H2060&lt;&gt;"Y",0,ROUND(MIN(Dashboard!$R$24,IF(IFERROR(VLOOKUP($B2060,Dashboard!$Q$28:$S$60,2,FALSE),0)&gt;0,IFERROR(VLOOKUP($B2060,Dashboard!$Q$28:$S$60,2,FALSE),0),$Z2060*IF($U2060&lt;&gt;"",ROUND((Dashboard!$R$4/$U2060)*VLOOKUP($I2060,Dashboard!$Q$9:$R$13,2,FALSE)*IF(ISNUMBER(SEARCH("Duals",$B2060)),2,IF(ISNUMBER(SEARCH("Triples",$B2060)),3,IF(ISNUMBER(SEARCH("Quads",$B2060)),4,1))),2),ROUND(VLOOKUP($I2060,Dashboard!$Q$15:$R$20,2,FALSE)*IF($E2060="Red",Dashboard!$R$6,IF($E2060="Gold",Dashboard!$R$7,Dashboard!$R$5))*IF(ISNUMBER(SEARCH("Duals",$B2060)),2,IF(ISNUMBER(SEARCH("Triples",$B2060)),3,IF(ISNUMBER(SEARCH("Quads",$B2060)),4,1))),2))*IF(IFERROR(VLOOKUP($B2060,Dashboard!$Q$28:$S$60,3,FALSE),0)&gt;0,VLOOKUP($B2060,Dashboard!$Q$28:$S$60,3,FALSE),1))),0))</f>
        <v>17</v>
      </c>
      <c r="K2060" s="2" t="str">
        <f>IF('Autos - Singles'!D16="","",'Autos - Singles'!D16)</f>
        <v>V</v>
      </c>
      <c r="L2060" s="2">
        <f t="shared" si="416"/>
        <v>1</v>
      </c>
      <c r="M2060" s="2">
        <f t="shared" si="417"/>
        <v>0</v>
      </c>
      <c r="N2060" s="2">
        <f t="shared" si="418"/>
        <v>1</v>
      </c>
      <c r="O2060" s="2">
        <f t="shared" si="419"/>
        <v>0</v>
      </c>
      <c r="P2060" s="112">
        <f t="shared" si="420"/>
        <v>17</v>
      </c>
      <c r="Q2060" s="112">
        <f t="shared" si="421"/>
        <v>0</v>
      </c>
      <c r="R2060" s="53"/>
      <c r="S2060" s="53" t="str">
        <f t="shared" si="422"/>
        <v>Autos - Singles|Autographs|A-CT|Base</v>
      </c>
      <c r="T2060" s="57">
        <f>IF($S2060="","",IFERROR(VLOOKUP($S2060,'Pop Estimates (Non-#d)'!$N$2:$O$500,2,FALSE),""))</f>
        <v>130</v>
      </c>
      <c r="U2060" s="57">
        <f t="shared" si="423"/>
        <v>130</v>
      </c>
      <c r="V2060" s="53" t="str">
        <f t="shared" si="424"/>
        <v>Ryan</v>
      </c>
      <c r="W2060" s="53" t="str">
        <f t="shared" si="425"/>
        <v>Ryan</v>
      </c>
      <c r="X2060" s="53" t="str">
        <f t="shared" si="426"/>
        <v>Ryan</v>
      </c>
      <c r="Y2060" s="57">
        <f>IF($X2060="","",IFERROR(VLOOKUP($X2060,'Char Popularity'!$A$2:$C$500,2,FALSE),""))</f>
        <v>4</v>
      </c>
      <c r="Z2060" s="56">
        <f>IF($X2060="",1,IFERROR(VLOOKUP($X2060,'Char Popularity'!$A$2:$C$500,3,FALSE),1))</f>
        <v>1.1000000000000001</v>
      </c>
      <c r="AA2060" s="62">
        <f>IF($H2060&lt;&gt;"Y",0,(IF($F2060&lt;&gt;"",ROUND(Dashboard!$R$4/$F2060,1),IF(AND($I2060="Base",$E2060="Base"),Dashboard!$R$5,IF(AND($I2060="Base",$E2060="Red"),Dashboard!$R$6,IF(AND($I2060="Base",$E2060="Gold"),Dashboard!$R$7,VLOOKUP($I2060,Dashboard!$Q$16:$R$21,2,FALSE)))))*VLOOKUP($I2060,Dashboard!$Q$9:$R$13,2,FALSE)*IF(AND($I2060="Auto",$F2060="",OR($B2060="Autographs Duals",$B2060="Autographs Triples",$B2060="Autographs Quads",$B2060="Autographs Quads (Inscribed)")),IF($B2060="Autographs Duals",2,IF($B2060="Autographs Triples",3,4)),1)))</f>
        <v>50</v>
      </c>
      <c r="AB2060" s="62">
        <f t="shared" si="427"/>
        <v>50</v>
      </c>
      <c r="AC2060" s="62">
        <f t="shared" si="428"/>
        <v>0</v>
      </c>
    </row>
    <row r="2061" spans="1:29" ht="30" customHeight="1" x14ac:dyDescent="0.25">
      <c r="A2061" s="4" t="s">
        <v>37</v>
      </c>
      <c r="B2061" s="7" t="s">
        <v>214</v>
      </c>
      <c r="C2061" s="2" t="s">
        <v>243</v>
      </c>
      <c r="D2061" s="7" t="s">
        <v>244</v>
      </c>
      <c r="E2061" s="4" t="s">
        <v>60</v>
      </c>
      <c r="F2061" s="2"/>
      <c r="G2061" s="2" t="s">
        <v>1399</v>
      </c>
      <c r="H2061" s="2" t="s">
        <v>1400</v>
      </c>
      <c r="I2061" s="4" t="s">
        <v>68</v>
      </c>
      <c r="J2061" s="112">
        <f>IF($H2061&lt;&gt;"Y",0,ROUND(MIN(Dashboard!$R$24,IF(IFERROR(VLOOKUP($B2061,Dashboard!$Q$28:$S$60,2,FALSE),0)&gt;0,IFERROR(VLOOKUP($B2061,Dashboard!$Q$28:$S$60,2,FALSE),0),$Z2061*IF($U2061&lt;&gt;"",ROUND((Dashboard!$R$4/$U2061)*VLOOKUP($I2061,Dashboard!$Q$9:$R$13,2,FALSE)*IF(ISNUMBER(SEARCH("Duals",$B2061)),2,IF(ISNUMBER(SEARCH("Triples",$B2061)),3,IF(ISNUMBER(SEARCH("Quads",$B2061)),4,1))),2),ROUND(VLOOKUP($I2061,Dashboard!$Q$15:$R$20,2,FALSE)*IF($E2061="Red",Dashboard!$R$6,IF($E2061="Gold",Dashboard!$R$7,Dashboard!$R$5))*IF(ISNUMBER(SEARCH("Duals",$B2061)),2,IF(ISNUMBER(SEARCH("Triples",$B2061)),3,IF(ISNUMBER(SEARCH("Quads",$B2061)),4,1))),2))*IF(IFERROR(VLOOKUP($B2061,Dashboard!$Q$28:$S$60,3,FALSE),0)&gt;0,VLOOKUP($B2061,Dashboard!$Q$28:$S$60,3,FALSE),1))),0))</f>
        <v>17</v>
      </c>
      <c r="K2061" s="2" t="str">
        <f>IF('Autos - Singles'!D18="","",'Autos - Singles'!D18)</f>
        <v/>
      </c>
      <c r="L2061" s="2">
        <f t="shared" si="416"/>
        <v>0</v>
      </c>
      <c r="M2061" s="2">
        <f t="shared" si="417"/>
        <v>0</v>
      </c>
      <c r="N2061" s="2">
        <f t="shared" si="418"/>
        <v>0</v>
      </c>
      <c r="O2061" s="2">
        <f t="shared" si="419"/>
        <v>1</v>
      </c>
      <c r="P2061" s="112">
        <f t="shared" si="420"/>
        <v>0</v>
      </c>
      <c r="Q2061" s="112">
        <f t="shared" si="421"/>
        <v>0</v>
      </c>
      <c r="R2061" s="53"/>
      <c r="S2061" s="53" t="str">
        <f t="shared" si="422"/>
        <v>Autos - Singles|Autographs|A-DM|Base</v>
      </c>
      <c r="T2061" s="57">
        <f>IF($S2061="","",IFERROR(VLOOKUP($S2061,'Pop Estimates (Non-#d)'!$N$2:$O$500,2,FALSE),""))</f>
        <v>130</v>
      </c>
      <c r="U2061" s="57">
        <f t="shared" si="423"/>
        <v>130</v>
      </c>
      <c r="V2061" s="53" t="str">
        <f t="shared" si="424"/>
        <v>Queen Maeve</v>
      </c>
      <c r="W2061" s="53" t="str">
        <f t="shared" si="425"/>
        <v>Queen Maeve</v>
      </c>
      <c r="X2061" s="53" t="str">
        <f t="shared" si="426"/>
        <v>Queen Maeve</v>
      </c>
      <c r="Y2061" s="57">
        <f>IF($X2061="","",IFERROR(VLOOKUP($X2061,'Char Popularity'!$A$2:$C$500,2,FALSE),""))</f>
        <v>4</v>
      </c>
      <c r="Z2061" s="56">
        <f>IF($X2061="",1,IFERROR(VLOOKUP($X2061,'Char Popularity'!$A$2:$C$500,3,FALSE),1))</f>
        <v>1.1000000000000001</v>
      </c>
      <c r="AA2061" s="62">
        <f>IF($H2061&lt;&gt;"Y",0,(IF($F2061&lt;&gt;"",ROUND(Dashboard!$R$4/$F2061,1),IF(AND($I2061="Base",$E2061="Base"),Dashboard!$R$5,IF(AND($I2061="Base",$E2061="Red"),Dashboard!$R$6,IF(AND($I2061="Base",$E2061="Gold"),Dashboard!$R$7,VLOOKUP($I2061,Dashboard!$Q$16:$R$21,2,FALSE)))))*VLOOKUP($I2061,Dashboard!$Q$9:$R$13,2,FALSE)*IF(AND($I2061="Auto",$F2061="",OR($B2061="Autographs Duals",$B2061="Autographs Triples",$B2061="Autographs Quads",$B2061="Autographs Quads (Inscribed)")),IF($B2061="Autographs Duals",2,IF($B2061="Autographs Triples",3,4)),1)))</f>
        <v>50</v>
      </c>
      <c r="AB2061" s="62">
        <f t="shared" si="427"/>
        <v>0</v>
      </c>
      <c r="AC2061" s="62">
        <f t="shared" si="428"/>
        <v>0</v>
      </c>
    </row>
    <row r="2062" spans="1:29" ht="30" customHeight="1" x14ac:dyDescent="0.25">
      <c r="A2062" s="4" t="s">
        <v>37</v>
      </c>
      <c r="B2062" s="7" t="s">
        <v>214</v>
      </c>
      <c r="C2062" s="2" t="s">
        <v>245</v>
      </c>
      <c r="D2062" s="7" t="s">
        <v>244</v>
      </c>
      <c r="E2062" s="4" t="s">
        <v>60</v>
      </c>
      <c r="F2062" s="2"/>
      <c r="G2062" s="2" t="s">
        <v>1399</v>
      </c>
      <c r="H2062" s="2" t="s">
        <v>1400</v>
      </c>
      <c r="I2062" s="4" t="s">
        <v>68</v>
      </c>
      <c r="J2062" s="112">
        <f>IF($H2062&lt;&gt;"Y",0,ROUND(MIN(Dashboard!$R$24,IF(IFERROR(VLOOKUP($B2062,Dashboard!$Q$28:$S$60,2,FALSE),0)&gt;0,IFERROR(VLOOKUP($B2062,Dashboard!$Q$28:$S$60,2,FALSE),0),$Z2062*IF($U2062&lt;&gt;"",ROUND((Dashboard!$R$4/$U2062)*VLOOKUP($I2062,Dashboard!$Q$9:$R$13,2,FALSE)*IF(ISNUMBER(SEARCH("Duals",$B2062)),2,IF(ISNUMBER(SEARCH("Triples",$B2062)),3,IF(ISNUMBER(SEARCH("Quads",$B2062)),4,1))),2),ROUND(VLOOKUP($I2062,Dashboard!$Q$15:$R$20,2,FALSE)*IF($E2062="Red",Dashboard!$R$6,IF($E2062="Gold",Dashboard!$R$7,Dashboard!$R$5))*IF(ISNUMBER(SEARCH("Duals",$B2062)),2,IF(ISNUMBER(SEARCH("Triples",$B2062)),3,IF(ISNUMBER(SEARCH("Quads",$B2062)),4,1))),2))*IF(IFERROR(VLOOKUP($B2062,Dashboard!$Q$28:$S$60,3,FALSE),0)&gt;0,VLOOKUP($B2062,Dashboard!$Q$28:$S$60,3,FALSE),1))),0))</f>
        <v>17</v>
      </c>
      <c r="K2062" s="2" t="str">
        <f>IF('Autos - Singles'!D19="","",'Autos - Singles'!D19)</f>
        <v/>
      </c>
      <c r="L2062" s="2">
        <f t="shared" si="416"/>
        <v>0</v>
      </c>
      <c r="M2062" s="2">
        <f t="shared" si="417"/>
        <v>0</v>
      </c>
      <c r="N2062" s="2">
        <f t="shared" si="418"/>
        <v>0</v>
      </c>
      <c r="O2062" s="2">
        <f t="shared" si="419"/>
        <v>1</v>
      </c>
      <c r="P2062" s="112">
        <f t="shared" si="420"/>
        <v>0</v>
      </c>
      <c r="Q2062" s="112">
        <f t="shared" si="421"/>
        <v>0</v>
      </c>
      <c r="R2062" s="53"/>
      <c r="S2062" s="53" t="str">
        <f t="shared" si="422"/>
        <v>Autos - Singles|Autographs|A-DO|Base</v>
      </c>
      <c r="T2062" s="57">
        <f>IF($S2062="","",IFERROR(VLOOKUP($S2062,'Pop Estimates (Non-#d)'!$N$2:$O$500,2,FALSE),""))</f>
        <v>130</v>
      </c>
      <c r="U2062" s="57">
        <f t="shared" si="423"/>
        <v>130</v>
      </c>
      <c r="V2062" s="53" t="str">
        <f t="shared" si="424"/>
        <v>Queen Maeve</v>
      </c>
      <c r="W2062" s="53" t="str">
        <f t="shared" si="425"/>
        <v>Queen Maeve</v>
      </c>
      <c r="X2062" s="53" t="str">
        <f t="shared" si="426"/>
        <v>Queen Maeve</v>
      </c>
      <c r="Y2062" s="57">
        <f>IF($X2062="","",IFERROR(VLOOKUP($X2062,'Char Popularity'!$A$2:$C$500,2,FALSE),""))</f>
        <v>4</v>
      </c>
      <c r="Z2062" s="56">
        <f>IF($X2062="",1,IFERROR(VLOOKUP($X2062,'Char Popularity'!$A$2:$C$500,3,FALSE),1))</f>
        <v>1.1000000000000001</v>
      </c>
      <c r="AA2062" s="62">
        <f>IF($H2062&lt;&gt;"Y",0,(IF($F2062&lt;&gt;"",ROUND(Dashboard!$R$4/$F2062,1),IF(AND($I2062="Base",$E2062="Base"),Dashboard!$R$5,IF(AND($I2062="Base",$E2062="Red"),Dashboard!$R$6,IF(AND($I2062="Base",$E2062="Gold"),Dashboard!$R$7,VLOOKUP($I2062,Dashboard!$Q$16:$R$21,2,FALSE)))))*VLOOKUP($I2062,Dashboard!$Q$9:$R$13,2,FALSE)*IF(AND($I2062="Auto",$F2062="",OR($B2062="Autographs Duals",$B2062="Autographs Triples",$B2062="Autographs Quads",$B2062="Autographs Quads (Inscribed)")),IF($B2062="Autographs Duals",2,IF($B2062="Autographs Triples",3,4)),1)))</f>
        <v>50</v>
      </c>
      <c r="AB2062" s="62">
        <f t="shared" si="427"/>
        <v>0</v>
      </c>
      <c r="AC2062" s="62">
        <f t="shared" si="428"/>
        <v>0</v>
      </c>
    </row>
    <row r="2063" spans="1:29" ht="30" customHeight="1" x14ac:dyDescent="0.25">
      <c r="A2063" s="4" t="s">
        <v>37</v>
      </c>
      <c r="B2063" s="7" t="s">
        <v>214</v>
      </c>
      <c r="C2063" s="2" t="s">
        <v>246</v>
      </c>
      <c r="D2063" s="7" t="s">
        <v>244</v>
      </c>
      <c r="E2063" s="4" t="s">
        <v>60</v>
      </c>
      <c r="F2063" s="2"/>
      <c r="G2063" s="2" t="s">
        <v>1399</v>
      </c>
      <c r="H2063" s="2" t="s">
        <v>1400</v>
      </c>
      <c r="I2063" s="4" t="s">
        <v>68</v>
      </c>
      <c r="J2063" s="112">
        <f>IF($H2063&lt;&gt;"Y",0,ROUND(MIN(Dashboard!$R$24,IF(IFERROR(VLOOKUP($B2063,Dashboard!$Q$28:$S$60,2,FALSE),0)&gt;0,IFERROR(VLOOKUP($B2063,Dashboard!$Q$28:$S$60,2,FALSE),0),$Z2063*IF($U2063&lt;&gt;"",ROUND((Dashboard!$R$4/$U2063)*VLOOKUP($I2063,Dashboard!$Q$9:$R$13,2,FALSE)*IF(ISNUMBER(SEARCH("Duals",$B2063)),2,IF(ISNUMBER(SEARCH("Triples",$B2063)),3,IF(ISNUMBER(SEARCH("Quads",$B2063)),4,1))),2),ROUND(VLOOKUP($I2063,Dashboard!$Q$15:$R$20,2,FALSE)*IF($E2063="Red",Dashboard!$R$6,IF($E2063="Gold",Dashboard!$R$7,Dashboard!$R$5))*IF(ISNUMBER(SEARCH("Duals",$B2063)),2,IF(ISNUMBER(SEARCH("Triples",$B2063)),3,IF(ISNUMBER(SEARCH("Quads",$B2063)),4,1))),2))*IF(IFERROR(VLOOKUP($B2063,Dashboard!$Q$28:$S$60,3,FALSE),0)&gt;0,VLOOKUP($B2063,Dashboard!$Q$28:$S$60,3,FALSE),1))),0))</f>
        <v>17</v>
      </c>
      <c r="K2063" s="2" t="str">
        <f>IF('Autos - Singles'!D20="","",'Autos - Singles'!D20)</f>
        <v/>
      </c>
      <c r="L2063" s="2">
        <f t="shared" si="416"/>
        <v>0</v>
      </c>
      <c r="M2063" s="2">
        <f t="shared" si="417"/>
        <v>0</v>
      </c>
      <c r="N2063" s="2">
        <f t="shared" si="418"/>
        <v>0</v>
      </c>
      <c r="O2063" s="2">
        <f t="shared" si="419"/>
        <v>1</v>
      </c>
      <c r="P2063" s="112">
        <f t="shared" si="420"/>
        <v>0</v>
      </c>
      <c r="Q2063" s="112">
        <f t="shared" si="421"/>
        <v>0</v>
      </c>
      <c r="R2063" s="53"/>
      <c r="S2063" s="53" t="str">
        <f t="shared" si="422"/>
        <v>Autos - Singles|Autographs|A-DQ|Base</v>
      </c>
      <c r="T2063" s="57">
        <f>IF($S2063="","",IFERROR(VLOOKUP($S2063,'Pop Estimates (Non-#d)'!$N$2:$O$500,2,FALSE),""))</f>
        <v>130</v>
      </c>
      <c r="U2063" s="57">
        <f t="shared" si="423"/>
        <v>130</v>
      </c>
      <c r="V2063" s="53" t="str">
        <f t="shared" si="424"/>
        <v>Queen Maeve</v>
      </c>
      <c r="W2063" s="53" t="str">
        <f t="shared" si="425"/>
        <v>Queen Maeve</v>
      </c>
      <c r="X2063" s="53" t="str">
        <f t="shared" si="426"/>
        <v>Queen Maeve</v>
      </c>
      <c r="Y2063" s="57">
        <f>IF($X2063="","",IFERROR(VLOOKUP($X2063,'Char Popularity'!$A$2:$C$500,2,FALSE),""))</f>
        <v>4</v>
      </c>
      <c r="Z2063" s="56">
        <f>IF($X2063="",1,IFERROR(VLOOKUP($X2063,'Char Popularity'!$A$2:$C$500,3,FALSE),1))</f>
        <v>1.1000000000000001</v>
      </c>
      <c r="AA2063" s="62">
        <f>IF($H2063&lt;&gt;"Y",0,(IF($F2063&lt;&gt;"",ROUND(Dashboard!$R$4/$F2063,1),IF(AND($I2063="Base",$E2063="Base"),Dashboard!$R$5,IF(AND($I2063="Base",$E2063="Red"),Dashboard!$R$6,IF(AND($I2063="Base",$E2063="Gold"),Dashboard!$R$7,VLOOKUP($I2063,Dashboard!$Q$16:$R$21,2,FALSE)))))*VLOOKUP($I2063,Dashboard!$Q$9:$R$13,2,FALSE)*IF(AND($I2063="Auto",$F2063="",OR($B2063="Autographs Duals",$B2063="Autographs Triples",$B2063="Autographs Quads",$B2063="Autographs Quads (Inscribed)")),IF($B2063="Autographs Duals",2,IF($B2063="Autographs Triples",3,4)),1)))</f>
        <v>50</v>
      </c>
      <c r="AB2063" s="62">
        <f t="shared" si="427"/>
        <v>0</v>
      </c>
      <c r="AC2063" s="62">
        <f t="shared" si="428"/>
        <v>0</v>
      </c>
    </row>
    <row r="2064" spans="1:29" ht="30" customHeight="1" x14ac:dyDescent="0.25">
      <c r="A2064" s="4" t="s">
        <v>37</v>
      </c>
      <c r="B2064" s="7" t="s">
        <v>214</v>
      </c>
      <c r="C2064" s="2" t="s">
        <v>247</v>
      </c>
      <c r="D2064" s="7" t="s">
        <v>248</v>
      </c>
      <c r="E2064" s="4" t="s">
        <v>60</v>
      </c>
      <c r="F2064" s="2"/>
      <c r="G2064" s="2" t="s">
        <v>1399</v>
      </c>
      <c r="H2064" s="2" t="s">
        <v>1400</v>
      </c>
      <c r="I2064" s="4" t="s">
        <v>68</v>
      </c>
      <c r="J2064" s="112">
        <f>IF($H2064&lt;&gt;"Y",0,ROUND(MIN(Dashboard!$R$24,IF(IFERROR(VLOOKUP($B2064,Dashboard!$Q$28:$S$60,2,FALSE),0)&gt;0,IFERROR(VLOOKUP($B2064,Dashboard!$Q$28:$S$60,2,FALSE),0),$Z2064*IF($U2064&lt;&gt;"",ROUND((Dashboard!$R$4/$U2064)*VLOOKUP($I2064,Dashboard!$Q$9:$R$13,2,FALSE)*IF(ISNUMBER(SEARCH("Duals",$B2064)),2,IF(ISNUMBER(SEARCH("Triples",$B2064)),3,IF(ISNUMBER(SEARCH("Quads",$B2064)),4,1))),2),ROUND(VLOOKUP($I2064,Dashboard!$Q$15:$R$20,2,FALSE)*IF($E2064="Red",Dashboard!$R$6,IF($E2064="Gold",Dashboard!$R$7,Dashboard!$R$5))*IF(ISNUMBER(SEARCH("Duals",$B2064)),2,IF(ISNUMBER(SEARCH("Triples",$B2064)),3,IF(ISNUMBER(SEARCH("Quads",$B2064)),4,1))),2))*IF(IFERROR(VLOOKUP($B2064,Dashboard!$Q$28:$S$60,3,FALSE),0)&gt;0,VLOOKUP($B2064,Dashboard!$Q$28:$S$60,3,FALSE),1))),0))</f>
        <v>18</v>
      </c>
      <c r="K2064" s="2" t="str">
        <f>IF('Autos - Singles'!D21="","",'Autos - Singles'!D21)</f>
        <v/>
      </c>
      <c r="L2064" s="2">
        <f t="shared" si="416"/>
        <v>0</v>
      </c>
      <c r="M2064" s="2">
        <f t="shared" si="417"/>
        <v>0</v>
      </c>
      <c r="N2064" s="2">
        <f t="shared" si="418"/>
        <v>0</v>
      </c>
      <c r="O2064" s="2">
        <f t="shared" si="419"/>
        <v>1</v>
      </c>
      <c r="P2064" s="112">
        <f t="shared" si="420"/>
        <v>0</v>
      </c>
      <c r="Q2064" s="112">
        <f t="shared" si="421"/>
        <v>0</v>
      </c>
      <c r="R2064" s="53"/>
      <c r="S2064" s="53" t="str">
        <f t="shared" si="422"/>
        <v>Autos - Singles|Autographs|A-EM|Base</v>
      </c>
      <c r="T2064" s="57">
        <f>IF($S2064="","",IFERROR(VLOOKUP($S2064,'Pop Estimates (Non-#d)'!$N$2:$O$500,2,FALSE),""))</f>
        <v>130</v>
      </c>
      <c r="U2064" s="57">
        <f t="shared" si="423"/>
        <v>130</v>
      </c>
      <c r="V2064" s="53" t="str">
        <f t="shared" si="424"/>
        <v>Starlight</v>
      </c>
      <c r="W2064" s="53" t="str">
        <f t="shared" si="425"/>
        <v>Starlight</v>
      </c>
      <c r="X2064" s="53" t="str">
        <f t="shared" si="426"/>
        <v>Starlight</v>
      </c>
      <c r="Y2064" s="57">
        <f>IF($X2064="","",IFERROR(VLOOKUP($X2064,'Char Popularity'!$A$2:$C$500,2,FALSE),""))</f>
        <v>5</v>
      </c>
      <c r="Z2064" s="56">
        <f>IF($X2064="",1,IFERROR(VLOOKUP($X2064,'Char Popularity'!$A$2:$C$500,3,FALSE),1))</f>
        <v>1.2</v>
      </c>
      <c r="AA2064" s="62">
        <f>IF($H2064&lt;&gt;"Y",0,(IF($F2064&lt;&gt;"",ROUND(Dashboard!$R$4/$F2064,1),IF(AND($I2064="Base",$E2064="Base"),Dashboard!$R$5,IF(AND($I2064="Base",$E2064="Red"),Dashboard!$R$6,IF(AND($I2064="Base",$E2064="Gold"),Dashboard!$R$7,VLOOKUP($I2064,Dashboard!$Q$16:$R$21,2,FALSE)))))*VLOOKUP($I2064,Dashboard!$Q$9:$R$13,2,FALSE)*IF(AND($I2064="Auto",$F2064="",OR($B2064="Autographs Duals",$B2064="Autographs Triples",$B2064="Autographs Quads",$B2064="Autographs Quads (Inscribed)")),IF($B2064="Autographs Duals",2,IF($B2064="Autographs Triples",3,4)),1)))</f>
        <v>50</v>
      </c>
      <c r="AB2064" s="62">
        <f t="shared" si="427"/>
        <v>0</v>
      </c>
      <c r="AC2064" s="62">
        <f t="shared" si="428"/>
        <v>0</v>
      </c>
    </row>
    <row r="2065" spans="1:29" ht="30" customHeight="1" x14ac:dyDescent="0.25">
      <c r="A2065" s="4" t="s">
        <v>37</v>
      </c>
      <c r="B2065" s="7" t="s">
        <v>214</v>
      </c>
      <c r="C2065" s="2" t="s">
        <v>249</v>
      </c>
      <c r="D2065" s="7" t="s">
        <v>250</v>
      </c>
      <c r="E2065" s="4" t="s">
        <v>60</v>
      </c>
      <c r="F2065" s="2"/>
      <c r="G2065" s="2" t="s">
        <v>1399</v>
      </c>
      <c r="H2065" s="2" t="s">
        <v>1400</v>
      </c>
      <c r="I2065" s="4" t="s">
        <v>68</v>
      </c>
      <c r="J2065" s="112">
        <f>IF($H2065&lt;&gt;"Y",0,ROUND(MIN(Dashboard!$R$24,IF(IFERROR(VLOOKUP($B2065,Dashboard!$Q$28:$S$60,2,FALSE),0)&gt;0,IFERROR(VLOOKUP($B2065,Dashboard!$Q$28:$S$60,2,FALSE),0),$Z2065*IF($U2065&lt;&gt;"",ROUND((Dashboard!$R$4/$U2065)*VLOOKUP($I2065,Dashboard!$Q$9:$R$13,2,FALSE)*IF(ISNUMBER(SEARCH("Duals",$B2065)),2,IF(ISNUMBER(SEARCH("Triples",$B2065)),3,IF(ISNUMBER(SEARCH("Quads",$B2065)),4,1))),2),ROUND(VLOOKUP($I2065,Dashboard!$Q$15:$R$20,2,FALSE)*IF($E2065="Red",Dashboard!$R$6,IF($E2065="Gold",Dashboard!$R$7,Dashboard!$R$5))*IF(ISNUMBER(SEARCH("Duals",$B2065)),2,IF(ISNUMBER(SEARCH("Triples",$B2065)),3,IF(ISNUMBER(SEARCH("Quads",$B2065)),4,1))),2))*IF(IFERROR(VLOOKUP($B2065,Dashboard!$Q$28:$S$60,3,FALSE),0)&gt;0,VLOOKUP($B2065,Dashboard!$Q$28:$S$60,3,FALSE),1))),0))</f>
        <v>15</v>
      </c>
      <c r="K2065" s="2" t="str">
        <f>IF('Autos - Singles'!D22="","",'Autos - Singles'!D22)</f>
        <v/>
      </c>
      <c r="L2065" s="2">
        <f t="shared" si="416"/>
        <v>0</v>
      </c>
      <c r="M2065" s="2">
        <f t="shared" si="417"/>
        <v>0</v>
      </c>
      <c r="N2065" s="2">
        <f t="shared" si="418"/>
        <v>0</v>
      </c>
      <c r="O2065" s="2">
        <f t="shared" si="419"/>
        <v>1</v>
      </c>
      <c r="P2065" s="112">
        <f t="shared" si="420"/>
        <v>0</v>
      </c>
      <c r="Q2065" s="112">
        <f t="shared" si="421"/>
        <v>0</v>
      </c>
      <c r="R2065" s="53"/>
      <c r="S2065" s="53" t="str">
        <f t="shared" si="422"/>
        <v>Autos - Singles|Autographs|A-ES|Base</v>
      </c>
      <c r="T2065" s="57">
        <f>IF($S2065="","",IFERROR(VLOOKUP($S2065,'Pop Estimates (Non-#d)'!$N$2:$O$500,2,FALSE),""))</f>
        <v>130</v>
      </c>
      <c r="U2065" s="57">
        <f t="shared" si="423"/>
        <v>130</v>
      </c>
      <c r="V2065" s="53" t="str">
        <f t="shared" si="424"/>
        <v>Madelyn Stillwell</v>
      </c>
      <c r="W2065" s="53" t="str">
        <f t="shared" si="425"/>
        <v>Madelyn Stillwell</v>
      </c>
      <c r="X2065" s="53" t="str">
        <f t="shared" si="426"/>
        <v>Madelyn Stillwell</v>
      </c>
      <c r="Y2065" s="57">
        <f>IF($X2065="","",IFERROR(VLOOKUP($X2065,'Char Popularity'!$A$2:$C$500,2,FALSE),""))</f>
        <v>3</v>
      </c>
      <c r="Z2065" s="56">
        <f>IF($X2065="",1,IFERROR(VLOOKUP($X2065,'Char Popularity'!$A$2:$C$500,3,FALSE),1))</f>
        <v>1</v>
      </c>
      <c r="AA2065" s="62">
        <f>IF($H2065&lt;&gt;"Y",0,(IF($F2065&lt;&gt;"",ROUND(Dashboard!$R$4/$F2065,1),IF(AND($I2065="Base",$E2065="Base"),Dashboard!$R$5,IF(AND($I2065="Base",$E2065="Red"),Dashboard!$R$6,IF(AND($I2065="Base",$E2065="Gold"),Dashboard!$R$7,VLOOKUP($I2065,Dashboard!$Q$16:$R$21,2,FALSE)))))*VLOOKUP($I2065,Dashboard!$Q$9:$R$13,2,FALSE)*IF(AND($I2065="Auto",$F2065="",OR($B2065="Autographs Duals",$B2065="Autographs Triples",$B2065="Autographs Quads",$B2065="Autographs Quads (Inscribed)")),IF($B2065="Autographs Duals",2,IF($B2065="Autographs Triples",3,4)),1)))</f>
        <v>50</v>
      </c>
      <c r="AB2065" s="62">
        <f t="shared" si="427"/>
        <v>0</v>
      </c>
      <c r="AC2065" s="62">
        <f t="shared" si="428"/>
        <v>0</v>
      </c>
    </row>
    <row r="2066" spans="1:29" ht="30" customHeight="1" x14ac:dyDescent="0.25">
      <c r="A2066" s="4" t="s">
        <v>37</v>
      </c>
      <c r="B2066" s="7" t="s">
        <v>214</v>
      </c>
      <c r="C2066" s="2" t="s">
        <v>253</v>
      </c>
      <c r="D2066" s="7" t="s">
        <v>254</v>
      </c>
      <c r="E2066" s="4" t="s">
        <v>60</v>
      </c>
      <c r="F2066" s="2"/>
      <c r="G2066" s="2" t="s">
        <v>1399</v>
      </c>
      <c r="H2066" s="2" t="s">
        <v>1400</v>
      </c>
      <c r="I2066" s="4" t="s">
        <v>68</v>
      </c>
      <c r="J2066" s="112">
        <f>IF($H2066&lt;&gt;"Y",0,ROUND(MIN(Dashboard!$R$24,IF(IFERROR(VLOOKUP($B2066,Dashboard!$Q$28:$S$60,2,FALSE),0)&gt;0,IFERROR(VLOOKUP($B2066,Dashboard!$Q$28:$S$60,2,FALSE),0),$Z2066*IF($U2066&lt;&gt;"",ROUND((Dashboard!$R$4/$U2066)*VLOOKUP($I2066,Dashboard!$Q$9:$R$13,2,FALSE)*IF(ISNUMBER(SEARCH("Duals",$B2066)),2,IF(ISNUMBER(SEARCH("Triples",$B2066)),3,IF(ISNUMBER(SEARCH("Quads",$B2066)),4,1))),2),ROUND(VLOOKUP($I2066,Dashboard!$Q$15:$R$20,2,FALSE)*IF($E2066="Red",Dashboard!$R$6,IF($E2066="Gold",Dashboard!$R$7,Dashboard!$R$5))*IF(ISNUMBER(SEARCH("Duals",$B2066)),2,IF(ISNUMBER(SEARCH("Triples",$B2066)),3,IF(ISNUMBER(SEARCH("Quads",$B2066)),4,1))),2))*IF(IFERROR(VLOOKUP($B2066,Dashboard!$Q$28:$S$60,3,FALSE),0)&gt;0,VLOOKUP($B2066,Dashboard!$Q$28:$S$60,3,FALSE),1))),0))</f>
        <v>17</v>
      </c>
      <c r="K2066" s="2" t="str">
        <f>IF('Autos - Singles'!D24="","",'Autos - Singles'!D24)</f>
        <v/>
      </c>
      <c r="L2066" s="2">
        <f t="shared" si="416"/>
        <v>0</v>
      </c>
      <c r="M2066" s="2">
        <f t="shared" si="417"/>
        <v>0</v>
      </c>
      <c r="N2066" s="2">
        <f t="shared" si="418"/>
        <v>0</v>
      </c>
      <c r="O2066" s="2">
        <f t="shared" si="419"/>
        <v>1</v>
      </c>
      <c r="P2066" s="112">
        <f t="shared" si="420"/>
        <v>0</v>
      </c>
      <c r="Q2066" s="112">
        <f t="shared" si="421"/>
        <v>0</v>
      </c>
      <c r="R2066" s="53"/>
      <c r="S2066" s="53" t="str">
        <f t="shared" si="422"/>
        <v>Autos - Singles|Autographs|A-GC|Base</v>
      </c>
      <c r="T2066" s="57">
        <f>IF($S2066="","",IFERROR(VLOOKUP($S2066,'Pop Estimates (Non-#d)'!$N$2:$O$500,2,FALSE),""))</f>
        <v>130</v>
      </c>
      <c r="U2066" s="57">
        <f t="shared" si="423"/>
        <v>130</v>
      </c>
      <c r="V2066" s="53" t="str">
        <f t="shared" si="424"/>
        <v>Stan Edgar</v>
      </c>
      <c r="W2066" s="53" t="str">
        <f t="shared" si="425"/>
        <v>Stan Edgar</v>
      </c>
      <c r="X2066" s="53" t="str">
        <f t="shared" si="426"/>
        <v>Stan Edgar</v>
      </c>
      <c r="Y2066" s="57">
        <f>IF($X2066="","",IFERROR(VLOOKUP($X2066,'Char Popularity'!$A$2:$C$500,2,FALSE),""))</f>
        <v>4</v>
      </c>
      <c r="Z2066" s="56">
        <f>IF($X2066="",1,IFERROR(VLOOKUP($X2066,'Char Popularity'!$A$2:$C$500,3,FALSE),1))</f>
        <v>1.1000000000000001</v>
      </c>
      <c r="AA2066" s="62">
        <f>IF($H2066&lt;&gt;"Y",0,(IF($F2066&lt;&gt;"",ROUND(Dashboard!$R$4/$F2066,1),IF(AND($I2066="Base",$E2066="Base"),Dashboard!$R$5,IF(AND($I2066="Base",$E2066="Red"),Dashboard!$R$6,IF(AND($I2066="Base",$E2066="Gold"),Dashboard!$R$7,VLOOKUP($I2066,Dashboard!$Q$16:$R$21,2,FALSE)))))*VLOOKUP($I2066,Dashboard!$Q$9:$R$13,2,FALSE)*IF(AND($I2066="Auto",$F2066="",OR($B2066="Autographs Duals",$B2066="Autographs Triples",$B2066="Autographs Quads",$B2066="Autographs Quads (Inscribed)")),IF($B2066="Autographs Duals",2,IF($B2066="Autographs Triples",3,4)),1)))</f>
        <v>50</v>
      </c>
      <c r="AB2066" s="62">
        <f t="shared" si="427"/>
        <v>0</v>
      </c>
      <c r="AC2066" s="62">
        <f t="shared" si="428"/>
        <v>0</v>
      </c>
    </row>
    <row r="2067" spans="1:29" ht="30" customHeight="1" x14ac:dyDescent="0.25">
      <c r="A2067" s="4" t="s">
        <v>37</v>
      </c>
      <c r="B2067" s="7" t="s">
        <v>214</v>
      </c>
      <c r="C2067" s="2" t="s">
        <v>255</v>
      </c>
      <c r="D2067" s="7" t="s">
        <v>254</v>
      </c>
      <c r="E2067" s="4" t="s">
        <v>60</v>
      </c>
      <c r="F2067" s="2"/>
      <c r="G2067" s="2" t="s">
        <v>1399</v>
      </c>
      <c r="H2067" s="2" t="s">
        <v>1400</v>
      </c>
      <c r="I2067" s="4" t="s">
        <v>68</v>
      </c>
      <c r="J2067" s="112">
        <f>IF($H2067&lt;&gt;"Y",0,ROUND(MIN(Dashboard!$R$24,IF(IFERROR(VLOOKUP($B2067,Dashboard!$Q$28:$S$60,2,FALSE),0)&gt;0,IFERROR(VLOOKUP($B2067,Dashboard!$Q$28:$S$60,2,FALSE),0),$Z2067*IF($U2067&lt;&gt;"",ROUND((Dashboard!$R$4/$U2067)*VLOOKUP($I2067,Dashboard!$Q$9:$R$13,2,FALSE)*IF(ISNUMBER(SEARCH("Duals",$B2067)),2,IF(ISNUMBER(SEARCH("Triples",$B2067)),3,IF(ISNUMBER(SEARCH("Quads",$B2067)),4,1))),2),ROUND(VLOOKUP($I2067,Dashboard!$Q$15:$R$20,2,FALSE)*IF($E2067="Red",Dashboard!$R$6,IF($E2067="Gold",Dashboard!$R$7,Dashboard!$R$5))*IF(ISNUMBER(SEARCH("Duals",$B2067)),2,IF(ISNUMBER(SEARCH("Triples",$B2067)),3,IF(ISNUMBER(SEARCH("Quads",$B2067)),4,1))),2))*IF(IFERROR(VLOOKUP($B2067,Dashboard!$Q$28:$S$60,3,FALSE),0)&gt;0,VLOOKUP($B2067,Dashboard!$Q$28:$S$60,3,FALSE),1))),0))</f>
        <v>17</v>
      </c>
      <c r="K2067" s="2" t="str">
        <f>IF('Autos - Singles'!D25="","",'Autos - Singles'!D25)</f>
        <v/>
      </c>
      <c r="L2067" s="2">
        <f t="shared" si="416"/>
        <v>0</v>
      </c>
      <c r="M2067" s="2">
        <f t="shared" si="417"/>
        <v>0</v>
      </c>
      <c r="N2067" s="2">
        <f t="shared" si="418"/>
        <v>0</v>
      </c>
      <c r="O2067" s="2">
        <f t="shared" si="419"/>
        <v>1</v>
      </c>
      <c r="P2067" s="112">
        <f t="shared" si="420"/>
        <v>0</v>
      </c>
      <c r="Q2067" s="112">
        <f t="shared" si="421"/>
        <v>0</v>
      </c>
      <c r="R2067" s="53"/>
      <c r="S2067" s="53" t="str">
        <f t="shared" si="422"/>
        <v>Autos - Singles|Autographs|A-GE|Base</v>
      </c>
      <c r="T2067" s="57">
        <f>IF($S2067="","",IFERROR(VLOOKUP($S2067,'Pop Estimates (Non-#d)'!$N$2:$O$500,2,FALSE),""))</f>
        <v>130</v>
      </c>
      <c r="U2067" s="57">
        <f t="shared" si="423"/>
        <v>130</v>
      </c>
      <c r="V2067" s="53" t="str">
        <f t="shared" si="424"/>
        <v>Stan Edgar</v>
      </c>
      <c r="W2067" s="53" t="str">
        <f t="shared" si="425"/>
        <v>Stan Edgar</v>
      </c>
      <c r="X2067" s="53" t="str">
        <f t="shared" si="426"/>
        <v>Stan Edgar</v>
      </c>
      <c r="Y2067" s="57">
        <f>IF($X2067="","",IFERROR(VLOOKUP($X2067,'Char Popularity'!$A$2:$C$500,2,FALSE),""))</f>
        <v>4</v>
      </c>
      <c r="Z2067" s="56">
        <f>IF($X2067="",1,IFERROR(VLOOKUP($X2067,'Char Popularity'!$A$2:$C$500,3,FALSE),1))</f>
        <v>1.1000000000000001</v>
      </c>
      <c r="AA2067" s="62">
        <f>IF($H2067&lt;&gt;"Y",0,(IF($F2067&lt;&gt;"",ROUND(Dashboard!$R$4/$F2067,1),IF(AND($I2067="Base",$E2067="Base"),Dashboard!$R$5,IF(AND($I2067="Base",$E2067="Red"),Dashboard!$R$6,IF(AND($I2067="Base",$E2067="Gold"),Dashboard!$R$7,VLOOKUP($I2067,Dashboard!$Q$16:$R$21,2,FALSE)))))*VLOOKUP($I2067,Dashboard!$Q$9:$R$13,2,FALSE)*IF(AND($I2067="Auto",$F2067="",OR($B2067="Autographs Duals",$B2067="Autographs Triples",$B2067="Autographs Quads",$B2067="Autographs Quads (Inscribed)")),IF($B2067="Autographs Duals",2,IF($B2067="Autographs Triples",3,4)),1)))</f>
        <v>50</v>
      </c>
      <c r="AB2067" s="62">
        <f t="shared" si="427"/>
        <v>0</v>
      </c>
      <c r="AC2067" s="62">
        <f t="shared" si="428"/>
        <v>0</v>
      </c>
    </row>
    <row r="2068" spans="1:29" ht="30" customHeight="1" x14ac:dyDescent="0.25">
      <c r="A2068" s="4" t="s">
        <v>37</v>
      </c>
      <c r="B2068" s="7" t="s">
        <v>214</v>
      </c>
      <c r="C2068" s="2" t="s">
        <v>256</v>
      </c>
      <c r="D2068" s="7" t="s">
        <v>216</v>
      </c>
      <c r="E2068" s="4" t="s">
        <v>60</v>
      </c>
      <c r="F2068" s="2"/>
      <c r="G2068" s="2" t="s">
        <v>1399</v>
      </c>
      <c r="H2068" s="2" t="s">
        <v>1400</v>
      </c>
      <c r="I2068" s="4" t="s">
        <v>68</v>
      </c>
      <c r="J2068" s="112">
        <f>IF($H2068&lt;&gt;"Y",0,ROUND(MIN(Dashboard!$R$24,IF(IFERROR(VLOOKUP($B2068,Dashboard!$Q$28:$S$60,2,FALSE),0)&gt;0,IFERROR(VLOOKUP($B2068,Dashboard!$Q$28:$S$60,2,FALSE),0),$Z2068*IF($U2068&lt;&gt;"",ROUND((Dashboard!$R$4/$U2068)*VLOOKUP($I2068,Dashboard!$Q$9:$R$13,2,FALSE)*IF(ISNUMBER(SEARCH("Duals",$B2068)),2,IF(ISNUMBER(SEARCH("Triples",$B2068)),3,IF(ISNUMBER(SEARCH("Quads",$B2068)),4,1))),2),ROUND(VLOOKUP($I2068,Dashboard!$Q$15:$R$20,2,FALSE)*IF($E2068="Red",Dashboard!$R$6,IF($E2068="Gold",Dashboard!$R$7,Dashboard!$R$5))*IF(ISNUMBER(SEARCH("Duals",$B2068)),2,IF(ISNUMBER(SEARCH("Triples",$B2068)),3,IF(ISNUMBER(SEARCH("Quads",$B2068)),4,1))),2))*IF(IFERROR(VLOOKUP($B2068,Dashboard!$Q$28:$S$60,3,FALSE),0)&gt;0,VLOOKUP($B2068,Dashboard!$Q$28:$S$60,3,FALSE),1))),0))</f>
        <v>14</v>
      </c>
      <c r="K2068" s="2" t="str">
        <f>IF('Autos - Singles'!D26="","",'Autos - Singles'!D26)</f>
        <v/>
      </c>
      <c r="L2068" s="2">
        <f t="shared" si="416"/>
        <v>0</v>
      </c>
      <c r="M2068" s="2">
        <f t="shared" si="417"/>
        <v>0</v>
      </c>
      <c r="N2068" s="2">
        <f t="shared" si="418"/>
        <v>0</v>
      </c>
      <c r="O2068" s="2">
        <f t="shared" si="419"/>
        <v>1</v>
      </c>
      <c r="P2068" s="112">
        <f t="shared" si="420"/>
        <v>0</v>
      </c>
      <c r="Q2068" s="112">
        <f t="shared" si="421"/>
        <v>0</v>
      </c>
      <c r="R2068" s="53"/>
      <c r="S2068" s="53" t="str">
        <f t="shared" si="422"/>
        <v>Autos - Singles|Autographs|A-HA|Base</v>
      </c>
      <c r="T2068" s="57">
        <f>IF($S2068="","",IFERROR(VLOOKUP($S2068,'Pop Estimates (Non-#d)'!$N$2:$O$500,2,FALSE),""))</f>
        <v>130</v>
      </c>
      <c r="U2068" s="57">
        <f t="shared" si="423"/>
        <v>130</v>
      </c>
      <c r="V2068" s="53" t="str">
        <f t="shared" si="424"/>
        <v>Translucent</v>
      </c>
      <c r="W2068" s="53" t="str">
        <f t="shared" si="425"/>
        <v>Translucent</v>
      </c>
      <c r="X2068" s="53" t="str">
        <f t="shared" si="426"/>
        <v>Translucent</v>
      </c>
      <c r="Y2068" s="57">
        <f>IF($X2068="","",IFERROR(VLOOKUP($X2068,'Char Popularity'!$A$2:$C$500,2,FALSE),""))</f>
        <v>2</v>
      </c>
      <c r="Z2068" s="56">
        <f>IF($X2068="",1,IFERROR(VLOOKUP($X2068,'Char Popularity'!$A$2:$C$500,3,FALSE),1))</f>
        <v>0.9</v>
      </c>
      <c r="AA2068" s="62">
        <f>IF($H2068&lt;&gt;"Y",0,(IF($F2068&lt;&gt;"",ROUND(Dashboard!$R$4/$F2068,1),IF(AND($I2068="Base",$E2068="Base"),Dashboard!$R$5,IF(AND($I2068="Base",$E2068="Red"),Dashboard!$R$6,IF(AND($I2068="Base",$E2068="Gold"),Dashboard!$R$7,VLOOKUP($I2068,Dashboard!$Q$16:$R$21,2,FALSE)))))*VLOOKUP($I2068,Dashboard!$Q$9:$R$13,2,FALSE)*IF(AND($I2068="Auto",$F2068="",OR($B2068="Autographs Duals",$B2068="Autographs Triples",$B2068="Autographs Quads",$B2068="Autographs Quads (Inscribed)")),IF($B2068="Autographs Duals",2,IF($B2068="Autographs Triples",3,4)),1)))</f>
        <v>50</v>
      </c>
      <c r="AB2068" s="62">
        <f t="shared" si="427"/>
        <v>0</v>
      </c>
      <c r="AC2068" s="62">
        <f t="shared" si="428"/>
        <v>0</v>
      </c>
    </row>
    <row r="2069" spans="1:29" ht="30" customHeight="1" x14ac:dyDescent="0.25">
      <c r="A2069" s="4" t="s">
        <v>37</v>
      </c>
      <c r="B2069" s="7" t="s">
        <v>214</v>
      </c>
      <c r="C2069" s="2" t="s">
        <v>259</v>
      </c>
      <c r="D2069" s="7" t="s">
        <v>260</v>
      </c>
      <c r="E2069" s="4" t="s">
        <v>60</v>
      </c>
      <c r="F2069" s="2"/>
      <c r="G2069" s="2" t="s">
        <v>1399</v>
      </c>
      <c r="H2069" s="2" t="s">
        <v>1400</v>
      </c>
      <c r="I2069" s="4" t="s">
        <v>68</v>
      </c>
      <c r="J2069" s="112">
        <f>IF($H2069&lt;&gt;"Y",0,ROUND(MIN(Dashboard!$R$24,IF(IFERROR(VLOOKUP($B2069,Dashboard!$Q$28:$S$60,2,FALSE),0)&gt;0,IFERROR(VLOOKUP($B2069,Dashboard!$Q$28:$S$60,2,FALSE),0),$Z2069*IF($U2069&lt;&gt;"",ROUND((Dashboard!$R$4/$U2069)*VLOOKUP($I2069,Dashboard!$Q$9:$R$13,2,FALSE)*IF(ISNUMBER(SEARCH("Duals",$B2069)),2,IF(ISNUMBER(SEARCH("Triples",$B2069)),3,IF(ISNUMBER(SEARCH("Quads",$B2069)),4,1))),2),ROUND(VLOOKUP($I2069,Dashboard!$Q$15:$R$20,2,FALSE)*IF($E2069="Red",Dashboard!$R$6,IF($E2069="Gold",Dashboard!$R$7,Dashboard!$R$5))*IF(ISNUMBER(SEARCH("Duals",$B2069)),2,IF(ISNUMBER(SEARCH("Triples",$B2069)),3,IF(ISNUMBER(SEARCH("Quads",$B2069)),4,1))),2))*IF(IFERROR(VLOOKUP($B2069,Dashboard!$Q$28:$S$60,3,FALSE),0)&gt;0,VLOOKUP($B2069,Dashboard!$Q$28:$S$60,3,FALSE),1))),0))</f>
        <v>15</v>
      </c>
      <c r="K2069" s="2" t="str">
        <f>IF('Autos - Singles'!D28="","",'Autos - Singles'!D28)</f>
        <v>C</v>
      </c>
      <c r="L2069" s="2">
        <f t="shared" si="416"/>
        <v>1</v>
      </c>
      <c r="M2069" s="2">
        <f t="shared" si="417"/>
        <v>0</v>
      </c>
      <c r="N2069" s="2">
        <f t="shared" si="418"/>
        <v>1</v>
      </c>
      <c r="O2069" s="2">
        <f t="shared" si="419"/>
        <v>0</v>
      </c>
      <c r="P2069" s="112">
        <f t="shared" si="420"/>
        <v>15</v>
      </c>
      <c r="Q2069" s="112">
        <f t="shared" si="421"/>
        <v>0</v>
      </c>
      <c r="R2069" s="53"/>
      <c r="S2069" s="53" t="str">
        <f t="shared" si="422"/>
        <v>Autos - Singles|Autographs|A-JL|Base</v>
      </c>
      <c r="T2069" s="57">
        <f>IF($S2069="","",IFERROR(VLOOKUP($S2069,'Pop Estimates (Non-#d)'!$N$2:$O$500,2,FALSE),""))</f>
        <v>130</v>
      </c>
      <c r="U2069" s="57">
        <f t="shared" si="423"/>
        <v>130</v>
      </c>
      <c r="V2069" s="53" t="str">
        <f t="shared" si="424"/>
        <v>Cherie</v>
      </c>
      <c r="W2069" s="53" t="str">
        <f t="shared" si="425"/>
        <v>Cherie</v>
      </c>
      <c r="X2069" s="53" t="str">
        <f t="shared" si="426"/>
        <v>Cherie</v>
      </c>
      <c r="Y2069" s="57">
        <f>IF($X2069="","",IFERROR(VLOOKUP($X2069,'Char Popularity'!$A$2:$C$500,2,FALSE),""))</f>
        <v>3</v>
      </c>
      <c r="Z2069" s="56">
        <f>IF($X2069="",1,IFERROR(VLOOKUP($X2069,'Char Popularity'!$A$2:$C$500,3,FALSE),1))</f>
        <v>1</v>
      </c>
      <c r="AA2069" s="62">
        <f>IF($H2069&lt;&gt;"Y",0,(IF($F2069&lt;&gt;"",ROUND(Dashboard!$R$4/$F2069,1),IF(AND($I2069="Base",$E2069="Base"),Dashboard!$R$5,IF(AND($I2069="Base",$E2069="Red"),Dashboard!$R$6,IF(AND($I2069="Base",$E2069="Gold"),Dashboard!$R$7,VLOOKUP($I2069,Dashboard!$Q$16:$R$21,2,FALSE)))))*VLOOKUP($I2069,Dashboard!$Q$9:$R$13,2,FALSE)*IF(AND($I2069="Auto",$F2069="",OR($B2069="Autographs Duals",$B2069="Autographs Triples",$B2069="Autographs Quads",$B2069="Autographs Quads (Inscribed)")),IF($B2069="Autographs Duals",2,IF($B2069="Autographs Triples",3,4)),1)))</f>
        <v>50</v>
      </c>
      <c r="AB2069" s="62">
        <f t="shared" si="427"/>
        <v>50</v>
      </c>
      <c r="AC2069" s="62">
        <f t="shared" si="428"/>
        <v>0</v>
      </c>
    </row>
    <row r="2070" spans="1:29" ht="30" customHeight="1" x14ac:dyDescent="0.25">
      <c r="A2070" s="4" t="s">
        <v>37</v>
      </c>
      <c r="B2070" s="7" t="s">
        <v>214</v>
      </c>
      <c r="C2070" s="2" t="s">
        <v>261</v>
      </c>
      <c r="D2070" s="7" t="s">
        <v>260</v>
      </c>
      <c r="E2070" s="4" t="s">
        <v>60</v>
      </c>
      <c r="F2070" s="2"/>
      <c r="G2070" s="2" t="s">
        <v>1399</v>
      </c>
      <c r="H2070" s="2" t="s">
        <v>1400</v>
      </c>
      <c r="I2070" s="4" t="s">
        <v>68</v>
      </c>
      <c r="J2070" s="112">
        <f>IF($H2070&lt;&gt;"Y",0,ROUND(MIN(Dashboard!$R$24,IF(IFERROR(VLOOKUP($B2070,Dashboard!$Q$28:$S$60,2,FALSE),0)&gt;0,IFERROR(VLOOKUP($B2070,Dashboard!$Q$28:$S$60,2,FALSE),0),$Z2070*IF($U2070&lt;&gt;"",ROUND((Dashboard!$R$4/$U2070)*VLOOKUP($I2070,Dashboard!$Q$9:$R$13,2,FALSE)*IF(ISNUMBER(SEARCH("Duals",$B2070)),2,IF(ISNUMBER(SEARCH("Triples",$B2070)),3,IF(ISNUMBER(SEARCH("Quads",$B2070)),4,1))),2),ROUND(VLOOKUP($I2070,Dashboard!$Q$15:$R$20,2,FALSE)*IF($E2070="Red",Dashboard!$R$6,IF($E2070="Gold",Dashboard!$R$7,Dashboard!$R$5))*IF(ISNUMBER(SEARCH("Duals",$B2070)),2,IF(ISNUMBER(SEARCH("Triples",$B2070)),3,IF(ISNUMBER(SEARCH("Quads",$B2070)),4,1))),2))*IF(IFERROR(VLOOKUP($B2070,Dashboard!$Q$28:$S$60,3,FALSE),0)&gt;0,VLOOKUP($B2070,Dashboard!$Q$28:$S$60,3,FALSE),1))),0))</f>
        <v>15</v>
      </c>
      <c r="K2070" s="2" t="str">
        <f>IF('Autos - Singles'!D29="","",'Autos - Singles'!D29)</f>
        <v>C</v>
      </c>
      <c r="L2070" s="2">
        <f t="shared" si="416"/>
        <v>1</v>
      </c>
      <c r="M2070" s="2">
        <f t="shared" si="417"/>
        <v>0</v>
      </c>
      <c r="N2070" s="2">
        <f t="shared" si="418"/>
        <v>1</v>
      </c>
      <c r="O2070" s="2">
        <f t="shared" si="419"/>
        <v>0</v>
      </c>
      <c r="P2070" s="112">
        <f t="shared" si="420"/>
        <v>15</v>
      </c>
      <c r="Q2070" s="112">
        <f t="shared" si="421"/>
        <v>0</v>
      </c>
      <c r="R2070" s="53"/>
      <c r="S2070" s="53" t="str">
        <f t="shared" si="422"/>
        <v>Autos - Singles|Autographs|A-JO|Base</v>
      </c>
      <c r="T2070" s="57">
        <f>IF($S2070="","",IFERROR(VLOOKUP($S2070,'Pop Estimates (Non-#d)'!$N$2:$O$500,2,FALSE),""))</f>
        <v>130</v>
      </c>
      <c r="U2070" s="57">
        <f t="shared" si="423"/>
        <v>130</v>
      </c>
      <c r="V2070" s="53" t="str">
        <f t="shared" si="424"/>
        <v>Cherie</v>
      </c>
      <c r="W2070" s="53" t="str">
        <f t="shared" si="425"/>
        <v>Cherie</v>
      </c>
      <c r="X2070" s="53" t="str">
        <f t="shared" si="426"/>
        <v>Cherie</v>
      </c>
      <c r="Y2070" s="57">
        <f>IF($X2070="","",IFERROR(VLOOKUP($X2070,'Char Popularity'!$A$2:$C$500,2,FALSE),""))</f>
        <v>3</v>
      </c>
      <c r="Z2070" s="56">
        <f>IF($X2070="",1,IFERROR(VLOOKUP($X2070,'Char Popularity'!$A$2:$C$500,3,FALSE),1))</f>
        <v>1</v>
      </c>
      <c r="AA2070" s="62">
        <f>IF($H2070&lt;&gt;"Y",0,(IF($F2070&lt;&gt;"",ROUND(Dashboard!$R$4/$F2070,1),IF(AND($I2070="Base",$E2070="Base"),Dashboard!$R$5,IF(AND($I2070="Base",$E2070="Red"),Dashboard!$R$6,IF(AND($I2070="Base",$E2070="Gold"),Dashboard!$R$7,VLOOKUP($I2070,Dashboard!$Q$16:$R$21,2,FALSE)))))*VLOOKUP($I2070,Dashboard!$Q$9:$R$13,2,FALSE)*IF(AND($I2070="Auto",$F2070="",OR($B2070="Autographs Duals",$B2070="Autographs Triples",$B2070="Autographs Quads",$B2070="Autographs Quads (Inscribed)")),IF($B2070="Autographs Duals",2,IF($B2070="Autographs Triples",3,4)),1)))</f>
        <v>50</v>
      </c>
      <c r="AB2070" s="62">
        <f t="shared" si="427"/>
        <v>50</v>
      </c>
      <c r="AC2070" s="62">
        <f t="shared" si="428"/>
        <v>0</v>
      </c>
    </row>
    <row r="2071" spans="1:29" ht="30" customHeight="1" x14ac:dyDescent="0.25">
      <c r="A2071" s="4" t="s">
        <v>37</v>
      </c>
      <c r="B2071" s="7" t="s">
        <v>214</v>
      </c>
      <c r="C2071" s="2" t="s">
        <v>262</v>
      </c>
      <c r="D2071" s="7" t="s">
        <v>263</v>
      </c>
      <c r="E2071" s="4" t="s">
        <v>60</v>
      </c>
      <c r="F2071" s="2"/>
      <c r="G2071" s="2" t="s">
        <v>1399</v>
      </c>
      <c r="H2071" s="2" t="s">
        <v>1400</v>
      </c>
      <c r="I2071" s="4" t="s">
        <v>68</v>
      </c>
      <c r="J2071" s="112">
        <f>IF($H2071&lt;&gt;"Y",0,ROUND(MIN(Dashboard!$R$24,IF(IFERROR(VLOOKUP($B2071,Dashboard!$Q$28:$S$60,2,FALSE),0)&gt;0,IFERROR(VLOOKUP($B2071,Dashboard!$Q$28:$S$60,2,FALSE),0),$Z2071*IF($U2071&lt;&gt;"",ROUND((Dashboard!$R$4/$U2071)*VLOOKUP($I2071,Dashboard!$Q$9:$R$13,2,FALSE)*IF(ISNUMBER(SEARCH("Duals",$B2071)),2,IF(ISNUMBER(SEARCH("Triples",$B2071)),3,IF(ISNUMBER(SEARCH("Quads",$B2071)),4,1))),2),ROUND(VLOOKUP($I2071,Dashboard!$Q$15:$R$20,2,FALSE)*IF($E2071="Red",Dashboard!$R$6,IF($E2071="Gold",Dashboard!$R$7,Dashboard!$R$5))*IF(ISNUMBER(SEARCH("Duals",$B2071)),2,IF(ISNUMBER(SEARCH("Triples",$B2071)),3,IF(ISNUMBER(SEARCH("Quads",$B2071)),4,1))),2))*IF(IFERROR(VLOOKUP($B2071,Dashboard!$Q$28:$S$60,3,FALSE),0)&gt;0,VLOOKUP($B2071,Dashboard!$Q$28:$S$60,3,FALSE),1))),0))</f>
        <v>18</v>
      </c>
      <c r="K2071" s="2" t="str">
        <f>IF('Autos - Singles'!D30="","",'Autos - Singles'!D30)</f>
        <v/>
      </c>
      <c r="L2071" s="2">
        <f t="shared" si="416"/>
        <v>0</v>
      </c>
      <c r="M2071" s="2">
        <f t="shared" si="417"/>
        <v>0</v>
      </c>
      <c r="N2071" s="2">
        <f t="shared" si="418"/>
        <v>0</v>
      </c>
      <c r="O2071" s="2">
        <f t="shared" si="419"/>
        <v>1</v>
      </c>
      <c r="P2071" s="112">
        <f t="shared" si="420"/>
        <v>0</v>
      </c>
      <c r="Q2071" s="112">
        <f t="shared" si="421"/>
        <v>0</v>
      </c>
      <c r="R2071" s="53"/>
      <c r="S2071" s="53" t="str">
        <f t="shared" si="422"/>
        <v>Autos - Singles|Autographs|A-JQ|Base</v>
      </c>
      <c r="T2071" s="57">
        <f>IF($S2071="","",IFERROR(VLOOKUP($S2071,'Pop Estimates (Non-#d)'!$N$2:$O$500,2,FALSE),""))</f>
        <v>130</v>
      </c>
      <c r="U2071" s="57">
        <f t="shared" si="423"/>
        <v>130</v>
      </c>
      <c r="V2071" s="53" t="str">
        <f t="shared" si="424"/>
        <v>Hughie Campbell</v>
      </c>
      <c r="W2071" s="53" t="str">
        <f t="shared" si="425"/>
        <v>Hughie Campbell</v>
      </c>
      <c r="X2071" s="53" t="str">
        <f t="shared" si="426"/>
        <v>Hughie Campbell</v>
      </c>
      <c r="Y2071" s="57">
        <f>IF($X2071="","",IFERROR(VLOOKUP($X2071,'Char Popularity'!$A$2:$C$500,2,FALSE),""))</f>
        <v>5</v>
      </c>
      <c r="Z2071" s="56">
        <f>IF($X2071="",1,IFERROR(VLOOKUP($X2071,'Char Popularity'!$A$2:$C$500,3,FALSE),1))</f>
        <v>1.2</v>
      </c>
      <c r="AA2071" s="62">
        <f>IF($H2071&lt;&gt;"Y",0,(IF($F2071&lt;&gt;"",ROUND(Dashboard!$R$4/$F2071,1),IF(AND($I2071="Base",$E2071="Base"),Dashboard!$R$5,IF(AND($I2071="Base",$E2071="Red"),Dashboard!$R$6,IF(AND($I2071="Base",$E2071="Gold"),Dashboard!$R$7,VLOOKUP($I2071,Dashboard!$Q$16:$R$21,2,FALSE)))))*VLOOKUP($I2071,Dashboard!$Q$9:$R$13,2,FALSE)*IF(AND($I2071="Auto",$F2071="",OR($B2071="Autographs Duals",$B2071="Autographs Triples",$B2071="Autographs Quads",$B2071="Autographs Quads (Inscribed)")),IF($B2071="Autographs Duals",2,IF($B2071="Autographs Triples",3,4)),1)))</f>
        <v>50</v>
      </c>
      <c r="AB2071" s="62">
        <f t="shared" si="427"/>
        <v>0</v>
      </c>
      <c r="AC2071" s="62">
        <f t="shared" si="428"/>
        <v>0</v>
      </c>
    </row>
    <row r="2072" spans="1:29" ht="30" customHeight="1" x14ac:dyDescent="0.25">
      <c r="A2072" s="4" t="s">
        <v>37</v>
      </c>
      <c r="B2072" s="7" t="s">
        <v>214</v>
      </c>
      <c r="C2072" s="2" t="s">
        <v>266</v>
      </c>
      <c r="D2072" s="7" t="s">
        <v>267</v>
      </c>
      <c r="E2072" s="4" t="s">
        <v>60</v>
      </c>
      <c r="F2072" s="2"/>
      <c r="G2072" s="2" t="s">
        <v>1399</v>
      </c>
      <c r="H2072" s="2" t="s">
        <v>1400</v>
      </c>
      <c r="I2072" s="4" t="s">
        <v>68</v>
      </c>
      <c r="J2072" s="112">
        <f>IF($H2072&lt;&gt;"Y",0,ROUND(MIN(Dashboard!$R$24,IF(IFERROR(VLOOKUP($B2072,Dashboard!$Q$28:$S$60,2,FALSE),0)&gt;0,IFERROR(VLOOKUP($B2072,Dashboard!$Q$28:$S$60,2,FALSE),0),$Z2072*IF($U2072&lt;&gt;"",ROUND((Dashboard!$R$4/$U2072)*VLOOKUP($I2072,Dashboard!$Q$9:$R$13,2,FALSE)*IF(ISNUMBER(SEARCH("Duals",$B2072)),2,IF(ISNUMBER(SEARCH("Triples",$B2072)),3,IF(ISNUMBER(SEARCH("Quads",$B2072)),4,1))),2),ROUND(VLOOKUP($I2072,Dashboard!$Q$15:$R$20,2,FALSE)*IF($E2072="Red",Dashboard!$R$6,IF($E2072="Gold",Dashboard!$R$7,Dashboard!$R$5))*IF(ISNUMBER(SEARCH("Duals",$B2072)),2,IF(ISNUMBER(SEARCH("Triples",$B2072)),3,IF(ISNUMBER(SEARCH("Quads",$B2072)),4,1))),2))*IF(IFERROR(VLOOKUP($B2072,Dashboard!$Q$28:$S$60,3,FALSE),0)&gt;0,VLOOKUP($B2072,Dashboard!$Q$28:$S$60,3,FALSE),1))),0))</f>
        <v>17</v>
      </c>
      <c r="K2072" s="2" t="str">
        <f>IF('Autos - Singles'!D32="","",'Autos - Singles'!D32)</f>
        <v/>
      </c>
      <c r="L2072" s="2">
        <f t="shared" si="416"/>
        <v>0</v>
      </c>
      <c r="M2072" s="2">
        <f t="shared" si="417"/>
        <v>0</v>
      </c>
      <c r="N2072" s="2">
        <f t="shared" si="418"/>
        <v>0</v>
      </c>
      <c r="O2072" s="2">
        <f t="shared" si="419"/>
        <v>1</v>
      </c>
      <c r="P2072" s="112">
        <f t="shared" si="420"/>
        <v>0</v>
      </c>
      <c r="Q2072" s="112">
        <f t="shared" si="421"/>
        <v>0</v>
      </c>
      <c r="R2072" s="53"/>
      <c r="S2072" s="53" t="str">
        <f t="shared" si="422"/>
        <v>Autos - Singles|Autographs|A-JT|Base</v>
      </c>
      <c r="T2072" s="57">
        <f>IF($S2072="","",IFERROR(VLOOKUP($S2072,'Pop Estimates (Non-#d)'!$N$2:$O$500,2,FALSE),""))</f>
        <v>130</v>
      </c>
      <c r="U2072" s="57">
        <f t="shared" si="423"/>
        <v>130</v>
      </c>
      <c r="V2072" s="53" t="str">
        <f t="shared" si="424"/>
        <v>A-Train</v>
      </c>
      <c r="W2072" s="53" t="str">
        <f t="shared" si="425"/>
        <v>A-Train</v>
      </c>
      <c r="X2072" s="53" t="str">
        <f t="shared" si="426"/>
        <v>A-Train</v>
      </c>
      <c r="Y2072" s="57">
        <f>IF($X2072="","",IFERROR(VLOOKUP($X2072,'Char Popularity'!$A$2:$C$500,2,FALSE),""))</f>
        <v>4</v>
      </c>
      <c r="Z2072" s="56">
        <f>IF($X2072="",1,IFERROR(VLOOKUP($X2072,'Char Popularity'!$A$2:$C$500,3,FALSE),1))</f>
        <v>1.1000000000000001</v>
      </c>
      <c r="AA2072" s="62">
        <f>IF($H2072&lt;&gt;"Y",0,(IF($F2072&lt;&gt;"",ROUND(Dashboard!$R$4/$F2072,1),IF(AND($I2072="Base",$E2072="Base"),Dashboard!$R$5,IF(AND($I2072="Base",$E2072="Red"),Dashboard!$R$6,IF(AND($I2072="Base",$E2072="Gold"),Dashboard!$R$7,VLOOKUP($I2072,Dashboard!$Q$16:$R$21,2,FALSE)))))*VLOOKUP($I2072,Dashboard!$Q$9:$R$13,2,FALSE)*IF(AND($I2072="Auto",$F2072="",OR($B2072="Autographs Duals",$B2072="Autographs Triples",$B2072="Autographs Quads",$B2072="Autographs Quads (Inscribed)")),IF($B2072="Autographs Duals",2,IF($B2072="Autographs Triples",3,4)),1)))</f>
        <v>50</v>
      </c>
      <c r="AB2072" s="62">
        <f t="shared" si="427"/>
        <v>0</v>
      </c>
      <c r="AC2072" s="62">
        <f t="shared" si="428"/>
        <v>0</v>
      </c>
    </row>
    <row r="2073" spans="1:29" ht="30" customHeight="1" x14ac:dyDescent="0.25">
      <c r="A2073" s="4" t="s">
        <v>37</v>
      </c>
      <c r="B2073" s="7" t="s">
        <v>214</v>
      </c>
      <c r="C2073" s="2" t="s">
        <v>268</v>
      </c>
      <c r="D2073" s="7" t="s">
        <v>267</v>
      </c>
      <c r="E2073" s="4" t="s">
        <v>60</v>
      </c>
      <c r="F2073" s="2"/>
      <c r="G2073" s="2" t="s">
        <v>1399</v>
      </c>
      <c r="H2073" s="2" t="s">
        <v>1400</v>
      </c>
      <c r="I2073" s="4" t="s">
        <v>68</v>
      </c>
      <c r="J2073" s="112">
        <f>IF($H2073&lt;&gt;"Y",0,ROUND(MIN(Dashboard!$R$24,IF(IFERROR(VLOOKUP($B2073,Dashboard!$Q$28:$S$60,2,FALSE),0)&gt;0,IFERROR(VLOOKUP($B2073,Dashboard!$Q$28:$S$60,2,FALSE),0),$Z2073*IF($U2073&lt;&gt;"",ROUND((Dashboard!$R$4/$U2073)*VLOOKUP($I2073,Dashboard!$Q$9:$R$13,2,FALSE)*IF(ISNUMBER(SEARCH("Duals",$B2073)),2,IF(ISNUMBER(SEARCH("Triples",$B2073)),3,IF(ISNUMBER(SEARCH("Quads",$B2073)),4,1))),2),ROUND(VLOOKUP($I2073,Dashboard!$Q$15:$R$20,2,FALSE)*IF($E2073="Red",Dashboard!$R$6,IF($E2073="Gold",Dashboard!$R$7,Dashboard!$R$5))*IF(ISNUMBER(SEARCH("Duals",$B2073)),2,IF(ISNUMBER(SEARCH("Triples",$B2073)),3,IF(ISNUMBER(SEARCH("Quads",$B2073)),4,1))),2))*IF(IFERROR(VLOOKUP($B2073,Dashboard!$Q$28:$S$60,3,FALSE),0)&gt;0,VLOOKUP($B2073,Dashboard!$Q$28:$S$60,3,FALSE),1))),0))</f>
        <v>17</v>
      </c>
      <c r="K2073" s="2" t="str">
        <f>IF('Autos - Singles'!D33="","",'Autos - Singles'!D33)</f>
        <v>d</v>
      </c>
      <c r="L2073" s="2">
        <f t="shared" si="416"/>
        <v>1</v>
      </c>
      <c r="M2073" s="2">
        <f t="shared" si="417"/>
        <v>0</v>
      </c>
      <c r="N2073" s="2">
        <f t="shared" si="418"/>
        <v>1</v>
      </c>
      <c r="O2073" s="2">
        <f t="shared" si="419"/>
        <v>0</v>
      </c>
      <c r="P2073" s="112">
        <f t="shared" si="420"/>
        <v>17</v>
      </c>
      <c r="Q2073" s="112">
        <f t="shared" si="421"/>
        <v>0</v>
      </c>
      <c r="R2073" s="53"/>
      <c r="S2073" s="53" t="str">
        <f t="shared" si="422"/>
        <v>Autos - Singles|Autographs|A-JU|Base</v>
      </c>
      <c r="T2073" s="57">
        <f>IF($S2073="","",IFERROR(VLOOKUP($S2073,'Pop Estimates (Non-#d)'!$N$2:$O$500,2,FALSE),""))</f>
        <v>130</v>
      </c>
      <c r="U2073" s="57">
        <f t="shared" si="423"/>
        <v>130</v>
      </c>
      <c r="V2073" s="53" t="str">
        <f t="shared" si="424"/>
        <v>A-Train</v>
      </c>
      <c r="W2073" s="53" t="str">
        <f t="shared" si="425"/>
        <v>A-Train</v>
      </c>
      <c r="X2073" s="53" t="str">
        <f t="shared" si="426"/>
        <v>A-Train</v>
      </c>
      <c r="Y2073" s="57">
        <f>IF($X2073="","",IFERROR(VLOOKUP($X2073,'Char Popularity'!$A$2:$C$500,2,FALSE),""))</f>
        <v>4</v>
      </c>
      <c r="Z2073" s="56">
        <f>IF($X2073="",1,IFERROR(VLOOKUP($X2073,'Char Popularity'!$A$2:$C$500,3,FALSE),1))</f>
        <v>1.1000000000000001</v>
      </c>
      <c r="AA2073" s="62">
        <f>IF($H2073&lt;&gt;"Y",0,(IF($F2073&lt;&gt;"",ROUND(Dashboard!$R$4/$F2073,1),IF(AND($I2073="Base",$E2073="Base"),Dashboard!$R$5,IF(AND($I2073="Base",$E2073="Red"),Dashboard!$R$6,IF(AND($I2073="Base",$E2073="Gold"),Dashboard!$R$7,VLOOKUP($I2073,Dashboard!$Q$16:$R$21,2,FALSE)))))*VLOOKUP($I2073,Dashboard!$Q$9:$R$13,2,FALSE)*IF(AND($I2073="Auto",$F2073="",OR($B2073="Autographs Duals",$B2073="Autographs Triples",$B2073="Autographs Quads",$B2073="Autographs Quads (Inscribed)")),IF($B2073="Autographs Duals",2,IF($B2073="Autographs Triples",3,4)),1)))</f>
        <v>50</v>
      </c>
      <c r="AB2073" s="62">
        <f t="shared" si="427"/>
        <v>50</v>
      </c>
      <c r="AC2073" s="62">
        <f t="shared" si="428"/>
        <v>0</v>
      </c>
    </row>
    <row r="2074" spans="1:29" ht="30" customHeight="1" x14ac:dyDescent="0.25">
      <c r="A2074" s="4" t="s">
        <v>37</v>
      </c>
      <c r="B2074" s="7" t="s">
        <v>214</v>
      </c>
      <c r="C2074" s="2" t="s">
        <v>269</v>
      </c>
      <c r="D2074" s="7" t="s">
        <v>270</v>
      </c>
      <c r="E2074" s="4" t="s">
        <v>60</v>
      </c>
      <c r="F2074" s="2"/>
      <c r="G2074" s="2" t="s">
        <v>1399</v>
      </c>
      <c r="H2074" s="2" t="s">
        <v>1400</v>
      </c>
      <c r="I2074" s="4" t="s">
        <v>68</v>
      </c>
      <c r="J2074" s="112">
        <f>IF($H2074&lt;&gt;"Y",0,ROUND(MIN(Dashboard!$R$24,IF(IFERROR(VLOOKUP($B2074,Dashboard!$Q$28:$S$60,2,FALSE),0)&gt;0,IFERROR(VLOOKUP($B2074,Dashboard!$Q$28:$S$60,2,FALSE),0),$Z2074*IF($U2074&lt;&gt;"",ROUND((Dashboard!$R$4/$U2074)*VLOOKUP($I2074,Dashboard!$Q$9:$R$13,2,FALSE)*IF(ISNUMBER(SEARCH("Duals",$B2074)),2,IF(ISNUMBER(SEARCH("Triples",$B2074)),3,IF(ISNUMBER(SEARCH("Quads",$B2074)),4,1))),2),ROUND(VLOOKUP($I2074,Dashboard!$Q$15:$R$20,2,FALSE)*IF($E2074="Red",Dashboard!$R$6,IF($E2074="Gold",Dashboard!$R$7,Dashboard!$R$5))*IF(ISNUMBER(SEARCH("Duals",$B2074)),2,IF(ISNUMBER(SEARCH("Triples",$B2074)),3,IF(ISNUMBER(SEARCH("Quads",$B2074)),4,1))),2))*IF(IFERROR(VLOOKUP($B2074,Dashboard!$Q$28:$S$60,3,FALSE),0)&gt;0,VLOOKUP($B2074,Dashboard!$Q$28:$S$60,3,FALSE),1))),0))</f>
        <v>17</v>
      </c>
      <c r="K2074" s="2" t="str">
        <f>IF('Autos - Singles'!D34="","",'Autos - Singles'!D34)</f>
        <v/>
      </c>
      <c r="L2074" s="2">
        <f t="shared" si="416"/>
        <v>0</v>
      </c>
      <c r="M2074" s="2">
        <f t="shared" si="417"/>
        <v>0</v>
      </c>
      <c r="N2074" s="2">
        <f t="shared" si="418"/>
        <v>0</v>
      </c>
      <c r="O2074" s="2">
        <f t="shared" si="419"/>
        <v>1</v>
      </c>
      <c r="P2074" s="112">
        <f t="shared" si="420"/>
        <v>0</v>
      </c>
      <c r="Q2074" s="112">
        <f t="shared" si="421"/>
        <v>0</v>
      </c>
      <c r="R2074" s="53"/>
      <c r="S2074" s="53" t="str">
        <f t="shared" si="422"/>
        <v>Autos - Singles|Autographs|A-KF|Base</v>
      </c>
      <c r="T2074" s="57">
        <f>IF($S2074="","",IFERROR(VLOOKUP($S2074,'Pop Estimates (Non-#d)'!$N$2:$O$500,2,FALSE),""))</f>
        <v>130</v>
      </c>
      <c r="U2074" s="57">
        <f t="shared" si="423"/>
        <v>130</v>
      </c>
      <c r="V2074" s="53" t="str">
        <f t="shared" si="424"/>
        <v>Kimiko</v>
      </c>
      <c r="W2074" s="53" t="str">
        <f t="shared" si="425"/>
        <v>Kimiko</v>
      </c>
      <c r="X2074" s="53" t="str">
        <f t="shared" si="426"/>
        <v>Kimiko</v>
      </c>
      <c r="Y2074" s="57">
        <f>IF($X2074="","",IFERROR(VLOOKUP($X2074,'Char Popularity'!$A$2:$C$500,2,FALSE),""))</f>
        <v>4</v>
      </c>
      <c r="Z2074" s="56">
        <f>IF($X2074="",1,IFERROR(VLOOKUP($X2074,'Char Popularity'!$A$2:$C$500,3,FALSE),1))</f>
        <v>1.1000000000000001</v>
      </c>
      <c r="AA2074" s="62">
        <f>IF($H2074&lt;&gt;"Y",0,(IF($F2074&lt;&gt;"",ROUND(Dashboard!$R$4/$F2074,1),IF(AND($I2074="Base",$E2074="Base"),Dashboard!$R$5,IF(AND($I2074="Base",$E2074="Red"),Dashboard!$R$6,IF(AND($I2074="Base",$E2074="Gold"),Dashboard!$R$7,VLOOKUP($I2074,Dashboard!$Q$16:$R$21,2,FALSE)))))*VLOOKUP($I2074,Dashboard!$Q$9:$R$13,2,FALSE)*IF(AND($I2074="Auto",$F2074="",OR($B2074="Autographs Duals",$B2074="Autographs Triples",$B2074="Autographs Quads",$B2074="Autographs Quads (Inscribed)")),IF($B2074="Autographs Duals",2,IF($B2074="Autographs Triples",3,4)),1)))</f>
        <v>50</v>
      </c>
      <c r="AB2074" s="62">
        <f t="shared" si="427"/>
        <v>0</v>
      </c>
      <c r="AC2074" s="62">
        <f t="shared" si="428"/>
        <v>0</v>
      </c>
    </row>
    <row r="2075" spans="1:29" ht="30" customHeight="1" x14ac:dyDescent="0.25">
      <c r="A2075" s="4" t="s">
        <v>37</v>
      </c>
      <c r="B2075" s="7" t="s">
        <v>214</v>
      </c>
      <c r="C2075" s="2" t="s">
        <v>271</v>
      </c>
      <c r="D2075" s="7" t="s">
        <v>270</v>
      </c>
      <c r="E2075" s="4" t="s">
        <v>60</v>
      </c>
      <c r="F2075" s="2"/>
      <c r="G2075" s="2" t="s">
        <v>1399</v>
      </c>
      <c r="H2075" s="2" t="s">
        <v>1400</v>
      </c>
      <c r="I2075" s="4" t="s">
        <v>68</v>
      </c>
      <c r="J2075" s="112">
        <f>IF($H2075&lt;&gt;"Y",0,ROUND(MIN(Dashboard!$R$24,IF(IFERROR(VLOOKUP($B2075,Dashboard!$Q$28:$S$60,2,FALSE),0)&gt;0,IFERROR(VLOOKUP($B2075,Dashboard!$Q$28:$S$60,2,FALSE),0),$Z2075*IF($U2075&lt;&gt;"",ROUND((Dashboard!$R$4/$U2075)*VLOOKUP($I2075,Dashboard!$Q$9:$R$13,2,FALSE)*IF(ISNUMBER(SEARCH("Duals",$B2075)),2,IF(ISNUMBER(SEARCH("Triples",$B2075)),3,IF(ISNUMBER(SEARCH("Quads",$B2075)),4,1))),2),ROUND(VLOOKUP($I2075,Dashboard!$Q$15:$R$20,2,FALSE)*IF($E2075="Red",Dashboard!$R$6,IF($E2075="Gold",Dashboard!$R$7,Dashboard!$R$5))*IF(ISNUMBER(SEARCH("Duals",$B2075)),2,IF(ISNUMBER(SEARCH("Triples",$B2075)),3,IF(ISNUMBER(SEARCH("Quads",$B2075)),4,1))),2))*IF(IFERROR(VLOOKUP($B2075,Dashboard!$Q$28:$S$60,3,FALSE),0)&gt;0,VLOOKUP($B2075,Dashboard!$Q$28:$S$60,3,FALSE),1))),0))</f>
        <v>17</v>
      </c>
      <c r="K2075" s="2" t="str">
        <f>IF('Autos - Singles'!D35="","",'Autos - Singles'!D35)</f>
        <v>V</v>
      </c>
      <c r="L2075" s="2">
        <f t="shared" si="416"/>
        <v>1</v>
      </c>
      <c r="M2075" s="2">
        <f t="shared" si="417"/>
        <v>0</v>
      </c>
      <c r="N2075" s="2">
        <f t="shared" si="418"/>
        <v>1</v>
      </c>
      <c r="O2075" s="2">
        <f t="shared" si="419"/>
        <v>0</v>
      </c>
      <c r="P2075" s="112">
        <f t="shared" si="420"/>
        <v>17</v>
      </c>
      <c r="Q2075" s="112">
        <f t="shared" si="421"/>
        <v>0</v>
      </c>
      <c r="R2075" s="53"/>
      <c r="S2075" s="53" t="str">
        <f t="shared" si="422"/>
        <v>Autos - Singles|Autographs|A-KK|Base</v>
      </c>
      <c r="T2075" s="57">
        <f>IF($S2075="","",IFERROR(VLOOKUP($S2075,'Pop Estimates (Non-#d)'!$N$2:$O$500,2,FALSE),""))</f>
        <v>130</v>
      </c>
      <c r="U2075" s="57">
        <f t="shared" si="423"/>
        <v>130</v>
      </c>
      <c r="V2075" s="53" t="str">
        <f t="shared" si="424"/>
        <v>Kimiko</v>
      </c>
      <c r="W2075" s="53" t="str">
        <f t="shared" si="425"/>
        <v>Kimiko</v>
      </c>
      <c r="X2075" s="53" t="str">
        <f t="shared" si="426"/>
        <v>Kimiko</v>
      </c>
      <c r="Y2075" s="57">
        <f>IF($X2075="","",IFERROR(VLOOKUP($X2075,'Char Popularity'!$A$2:$C$500,2,FALSE),""))</f>
        <v>4</v>
      </c>
      <c r="Z2075" s="56">
        <f>IF($X2075="",1,IFERROR(VLOOKUP($X2075,'Char Popularity'!$A$2:$C$500,3,FALSE),1))</f>
        <v>1.1000000000000001</v>
      </c>
      <c r="AA2075" s="62">
        <f>IF($H2075&lt;&gt;"Y",0,(IF($F2075&lt;&gt;"",ROUND(Dashboard!$R$4/$F2075,1),IF(AND($I2075="Base",$E2075="Base"),Dashboard!$R$5,IF(AND($I2075="Base",$E2075="Red"),Dashboard!$R$6,IF(AND($I2075="Base",$E2075="Gold"),Dashboard!$R$7,VLOOKUP($I2075,Dashboard!$Q$16:$R$21,2,FALSE)))))*VLOOKUP($I2075,Dashboard!$Q$9:$R$13,2,FALSE)*IF(AND($I2075="Auto",$F2075="",OR($B2075="Autographs Duals",$B2075="Autographs Triples",$B2075="Autographs Quads",$B2075="Autographs Quads (Inscribed)")),IF($B2075="Autographs Duals",2,IF($B2075="Autographs Triples",3,4)),1)))</f>
        <v>50</v>
      </c>
      <c r="AB2075" s="62">
        <f t="shared" si="427"/>
        <v>50</v>
      </c>
      <c r="AC2075" s="62">
        <f t="shared" si="428"/>
        <v>0</v>
      </c>
    </row>
    <row r="2076" spans="1:29" ht="30" customHeight="1" x14ac:dyDescent="0.25">
      <c r="A2076" s="4" t="s">
        <v>37</v>
      </c>
      <c r="B2076" s="7" t="s">
        <v>214</v>
      </c>
      <c r="C2076" s="2" t="s">
        <v>272</v>
      </c>
      <c r="D2076" s="7" t="s">
        <v>270</v>
      </c>
      <c r="E2076" s="4" t="s">
        <v>60</v>
      </c>
      <c r="F2076" s="2"/>
      <c r="G2076" s="2" t="s">
        <v>1399</v>
      </c>
      <c r="H2076" s="2" t="s">
        <v>1400</v>
      </c>
      <c r="I2076" s="4" t="s">
        <v>68</v>
      </c>
      <c r="J2076" s="112">
        <f>IF($H2076&lt;&gt;"Y",0,ROUND(MIN(Dashboard!$R$24,IF(IFERROR(VLOOKUP($B2076,Dashboard!$Q$28:$S$60,2,FALSE),0)&gt;0,IFERROR(VLOOKUP($B2076,Dashboard!$Q$28:$S$60,2,FALSE),0),$Z2076*IF($U2076&lt;&gt;"",ROUND((Dashboard!$R$4/$U2076)*VLOOKUP($I2076,Dashboard!$Q$9:$R$13,2,FALSE)*IF(ISNUMBER(SEARCH("Duals",$B2076)),2,IF(ISNUMBER(SEARCH("Triples",$B2076)),3,IF(ISNUMBER(SEARCH("Quads",$B2076)),4,1))),2),ROUND(VLOOKUP($I2076,Dashboard!$Q$15:$R$20,2,FALSE)*IF($E2076="Red",Dashboard!$R$6,IF($E2076="Gold",Dashboard!$R$7,Dashboard!$R$5))*IF(ISNUMBER(SEARCH("Duals",$B2076)),2,IF(ISNUMBER(SEARCH("Triples",$B2076)),3,IF(ISNUMBER(SEARCH("Quads",$B2076)),4,1))),2))*IF(IFERROR(VLOOKUP($B2076,Dashboard!$Q$28:$S$60,3,FALSE),0)&gt;0,VLOOKUP($B2076,Dashboard!$Q$28:$S$60,3,FALSE),1))),0))</f>
        <v>17</v>
      </c>
      <c r="K2076" s="2" t="str">
        <f>IF('Autos - Singles'!D36="","",'Autos - Singles'!D36)</f>
        <v/>
      </c>
      <c r="L2076" s="2">
        <f t="shared" si="416"/>
        <v>0</v>
      </c>
      <c r="M2076" s="2">
        <f t="shared" si="417"/>
        <v>0</v>
      </c>
      <c r="N2076" s="2">
        <f t="shared" si="418"/>
        <v>0</v>
      </c>
      <c r="O2076" s="2">
        <f t="shared" si="419"/>
        <v>1</v>
      </c>
      <c r="P2076" s="112">
        <f t="shared" si="420"/>
        <v>0</v>
      </c>
      <c r="Q2076" s="112">
        <f t="shared" si="421"/>
        <v>0</v>
      </c>
      <c r="R2076" s="53"/>
      <c r="S2076" s="53" t="str">
        <f t="shared" si="422"/>
        <v>Autos - Singles|Autographs|A-KR|Base</v>
      </c>
      <c r="T2076" s="57">
        <f>IF($S2076="","",IFERROR(VLOOKUP($S2076,'Pop Estimates (Non-#d)'!$N$2:$O$500,2,FALSE),""))</f>
        <v>130</v>
      </c>
      <c r="U2076" s="57">
        <f t="shared" si="423"/>
        <v>130</v>
      </c>
      <c r="V2076" s="53" t="str">
        <f t="shared" si="424"/>
        <v>Kimiko</v>
      </c>
      <c r="W2076" s="53" t="str">
        <f t="shared" si="425"/>
        <v>Kimiko</v>
      </c>
      <c r="X2076" s="53" t="str">
        <f t="shared" si="426"/>
        <v>Kimiko</v>
      </c>
      <c r="Y2076" s="57">
        <f>IF($X2076="","",IFERROR(VLOOKUP($X2076,'Char Popularity'!$A$2:$C$500,2,FALSE),""))</f>
        <v>4</v>
      </c>
      <c r="Z2076" s="56">
        <f>IF($X2076="",1,IFERROR(VLOOKUP($X2076,'Char Popularity'!$A$2:$C$500,3,FALSE),1))</f>
        <v>1.1000000000000001</v>
      </c>
      <c r="AA2076" s="62">
        <f>IF($H2076&lt;&gt;"Y",0,(IF($F2076&lt;&gt;"",ROUND(Dashboard!$R$4/$F2076,1),IF(AND($I2076="Base",$E2076="Base"),Dashboard!$R$5,IF(AND($I2076="Base",$E2076="Red"),Dashboard!$R$6,IF(AND($I2076="Base",$E2076="Gold"),Dashboard!$R$7,VLOOKUP($I2076,Dashboard!$Q$16:$R$21,2,FALSE)))))*VLOOKUP($I2076,Dashboard!$Q$9:$R$13,2,FALSE)*IF(AND($I2076="Auto",$F2076="",OR($B2076="Autographs Duals",$B2076="Autographs Triples",$B2076="Autographs Quads",$B2076="Autographs Quads (Inscribed)")),IF($B2076="Autographs Duals",2,IF($B2076="Autographs Triples",3,4)),1)))</f>
        <v>50</v>
      </c>
      <c r="AB2076" s="62">
        <f t="shared" si="427"/>
        <v>0</v>
      </c>
      <c r="AC2076" s="62">
        <f t="shared" si="428"/>
        <v>0</v>
      </c>
    </row>
    <row r="2077" spans="1:29" ht="30" customHeight="1" x14ac:dyDescent="0.25">
      <c r="A2077" s="4" t="s">
        <v>37</v>
      </c>
      <c r="B2077" s="7" t="s">
        <v>214</v>
      </c>
      <c r="C2077" s="2" t="s">
        <v>273</v>
      </c>
      <c r="D2077" s="7" t="s">
        <v>274</v>
      </c>
      <c r="E2077" s="4" t="s">
        <v>60</v>
      </c>
      <c r="F2077" s="2"/>
      <c r="G2077" s="2" t="s">
        <v>1399</v>
      </c>
      <c r="H2077" s="2" t="s">
        <v>1400</v>
      </c>
      <c r="I2077" s="4" t="s">
        <v>68</v>
      </c>
      <c r="J2077" s="112">
        <f>IF($H2077&lt;&gt;"Y",0,ROUND(MIN(Dashboard!$R$24,IF(IFERROR(VLOOKUP($B2077,Dashboard!$Q$28:$S$60,2,FALSE),0)&gt;0,IFERROR(VLOOKUP($B2077,Dashboard!$Q$28:$S$60,2,FALSE),0),$Z2077*IF($U2077&lt;&gt;"",ROUND((Dashboard!$R$4/$U2077)*VLOOKUP($I2077,Dashboard!$Q$9:$R$13,2,FALSE)*IF(ISNUMBER(SEARCH("Duals",$B2077)),2,IF(ISNUMBER(SEARCH("Triples",$B2077)),3,IF(ISNUMBER(SEARCH("Quads",$B2077)),4,1))),2),ROUND(VLOOKUP($I2077,Dashboard!$Q$15:$R$20,2,FALSE)*IF($E2077="Red",Dashboard!$R$6,IF($E2077="Gold",Dashboard!$R$7,Dashboard!$R$5))*IF(ISNUMBER(SEARCH("Duals",$B2077)),2,IF(ISNUMBER(SEARCH("Triples",$B2077)),3,IF(ISNUMBER(SEARCH("Quads",$B2077)),4,1))),2))*IF(IFERROR(VLOOKUP($B2077,Dashboard!$Q$28:$S$60,3,FALSE),0)&gt;0,VLOOKUP($B2077,Dashboard!$Q$28:$S$60,3,FALSE),1))),0))</f>
        <v>18</v>
      </c>
      <c r="K2077" s="2" t="str">
        <f>IF('Autos - Singles'!D37="","",'Autos - Singles'!D37)</f>
        <v/>
      </c>
      <c r="L2077" s="2">
        <f t="shared" si="416"/>
        <v>0</v>
      </c>
      <c r="M2077" s="2">
        <f t="shared" si="417"/>
        <v>0</v>
      </c>
      <c r="N2077" s="2">
        <f t="shared" si="418"/>
        <v>0</v>
      </c>
      <c r="O2077" s="2">
        <f t="shared" si="419"/>
        <v>1</v>
      </c>
      <c r="P2077" s="112">
        <f t="shared" si="420"/>
        <v>0</v>
      </c>
      <c r="Q2077" s="112">
        <f t="shared" si="421"/>
        <v>0</v>
      </c>
      <c r="R2077" s="53"/>
      <c r="S2077" s="53" t="str">
        <f t="shared" si="422"/>
        <v>Autos - Singles|Autographs|A-KU|Base</v>
      </c>
      <c r="T2077" s="57">
        <f>IF($S2077="","",IFERROR(VLOOKUP($S2077,'Pop Estimates (Non-#d)'!$N$2:$O$500,2,FALSE),""))</f>
        <v>130</v>
      </c>
      <c r="U2077" s="57">
        <f t="shared" si="423"/>
        <v>130</v>
      </c>
      <c r="V2077" s="53" t="str">
        <f t="shared" si="424"/>
        <v>Billy Butcher</v>
      </c>
      <c r="W2077" s="53" t="str">
        <f t="shared" si="425"/>
        <v>Billy Butcher</v>
      </c>
      <c r="X2077" s="53" t="str">
        <f t="shared" si="426"/>
        <v>Billy Butcher</v>
      </c>
      <c r="Y2077" s="57">
        <f>IF($X2077="","",IFERROR(VLOOKUP($X2077,'Char Popularity'!$A$2:$C$500,2,FALSE),""))</f>
        <v>5</v>
      </c>
      <c r="Z2077" s="56">
        <f>IF($X2077="",1,IFERROR(VLOOKUP($X2077,'Char Popularity'!$A$2:$C$500,3,FALSE),1))</f>
        <v>1.2</v>
      </c>
      <c r="AA2077" s="62">
        <f>IF($H2077&lt;&gt;"Y",0,(IF($F2077&lt;&gt;"",ROUND(Dashboard!$R$4/$F2077,1),IF(AND($I2077="Base",$E2077="Base"),Dashboard!$R$5,IF(AND($I2077="Base",$E2077="Red"),Dashboard!$R$6,IF(AND($I2077="Base",$E2077="Gold"),Dashboard!$R$7,VLOOKUP($I2077,Dashboard!$Q$16:$R$21,2,FALSE)))))*VLOOKUP($I2077,Dashboard!$Q$9:$R$13,2,FALSE)*IF(AND($I2077="Auto",$F2077="",OR($B2077="Autographs Duals",$B2077="Autographs Triples",$B2077="Autographs Quads",$B2077="Autographs Quads (Inscribed)")),IF($B2077="Autographs Duals",2,IF($B2077="Autographs Triples",3,4)),1)))</f>
        <v>50</v>
      </c>
      <c r="AB2077" s="62">
        <f t="shared" si="427"/>
        <v>0</v>
      </c>
      <c r="AC2077" s="62">
        <f t="shared" si="428"/>
        <v>0</v>
      </c>
    </row>
    <row r="2078" spans="1:29" ht="30" customHeight="1" x14ac:dyDescent="0.25">
      <c r="A2078" s="4" t="s">
        <v>37</v>
      </c>
      <c r="B2078" s="7" t="s">
        <v>214</v>
      </c>
      <c r="C2078" s="2" t="s">
        <v>275</v>
      </c>
      <c r="D2078" s="7" t="s">
        <v>276</v>
      </c>
      <c r="E2078" s="4" t="s">
        <v>60</v>
      </c>
      <c r="F2078" s="2"/>
      <c r="G2078" s="2" t="s">
        <v>1399</v>
      </c>
      <c r="H2078" s="2" t="s">
        <v>1400</v>
      </c>
      <c r="I2078" s="4" t="s">
        <v>68</v>
      </c>
      <c r="J2078" s="112">
        <f>IF($H2078&lt;&gt;"Y",0,ROUND(MIN(Dashboard!$R$24,IF(IFERROR(VLOOKUP($B2078,Dashboard!$Q$28:$S$60,2,FALSE),0)&gt;0,IFERROR(VLOOKUP($B2078,Dashboard!$Q$28:$S$60,2,FALSE),0),$Z2078*IF($U2078&lt;&gt;"",ROUND((Dashboard!$R$4/$U2078)*VLOOKUP($I2078,Dashboard!$Q$9:$R$13,2,FALSE)*IF(ISNUMBER(SEARCH("Duals",$B2078)),2,IF(ISNUMBER(SEARCH("Triples",$B2078)),3,IF(ISNUMBER(SEARCH("Quads",$B2078)),4,1))),2),ROUND(VLOOKUP($I2078,Dashboard!$Q$15:$R$20,2,FALSE)*IF($E2078="Red",Dashboard!$R$6,IF($E2078="Gold",Dashboard!$R$7,Dashboard!$R$5))*IF(ISNUMBER(SEARCH("Duals",$B2078)),2,IF(ISNUMBER(SEARCH("Triples",$B2078)),3,IF(ISNUMBER(SEARCH("Quads",$B2078)),4,1))),2))*IF(IFERROR(VLOOKUP($B2078,Dashboard!$Q$28:$S$60,3,FALSE),0)&gt;0,VLOOKUP($B2078,Dashboard!$Q$28:$S$60,3,FALSE),1))),0))</f>
        <v>17</v>
      </c>
      <c r="K2078" s="2" t="str">
        <f>IF('Autos - Singles'!D38="","",'Autos - Singles'!D38)</f>
        <v>V</v>
      </c>
      <c r="L2078" s="2">
        <f t="shared" si="416"/>
        <v>1</v>
      </c>
      <c r="M2078" s="2">
        <f t="shared" si="417"/>
        <v>0</v>
      </c>
      <c r="N2078" s="2">
        <f t="shared" si="418"/>
        <v>1</v>
      </c>
      <c r="O2078" s="2">
        <f t="shared" si="419"/>
        <v>0</v>
      </c>
      <c r="P2078" s="112">
        <f t="shared" si="420"/>
        <v>17</v>
      </c>
      <c r="Q2078" s="112">
        <f t="shared" si="421"/>
        <v>0</v>
      </c>
      <c r="R2078" s="53"/>
      <c r="S2078" s="53" t="str">
        <f t="shared" si="422"/>
        <v>Autos - Singles|Autographs|A-LA|Base</v>
      </c>
      <c r="T2078" s="57">
        <f>IF($S2078="","",IFERROR(VLOOKUP($S2078,'Pop Estimates (Non-#d)'!$N$2:$O$500,2,FALSE),""))</f>
        <v>130</v>
      </c>
      <c r="U2078" s="57">
        <f t="shared" si="423"/>
        <v>130</v>
      </c>
      <c r="V2078" s="53" t="str">
        <f t="shared" si="424"/>
        <v>Mother's Milk</v>
      </c>
      <c r="W2078" s="53" t="str">
        <f t="shared" si="425"/>
        <v>Mother's Milk</v>
      </c>
      <c r="X2078" s="53" t="str">
        <f t="shared" si="426"/>
        <v>Mother's Milk</v>
      </c>
      <c r="Y2078" s="57">
        <f>IF($X2078="","",IFERROR(VLOOKUP($X2078,'Char Popularity'!$A$2:$C$500,2,FALSE),""))</f>
        <v>4</v>
      </c>
      <c r="Z2078" s="56">
        <f>IF($X2078="",1,IFERROR(VLOOKUP($X2078,'Char Popularity'!$A$2:$C$500,3,FALSE),1))</f>
        <v>1.1000000000000001</v>
      </c>
      <c r="AA2078" s="62">
        <f>IF($H2078&lt;&gt;"Y",0,(IF($F2078&lt;&gt;"",ROUND(Dashboard!$R$4/$F2078,1),IF(AND($I2078="Base",$E2078="Base"),Dashboard!$R$5,IF(AND($I2078="Base",$E2078="Red"),Dashboard!$R$6,IF(AND($I2078="Base",$E2078="Gold"),Dashboard!$R$7,VLOOKUP($I2078,Dashboard!$Q$16:$R$21,2,FALSE)))))*VLOOKUP($I2078,Dashboard!$Q$9:$R$13,2,FALSE)*IF(AND($I2078="Auto",$F2078="",OR($B2078="Autographs Duals",$B2078="Autographs Triples",$B2078="Autographs Quads",$B2078="Autographs Quads (Inscribed)")),IF($B2078="Autographs Duals",2,IF($B2078="Autographs Triples",3,4)),1)))</f>
        <v>50</v>
      </c>
      <c r="AB2078" s="62">
        <f t="shared" si="427"/>
        <v>50</v>
      </c>
      <c r="AC2078" s="62">
        <f t="shared" si="428"/>
        <v>0</v>
      </c>
    </row>
    <row r="2079" spans="1:29" ht="30" customHeight="1" x14ac:dyDescent="0.25">
      <c r="A2079" s="4" t="s">
        <v>37</v>
      </c>
      <c r="B2079" s="7" t="s">
        <v>214</v>
      </c>
      <c r="C2079" s="2" t="s">
        <v>277</v>
      </c>
      <c r="D2079" s="7" t="s">
        <v>260</v>
      </c>
      <c r="E2079" s="4" t="s">
        <v>60</v>
      </c>
      <c r="F2079" s="2"/>
      <c r="G2079" s="2" t="s">
        <v>1399</v>
      </c>
      <c r="H2079" s="2" t="s">
        <v>1400</v>
      </c>
      <c r="I2079" s="4" t="s">
        <v>68</v>
      </c>
      <c r="J2079" s="112">
        <f>IF($H2079&lt;&gt;"Y",0,ROUND(MIN(Dashboard!$R$24,IF(IFERROR(VLOOKUP($B2079,Dashboard!$Q$28:$S$60,2,FALSE),0)&gt;0,IFERROR(VLOOKUP($B2079,Dashboard!$Q$28:$S$60,2,FALSE),0),$Z2079*IF($U2079&lt;&gt;"",ROUND((Dashboard!$R$4/$U2079)*VLOOKUP($I2079,Dashboard!$Q$9:$R$13,2,FALSE)*IF(ISNUMBER(SEARCH("Duals",$B2079)),2,IF(ISNUMBER(SEARCH("Triples",$B2079)),3,IF(ISNUMBER(SEARCH("Quads",$B2079)),4,1))),2),ROUND(VLOOKUP($I2079,Dashboard!$Q$15:$R$20,2,FALSE)*IF($E2079="Red",Dashboard!$R$6,IF($E2079="Gold",Dashboard!$R$7,Dashboard!$R$5))*IF(ISNUMBER(SEARCH("Duals",$B2079)),2,IF(ISNUMBER(SEARCH("Triples",$B2079)),3,IF(ISNUMBER(SEARCH("Quads",$B2079)),4,1))),2))*IF(IFERROR(VLOOKUP($B2079,Dashboard!$Q$28:$S$60,3,FALSE),0)&gt;0,VLOOKUP($B2079,Dashboard!$Q$28:$S$60,3,FALSE),1))),0))</f>
        <v>15</v>
      </c>
      <c r="K2079" s="2" t="str">
        <f>IF('Autos - Singles'!D39="","",'Autos - Singles'!D39)</f>
        <v>C</v>
      </c>
      <c r="L2079" s="2">
        <f t="shared" si="416"/>
        <v>1</v>
      </c>
      <c r="M2079" s="2">
        <f t="shared" si="417"/>
        <v>0</v>
      </c>
      <c r="N2079" s="2">
        <f t="shared" si="418"/>
        <v>1</v>
      </c>
      <c r="O2079" s="2">
        <f t="shared" si="419"/>
        <v>0</v>
      </c>
      <c r="P2079" s="112">
        <f t="shared" si="420"/>
        <v>15</v>
      </c>
      <c r="Q2079" s="112">
        <f t="shared" si="421"/>
        <v>0</v>
      </c>
      <c r="R2079" s="53"/>
      <c r="S2079" s="53" t="str">
        <f t="shared" si="422"/>
        <v>Autos - Singles|Autographs|A-LJ|Base</v>
      </c>
      <c r="T2079" s="57">
        <f>IF($S2079="","",IFERROR(VLOOKUP($S2079,'Pop Estimates (Non-#d)'!$N$2:$O$500,2,FALSE),""))</f>
        <v>130</v>
      </c>
      <c r="U2079" s="57">
        <f t="shared" si="423"/>
        <v>130</v>
      </c>
      <c r="V2079" s="53" t="str">
        <f t="shared" si="424"/>
        <v>Cherie</v>
      </c>
      <c r="W2079" s="53" t="str">
        <f t="shared" si="425"/>
        <v>Cherie</v>
      </c>
      <c r="X2079" s="53" t="str">
        <f t="shared" si="426"/>
        <v>Cherie</v>
      </c>
      <c r="Y2079" s="57">
        <f>IF($X2079="","",IFERROR(VLOOKUP($X2079,'Char Popularity'!$A$2:$C$500,2,FALSE),""))</f>
        <v>3</v>
      </c>
      <c r="Z2079" s="56">
        <f>IF($X2079="",1,IFERROR(VLOOKUP($X2079,'Char Popularity'!$A$2:$C$500,3,FALSE),1))</f>
        <v>1</v>
      </c>
      <c r="AA2079" s="62">
        <f>IF($H2079&lt;&gt;"Y",0,(IF($F2079&lt;&gt;"",ROUND(Dashboard!$R$4/$F2079,1),IF(AND($I2079="Base",$E2079="Base"),Dashboard!$R$5,IF(AND($I2079="Base",$E2079="Red"),Dashboard!$R$6,IF(AND($I2079="Base",$E2079="Gold"),Dashboard!$R$7,VLOOKUP($I2079,Dashboard!$Q$16:$R$21,2,FALSE)))))*VLOOKUP($I2079,Dashboard!$Q$9:$R$13,2,FALSE)*IF(AND($I2079="Auto",$F2079="",OR($B2079="Autographs Duals",$B2079="Autographs Triples",$B2079="Autographs Quads",$B2079="Autographs Quads (Inscribed)")),IF($B2079="Autographs Duals",2,IF($B2079="Autographs Triples",3,4)),1)))</f>
        <v>50</v>
      </c>
      <c r="AB2079" s="62">
        <f t="shared" si="427"/>
        <v>50</v>
      </c>
      <c r="AC2079" s="62">
        <f t="shared" si="428"/>
        <v>0</v>
      </c>
    </row>
    <row r="2080" spans="1:29" ht="30" customHeight="1" x14ac:dyDescent="0.25">
      <c r="A2080" s="4" t="s">
        <v>37</v>
      </c>
      <c r="B2080" s="7" t="s">
        <v>214</v>
      </c>
      <c r="C2080" s="2" t="s">
        <v>278</v>
      </c>
      <c r="D2080" s="7" t="s">
        <v>216</v>
      </c>
      <c r="E2080" s="4" t="s">
        <v>60</v>
      </c>
      <c r="F2080" s="2"/>
      <c r="G2080" s="2" t="s">
        <v>1399</v>
      </c>
      <c r="H2080" s="2" t="s">
        <v>1400</v>
      </c>
      <c r="I2080" s="4" t="s">
        <v>68</v>
      </c>
      <c r="J2080" s="112">
        <f>IF($H2080&lt;&gt;"Y",0,ROUND(MIN(Dashboard!$R$24,IF(IFERROR(VLOOKUP($B2080,Dashboard!$Q$28:$S$60,2,FALSE),0)&gt;0,IFERROR(VLOOKUP($B2080,Dashboard!$Q$28:$S$60,2,FALSE),0),$Z2080*IF($U2080&lt;&gt;"",ROUND((Dashboard!$R$4/$U2080)*VLOOKUP($I2080,Dashboard!$Q$9:$R$13,2,FALSE)*IF(ISNUMBER(SEARCH("Duals",$B2080)),2,IF(ISNUMBER(SEARCH("Triples",$B2080)),3,IF(ISNUMBER(SEARCH("Quads",$B2080)),4,1))),2),ROUND(VLOOKUP($I2080,Dashboard!$Q$15:$R$20,2,FALSE)*IF($E2080="Red",Dashboard!$R$6,IF($E2080="Gold",Dashboard!$R$7,Dashboard!$R$5))*IF(ISNUMBER(SEARCH("Duals",$B2080)),2,IF(ISNUMBER(SEARCH("Triples",$B2080)),3,IF(ISNUMBER(SEARCH("Quads",$B2080)),4,1))),2))*IF(IFERROR(VLOOKUP($B2080,Dashboard!$Q$28:$S$60,3,FALSE),0)&gt;0,VLOOKUP($B2080,Dashboard!$Q$28:$S$60,3,FALSE),1))),0))</f>
        <v>14</v>
      </c>
      <c r="K2080" s="2" t="str">
        <f>IF('Autos - Singles'!D40="","",'Autos - Singles'!D40)</f>
        <v/>
      </c>
      <c r="L2080" s="2">
        <f t="shared" si="416"/>
        <v>0</v>
      </c>
      <c r="M2080" s="2">
        <f t="shared" si="417"/>
        <v>0</v>
      </c>
      <c r="N2080" s="2">
        <f t="shared" si="418"/>
        <v>0</v>
      </c>
      <c r="O2080" s="2">
        <f t="shared" si="419"/>
        <v>1</v>
      </c>
      <c r="P2080" s="112">
        <f t="shared" si="420"/>
        <v>0</v>
      </c>
      <c r="Q2080" s="112">
        <f t="shared" si="421"/>
        <v>0</v>
      </c>
      <c r="R2080" s="53"/>
      <c r="S2080" s="53" t="str">
        <f t="shared" si="422"/>
        <v>Autos - Singles|Autographs|A-LL|Base</v>
      </c>
      <c r="T2080" s="57">
        <f>IF($S2080="","",IFERROR(VLOOKUP($S2080,'Pop Estimates (Non-#d)'!$N$2:$O$500,2,FALSE),""))</f>
        <v>130</v>
      </c>
      <c r="U2080" s="57">
        <f t="shared" si="423"/>
        <v>130</v>
      </c>
      <c r="V2080" s="53" t="str">
        <f t="shared" si="424"/>
        <v>Translucent</v>
      </c>
      <c r="W2080" s="53" t="str">
        <f t="shared" si="425"/>
        <v>Translucent</v>
      </c>
      <c r="X2080" s="53" t="str">
        <f t="shared" si="426"/>
        <v>Translucent</v>
      </c>
      <c r="Y2080" s="57">
        <f>IF($X2080="","",IFERROR(VLOOKUP($X2080,'Char Popularity'!$A$2:$C$500,2,FALSE),""))</f>
        <v>2</v>
      </c>
      <c r="Z2080" s="56">
        <f>IF($X2080="",1,IFERROR(VLOOKUP($X2080,'Char Popularity'!$A$2:$C$500,3,FALSE),1))</f>
        <v>0.9</v>
      </c>
      <c r="AA2080" s="62">
        <f>IF($H2080&lt;&gt;"Y",0,(IF($F2080&lt;&gt;"",ROUND(Dashboard!$R$4/$F2080,1),IF(AND($I2080="Base",$E2080="Base"),Dashboard!$R$5,IF(AND($I2080="Base",$E2080="Red"),Dashboard!$R$6,IF(AND($I2080="Base",$E2080="Gold"),Dashboard!$R$7,VLOOKUP($I2080,Dashboard!$Q$16:$R$21,2,FALSE)))))*VLOOKUP($I2080,Dashboard!$Q$9:$R$13,2,FALSE)*IF(AND($I2080="Auto",$F2080="",OR($B2080="Autographs Duals",$B2080="Autographs Triples",$B2080="Autographs Quads",$B2080="Autographs Quads (Inscribed)")),IF($B2080="Autographs Duals",2,IF($B2080="Autographs Triples",3,4)),1)))</f>
        <v>50</v>
      </c>
      <c r="AB2080" s="62">
        <f t="shared" si="427"/>
        <v>0</v>
      </c>
      <c r="AC2080" s="62">
        <f t="shared" si="428"/>
        <v>0</v>
      </c>
    </row>
    <row r="2081" spans="1:29" ht="30" customHeight="1" x14ac:dyDescent="0.25">
      <c r="A2081" s="4" t="s">
        <v>37</v>
      </c>
      <c r="B2081" s="7" t="s">
        <v>214</v>
      </c>
      <c r="C2081" s="2" t="s">
        <v>279</v>
      </c>
      <c r="D2081" s="7" t="s">
        <v>280</v>
      </c>
      <c r="E2081" s="4" t="s">
        <v>60</v>
      </c>
      <c r="F2081" s="2"/>
      <c r="G2081" s="2" t="s">
        <v>1399</v>
      </c>
      <c r="H2081" s="2" t="s">
        <v>1400</v>
      </c>
      <c r="I2081" s="4" t="s">
        <v>68</v>
      </c>
      <c r="J2081" s="112">
        <f>IF($H2081&lt;&gt;"Y",0,ROUND(MIN(Dashboard!$R$24,IF(IFERROR(VLOOKUP($B2081,Dashboard!$Q$28:$S$60,2,FALSE),0)&gt;0,IFERROR(VLOOKUP($B2081,Dashboard!$Q$28:$S$60,2,FALSE),0),$Z2081*IF($U2081&lt;&gt;"",ROUND((Dashboard!$R$4/$U2081)*VLOOKUP($I2081,Dashboard!$Q$9:$R$13,2,FALSE)*IF(ISNUMBER(SEARCH("Duals",$B2081)),2,IF(ISNUMBER(SEARCH("Triples",$B2081)),3,IF(ISNUMBER(SEARCH("Quads",$B2081)),4,1))),2),ROUND(VLOOKUP($I2081,Dashboard!$Q$15:$R$20,2,FALSE)*IF($E2081="Red",Dashboard!$R$6,IF($E2081="Gold",Dashboard!$R$7,Dashboard!$R$5))*IF(ISNUMBER(SEARCH("Duals",$B2081)),2,IF(ISNUMBER(SEARCH("Triples",$B2081)),3,IF(ISNUMBER(SEARCH("Quads",$B2081)),4,1))),2))*IF(IFERROR(VLOOKUP($B2081,Dashboard!$Q$28:$S$60,3,FALSE),0)&gt;0,VLOOKUP($B2081,Dashboard!$Q$28:$S$60,3,FALSE),1))),0))</f>
        <v>17</v>
      </c>
      <c r="K2081" s="2" t="str">
        <f>IF('Autos - Singles'!D41="","",'Autos - Singles'!D41)</f>
        <v>V</v>
      </c>
      <c r="L2081" s="2">
        <f t="shared" si="416"/>
        <v>1</v>
      </c>
      <c r="M2081" s="2">
        <f t="shared" si="417"/>
        <v>0</v>
      </c>
      <c r="N2081" s="2">
        <f t="shared" si="418"/>
        <v>1</v>
      </c>
      <c r="O2081" s="2">
        <f t="shared" si="419"/>
        <v>0</v>
      </c>
      <c r="P2081" s="112">
        <f t="shared" si="420"/>
        <v>17</v>
      </c>
      <c r="Q2081" s="112">
        <f t="shared" si="421"/>
        <v>0</v>
      </c>
      <c r="R2081" s="53"/>
      <c r="S2081" s="53" t="str">
        <f t="shared" si="422"/>
        <v>Autos - Singles|Autographs|A-LR|Base</v>
      </c>
      <c r="T2081" s="57">
        <f>IF($S2081="","",IFERROR(VLOOKUP($S2081,'Pop Estimates (Non-#d)'!$N$2:$O$500,2,FALSE),""))</f>
        <v>130</v>
      </c>
      <c r="U2081" s="57">
        <f t="shared" si="423"/>
        <v>130</v>
      </c>
      <c r="V2081" s="53" t="str">
        <f t="shared" si="424"/>
        <v>Grace Mallory</v>
      </c>
      <c r="W2081" s="53" t="str">
        <f t="shared" si="425"/>
        <v>Grace Mallory</v>
      </c>
      <c r="X2081" s="53" t="str">
        <f t="shared" si="426"/>
        <v>Grace Mallory</v>
      </c>
      <c r="Y2081" s="57">
        <f>IF($X2081="","",IFERROR(VLOOKUP($X2081,'Char Popularity'!$A$2:$C$500,2,FALSE),""))</f>
        <v>4</v>
      </c>
      <c r="Z2081" s="56">
        <f>IF($X2081="",1,IFERROR(VLOOKUP($X2081,'Char Popularity'!$A$2:$C$500,3,FALSE),1))</f>
        <v>1.1000000000000001</v>
      </c>
      <c r="AA2081" s="62">
        <f>IF($H2081&lt;&gt;"Y",0,(IF($F2081&lt;&gt;"",ROUND(Dashboard!$R$4/$F2081,1),IF(AND($I2081="Base",$E2081="Base"),Dashboard!$R$5,IF(AND($I2081="Base",$E2081="Red"),Dashboard!$R$6,IF(AND($I2081="Base",$E2081="Gold"),Dashboard!$R$7,VLOOKUP($I2081,Dashboard!$Q$16:$R$21,2,FALSE)))))*VLOOKUP($I2081,Dashboard!$Q$9:$R$13,2,FALSE)*IF(AND($I2081="Auto",$F2081="",OR($B2081="Autographs Duals",$B2081="Autographs Triples",$B2081="Autographs Quads",$B2081="Autographs Quads (Inscribed)")),IF($B2081="Autographs Duals",2,IF($B2081="Autographs Triples",3,4)),1)))</f>
        <v>50</v>
      </c>
      <c r="AB2081" s="62">
        <f t="shared" si="427"/>
        <v>50</v>
      </c>
      <c r="AC2081" s="62">
        <f t="shared" si="428"/>
        <v>0</v>
      </c>
    </row>
    <row r="2082" spans="1:29" ht="30" customHeight="1" x14ac:dyDescent="0.25">
      <c r="A2082" s="4" t="s">
        <v>37</v>
      </c>
      <c r="B2082" s="7" t="s">
        <v>214</v>
      </c>
      <c r="C2082" s="2" t="s">
        <v>281</v>
      </c>
      <c r="D2082" s="7" t="s">
        <v>276</v>
      </c>
      <c r="E2082" s="4" t="s">
        <v>60</v>
      </c>
      <c r="F2082" s="2"/>
      <c r="G2082" s="2" t="s">
        <v>1399</v>
      </c>
      <c r="H2082" s="2" t="s">
        <v>1400</v>
      </c>
      <c r="I2082" s="4" t="s">
        <v>68</v>
      </c>
      <c r="J2082" s="112">
        <f>IF($H2082&lt;&gt;"Y",0,ROUND(MIN(Dashboard!$R$24,IF(IFERROR(VLOOKUP($B2082,Dashboard!$Q$28:$S$60,2,FALSE),0)&gt;0,IFERROR(VLOOKUP($B2082,Dashboard!$Q$28:$S$60,2,FALSE),0),$Z2082*IF($U2082&lt;&gt;"",ROUND((Dashboard!$R$4/$U2082)*VLOOKUP($I2082,Dashboard!$Q$9:$R$13,2,FALSE)*IF(ISNUMBER(SEARCH("Duals",$B2082)),2,IF(ISNUMBER(SEARCH("Triples",$B2082)),3,IF(ISNUMBER(SEARCH("Quads",$B2082)),4,1))),2),ROUND(VLOOKUP($I2082,Dashboard!$Q$15:$R$20,2,FALSE)*IF($E2082="Red",Dashboard!$R$6,IF($E2082="Gold",Dashboard!$R$7,Dashboard!$R$5))*IF(ISNUMBER(SEARCH("Duals",$B2082)),2,IF(ISNUMBER(SEARCH("Triples",$B2082)),3,IF(ISNUMBER(SEARCH("Quads",$B2082)),4,1))),2))*IF(IFERROR(VLOOKUP($B2082,Dashboard!$Q$28:$S$60,3,FALSE),0)&gt;0,VLOOKUP($B2082,Dashboard!$Q$28:$S$60,3,FALSE),1))),0))</f>
        <v>17</v>
      </c>
      <c r="K2082" s="2" t="str">
        <f>IF('Autos - Singles'!D42="","",'Autos - Singles'!D42)</f>
        <v>C</v>
      </c>
      <c r="L2082" s="2">
        <f t="shared" si="416"/>
        <v>1</v>
      </c>
      <c r="M2082" s="2">
        <f t="shared" si="417"/>
        <v>0</v>
      </c>
      <c r="N2082" s="2">
        <f t="shared" si="418"/>
        <v>1</v>
      </c>
      <c r="O2082" s="2">
        <f t="shared" si="419"/>
        <v>0</v>
      </c>
      <c r="P2082" s="112">
        <f t="shared" si="420"/>
        <v>17</v>
      </c>
      <c r="Q2082" s="112">
        <f t="shared" si="421"/>
        <v>0</v>
      </c>
      <c r="R2082" s="53"/>
      <c r="S2082" s="53" t="str">
        <f t="shared" si="422"/>
        <v>Autos - Singles|Autographs|A-LZ|Base</v>
      </c>
      <c r="T2082" s="57">
        <f>IF($S2082="","",IFERROR(VLOOKUP($S2082,'Pop Estimates (Non-#d)'!$N$2:$O$500,2,FALSE),""))</f>
        <v>130</v>
      </c>
      <c r="U2082" s="57">
        <f t="shared" si="423"/>
        <v>130</v>
      </c>
      <c r="V2082" s="53" t="str">
        <f t="shared" si="424"/>
        <v>Mother's Milk</v>
      </c>
      <c r="W2082" s="53" t="str">
        <f t="shared" si="425"/>
        <v>Mother's Milk</v>
      </c>
      <c r="X2082" s="53" t="str">
        <f t="shared" si="426"/>
        <v>Mother's Milk</v>
      </c>
      <c r="Y2082" s="57">
        <f>IF($X2082="","",IFERROR(VLOOKUP($X2082,'Char Popularity'!$A$2:$C$500,2,FALSE),""))</f>
        <v>4</v>
      </c>
      <c r="Z2082" s="56">
        <f>IF($X2082="",1,IFERROR(VLOOKUP($X2082,'Char Popularity'!$A$2:$C$500,3,FALSE),1))</f>
        <v>1.1000000000000001</v>
      </c>
      <c r="AA2082" s="62">
        <f>IF($H2082&lt;&gt;"Y",0,(IF($F2082&lt;&gt;"",ROUND(Dashboard!$R$4/$F2082,1),IF(AND($I2082="Base",$E2082="Base"),Dashboard!$R$5,IF(AND($I2082="Base",$E2082="Red"),Dashboard!$R$6,IF(AND($I2082="Base",$E2082="Gold"),Dashboard!$R$7,VLOOKUP($I2082,Dashboard!$Q$16:$R$21,2,FALSE)))))*VLOOKUP($I2082,Dashboard!$Q$9:$R$13,2,FALSE)*IF(AND($I2082="Auto",$F2082="",OR($B2082="Autographs Duals",$B2082="Autographs Triples",$B2082="Autographs Quads",$B2082="Autographs Quads (Inscribed)")),IF($B2082="Autographs Duals",2,IF($B2082="Autographs Triples",3,4)),1)))</f>
        <v>50</v>
      </c>
      <c r="AB2082" s="62">
        <f t="shared" si="427"/>
        <v>50</v>
      </c>
      <c r="AC2082" s="62">
        <f t="shared" si="428"/>
        <v>0</v>
      </c>
    </row>
    <row r="2083" spans="1:29" ht="30" customHeight="1" x14ac:dyDescent="0.25">
      <c r="A2083" s="4" t="s">
        <v>37</v>
      </c>
      <c r="B2083" s="7" t="s">
        <v>214</v>
      </c>
      <c r="C2083" s="2" t="s">
        <v>282</v>
      </c>
      <c r="D2083" s="7" t="s">
        <v>283</v>
      </c>
      <c r="E2083" s="4" t="s">
        <v>60</v>
      </c>
      <c r="F2083" s="2"/>
      <c r="G2083" s="2" t="s">
        <v>1399</v>
      </c>
      <c r="H2083" s="2" t="s">
        <v>1400</v>
      </c>
      <c r="I2083" s="4" t="s">
        <v>68</v>
      </c>
      <c r="J2083" s="112">
        <f>IF($H2083&lt;&gt;"Y",0,ROUND(MIN(Dashboard!$R$24,IF(IFERROR(VLOOKUP($B2083,Dashboard!$Q$28:$S$60,2,FALSE),0)&gt;0,IFERROR(VLOOKUP($B2083,Dashboard!$Q$28:$S$60,2,FALSE),0),$Z2083*IF($U2083&lt;&gt;"",ROUND((Dashboard!$R$4/$U2083)*VLOOKUP($I2083,Dashboard!$Q$9:$R$13,2,FALSE)*IF(ISNUMBER(SEARCH("Duals",$B2083)),2,IF(ISNUMBER(SEARCH("Triples",$B2083)),3,IF(ISNUMBER(SEARCH("Quads",$B2083)),4,1))),2),ROUND(VLOOKUP($I2083,Dashboard!$Q$15:$R$20,2,FALSE)*IF($E2083="Red",Dashboard!$R$6,IF($E2083="Gold",Dashboard!$R$7,Dashboard!$R$5))*IF(ISNUMBER(SEARCH("Duals",$B2083)),2,IF(ISNUMBER(SEARCH("Triples",$B2083)),3,IF(ISNUMBER(SEARCH("Quads",$B2083)),4,1))),2))*IF(IFERROR(VLOOKUP($B2083,Dashboard!$Q$28:$S$60,3,FALSE),0)&gt;0,VLOOKUP($B2083,Dashboard!$Q$28:$S$60,3,FALSE),1))),0))</f>
        <v>17</v>
      </c>
      <c r="K2083" s="2" t="str">
        <f>IF('Autos - Singles'!D43="","",'Autos - Singles'!D43)</f>
        <v>C</v>
      </c>
      <c r="L2083" s="2">
        <f t="shared" si="416"/>
        <v>1</v>
      </c>
      <c r="M2083" s="2">
        <f t="shared" si="417"/>
        <v>0</v>
      </c>
      <c r="N2083" s="2">
        <f t="shared" si="418"/>
        <v>1</v>
      </c>
      <c r="O2083" s="2">
        <f t="shared" si="419"/>
        <v>0</v>
      </c>
      <c r="P2083" s="112">
        <f t="shared" si="420"/>
        <v>17</v>
      </c>
      <c r="Q2083" s="112">
        <f t="shared" si="421"/>
        <v>0</v>
      </c>
      <c r="R2083" s="53"/>
      <c r="S2083" s="53" t="str">
        <f t="shared" si="422"/>
        <v>Autos - Singles|Autographs|A-MB|Base</v>
      </c>
      <c r="T2083" s="57">
        <f>IF($S2083="","",IFERROR(VLOOKUP($S2083,'Pop Estimates (Non-#d)'!$N$2:$O$500,2,FALSE),""))</f>
        <v>130</v>
      </c>
      <c r="U2083" s="57">
        <f t="shared" si="423"/>
        <v>130</v>
      </c>
      <c r="V2083" s="53" t="str">
        <f t="shared" si="424"/>
        <v>Black Noir</v>
      </c>
      <c r="W2083" s="53" t="str">
        <f t="shared" si="425"/>
        <v>Black Noir</v>
      </c>
      <c r="X2083" s="53" t="str">
        <f t="shared" si="426"/>
        <v>Black Noir</v>
      </c>
      <c r="Y2083" s="57">
        <f>IF($X2083="","",IFERROR(VLOOKUP($X2083,'Char Popularity'!$A$2:$C$500,2,FALSE),""))</f>
        <v>4</v>
      </c>
      <c r="Z2083" s="56">
        <f>IF($X2083="",1,IFERROR(VLOOKUP($X2083,'Char Popularity'!$A$2:$C$500,3,FALSE),1))</f>
        <v>1.1000000000000001</v>
      </c>
      <c r="AA2083" s="62">
        <f>IF($H2083&lt;&gt;"Y",0,(IF($F2083&lt;&gt;"",ROUND(Dashboard!$R$4/$F2083,1),IF(AND($I2083="Base",$E2083="Base"),Dashboard!$R$5,IF(AND($I2083="Base",$E2083="Red"),Dashboard!$R$6,IF(AND($I2083="Base",$E2083="Gold"),Dashboard!$R$7,VLOOKUP($I2083,Dashboard!$Q$16:$R$21,2,FALSE)))))*VLOOKUP($I2083,Dashboard!$Q$9:$R$13,2,FALSE)*IF(AND($I2083="Auto",$F2083="",OR($B2083="Autographs Duals",$B2083="Autographs Triples",$B2083="Autographs Quads",$B2083="Autographs Quads (Inscribed)")),IF($B2083="Autographs Duals",2,IF($B2083="Autographs Triples",3,4)),1)))</f>
        <v>50</v>
      </c>
      <c r="AB2083" s="62">
        <f t="shared" si="427"/>
        <v>50</v>
      </c>
      <c r="AC2083" s="62">
        <f t="shared" si="428"/>
        <v>0</v>
      </c>
    </row>
    <row r="2084" spans="1:29" ht="30" customHeight="1" x14ac:dyDescent="0.25">
      <c r="A2084" s="4" t="s">
        <v>37</v>
      </c>
      <c r="B2084" s="7" t="s">
        <v>214</v>
      </c>
      <c r="C2084" s="2" t="s">
        <v>286</v>
      </c>
      <c r="D2084" s="7" t="s">
        <v>234</v>
      </c>
      <c r="E2084" s="4" t="s">
        <v>60</v>
      </c>
      <c r="F2084" s="2"/>
      <c r="G2084" s="2" t="s">
        <v>1399</v>
      </c>
      <c r="H2084" s="2" t="s">
        <v>1400</v>
      </c>
      <c r="I2084" s="4" t="s">
        <v>68</v>
      </c>
      <c r="J2084" s="112">
        <f>IF($H2084&lt;&gt;"Y",0,ROUND(MIN(Dashboard!$R$24,IF(IFERROR(VLOOKUP($B2084,Dashboard!$Q$28:$S$60,2,FALSE),0)&gt;0,IFERROR(VLOOKUP($B2084,Dashboard!$Q$28:$S$60,2,FALSE),0),$Z2084*IF($U2084&lt;&gt;"",ROUND((Dashboard!$R$4/$U2084)*VLOOKUP($I2084,Dashboard!$Q$9:$R$13,2,FALSE)*IF(ISNUMBER(SEARCH("Duals",$B2084)),2,IF(ISNUMBER(SEARCH("Triples",$B2084)),3,IF(ISNUMBER(SEARCH("Quads",$B2084)),4,1))),2),ROUND(VLOOKUP($I2084,Dashboard!$Q$15:$R$20,2,FALSE)*IF($E2084="Red",Dashboard!$R$6,IF($E2084="Gold",Dashboard!$R$7,Dashboard!$R$5))*IF(ISNUMBER(SEARCH("Duals",$B2084)),2,IF(ISNUMBER(SEARCH("Triples",$B2084)),3,IF(ISNUMBER(SEARCH("Quads",$B2084)),4,1))),2))*IF(IFERROR(VLOOKUP($B2084,Dashboard!$Q$28:$S$60,3,FALSE),0)&gt;0,VLOOKUP($B2084,Dashboard!$Q$28:$S$60,3,FALSE),1))),0))</f>
        <v>15</v>
      </c>
      <c r="K2084" s="2" t="str">
        <f>IF('Autos - Singles'!D45="","",'Autos - Singles'!D45)</f>
        <v>V</v>
      </c>
      <c r="L2084" s="2">
        <f t="shared" si="416"/>
        <v>1</v>
      </c>
      <c r="M2084" s="2">
        <f t="shared" si="417"/>
        <v>0</v>
      </c>
      <c r="N2084" s="2">
        <f t="shared" si="418"/>
        <v>1</v>
      </c>
      <c r="O2084" s="2">
        <f t="shared" si="419"/>
        <v>0</v>
      </c>
      <c r="P2084" s="112">
        <f t="shared" si="420"/>
        <v>15</v>
      </c>
      <c r="Q2084" s="112">
        <f t="shared" si="421"/>
        <v>0</v>
      </c>
      <c r="R2084" s="53"/>
      <c r="S2084" s="53" t="str">
        <f t="shared" si="422"/>
        <v>Autos - Singles|Autographs|A-MI|Base</v>
      </c>
      <c r="T2084" s="57">
        <f>IF($S2084="","",IFERROR(VLOOKUP($S2084,'Pop Estimates (Non-#d)'!$N$2:$O$500,2,FALSE),""))</f>
        <v>130</v>
      </c>
      <c r="U2084" s="57">
        <f t="shared" si="423"/>
        <v>130</v>
      </c>
      <c r="V2084" s="53" t="str">
        <f t="shared" si="424"/>
        <v>Ashley Barrett</v>
      </c>
      <c r="W2084" s="53" t="str">
        <f t="shared" si="425"/>
        <v>Ashley Barrett</v>
      </c>
      <c r="X2084" s="53" t="str">
        <f t="shared" si="426"/>
        <v>Ashley Barrett</v>
      </c>
      <c r="Y2084" s="57">
        <f>IF($X2084="","",IFERROR(VLOOKUP($X2084,'Char Popularity'!$A$2:$C$500,2,FALSE),""))</f>
        <v>3</v>
      </c>
      <c r="Z2084" s="56">
        <f>IF($X2084="",1,IFERROR(VLOOKUP($X2084,'Char Popularity'!$A$2:$C$500,3,FALSE),1))</f>
        <v>1</v>
      </c>
      <c r="AA2084" s="62">
        <f>IF($H2084&lt;&gt;"Y",0,(IF($F2084&lt;&gt;"",ROUND(Dashboard!$R$4/$F2084,1),IF(AND($I2084="Base",$E2084="Base"),Dashboard!$R$5,IF(AND($I2084="Base",$E2084="Red"),Dashboard!$R$6,IF(AND($I2084="Base",$E2084="Gold"),Dashboard!$R$7,VLOOKUP($I2084,Dashboard!$Q$16:$R$21,2,FALSE)))))*VLOOKUP($I2084,Dashboard!$Q$9:$R$13,2,FALSE)*IF(AND($I2084="Auto",$F2084="",OR($B2084="Autographs Duals",$B2084="Autographs Triples",$B2084="Autographs Quads",$B2084="Autographs Quads (Inscribed)")),IF($B2084="Autographs Duals",2,IF($B2084="Autographs Triples",3,4)),1)))</f>
        <v>50</v>
      </c>
      <c r="AB2084" s="62">
        <f t="shared" si="427"/>
        <v>50</v>
      </c>
      <c r="AC2084" s="62">
        <f t="shared" si="428"/>
        <v>0</v>
      </c>
    </row>
    <row r="2085" spans="1:29" ht="30" customHeight="1" x14ac:dyDescent="0.25">
      <c r="A2085" s="4" t="s">
        <v>37</v>
      </c>
      <c r="B2085" s="7" t="s">
        <v>214</v>
      </c>
      <c r="C2085" s="2" t="s">
        <v>287</v>
      </c>
      <c r="D2085" s="7" t="s">
        <v>288</v>
      </c>
      <c r="E2085" s="4" t="s">
        <v>60</v>
      </c>
      <c r="F2085" s="2"/>
      <c r="G2085" s="2" t="s">
        <v>1399</v>
      </c>
      <c r="H2085" s="2" t="s">
        <v>1400</v>
      </c>
      <c r="I2085" s="4" t="s">
        <v>68</v>
      </c>
      <c r="J2085" s="112">
        <f>IF($H2085&lt;&gt;"Y",0,ROUND(MIN(Dashboard!$R$24,IF(IFERROR(VLOOKUP($B2085,Dashboard!$Q$28:$S$60,2,FALSE),0)&gt;0,IFERROR(VLOOKUP($B2085,Dashboard!$Q$28:$S$60,2,FALSE),0),$Z2085*IF($U2085&lt;&gt;"",ROUND((Dashboard!$R$4/$U2085)*VLOOKUP($I2085,Dashboard!$Q$9:$R$13,2,FALSE)*IF(ISNUMBER(SEARCH("Duals",$B2085)),2,IF(ISNUMBER(SEARCH("Triples",$B2085)),3,IF(ISNUMBER(SEARCH("Quads",$B2085)),4,1))),2),ROUND(VLOOKUP($I2085,Dashboard!$Q$15:$R$20,2,FALSE)*IF($E2085="Red",Dashboard!$R$6,IF($E2085="Gold",Dashboard!$R$7,Dashboard!$R$5))*IF(ISNUMBER(SEARCH("Duals",$B2085)),2,IF(ISNUMBER(SEARCH("Triples",$B2085)),3,IF(ISNUMBER(SEARCH("Quads",$B2085)),4,1))),2))*IF(IFERROR(VLOOKUP($B2085,Dashboard!$Q$28:$S$60,3,FALSE),0)&gt;0,VLOOKUP($B2085,Dashboard!$Q$28:$S$60,3,FALSE),1))),0))</f>
        <v>14</v>
      </c>
      <c r="K2085" s="2" t="str">
        <f>IF('Autos - Singles'!D46="","",'Autos - Singles'!D46)</f>
        <v>V</v>
      </c>
      <c r="L2085" s="2">
        <f t="shared" si="416"/>
        <v>1</v>
      </c>
      <c r="M2085" s="2">
        <f t="shared" si="417"/>
        <v>0</v>
      </c>
      <c r="N2085" s="2">
        <f t="shared" si="418"/>
        <v>1</v>
      </c>
      <c r="O2085" s="2">
        <f t="shared" si="419"/>
        <v>0</v>
      </c>
      <c r="P2085" s="112">
        <f t="shared" si="420"/>
        <v>14</v>
      </c>
      <c r="Q2085" s="112">
        <f t="shared" si="421"/>
        <v>0</v>
      </c>
      <c r="R2085" s="53"/>
      <c r="S2085" s="53" t="str">
        <f t="shared" si="422"/>
        <v>Autos - Singles|Autographs|A-MK|Base</v>
      </c>
      <c r="T2085" s="57">
        <f>IF($S2085="","",IFERROR(VLOOKUP($S2085,'Pop Estimates (Non-#d)'!$N$2:$O$500,2,FALSE),""))</f>
        <v>130</v>
      </c>
      <c r="U2085" s="57">
        <f t="shared" si="423"/>
        <v>130</v>
      </c>
      <c r="V2085" s="53" t="str">
        <f t="shared" si="424"/>
        <v>Shockwave</v>
      </c>
      <c r="W2085" s="53" t="str">
        <f t="shared" si="425"/>
        <v>Shockwave</v>
      </c>
      <c r="X2085" s="53" t="str">
        <f t="shared" si="426"/>
        <v>Shockwave</v>
      </c>
      <c r="Y2085" s="57">
        <f>IF($X2085="","",IFERROR(VLOOKUP($X2085,'Char Popularity'!$A$2:$C$500,2,FALSE),""))</f>
        <v>2</v>
      </c>
      <c r="Z2085" s="56">
        <f>IF($X2085="",1,IFERROR(VLOOKUP($X2085,'Char Popularity'!$A$2:$C$500,3,FALSE),1))</f>
        <v>0.9</v>
      </c>
      <c r="AA2085" s="62">
        <f>IF($H2085&lt;&gt;"Y",0,(IF($F2085&lt;&gt;"",ROUND(Dashboard!$R$4/$F2085,1),IF(AND($I2085="Base",$E2085="Base"),Dashboard!$R$5,IF(AND($I2085="Base",$E2085="Red"),Dashboard!$R$6,IF(AND($I2085="Base",$E2085="Gold"),Dashboard!$R$7,VLOOKUP($I2085,Dashboard!$Q$16:$R$21,2,FALSE)))))*VLOOKUP($I2085,Dashboard!$Q$9:$R$13,2,FALSE)*IF(AND($I2085="Auto",$F2085="",OR($B2085="Autographs Duals",$B2085="Autographs Triples",$B2085="Autographs Quads",$B2085="Autographs Quads (Inscribed)")),IF($B2085="Autographs Duals",2,IF($B2085="Autographs Triples",3,4)),1)))</f>
        <v>50</v>
      </c>
      <c r="AB2085" s="62">
        <f t="shared" si="427"/>
        <v>50</v>
      </c>
      <c r="AC2085" s="62">
        <f t="shared" si="428"/>
        <v>0</v>
      </c>
    </row>
    <row r="2086" spans="1:29" ht="30" customHeight="1" x14ac:dyDescent="0.25">
      <c r="A2086" s="4" t="s">
        <v>37</v>
      </c>
      <c r="B2086" s="7" t="s">
        <v>214</v>
      </c>
      <c r="C2086" s="2" t="s">
        <v>289</v>
      </c>
      <c r="D2086" s="7" t="s">
        <v>248</v>
      </c>
      <c r="E2086" s="4" t="s">
        <v>60</v>
      </c>
      <c r="F2086" s="2"/>
      <c r="G2086" s="2" t="s">
        <v>1399</v>
      </c>
      <c r="H2086" s="2" t="s">
        <v>1400</v>
      </c>
      <c r="I2086" s="4" t="s">
        <v>68</v>
      </c>
      <c r="J2086" s="112">
        <f>IF($H2086&lt;&gt;"Y",0,ROUND(MIN(Dashboard!$R$24,IF(IFERROR(VLOOKUP($B2086,Dashboard!$Q$28:$S$60,2,FALSE),0)&gt;0,IFERROR(VLOOKUP($B2086,Dashboard!$Q$28:$S$60,2,FALSE),0),$Z2086*IF($U2086&lt;&gt;"",ROUND((Dashboard!$R$4/$U2086)*VLOOKUP($I2086,Dashboard!$Q$9:$R$13,2,FALSE)*IF(ISNUMBER(SEARCH("Duals",$B2086)),2,IF(ISNUMBER(SEARCH("Triples",$B2086)),3,IF(ISNUMBER(SEARCH("Quads",$B2086)),4,1))),2),ROUND(VLOOKUP($I2086,Dashboard!$Q$15:$R$20,2,FALSE)*IF($E2086="Red",Dashboard!$R$6,IF($E2086="Gold",Dashboard!$R$7,Dashboard!$R$5))*IF(ISNUMBER(SEARCH("Duals",$B2086)),2,IF(ISNUMBER(SEARCH("Triples",$B2086)),3,IF(ISNUMBER(SEARCH("Quads",$B2086)),4,1))),2))*IF(IFERROR(VLOOKUP($B2086,Dashboard!$Q$28:$S$60,3,FALSE),0)&gt;0,VLOOKUP($B2086,Dashboard!$Q$28:$S$60,3,FALSE),1))),0))</f>
        <v>18</v>
      </c>
      <c r="K2086" s="2" t="str">
        <f>IF('Autos - Singles'!D47="","",'Autos - Singles'!D47)</f>
        <v/>
      </c>
      <c r="L2086" s="2">
        <f t="shared" si="416"/>
        <v>0</v>
      </c>
      <c r="M2086" s="2">
        <f t="shared" si="417"/>
        <v>0</v>
      </c>
      <c r="N2086" s="2">
        <f t="shared" si="418"/>
        <v>0</v>
      </c>
      <c r="O2086" s="2">
        <f t="shared" si="419"/>
        <v>1</v>
      </c>
      <c r="P2086" s="112">
        <f t="shared" si="420"/>
        <v>0</v>
      </c>
      <c r="Q2086" s="112">
        <f t="shared" si="421"/>
        <v>0</v>
      </c>
      <c r="R2086" s="53"/>
      <c r="S2086" s="53" t="str">
        <f t="shared" si="422"/>
        <v>Autos - Singles|Autographs|A-MO|Base</v>
      </c>
      <c r="T2086" s="57">
        <f>IF($S2086="","",IFERROR(VLOOKUP($S2086,'Pop Estimates (Non-#d)'!$N$2:$O$500,2,FALSE),""))</f>
        <v>130</v>
      </c>
      <c r="U2086" s="57">
        <f t="shared" si="423"/>
        <v>130</v>
      </c>
      <c r="V2086" s="53" t="str">
        <f t="shared" si="424"/>
        <v>Starlight</v>
      </c>
      <c r="W2086" s="53" t="str">
        <f t="shared" si="425"/>
        <v>Starlight</v>
      </c>
      <c r="X2086" s="53" t="str">
        <f t="shared" si="426"/>
        <v>Starlight</v>
      </c>
      <c r="Y2086" s="57">
        <f>IF($X2086="","",IFERROR(VLOOKUP($X2086,'Char Popularity'!$A$2:$C$500,2,FALSE),""))</f>
        <v>5</v>
      </c>
      <c r="Z2086" s="56">
        <f>IF($X2086="",1,IFERROR(VLOOKUP($X2086,'Char Popularity'!$A$2:$C$500,3,FALSE),1))</f>
        <v>1.2</v>
      </c>
      <c r="AA2086" s="62">
        <f>IF($H2086&lt;&gt;"Y",0,(IF($F2086&lt;&gt;"",ROUND(Dashboard!$R$4/$F2086,1),IF(AND($I2086="Base",$E2086="Base"),Dashboard!$R$5,IF(AND($I2086="Base",$E2086="Red"),Dashboard!$R$6,IF(AND($I2086="Base",$E2086="Gold"),Dashboard!$R$7,VLOOKUP($I2086,Dashboard!$Q$16:$R$21,2,FALSE)))))*VLOOKUP($I2086,Dashboard!$Q$9:$R$13,2,FALSE)*IF(AND($I2086="Auto",$F2086="",OR($B2086="Autographs Duals",$B2086="Autographs Triples",$B2086="Autographs Quads",$B2086="Autographs Quads (Inscribed)")),IF($B2086="Autographs Duals",2,IF($B2086="Autographs Triples",3,4)),1)))</f>
        <v>50</v>
      </c>
      <c r="AB2086" s="62">
        <f t="shared" si="427"/>
        <v>0</v>
      </c>
      <c r="AC2086" s="62">
        <f t="shared" si="428"/>
        <v>0</v>
      </c>
    </row>
    <row r="2087" spans="1:29" ht="30" customHeight="1" x14ac:dyDescent="0.25">
      <c r="A2087" s="4" t="s">
        <v>37</v>
      </c>
      <c r="B2087" s="7" t="s">
        <v>214</v>
      </c>
      <c r="C2087" s="2" t="s">
        <v>290</v>
      </c>
      <c r="D2087" s="7" t="s">
        <v>288</v>
      </c>
      <c r="E2087" s="4" t="s">
        <v>60</v>
      </c>
      <c r="F2087" s="2"/>
      <c r="G2087" s="2" t="s">
        <v>1399</v>
      </c>
      <c r="H2087" s="2" t="s">
        <v>1400</v>
      </c>
      <c r="I2087" s="4" t="s">
        <v>68</v>
      </c>
      <c r="J2087" s="112">
        <f>IF($H2087&lt;&gt;"Y",0,ROUND(MIN(Dashboard!$R$24,IF(IFERROR(VLOOKUP($B2087,Dashboard!$Q$28:$S$60,2,FALSE),0)&gt;0,IFERROR(VLOOKUP($B2087,Dashboard!$Q$28:$S$60,2,FALSE),0),$Z2087*IF($U2087&lt;&gt;"",ROUND((Dashboard!$R$4/$U2087)*VLOOKUP($I2087,Dashboard!$Q$9:$R$13,2,FALSE)*IF(ISNUMBER(SEARCH("Duals",$B2087)),2,IF(ISNUMBER(SEARCH("Triples",$B2087)),3,IF(ISNUMBER(SEARCH("Quads",$B2087)),4,1))),2),ROUND(VLOOKUP($I2087,Dashboard!$Q$15:$R$20,2,FALSE)*IF($E2087="Red",Dashboard!$R$6,IF($E2087="Gold",Dashboard!$R$7,Dashboard!$R$5))*IF(ISNUMBER(SEARCH("Duals",$B2087)),2,IF(ISNUMBER(SEARCH("Triples",$B2087)),3,IF(ISNUMBER(SEARCH("Quads",$B2087)),4,1))),2))*IF(IFERROR(VLOOKUP($B2087,Dashboard!$Q$28:$S$60,3,FALSE),0)&gt;0,VLOOKUP($B2087,Dashboard!$Q$28:$S$60,3,FALSE),1))),0))</f>
        <v>14</v>
      </c>
      <c r="K2087" s="2" t="str">
        <f>IF('Autos - Singles'!D48="","",'Autos - Singles'!D48)</f>
        <v>V</v>
      </c>
      <c r="L2087" s="2">
        <f t="shared" si="416"/>
        <v>1</v>
      </c>
      <c r="M2087" s="2">
        <f t="shared" si="417"/>
        <v>0</v>
      </c>
      <c r="N2087" s="2">
        <f t="shared" si="418"/>
        <v>1</v>
      </c>
      <c r="O2087" s="2">
        <f t="shared" si="419"/>
        <v>0</v>
      </c>
      <c r="P2087" s="112">
        <f t="shared" si="420"/>
        <v>14</v>
      </c>
      <c r="Q2087" s="112">
        <f t="shared" si="421"/>
        <v>0</v>
      </c>
      <c r="R2087" s="53"/>
      <c r="S2087" s="53" t="str">
        <f t="shared" si="422"/>
        <v>Autos - Singles|Autographs|A-MS|Base</v>
      </c>
      <c r="T2087" s="57">
        <f>IF($S2087="","",IFERROR(VLOOKUP($S2087,'Pop Estimates (Non-#d)'!$N$2:$O$500,2,FALSE),""))</f>
        <v>130</v>
      </c>
      <c r="U2087" s="57">
        <f t="shared" si="423"/>
        <v>130</v>
      </c>
      <c r="V2087" s="53" t="str">
        <f t="shared" si="424"/>
        <v>Shockwave</v>
      </c>
      <c r="W2087" s="53" t="str">
        <f t="shared" si="425"/>
        <v>Shockwave</v>
      </c>
      <c r="X2087" s="53" t="str">
        <f t="shared" si="426"/>
        <v>Shockwave</v>
      </c>
      <c r="Y2087" s="57">
        <f>IF($X2087="","",IFERROR(VLOOKUP($X2087,'Char Popularity'!$A$2:$C$500,2,FALSE),""))</f>
        <v>2</v>
      </c>
      <c r="Z2087" s="56">
        <f>IF($X2087="",1,IFERROR(VLOOKUP($X2087,'Char Popularity'!$A$2:$C$500,3,FALSE),1))</f>
        <v>0.9</v>
      </c>
      <c r="AA2087" s="62">
        <f>IF($H2087&lt;&gt;"Y",0,(IF($F2087&lt;&gt;"",ROUND(Dashboard!$R$4/$F2087,1),IF(AND($I2087="Base",$E2087="Base"),Dashboard!$R$5,IF(AND($I2087="Base",$E2087="Red"),Dashboard!$R$6,IF(AND($I2087="Base",$E2087="Gold"),Dashboard!$R$7,VLOOKUP($I2087,Dashboard!$Q$16:$R$21,2,FALSE)))))*VLOOKUP($I2087,Dashboard!$Q$9:$R$13,2,FALSE)*IF(AND($I2087="Auto",$F2087="",OR($B2087="Autographs Duals",$B2087="Autographs Triples",$B2087="Autographs Quads",$B2087="Autographs Quads (Inscribed)")),IF($B2087="Autographs Duals",2,IF($B2087="Autographs Triples",3,4)),1)))</f>
        <v>50</v>
      </c>
      <c r="AB2087" s="62">
        <f t="shared" si="427"/>
        <v>50</v>
      </c>
      <c r="AC2087" s="62">
        <f t="shared" si="428"/>
        <v>0</v>
      </c>
    </row>
    <row r="2088" spans="1:29" ht="30" customHeight="1" x14ac:dyDescent="0.25">
      <c r="A2088" s="4" t="s">
        <v>37</v>
      </c>
      <c r="B2088" s="7" t="s">
        <v>214</v>
      </c>
      <c r="C2088" s="2" t="s">
        <v>291</v>
      </c>
      <c r="D2088" s="7" t="s">
        <v>288</v>
      </c>
      <c r="E2088" s="4" t="s">
        <v>60</v>
      </c>
      <c r="F2088" s="2"/>
      <c r="G2088" s="2" t="s">
        <v>1399</v>
      </c>
      <c r="H2088" s="2" t="s">
        <v>1400</v>
      </c>
      <c r="I2088" s="4" t="s">
        <v>68</v>
      </c>
      <c r="J2088" s="112">
        <f>IF($H2088&lt;&gt;"Y",0,ROUND(MIN(Dashboard!$R$24,IF(IFERROR(VLOOKUP($B2088,Dashboard!$Q$28:$S$60,2,FALSE),0)&gt;0,IFERROR(VLOOKUP($B2088,Dashboard!$Q$28:$S$60,2,FALSE),0),$Z2088*IF($U2088&lt;&gt;"",ROUND((Dashboard!$R$4/$U2088)*VLOOKUP($I2088,Dashboard!$Q$9:$R$13,2,FALSE)*IF(ISNUMBER(SEARCH("Duals",$B2088)),2,IF(ISNUMBER(SEARCH("Triples",$B2088)),3,IF(ISNUMBER(SEARCH("Quads",$B2088)),4,1))),2),ROUND(VLOOKUP($I2088,Dashboard!$Q$15:$R$20,2,FALSE)*IF($E2088="Red",Dashboard!$R$6,IF($E2088="Gold",Dashboard!$R$7,Dashboard!$R$5))*IF(ISNUMBER(SEARCH("Duals",$B2088)),2,IF(ISNUMBER(SEARCH("Triples",$B2088)),3,IF(ISNUMBER(SEARCH("Quads",$B2088)),4,1))),2))*IF(IFERROR(VLOOKUP($B2088,Dashboard!$Q$28:$S$60,3,FALSE),0)&gt;0,VLOOKUP($B2088,Dashboard!$Q$28:$S$60,3,FALSE),1))),0))</f>
        <v>14</v>
      </c>
      <c r="K2088" s="2" t="str">
        <f>IF('Autos - Singles'!D49="","",'Autos - Singles'!D49)</f>
        <v>V</v>
      </c>
      <c r="L2088" s="2">
        <f t="shared" si="416"/>
        <v>1</v>
      </c>
      <c r="M2088" s="2">
        <f t="shared" si="417"/>
        <v>0</v>
      </c>
      <c r="N2088" s="2">
        <f t="shared" si="418"/>
        <v>1</v>
      </c>
      <c r="O2088" s="2">
        <f t="shared" si="419"/>
        <v>0</v>
      </c>
      <c r="P2088" s="112">
        <f t="shared" si="420"/>
        <v>14</v>
      </c>
      <c r="Q2088" s="112">
        <f t="shared" si="421"/>
        <v>0</v>
      </c>
      <c r="R2088" s="53"/>
      <c r="S2088" s="53" t="str">
        <f t="shared" si="422"/>
        <v>Autos - Singles|Autographs|A-MT|Base</v>
      </c>
      <c r="T2088" s="57">
        <f>IF($S2088="","",IFERROR(VLOOKUP($S2088,'Pop Estimates (Non-#d)'!$N$2:$O$500,2,FALSE),""))</f>
        <v>130</v>
      </c>
      <c r="U2088" s="57">
        <f t="shared" si="423"/>
        <v>130</v>
      </c>
      <c r="V2088" s="53" t="str">
        <f t="shared" si="424"/>
        <v>Shockwave</v>
      </c>
      <c r="W2088" s="53" t="str">
        <f t="shared" si="425"/>
        <v>Shockwave</v>
      </c>
      <c r="X2088" s="53" t="str">
        <f t="shared" si="426"/>
        <v>Shockwave</v>
      </c>
      <c r="Y2088" s="57">
        <f>IF($X2088="","",IFERROR(VLOOKUP($X2088,'Char Popularity'!$A$2:$C$500,2,FALSE),""))</f>
        <v>2</v>
      </c>
      <c r="Z2088" s="56">
        <f>IF($X2088="",1,IFERROR(VLOOKUP($X2088,'Char Popularity'!$A$2:$C$500,3,FALSE),1))</f>
        <v>0.9</v>
      </c>
      <c r="AA2088" s="62">
        <f>IF($H2088&lt;&gt;"Y",0,(IF($F2088&lt;&gt;"",ROUND(Dashboard!$R$4/$F2088,1),IF(AND($I2088="Base",$E2088="Base"),Dashboard!$R$5,IF(AND($I2088="Base",$E2088="Red"),Dashboard!$R$6,IF(AND($I2088="Base",$E2088="Gold"),Dashboard!$R$7,VLOOKUP($I2088,Dashboard!$Q$16:$R$21,2,FALSE)))))*VLOOKUP($I2088,Dashboard!$Q$9:$R$13,2,FALSE)*IF(AND($I2088="Auto",$F2088="",OR($B2088="Autographs Duals",$B2088="Autographs Triples",$B2088="Autographs Quads",$B2088="Autographs Quads (Inscribed)")),IF($B2088="Autographs Duals",2,IF($B2088="Autographs Triples",3,4)),1)))</f>
        <v>50</v>
      </c>
      <c r="AB2088" s="62">
        <f t="shared" si="427"/>
        <v>50</v>
      </c>
      <c r="AC2088" s="62">
        <f t="shared" si="428"/>
        <v>0</v>
      </c>
    </row>
    <row r="2089" spans="1:29" ht="30" customHeight="1" x14ac:dyDescent="0.25">
      <c r="A2089" s="4" t="s">
        <v>37</v>
      </c>
      <c r="B2089" s="7" t="s">
        <v>214</v>
      </c>
      <c r="C2089" s="2" t="s">
        <v>292</v>
      </c>
      <c r="D2089" s="7" t="s">
        <v>283</v>
      </c>
      <c r="E2089" s="4" t="s">
        <v>60</v>
      </c>
      <c r="F2089" s="2"/>
      <c r="G2089" s="2" t="s">
        <v>1399</v>
      </c>
      <c r="H2089" s="2" t="s">
        <v>1400</v>
      </c>
      <c r="I2089" s="4" t="s">
        <v>68</v>
      </c>
      <c r="J2089" s="112">
        <f>IF($H2089&lt;&gt;"Y",0,ROUND(MIN(Dashboard!$R$24,IF(IFERROR(VLOOKUP($B2089,Dashboard!$Q$28:$S$60,2,FALSE),0)&gt;0,IFERROR(VLOOKUP($B2089,Dashboard!$Q$28:$S$60,2,FALSE),0),$Z2089*IF($U2089&lt;&gt;"",ROUND((Dashboard!$R$4/$U2089)*VLOOKUP($I2089,Dashboard!$Q$9:$R$13,2,FALSE)*IF(ISNUMBER(SEARCH("Duals",$B2089)),2,IF(ISNUMBER(SEARCH("Triples",$B2089)),3,IF(ISNUMBER(SEARCH("Quads",$B2089)),4,1))),2),ROUND(VLOOKUP($I2089,Dashboard!$Q$15:$R$20,2,FALSE)*IF($E2089="Red",Dashboard!$R$6,IF($E2089="Gold",Dashboard!$R$7,Dashboard!$R$5))*IF(ISNUMBER(SEARCH("Duals",$B2089)),2,IF(ISNUMBER(SEARCH("Triples",$B2089)),3,IF(ISNUMBER(SEARCH("Quads",$B2089)),4,1))),2))*IF(IFERROR(VLOOKUP($B2089,Dashboard!$Q$28:$S$60,3,FALSE),0)&gt;0,VLOOKUP($B2089,Dashboard!$Q$28:$S$60,3,FALSE),1))),0))</f>
        <v>17</v>
      </c>
      <c r="K2089" s="2" t="str">
        <f>IF('Autos - Singles'!D50="","",'Autos - Singles'!D50)</f>
        <v>C</v>
      </c>
      <c r="L2089" s="2">
        <f t="shared" si="416"/>
        <v>1</v>
      </c>
      <c r="M2089" s="2">
        <f t="shared" si="417"/>
        <v>0</v>
      </c>
      <c r="N2089" s="2">
        <f t="shared" si="418"/>
        <v>1</v>
      </c>
      <c r="O2089" s="2">
        <f t="shared" si="419"/>
        <v>0</v>
      </c>
      <c r="P2089" s="112">
        <f t="shared" si="420"/>
        <v>17</v>
      </c>
      <c r="Q2089" s="112">
        <f t="shared" si="421"/>
        <v>0</v>
      </c>
      <c r="R2089" s="53"/>
      <c r="S2089" s="53" t="str">
        <f t="shared" si="422"/>
        <v>Autos - Singles|Autographs|A-NA|Base</v>
      </c>
      <c r="T2089" s="57">
        <f>IF($S2089="","",IFERROR(VLOOKUP($S2089,'Pop Estimates (Non-#d)'!$N$2:$O$500,2,FALSE),""))</f>
        <v>130</v>
      </c>
      <c r="U2089" s="57">
        <f t="shared" si="423"/>
        <v>130</v>
      </c>
      <c r="V2089" s="53" t="str">
        <f t="shared" si="424"/>
        <v>Black Noir</v>
      </c>
      <c r="W2089" s="53" t="str">
        <f t="shared" si="425"/>
        <v>Black Noir</v>
      </c>
      <c r="X2089" s="53" t="str">
        <f t="shared" si="426"/>
        <v>Black Noir</v>
      </c>
      <c r="Y2089" s="57">
        <f>IF($X2089="","",IFERROR(VLOOKUP($X2089,'Char Popularity'!$A$2:$C$500,2,FALSE),""))</f>
        <v>4</v>
      </c>
      <c r="Z2089" s="56">
        <f>IF($X2089="",1,IFERROR(VLOOKUP($X2089,'Char Popularity'!$A$2:$C$500,3,FALSE),1))</f>
        <v>1.1000000000000001</v>
      </c>
      <c r="AA2089" s="62">
        <f>IF($H2089&lt;&gt;"Y",0,(IF($F2089&lt;&gt;"",ROUND(Dashboard!$R$4/$F2089,1),IF(AND($I2089="Base",$E2089="Base"),Dashboard!$R$5,IF(AND($I2089="Base",$E2089="Red"),Dashboard!$R$6,IF(AND($I2089="Base",$E2089="Gold"),Dashboard!$R$7,VLOOKUP($I2089,Dashboard!$Q$16:$R$21,2,FALSE)))))*VLOOKUP($I2089,Dashboard!$Q$9:$R$13,2,FALSE)*IF(AND($I2089="Auto",$F2089="",OR($B2089="Autographs Duals",$B2089="Autographs Triples",$B2089="Autographs Quads",$B2089="Autographs Quads (Inscribed)")),IF($B2089="Autographs Duals",2,IF($B2089="Autographs Triples",3,4)),1)))</f>
        <v>50</v>
      </c>
      <c r="AB2089" s="62">
        <f t="shared" si="427"/>
        <v>50</v>
      </c>
      <c r="AC2089" s="62">
        <f t="shared" si="428"/>
        <v>0</v>
      </c>
    </row>
    <row r="2090" spans="1:29" ht="30" customHeight="1" x14ac:dyDescent="0.25">
      <c r="A2090" s="4" t="s">
        <v>37</v>
      </c>
      <c r="B2090" s="7" t="s">
        <v>214</v>
      </c>
      <c r="C2090" s="2" t="s">
        <v>293</v>
      </c>
      <c r="D2090" s="7" t="s">
        <v>222</v>
      </c>
      <c r="E2090" s="4" t="s">
        <v>60</v>
      </c>
      <c r="F2090" s="2"/>
      <c r="G2090" s="2" t="s">
        <v>1399</v>
      </c>
      <c r="H2090" s="2" t="s">
        <v>1400</v>
      </c>
      <c r="I2090" s="4" t="s">
        <v>68</v>
      </c>
      <c r="J2090" s="112">
        <f>IF($H2090&lt;&gt;"Y",0,ROUND(MIN(Dashboard!$R$24,IF(IFERROR(VLOOKUP($B2090,Dashboard!$Q$28:$S$60,2,FALSE),0)&gt;0,IFERROR(VLOOKUP($B2090,Dashboard!$Q$28:$S$60,2,FALSE),0),$Z2090*IF($U2090&lt;&gt;"",ROUND((Dashboard!$R$4/$U2090)*VLOOKUP($I2090,Dashboard!$Q$9:$R$13,2,FALSE)*IF(ISNUMBER(SEARCH("Duals",$B2090)),2,IF(ISNUMBER(SEARCH("Triples",$B2090)),3,IF(ISNUMBER(SEARCH("Quads",$B2090)),4,1))),2),ROUND(VLOOKUP($I2090,Dashboard!$Q$15:$R$20,2,FALSE)*IF($E2090="Red",Dashboard!$R$6,IF($E2090="Gold",Dashboard!$R$7,Dashboard!$R$5))*IF(ISNUMBER(SEARCH("Duals",$B2090)),2,IF(ISNUMBER(SEARCH("Triples",$B2090)),3,IF(ISNUMBER(SEARCH("Quads",$B2090)),4,1))),2))*IF(IFERROR(VLOOKUP($B2090,Dashboard!$Q$28:$S$60,3,FALSE),0)&gt;0,VLOOKUP($B2090,Dashboard!$Q$28:$S$60,3,FALSE),1))),0))</f>
        <v>18</v>
      </c>
      <c r="K2090" s="2" t="str">
        <f>IF('Autos - Singles'!D51="","",'Autos - Singles'!D51)</f>
        <v/>
      </c>
      <c r="L2090" s="2">
        <f t="shared" si="416"/>
        <v>0</v>
      </c>
      <c r="M2090" s="2">
        <f t="shared" si="417"/>
        <v>0</v>
      </c>
      <c r="N2090" s="2">
        <f t="shared" si="418"/>
        <v>0</v>
      </c>
      <c r="O2090" s="2">
        <f t="shared" si="419"/>
        <v>1</v>
      </c>
      <c r="P2090" s="112">
        <f t="shared" si="420"/>
        <v>0</v>
      </c>
      <c r="Q2090" s="112">
        <f t="shared" si="421"/>
        <v>0</v>
      </c>
      <c r="R2090" s="53"/>
      <c r="S2090" s="53" t="str">
        <f t="shared" si="422"/>
        <v>Autos - Singles|Autographs|A-NE|Base</v>
      </c>
      <c r="T2090" s="57">
        <f>IF($S2090="","",IFERROR(VLOOKUP($S2090,'Pop Estimates (Non-#d)'!$N$2:$O$500,2,FALSE),""))</f>
        <v>130</v>
      </c>
      <c r="U2090" s="57">
        <f t="shared" si="423"/>
        <v>130</v>
      </c>
      <c r="V2090" s="53" t="str">
        <f t="shared" si="424"/>
        <v>Homelander</v>
      </c>
      <c r="W2090" s="53" t="str">
        <f t="shared" si="425"/>
        <v>Homelander</v>
      </c>
      <c r="X2090" s="53" t="str">
        <f t="shared" si="426"/>
        <v>Homelander</v>
      </c>
      <c r="Y2090" s="57">
        <f>IF($X2090="","",IFERROR(VLOOKUP($X2090,'Char Popularity'!$A$2:$C$500,2,FALSE),""))</f>
        <v>5</v>
      </c>
      <c r="Z2090" s="56">
        <f>IF($X2090="",1,IFERROR(VLOOKUP($X2090,'Char Popularity'!$A$2:$C$500,3,FALSE),1))</f>
        <v>1.2</v>
      </c>
      <c r="AA2090" s="62">
        <f>IF($H2090&lt;&gt;"Y",0,(IF($F2090&lt;&gt;"",ROUND(Dashboard!$R$4/$F2090,1),IF(AND($I2090="Base",$E2090="Base"),Dashboard!$R$5,IF(AND($I2090="Base",$E2090="Red"),Dashboard!$R$6,IF(AND($I2090="Base",$E2090="Gold"),Dashboard!$R$7,VLOOKUP($I2090,Dashboard!$Q$16:$R$21,2,FALSE)))))*VLOOKUP($I2090,Dashboard!$Q$9:$R$13,2,FALSE)*IF(AND($I2090="Auto",$F2090="",OR($B2090="Autographs Duals",$B2090="Autographs Triples",$B2090="Autographs Quads",$B2090="Autographs Quads (Inscribed)")),IF($B2090="Autographs Duals",2,IF($B2090="Autographs Triples",3,4)),1)))</f>
        <v>50</v>
      </c>
      <c r="AB2090" s="62">
        <f t="shared" si="427"/>
        <v>0</v>
      </c>
      <c r="AC2090" s="62">
        <f t="shared" si="428"/>
        <v>0</v>
      </c>
    </row>
    <row r="2091" spans="1:29" ht="30" customHeight="1" x14ac:dyDescent="0.25">
      <c r="A2091" s="4" t="s">
        <v>37</v>
      </c>
      <c r="B2091" s="7" t="s">
        <v>214</v>
      </c>
      <c r="C2091" s="2" t="s">
        <v>294</v>
      </c>
      <c r="D2091" s="7" t="s">
        <v>283</v>
      </c>
      <c r="E2091" s="4" t="s">
        <v>60</v>
      </c>
      <c r="F2091" s="2"/>
      <c r="G2091" s="2" t="s">
        <v>1399</v>
      </c>
      <c r="H2091" s="2" t="s">
        <v>1400</v>
      </c>
      <c r="I2091" s="4" t="s">
        <v>68</v>
      </c>
      <c r="J2091" s="112">
        <f>IF($H2091&lt;&gt;"Y",0,ROUND(MIN(Dashboard!$R$24,IF(IFERROR(VLOOKUP($B2091,Dashboard!$Q$28:$S$60,2,FALSE),0)&gt;0,IFERROR(VLOOKUP($B2091,Dashboard!$Q$28:$S$60,2,FALSE),0),$Z2091*IF($U2091&lt;&gt;"",ROUND((Dashboard!$R$4/$U2091)*VLOOKUP($I2091,Dashboard!$Q$9:$R$13,2,FALSE)*IF(ISNUMBER(SEARCH("Duals",$B2091)),2,IF(ISNUMBER(SEARCH("Triples",$B2091)),3,IF(ISNUMBER(SEARCH("Quads",$B2091)),4,1))),2),ROUND(VLOOKUP($I2091,Dashboard!$Q$15:$R$20,2,FALSE)*IF($E2091="Red",Dashboard!$R$6,IF($E2091="Gold",Dashboard!$R$7,Dashboard!$R$5))*IF(ISNUMBER(SEARCH("Duals",$B2091)),2,IF(ISNUMBER(SEARCH("Triples",$B2091)),3,IF(ISNUMBER(SEARCH("Quads",$B2091)),4,1))),2))*IF(IFERROR(VLOOKUP($B2091,Dashboard!$Q$28:$S$60,3,FALSE),0)&gt;0,VLOOKUP($B2091,Dashboard!$Q$28:$S$60,3,FALSE),1))),0))</f>
        <v>17</v>
      </c>
      <c r="K2091" s="2" t="str">
        <f>IF('Autos - Singles'!D52="","",'Autos - Singles'!D52)</f>
        <v/>
      </c>
      <c r="L2091" s="2">
        <f t="shared" si="416"/>
        <v>0</v>
      </c>
      <c r="M2091" s="2">
        <f t="shared" si="417"/>
        <v>0</v>
      </c>
      <c r="N2091" s="2">
        <f t="shared" si="418"/>
        <v>0</v>
      </c>
      <c r="O2091" s="2">
        <f t="shared" si="419"/>
        <v>1</v>
      </c>
      <c r="P2091" s="112">
        <f t="shared" si="420"/>
        <v>0</v>
      </c>
      <c r="Q2091" s="112">
        <f t="shared" si="421"/>
        <v>0</v>
      </c>
      <c r="R2091" s="53"/>
      <c r="S2091" s="53" t="str">
        <f t="shared" si="422"/>
        <v>Autos - Singles|Autographs|A-NL|Base</v>
      </c>
      <c r="T2091" s="57">
        <f>IF($S2091="","",IFERROR(VLOOKUP($S2091,'Pop Estimates (Non-#d)'!$N$2:$O$500,2,FALSE),""))</f>
        <v>130</v>
      </c>
      <c r="U2091" s="57">
        <f t="shared" si="423"/>
        <v>130</v>
      </c>
      <c r="V2091" s="53" t="str">
        <f t="shared" si="424"/>
        <v>Black Noir</v>
      </c>
      <c r="W2091" s="53" t="str">
        <f t="shared" si="425"/>
        <v>Black Noir</v>
      </c>
      <c r="X2091" s="53" t="str">
        <f t="shared" si="426"/>
        <v>Black Noir</v>
      </c>
      <c r="Y2091" s="57">
        <f>IF($X2091="","",IFERROR(VLOOKUP($X2091,'Char Popularity'!$A$2:$C$500,2,FALSE),""))</f>
        <v>4</v>
      </c>
      <c r="Z2091" s="56">
        <f>IF($X2091="",1,IFERROR(VLOOKUP($X2091,'Char Popularity'!$A$2:$C$500,3,FALSE),1))</f>
        <v>1.1000000000000001</v>
      </c>
      <c r="AA2091" s="62">
        <f>IF($H2091&lt;&gt;"Y",0,(IF($F2091&lt;&gt;"",ROUND(Dashboard!$R$4/$F2091,1),IF(AND($I2091="Base",$E2091="Base"),Dashboard!$R$5,IF(AND($I2091="Base",$E2091="Red"),Dashboard!$R$6,IF(AND($I2091="Base",$E2091="Gold"),Dashboard!$R$7,VLOOKUP($I2091,Dashboard!$Q$16:$R$21,2,FALSE)))))*VLOOKUP($I2091,Dashboard!$Q$9:$R$13,2,FALSE)*IF(AND($I2091="Auto",$F2091="",OR($B2091="Autographs Duals",$B2091="Autographs Triples",$B2091="Autographs Quads",$B2091="Autographs Quads (Inscribed)")),IF($B2091="Autographs Duals",2,IF($B2091="Autographs Triples",3,4)),1)))</f>
        <v>50</v>
      </c>
      <c r="AB2091" s="62">
        <f t="shared" si="427"/>
        <v>0</v>
      </c>
      <c r="AC2091" s="62">
        <f t="shared" si="428"/>
        <v>0</v>
      </c>
    </row>
    <row r="2092" spans="1:29" ht="30" customHeight="1" x14ac:dyDescent="0.25">
      <c r="A2092" s="4" t="s">
        <v>37</v>
      </c>
      <c r="B2092" s="7" t="s">
        <v>214</v>
      </c>
      <c r="C2092" s="2" t="s">
        <v>295</v>
      </c>
      <c r="D2092" s="7" t="s">
        <v>283</v>
      </c>
      <c r="E2092" s="4" t="s">
        <v>60</v>
      </c>
      <c r="F2092" s="2"/>
      <c r="G2092" s="2" t="s">
        <v>1399</v>
      </c>
      <c r="H2092" s="2" t="s">
        <v>1400</v>
      </c>
      <c r="I2092" s="4" t="s">
        <v>68</v>
      </c>
      <c r="J2092" s="112">
        <f>IF($H2092&lt;&gt;"Y",0,ROUND(MIN(Dashboard!$R$24,IF(IFERROR(VLOOKUP($B2092,Dashboard!$Q$28:$S$60,2,FALSE),0)&gt;0,IFERROR(VLOOKUP($B2092,Dashboard!$Q$28:$S$60,2,FALSE),0),$Z2092*IF($U2092&lt;&gt;"",ROUND((Dashboard!$R$4/$U2092)*VLOOKUP($I2092,Dashboard!$Q$9:$R$13,2,FALSE)*IF(ISNUMBER(SEARCH("Duals",$B2092)),2,IF(ISNUMBER(SEARCH("Triples",$B2092)),3,IF(ISNUMBER(SEARCH("Quads",$B2092)),4,1))),2),ROUND(VLOOKUP($I2092,Dashboard!$Q$15:$R$20,2,FALSE)*IF($E2092="Red",Dashboard!$R$6,IF($E2092="Gold",Dashboard!$R$7,Dashboard!$R$5))*IF(ISNUMBER(SEARCH("Duals",$B2092)),2,IF(ISNUMBER(SEARCH("Triples",$B2092)),3,IF(ISNUMBER(SEARCH("Quads",$B2092)),4,1))),2))*IF(IFERROR(VLOOKUP($B2092,Dashboard!$Q$28:$S$60,3,FALSE),0)&gt;0,VLOOKUP($B2092,Dashboard!$Q$28:$S$60,3,FALSE),1))),0))</f>
        <v>17</v>
      </c>
      <c r="K2092" s="2" t="str">
        <f>IF('Autos - Singles'!D53="","",'Autos - Singles'!D53)</f>
        <v>V</v>
      </c>
      <c r="L2092" s="2">
        <f t="shared" si="416"/>
        <v>1</v>
      </c>
      <c r="M2092" s="2">
        <f t="shared" si="417"/>
        <v>0</v>
      </c>
      <c r="N2092" s="2">
        <f t="shared" si="418"/>
        <v>1</v>
      </c>
      <c r="O2092" s="2">
        <f t="shared" si="419"/>
        <v>0</v>
      </c>
      <c r="P2092" s="112">
        <f t="shared" si="420"/>
        <v>17</v>
      </c>
      <c r="Q2092" s="112">
        <f t="shared" si="421"/>
        <v>0</v>
      </c>
      <c r="R2092" s="53"/>
      <c r="S2092" s="53" t="str">
        <f t="shared" si="422"/>
        <v>Autos - Singles|Autographs|A-NM|Base</v>
      </c>
      <c r="T2092" s="57">
        <f>IF($S2092="","",IFERROR(VLOOKUP($S2092,'Pop Estimates (Non-#d)'!$N$2:$O$500,2,FALSE),""))</f>
        <v>130</v>
      </c>
      <c r="U2092" s="57">
        <f t="shared" si="423"/>
        <v>130</v>
      </c>
      <c r="V2092" s="53" t="str">
        <f t="shared" si="424"/>
        <v>Black Noir</v>
      </c>
      <c r="W2092" s="53" t="str">
        <f t="shared" si="425"/>
        <v>Black Noir</v>
      </c>
      <c r="X2092" s="53" t="str">
        <f t="shared" si="426"/>
        <v>Black Noir</v>
      </c>
      <c r="Y2092" s="57">
        <f>IF($X2092="","",IFERROR(VLOOKUP($X2092,'Char Popularity'!$A$2:$C$500,2,FALSE),""))</f>
        <v>4</v>
      </c>
      <c r="Z2092" s="56">
        <f>IF($X2092="",1,IFERROR(VLOOKUP($X2092,'Char Popularity'!$A$2:$C$500,3,FALSE),1))</f>
        <v>1.1000000000000001</v>
      </c>
      <c r="AA2092" s="62">
        <f>IF($H2092&lt;&gt;"Y",0,(IF($F2092&lt;&gt;"",ROUND(Dashboard!$R$4/$F2092,1),IF(AND($I2092="Base",$E2092="Base"),Dashboard!$R$5,IF(AND($I2092="Base",$E2092="Red"),Dashboard!$R$6,IF(AND($I2092="Base",$E2092="Gold"),Dashboard!$R$7,VLOOKUP($I2092,Dashboard!$Q$16:$R$21,2,FALSE)))))*VLOOKUP($I2092,Dashboard!$Q$9:$R$13,2,FALSE)*IF(AND($I2092="Auto",$F2092="",OR($B2092="Autographs Duals",$B2092="Autographs Triples",$B2092="Autographs Quads",$B2092="Autographs Quads (Inscribed)")),IF($B2092="Autographs Duals",2,IF($B2092="Autographs Triples",3,4)),1)))</f>
        <v>50</v>
      </c>
      <c r="AB2092" s="62">
        <f t="shared" si="427"/>
        <v>50</v>
      </c>
      <c r="AC2092" s="62">
        <f t="shared" si="428"/>
        <v>0</v>
      </c>
    </row>
    <row r="2093" spans="1:29" ht="30" customHeight="1" x14ac:dyDescent="0.25">
      <c r="A2093" s="4" t="s">
        <v>37</v>
      </c>
      <c r="B2093" s="7" t="s">
        <v>214</v>
      </c>
      <c r="C2093" s="2" t="s">
        <v>300</v>
      </c>
      <c r="D2093" s="7" t="s">
        <v>301</v>
      </c>
      <c r="E2093" s="4" t="s">
        <v>60</v>
      </c>
      <c r="F2093" s="2"/>
      <c r="G2093" s="2" t="s">
        <v>1399</v>
      </c>
      <c r="H2093" s="2" t="s">
        <v>1400</v>
      </c>
      <c r="I2093" s="4" t="s">
        <v>68</v>
      </c>
      <c r="J2093" s="112">
        <f>IF($H2093&lt;&gt;"Y",0,ROUND(MIN(Dashboard!$R$24,IF(IFERROR(VLOOKUP($B2093,Dashboard!$Q$28:$S$60,2,FALSE),0)&gt;0,IFERROR(VLOOKUP($B2093,Dashboard!$Q$28:$S$60,2,FALSE),0),$Z2093*IF($U2093&lt;&gt;"",ROUND((Dashboard!$R$4/$U2093)*VLOOKUP($I2093,Dashboard!$Q$9:$R$13,2,FALSE)*IF(ISNUMBER(SEARCH("Duals",$B2093)),2,IF(ISNUMBER(SEARCH("Triples",$B2093)),3,IF(ISNUMBER(SEARCH("Quads",$B2093)),4,1))),2),ROUND(VLOOKUP($I2093,Dashboard!$Q$15:$R$20,2,FALSE)*IF($E2093="Red",Dashboard!$R$6,IF($E2093="Gold",Dashboard!$R$7,Dashboard!$R$5))*IF(ISNUMBER(SEARCH("Duals",$B2093)),2,IF(ISNUMBER(SEARCH("Triples",$B2093)),3,IF(ISNUMBER(SEARCH("Quads",$B2093)),4,1))),2))*IF(IFERROR(VLOOKUP($B2093,Dashboard!$Q$28:$S$60,3,FALSE),0)&gt;0,VLOOKUP($B2093,Dashboard!$Q$28:$S$60,3,FALSE),1))),0))</f>
        <v>14</v>
      </c>
      <c r="K2093" s="2" t="str">
        <f>IF('Autos - Singles'!D56="","",'Autos - Singles'!D56)</f>
        <v>d</v>
      </c>
      <c r="L2093" s="2">
        <f t="shared" si="416"/>
        <v>1</v>
      </c>
      <c r="M2093" s="2">
        <f t="shared" si="417"/>
        <v>0</v>
      </c>
      <c r="N2093" s="2">
        <f t="shared" si="418"/>
        <v>1</v>
      </c>
      <c r="O2093" s="2">
        <f t="shared" si="419"/>
        <v>0</v>
      </c>
      <c r="P2093" s="112">
        <f t="shared" si="420"/>
        <v>14</v>
      </c>
      <c r="Q2093" s="112">
        <f t="shared" si="421"/>
        <v>0</v>
      </c>
      <c r="R2093" s="53"/>
      <c r="S2093" s="53" t="str">
        <f t="shared" si="422"/>
        <v>Autos - Singles|Autographs|A-SA|Base</v>
      </c>
      <c r="T2093" s="57">
        <f>IF($S2093="","",IFERROR(VLOOKUP($S2093,'Pop Estimates (Non-#d)'!$N$2:$O$500,2,FALSE),""))</f>
        <v>130</v>
      </c>
      <c r="U2093" s="57">
        <f t="shared" si="423"/>
        <v>130</v>
      </c>
      <c r="V2093" s="53" t="str">
        <f t="shared" si="424"/>
        <v>Lamplighter</v>
      </c>
      <c r="W2093" s="53" t="str">
        <f t="shared" si="425"/>
        <v>Lamplighter</v>
      </c>
      <c r="X2093" s="53" t="str">
        <f t="shared" si="426"/>
        <v>Lamplighter</v>
      </c>
      <c r="Y2093" s="57">
        <f>IF($X2093="","",IFERROR(VLOOKUP($X2093,'Char Popularity'!$A$2:$C$500,2,FALSE),""))</f>
        <v>2</v>
      </c>
      <c r="Z2093" s="56">
        <f>IF($X2093="",1,IFERROR(VLOOKUP($X2093,'Char Popularity'!$A$2:$C$500,3,FALSE),1))</f>
        <v>0.9</v>
      </c>
      <c r="AA2093" s="62">
        <f>IF($H2093&lt;&gt;"Y",0,(IF($F2093&lt;&gt;"",ROUND(Dashboard!$R$4/$F2093,1),IF(AND($I2093="Base",$E2093="Base"),Dashboard!$R$5,IF(AND($I2093="Base",$E2093="Red"),Dashboard!$R$6,IF(AND($I2093="Base",$E2093="Gold"),Dashboard!$R$7,VLOOKUP($I2093,Dashboard!$Q$16:$R$21,2,FALSE)))))*VLOOKUP($I2093,Dashboard!$Q$9:$R$13,2,FALSE)*IF(AND($I2093="Auto",$F2093="",OR($B2093="Autographs Duals",$B2093="Autographs Triples",$B2093="Autographs Quads",$B2093="Autographs Quads (Inscribed)")),IF($B2093="Autographs Duals",2,IF($B2093="Autographs Triples",3,4)),1)))</f>
        <v>50</v>
      </c>
      <c r="AB2093" s="62">
        <f t="shared" si="427"/>
        <v>50</v>
      </c>
      <c r="AC2093" s="62">
        <f t="shared" si="428"/>
        <v>0</v>
      </c>
    </row>
    <row r="2094" spans="1:29" ht="30" customHeight="1" x14ac:dyDescent="0.25">
      <c r="A2094" s="4" t="s">
        <v>37</v>
      </c>
      <c r="B2094" s="7" t="s">
        <v>214</v>
      </c>
      <c r="C2094" s="2" t="s">
        <v>306</v>
      </c>
      <c r="D2094" s="7" t="s">
        <v>222</v>
      </c>
      <c r="E2094" s="4" t="s">
        <v>60</v>
      </c>
      <c r="F2094" s="2"/>
      <c r="G2094" s="2" t="s">
        <v>1399</v>
      </c>
      <c r="H2094" s="2" t="s">
        <v>1400</v>
      </c>
      <c r="I2094" s="4" t="s">
        <v>68</v>
      </c>
      <c r="J2094" s="112">
        <f>IF($H2094&lt;&gt;"Y",0,ROUND(MIN(Dashboard!$R$24,IF(IFERROR(VLOOKUP($B2094,Dashboard!$Q$28:$S$60,2,FALSE),0)&gt;0,IFERROR(VLOOKUP($B2094,Dashboard!$Q$28:$S$60,2,FALSE),0),$Z2094*IF($U2094&lt;&gt;"",ROUND((Dashboard!$R$4/$U2094)*VLOOKUP($I2094,Dashboard!$Q$9:$R$13,2,FALSE)*IF(ISNUMBER(SEARCH("Duals",$B2094)),2,IF(ISNUMBER(SEARCH("Triples",$B2094)),3,IF(ISNUMBER(SEARCH("Quads",$B2094)),4,1))),2),ROUND(VLOOKUP($I2094,Dashboard!$Q$15:$R$20,2,FALSE)*IF($E2094="Red",Dashboard!$R$6,IF($E2094="Gold",Dashboard!$R$7,Dashboard!$R$5))*IF(ISNUMBER(SEARCH("Duals",$B2094)),2,IF(ISNUMBER(SEARCH("Triples",$B2094)),3,IF(ISNUMBER(SEARCH("Quads",$B2094)),4,1))),2))*IF(IFERROR(VLOOKUP($B2094,Dashboard!$Q$28:$S$60,3,FALSE),0)&gt;0,VLOOKUP($B2094,Dashboard!$Q$28:$S$60,3,FALSE),1))),0))</f>
        <v>18</v>
      </c>
      <c r="K2094" s="2" t="str">
        <f>IF('Autos - Singles'!D59="","",'Autos - Singles'!D59)</f>
        <v/>
      </c>
      <c r="L2094" s="2">
        <f t="shared" si="416"/>
        <v>0</v>
      </c>
      <c r="M2094" s="2">
        <f t="shared" si="417"/>
        <v>0</v>
      </c>
      <c r="N2094" s="2">
        <f t="shared" si="418"/>
        <v>0</v>
      </c>
      <c r="O2094" s="2">
        <f t="shared" si="419"/>
        <v>1</v>
      </c>
      <c r="P2094" s="112">
        <f t="shared" si="420"/>
        <v>0</v>
      </c>
      <c r="Q2094" s="112">
        <f t="shared" si="421"/>
        <v>0</v>
      </c>
      <c r="R2094" s="53"/>
      <c r="S2094" s="53" t="str">
        <f t="shared" si="422"/>
        <v>Autos - Singles|Autographs|A-SR|Base</v>
      </c>
      <c r="T2094" s="57">
        <f>IF($S2094="","",IFERROR(VLOOKUP($S2094,'Pop Estimates (Non-#d)'!$N$2:$O$500,2,FALSE),""))</f>
        <v>130</v>
      </c>
      <c r="U2094" s="57">
        <f t="shared" si="423"/>
        <v>130</v>
      </c>
      <c r="V2094" s="53" t="str">
        <f t="shared" si="424"/>
        <v>Homelander</v>
      </c>
      <c r="W2094" s="53" t="str">
        <f t="shared" si="425"/>
        <v>Homelander</v>
      </c>
      <c r="X2094" s="53" t="str">
        <f t="shared" si="426"/>
        <v>Homelander</v>
      </c>
      <c r="Y2094" s="57">
        <f>IF($X2094="","",IFERROR(VLOOKUP($X2094,'Char Popularity'!$A$2:$C$500,2,FALSE),""))</f>
        <v>5</v>
      </c>
      <c r="Z2094" s="56">
        <f>IF($X2094="",1,IFERROR(VLOOKUP($X2094,'Char Popularity'!$A$2:$C$500,3,FALSE),1))</f>
        <v>1.2</v>
      </c>
      <c r="AA2094" s="62">
        <f>IF($H2094&lt;&gt;"Y",0,(IF($F2094&lt;&gt;"",ROUND(Dashboard!$R$4/$F2094,1),IF(AND($I2094="Base",$E2094="Base"),Dashboard!$R$5,IF(AND($I2094="Base",$E2094="Red"),Dashboard!$R$6,IF(AND($I2094="Base",$E2094="Gold"),Dashboard!$R$7,VLOOKUP($I2094,Dashboard!$Q$16:$R$21,2,FALSE)))))*VLOOKUP($I2094,Dashboard!$Q$9:$R$13,2,FALSE)*IF(AND($I2094="Auto",$F2094="",OR($B2094="Autographs Duals",$B2094="Autographs Triples",$B2094="Autographs Quads",$B2094="Autographs Quads (Inscribed)")),IF($B2094="Autographs Duals",2,IF($B2094="Autographs Triples",3,4)),1)))</f>
        <v>50</v>
      </c>
      <c r="AB2094" s="62">
        <f t="shared" si="427"/>
        <v>0</v>
      </c>
      <c r="AC2094" s="62">
        <f t="shared" si="428"/>
        <v>0</v>
      </c>
    </row>
    <row r="2095" spans="1:29" ht="30" customHeight="1" x14ac:dyDescent="0.25">
      <c r="A2095" s="4" t="s">
        <v>37</v>
      </c>
      <c r="B2095" s="7" t="s">
        <v>214</v>
      </c>
      <c r="C2095" s="2" t="s">
        <v>307</v>
      </c>
      <c r="D2095" s="7" t="s">
        <v>308</v>
      </c>
      <c r="E2095" s="4" t="s">
        <v>60</v>
      </c>
      <c r="F2095" s="2"/>
      <c r="G2095" s="2" t="s">
        <v>1399</v>
      </c>
      <c r="H2095" s="2" t="s">
        <v>1400</v>
      </c>
      <c r="I2095" s="4" t="s">
        <v>68</v>
      </c>
      <c r="J2095" s="112">
        <f>IF($H2095&lt;&gt;"Y",0,ROUND(MIN(Dashboard!$R$24,IF(IFERROR(VLOOKUP($B2095,Dashboard!$Q$28:$S$60,2,FALSE),0)&gt;0,IFERROR(VLOOKUP($B2095,Dashboard!$Q$28:$S$60,2,FALSE),0),$Z2095*IF($U2095&lt;&gt;"",ROUND((Dashboard!$R$4/$U2095)*VLOOKUP($I2095,Dashboard!$Q$9:$R$13,2,FALSE)*IF(ISNUMBER(SEARCH("Duals",$B2095)),2,IF(ISNUMBER(SEARCH("Triples",$B2095)),3,IF(ISNUMBER(SEARCH("Quads",$B2095)),4,1))),2),ROUND(VLOOKUP($I2095,Dashboard!$Q$15:$R$20,2,FALSE)*IF($E2095="Red",Dashboard!$R$6,IF($E2095="Gold",Dashboard!$R$7,Dashboard!$R$5))*IF(ISNUMBER(SEARCH("Duals",$B2095)),2,IF(ISNUMBER(SEARCH("Triples",$B2095)),3,IF(ISNUMBER(SEARCH("Quads",$B2095)),4,1))),2))*IF(IFERROR(VLOOKUP($B2095,Dashboard!$Q$28:$S$60,3,FALSE),0)&gt;0,VLOOKUP($B2095,Dashboard!$Q$28:$S$60,3,FALSE),1))),0))</f>
        <v>15</v>
      </c>
      <c r="K2095" s="2" t="str">
        <f>IF('Autos - Singles'!D60="","",'Autos - Singles'!D60)</f>
        <v>d</v>
      </c>
      <c r="L2095" s="2">
        <f t="shared" si="416"/>
        <v>1</v>
      </c>
      <c r="M2095" s="2">
        <f t="shared" si="417"/>
        <v>0</v>
      </c>
      <c r="N2095" s="2">
        <f t="shared" si="418"/>
        <v>1</v>
      </c>
      <c r="O2095" s="2">
        <f t="shared" si="419"/>
        <v>0</v>
      </c>
      <c r="P2095" s="112">
        <f t="shared" si="420"/>
        <v>15</v>
      </c>
      <c r="Q2095" s="112">
        <f t="shared" si="421"/>
        <v>0</v>
      </c>
      <c r="R2095" s="53"/>
      <c r="S2095" s="53" t="str">
        <f t="shared" si="422"/>
        <v>Autos - Singles|Autographs|A-SS|Base</v>
      </c>
      <c r="T2095" s="57">
        <f>IF($S2095="","",IFERROR(VLOOKUP($S2095,'Pop Estimates (Non-#d)'!$N$2:$O$500,2,FALSE),""))</f>
        <v>130</v>
      </c>
      <c r="U2095" s="57">
        <f t="shared" si="423"/>
        <v>130</v>
      </c>
      <c r="V2095" s="53" t="str">
        <f t="shared" si="424"/>
        <v>Becca Butcher</v>
      </c>
      <c r="W2095" s="53" t="str">
        <f t="shared" si="425"/>
        <v>Becca Butcher</v>
      </c>
      <c r="X2095" s="53" t="str">
        <f t="shared" si="426"/>
        <v>Becca Butcher</v>
      </c>
      <c r="Y2095" s="57">
        <f>IF($X2095="","",IFERROR(VLOOKUP($X2095,'Char Popularity'!$A$2:$C$500,2,FALSE),""))</f>
        <v>3</v>
      </c>
      <c r="Z2095" s="56">
        <f>IF($X2095="",1,IFERROR(VLOOKUP($X2095,'Char Popularity'!$A$2:$C$500,3,FALSE),1))</f>
        <v>1</v>
      </c>
      <c r="AA2095" s="62">
        <f>IF($H2095&lt;&gt;"Y",0,(IF($F2095&lt;&gt;"",ROUND(Dashboard!$R$4/$F2095,1),IF(AND($I2095="Base",$E2095="Base"),Dashboard!$R$5,IF(AND($I2095="Base",$E2095="Red"),Dashboard!$R$6,IF(AND($I2095="Base",$E2095="Gold"),Dashboard!$R$7,VLOOKUP($I2095,Dashboard!$Q$16:$R$21,2,FALSE)))))*VLOOKUP($I2095,Dashboard!$Q$9:$R$13,2,FALSE)*IF(AND($I2095="Auto",$F2095="",OR($B2095="Autographs Duals",$B2095="Autographs Triples",$B2095="Autographs Quads",$B2095="Autographs Quads (Inscribed)")),IF($B2095="Autographs Duals",2,IF($B2095="Autographs Triples",3,4)),1)))</f>
        <v>50</v>
      </c>
      <c r="AB2095" s="62">
        <f t="shared" si="427"/>
        <v>50</v>
      </c>
      <c r="AC2095" s="62">
        <f t="shared" si="428"/>
        <v>0</v>
      </c>
    </row>
    <row r="2096" spans="1:29" ht="30" customHeight="1" x14ac:dyDescent="0.25">
      <c r="A2096" s="4" t="s">
        <v>37</v>
      </c>
      <c r="B2096" s="7" t="s">
        <v>214</v>
      </c>
      <c r="C2096" s="2" t="s">
        <v>309</v>
      </c>
      <c r="D2096" s="7" t="s">
        <v>222</v>
      </c>
      <c r="E2096" s="4" t="s">
        <v>60</v>
      </c>
      <c r="F2096" s="2"/>
      <c r="G2096" s="2" t="s">
        <v>1399</v>
      </c>
      <c r="H2096" s="2" t="s">
        <v>1400</v>
      </c>
      <c r="I2096" s="4" t="s">
        <v>68</v>
      </c>
      <c r="J2096" s="112">
        <f>IF($H2096&lt;&gt;"Y",0,ROUND(MIN(Dashboard!$R$24,IF(IFERROR(VLOOKUP($B2096,Dashboard!$Q$28:$S$60,2,FALSE),0)&gt;0,IFERROR(VLOOKUP($B2096,Dashboard!$Q$28:$S$60,2,FALSE),0),$Z2096*IF($U2096&lt;&gt;"",ROUND((Dashboard!$R$4/$U2096)*VLOOKUP($I2096,Dashboard!$Q$9:$R$13,2,FALSE)*IF(ISNUMBER(SEARCH("Duals",$B2096)),2,IF(ISNUMBER(SEARCH("Triples",$B2096)),3,IF(ISNUMBER(SEARCH("Quads",$B2096)),4,1))),2),ROUND(VLOOKUP($I2096,Dashboard!$Q$15:$R$20,2,FALSE)*IF($E2096="Red",Dashboard!$R$6,IF($E2096="Gold",Dashboard!$R$7,Dashboard!$R$5))*IF(ISNUMBER(SEARCH("Duals",$B2096)),2,IF(ISNUMBER(SEARCH("Triples",$B2096)),3,IF(ISNUMBER(SEARCH("Quads",$B2096)),4,1))),2))*IF(IFERROR(VLOOKUP($B2096,Dashboard!$Q$28:$S$60,3,FALSE),0)&gt;0,VLOOKUP($B2096,Dashboard!$Q$28:$S$60,3,FALSE),1))),0))</f>
        <v>18</v>
      </c>
      <c r="K2096" s="2" t="str">
        <f>IF('Autos - Singles'!D61="","",'Autos - Singles'!D61)</f>
        <v/>
      </c>
      <c r="L2096" s="2">
        <f t="shared" si="416"/>
        <v>0</v>
      </c>
      <c r="M2096" s="2">
        <f t="shared" si="417"/>
        <v>0</v>
      </c>
      <c r="N2096" s="2">
        <f t="shared" si="418"/>
        <v>0</v>
      </c>
      <c r="O2096" s="2">
        <f t="shared" si="419"/>
        <v>1</v>
      </c>
      <c r="P2096" s="112">
        <f t="shared" si="420"/>
        <v>0</v>
      </c>
      <c r="Q2096" s="112">
        <f t="shared" si="421"/>
        <v>0</v>
      </c>
      <c r="R2096" s="53"/>
      <c r="S2096" s="53" t="str">
        <f t="shared" si="422"/>
        <v>Autos - Singles|Autographs|A-ST|Base</v>
      </c>
      <c r="T2096" s="57">
        <f>IF($S2096="","",IFERROR(VLOOKUP($S2096,'Pop Estimates (Non-#d)'!$N$2:$O$500,2,FALSE),""))</f>
        <v>130</v>
      </c>
      <c r="U2096" s="57">
        <f t="shared" si="423"/>
        <v>130</v>
      </c>
      <c r="V2096" s="53" t="str">
        <f t="shared" si="424"/>
        <v>Homelander</v>
      </c>
      <c r="W2096" s="53" t="str">
        <f t="shared" si="425"/>
        <v>Homelander</v>
      </c>
      <c r="X2096" s="53" t="str">
        <f t="shared" si="426"/>
        <v>Homelander</v>
      </c>
      <c r="Y2096" s="57">
        <f>IF($X2096="","",IFERROR(VLOOKUP($X2096,'Char Popularity'!$A$2:$C$500,2,FALSE),""))</f>
        <v>5</v>
      </c>
      <c r="Z2096" s="56">
        <f>IF($X2096="",1,IFERROR(VLOOKUP($X2096,'Char Popularity'!$A$2:$C$500,3,FALSE),1))</f>
        <v>1.2</v>
      </c>
      <c r="AA2096" s="62">
        <f>IF($H2096&lt;&gt;"Y",0,(IF($F2096&lt;&gt;"",ROUND(Dashboard!$R$4/$F2096,1),IF(AND($I2096="Base",$E2096="Base"),Dashboard!$R$5,IF(AND($I2096="Base",$E2096="Red"),Dashboard!$R$6,IF(AND($I2096="Base",$E2096="Gold"),Dashboard!$R$7,VLOOKUP($I2096,Dashboard!$Q$16:$R$21,2,FALSE)))))*VLOOKUP($I2096,Dashboard!$Q$9:$R$13,2,FALSE)*IF(AND($I2096="Auto",$F2096="",OR($B2096="Autographs Duals",$B2096="Autographs Triples",$B2096="Autographs Quads",$B2096="Autographs Quads (Inscribed)")),IF($B2096="Autographs Duals",2,IF($B2096="Autographs Triples",3,4)),1)))</f>
        <v>50</v>
      </c>
      <c r="AB2096" s="62">
        <f t="shared" si="427"/>
        <v>0</v>
      </c>
      <c r="AC2096" s="62">
        <f t="shared" si="428"/>
        <v>0</v>
      </c>
    </row>
    <row r="2097" spans="1:29" ht="30" customHeight="1" x14ac:dyDescent="0.25">
      <c r="A2097" s="4" t="s">
        <v>37</v>
      </c>
      <c r="B2097" s="7" t="s">
        <v>214</v>
      </c>
      <c r="C2097" s="2" t="s">
        <v>310</v>
      </c>
      <c r="D2097" s="7" t="s">
        <v>308</v>
      </c>
      <c r="E2097" s="4" t="s">
        <v>60</v>
      </c>
      <c r="F2097" s="2"/>
      <c r="G2097" s="2" t="s">
        <v>1399</v>
      </c>
      <c r="H2097" s="2" t="s">
        <v>1400</v>
      </c>
      <c r="I2097" s="4" t="s">
        <v>68</v>
      </c>
      <c r="J2097" s="112">
        <f>IF($H2097&lt;&gt;"Y",0,ROUND(MIN(Dashboard!$R$24,IF(IFERROR(VLOOKUP($B2097,Dashboard!$Q$28:$S$60,2,FALSE),0)&gt;0,IFERROR(VLOOKUP($B2097,Dashboard!$Q$28:$S$60,2,FALSE),0),$Z2097*IF($U2097&lt;&gt;"",ROUND((Dashboard!$R$4/$U2097)*VLOOKUP($I2097,Dashboard!$Q$9:$R$13,2,FALSE)*IF(ISNUMBER(SEARCH("Duals",$B2097)),2,IF(ISNUMBER(SEARCH("Triples",$B2097)),3,IF(ISNUMBER(SEARCH("Quads",$B2097)),4,1))),2),ROUND(VLOOKUP($I2097,Dashboard!$Q$15:$R$20,2,FALSE)*IF($E2097="Red",Dashboard!$R$6,IF($E2097="Gold",Dashboard!$R$7,Dashboard!$R$5))*IF(ISNUMBER(SEARCH("Duals",$B2097)),2,IF(ISNUMBER(SEARCH("Triples",$B2097)),3,IF(ISNUMBER(SEARCH("Quads",$B2097)),4,1))),2))*IF(IFERROR(VLOOKUP($B2097,Dashboard!$Q$28:$S$60,3,FALSE),0)&gt;0,VLOOKUP($B2097,Dashboard!$Q$28:$S$60,3,FALSE),1))),0))</f>
        <v>15</v>
      </c>
      <c r="K2097" s="2" t="str">
        <f>IF('Autos - Singles'!D62="","",'Autos - Singles'!D62)</f>
        <v>C</v>
      </c>
      <c r="L2097" s="2">
        <f t="shared" si="416"/>
        <v>1</v>
      </c>
      <c r="M2097" s="2">
        <f t="shared" si="417"/>
        <v>0</v>
      </c>
      <c r="N2097" s="2">
        <f t="shared" si="418"/>
        <v>1</v>
      </c>
      <c r="O2097" s="2">
        <f t="shared" si="419"/>
        <v>0</v>
      </c>
      <c r="P2097" s="112">
        <f t="shared" si="420"/>
        <v>15</v>
      </c>
      <c r="Q2097" s="112">
        <f t="shared" si="421"/>
        <v>0</v>
      </c>
      <c r="R2097" s="53"/>
      <c r="S2097" s="53" t="str">
        <f t="shared" si="422"/>
        <v>Autos - Singles|Autographs|A-SV|Base</v>
      </c>
      <c r="T2097" s="57">
        <f>IF($S2097="","",IFERROR(VLOOKUP($S2097,'Pop Estimates (Non-#d)'!$N$2:$O$500,2,FALSE),""))</f>
        <v>130</v>
      </c>
      <c r="U2097" s="57">
        <f t="shared" si="423"/>
        <v>130</v>
      </c>
      <c r="V2097" s="53" t="str">
        <f t="shared" si="424"/>
        <v>Becca Butcher</v>
      </c>
      <c r="W2097" s="53" t="str">
        <f t="shared" si="425"/>
        <v>Becca Butcher</v>
      </c>
      <c r="X2097" s="53" t="str">
        <f t="shared" si="426"/>
        <v>Becca Butcher</v>
      </c>
      <c r="Y2097" s="57">
        <f>IF($X2097="","",IFERROR(VLOOKUP($X2097,'Char Popularity'!$A$2:$C$500,2,FALSE),""))</f>
        <v>3</v>
      </c>
      <c r="Z2097" s="56">
        <f>IF($X2097="",1,IFERROR(VLOOKUP($X2097,'Char Popularity'!$A$2:$C$500,3,FALSE),1))</f>
        <v>1</v>
      </c>
      <c r="AA2097" s="62">
        <f>IF($H2097&lt;&gt;"Y",0,(IF($F2097&lt;&gt;"",ROUND(Dashboard!$R$4/$F2097,1),IF(AND($I2097="Base",$E2097="Base"),Dashboard!$R$5,IF(AND($I2097="Base",$E2097="Red"),Dashboard!$R$6,IF(AND($I2097="Base",$E2097="Gold"),Dashboard!$R$7,VLOOKUP($I2097,Dashboard!$Q$16:$R$21,2,FALSE)))))*VLOOKUP($I2097,Dashboard!$Q$9:$R$13,2,FALSE)*IF(AND($I2097="Auto",$F2097="",OR($B2097="Autographs Duals",$B2097="Autographs Triples",$B2097="Autographs Quads",$B2097="Autographs Quads (Inscribed)")),IF($B2097="Autographs Duals",2,IF($B2097="Autographs Triples",3,4)),1)))</f>
        <v>50</v>
      </c>
      <c r="AB2097" s="62">
        <f t="shared" si="427"/>
        <v>50</v>
      </c>
      <c r="AC2097" s="62">
        <f t="shared" si="428"/>
        <v>0</v>
      </c>
    </row>
    <row r="2098" spans="1:29" ht="30" customHeight="1" x14ac:dyDescent="0.25">
      <c r="A2098" s="4" t="s">
        <v>37</v>
      </c>
      <c r="B2098" s="7" t="s">
        <v>214</v>
      </c>
      <c r="C2098" s="2" t="s">
        <v>311</v>
      </c>
      <c r="D2098" s="7" t="s">
        <v>288</v>
      </c>
      <c r="E2098" s="4" t="s">
        <v>60</v>
      </c>
      <c r="F2098" s="2"/>
      <c r="G2098" s="2" t="s">
        <v>1399</v>
      </c>
      <c r="H2098" s="2" t="s">
        <v>1400</v>
      </c>
      <c r="I2098" s="4" t="s">
        <v>68</v>
      </c>
      <c r="J2098" s="112">
        <f>IF($H2098&lt;&gt;"Y",0,ROUND(MIN(Dashboard!$R$24,IF(IFERROR(VLOOKUP($B2098,Dashboard!$Q$28:$S$60,2,FALSE),0)&gt;0,IFERROR(VLOOKUP($B2098,Dashboard!$Q$28:$S$60,2,FALSE),0),$Z2098*IF($U2098&lt;&gt;"",ROUND((Dashboard!$R$4/$U2098)*VLOOKUP($I2098,Dashboard!$Q$9:$R$13,2,FALSE)*IF(ISNUMBER(SEARCH("Duals",$B2098)),2,IF(ISNUMBER(SEARCH("Triples",$B2098)),3,IF(ISNUMBER(SEARCH("Quads",$B2098)),4,1))),2),ROUND(VLOOKUP($I2098,Dashboard!$Q$15:$R$20,2,FALSE)*IF($E2098="Red",Dashboard!$R$6,IF($E2098="Gold",Dashboard!$R$7,Dashboard!$R$5))*IF(ISNUMBER(SEARCH("Duals",$B2098)),2,IF(ISNUMBER(SEARCH("Triples",$B2098)),3,IF(ISNUMBER(SEARCH("Quads",$B2098)),4,1))),2))*IF(IFERROR(VLOOKUP($B2098,Dashboard!$Q$28:$S$60,3,FALSE),0)&gt;0,VLOOKUP($B2098,Dashboard!$Q$28:$S$60,3,FALSE),1))),0))</f>
        <v>14</v>
      </c>
      <c r="K2098" s="2" t="str">
        <f>IF('Autos - Singles'!D63="","",'Autos - Singles'!D63)</f>
        <v>C</v>
      </c>
      <c r="L2098" s="2">
        <f t="shared" si="416"/>
        <v>1</v>
      </c>
      <c r="M2098" s="2">
        <f t="shared" si="417"/>
        <v>0</v>
      </c>
      <c r="N2098" s="2">
        <f t="shared" si="418"/>
        <v>1</v>
      </c>
      <c r="O2098" s="2">
        <f t="shared" si="419"/>
        <v>0</v>
      </c>
      <c r="P2098" s="112">
        <f t="shared" si="420"/>
        <v>14</v>
      </c>
      <c r="Q2098" s="112">
        <f t="shared" si="421"/>
        <v>0</v>
      </c>
      <c r="R2098" s="53"/>
      <c r="S2098" s="53" t="str">
        <f t="shared" si="422"/>
        <v>Autos - Singles|Autographs|A-TB|Base</v>
      </c>
      <c r="T2098" s="57">
        <f>IF($S2098="","",IFERROR(VLOOKUP($S2098,'Pop Estimates (Non-#d)'!$N$2:$O$500,2,FALSE),""))</f>
        <v>130</v>
      </c>
      <c r="U2098" s="57">
        <f t="shared" si="423"/>
        <v>130</v>
      </c>
      <c r="V2098" s="53" t="str">
        <f t="shared" si="424"/>
        <v>Shockwave</v>
      </c>
      <c r="W2098" s="53" t="str">
        <f t="shared" si="425"/>
        <v>Shockwave</v>
      </c>
      <c r="X2098" s="53" t="str">
        <f t="shared" si="426"/>
        <v>Shockwave</v>
      </c>
      <c r="Y2098" s="57">
        <f>IF($X2098="","",IFERROR(VLOOKUP($X2098,'Char Popularity'!$A$2:$C$500,2,FALSE),""))</f>
        <v>2</v>
      </c>
      <c r="Z2098" s="56">
        <f>IF($X2098="",1,IFERROR(VLOOKUP($X2098,'Char Popularity'!$A$2:$C$500,3,FALSE),1))</f>
        <v>0.9</v>
      </c>
      <c r="AA2098" s="62">
        <f>IF($H2098&lt;&gt;"Y",0,(IF($F2098&lt;&gt;"",ROUND(Dashboard!$R$4/$F2098,1),IF(AND($I2098="Base",$E2098="Base"),Dashboard!$R$5,IF(AND($I2098="Base",$E2098="Red"),Dashboard!$R$6,IF(AND($I2098="Base",$E2098="Gold"),Dashboard!$R$7,VLOOKUP($I2098,Dashboard!$Q$16:$R$21,2,FALSE)))))*VLOOKUP($I2098,Dashboard!$Q$9:$R$13,2,FALSE)*IF(AND($I2098="Auto",$F2098="",OR($B2098="Autographs Duals",$B2098="Autographs Triples",$B2098="Autographs Quads",$B2098="Autographs Quads (Inscribed)")),IF($B2098="Autographs Duals",2,IF($B2098="Autographs Triples",3,4)),1)))</f>
        <v>50</v>
      </c>
      <c r="AB2098" s="62">
        <f t="shared" si="427"/>
        <v>50</v>
      </c>
      <c r="AC2098" s="62">
        <f t="shared" si="428"/>
        <v>0</v>
      </c>
    </row>
    <row r="2099" spans="1:29" ht="30" customHeight="1" x14ac:dyDescent="0.25">
      <c r="A2099" s="4" t="s">
        <v>37</v>
      </c>
      <c r="B2099" s="7" t="s">
        <v>214</v>
      </c>
      <c r="C2099" s="2" t="s">
        <v>312</v>
      </c>
      <c r="D2099" s="7" t="s">
        <v>238</v>
      </c>
      <c r="E2099" s="4" t="s">
        <v>60</v>
      </c>
      <c r="F2099" s="2"/>
      <c r="G2099" s="2" t="s">
        <v>1399</v>
      </c>
      <c r="H2099" s="2" t="s">
        <v>1400</v>
      </c>
      <c r="I2099" s="4" t="s">
        <v>68</v>
      </c>
      <c r="J2099" s="112">
        <f>IF($H2099&lt;&gt;"Y",0,ROUND(MIN(Dashboard!$R$24,IF(IFERROR(VLOOKUP($B2099,Dashboard!$Q$28:$S$60,2,FALSE),0)&gt;0,IFERROR(VLOOKUP($B2099,Dashboard!$Q$28:$S$60,2,FALSE),0),$Z2099*IF($U2099&lt;&gt;"",ROUND((Dashboard!$R$4/$U2099)*VLOOKUP($I2099,Dashboard!$Q$9:$R$13,2,FALSE)*IF(ISNUMBER(SEARCH("Duals",$B2099)),2,IF(ISNUMBER(SEARCH("Triples",$B2099)),3,IF(ISNUMBER(SEARCH("Quads",$B2099)),4,1))),2),ROUND(VLOOKUP($I2099,Dashboard!$Q$15:$R$20,2,FALSE)*IF($E2099="Red",Dashboard!$R$6,IF($E2099="Gold",Dashboard!$R$7,Dashboard!$R$5))*IF(ISNUMBER(SEARCH("Duals",$B2099)),2,IF(ISNUMBER(SEARCH("Triples",$B2099)),3,IF(ISNUMBER(SEARCH("Quads",$B2099)),4,1))),2))*IF(IFERROR(VLOOKUP($B2099,Dashboard!$Q$28:$S$60,3,FALSE),0)&gt;0,VLOOKUP($B2099,Dashboard!$Q$28:$S$60,3,FALSE),1))),0))</f>
        <v>17</v>
      </c>
      <c r="K2099" s="2" t="str">
        <f>IF('Autos - Singles'!D64="","",'Autos - Singles'!D64)</f>
        <v>C</v>
      </c>
      <c r="L2099" s="2">
        <f t="shared" si="416"/>
        <v>1</v>
      </c>
      <c r="M2099" s="2">
        <f t="shared" si="417"/>
        <v>0</v>
      </c>
      <c r="N2099" s="2">
        <f t="shared" si="418"/>
        <v>1</v>
      </c>
      <c r="O2099" s="2">
        <f t="shared" si="419"/>
        <v>0</v>
      </c>
      <c r="P2099" s="112">
        <f t="shared" si="420"/>
        <v>17</v>
      </c>
      <c r="Q2099" s="112">
        <f t="shared" si="421"/>
        <v>0</v>
      </c>
      <c r="R2099" s="53"/>
      <c r="S2099" s="53" t="str">
        <f t="shared" si="422"/>
        <v>Autos - Singles|Autographs|A-TC|Base</v>
      </c>
      <c r="T2099" s="57">
        <f>IF($S2099="","",IFERROR(VLOOKUP($S2099,'Pop Estimates (Non-#d)'!$N$2:$O$500,2,FALSE),""))</f>
        <v>130</v>
      </c>
      <c r="U2099" s="57">
        <f t="shared" si="423"/>
        <v>130</v>
      </c>
      <c r="V2099" s="53" t="str">
        <f t="shared" si="424"/>
        <v>Frenchie</v>
      </c>
      <c r="W2099" s="53" t="str">
        <f t="shared" si="425"/>
        <v>Frenchie</v>
      </c>
      <c r="X2099" s="53" t="str">
        <f t="shared" si="426"/>
        <v>Frenchie</v>
      </c>
      <c r="Y2099" s="57">
        <f>IF($X2099="","",IFERROR(VLOOKUP($X2099,'Char Popularity'!$A$2:$C$500,2,FALSE),""))</f>
        <v>4</v>
      </c>
      <c r="Z2099" s="56">
        <f>IF($X2099="",1,IFERROR(VLOOKUP($X2099,'Char Popularity'!$A$2:$C$500,3,FALSE),1))</f>
        <v>1.1000000000000001</v>
      </c>
      <c r="AA2099" s="62">
        <f>IF($H2099&lt;&gt;"Y",0,(IF($F2099&lt;&gt;"",ROUND(Dashboard!$R$4/$F2099,1),IF(AND($I2099="Base",$E2099="Base"),Dashboard!$R$5,IF(AND($I2099="Base",$E2099="Red"),Dashboard!$R$6,IF(AND($I2099="Base",$E2099="Gold"),Dashboard!$R$7,VLOOKUP($I2099,Dashboard!$Q$16:$R$21,2,FALSE)))))*VLOOKUP($I2099,Dashboard!$Q$9:$R$13,2,FALSE)*IF(AND($I2099="Auto",$F2099="",OR($B2099="Autographs Duals",$B2099="Autographs Triples",$B2099="Autographs Quads",$B2099="Autographs Quads (Inscribed)")),IF($B2099="Autographs Duals",2,IF($B2099="Autographs Triples",3,4)),1)))</f>
        <v>50</v>
      </c>
      <c r="AB2099" s="62">
        <f t="shared" si="427"/>
        <v>50</v>
      </c>
      <c r="AC2099" s="62">
        <f t="shared" si="428"/>
        <v>0</v>
      </c>
    </row>
    <row r="2100" spans="1:29" ht="30" customHeight="1" x14ac:dyDescent="0.25">
      <c r="A2100" s="4" t="s">
        <v>37</v>
      </c>
      <c r="B2100" s="7" t="s">
        <v>214</v>
      </c>
      <c r="C2100" s="2" t="s">
        <v>313</v>
      </c>
      <c r="D2100" s="7" t="s">
        <v>274</v>
      </c>
      <c r="E2100" s="4" t="s">
        <v>60</v>
      </c>
      <c r="F2100" s="2"/>
      <c r="G2100" s="2" t="s">
        <v>1399</v>
      </c>
      <c r="H2100" s="2" t="s">
        <v>1400</v>
      </c>
      <c r="I2100" s="4" t="s">
        <v>68</v>
      </c>
      <c r="J2100" s="112">
        <f>IF($H2100&lt;&gt;"Y",0,ROUND(MIN(Dashboard!$R$24,IF(IFERROR(VLOOKUP($B2100,Dashboard!$Q$28:$S$60,2,FALSE),0)&gt;0,IFERROR(VLOOKUP($B2100,Dashboard!$Q$28:$S$60,2,FALSE),0),$Z2100*IF($U2100&lt;&gt;"",ROUND((Dashboard!$R$4/$U2100)*VLOOKUP($I2100,Dashboard!$Q$9:$R$13,2,FALSE)*IF(ISNUMBER(SEARCH("Duals",$B2100)),2,IF(ISNUMBER(SEARCH("Triples",$B2100)),3,IF(ISNUMBER(SEARCH("Quads",$B2100)),4,1))),2),ROUND(VLOOKUP($I2100,Dashboard!$Q$15:$R$20,2,FALSE)*IF($E2100="Red",Dashboard!$R$6,IF($E2100="Gold",Dashboard!$R$7,Dashboard!$R$5))*IF(ISNUMBER(SEARCH("Duals",$B2100)),2,IF(ISNUMBER(SEARCH("Triples",$B2100)),3,IF(ISNUMBER(SEARCH("Quads",$B2100)),4,1))),2))*IF(IFERROR(VLOOKUP($B2100,Dashboard!$Q$28:$S$60,3,FALSE),0)&gt;0,VLOOKUP($B2100,Dashboard!$Q$28:$S$60,3,FALSE),1))),0))</f>
        <v>18</v>
      </c>
      <c r="K2100" s="2" t="str">
        <f>IF('Autos - Singles'!D65="","",'Autos - Singles'!D65)</f>
        <v>V</v>
      </c>
      <c r="L2100" s="2">
        <f t="shared" si="416"/>
        <v>1</v>
      </c>
      <c r="M2100" s="2">
        <f t="shared" si="417"/>
        <v>0</v>
      </c>
      <c r="N2100" s="2">
        <f t="shared" si="418"/>
        <v>1</v>
      </c>
      <c r="O2100" s="2">
        <f t="shared" si="419"/>
        <v>0</v>
      </c>
      <c r="P2100" s="112">
        <f t="shared" si="420"/>
        <v>18</v>
      </c>
      <c r="Q2100" s="112">
        <f t="shared" si="421"/>
        <v>0</v>
      </c>
      <c r="R2100" s="53"/>
      <c r="S2100" s="53" t="str">
        <f t="shared" si="422"/>
        <v>Autos - Singles|Autographs|A-UR|Base</v>
      </c>
      <c r="T2100" s="57">
        <f>IF($S2100="","",IFERROR(VLOOKUP($S2100,'Pop Estimates (Non-#d)'!$N$2:$O$500,2,FALSE),""))</f>
        <v>130</v>
      </c>
      <c r="U2100" s="57">
        <f t="shared" si="423"/>
        <v>130</v>
      </c>
      <c r="V2100" s="53" t="str">
        <f t="shared" si="424"/>
        <v>Billy Butcher</v>
      </c>
      <c r="W2100" s="53" t="str">
        <f t="shared" si="425"/>
        <v>Billy Butcher</v>
      </c>
      <c r="X2100" s="53" t="str">
        <f t="shared" si="426"/>
        <v>Billy Butcher</v>
      </c>
      <c r="Y2100" s="57">
        <f>IF($X2100="","",IFERROR(VLOOKUP($X2100,'Char Popularity'!$A$2:$C$500,2,FALSE),""))</f>
        <v>5</v>
      </c>
      <c r="Z2100" s="56">
        <f>IF($X2100="",1,IFERROR(VLOOKUP($X2100,'Char Popularity'!$A$2:$C$500,3,FALSE),1))</f>
        <v>1.2</v>
      </c>
      <c r="AA2100" s="62">
        <f>IF($H2100&lt;&gt;"Y",0,(IF($F2100&lt;&gt;"",ROUND(Dashboard!$R$4/$F2100,1),IF(AND($I2100="Base",$E2100="Base"),Dashboard!$R$5,IF(AND($I2100="Base",$E2100="Red"),Dashboard!$R$6,IF(AND($I2100="Base",$E2100="Gold"),Dashboard!$R$7,VLOOKUP($I2100,Dashboard!$Q$16:$R$21,2,FALSE)))))*VLOOKUP($I2100,Dashboard!$Q$9:$R$13,2,FALSE)*IF(AND($I2100="Auto",$F2100="",OR($B2100="Autographs Duals",$B2100="Autographs Triples",$B2100="Autographs Quads",$B2100="Autographs Quads (Inscribed)")),IF($B2100="Autographs Duals",2,IF($B2100="Autographs Triples",3,4)),1)))</f>
        <v>50</v>
      </c>
      <c r="AB2100" s="62">
        <f t="shared" si="427"/>
        <v>50</v>
      </c>
      <c r="AC2100" s="62">
        <f t="shared" si="428"/>
        <v>0</v>
      </c>
    </row>
    <row r="2101" spans="1:29" ht="30" customHeight="1" x14ac:dyDescent="0.25">
      <c r="A2101" s="4" t="s">
        <v>37</v>
      </c>
      <c r="B2101" s="7" t="s">
        <v>214</v>
      </c>
      <c r="C2101" s="2" t="s">
        <v>314</v>
      </c>
      <c r="D2101" s="7" t="s">
        <v>276</v>
      </c>
      <c r="E2101" s="4" t="s">
        <v>60</v>
      </c>
      <c r="F2101" s="2"/>
      <c r="G2101" s="2" t="s">
        <v>1399</v>
      </c>
      <c r="H2101" s="2" t="s">
        <v>1400</v>
      </c>
      <c r="I2101" s="4" t="s">
        <v>68</v>
      </c>
      <c r="J2101" s="112">
        <f>IF($H2101&lt;&gt;"Y",0,ROUND(MIN(Dashboard!$R$24,IF(IFERROR(VLOOKUP($B2101,Dashboard!$Q$28:$S$60,2,FALSE),0)&gt;0,IFERROR(VLOOKUP($B2101,Dashboard!$Q$28:$S$60,2,FALSE),0),$Z2101*IF($U2101&lt;&gt;"",ROUND((Dashboard!$R$4/$U2101)*VLOOKUP($I2101,Dashboard!$Q$9:$R$13,2,FALSE)*IF(ISNUMBER(SEARCH("Duals",$B2101)),2,IF(ISNUMBER(SEARCH("Triples",$B2101)),3,IF(ISNUMBER(SEARCH("Quads",$B2101)),4,1))),2),ROUND(VLOOKUP($I2101,Dashboard!$Q$15:$R$20,2,FALSE)*IF($E2101="Red",Dashboard!$R$6,IF($E2101="Gold",Dashboard!$R$7,Dashboard!$R$5))*IF(ISNUMBER(SEARCH("Duals",$B2101)),2,IF(ISNUMBER(SEARCH("Triples",$B2101)),3,IF(ISNUMBER(SEARCH("Quads",$B2101)),4,1))),2))*IF(IFERROR(VLOOKUP($B2101,Dashboard!$Q$28:$S$60,3,FALSE),0)&gt;0,VLOOKUP($B2101,Dashboard!$Q$28:$S$60,3,FALSE),1))),0))</f>
        <v>17</v>
      </c>
      <c r="K2101" s="2" t="str">
        <f>IF('Autos - Singles'!D66="","",'Autos - Singles'!D66)</f>
        <v/>
      </c>
      <c r="L2101" s="2">
        <f t="shared" si="416"/>
        <v>0</v>
      </c>
      <c r="M2101" s="2">
        <f t="shared" si="417"/>
        <v>0</v>
      </c>
      <c r="N2101" s="2">
        <f t="shared" si="418"/>
        <v>0</v>
      </c>
      <c r="O2101" s="2">
        <f t="shared" si="419"/>
        <v>1</v>
      </c>
      <c r="P2101" s="112">
        <f t="shared" si="420"/>
        <v>0</v>
      </c>
      <c r="Q2101" s="112">
        <f t="shared" si="421"/>
        <v>0</v>
      </c>
      <c r="R2101" s="53"/>
      <c r="S2101" s="53" t="str">
        <f t="shared" si="422"/>
        <v>Autos - Singles|Autographs|A-ZA|Base</v>
      </c>
      <c r="T2101" s="57">
        <f>IF($S2101="","",IFERROR(VLOOKUP($S2101,'Pop Estimates (Non-#d)'!$N$2:$O$500,2,FALSE),""))</f>
        <v>130</v>
      </c>
      <c r="U2101" s="57">
        <f t="shared" si="423"/>
        <v>130</v>
      </c>
      <c r="V2101" s="53" t="str">
        <f t="shared" si="424"/>
        <v>Mother's Milk</v>
      </c>
      <c r="W2101" s="53" t="str">
        <f t="shared" si="425"/>
        <v>Mother's Milk</v>
      </c>
      <c r="X2101" s="53" t="str">
        <f t="shared" si="426"/>
        <v>Mother's Milk</v>
      </c>
      <c r="Y2101" s="57">
        <f>IF($X2101="","",IFERROR(VLOOKUP($X2101,'Char Popularity'!$A$2:$C$500,2,FALSE),""))</f>
        <v>4</v>
      </c>
      <c r="Z2101" s="56">
        <f>IF($X2101="",1,IFERROR(VLOOKUP($X2101,'Char Popularity'!$A$2:$C$500,3,FALSE),1))</f>
        <v>1.1000000000000001</v>
      </c>
      <c r="AA2101" s="62">
        <f>IF($H2101&lt;&gt;"Y",0,(IF($F2101&lt;&gt;"",ROUND(Dashboard!$R$4/$F2101,1),IF(AND($I2101="Base",$E2101="Base"),Dashboard!$R$5,IF(AND($I2101="Base",$E2101="Red"),Dashboard!$R$6,IF(AND($I2101="Base",$E2101="Gold"),Dashboard!$R$7,VLOOKUP($I2101,Dashboard!$Q$16:$R$21,2,FALSE)))))*VLOOKUP($I2101,Dashboard!$Q$9:$R$13,2,FALSE)*IF(AND($I2101="Auto",$F2101="",OR($B2101="Autographs Duals",$B2101="Autographs Triples",$B2101="Autographs Quads",$B2101="Autographs Quads (Inscribed)")),IF($B2101="Autographs Duals",2,IF($B2101="Autographs Triples",3,4)),1)))</f>
        <v>50</v>
      </c>
      <c r="AB2101" s="62">
        <f t="shared" si="427"/>
        <v>0</v>
      </c>
      <c r="AC2101" s="62">
        <f t="shared" si="428"/>
        <v>0</v>
      </c>
    </row>
    <row r="2102" spans="1:29" ht="30" customHeight="1" x14ac:dyDescent="0.25">
      <c r="A2102" s="4" t="s">
        <v>37</v>
      </c>
      <c r="B2102" s="7" t="s">
        <v>214</v>
      </c>
      <c r="C2102" s="2" t="s">
        <v>315</v>
      </c>
      <c r="D2102" s="7" t="s">
        <v>276</v>
      </c>
      <c r="E2102" s="4" t="s">
        <v>60</v>
      </c>
      <c r="F2102" s="2"/>
      <c r="G2102" s="2" t="s">
        <v>1399</v>
      </c>
      <c r="H2102" s="2" t="s">
        <v>1400</v>
      </c>
      <c r="I2102" s="4" t="s">
        <v>68</v>
      </c>
      <c r="J2102" s="112">
        <f>IF($H2102&lt;&gt;"Y",0,ROUND(MIN(Dashboard!$R$24,IF(IFERROR(VLOOKUP($B2102,Dashboard!$Q$28:$S$60,2,FALSE),0)&gt;0,IFERROR(VLOOKUP($B2102,Dashboard!$Q$28:$S$60,2,FALSE),0),$Z2102*IF($U2102&lt;&gt;"",ROUND((Dashboard!$R$4/$U2102)*VLOOKUP($I2102,Dashboard!$Q$9:$R$13,2,FALSE)*IF(ISNUMBER(SEARCH("Duals",$B2102)),2,IF(ISNUMBER(SEARCH("Triples",$B2102)),3,IF(ISNUMBER(SEARCH("Quads",$B2102)),4,1))),2),ROUND(VLOOKUP($I2102,Dashboard!$Q$15:$R$20,2,FALSE)*IF($E2102="Red",Dashboard!$R$6,IF($E2102="Gold",Dashboard!$R$7,Dashboard!$R$5))*IF(ISNUMBER(SEARCH("Duals",$B2102)),2,IF(ISNUMBER(SEARCH("Triples",$B2102)),3,IF(ISNUMBER(SEARCH("Quads",$B2102)),4,1))),2))*IF(IFERROR(VLOOKUP($B2102,Dashboard!$Q$28:$S$60,3,FALSE),0)&gt;0,VLOOKUP($B2102,Dashboard!$Q$28:$S$60,3,FALSE),1))),0))</f>
        <v>17</v>
      </c>
      <c r="K2102" s="2" t="str">
        <f>IF('Autos - Singles'!D67="","",'Autos - Singles'!D67)</f>
        <v/>
      </c>
      <c r="L2102" s="2">
        <f t="shared" si="416"/>
        <v>0</v>
      </c>
      <c r="M2102" s="2">
        <f t="shared" si="417"/>
        <v>0</v>
      </c>
      <c r="N2102" s="2">
        <f t="shared" si="418"/>
        <v>0</v>
      </c>
      <c r="O2102" s="2">
        <f t="shared" si="419"/>
        <v>1</v>
      </c>
      <c r="P2102" s="112">
        <f t="shared" si="420"/>
        <v>0</v>
      </c>
      <c r="Q2102" s="112">
        <f t="shared" si="421"/>
        <v>0</v>
      </c>
      <c r="R2102" s="53"/>
      <c r="S2102" s="53" t="str">
        <f t="shared" si="422"/>
        <v>Autos - Singles|Autographs|A-ZZ|Base</v>
      </c>
      <c r="T2102" s="57">
        <f>IF($S2102="","",IFERROR(VLOOKUP($S2102,'Pop Estimates (Non-#d)'!$N$2:$O$500,2,FALSE),""))</f>
        <v>130</v>
      </c>
      <c r="U2102" s="57">
        <f t="shared" si="423"/>
        <v>130</v>
      </c>
      <c r="V2102" s="53" t="str">
        <f t="shared" si="424"/>
        <v>Mother's Milk</v>
      </c>
      <c r="W2102" s="53" t="str">
        <f t="shared" si="425"/>
        <v>Mother's Milk</v>
      </c>
      <c r="X2102" s="53" t="str">
        <f t="shared" si="426"/>
        <v>Mother's Milk</v>
      </c>
      <c r="Y2102" s="57">
        <f>IF($X2102="","",IFERROR(VLOOKUP($X2102,'Char Popularity'!$A$2:$C$500,2,FALSE),""))</f>
        <v>4</v>
      </c>
      <c r="Z2102" s="56">
        <f>IF($X2102="",1,IFERROR(VLOOKUP($X2102,'Char Popularity'!$A$2:$C$500,3,FALSE),1))</f>
        <v>1.1000000000000001</v>
      </c>
      <c r="AA2102" s="62">
        <f>IF($H2102&lt;&gt;"Y",0,(IF($F2102&lt;&gt;"",ROUND(Dashboard!$R$4/$F2102,1),IF(AND($I2102="Base",$E2102="Base"),Dashboard!$R$5,IF(AND($I2102="Base",$E2102="Red"),Dashboard!$R$6,IF(AND($I2102="Base",$E2102="Gold"),Dashboard!$R$7,VLOOKUP($I2102,Dashboard!$Q$16:$R$21,2,FALSE)))))*VLOOKUP($I2102,Dashboard!$Q$9:$R$13,2,FALSE)*IF(AND($I2102="Auto",$F2102="",OR($B2102="Autographs Duals",$B2102="Autographs Triples",$B2102="Autographs Quads",$B2102="Autographs Quads (Inscribed)")),IF($B2102="Autographs Duals",2,IF($B2102="Autographs Triples",3,4)),1)))</f>
        <v>50</v>
      </c>
      <c r="AB2102" s="62">
        <f t="shared" si="427"/>
        <v>0</v>
      </c>
      <c r="AC2102" s="62">
        <f t="shared" si="428"/>
        <v>0</v>
      </c>
    </row>
    <row r="2103" spans="1:29" ht="30" customHeight="1" x14ac:dyDescent="0.25">
      <c r="A2103" s="4" t="s">
        <v>37</v>
      </c>
      <c r="B2103" s="7" t="s">
        <v>214</v>
      </c>
      <c r="C2103" s="2" t="s">
        <v>231</v>
      </c>
      <c r="D2103" s="7" t="s">
        <v>232</v>
      </c>
      <c r="E2103" s="4" t="s">
        <v>176</v>
      </c>
      <c r="F2103" s="2"/>
      <c r="G2103" s="2" t="s">
        <v>1399</v>
      </c>
      <c r="H2103" s="2" t="s">
        <v>1400</v>
      </c>
      <c r="I2103" s="4" t="s">
        <v>68</v>
      </c>
      <c r="J2103" s="112">
        <f>IF($H2103&lt;&gt;"Y",0,ROUND(MIN(Dashboard!$R$24,IF(IFERROR(VLOOKUP($B2103,Dashboard!$Q$28:$S$60,2,FALSE),0)&gt;0,IFERROR(VLOOKUP($B2103,Dashboard!$Q$28:$S$60,2,FALSE),0),$Z2103*IF($U2103&lt;&gt;"",ROUND((Dashboard!$R$4/$U2103)*VLOOKUP($I2103,Dashboard!$Q$9:$R$13,2,FALSE)*IF(ISNUMBER(SEARCH("Duals",$B2103)),2,IF(ISNUMBER(SEARCH("Triples",$B2103)),3,IF(ISNUMBER(SEARCH("Quads",$B2103)),4,1))),2),ROUND(VLOOKUP($I2103,Dashboard!$Q$15:$R$20,2,FALSE)*IF($E2103="Red",Dashboard!$R$6,IF($E2103="Gold",Dashboard!$R$7,Dashboard!$R$5))*IF(ISNUMBER(SEARCH("Duals",$B2103)),2,IF(ISNUMBER(SEARCH("Triples",$B2103)),3,IF(ISNUMBER(SEARCH("Quads",$B2103)),4,1))),2))*IF(IFERROR(VLOOKUP($B2103,Dashboard!$Q$28:$S$60,3,FALSE),0)&gt;0,VLOOKUP($B2103,Dashboard!$Q$28:$S$60,3,FALSE),1))),0))</f>
        <v>17</v>
      </c>
      <c r="K2103" s="2" t="str">
        <f>IF('Autos - Singles'!F10="","",'Autos - Singles'!F10)</f>
        <v/>
      </c>
      <c r="L2103" s="2">
        <f t="shared" si="416"/>
        <v>0</v>
      </c>
      <c r="M2103" s="2">
        <f t="shared" si="417"/>
        <v>0</v>
      </c>
      <c r="N2103" s="2">
        <f t="shared" si="418"/>
        <v>0</v>
      </c>
      <c r="O2103" s="2">
        <f t="shared" si="419"/>
        <v>1</v>
      </c>
      <c r="P2103" s="112">
        <f t="shared" si="420"/>
        <v>0</v>
      </c>
      <c r="Q2103" s="112">
        <f t="shared" si="421"/>
        <v>0</v>
      </c>
      <c r="R2103" s="53" t="s">
        <v>454</v>
      </c>
      <c r="S2103" s="53" t="str">
        <f t="shared" si="422"/>
        <v>Autos - Singles|Autographs|A-CH|Inscribed</v>
      </c>
      <c r="T2103" s="57">
        <f>IF($S2103="","",IFERROR(VLOOKUP($S2103,'Pop Estimates (Non-#d)'!$N$2:$O$500,2,FALSE),""))</f>
        <v>130</v>
      </c>
      <c r="U2103" s="57">
        <f t="shared" si="423"/>
        <v>130</v>
      </c>
      <c r="V2103" s="53" t="str">
        <f t="shared" si="424"/>
        <v>The Deep "The Deep"</v>
      </c>
      <c r="W2103" s="53" t="str">
        <f t="shared" si="425"/>
        <v>The Deep "The Deep"</v>
      </c>
      <c r="X2103" s="53" t="str">
        <f t="shared" si="426"/>
        <v>The Deep</v>
      </c>
      <c r="Y2103" s="57">
        <f>IF($X2103="","",IFERROR(VLOOKUP($X2103,'Char Popularity'!$A$2:$C$500,2,FALSE),""))</f>
        <v>4</v>
      </c>
      <c r="Z2103" s="56">
        <f>IF($X2103="",1,IFERROR(VLOOKUP($X2103,'Char Popularity'!$A$2:$C$500,3,FALSE),1))</f>
        <v>1.1000000000000001</v>
      </c>
      <c r="AA2103" s="62">
        <f>IF($H2103&lt;&gt;"Y",0,(IF($F2103&lt;&gt;"",ROUND(Dashboard!$R$4/$F2103,1),IF(AND($I2103="Base",$E2103="Base"),Dashboard!$R$5,IF(AND($I2103="Base",$E2103="Red"),Dashboard!$R$6,IF(AND($I2103="Base",$E2103="Gold"),Dashboard!$R$7,VLOOKUP($I2103,Dashboard!$Q$16:$R$21,2,FALSE)))))*VLOOKUP($I2103,Dashboard!$Q$9:$R$13,2,FALSE)*IF(AND($I2103="Auto",$F2103="",OR($B2103="Autographs Duals",$B2103="Autographs Triples",$B2103="Autographs Quads",$B2103="Autographs Quads (Inscribed)")),IF($B2103="Autographs Duals",2,IF($B2103="Autographs Triples",3,4)),1)))</f>
        <v>50</v>
      </c>
      <c r="AB2103" s="62">
        <f t="shared" si="427"/>
        <v>0</v>
      </c>
      <c r="AC2103" s="62">
        <f t="shared" si="428"/>
        <v>0</v>
      </c>
    </row>
    <row r="2104" spans="1:29" ht="30" customHeight="1" x14ac:dyDescent="0.25">
      <c r="A2104" s="4" t="s">
        <v>37</v>
      </c>
      <c r="B2104" s="7" t="s">
        <v>214</v>
      </c>
      <c r="C2104" s="2" t="s">
        <v>241</v>
      </c>
      <c r="D2104" s="7" t="s">
        <v>242</v>
      </c>
      <c r="E2104" s="4" t="s">
        <v>176</v>
      </c>
      <c r="F2104" s="2"/>
      <c r="G2104" s="2" t="s">
        <v>1399</v>
      </c>
      <c r="H2104" s="2" t="s">
        <v>1400</v>
      </c>
      <c r="I2104" s="4" t="s">
        <v>68</v>
      </c>
      <c r="J2104" s="112">
        <f>IF($H2104&lt;&gt;"Y",0,ROUND(MIN(Dashboard!$R$24,IF(IFERROR(VLOOKUP($B2104,Dashboard!$Q$28:$S$60,2,FALSE),0)&gt;0,IFERROR(VLOOKUP($B2104,Dashboard!$Q$28:$S$60,2,FALSE),0),$Z2104*IF($U2104&lt;&gt;"",ROUND((Dashboard!$R$4/$U2104)*VLOOKUP($I2104,Dashboard!$Q$9:$R$13,2,FALSE)*IF(ISNUMBER(SEARCH("Duals",$B2104)),2,IF(ISNUMBER(SEARCH("Triples",$B2104)),3,IF(ISNUMBER(SEARCH("Quads",$B2104)),4,1))),2),ROUND(VLOOKUP($I2104,Dashboard!$Q$15:$R$20,2,FALSE)*IF($E2104="Red",Dashboard!$R$6,IF($E2104="Gold",Dashboard!$R$7,Dashboard!$R$5))*IF(ISNUMBER(SEARCH("Duals",$B2104)),2,IF(ISNUMBER(SEARCH("Triples",$B2104)),3,IF(ISNUMBER(SEARCH("Quads",$B2104)),4,1))),2))*IF(IFERROR(VLOOKUP($B2104,Dashboard!$Q$28:$S$60,3,FALSE),0)&gt;0,VLOOKUP($B2104,Dashboard!$Q$28:$S$60,3,FALSE),1))),0))</f>
        <v>17</v>
      </c>
      <c r="K2104" s="2" t="str">
        <f>IF('Autos - Singles'!F17="","",'Autos - Singles'!F17)</f>
        <v>C</v>
      </c>
      <c r="L2104" s="2">
        <f t="shared" si="416"/>
        <v>1</v>
      </c>
      <c r="M2104" s="2">
        <f t="shared" si="417"/>
        <v>0</v>
      </c>
      <c r="N2104" s="2">
        <f t="shared" si="418"/>
        <v>1</v>
      </c>
      <c r="O2104" s="2">
        <f t="shared" si="419"/>
        <v>0</v>
      </c>
      <c r="P2104" s="112">
        <f t="shared" si="420"/>
        <v>17</v>
      </c>
      <c r="Q2104" s="112">
        <f t="shared" si="421"/>
        <v>0</v>
      </c>
      <c r="R2104" s="53" t="s">
        <v>1603</v>
      </c>
      <c r="S2104" s="53" t="str">
        <f t="shared" si="422"/>
        <v>Autos - Singles|Autographs|A-CV|Inscribed</v>
      </c>
      <c r="T2104" s="57">
        <f>IF($S2104="","",IFERROR(VLOOKUP($S2104,'Pop Estimates (Non-#d)'!$N$2:$O$500,2,FALSE),""))</f>
        <v>130</v>
      </c>
      <c r="U2104" s="57">
        <f t="shared" si="423"/>
        <v>130</v>
      </c>
      <c r="V2104" s="53" t="str">
        <f t="shared" si="424"/>
        <v>Ryan "Ryan Butcher"</v>
      </c>
      <c r="W2104" s="53" t="str">
        <f t="shared" si="425"/>
        <v>Ryan "Ryan Butcher"</v>
      </c>
      <c r="X2104" s="53" t="str">
        <f t="shared" si="426"/>
        <v>Ryan</v>
      </c>
      <c r="Y2104" s="57">
        <f>IF($X2104="","",IFERROR(VLOOKUP($X2104,'Char Popularity'!$A$2:$C$500,2,FALSE),""))</f>
        <v>4</v>
      </c>
      <c r="Z2104" s="56">
        <f>IF($X2104="",1,IFERROR(VLOOKUP($X2104,'Char Popularity'!$A$2:$C$500,3,FALSE),1))</f>
        <v>1.1000000000000001</v>
      </c>
      <c r="AA2104" s="62">
        <f>IF($H2104&lt;&gt;"Y",0,(IF($F2104&lt;&gt;"",ROUND(Dashboard!$R$4/$F2104,1),IF(AND($I2104="Base",$E2104="Base"),Dashboard!$R$5,IF(AND($I2104="Base",$E2104="Red"),Dashboard!$R$6,IF(AND($I2104="Base",$E2104="Gold"),Dashboard!$R$7,VLOOKUP($I2104,Dashboard!$Q$16:$R$21,2,FALSE)))))*VLOOKUP($I2104,Dashboard!$Q$9:$R$13,2,FALSE)*IF(AND($I2104="Auto",$F2104="",OR($B2104="Autographs Duals",$B2104="Autographs Triples",$B2104="Autographs Quads",$B2104="Autographs Quads (Inscribed)")),IF($B2104="Autographs Duals",2,IF($B2104="Autographs Triples",3,4)),1)))</f>
        <v>50</v>
      </c>
      <c r="AB2104" s="62">
        <f t="shared" si="427"/>
        <v>50</v>
      </c>
      <c r="AC2104" s="62">
        <f t="shared" si="428"/>
        <v>0</v>
      </c>
    </row>
    <row r="2105" spans="1:29" ht="30" customHeight="1" x14ac:dyDescent="0.25">
      <c r="A2105" s="4" t="s">
        <v>37</v>
      </c>
      <c r="B2105" s="7" t="s">
        <v>214</v>
      </c>
      <c r="C2105" s="2" t="s">
        <v>251</v>
      </c>
      <c r="D2105" s="7" t="s">
        <v>252</v>
      </c>
      <c r="E2105" s="4" t="s">
        <v>176</v>
      </c>
      <c r="F2105" s="2"/>
      <c r="G2105" s="2" t="s">
        <v>1399</v>
      </c>
      <c r="H2105" s="2" t="s">
        <v>1400</v>
      </c>
      <c r="I2105" s="4" t="s">
        <v>68</v>
      </c>
      <c r="J2105" s="112">
        <f>IF($H2105&lt;&gt;"Y",0,ROUND(MIN(Dashboard!$R$24,IF(IFERROR(VLOOKUP($B2105,Dashboard!$Q$28:$S$60,2,FALSE),0)&gt;0,IFERROR(VLOOKUP($B2105,Dashboard!$Q$28:$S$60,2,FALSE),0),$Z2105*IF($U2105&lt;&gt;"",ROUND((Dashboard!$R$4/$U2105)*VLOOKUP($I2105,Dashboard!$Q$9:$R$13,2,FALSE)*IF(ISNUMBER(SEARCH("Duals",$B2105)),2,IF(ISNUMBER(SEARCH("Triples",$B2105)),3,IF(ISNUMBER(SEARCH("Quads",$B2105)),4,1))),2),ROUND(VLOOKUP($I2105,Dashboard!$Q$15:$R$20,2,FALSE)*IF($E2105="Red",Dashboard!$R$6,IF($E2105="Gold",Dashboard!$R$7,Dashboard!$R$5))*IF(ISNUMBER(SEARCH("Duals",$B2105)),2,IF(ISNUMBER(SEARCH("Triples",$B2105)),3,IF(ISNUMBER(SEARCH("Quads",$B2105)),4,1))),2))*IF(IFERROR(VLOOKUP($B2105,Dashboard!$Q$28:$S$60,3,FALSE),0)&gt;0,VLOOKUP($B2105,Dashboard!$Q$28:$S$60,3,FALSE),1))),0))</f>
        <v>17</v>
      </c>
      <c r="K2105" s="2" t="str">
        <f>IF('Autos - Singles'!F23="","",'Autos - Singles'!F23)</f>
        <v>V</v>
      </c>
      <c r="L2105" s="2">
        <f t="shared" si="416"/>
        <v>1</v>
      </c>
      <c r="M2105" s="2">
        <f t="shared" si="417"/>
        <v>0</v>
      </c>
      <c r="N2105" s="2">
        <f t="shared" si="418"/>
        <v>1</v>
      </c>
      <c r="O2105" s="2">
        <f t="shared" si="419"/>
        <v>0</v>
      </c>
      <c r="P2105" s="112">
        <f t="shared" si="420"/>
        <v>17</v>
      </c>
      <c r="Q2105" s="112">
        <f t="shared" si="421"/>
        <v>0</v>
      </c>
      <c r="R2105" s="53" t="s">
        <v>1604</v>
      </c>
      <c r="S2105" s="53" t="str">
        <f t="shared" si="422"/>
        <v>Autos - Singles|Autographs|A-FH|Inscribed</v>
      </c>
      <c r="T2105" s="57">
        <f>IF($S2105="","",IFERROR(VLOOKUP($S2105,'Pop Estimates (Non-#d)'!$N$2:$O$500,2,FALSE),""))</f>
        <v>130</v>
      </c>
      <c r="U2105" s="57">
        <f t="shared" si="423"/>
        <v>130</v>
      </c>
      <c r="V2105" s="53" t="str">
        <f t="shared" si="424"/>
        <v>Kimiko "The Boys"</v>
      </c>
      <c r="W2105" s="53" t="str">
        <f t="shared" si="425"/>
        <v>Kimiko "The Boys"</v>
      </c>
      <c r="X2105" s="53" t="str">
        <f t="shared" si="426"/>
        <v>Kimiko</v>
      </c>
      <c r="Y2105" s="57">
        <f>IF($X2105="","",IFERROR(VLOOKUP($X2105,'Char Popularity'!$A$2:$C$500,2,FALSE),""))</f>
        <v>4</v>
      </c>
      <c r="Z2105" s="56">
        <f>IF($X2105="",1,IFERROR(VLOOKUP($X2105,'Char Popularity'!$A$2:$C$500,3,FALSE),1))</f>
        <v>1.1000000000000001</v>
      </c>
      <c r="AA2105" s="62">
        <f>IF($H2105&lt;&gt;"Y",0,(IF($F2105&lt;&gt;"",ROUND(Dashboard!$R$4/$F2105,1),IF(AND($I2105="Base",$E2105="Base"),Dashboard!$R$5,IF(AND($I2105="Base",$E2105="Red"),Dashboard!$R$6,IF(AND($I2105="Base",$E2105="Gold"),Dashboard!$R$7,VLOOKUP($I2105,Dashboard!$Q$16:$R$21,2,FALSE)))))*VLOOKUP($I2105,Dashboard!$Q$9:$R$13,2,FALSE)*IF(AND($I2105="Auto",$F2105="",OR($B2105="Autographs Duals",$B2105="Autographs Triples",$B2105="Autographs Quads",$B2105="Autographs Quads (Inscribed)")),IF($B2105="Autographs Duals",2,IF($B2105="Autographs Triples",3,4)),1)))</f>
        <v>50</v>
      </c>
      <c r="AB2105" s="62">
        <f t="shared" si="427"/>
        <v>50</v>
      </c>
      <c r="AC2105" s="62">
        <f t="shared" si="428"/>
        <v>0</v>
      </c>
    </row>
    <row r="2106" spans="1:29" ht="30" customHeight="1" x14ac:dyDescent="0.25">
      <c r="A2106" s="4" t="s">
        <v>37</v>
      </c>
      <c r="B2106" s="7" t="s">
        <v>214</v>
      </c>
      <c r="C2106" s="2" t="s">
        <v>257</v>
      </c>
      <c r="D2106" s="7" t="s">
        <v>258</v>
      </c>
      <c r="E2106" s="4" t="s">
        <v>176</v>
      </c>
      <c r="F2106" s="2"/>
      <c r="G2106" s="2" t="s">
        <v>1399</v>
      </c>
      <c r="H2106" s="2" t="s">
        <v>1400</v>
      </c>
      <c r="I2106" s="4" t="s">
        <v>68</v>
      </c>
      <c r="J2106" s="112">
        <f>IF($H2106&lt;&gt;"Y",0,ROUND(MIN(Dashboard!$R$24,IF(IFERROR(VLOOKUP($B2106,Dashboard!$Q$28:$S$60,2,FALSE),0)&gt;0,IFERROR(VLOOKUP($B2106,Dashboard!$Q$28:$S$60,2,FALSE),0),$Z2106*IF($U2106&lt;&gt;"",ROUND((Dashboard!$R$4/$U2106)*VLOOKUP($I2106,Dashboard!$Q$9:$R$13,2,FALSE)*IF(ISNUMBER(SEARCH("Duals",$B2106)),2,IF(ISNUMBER(SEARCH("Triples",$B2106)),3,IF(ISNUMBER(SEARCH("Quads",$B2106)),4,1))),2),ROUND(VLOOKUP($I2106,Dashboard!$Q$15:$R$20,2,FALSE)*IF($E2106="Red",Dashboard!$R$6,IF($E2106="Gold",Dashboard!$R$7,Dashboard!$R$5))*IF(ISNUMBER(SEARCH("Duals",$B2106)),2,IF(ISNUMBER(SEARCH("Triples",$B2106)),3,IF(ISNUMBER(SEARCH("Quads",$B2106)),4,1))),2))*IF(IFERROR(VLOOKUP($B2106,Dashboard!$Q$28:$S$60,3,FALSE),0)&gt;0,VLOOKUP($B2106,Dashboard!$Q$28:$S$60,3,FALSE),1))),0))</f>
        <v>14</v>
      </c>
      <c r="K2106" s="2" t="str">
        <f>IF('Autos - Singles'!F27="","",'Autos - Singles'!F27)</f>
        <v/>
      </c>
      <c r="L2106" s="2">
        <f t="shared" si="416"/>
        <v>0</v>
      </c>
      <c r="M2106" s="2">
        <f t="shared" si="417"/>
        <v>0</v>
      </c>
      <c r="N2106" s="2">
        <f t="shared" si="418"/>
        <v>0</v>
      </c>
      <c r="O2106" s="2">
        <f t="shared" si="419"/>
        <v>1</v>
      </c>
      <c r="P2106" s="112">
        <f t="shared" si="420"/>
        <v>0</v>
      </c>
      <c r="Q2106" s="112">
        <f t="shared" si="421"/>
        <v>0</v>
      </c>
      <c r="R2106" s="53" t="s">
        <v>689</v>
      </c>
      <c r="S2106" s="53" t="str">
        <f t="shared" si="422"/>
        <v>Autos - Singles|Autographs|A-HS|Inscribed</v>
      </c>
      <c r="T2106" s="57">
        <f>IF($S2106="","",IFERROR(VLOOKUP($S2106,'Pop Estimates (Non-#d)'!$N$2:$O$500,2,FALSE),""))</f>
        <v>130</v>
      </c>
      <c r="U2106" s="57">
        <f t="shared" si="423"/>
        <v>130</v>
      </c>
      <c r="V2106" s="53" t="str">
        <f t="shared" si="424"/>
        <v>Translucent "The Seven"</v>
      </c>
      <c r="W2106" s="53" t="str">
        <f t="shared" si="425"/>
        <v>Translucent "The Seven"</v>
      </c>
      <c r="X2106" s="53" t="str">
        <f t="shared" si="426"/>
        <v>Translucent</v>
      </c>
      <c r="Y2106" s="57">
        <f>IF($X2106="","",IFERROR(VLOOKUP($X2106,'Char Popularity'!$A$2:$C$500,2,FALSE),""))</f>
        <v>2</v>
      </c>
      <c r="Z2106" s="56">
        <f>IF($X2106="",1,IFERROR(VLOOKUP($X2106,'Char Popularity'!$A$2:$C$500,3,FALSE),1))</f>
        <v>0.9</v>
      </c>
      <c r="AA2106" s="62">
        <f>IF($H2106&lt;&gt;"Y",0,(IF($F2106&lt;&gt;"",ROUND(Dashboard!$R$4/$F2106,1),IF(AND($I2106="Base",$E2106="Base"),Dashboard!$R$5,IF(AND($I2106="Base",$E2106="Red"),Dashboard!$R$6,IF(AND($I2106="Base",$E2106="Gold"),Dashboard!$R$7,VLOOKUP($I2106,Dashboard!$Q$16:$R$21,2,FALSE)))))*VLOOKUP($I2106,Dashboard!$Q$9:$R$13,2,FALSE)*IF(AND($I2106="Auto",$F2106="",OR($B2106="Autographs Duals",$B2106="Autographs Triples",$B2106="Autographs Quads",$B2106="Autographs Quads (Inscribed)")),IF($B2106="Autographs Duals",2,IF($B2106="Autographs Triples",3,4)),1)))</f>
        <v>50</v>
      </c>
      <c r="AB2106" s="62">
        <f t="shared" si="427"/>
        <v>0</v>
      </c>
      <c r="AC2106" s="62">
        <f t="shared" si="428"/>
        <v>0</v>
      </c>
    </row>
    <row r="2107" spans="1:29" ht="30" customHeight="1" x14ac:dyDescent="0.25">
      <c r="A2107" s="4" t="s">
        <v>37</v>
      </c>
      <c r="B2107" s="7" t="s">
        <v>214</v>
      </c>
      <c r="C2107" s="2" t="s">
        <v>264</v>
      </c>
      <c r="D2107" s="7" t="s">
        <v>265</v>
      </c>
      <c r="E2107" s="4" t="s">
        <v>176</v>
      </c>
      <c r="F2107" s="2"/>
      <c r="G2107" s="2" t="s">
        <v>1399</v>
      </c>
      <c r="H2107" s="2" t="s">
        <v>1400</v>
      </c>
      <c r="I2107" s="4" t="s">
        <v>68</v>
      </c>
      <c r="J2107" s="112">
        <f>IF($H2107&lt;&gt;"Y",0,ROUND(MIN(Dashboard!$R$24,IF(IFERROR(VLOOKUP($B2107,Dashboard!$Q$28:$S$60,2,FALSE),0)&gt;0,IFERROR(VLOOKUP($B2107,Dashboard!$Q$28:$S$60,2,FALSE),0),$Z2107*IF($U2107&lt;&gt;"",ROUND((Dashboard!$R$4/$U2107)*VLOOKUP($I2107,Dashboard!$Q$9:$R$13,2,FALSE)*IF(ISNUMBER(SEARCH("Duals",$B2107)),2,IF(ISNUMBER(SEARCH("Triples",$B2107)),3,IF(ISNUMBER(SEARCH("Quads",$B2107)),4,1))),2),ROUND(VLOOKUP($I2107,Dashboard!$Q$15:$R$20,2,FALSE)*IF($E2107="Red",Dashboard!$R$6,IF($E2107="Gold",Dashboard!$R$7,Dashboard!$R$5))*IF(ISNUMBER(SEARCH("Duals",$B2107)),2,IF(ISNUMBER(SEARCH("Triples",$B2107)),3,IF(ISNUMBER(SEARCH("Quads",$B2107)),4,1))),2))*IF(IFERROR(VLOOKUP($B2107,Dashboard!$Q$28:$S$60,3,FALSE),0)&gt;0,VLOOKUP($B2107,Dashboard!$Q$28:$S$60,3,FALSE),1))),0))</f>
        <v>15</v>
      </c>
      <c r="K2107" s="2" t="str">
        <f>IF('Autos - Singles'!F31="","",'Autos - Singles'!F31)</f>
        <v/>
      </c>
      <c r="L2107" s="2">
        <f t="shared" si="416"/>
        <v>0</v>
      </c>
      <c r="M2107" s="2">
        <f t="shared" si="417"/>
        <v>0</v>
      </c>
      <c r="N2107" s="2">
        <f t="shared" si="418"/>
        <v>0</v>
      </c>
      <c r="O2107" s="2">
        <f t="shared" si="419"/>
        <v>1</v>
      </c>
      <c r="P2107" s="112">
        <f t="shared" si="420"/>
        <v>0</v>
      </c>
      <c r="Q2107" s="112">
        <f t="shared" si="421"/>
        <v>0</v>
      </c>
      <c r="R2107" s="53" t="s">
        <v>518</v>
      </c>
      <c r="S2107" s="53" t="str">
        <f t="shared" si="422"/>
        <v>Autos - Singles|Autographs|A-JR|Inscribed</v>
      </c>
      <c r="T2107" s="57">
        <f>IF($S2107="","",IFERROR(VLOOKUP($S2107,'Pop Estimates (Non-#d)'!$N$2:$O$500,2,FALSE),""))</f>
        <v>130</v>
      </c>
      <c r="U2107" s="57">
        <f t="shared" si="423"/>
        <v>130</v>
      </c>
      <c r="V2107" s="53" t="str">
        <f t="shared" si="424"/>
        <v>Cherie "Cherie"</v>
      </c>
      <c r="W2107" s="53" t="str">
        <f t="shared" si="425"/>
        <v>Cherie "Cherie"</v>
      </c>
      <c r="X2107" s="53" t="str">
        <f t="shared" si="426"/>
        <v>Cherie</v>
      </c>
      <c r="Y2107" s="57">
        <f>IF($X2107="","",IFERROR(VLOOKUP($X2107,'Char Popularity'!$A$2:$C$500,2,FALSE),""))</f>
        <v>3</v>
      </c>
      <c r="Z2107" s="56">
        <f>IF($X2107="",1,IFERROR(VLOOKUP($X2107,'Char Popularity'!$A$2:$C$500,3,FALSE),1))</f>
        <v>1</v>
      </c>
      <c r="AA2107" s="62">
        <f>IF($H2107&lt;&gt;"Y",0,(IF($F2107&lt;&gt;"",ROUND(Dashboard!$R$4/$F2107,1),IF(AND($I2107="Base",$E2107="Base"),Dashboard!$R$5,IF(AND($I2107="Base",$E2107="Red"),Dashboard!$R$6,IF(AND($I2107="Base",$E2107="Gold"),Dashboard!$R$7,VLOOKUP($I2107,Dashboard!$Q$16:$R$21,2,FALSE)))))*VLOOKUP($I2107,Dashboard!$Q$9:$R$13,2,FALSE)*IF(AND($I2107="Auto",$F2107="",OR($B2107="Autographs Duals",$B2107="Autographs Triples",$B2107="Autographs Quads",$B2107="Autographs Quads (Inscribed)")),IF($B2107="Autographs Duals",2,IF($B2107="Autographs Triples",3,4)),1)))</f>
        <v>50</v>
      </c>
      <c r="AB2107" s="62">
        <f t="shared" si="427"/>
        <v>0</v>
      </c>
      <c r="AC2107" s="62">
        <f t="shared" si="428"/>
        <v>0</v>
      </c>
    </row>
    <row r="2108" spans="1:29" ht="30" customHeight="1" x14ac:dyDescent="0.25">
      <c r="A2108" s="4" t="s">
        <v>37</v>
      </c>
      <c r="B2108" s="7" t="s">
        <v>214</v>
      </c>
      <c r="C2108" s="2" t="s">
        <v>284</v>
      </c>
      <c r="D2108" s="7" t="s">
        <v>285</v>
      </c>
      <c r="E2108" s="4" t="s">
        <v>176</v>
      </c>
      <c r="F2108" s="2"/>
      <c r="G2108" s="2" t="s">
        <v>1399</v>
      </c>
      <c r="H2108" s="2" t="s">
        <v>1400</v>
      </c>
      <c r="I2108" s="4" t="s">
        <v>68</v>
      </c>
      <c r="J2108" s="112">
        <f>IF($H2108&lt;&gt;"Y",0,ROUND(MIN(Dashboard!$R$24,IF(IFERROR(VLOOKUP($B2108,Dashboard!$Q$28:$S$60,2,FALSE),0)&gt;0,IFERROR(VLOOKUP($B2108,Dashboard!$Q$28:$S$60,2,FALSE),0),$Z2108*IF($U2108&lt;&gt;"",ROUND((Dashboard!$R$4/$U2108)*VLOOKUP($I2108,Dashboard!$Q$9:$R$13,2,FALSE)*IF(ISNUMBER(SEARCH("Duals",$B2108)),2,IF(ISNUMBER(SEARCH("Triples",$B2108)),3,IF(ISNUMBER(SEARCH("Quads",$B2108)),4,1))),2),ROUND(VLOOKUP($I2108,Dashboard!$Q$15:$R$20,2,FALSE)*IF($E2108="Red",Dashboard!$R$6,IF($E2108="Gold",Dashboard!$R$7,Dashboard!$R$5))*IF(ISNUMBER(SEARCH("Duals",$B2108)),2,IF(ISNUMBER(SEARCH("Triples",$B2108)),3,IF(ISNUMBER(SEARCH("Quads",$B2108)),4,1))),2))*IF(IFERROR(VLOOKUP($B2108,Dashboard!$Q$28:$S$60,3,FALSE),0)&gt;0,VLOOKUP($B2108,Dashboard!$Q$28:$S$60,3,FALSE),1))),0))</f>
        <v>17</v>
      </c>
      <c r="K2108" s="2" t="str">
        <f>IF('Autos - Singles'!F44="","",'Autos - Singles'!F44)</f>
        <v>C</v>
      </c>
      <c r="L2108" s="2">
        <f t="shared" si="416"/>
        <v>1</v>
      </c>
      <c r="M2108" s="2">
        <f t="shared" si="417"/>
        <v>0</v>
      </c>
      <c r="N2108" s="2">
        <f t="shared" si="418"/>
        <v>1</v>
      </c>
      <c r="O2108" s="2">
        <f t="shared" si="419"/>
        <v>0</v>
      </c>
      <c r="P2108" s="112">
        <f t="shared" si="420"/>
        <v>17</v>
      </c>
      <c r="Q2108" s="112">
        <f t="shared" si="421"/>
        <v>0</v>
      </c>
      <c r="R2108" s="53" t="s">
        <v>345</v>
      </c>
      <c r="S2108" s="53" t="str">
        <f t="shared" si="422"/>
        <v>Autos - Singles|Autographs|A-MC|Inscribed</v>
      </c>
      <c r="T2108" s="57">
        <f>IF($S2108="","",IFERROR(VLOOKUP($S2108,'Pop Estimates (Non-#d)'!$N$2:$O$500,2,FALSE),""))</f>
        <v>130</v>
      </c>
      <c r="U2108" s="57">
        <f t="shared" si="423"/>
        <v>130</v>
      </c>
      <c r="V2108" s="53" t="str">
        <f t="shared" si="424"/>
        <v>Queen Maeve "Queen Maeve"</v>
      </c>
      <c r="W2108" s="53" t="str">
        <f t="shared" si="425"/>
        <v>Queen Maeve "Queen Maeve"</v>
      </c>
      <c r="X2108" s="53" t="str">
        <f t="shared" si="426"/>
        <v>Queen Maeve</v>
      </c>
      <c r="Y2108" s="57">
        <f>IF($X2108="","",IFERROR(VLOOKUP($X2108,'Char Popularity'!$A$2:$C$500,2,FALSE),""))</f>
        <v>4</v>
      </c>
      <c r="Z2108" s="56">
        <f>IF($X2108="",1,IFERROR(VLOOKUP($X2108,'Char Popularity'!$A$2:$C$500,3,FALSE),1))</f>
        <v>1.1000000000000001</v>
      </c>
      <c r="AA2108" s="62">
        <f>IF($H2108&lt;&gt;"Y",0,(IF($F2108&lt;&gt;"",ROUND(Dashboard!$R$4/$F2108,1),IF(AND($I2108="Base",$E2108="Base"),Dashboard!$R$5,IF(AND($I2108="Base",$E2108="Red"),Dashboard!$R$6,IF(AND($I2108="Base",$E2108="Gold"),Dashboard!$R$7,VLOOKUP($I2108,Dashboard!$Q$16:$R$21,2,FALSE)))))*VLOOKUP($I2108,Dashboard!$Q$9:$R$13,2,FALSE)*IF(AND($I2108="Auto",$F2108="",OR($B2108="Autographs Duals",$B2108="Autographs Triples",$B2108="Autographs Quads",$B2108="Autographs Quads (Inscribed)")),IF($B2108="Autographs Duals",2,IF($B2108="Autographs Triples",3,4)),1)))</f>
        <v>50</v>
      </c>
      <c r="AB2108" s="62">
        <f t="shared" si="427"/>
        <v>50</v>
      </c>
      <c r="AC2108" s="62">
        <f t="shared" si="428"/>
        <v>0</v>
      </c>
    </row>
    <row r="2109" spans="1:29" ht="30" customHeight="1" x14ac:dyDescent="0.25">
      <c r="A2109" s="4" t="s">
        <v>37</v>
      </c>
      <c r="B2109" s="7" t="s">
        <v>214</v>
      </c>
      <c r="C2109" s="2" t="s">
        <v>296</v>
      </c>
      <c r="D2109" s="7" t="s">
        <v>297</v>
      </c>
      <c r="E2109" s="4" t="s">
        <v>176</v>
      </c>
      <c r="F2109" s="2"/>
      <c r="G2109" s="2" t="s">
        <v>1399</v>
      </c>
      <c r="H2109" s="2" t="s">
        <v>1400</v>
      </c>
      <c r="I2109" s="4" t="s">
        <v>68</v>
      </c>
      <c r="J2109" s="112">
        <f>IF($H2109&lt;&gt;"Y",0,ROUND(MIN(Dashboard!$R$24,IF(IFERROR(VLOOKUP($B2109,Dashboard!$Q$28:$S$60,2,FALSE),0)&gt;0,IFERROR(VLOOKUP($B2109,Dashboard!$Q$28:$S$60,2,FALSE),0),$Z2109*IF($U2109&lt;&gt;"",ROUND((Dashboard!$R$4/$U2109)*VLOOKUP($I2109,Dashboard!$Q$9:$R$13,2,FALSE)*IF(ISNUMBER(SEARCH("Duals",$B2109)),2,IF(ISNUMBER(SEARCH("Triples",$B2109)),3,IF(ISNUMBER(SEARCH("Quads",$B2109)),4,1))),2),ROUND(VLOOKUP($I2109,Dashboard!$Q$15:$R$20,2,FALSE)*IF($E2109="Red",Dashboard!$R$6,IF($E2109="Gold",Dashboard!$R$7,Dashboard!$R$5))*IF(ISNUMBER(SEARCH("Duals",$B2109)),2,IF(ISNUMBER(SEARCH("Triples",$B2109)),3,IF(ISNUMBER(SEARCH("Quads",$B2109)),4,1))),2))*IF(IFERROR(VLOOKUP($B2109,Dashboard!$Q$28:$S$60,3,FALSE),0)&gt;0,VLOOKUP($B2109,Dashboard!$Q$28:$S$60,3,FALSE),1))),0))</f>
        <v>18</v>
      </c>
      <c r="K2109" s="2" t="str">
        <f>IF('Autos - Singles'!F54="","",'Autos - Singles'!F54)</f>
        <v>V</v>
      </c>
      <c r="L2109" s="2">
        <f t="shared" si="416"/>
        <v>1</v>
      </c>
      <c r="M2109" s="2">
        <f t="shared" si="417"/>
        <v>0</v>
      </c>
      <c r="N2109" s="2">
        <f t="shared" si="418"/>
        <v>1</v>
      </c>
      <c r="O2109" s="2">
        <f t="shared" si="419"/>
        <v>0</v>
      </c>
      <c r="P2109" s="112">
        <f t="shared" si="420"/>
        <v>18</v>
      </c>
      <c r="Q2109" s="112">
        <f t="shared" si="421"/>
        <v>0</v>
      </c>
      <c r="R2109" s="53" t="s">
        <v>391</v>
      </c>
      <c r="S2109" s="53" t="str">
        <f t="shared" si="422"/>
        <v>Autos - Singles|Autographs|A-QD|Inscribed</v>
      </c>
      <c r="T2109" s="57">
        <f>IF($S2109="","",IFERROR(VLOOKUP($S2109,'Pop Estimates (Non-#d)'!$N$2:$O$500,2,FALSE),""))</f>
        <v>130</v>
      </c>
      <c r="U2109" s="57">
        <f t="shared" si="423"/>
        <v>130</v>
      </c>
      <c r="V2109" s="53" t="str">
        <f t="shared" si="424"/>
        <v>Hughie Campbell "Hughie Campbell"</v>
      </c>
      <c r="W2109" s="53" t="str">
        <f t="shared" si="425"/>
        <v>Hughie Campbell "Hughie Campbell"</v>
      </c>
      <c r="X2109" s="53" t="str">
        <f t="shared" si="426"/>
        <v>Hughie Campbell</v>
      </c>
      <c r="Y2109" s="57">
        <f>IF($X2109="","",IFERROR(VLOOKUP($X2109,'Char Popularity'!$A$2:$C$500,2,FALSE),""))</f>
        <v>5</v>
      </c>
      <c r="Z2109" s="56">
        <f>IF($X2109="",1,IFERROR(VLOOKUP($X2109,'Char Popularity'!$A$2:$C$500,3,FALSE),1))</f>
        <v>1.2</v>
      </c>
      <c r="AA2109" s="62">
        <f>IF($H2109&lt;&gt;"Y",0,(IF($F2109&lt;&gt;"",ROUND(Dashboard!$R$4/$F2109,1),IF(AND($I2109="Base",$E2109="Base"),Dashboard!$R$5,IF(AND($I2109="Base",$E2109="Red"),Dashboard!$R$6,IF(AND($I2109="Base",$E2109="Gold"),Dashboard!$R$7,VLOOKUP($I2109,Dashboard!$Q$16:$R$21,2,FALSE)))))*VLOOKUP($I2109,Dashboard!$Q$9:$R$13,2,FALSE)*IF(AND($I2109="Auto",$F2109="",OR($B2109="Autographs Duals",$B2109="Autographs Triples",$B2109="Autographs Quads",$B2109="Autographs Quads (Inscribed)")),IF($B2109="Autographs Duals",2,IF($B2109="Autographs Triples",3,4)),1)))</f>
        <v>50</v>
      </c>
      <c r="AB2109" s="62">
        <f t="shared" si="427"/>
        <v>50</v>
      </c>
      <c r="AC2109" s="62">
        <f t="shared" si="428"/>
        <v>0</v>
      </c>
    </row>
    <row r="2110" spans="1:29" ht="30" customHeight="1" x14ac:dyDescent="0.25">
      <c r="A2110" s="4" t="s">
        <v>37</v>
      </c>
      <c r="B2110" s="7" t="s">
        <v>214</v>
      </c>
      <c r="C2110" s="2" t="s">
        <v>298</v>
      </c>
      <c r="D2110" s="7" t="s">
        <v>299</v>
      </c>
      <c r="E2110" s="4" t="s">
        <v>176</v>
      </c>
      <c r="F2110" s="2"/>
      <c r="G2110" s="2" t="s">
        <v>1399</v>
      </c>
      <c r="H2110" s="2" t="s">
        <v>1400</v>
      </c>
      <c r="I2110" s="4" t="s">
        <v>68</v>
      </c>
      <c r="J2110" s="112">
        <f>IF($H2110&lt;&gt;"Y",0,ROUND(MIN(Dashboard!$R$24,IF(IFERROR(VLOOKUP($B2110,Dashboard!$Q$28:$S$60,2,FALSE),0)&gt;0,IFERROR(VLOOKUP($B2110,Dashboard!$Q$28:$S$60,2,FALSE),0),$Z2110*IF($U2110&lt;&gt;"",ROUND((Dashboard!$R$4/$U2110)*VLOOKUP($I2110,Dashboard!$Q$9:$R$13,2,FALSE)*IF(ISNUMBER(SEARCH("Duals",$B2110)),2,IF(ISNUMBER(SEARCH("Triples",$B2110)),3,IF(ISNUMBER(SEARCH("Quads",$B2110)),4,1))),2),ROUND(VLOOKUP($I2110,Dashboard!$Q$15:$R$20,2,FALSE)*IF($E2110="Red",Dashboard!$R$6,IF($E2110="Gold",Dashboard!$R$7,Dashboard!$R$5))*IF(ISNUMBER(SEARCH("Duals",$B2110)),2,IF(ISNUMBER(SEARCH("Triples",$B2110)),3,IF(ISNUMBER(SEARCH("Quads",$B2110)),4,1))),2))*IF(IFERROR(VLOOKUP($B2110,Dashboard!$Q$28:$S$60,3,FALSE),0)&gt;0,VLOOKUP($B2110,Dashboard!$Q$28:$S$60,3,FALSE),1))),0))</f>
        <v>17</v>
      </c>
      <c r="K2110" s="2" t="str">
        <f>IF('Autos - Singles'!F55="","",'Autos - Singles'!F55)</f>
        <v>V</v>
      </c>
      <c r="L2110" s="2">
        <f t="shared" si="416"/>
        <v>1</v>
      </c>
      <c r="M2110" s="2">
        <f t="shared" si="417"/>
        <v>0</v>
      </c>
      <c r="N2110" s="2">
        <f t="shared" si="418"/>
        <v>1</v>
      </c>
      <c r="O2110" s="2">
        <f t="shared" si="419"/>
        <v>0</v>
      </c>
      <c r="P2110" s="112">
        <f t="shared" si="420"/>
        <v>17</v>
      </c>
      <c r="Q2110" s="112">
        <f t="shared" si="421"/>
        <v>0</v>
      </c>
      <c r="R2110" s="53" t="s">
        <v>511</v>
      </c>
      <c r="S2110" s="53" t="str">
        <f t="shared" si="422"/>
        <v>Autos - Singles|Autographs|A-RO|Inscribed</v>
      </c>
      <c r="T2110" s="57">
        <f>IF($S2110="","",IFERROR(VLOOKUP($S2110,'Pop Estimates (Non-#d)'!$N$2:$O$500,2,FALSE),""))</f>
        <v>130</v>
      </c>
      <c r="U2110" s="57">
        <f t="shared" si="423"/>
        <v>130</v>
      </c>
      <c r="V2110" s="53" t="str">
        <f t="shared" si="424"/>
        <v>Grace Mallory "Grace Mallory"</v>
      </c>
      <c r="W2110" s="53" t="str">
        <f t="shared" si="425"/>
        <v>Grace Mallory "Grace Mallory"</v>
      </c>
      <c r="X2110" s="53" t="str">
        <f t="shared" si="426"/>
        <v>Grace Mallory</v>
      </c>
      <c r="Y2110" s="57">
        <f>IF($X2110="","",IFERROR(VLOOKUP($X2110,'Char Popularity'!$A$2:$C$500,2,FALSE),""))</f>
        <v>4</v>
      </c>
      <c r="Z2110" s="56">
        <f>IF($X2110="",1,IFERROR(VLOOKUP($X2110,'Char Popularity'!$A$2:$C$500,3,FALSE),1))</f>
        <v>1.1000000000000001</v>
      </c>
      <c r="AA2110" s="62">
        <f>IF($H2110&lt;&gt;"Y",0,(IF($F2110&lt;&gt;"",ROUND(Dashboard!$R$4/$F2110,1),IF(AND($I2110="Base",$E2110="Base"),Dashboard!$R$5,IF(AND($I2110="Base",$E2110="Red"),Dashboard!$R$6,IF(AND($I2110="Base",$E2110="Gold"),Dashboard!$R$7,VLOOKUP($I2110,Dashboard!$Q$16:$R$21,2,FALSE)))))*VLOOKUP($I2110,Dashboard!$Q$9:$R$13,2,FALSE)*IF(AND($I2110="Auto",$F2110="",OR($B2110="Autographs Duals",$B2110="Autographs Triples",$B2110="Autographs Quads",$B2110="Autographs Quads (Inscribed)")),IF($B2110="Autographs Duals",2,IF($B2110="Autographs Triples",3,4)),1)))</f>
        <v>50</v>
      </c>
      <c r="AB2110" s="62">
        <f t="shared" si="427"/>
        <v>50</v>
      </c>
      <c r="AC2110" s="62">
        <f t="shared" si="428"/>
        <v>0</v>
      </c>
    </row>
    <row r="2111" spans="1:29" ht="30" customHeight="1" x14ac:dyDescent="0.25">
      <c r="A2111" s="4" t="s">
        <v>37</v>
      </c>
      <c r="B2111" s="7" t="s">
        <v>214</v>
      </c>
      <c r="C2111" s="2" t="s">
        <v>302</v>
      </c>
      <c r="D2111" s="7" t="s">
        <v>303</v>
      </c>
      <c r="E2111" s="4" t="s">
        <v>176</v>
      </c>
      <c r="F2111" s="2"/>
      <c r="G2111" s="2" t="s">
        <v>1399</v>
      </c>
      <c r="H2111" s="2" t="s">
        <v>1400</v>
      </c>
      <c r="I2111" s="4" t="s">
        <v>68</v>
      </c>
      <c r="J2111" s="112">
        <f>IF($H2111&lt;&gt;"Y",0,ROUND(MIN(Dashboard!$R$24,IF(IFERROR(VLOOKUP($B2111,Dashboard!$Q$28:$S$60,2,FALSE),0)&gt;0,IFERROR(VLOOKUP($B2111,Dashboard!$Q$28:$S$60,2,FALSE),0),$Z2111*IF($U2111&lt;&gt;"",ROUND((Dashboard!$R$4/$U2111)*VLOOKUP($I2111,Dashboard!$Q$9:$R$13,2,FALSE)*IF(ISNUMBER(SEARCH("Duals",$B2111)),2,IF(ISNUMBER(SEARCH("Triples",$B2111)),3,IF(ISNUMBER(SEARCH("Quads",$B2111)),4,1))),2),ROUND(VLOOKUP($I2111,Dashboard!$Q$15:$R$20,2,FALSE)*IF($E2111="Red",Dashboard!$R$6,IF($E2111="Gold",Dashboard!$R$7,Dashboard!$R$5))*IF(ISNUMBER(SEARCH("Duals",$B2111)),2,IF(ISNUMBER(SEARCH("Triples",$B2111)),3,IF(ISNUMBER(SEARCH("Quads",$B2111)),4,1))),2))*IF(IFERROR(VLOOKUP($B2111,Dashboard!$Q$28:$S$60,3,FALSE),0)&gt;0,VLOOKUP($B2111,Dashboard!$Q$28:$S$60,3,FALSE),1))),0))</f>
        <v>15</v>
      </c>
      <c r="K2111" s="2" t="str">
        <f>IF('Autos - Singles'!F57="","",'Autos - Singles'!F57)</f>
        <v>C</v>
      </c>
      <c r="L2111" s="2">
        <f t="shared" si="416"/>
        <v>1</v>
      </c>
      <c r="M2111" s="2">
        <f t="shared" si="417"/>
        <v>0</v>
      </c>
      <c r="N2111" s="2">
        <f t="shared" si="418"/>
        <v>1</v>
      </c>
      <c r="O2111" s="2">
        <f t="shared" si="419"/>
        <v>0</v>
      </c>
      <c r="P2111" s="112">
        <f t="shared" si="420"/>
        <v>15</v>
      </c>
      <c r="Q2111" s="112">
        <f t="shared" si="421"/>
        <v>0</v>
      </c>
      <c r="R2111" s="53" t="s">
        <v>444</v>
      </c>
      <c r="S2111" s="53" t="str">
        <f t="shared" si="422"/>
        <v>Autos - Singles|Autographs|A-SH|Inscribed</v>
      </c>
      <c r="T2111" s="57">
        <f>IF($S2111="","",IFERROR(VLOOKUP($S2111,'Pop Estimates (Non-#d)'!$N$2:$O$500,2,FALSE),""))</f>
        <v>130</v>
      </c>
      <c r="U2111" s="57">
        <f t="shared" si="423"/>
        <v>130</v>
      </c>
      <c r="V2111" s="53" t="str">
        <f t="shared" si="424"/>
        <v>Madelyn Stillwell "Madelyn Stillwell"</v>
      </c>
      <c r="W2111" s="53" t="str">
        <f t="shared" si="425"/>
        <v>Madelyn Stillwell "Madelyn Stillwell"</v>
      </c>
      <c r="X2111" s="53" t="str">
        <f t="shared" si="426"/>
        <v>Madelyn Stillwell</v>
      </c>
      <c r="Y2111" s="57">
        <f>IF($X2111="","",IFERROR(VLOOKUP($X2111,'Char Popularity'!$A$2:$C$500,2,FALSE),""))</f>
        <v>3</v>
      </c>
      <c r="Z2111" s="56">
        <f>IF($X2111="",1,IFERROR(VLOOKUP($X2111,'Char Popularity'!$A$2:$C$500,3,FALSE),1))</f>
        <v>1</v>
      </c>
      <c r="AA2111" s="62">
        <f>IF($H2111&lt;&gt;"Y",0,(IF($F2111&lt;&gt;"",ROUND(Dashboard!$R$4/$F2111,1),IF(AND($I2111="Base",$E2111="Base"),Dashboard!$R$5,IF(AND($I2111="Base",$E2111="Red"),Dashboard!$R$6,IF(AND($I2111="Base",$E2111="Gold"),Dashboard!$R$7,VLOOKUP($I2111,Dashboard!$Q$16:$R$21,2,FALSE)))))*VLOOKUP($I2111,Dashboard!$Q$9:$R$13,2,FALSE)*IF(AND($I2111="Auto",$F2111="",OR($B2111="Autographs Duals",$B2111="Autographs Triples",$B2111="Autographs Quads",$B2111="Autographs Quads (Inscribed)")),IF($B2111="Autographs Duals",2,IF($B2111="Autographs Triples",3,4)),1)))</f>
        <v>50</v>
      </c>
      <c r="AB2111" s="62">
        <f t="shared" si="427"/>
        <v>50</v>
      </c>
      <c r="AC2111" s="62">
        <f t="shared" si="428"/>
        <v>0</v>
      </c>
    </row>
    <row r="2112" spans="1:29" ht="30" customHeight="1" x14ac:dyDescent="0.25">
      <c r="A2112" s="4" t="s">
        <v>37</v>
      </c>
      <c r="B2112" s="7" t="s">
        <v>214</v>
      </c>
      <c r="C2112" s="2" t="s">
        <v>304</v>
      </c>
      <c r="D2112" s="7" t="s">
        <v>305</v>
      </c>
      <c r="E2112" s="4" t="s">
        <v>176</v>
      </c>
      <c r="F2112" s="2"/>
      <c r="G2112" s="2" t="s">
        <v>1399</v>
      </c>
      <c r="H2112" s="2" t="s">
        <v>1400</v>
      </c>
      <c r="I2112" s="4" t="s">
        <v>68</v>
      </c>
      <c r="J2112" s="112">
        <f>IF($H2112&lt;&gt;"Y",0,ROUND(MIN(Dashboard!$R$24,IF(IFERROR(VLOOKUP($B2112,Dashboard!$Q$28:$S$60,2,FALSE),0)&gt;0,IFERROR(VLOOKUP($B2112,Dashboard!$Q$28:$S$60,2,FALSE),0),$Z2112*IF($U2112&lt;&gt;"",ROUND((Dashboard!$R$4/$U2112)*VLOOKUP($I2112,Dashboard!$Q$9:$R$13,2,FALSE)*IF(ISNUMBER(SEARCH("Duals",$B2112)),2,IF(ISNUMBER(SEARCH("Triples",$B2112)),3,IF(ISNUMBER(SEARCH("Quads",$B2112)),4,1))),2),ROUND(VLOOKUP($I2112,Dashboard!$Q$15:$R$20,2,FALSE)*IF($E2112="Red",Dashboard!$R$6,IF($E2112="Gold",Dashboard!$R$7,Dashboard!$R$5))*IF(ISNUMBER(SEARCH("Duals",$B2112)),2,IF(ISNUMBER(SEARCH("Triples",$B2112)),3,IF(ISNUMBER(SEARCH("Quads",$B2112)),4,1))),2))*IF(IFERROR(VLOOKUP($B2112,Dashboard!$Q$28:$S$60,3,FALSE),0)&gt;0,VLOOKUP($B2112,Dashboard!$Q$28:$S$60,3,FALSE),1))),0))</f>
        <v>14</v>
      </c>
      <c r="K2112" s="2" t="str">
        <f>IF('Autos - Singles'!F58="","",'Autos - Singles'!F58)</f>
        <v/>
      </c>
      <c r="L2112" s="2">
        <f t="shared" si="416"/>
        <v>0</v>
      </c>
      <c r="M2112" s="2">
        <f t="shared" si="417"/>
        <v>0</v>
      </c>
      <c r="N2112" s="2">
        <f t="shared" si="418"/>
        <v>0</v>
      </c>
      <c r="O2112" s="2">
        <f t="shared" si="419"/>
        <v>1</v>
      </c>
      <c r="P2112" s="112">
        <f t="shared" si="420"/>
        <v>0</v>
      </c>
      <c r="Q2112" s="112">
        <f t="shared" si="421"/>
        <v>0</v>
      </c>
      <c r="R2112" s="53" t="s">
        <v>441</v>
      </c>
      <c r="S2112" s="53" t="str">
        <f t="shared" si="422"/>
        <v>Autos - Singles|Autographs|A-SM|Inscribed</v>
      </c>
      <c r="T2112" s="57">
        <f>IF($S2112="","",IFERROR(VLOOKUP($S2112,'Pop Estimates (Non-#d)'!$N$2:$O$500,2,FALSE),""))</f>
        <v>130</v>
      </c>
      <c r="U2112" s="57">
        <f t="shared" si="423"/>
        <v>130</v>
      </c>
      <c r="V2112" s="53" t="str">
        <f t="shared" si="424"/>
        <v>Lamplighter "Lamplighter"</v>
      </c>
      <c r="W2112" s="53" t="str">
        <f t="shared" si="425"/>
        <v>Lamplighter "Lamplighter"</v>
      </c>
      <c r="X2112" s="53" t="str">
        <f t="shared" si="426"/>
        <v>Lamplighter</v>
      </c>
      <c r="Y2112" s="57">
        <f>IF($X2112="","",IFERROR(VLOOKUP($X2112,'Char Popularity'!$A$2:$C$500,2,FALSE),""))</f>
        <v>2</v>
      </c>
      <c r="Z2112" s="56">
        <f>IF($X2112="",1,IFERROR(VLOOKUP($X2112,'Char Popularity'!$A$2:$C$500,3,FALSE),1))</f>
        <v>0.9</v>
      </c>
      <c r="AA2112" s="62">
        <f>IF($H2112&lt;&gt;"Y",0,(IF($F2112&lt;&gt;"",ROUND(Dashboard!$R$4/$F2112,1),IF(AND($I2112="Base",$E2112="Base"),Dashboard!$R$5,IF(AND($I2112="Base",$E2112="Red"),Dashboard!$R$6,IF(AND($I2112="Base",$E2112="Gold"),Dashboard!$R$7,VLOOKUP($I2112,Dashboard!$Q$16:$R$21,2,FALSE)))))*VLOOKUP($I2112,Dashboard!$Q$9:$R$13,2,FALSE)*IF(AND($I2112="Auto",$F2112="",OR($B2112="Autographs Duals",$B2112="Autographs Triples",$B2112="Autographs Quads",$B2112="Autographs Quads (Inscribed)")),IF($B2112="Autographs Duals",2,IF($B2112="Autographs Triples",3,4)),1)))</f>
        <v>50</v>
      </c>
      <c r="AB2112" s="62">
        <f t="shared" si="427"/>
        <v>0</v>
      </c>
      <c r="AC2112" s="62">
        <f t="shared" si="428"/>
        <v>0</v>
      </c>
    </row>
    <row r="2113" spans="1:29" ht="30" customHeight="1" x14ac:dyDescent="0.25">
      <c r="A2113" s="4" t="s">
        <v>37</v>
      </c>
      <c r="B2113" s="7" t="s">
        <v>790</v>
      </c>
      <c r="C2113" s="2" t="s">
        <v>215</v>
      </c>
      <c r="D2113" s="7" t="s">
        <v>216</v>
      </c>
      <c r="E2113" s="4" t="s">
        <v>1602</v>
      </c>
      <c r="F2113" s="2">
        <v>1</v>
      </c>
      <c r="G2113" s="2" t="s">
        <v>1399</v>
      </c>
      <c r="H2113" s="2" t="s">
        <v>1399</v>
      </c>
      <c r="I2113" s="4" t="s">
        <v>68</v>
      </c>
      <c r="J2113" s="112">
        <f>IF($H2113&lt;&gt;"Y",0,ROUND(MIN(Dashboard!$R$24,IF(IFERROR(VLOOKUP($B2113,Dashboard!$Q$28:$S$60,2,FALSE),0)&gt;0,IFERROR(VLOOKUP($B2113,Dashboard!$Q$28:$S$60,2,FALSE),0),$Z2113*IF($U2113&lt;&gt;"",ROUND((Dashboard!$R$4/$U2113)*VLOOKUP($I2113,Dashboard!$Q$9:$R$13,2,FALSE)*IF(ISNUMBER(SEARCH("Duals",$B2113)),2,IF(ISNUMBER(SEARCH("Triples",$B2113)),3,IF(ISNUMBER(SEARCH("Quads",$B2113)),4,1))),2),ROUND(VLOOKUP($I2113,Dashboard!$Q$15:$R$20,2,FALSE)*IF($E2113="Red",Dashboard!$R$6,IF($E2113="Gold",Dashboard!$R$7,Dashboard!$R$5))*IF(ISNUMBER(SEARCH("Duals",$B2113)),2,IF(ISNUMBER(SEARCH("Triples",$B2113)),3,IF(ISNUMBER(SEARCH("Quads",$B2113)),4,1))),2))*IF(IFERROR(VLOOKUP($B2113,Dashboard!$Q$28:$S$60,3,FALSE),0)&gt;0,VLOOKUP($B2113,Dashboard!$Q$28:$S$60,3,FALSE),1))),0))</f>
        <v>0</v>
      </c>
      <c r="K2113" s="2" t="str">
        <f>IF('Autos - Singles'!H2="","",'Autos - Singles'!H2)</f>
        <v/>
      </c>
      <c r="L2113" s="2">
        <f t="shared" si="416"/>
        <v>0</v>
      </c>
      <c r="M2113" s="2">
        <f t="shared" si="417"/>
        <v>0</v>
      </c>
      <c r="N2113" s="2">
        <f t="shared" si="418"/>
        <v>0</v>
      </c>
      <c r="O2113" s="2">
        <f t="shared" si="419"/>
        <v>0</v>
      </c>
      <c r="P2113" s="112">
        <f t="shared" si="420"/>
        <v>0</v>
      </c>
      <c r="Q2113" s="112">
        <f t="shared" si="421"/>
        <v>0</v>
      </c>
      <c r="R2113" s="53"/>
      <c r="S2113" s="53" t="str">
        <f t="shared" si="422"/>
        <v>Autos - Singles|Autographs Gold Parallel|A-AH|Gold</v>
      </c>
      <c r="T2113" s="57" t="str">
        <f>IF($S2113="","",IFERROR(VLOOKUP($S2113,'Pop Estimates (Non-#d)'!$N$2:$O$500,2,FALSE),""))</f>
        <v/>
      </c>
      <c r="U2113" s="57">
        <f t="shared" si="423"/>
        <v>1</v>
      </c>
      <c r="V2113" s="53" t="str">
        <f t="shared" si="424"/>
        <v>Translucent</v>
      </c>
      <c r="W2113" s="53" t="str">
        <f t="shared" si="425"/>
        <v>Translucent</v>
      </c>
      <c r="X2113" s="53" t="str">
        <f t="shared" si="426"/>
        <v>Translucent</v>
      </c>
      <c r="Y2113" s="57">
        <f>IF($X2113="","",IFERROR(VLOOKUP($X2113,'Char Popularity'!$A$2:$C$500,2,FALSE),""))</f>
        <v>2</v>
      </c>
      <c r="Z2113" s="56">
        <f>IF($X2113="",1,IFERROR(VLOOKUP($X2113,'Char Popularity'!$A$2:$C$500,3,FALSE),1))</f>
        <v>0.9</v>
      </c>
      <c r="AA2113" s="62">
        <f>IF($H2113&lt;&gt;"Y",0,(IF($F2113&lt;&gt;"",ROUND(Dashboard!$R$4/$F2113,1),IF(AND($I2113="Base",$E2113="Base"),Dashboard!$R$5,IF(AND($I2113="Base",$E2113="Red"),Dashboard!$R$6,IF(AND($I2113="Base",$E2113="Gold"),Dashboard!$R$7,VLOOKUP($I2113,Dashboard!$Q$16:$R$21,2,FALSE)))))*VLOOKUP($I2113,Dashboard!$Q$9:$R$13,2,FALSE)*IF(AND($I2113="Auto",$F2113="",OR($B2113="Autographs Duals",$B2113="Autographs Triples",$B2113="Autographs Quads",$B2113="Autographs Quads (Inscribed)")),IF($B2113="Autographs Duals",2,IF($B2113="Autographs Triples",3,4)),1)))</f>
        <v>0</v>
      </c>
      <c r="AB2113" s="62">
        <f t="shared" si="427"/>
        <v>0</v>
      </c>
      <c r="AC2113" s="62">
        <f t="shared" si="428"/>
        <v>0</v>
      </c>
    </row>
    <row r="2114" spans="1:29" ht="30" customHeight="1" x14ac:dyDescent="0.25">
      <c r="A2114" s="4" t="s">
        <v>37</v>
      </c>
      <c r="B2114" s="7" t="s">
        <v>790</v>
      </c>
      <c r="C2114" s="2" t="s">
        <v>219</v>
      </c>
      <c r="D2114" s="7" t="s">
        <v>224</v>
      </c>
      <c r="E2114" s="4" t="s">
        <v>1602</v>
      </c>
      <c r="F2114" s="2">
        <v>1</v>
      </c>
      <c r="G2114" s="2" t="s">
        <v>1399</v>
      </c>
      <c r="H2114" s="2" t="s">
        <v>1399</v>
      </c>
      <c r="I2114" s="4" t="s">
        <v>68</v>
      </c>
      <c r="J2114" s="112">
        <f>IF($H2114&lt;&gt;"Y",0,ROUND(MIN(Dashboard!$R$24,IF(IFERROR(VLOOKUP($B2114,Dashboard!$Q$28:$S$60,2,FALSE),0)&gt;0,IFERROR(VLOOKUP($B2114,Dashboard!$Q$28:$S$60,2,FALSE),0),$Z2114*IF($U2114&lt;&gt;"",ROUND((Dashboard!$R$4/$U2114)*VLOOKUP($I2114,Dashboard!$Q$9:$R$13,2,FALSE)*IF(ISNUMBER(SEARCH("Duals",$B2114)),2,IF(ISNUMBER(SEARCH("Triples",$B2114)),3,IF(ISNUMBER(SEARCH("Quads",$B2114)),4,1))),2),ROUND(VLOOKUP($I2114,Dashboard!$Q$15:$R$20,2,FALSE)*IF($E2114="Red",Dashboard!$R$6,IF($E2114="Gold",Dashboard!$R$7,Dashboard!$R$5))*IF(ISNUMBER(SEARCH("Duals",$B2114)),2,IF(ISNUMBER(SEARCH("Triples",$B2114)),3,IF(ISNUMBER(SEARCH("Quads",$B2114)),4,1))),2))*IF(IFERROR(VLOOKUP($B2114,Dashboard!$Q$28:$S$60,3,FALSE),0)&gt;0,VLOOKUP($B2114,Dashboard!$Q$28:$S$60,3,FALSE),1))),0))</f>
        <v>0</v>
      </c>
      <c r="K2114" s="2" t="str">
        <f>IF('Autos - Singles'!H3="","",'Autos - Singles'!H3)</f>
        <v/>
      </c>
      <c r="L2114" s="2">
        <f t="shared" ref="L2114:L2177" si="429">IF(AND($K2114&lt;&gt;"",LEFT($K2114,1)&lt;&gt;"Y"),1,0)</f>
        <v>0</v>
      </c>
      <c r="M2114" s="2">
        <f t="shared" ref="M2114:M2177" si="430">IF(LEFT($K2114,1)="Y",1,0)</f>
        <v>0</v>
      </c>
      <c r="N2114" s="2">
        <f t="shared" ref="N2114:N2177" si="431">$L2114+$M2114</f>
        <v>0</v>
      </c>
      <c r="O2114" s="2">
        <f t="shared" ref="O2114:O2177" si="432">IF($H2114="Y",1-$N2114,0)</f>
        <v>0</v>
      </c>
      <c r="P2114" s="112">
        <f t="shared" ref="P2114:P2177" si="433">IF($L2114=1,$J2114,0)</f>
        <v>0</v>
      </c>
      <c r="Q2114" s="112">
        <f t="shared" ref="Q2114:Q2177" si="434">IF($M2114=1,$J2114,0)</f>
        <v>0</v>
      </c>
      <c r="R2114" s="53"/>
      <c r="S2114" s="53" t="str">
        <f t="shared" ref="S2114:S2177" si="435">IF($A2114="","",$A2114&amp;"|"&amp;$B2114&amp;"|"&amp;$C2114&amp;"|"&amp;$E2114)</f>
        <v>Autos - Singles|Autographs Gold Parallel|A-AL|Gold</v>
      </c>
      <c r="T2114" s="57" t="str">
        <f>IF($S2114="","",IFERROR(VLOOKUP($S2114,'Pop Estimates (Non-#d)'!$N$2:$O$500,2,FALSE),""))</f>
        <v/>
      </c>
      <c r="U2114" s="57">
        <f t="shared" ref="U2114:U2177" si="436">IF($A2114="","",IF($F2114&lt;&gt;"",$F2114,$T2114))</f>
        <v>1</v>
      </c>
      <c r="V2114" s="53" t="str">
        <f t="shared" ref="V2114:V2177" si="437">IF($A2114="","",IF(ISNUMBER(SEARCH(" as ",$D2114)),MID($D2114,SEARCH(" as ",$D2114)+4,255),IF(ISNUMBER(SEARCH("/",$D2114)),LEFT($D2114,FIND("/",$D2114&amp;"/")-1),"")))</f>
        <v>Popclaw</v>
      </c>
      <c r="W2114" s="53" t="str">
        <f t="shared" ref="W2114:W2177" si="438">IF($V2114="","",TRIM(IFERROR(MID($V2114,SEARCH("(", $V2114)+1,SEARCH(")",$V2114)-SEARCH("(", $V2114)-1),$V2114)))</f>
        <v>Popclaw</v>
      </c>
      <c r="X2114" s="53" t="str">
        <f t="shared" ref="X2114:X2177" si="439">IF($W2114="","",TRIM(LEFT($W2114&amp;"""",FIND("""",$W2114&amp;"""")-1)))</f>
        <v>Popclaw</v>
      </c>
      <c r="Y2114" s="57">
        <f>IF($X2114="","",IFERROR(VLOOKUP($X2114,'Char Popularity'!$A$2:$C$500,2,FALSE),""))</f>
        <v>2</v>
      </c>
      <c r="Z2114" s="56">
        <f>IF($X2114="",1,IFERROR(VLOOKUP($X2114,'Char Popularity'!$A$2:$C$500,3,FALSE),1))</f>
        <v>0.9</v>
      </c>
      <c r="AA2114" s="62">
        <f>IF($H2114&lt;&gt;"Y",0,(IF($F2114&lt;&gt;"",ROUND(Dashboard!$R$4/$F2114,1),IF(AND($I2114="Base",$E2114="Base"),Dashboard!$R$5,IF(AND($I2114="Base",$E2114="Red"),Dashboard!$R$6,IF(AND($I2114="Base",$E2114="Gold"),Dashboard!$R$7,VLOOKUP($I2114,Dashboard!$Q$16:$R$21,2,FALSE)))))*VLOOKUP($I2114,Dashboard!$Q$9:$R$13,2,FALSE)*IF(AND($I2114="Auto",$F2114="",OR($B2114="Autographs Duals",$B2114="Autographs Triples",$B2114="Autographs Quads",$B2114="Autographs Quads (Inscribed)")),IF($B2114="Autographs Duals",2,IF($B2114="Autographs Triples",3,4)),1)))</f>
        <v>0</v>
      </c>
      <c r="AB2114" s="62">
        <f t="shared" ref="AB2114:AB2177" si="440">IF($L2114=1,$AA2114,0)</f>
        <v>0</v>
      </c>
      <c r="AC2114" s="62">
        <f t="shared" ref="AC2114:AC2177" si="441">IF($M2114=1,$AA2114,0)</f>
        <v>0</v>
      </c>
    </row>
    <row r="2115" spans="1:29" ht="30" customHeight="1" x14ac:dyDescent="0.25">
      <c r="A2115" s="4" t="s">
        <v>37</v>
      </c>
      <c r="B2115" s="7" t="s">
        <v>790</v>
      </c>
      <c r="C2115" s="2" t="s">
        <v>221</v>
      </c>
      <c r="D2115" s="7" t="s">
        <v>222</v>
      </c>
      <c r="E2115" s="4" t="s">
        <v>1602</v>
      </c>
      <c r="F2115" s="2">
        <v>1</v>
      </c>
      <c r="G2115" s="2" t="s">
        <v>1399</v>
      </c>
      <c r="H2115" s="2" t="s">
        <v>1399</v>
      </c>
      <c r="I2115" s="4" t="s">
        <v>68</v>
      </c>
      <c r="J2115" s="112">
        <f>IF($H2115&lt;&gt;"Y",0,ROUND(MIN(Dashboard!$R$24,IF(IFERROR(VLOOKUP($B2115,Dashboard!$Q$28:$S$60,2,FALSE),0)&gt;0,IFERROR(VLOOKUP($B2115,Dashboard!$Q$28:$S$60,2,FALSE),0),$Z2115*IF($U2115&lt;&gt;"",ROUND((Dashboard!$R$4/$U2115)*VLOOKUP($I2115,Dashboard!$Q$9:$R$13,2,FALSE)*IF(ISNUMBER(SEARCH("Duals",$B2115)),2,IF(ISNUMBER(SEARCH("Triples",$B2115)),3,IF(ISNUMBER(SEARCH("Quads",$B2115)),4,1))),2),ROUND(VLOOKUP($I2115,Dashboard!$Q$15:$R$20,2,FALSE)*IF($E2115="Red",Dashboard!$R$6,IF($E2115="Gold",Dashboard!$R$7,Dashboard!$R$5))*IF(ISNUMBER(SEARCH("Duals",$B2115)),2,IF(ISNUMBER(SEARCH("Triples",$B2115)),3,IF(ISNUMBER(SEARCH("Quads",$B2115)),4,1))),2))*IF(IFERROR(VLOOKUP($B2115,Dashboard!$Q$28:$S$60,3,FALSE),0)&gt;0,VLOOKUP($B2115,Dashboard!$Q$28:$S$60,3,FALSE),1))),0))</f>
        <v>0</v>
      </c>
      <c r="K2115" s="2" t="str">
        <f>IF('Autos - Singles'!H4="","",'Autos - Singles'!H4)</f>
        <v/>
      </c>
      <c r="L2115" s="2">
        <f t="shared" si="429"/>
        <v>0</v>
      </c>
      <c r="M2115" s="2">
        <f t="shared" si="430"/>
        <v>0</v>
      </c>
      <c r="N2115" s="2">
        <f t="shared" si="431"/>
        <v>0</v>
      </c>
      <c r="O2115" s="2">
        <f t="shared" si="432"/>
        <v>0</v>
      </c>
      <c r="P2115" s="112">
        <f t="shared" si="433"/>
        <v>0</v>
      </c>
      <c r="Q2115" s="112">
        <f t="shared" si="434"/>
        <v>0</v>
      </c>
      <c r="R2115" s="53"/>
      <c r="S2115" s="53" t="str">
        <f t="shared" si="435"/>
        <v>Autos - Singles|Autographs Gold Parallel|A-AS|Gold</v>
      </c>
      <c r="T2115" s="57" t="str">
        <f>IF($S2115="","",IFERROR(VLOOKUP($S2115,'Pop Estimates (Non-#d)'!$N$2:$O$500,2,FALSE),""))</f>
        <v/>
      </c>
      <c r="U2115" s="57">
        <f t="shared" si="436"/>
        <v>1</v>
      </c>
      <c r="V2115" s="53" t="str">
        <f t="shared" si="437"/>
        <v>Homelander</v>
      </c>
      <c r="W2115" s="53" t="str">
        <f t="shared" si="438"/>
        <v>Homelander</v>
      </c>
      <c r="X2115" s="53" t="str">
        <f t="shared" si="439"/>
        <v>Homelander</v>
      </c>
      <c r="Y2115" s="57">
        <f>IF($X2115="","",IFERROR(VLOOKUP($X2115,'Char Popularity'!$A$2:$C$500,2,FALSE),""))</f>
        <v>5</v>
      </c>
      <c r="Z2115" s="56">
        <f>IF($X2115="",1,IFERROR(VLOOKUP($X2115,'Char Popularity'!$A$2:$C$500,3,FALSE),1))</f>
        <v>1.2</v>
      </c>
      <c r="AA2115" s="62">
        <f>IF($H2115&lt;&gt;"Y",0,(IF($F2115&lt;&gt;"",ROUND(Dashboard!$R$4/$F2115,1),IF(AND($I2115="Base",$E2115="Base"),Dashboard!$R$5,IF(AND($I2115="Base",$E2115="Red"),Dashboard!$R$6,IF(AND($I2115="Base",$E2115="Gold"),Dashboard!$R$7,VLOOKUP($I2115,Dashboard!$Q$16:$R$21,2,FALSE)))))*VLOOKUP($I2115,Dashboard!$Q$9:$R$13,2,FALSE)*IF(AND($I2115="Auto",$F2115="",OR($B2115="Autographs Duals",$B2115="Autographs Triples",$B2115="Autographs Quads",$B2115="Autographs Quads (Inscribed)")),IF($B2115="Autographs Duals",2,IF($B2115="Autographs Triples",3,4)),1)))</f>
        <v>0</v>
      </c>
      <c r="AB2115" s="62">
        <f t="shared" si="440"/>
        <v>0</v>
      </c>
      <c r="AC2115" s="62">
        <f t="shared" si="441"/>
        <v>0</v>
      </c>
    </row>
    <row r="2116" spans="1:29" ht="30" customHeight="1" x14ac:dyDescent="0.25">
      <c r="A2116" s="4" t="s">
        <v>37</v>
      </c>
      <c r="B2116" s="7" t="s">
        <v>790</v>
      </c>
      <c r="C2116" s="2" t="s">
        <v>223</v>
      </c>
      <c r="D2116" s="7" t="s">
        <v>224</v>
      </c>
      <c r="E2116" s="4" t="s">
        <v>1602</v>
      </c>
      <c r="F2116" s="2">
        <v>1</v>
      </c>
      <c r="G2116" s="2" t="s">
        <v>1399</v>
      </c>
      <c r="H2116" s="2" t="s">
        <v>1399</v>
      </c>
      <c r="I2116" s="4" t="s">
        <v>68</v>
      </c>
      <c r="J2116" s="112">
        <f>IF($H2116&lt;&gt;"Y",0,ROUND(MIN(Dashboard!$R$24,IF(IFERROR(VLOOKUP($B2116,Dashboard!$Q$28:$S$60,2,FALSE),0)&gt;0,IFERROR(VLOOKUP($B2116,Dashboard!$Q$28:$S$60,2,FALSE),0),$Z2116*IF($U2116&lt;&gt;"",ROUND((Dashboard!$R$4/$U2116)*VLOOKUP($I2116,Dashboard!$Q$9:$R$13,2,FALSE)*IF(ISNUMBER(SEARCH("Duals",$B2116)),2,IF(ISNUMBER(SEARCH("Triples",$B2116)),3,IF(ISNUMBER(SEARCH("Quads",$B2116)),4,1))),2),ROUND(VLOOKUP($I2116,Dashboard!$Q$15:$R$20,2,FALSE)*IF($E2116="Red",Dashboard!$R$6,IF($E2116="Gold",Dashboard!$R$7,Dashboard!$R$5))*IF(ISNUMBER(SEARCH("Duals",$B2116)),2,IF(ISNUMBER(SEARCH("Triples",$B2116)),3,IF(ISNUMBER(SEARCH("Quads",$B2116)),4,1))),2))*IF(IFERROR(VLOOKUP($B2116,Dashboard!$Q$28:$S$60,3,FALSE),0)&gt;0,VLOOKUP($B2116,Dashboard!$Q$28:$S$60,3,FALSE),1))),0))</f>
        <v>0</v>
      </c>
      <c r="K2116" s="2" t="str">
        <f>IF('Autos - Singles'!H5="","",'Autos - Singles'!H5)</f>
        <v/>
      </c>
      <c r="L2116" s="2">
        <f t="shared" si="429"/>
        <v>0</v>
      </c>
      <c r="M2116" s="2">
        <f t="shared" si="430"/>
        <v>0</v>
      </c>
      <c r="N2116" s="2">
        <f t="shared" si="431"/>
        <v>0</v>
      </c>
      <c r="O2116" s="2">
        <f t="shared" si="432"/>
        <v>0</v>
      </c>
      <c r="P2116" s="112">
        <f t="shared" si="433"/>
        <v>0</v>
      </c>
      <c r="Q2116" s="112">
        <f t="shared" si="434"/>
        <v>0</v>
      </c>
      <c r="R2116" s="53"/>
      <c r="S2116" s="53" t="str">
        <f t="shared" si="435"/>
        <v>Autos - Singles|Autographs Gold Parallel|A-BA|Gold</v>
      </c>
      <c r="T2116" s="57" t="str">
        <f>IF($S2116="","",IFERROR(VLOOKUP($S2116,'Pop Estimates (Non-#d)'!$N$2:$O$500,2,FALSE),""))</f>
        <v/>
      </c>
      <c r="U2116" s="57">
        <f t="shared" si="436"/>
        <v>1</v>
      </c>
      <c r="V2116" s="53" t="str">
        <f t="shared" si="437"/>
        <v>Popclaw</v>
      </c>
      <c r="W2116" s="53" t="str">
        <f t="shared" si="438"/>
        <v>Popclaw</v>
      </c>
      <c r="X2116" s="53" t="str">
        <f t="shared" si="439"/>
        <v>Popclaw</v>
      </c>
      <c r="Y2116" s="57">
        <f>IF($X2116="","",IFERROR(VLOOKUP($X2116,'Char Popularity'!$A$2:$C$500,2,FALSE),""))</f>
        <v>2</v>
      </c>
      <c r="Z2116" s="56">
        <f>IF($X2116="",1,IFERROR(VLOOKUP($X2116,'Char Popularity'!$A$2:$C$500,3,FALSE),1))</f>
        <v>0.9</v>
      </c>
      <c r="AA2116" s="62">
        <f>IF($H2116&lt;&gt;"Y",0,(IF($F2116&lt;&gt;"",ROUND(Dashboard!$R$4/$F2116,1),IF(AND($I2116="Base",$E2116="Base"),Dashboard!$R$5,IF(AND($I2116="Base",$E2116="Red"),Dashboard!$R$6,IF(AND($I2116="Base",$E2116="Gold"),Dashboard!$R$7,VLOOKUP($I2116,Dashboard!$Q$16:$R$21,2,FALSE)))))*VLOOKUP($I2116,Dashboard!$Q$9:$R$13,2,FALSE)*IF(AND($I2116="Auto",$F2116="",OR($B2116="Autographs Duals",$B2116="Autographs Triples",$B2116="Autographs Quads",$B2116="Autographs Quads (Inscribed)")),IF($B2116="Autographs Duals",2,IF($B2116="Autographs Triples",3,4)),1)))</f>
        <v>0</v>
      </c>
      <c r="AB2116" s="62">
        <f t="shared" si="440"/>
        <v>0</v>
      </c>
      <c r="AC2116" s="62">
        <f t="shared" si="441"/>
        <v>0</v>
      </c>
    </row>
    <row r="2117" spans="1:29" ht="30" customHeight="1" x14ac:dyDescent="0.25">
      <c r="A2117" s="4" t="s">
        <v>37</v>
      </c>
      <c r="B2117" s="7" t="s">
        <v>790</v>
      </c>
      <c r="C2117" s="2" t="s">
        <v>225</v>
      </c>
      <c r="D2117" s="7" t="s">
        <v>224</v>
      </c>
      <c r="E2117" s="4" t="s">
        <v>1602</v>
      </c>
      <c r="F2117" s="2">
        <v>1</v>
      </c>
      <c r="G2117" s="2" t="s">
        <v>1399</v>
      </c>
      <c r="H2117" s="2" t="s">
        <v>1399</v>
      </c>
      <c r="I2117" s="4" t="s">
        <v>68</v>
      </c>
      <c r="J2117" s="112">
        <f>IF($H2117&lt;&gt;"Y",0,ROUND(MIN(Dashboard!$R$24,IF(IFERROR(VLOOKUP($B2117,Dashboard!$Q$28:$S$60,2,FALSE),0)&gt;0,IFERROR(VLOOKUP($B2117,Dashboard!$Q$28:$S$60,2,FALSE),0),$Z2117*IF($U2117&lt;&gt;"",ROUND((Dashboard!$R$4/$U2117)*VLOOKUP($I2117,Dashboard!$Q$9:$R$13,2,FALSE)*IF(ISNUMBER(SEARCH("Duals",$B2117)),2,IF(ISNUMBER(SEARCH("Triples",$B2117)),3,IF(ISNUMBER(SEARCH("Quads",$B2117)),4,1))),2),ROUND(VLOOKUP($I2117,Dashboard!$Q$15:$R$20,2,FALSE)*IF($E2117="Red",Dashboard!$R$6,IF($E2117="Gold",Dashboard!$R$7,Dashboard!$R$5))*IF(ISNUMBER(SEARCH("Duals",$B2117)),2,IF(ISNUMBER(SEARCH("Triples",$B2117)),3,IF(ISNUMBER(SEARCH("Quads",$B2117)),4,1))),2))*IF(IFERROR(VLOOKUP($B2117,Dashboard!$Q$28:$S$60,3,FALSE),0)&gt;0,VLOOKUP($B2117,Dashboard!$Q$28:$S$60,3,FALSE),1))),0))</f>
        <v>0</v>
      </c>
      <c r="K2117" s="2" t="str">
        <f>IF('Autos - Singles'!H6="","",'Autos - Singles'!H6)</f>
        <v/>
      </c>
      <c r="L2117" s="2">
        <f t="shared" si="429"/>
        <v>0</v>
      </c>
      <c r="M2117" s="2">
        <f t="shared" si="430"/>
        <v>0</v>
      </c>
      <c r="N2117" s="2">
        <f t="shared" si="431"/>
        <v>0</v>
      </c>
      <c r="O2117" s="2">
        <f t="shared" si="432"/>
        <v>0</v>
      </c>
      <c r="P2117" s="112">
        <f t="shared" si="433"/>
        <v>0</v>
      </c>
      <c r="Q2117" s="112">
        <f t="shared" si="434"/>
        <v>0</v>
      </c>
      <c r="R2117" s="53"/>
      <c r="S2117" s="53" t="str">
        <f t="shared" si="435"/>
        <v>Autos - Singles|Autographs Gold Parallel|A-BI|Gold</v>
      </c>
      <c r="T2117" s="57" t="str">
        <f>IF($S2117="","",IFERROR(VLOOKUP($S2117,'Pop Estimates (Non-#d)'!$N$2:$O$500,2,FALSE),""))</f>
        <v/>
      </c>
      <c r="U2117" s="57">
        <f t="shared" si="436"/>
        <v>1</v>
      </c>
      <c r="V2117" s="53" t="str">
        <f t="shared" si="437"/>
        <v>Popclaw</v>
      </c>
      <c r="W2117" s="53" t="str">
        <f t="shared" si="438"/>
        <v>Popclaw</v>
      </c>
      <c r="X2117" s="53" t="str">
        <f t="shared" si="439"/>
        <v>Popclaw</v>
      </c>
      <c r="Y2117" s="57">
        <f>IF($X2117="","",IFERROR(VLOOKUP($X2117,'Char Popularity'!$A$2:$C$500,2,FALSE),""))</f>
        <v>2</v>
      </c>
      <c r="Z2117" s="56">
        <f>IF($X2117="",1,IFERROR(VLOOKUP($X2117,'Char Popularity'!$A$2:$C$500,3,FALSE),1))</f>
        <v>0.9</v>
      </c>
      <c r="AA2117" s="62">
        <f>IF($H2117&lt;&gt;"Y",0,(IF($F2117&lt;&gt;"",ROUND(Dashboard!$R$4/$F2117,1),IF(AND($I2117="Base",$E2117="Base"),Dashboard!$R$5,IF(AND($I2117="Base",$E2117="Red"),Dashboard!$R$6,IF(AND($I2117="Base",$E2117="Gold"),Dashboard!$R$7,VLOOKUP($I2117,Dashboard!$Q$16:$R$21,2,FALSE)))))*VLOOKUP($I2117,Dashboard!$Q$9:$R$13,2,FALSE)*IF(AND($I2117="Auto",$F2117="",OR($B2117="Autographs Duals",$B2117="Autographs Triples",$B2117="Autographs Quads",$B2117="Autographs Quads (Inscribed)")),IF($B2117="Autographs Duals",2,IF($B2117="Autographs Triples",3,4)),1)))</f>
        <v>0</v>
      </c>
      <c r="AB2117" s="62">
        <f t="shared" si="440"/>
        <v>0</v>
      </c>
      <c r="AC2117" s="62">
        <f t="shared" si="441"/>
        <v>0</v>
      </c>
    </row>
    <row r="2118" spans="1:29" ht="30" customHeight="1" x14ac:dyDescent="0.25">
      <c r="A2118" s="4" t="s">
        <v>37</v>
      </c>
      <c r="B2118" s="7" t="s">
        <v>790</v>
      </c>
      <c r="C2118" s="2" t="s">
        <v>226</v>
      </c>
      <c r="D2118" s="7" t="s">
        <v>224</v>
      </c>
      <c r="E2118" s="4" t="s">
        <v>1602</v>
      </c>
      <c r="F2118" s="2">
        <v>1</v>
      </c>
      <c r="G2118" s="2" t="s">
        <v>1399</v>
      </c>
      <c r="H2118" s="2" t="s">
        <v>1399</v>
      </c>
      <c r="I2118" s="4" t="s">
        <v>68</v>
      </c>
      <c r="J2118" s="112">
        <f>IF($H2118&lt;&gt;"Y",0,ROUND(MIN(Dashboard!$R$24,IF(IFERROR(VLOOKUP($B2118,Dashboard!$Q$28:$S$60,2,FALSE),0)&gt;0,IFERROR(VLOOKUP($B2118,Dashboard!$Q$28:$S$60,2,FALSE),0),$Z2118*IF($U2118&lt;&gt;"",ROUND((Dashboard!$R$4/$U2118)*VLOOKUP($I2118,Dashboard!$Q$9:$R$13,2,FALSE)*IF(ISNUMBER(SEARCH("Duals",$B2118)),2,IF(ISNUMBER(SEARCH("Triples",$B2118)),3,IF(ISNUMBER(SEARCH("Quads",$B2118)),4,1))),2),ROUND(VLOOKUP($I2118,Dashboard!$Q$15:$R$20,2,FALSE)*IF($E2118="Red",Dashboard!$R$6,IF($E2118="Gold",Dashboard!$R$7,Dashboard!$R$5))*IF(ISNUMBER(SEARCH("Duals",$B2118)),2,IF(ISNUMBER(SEARCH("Triples",$B2118)),3,IF(ISNUMBER(SEARCH("Quads",$B2118)),4,1))),2))*IF(IFERROR(VLOOKUP($B2118,Dashboard!$Q$28:$S$60,3,FALSE),0)&gt;0,VLOOKUP($B2118,Dashboard!$Q$28:$S$60,3,FALSE),1))),0))</f>
        <v>0</v>
      </c>
      <c r="K2118" s="2" t="str">
        <f>IF('Autos - Singles'!H7="","",'Autos - Singles'!H7)</f>
        <v/>
      </c>
      <c r="L2118" s="2">
        <f t="shared" si="429"/>
        <v>0</v>
      </c>
      <c r="M2118" s="2">
        <f t="shared" si="430"/>
        <v>0</v>
      </c>
      <c r="N2118" s="2">
        <f t="shared" si="431"/>
        <v>0</v>
      </c>
      <c r="O2118" s="2">
        <f t="shared" si="432"/>
        <v>0</v>
      </c>
      <c r="P2118" s="112">
        <f t="shared" si="433"/>
        <v>0</v>
      </c>
      <c r="Q2118" s="112">
        <f t="shared" si="434"/>
        <v>0</v>
      </c>
      <c r="R2118" s="53"/>
      <c r="S2118" s="53" t="str">
        <f t="shared" si="435"/>
        <v>Autos - Singles|Autographs Gold Parallel|A-BR|Gold</v>
      </c>
      <c r="T2118" s="57" t="str">
        <f>IF($S2118="","",IFERROR(VLOOKUP($S2118,'Pop Estimates (Non-#d)'!$N$2:$O$500,2,FALSE),""))</f>
        <v/>
      </c>
      <c r="U2118" s="57">
        <f t="shared" si="436"/>
        <v>1</v>
      </c>
      <c r="V2118" s="53" t="str">
        <f t="shared" si="437"/>
        <v>Popclaw</v>
      </c>
      <c r="W2118" s="53" t="str">
        <f t="shared" si="438"/>
        <v>Popclaw</v>
      </c>
      <c r="X2118" s="53" t="str">
        <f t="shared" si="439"/>
        <v>Popclaw</v>
      </c>
      <c r="Y2118" s="57">
        <f>IF($X2118="","",IFERROR(VLOOKUP($X2118,'Char Popularity'!$A$2:$C$500,2,FALSE),""))</f>
        <v>2</v>
      </c>
      <c r="Z2118" s="56">
        <f>IF($X2118="",1,IFERROR(VLOOKUP($X2118,'Char Popularity'!$A$2:$C$500,3,FALSE),1))</f>
        <v>0.9</v>
      </c>
      <c r="AA2118" s="62">
        <f>IF($H2118&lt;&gt;"Y",0,(IF($F2118&lt;&gt;"",ROUND(Dashboard!$R$4/$F2118,1),IF(AND($I2118="Base",$E2118="Base"),Dashboard!$R$5,IF(AND($I2118="Base",$E2118="Red"),Dashboard!$R$6,IF(AND($I2118="Base",$E2118="Gold"),Dashboard!$R$7,VLOOKUP($I2118,Dashboard!$Q$16:$R$21,2,FALSE)))))*VLOOKUP($I2118,Dashboard!$Q$9:$R$13,2,FALSE)*IF(AND($I2118="Auto",$F2118="",OR($B2118="Autographs Duals",$B2118="Autographs Triples",$B2118="Autographs Quads",$B2118="Autographs Quads (Inscribed)")),IF($B2118="Autographs Duals",2,IF($B2118="Autographs Triples",3,4)),1)))</f>
        <v>0</v>
      </c>
      <c r="AB2118" s="62">
        <f t="shared" si="440"/>
        <v>0</v>
      </c>
      <c r="AC2118" s="62">
        <f t="shared" si="441"/>
        <v>0</v>
      </c>
    </row>
    <row r="2119" spans="1:29" ht="30" customHeight="1" x14ac:dyDescent="0.25">
      <c r="A2119" s="4" t="s">
        <v>37</v>
      </c>
      <c r="B2119" s="7" t="s">
        <v>790</v>
      </c>
      <c r="C2119" s="2" t="s">
        <v>227</v>
      </c>
      <c r="D2119" s="7" t="s">
        <v>228</v>
      </c>
      <c r="E2119" s="4" t="s">
        <v>1602</v>
      </c>
      <c r="F2119" s="2">
        <v>1</v>
      </c>
      <c r="G2119" s="2" t="s">
        <v>1399</v>
      </c>
      <c r="H2119" s="2" t="s">
        <v>1399</v>
      </c>
      <c r="I2119" s="4" t="s">
        <v>68</v>
      </c>
      <c r="J2119" s="112">
        <f>IF($H2119&lt;&gt;"Y",0,ROUND(MIN(Dashboard!$R$24,IF(IFERROR(VLOOKUP($B2119,Dashboard!$Q$28:$S$60,2,FALSE),0)&gt;0,IFERROR(VLOOKUP($B2119,Dashboard!$Q$28:$S$60,2,FALSE),0),$Z2119*IF($U2119&lt;&gt;"",ROUND((Dashboard!$R$4/$U2119)*VLOOKUP($I2119,Dashboard!$Q$9:$R$13,2,FALSE)*IF(ISNUMBER(SEARCH("Duals",$B2119)),2,IF(ISNUMBER(SEARCH("Triples",$B2119)),3,IF(ISNUMBER(SEARCH("Quads",$B2119)),4,1))),2),ROUND(VLOOKUP($I2119,Dashboard!$Q$15:$R$20,2,FALSE)*IF($E2119="Red",Dashboard!$R$6,IF($E2119="Gold",Dashboard!$R$7,Dashboard!$R$5))*IF(ISNUMBER(SEARCH("Duals",$B2119)),2,IF(ISNUMBER(SEARCH("Triples",$B2119)),3,IF(ISNUMBER(SEARCH("Quads",$B2119)),4,1))),2))*IF(IFERROR(VLOOKUP($B2119,Dashboard!$Q$28:$S$60,3,FALSE),0)&gt;0,VLOOKUP($B2119,Dashboard!$Q$28:$S$60,3,FALSE),1))),0))</f>
        <v>0</v>
      </c>
      <c r="K2119" s="2" t="str">
        <f>IF('Autos - Singles'!H8="","",'Autos - Singles'!H8)</f>
        <v/>
      </c>
      <c r="L2119" s="2">
        <f t="shared" si="429"/>
        <v>0</v>
      </c>
      <c r="M2119" s="2">
        <f t="shared" si="430"/>
        <v>0</v>
      </c>
      <c r="N2119" s="2">
        <f t="shared" si="431"/>
        <v>0</v>
      </c>
      <c r="O2119" s="2">
        <f t="shared" si="432"/>
        <v>0</v>
      </c>
      <c r="P2119" s="112">
        <f t="shared" si="433"/>
        <v>0</v>
      </c>
      <c r="Q2119" s="112">
        <f t="shared" si="434"/>
        <v>0</v>
      </c>
      <c r="R2119" s="53"/>
      <c r="S2119" s="53" t="str">
        <f t="shared" si="435"/>
        <v>Autos - Singles|Autographs Gold Parallel|A-CA|Gold</v>
      </c>
      <c r="T2119" s="57" t="str">
        <f>IF($S2119="","",IFERROR(VLOOKUP($S2119,'Pop Estimates (Non-#d)'!$N$2:$O$500,2,FALSE),""))</f>
        <v/>
      </c>
      <c r="U2119" s="57">
        <f t="shared" si="436"/>
        <v>1</v>
      </c>
      <c r="V2119" s="53" t="str">
        <f t="shared" si="437"/>
        <v>Ryan</v>
      </c>
      <c r="W2119" s="53" t="str">
        <f t="shared" si="438"/>
        <v>Ryan</v>
      </c>
      <c r="X2119" s="53" t="str">
        <f t="shared" si="439"/>
        <v>Ryan</v>
      </c>
      <c r="Y2119" s="57">
        <f>IF($X2119="","",IFERROR(VLOOKUP($X2119,'Char Popularity'!$A$2:$C$500,2,FALSE),""))</f>
        <v>4</v>
      </c>
      <c r="Z2119" s="56">
        <f>IF($X2119="",1,IFERROR(VLOOKUP($X2119,'Char Popularity'!$A$2:$C$500,3,FALSE),1))</f>
        <v>1.1000000000000001</v>
      </c>
      <c r="AA2119" s="62">
        <f>IF($H2119&lt;&gt;"Y",0,(IF($F2119&lt;&gt;"",ROUND(Dashboard!$R$4/$F2119,1),IF(AND($I2119="Base",$E2119="Base"),Dashboard!$R$5,IF(AND($I2119="Base",$E2119="Red"),Dashboard!$R$6,IF(AND($I2119="Base",$E2119="Gold"),Dashboard!$R$7,VLOOKUP($I2119,Dashboard!$Q$16:$R$21,2,FALSE)))))*VLOOKUP($I2119,Dashboard!$Q$9:$R$13,2,FALSE)*IF(AND($I2119="Auto",$F2119="",OR($B2119="Autographs Duals",$B2119="Autographs Triples",$B2119="Autographs Quads",$B2119="Autographs Quads (Inscribed)")),IF($B2119="Autographs Duals",2,IF($B2119="Autographs Triples",3,4)),1)))</f>
        <v>0</v>
      </c>
      <c r="AB2119" s="62">
        <f t="shared" si="440"/>
        <v>0</v>
      </c>
      <c r="AC2119" s="62">
        <f t="shared" si="441"/>
        <v>0</v>
      </c>
    </row>
    <row r="2120" spans="1:29" ht="30" customHeight="1" x14ac:dyDescent="0.25">
      <c r="A2120" s="4" t="s">
        <v>37</v>
      </c>
      <c r="B2120" s="7" t="s">
        <v>790</v>
      </c>
      <c r="C2120" s="2" t="s">
        <v>229</v>
      </c>
      <c r="D2120" s="7" t="s">
        <v>230</v>
      </c>
      <c r="E2120" s="4" t="s">
        <v>1602</v>
      </c>
      <c r="F2120" s="2">
        <v>1</v>
      </c>
      <c r="G2120" s="2" t="s">
        <v>1399</v>
      </c>
      <c r="H2120" s="2" t="s">
        <v>1399</v>
      </c>
      <c r="I2120" s="4" t="s">
        <v>68</v>
      </c>
      <c r="J2120" s="112">
        <f>IF($H2120&lt;&gt;"Y",0,ROUND(MIN(Dashboard!$R$24,IF(IFERROR(VLOOKUP($B2120,Dashboard!$Q$28:$S$60,2,FALSE),0)&gt;0,IFERROR(VLOOKUP($B2120,Dashboard!$Q$28:$S$60,2,FALSE),0),$Z2120*IF($U2120&lt;&gt;"",ROUND((Dashboard!$R$4/$U2120)*VLOOKUP($I2120,Dashboard!$Q$9:$R$13,2,FALSE)*IF(ISNUMBER(SEARCH("Duals",$B2120)),2,IF(ISNUMBER(SEARCH("Triples",$B2120)),3,IF(ISNUMBER(SEARCH("Quads",$B2120)),4,1))),2),ROUND(VLOOKUP($I2120,Dashboard!$Q$15:$R$20,2,FALSE)*IF($E2120="Red",Dashboard!$R$6,IF($E2120="Gold",Dashboard!$R$7,Dashboard!$R$5))*IF(ISNUMBER(SEARCH("Duals",$B2120)),2,IF(ISNUMBER(SEARCH("Triples",$B2120)),3,IF(ISNUMBER(SEARCH("Quads",$B2120)),4,1))),2))*IF(IFERROR(VLOOKUP($B2120,Dashboard!$Q$28:$S$60,3,FALSE),0)&gt;0,VLOOKUP($B2120,Dashboard!$Q$28:$S$60,3,FALSE),1))),0))</f>
        <v>0</v>
      </c>
      <c r="K2120" s="2" t="str">
        <f>IF('Autos - Singles'!H9="","",'Autos - Singles'!H9)</f>
        <v/>
      </c>
      <c r="L2120" s="2">
        <f t="shared" si="429"/>
        <v>0</v>
      </c>
      <c r="M2120" s="2">
        <f t="shared" si="430"/>
        <v>0</v>
      </c>
      <c r="N2120" s="2">
        <f t="shared" si="431"/>
        <v>0</v>
      </c>
      <c r="O2120" s="2">
        <f t="shared" si="432"/>
        <v>0</v>
      </c>
      <c r="P2120" s="112">
        <f t="shared" si="433"/>
        <v>0</v>
      </c>
      <c r="Q2120" s="112">
        <f t="shared" si="434"/>
        <v>0</v>
      </c>
      <c r="R2120" s="53"/>
      <c r="S2120" s="53" t="str">
        <f t="shared" si="435"/>
        <v>Autos - Singles|Autographs Gold Parallel|A-CC|Gold</v>
      </c>
      <c r="T2120" s="57" t="str">
        <f>IF($S2120="","",IFERROR(VLOOKUP($S2120,'Pop Estimates (Non-#d)'!$N$2:$O$500,2,FALSE),""))</f>
        <v/>
      </c>
      <c r="U2120" s="57">
        <f t="shared" si="436"/>
        <v>1</v>
      </c>
      <c r="V2120" s="53" t="str">
        <f t="shared" si="437"/>
        <v>The Deep</v>
      </c>
      <c r="W2120" s="53" t="str">
        <f t="shared" si="438"/>
        <v>The Deep</v>
      </c>
      <c r="X2120" s="53" t="str">
        <f t="shared" si="439"/>
        <v>The Deep</v>
      </c>
      <c r="Y2120" s="57">
        <f>IF($X2120="","",IFERROR(VLOOKUP($X2120,'Char Popularity'!$A$2:$C$500,2,FALSE),""))</f>
        <v>4</v>
      </c>
      <c r="Z2120" s="56">
        <f>IF($X2120="",1,IFERROR(VLOOKUP($X2120,'Char Popularity'!$A$2:$C$500,3,FALSE),1))</f>
        <v>1.1000000000000001</v>
      </c>
      <c r="AA2120" s="62">
        <f>IF($H2120&lt;&gt;"Y",0,(IF($F2120&lt;&gt;"",ROUND(Dashboard!$R$4/$F2120,1),IF(AND($I2120="Base",$E2120="Base"),Dashboard!$R$5,IF(AND($I2120="Base",$E2120="Red"),Dashboard!$R$6,IF(AND($I2120="Base",$E2120="Gold"),Dashboard!$R$7,VLOOKUP($I2120,Dashboard!$Q$16:$R$21,2,FALSE)))))*VLOOKUP($I2120,Dashboard!$Q$9:$R$13,2,FALSE)*IF(AND($I2120="Auto",$F2120="",OR($B2120="Autographs Duals",$B2120="Autographs Triples",$B2120="Autographs Quads",$B2120="Autographs Quads (Inscribed)")),IF($B2120="Autographs Duals",2,IF($B2120="Autographs Triples",3,4)),1)))</f>
        <v>0</v>
      </c>
      <c r="AB2120" s="62">
        <f t="shared" si="440"/>
        <v>0</v>
      </c>
      <c r="AC2120" s="62">
        <f t="shared" si="441"/>
        <v>0</v>
      </c>
    </row>
    <row r="2121" spans="1:29" ht="30" customHeight="1" x14ac:dyDescent="0.25">
      <c r="A2121" s="4" t="s">
        <v>37</v>
      </c>
      <c r="B2121" s="7" t="s">
        <v>790</v>
      </c>
      <c r="C2121" s="2" t="s">
        <v>231</v>
      </c>
      <c r="D2121" s="7" t="s">
        <v>230</v>
      </c>
      <c r="E2121" s="4" t="s">
        <v>1602</v>
      </c>
      <c r="F2121" s="2">
        <v>1</v>
      </c>
      <c r="G2121" s="2" t="s">
        <v>1399</v>
      </c>
      <c r="H2121" s="2" t="s">
        <v>1399</v>
      </c>
      <c r="I2121" s="4" t="s">
        <v>68</v>
      </c>
      <c r="J2121" s="112">
        <f>IF($H2121&lt;&gt;"Y",0,ROUND(MIN(Dashboard!$R$24,IF(IFERROR(VLOOKUP($B2121,Dashboard!$Q$28:$S$60,2,FALSE),0)&gt;0,IFERROR(VLOOKUP($B2121,Dashboard!$Q$28:$S$60,2,FALSE),0),$Z2121*IF($U2121&lt;&gt;"",ROUND((Dashboard!$R$4/$U2121)*VLOOKUP($I2121,Dashboard!$Q$9:$R$13,2,FALSE)*IF(ISNUMBER(SEARCH("Duals",$B2121)),2,IF(ISNUMBER(SEARCH("Triples",$B2121)),3,IF(ISNUMBER(SEARCH("Quads",$B2121)),4,1))),2),ROUND(VLOOKUP($I2121,Dashboard!$Q$15:$R$20,2,FALSE)*IF($E2121="Red",Dashboard!$R$6,IF($E2121="Gold",Dashboard!$R$7,Dashboard!$R$5))*IF(ISNUMBER(SEARCH("Duals",$B2121)),2,IF(ISNUMBER(SEARCH("Triples",$B2121)),3,IF(ISNUMBER(SEARCH("Quads",$B2121)),4,1))),2))*IF(IFERROR(VLOOKUP($B2121,Dashboard!$Q$28:$S$60,3,FALSE),0)&gt;0,VLOOKUP($B2121,Dashboard!$Q$28:$S$60,3,FALSE),1))),0))</f>
        <v>0</v>
      </c>
      <c r="K2121" s="2" t="str">
        <f>IF('Autos - Singles'!H10="","",'Autos - Singles'!H10)</f>
        <v/>
      </c>
      <c r="L2121" s="2">
        <f t="shared" si="429"/>
        <v>0</v>
      </c>
      <c r="M2121" s="2">
        <f t="shared" si="430"/>
        <v>0</v>
      </c>
      <c r="N2121" s="2">
        <f t="shared" si="431"/>
        <v>0</v>
      </c>
      <c r="O2121" s="2">
        <f t="shared" si="432"/>
        <v>0</v>
      </c>
      <c r="P2121" s="112">
        <f t="shared" si="433"/>
        <v>0</v>
      </c>
      <c r="Q2121" s="112">
        <f t="shared" si="434"/>
        <v>0</v>
      </c>
      <c r="R2121" s="53"/>
      <c r="S2121" s="53" t="str">
        <f t="shared" si="435"/>
        <v>Autos - Singles|Autographs Gold Parallel|A-CH|Gold</v>
      </c>
      <c r="T2121" s="57" t="str">
        <f>IF($S2121="","",IFERROR(VLOOKUP($S2121,'Pop Estimates (Non-#d)'!$N$2:$O$500,2,FALSE),""))</f>
        <v/>
      </c>
      <c r="U2121" s="57">
        <f t="shared" si="436"/>
        <v>1</v>
      </c>
      <c r="V2121" s="53" t="str">
        <f t="shared" si="437"/>
        <v>The Deep</v>
      </c>
      <c r="W2121" s="53" t="str">
        <f t="shared" si="438"/>
        <v>The Deep</v>
      </c>
      <c r="X2121" s="53" t="str">
        <f t="shared" si="439"/>
        <v>The Deep</v>
      </c>
      <c r="Y2121" s="57">
        <f>IF($X2121="","",IFERROR(VLOOKUP($X2121,'Char Popularity'!$A$2:$C$500,2,FALSE),""))</f>
        <v>4</v>
      </c>
      <c r="Z2121" s="56">
        <f>IF($X2121="",1,IFERROR(VLOOKUP($X2121,'Char Popularity'!$A$2:$C$500,3,FALSE),1))</f>
        <v>1.1000000000000001</v>
      </c>
      <c r="AA2121" s="62">
        <f>IF($H2121&lt;&gt;"Y",0,(IF($F2121&lt;&gt;"",ROUND(Dashboard!$R$4/$F2121,1),IF(AND($I2121="Base",$E2121="Base"),Dashboard!$R$5,IF(AND($I2121="Base",$E2121="Red"),Dashboard!$R$6,IF(AND($I2121="Base",$E2121="Gold"),Dashboard!$R$7,VLOOKUP($I2121,Dashboard!$Q$16:$R$21,2,FALSE)))))*VLOOKUP($I2121,Dashboard!$Q$9:$R$13,2,FALSE)*IF(AND($I2121="Auto",$F2121="",OR($B2121="Autographs Duals",$B2121="Autographs Triples",$B2121="Autographs Quads",$B2121="Autographs Quads (Inscribed)")),IF($B2121="Autographs Duals",2,IF($B2121="Autographs Triples",3,4)),1)))</f>
        <v>0</v>
      </c>
      <c r="AB2121" s="62">
        <f t="shared" si="440"/>
        <v>0</v>
      </c>
      <c r="AC2121" s="62">
        <f t="shared" si="441"/>
        <v>0</v>
      </c>
    </row>
    <row r="2122" spans="1:29" ht="30" customHeight="1" x14ac:dyDescent="0.25">
      <c r="A2122" s="4" t="s">
        <v>37</v>
      </c>
      <c r="B2122" s="7" t="s">
        <v>790</v>
      </c>
      <c r="C2122" s="2" t="s">
        <v>233</v>
      </c>
      <c r="D2122" s="7" t="s">
        <v>234</v>
      </c>
      <c r="E2122" s="4" t="s">
        <v>1602</v>
      </c>
      <c r="F2122" s="2">
        <v>1</v>
      </c>
      <c r="G2122" s="2" t="s">
        <v>1399</v>
      </c>
      <c r="H2122" s="2" t="s">
        <v>1399</v>
      </c>
      <c r="I2122" s="4" t="s">
        <v>68</v>
      </c>
      <c r="J2122" s="112">
        <f>IF($H2122&lt;&gt;"Y",0,ROUND(MIN(Dashboard!$R$24,IF(IFERROR(VLOOKUP($B2122,Dashboard!$Q$28:$S$60,2,FALSE),0)&gt;0,IFERROR(VLOOKUP($B2122,Dashboard!$Q$28:$S$60,2,FALSE),0),$Z2122*IF($U2122&lt;&gt;"",ROUND((Dashboard!$R$4/$U2122)*VLOOKUP($I2122,Dashboard!$Q$9:$R$13,2,FALSE)*IF(ISNUMBER(SEARCH("Duals",$B2122)),2,IF(ISNUMBER(SEARCH("Triples",$B2122)),3,IF(ISNUMBER(SEARCH("Quads",$B2122)),4,1))),2),ROUND(VLOOKUP($I2122,Dashboard!$Q$15:$R$20,2,FALSE)*IF($E2122="Red",Dashboard!$R$6,IF($E2122="Gold",Dashboard!$R$7,Dashboard!$R$5))*IF(ISNUMBER(SEARCH("Duals",$B2122)),2,IF(ISNUMBER(SEARCH("Triples",$B2122)),3,IF(ISNUMBER(SEARCH("Quads",$B2122)),4,1))),2))*IF(IFERROR(VLOOKUP($B2122,Dashboard!$Q$28:$S$60,3,FALSE),0)&gt;0,VLOOKUP($B2122,Dashboard!$Q$28:$S$60,3,FALSE),1))),0))</f>
        <v>0</v>
      </c>
      <c r="K2122" s="2" t="str">
        <f>IF('Autos - Singles'!H11="","",'Autos - Singles'!H11)</f>
        <v/>
      </c>
      <c r="L2122" s="2">
        <f t="shared" si="429"/>
        <v>0</v>
      </c>
      <c r="M2122" s="2">
        <f t="shared" si="430"/>
        <v>0</v>
      </c>
      <c r="N2122" s="2">
        <f t="shared" si="431"/>
        <v>0</v>
      </c>
      <c r="O2122" s="2">
        <f t="shared" si="432"/>
        <v>0</v>
      </c>
      <c r="P2122" s="112">
        <f t="shared" si="433"/>
        <v>0</v>
      </c>
      <c r="Q2122" s="112">
        <f t="shared" si="434"/>
        <v>0</v>
      </c>
      <c r="R2122" s="53"/>
      <c r="S2122" s="53" t="str">
        <f t="shared" si="435"/>
        <v>Autos - Singles|Autographs Gold Parallel|A-CL|Gold</v>
      </c>
      <c r="T2122" s="57" t="str">
        <f>IF($S2122="","",IFERROR(VLOOKUP($S2122,'Pop Estimates (Non-#d)'!$N$2:$O$500,2,FALSE),""))</f>
        <v/>
      </c>
      <c r="U2122" s="57">
        <f t="shared" si="436"/>
        <v>1</v>
      </c>
      <c r="V2122" s="53" t="str">
        <f t="shared" si="437"/>
        <v>Ashley Barrett</v>
      </c>
      <c r="W2122" s="53" t="str">
        <f t="shared" si="438"/>
        <v>Ashley Barrett</v>
      </c>
      <c r="X2122" s="53" t="str">
        <f t="shared" si="439"/>
        <v>Ashley Barrett</v>
      </c>
      <c r="Y2122" s="57">
        <f>IF($X2122="","",IFERROR(VLOOKUP($X2122,'Char Popularity'!$A$2:$C$500,2,FALSE),""))</f>
        <v>3</v>
      </c>
      <c r="Z2122" s="56">
        <f>IF($X2122="",1,IFERROR(VLOOKUP($X2122,'Char Popularity'!$A$2:$C$500,3,FALSE),1))</f>
        <v>1</v>
      </c>
      <c r="AA2122" s="62">
        <f>IF($H2122&lt;&gt;"Y",0,(IF($F2122&lt;&gt;"",ROUND(Dashboard!$R$4/$F2122,1),IF(AND($I2122="Base",$E2122="Base"),Dashboard!$R$5,IF(AND($I2122="Base",$E2122="Red"),Dashboard!$R$6,IF(AND($I2122="Base",$E2122="Gold"),Dashboard!$R$7,VLOOKUP($I2122,Dashboard!$Q$16:$R$21,2,FALSE)))))*VLOOKUP($I2122,Dashboard!$Q$9:$R$13,2,FALSE)*IF(AND($I2122="Auto",$F2122="",OR($B2122="Autographs Duals",$B2122="Autographs Triples",$B2122="Autographs Quads",$B2122="Autographs Quads (Inscribed)")),IF($B2122="Autographs Duals",2,IF($B2122="Autographs Triples",3,4)),1)))</f>
        <v>0</v>
      </c>
      <c r="AB2122" s="62">
        <f t="shared" si="440"/>
        <v>0</v>
      </c>
      <c r="AC2122" s="62">
        <f t="shared" si="441"/>
        <v>0</v>
      </c>
    </row>
    <row r="2123" spans="1:29" ht="30" customHeight="1" x14ac:dyDescent="0.25">
      <c r="A2123" s="4" t="s">
        <v>37</v>
      </c>
      <c r="B2123" s="7" t="s">
        <v>790</v>
      </c>
      <c r="C2123" s="2" t="s">
        <v>235</v>
      </c>
      <c r="D2123" s="7" t="s">
        <v>234</v>
      </c>
      <c r="E2123" s="4" t="s">
        <v>1602</v>
      </c>
      <c r="F2123" s="2">
        <v>1</v>
      </c>
      <c r="G2123" s="2" t="s">
        <v>1399</v>
      </c>
      <c r="H2123" s="2" t="s">
        <v>1399</v>
      </c>
      <c r="I2123" s="4" t="s">
        <v>68</v>
      </c>
      <c r="J2123" s="112">
        <f>IF($H2123&lt;&gt;"Y",0,ROUND(MIN(Dashboard!$R$24,IF(IFERROR(VLOOKUP($B2123,Dashboard!$Q$28:$S$60,2,FALSE),0)&gt;0,IFERROR(VLOOKUP($B2123,Dashboard!$Q$28:$S$60,2,FALSE),0),$Z2123*IF($U2123&lt;&gt;"",ROUND((Dashboard!$R$4/$U2123)*VLOOKUP($I2123,Dashboard!$Q$9:$R$13,2,FALSE)*IF(ISNUMBER(SEARCH("Duals",$B2123)),2,IF(ISNUMBER(SEARCH("Triples",$B2123)),3,IF(ISNUMBER(SEARCH("Quads",$B2123)),4,1))),2),ROUND(VLOOKUP($I2123,Dashboard!$Q$15:$R$20,2,FALSE)*IF($E2123="Red",Dashboard!$R$6,IF($E2123="Gold",Dashboard!$R$7,Dashboard!$R$5))*IF(ISNUMBER(SEARCH("Duals",$B2123)),2,IF(ISNUMBER(SEARCH("Triples",$B2123)),3,IF(ISNUMBER(SEARCH("Quads",$B2123)),4,1))),2))*IF(IFERROR(VLOOKUP($B2123,Dashboard!$Q$28:$S$60,3,FALSE),0)&gt;0,VLOOKUP($B2123,Dashboard!$Q$28:$S$60,3,FALSE),1))),0))</f>
        <v>0</v>
      </c>
      <c r="K2123" s="2" t="str">
        <f>IF('Autos - Singles'!H12="","",'Autos - Singles'!H12)</f>
        <v/>
      </c>
      <c r="L2123" s="2">
        <f t="shared" si="429"/>
        <v>0</v>
      </c>
      <c r="M2123" s="2">
        <f t="shared" si="430"/>
        <v>0</v>
      </c>
      <c r="N2123" s="2">
        <f t="shared" si="431"/>
        <v>0</v>
      </c>
      <c r="O2123" s="2">
        <f t="shared" si="432"/>
        <v>0</v>
      </c>
      <c r="P2123" s="112">
        <f t="shared" si="433"/>
        <v>0</v>
      </c>
      <c r="Q2123" s="112">
        <f t="shared" si="434"/>
        <v>0</v>
      </c>
      <c r="R2123" s="53"/>
      <c r="S2123" s="53" t="str">
        <f t="shared" si="435"/>
        <v>Autos - Singles|Autographs Gold Parallel|A-CM|Gold</v>
      </c>
      <c r="T2123" s="57" t="str">
        <f>IF($S2123="","",IFERROR(VLOOKUP($S2123,'Pop Estimates (Non-#d)'!$N$2:$O$500,2,FALSE),""))</f>
        <v/>
      </c>
      <c r="U2123" s="57">
        <f t="shared" si="436"/>
        <v>1</v>
      </c>
      <c r="V2123" s="53" t="str">
        <f t="shared" si="437"/>
        <v>Ashley Barrett</v>
      </c>
      <c r="W2123" s="53" t="str">
        <f t="shared" si="438"/>
        <v>Ashley Barrett</v>
      </c>
      <c r="X2123" s="53" t="str">
        <f t="shared" si="439"/>
        <v>Ashley Barrett</v>
      </c>
      <c r="Y2123" s="57">
        <f>IF($X2123="","",IFERROR(VLOOKUP($X2123,'Char Popularity'!$A$2:$C$500,2,FALSE),""))</f>
        <v>3</v>
      </c>
      <c r="Z2123" s="56">
        <f>IF($X2123="",1,IFERROR(VLOOKUP($X2123,'Char Popularity'!$A$2:$C$500,3,FALSE),1))</f>
        <v>1</v>
      </c>
      <c r="AA2123" s="62">
        <f>IF($H2123&lt;&gt;"Y",0,(IF($F2123&lt;&gt;"",ROUND(Dashboard!$R$4/$F2123,1),IF(AND($I2123="Base",$E2123="Base"),Dashboard!$R$5,IF(AND($I2123="Base",$E2123="Red"),Dashboard!$R$6,IF(AND($I2123="Base",$E2123="Gold"),Dashboard!$R$7,VLOOKUP($I2123,Dashboard!$Q$16:$R$21,2,FALSE)))))*VLOOKUP($I2123,Dashboard!$Q$9:$R$13,2,FALSE)*IF(AND($I2123="Auto",$F2123="",OR($B2123="Autographs Duals",$B2123="Autographs Triples",$B2123="Autographs Quads",$B2123="Autographs Quads (Inscribed)")),IF($B2123="Autographs Duals",2,IF($B2123="Autographs Triples",3,4)),1)))</f>
        <v>0</v>
      </c>
      <c r="AB2123" s="62">
        <f t="shared" si="440"/>
        <v>0</v>
      </c>
      <c r="AC2123" s="62">
        <f t="shared" si="441"/>
        <v>0</v>
      </c>
    </row>
    <row r="2124" spans="1:29" ht="30" customHeight="1" x14ac:dyDescent="0.25">
      <c r="A2124" s="4" t="s">
        <v>37</v>
      </c>
      <c r="B2124" s="7" t="s">
        <v>790</v>
      </c>
      <c r="C2124" s="2" t="s">
        <v>236</v>
      </c>
      <c r="D2124" s="7" t="s">
        <v>234</v>
      </c>
      <c r="E2124" s="4" t="s">
        <v>1602</v>
      </c>
      <c r="F2124" s="2">
        <v>1</v>
      </c>
      <c r="G2124" s="2" t="s">
        <v>1399</v>
      </c>
      <c r="H2124" s="2" t="s">
        <v>1399</v>
      </c>
      <c r="I2124" s="4" t="s">
        <v>68</v>
      </c>
      <c r="J2124" s="112">
        <f>IF($H2124&lt;&gt;"Y",0,ROUND(MIN(Dashboard!$R$24,IF(IFERROR(VLOOKUP($B2124,Dashboard!$Q$28:$S$60,2,FALSE),0)&gt;0,IFERROR(VLOOKUP($B2124,Dashboard!$Q$28:$S$60,2,FALSE),0),$Z2124*IF($U2124&lt;&gt;"",ROUND((Dashboard!$R$4/$U2124)*VLOOKUP($I2124,Dashboard!$Q$9:$R$13,2,FALSE)*IF(ISNUMBER(SEARCH("Duals",$B2124)),2,IF(ISNUMBER(SEARCH("Triples",$B2124)),3,IF(ISNUMBER(SEARCH("Quads",$B2124)),4,1))),2),ROUND(VLOOKUP($I2124,Dashboard!$Q$15:$R$20,2,FALSE)*IF($E2124="Red",Dashboard!$R$6,IF($E2124="Gold",Dashboard!$R$7,Dashboard!$R$5))*IF(ISNUMBER(SEARCH("Duals",$B2124)),2,IF(ISNUMBER(SEARCH("Triples",$B2124)),3,IF(ISNUMBER(SEARCH("Quads",$B2124)),4,1))),2))*IF(IFERROR(VLOOKUP($B2124,Dashboard!$Q$28:$S$60,3,FALSE),0)&gt;0,VLOOKUP($B2124,Dashboard!$Q$28:$S$60,3,FALSE),1))),0))</f>
        <v>0</v>
      </c>
      <c r="K2124" s="2" t="str">
        <f>IF('Autos - Singles'!H13="","",'Autos - Singles'!H13)</f>
        <v/>
      </c>
      <c r="L2124" s="2">
        <f t="shared" si="429"/>
        <v>0</v>
      </c>
      <c r="M2124" s="2">
        <f t="shared" si="430"/>
        <v>0</v>
      </c>
      <c r="N2124" s="2">
        <f t="shared" si="431"/>
        <v>0</v>
      </c>
      <c r="O2124" s="2">
        <f t="shared" si="432"/>
        <v>0</v>
      </c>
      <c r="P2124" s="112">
        <f t="shared" si="433"/>
        <v>0</v>
      </c>
      <c r="Q2124" s="112">
        <f t="shared" si="434"/>
        <v>0</v>
      </c>
      <c r="R2124" s="53"/>
      <c r="S2124" s="53" t="str">
        <f t="shared" si="435"/>
        <v>Autos - Singles|Autographs Gold Parallel|A-CO|Gold</v>
      </c>
      <c r="T2124" s="57" t="str">
        <f>IF($S2124="","",IFERROR(VLOOKUP($S2124,'Pop Estimates (Non-#d)'!$N$2:$O$500,2,FALSE),""))</f>
        <v/>
      </c>
      <c r="U2124" s="57">
        <f t="shared" si="436"/>
        <v>1</v>
      </c>
      <c r="V2124" s="53" t="str">
        <f t="shared" si="437"/>
        <v>Ashley Barrett</v>
      </c>
      <c r="W2124" s="53" t="str">
        <f t="shared" si="438"/>
        <v>Ashley Barrett</v>
      </c>
      <c r="X2124" s="53" t="str">
        <f t="shared" si="439"/>
        <v>Ashley Barrett</v>
      </c>
      <c r="Y2124" s="57">
        <f>IF($X2124="","",IFERROR(VLOOKUP($X2124,'Char Popularity'!$A$2:$C$500,2,FALSE),""))</f>
        <v>3</v>
      </c>
      <c r="Z2124" s="56">
        <f>IF($X2124="",1,IFERROR(VLOOKUP($X2124,'Char Popularity'!$A$2:$C$500,3,FALSE),1))</f>
        <v>1</v>
      </c>
      <c r="AA2124" s="62">
        <f>IF($H2124&lt;&gt;"Y",0,(IF($F2124&lt;&gt;"",ROUND(Dashboard!$R$4/$F2124,1),IF(AND($I2124="Base",$E2124="Base"),Dashboard!$R$5,IF(AND($I2124="Base",$E2124="Red"),Dashboard!$R$6,IF(AND($I2124="Base",$E2124="Gold"),Dashboard!$R$7,VLOOKUP($I2124,Dashboard!$Q$16:$R$21,2,FALSE)))))*VLOOKUP($I2124,Dashboard!$Q$9:$R$13,2,FALSE)*IF(AND($I2124="Auto",$F2124="",OR($B2124="Autographs Duals",$B2124="Autographs Triples",$B2124="Autographs Quads",$B2124="Autographs Quads (Inscribed)")),IF($B2124="Autographs Duals",2,IF($B2124="Autographs Triples",3,4)),1)))</f>
        <v>0</v>
      </c>
      <c r="AB2124" s="62">
        <f t="shared" si="440"/>
        <v>0</v>
      </c>
      <c r="AC2124" s="62">
        <f t="shared" si="441"/>
        <v>0</v>
      </c>
    </row>
    <row r="2125" spans="1:29" ht="30" customHeight="1" x14ac:dyDescent="0.25">
      <c r="A2125" s="4" t="s">
        <v>37</v>
      </c>
      <c r="B2125" s="7" t="s">
        <v>790</v>
      </c>
      <c r="C2125" s="2" t="s">
        <v>237</v>
      </c>
      <c r="D2125" s="7" t="s">
        <v>238</v>
      </c>
      <c r="E2125" s="4" t="s">
        <v>1602</v>
      </c>
      <c r="F2125" s="2">
        <v>1</v>
      </c>
      <c r="G2125" s="2" t="s">
        <v>1399</v>
      </c>
      <c r="H2125" s="2" t="s">
        <v>1399</v>
      </c>
      <c r="I2125" s="4" t="s">
        <v>68</v>
      </c>
      <c r="J2125" s="112">
        <f>IF($H2125&lt;&gt;"Y",0,ROUND(MIN(Dashboard!$R$24,IF(IFERROR(VLOOKUP($B2125,Dashboard!$Q$28:$S$60,2,FALSE),0)&gt;0,IFERROR(VLOOKUP($B2125,Dashboard!$Q$28:$S$60,2,FALSE),0),$Z2125*IF($U2125&lt;&gt;"",ROUND((Dashboard!$R$4/$U2125)*VLOOKUP($I2125,Dashboard!$Q$9:$R$13,2,FALSE)*IF(ISNUMBER(SEARCH("Duals",$B2125)),2,IF(ISNUMBER(SEARCH("Triples",$B2125)),3,IF(ISNUMBER(SEARCH("Quads",$B2125)),4,1))),2),ROUND(VLOOKUP($I2125,Dashboard!$Q$15:$R$20,2,FALSE)*IF($E2125="Red",Dashboard!$R$6,IF($E2125="Gold",Dashboard!$R$7,Dashboard!$R$5))*IF(ISNUMBER(SEARCH("Duals",$B2125)),2,IF(ISNUMBER(SEARCH("Triples",$B2125)),3,IF(ISNUMBER(SEARCH("Quads",$B2125)),4,1))),2))*IF(IFERROR(VLOOKUP($B2125,Dashboard!$Q$28:$S$60,3,FALSE),0)&gt;0,VLOOKUP($B2125,Dashboard!$Q$28:$S$60,3,FALSE),1))),0))</f>
        <v>0</v>
      </c>
      <c r="K2125" s="2" t="str">
        <f>IF('Autos - Singles'!H14="","",'Autos - Singles'!H14)</f>
        <v/>
      </c>
      <c r="L2125" s="2">
        <f t="shared" si="429"/>
        <v>0</v>
      </c>
      <c r="M2125" s="2">
        <f t="shared" si="430"/>
        <v>0</v>
      </c>
      <c r="N2125" s="2">
        <f t="shared" si="431"/>
        <v>0</v>
      </c>
      <c r="O2125" s="2">
        <f t="shared" si="432"/>
        <v>0</v>
      </c>
      <c r="P2125" s="112">
        <f t="shared" si="433"/>
        <v>0</v>
      </c>
      <c r="Q2125" s="112">
        <f t="shared" si="434"/>
        <v>0</v>
      </c>
      <c r="R2125" s="53"/>
      <c r="S2125" s="53" t="str">
        <f t="shared" si="435"/>
        <v>Autos - Singles|Autographs Gold Parallel|A-CP|Gold</v>
      </c>
      <c r="T2125" s="57" t="str">
        <f>IF($S2125="","",IFERROR(VLOOKUP($S2125,'Pop Estimates (Non-#d)'!$N$2:$O$500,2,FALSE),""))</f>
        <v/>
      </c>
      <c r="U2125" s="57">
        <f t="shared" si="436"/>
        <v>1</v>
      </c>
      <c r="V2125" s="53" t="str">
        <f t="shared" si="437"/>
        <v>Frenchie</v>
      </c>
      <c r="W2125" s="53" t="str">
        <f t="shared" si="438"/>
        <v>Frenchie</v>
      </c>
      <c r="X2125" s="53" t="str">
        <f t="shared" si="439"/>
        <v>Frenchie</v>
      </c>
      <c r="Y2125" s="57">
        <f>IF($X2125="","",IFERROR(VLOOKUP($X2125,'Char Popularity'!$A$2:$C$500,2,FALSE),""))</f>
        <v>4</v>
      </c>
      <c r="Z2125" s="56">
        <f>IF($X2125="",1,IFERROR(VLOOKUP($X2125,'Char Popularity'!$A$2:$C$500,3,FALSE),1))</f>
        <v>1.1000000000000001</v>
      </c>
      <c r="AA2125" s="62">
        <f>IF($H2125&lt;&gt;"Y",0,(IF($F2125&lt;&gt;"",ROUND(Dashboard!$R$4/$F2125,1),IF(AND($I2125="Base",$E2125="Base"),Dashboard!$R$5,IF(AND($I2125="Base",$E2125="Red"),Dashboard!$R$6,IF(AND($I2125="Base",$E2125="Gold"),Dashboard!$R$7,VLOOKUP($I2125,Dashboard!$Q$16:$R$21,2,FALSE)))))*VLOOKUP($I2125,Dashboard!$Q$9:$R$13,2,FALSE)*IF(AND($I2125="Auto",$F2125="",OR($B2125="Autographs Duals",$B2125="Autographs Triples",$B2125="Autographs Quads",$B2125="Autographs Quads (Inscribed)")),IF($B2125="Autographs Duals",2,IF($B2125="Autographs Triples",3,4)),1)))</f>
        <v>0</v>
      </c>
      <c r="AB2125" s="62">
        <f t="shared" si="440"/>
        <v>0</v>
      </c>
      <c r="AC2125" s="62">
        <f t="shared" si="441"/>
        <v>0</v>
      </c>
    </row>
    <row r="2126" spans="1:29" ht="30" customHeight="1" x14ac:dyDescent="0.25">
      <c r="A2126" s="4" t="s">
        <v>37</v>
      </c>
      <c r="B2126" s="7" t="s">
        <v>790</v>
      </c>
      <c r="C2126" s="2" t="s">
        <v>239</v>
      </c>
      <c r="D2126" s="7" t="s">
        <v>228</v>
      </c>
      <c r="E2126" s="4" t="s">
        <v>1602</v>
      </c>
      <c r="F2126" s="2">
        <v>1</v>
      </c>
      <c r="G2126" s="2" t="s">
        <v>1399</v>
      </c>
      <c r="H2126" s="2" t="s">
        <v>1399</v>
      </c>
      <c r="I2126" s="4" t="s">
        <v>68</v>
      </c>
      <c r="J2126" s="112">
        <f>IF($H2126&lt;&gt;"Y",0,ROUND(MIN(Dashboard!$R$24,IF(IFERROR(VLOOKUP($B2126,Dashboard!$Q$28:$S$60,2,FALSE),0)&gt;0,IFERROR(VLOOKUP($B2126,Dashboard!$Q$28:$S$60,2,FALSE),0),$Z2126*IF($U2126&lt;&gt;"",ROUND((Dashboard!$R$4/$U2126)*VLOOKUP($I2126,Dashboard!$Q$9:$R$13,2,FALSE)*IF(ISNUMBER(SEARCH("Duals",$B2126)),2,IF(ISNUMBER(SEARCH("Triples",$B2126)),3,IF(ISNUMBER(SEARCH("Quads",$B2126)),4,1))),2),ROUND(VLOOKUP($I2126,Dashboard!$Q$15:$R$20,2,FALSE)*IF($E2126="Red",Dashboard!$R$6,IF($E2126="Gold",Dashboard!$R$7,Dashboard!$R$5))*IF(ISNUMBER(SEARCH("Duals",$B2126)),2,IF(ISNUMBER(SEARCH("Triples",$B2126)),3,IF(ISNUMBER(SEARCH("Quads",$B2126)),4,1))),2))*IF(IFERROR(VLOOKUP($B2126,Dashboard!$Q$28:$S$60,3,FALSE),0)&gt;0,VLOOKUP($B2126,Dashboard!$Q$28:$S$60,3,FALSE),1))),0))</f>
        <v>0</v>
      </c>
      <c r="K2126" s="2" t="str">
        <f>IF('Autos - Singles'!H15="","",'Autos - Singles'!H15)</f>
        <v/>
      </c>
      <c r="L2126" s="2">
        <f t="shared" si="429"/>
        <v>0</v>
      </c>
      <c r="M2126" s="2">
        <f t="shared" si="430"/>
        <v>0</v>
      </c>
      <c r="N2126" s="2">
        <f t="shared" si="431"/>
        <v>0</v>
      </c>
      <c r="O2126" s="2">
        <f t="shared" si="432"/>
        <v>0</v>
      </c>
      <c r="P2126" s="112">
        <f t="shared" si="433"/>
        <v>0</v>
      </c>
      <c r="Q2126" s="112">
        <f t="shared" si="434"/>
        <v>0</v>
      </c>
      <c r="R2126" s="53"/>
      <c r="S2126" s="53" t="str">
        <f t="shared" si="435"/>
        <v>Autos - Singles|Autographs Gold Parallel|A-CR|Gold</v>
      </c>
      <c r="T2126" s="57" t="str">
        <f>IF($S2126="","",IFERROR(VLOOKUP($S2126,'Pop Estimates (Non-#d)'!$N$2:$O$500,2,FALSE),""))</f>
        <v/>
      </c>
      <c r="U2126" s="57">
        <f t="shared" si="436"/>
        <v>1</v>
      </c>
      <c r="V2126" s="53" t="str">
        <f t="shared" si="437"/>
        <v>Ryan</v>
      </c>
      <c r="W2126" s="53" t="str">
        <f t="shared" si="438"/>
        <v>Ryan</v>
      </c>
      <c r="X2126" s="53" t="str">
        <f t="shared" si="439"/>
        <v>Ryan</v>
      </c>
      <c r="Y2126" s="57">
        <f>IF($X2126="","",IFERROR(VLOOKUP($X2126,'Char Popularity'!$A$2:$C$500,2,FALSE),""))</f>
        <v>4</v>
      </c>
      <c r="Z2126" s="56">
        <f>IF($X2126="",1,IFERROR(VLOOKUP($X2126,'Char Popularity'!$A$2:$C$500,3,FALSE),1))</f>
        <v>1.1000000000000001</v>
      </c>
      <c r="AA2126" s="62">
        <f>IF($H2126&lt;&gt;"Y",0,(IF($F2126&lt;&gt;"",ROUND(Dashboard!$R$4/$F2126,1),IF(AND($I2126="Base",$E2126="Base"),Dashboard!$R$5,IF(AND($I2126="Base",$E2126="Red"),Dashboard!$R$6,IF(AND($I2126="Base",$E2126="Gold"),Dashboard!$R$7,VLOOKUP($I2126,Dashboard!$Q$16:$R$21,2,FALSE)))))*VLOOKUP($I2126,Dashboard!$Q$9:$R$13,2,FALSE)*IF(AND($I2126="Auto",$F2126="",OR($B2126="Autographs Duals",$B2126="Autographs Triples",$B2126="Autographs Quads",$B2126="Autographs Quads (Inscribed)")),IF($B2126="Autographs Duals",2,IF($B2126="Autographs Triples",3,4)),1)))</f>
        <v>0</v>
      </c>
      <c r="AB2126" s="62">
        <f t="shared" si="440"/>
        <v>0</v>
      </c>
      <c r="AC2126" s="62">
        <f t="shared" si="441"/>
        <v>0</v>
      </c>
    </row>
    <row r="2127" spans="1:29" ht="30" customHeight="1" x14ac:dyDescent="0.25">
      <c r="A2127" s="4" t="s">
        <v>37</v>
      </c>
      <c r="B2127" s="7" t="s">
        <v>790</v>
      </c>
      <c r="C2127" s="2" t="s">
        <v>240</v>
      </c>
      <c r="D2127" s="7" t="s">
        <v>228</v>
      </c>
      <c r="E2127" s="4" t="s">
        <v>1602</v>
      </c>
      <c r="F2127" s="2">
        <v>1</v>
      </c>
      <c r="G2127" s="2" t="s">
        <v>1399</v>
      </c>
      <c r="H2127" s="2" t="s">
        <v>1399</v>
      </c>
      <c r="I2127" s="4" t="s">
        <v>68</v>
      </c>
      <c r="J2127" s="112">
        <f>IF($H2127&lt;&gt;"Y",0,ROUND(MIN(Dashboard!$R$24,IF(IFERROR(VLOOKUP($B2127,Dashboard!$Q$28:$S$60,2,FALSE),0)&gt;0,IFERROR(VLOOKUP($B2127,Dashboard!$Q$28:$S$60,2,FALSE),0),$Z2127*IF($U2127&lt;&gt;"",ROUND((Dashboard!$R$4/$U2127)*VLOOKUP($I2127,Dashboard!$Q$9:$R$13,2,FALSE)*IF(ISNUMBER(SEARCH("Duals",$B2127)),2,IF(ISNUMBER(SEARCH("Triples",$B2127)),3,IF(ISNUMBER(SEARCH("Quads",$B2127)),4,1))),2),ROUND(VLOOKUP($I2127,Dashboard!$Q$15:$R$20,2,FALSE)*IF($E2127="Red",Dashboard!$R$6,IF($E2127="Gold",Dashboard!$R$7,Dashboard!$R$5))*IF(ISNUMBER(SEARCH("Duals",$B2127)),2,IF(ISNUMBER(SEARCH("Triples",$B2127)),3,IF(ISNUMBER(SEARCH("Quads",$B2127)),4,1))),2))*IF(IFERROR(VLOOKUP($B2127,Dashboard!$Q$28:$S$60,3,FALSE),0)&gt;0,VLOOKUP($B2127,Dashboard!$Q$28:$S$60,3,FALSE),1))),0))</f>
        <v>0</v>
      </c>
      <c r="K2127" s="2" t="str">
        <f>IF('Autos - Singles'!H16="","",'Autos - Singles'!H16)</f>
        <v/>
      </c>
      <c r="L2127" s="2">
        <f t="shared" si="429"/>
        <v>0</v>
      </c>
      <c r="M2127" s="2">
        <f t="shared" si="430"/>
        <v>0</v>
      </c>
      <c r="N2127" s="2">
        <f t="shared" si="431"/>
        <v>0</v>
      </c>
      <c r="O2127" s="2">
        <f t="shared" si="432"/>
        <v>0</v>
      </c>
      <c r="P2127" s="112">
        <f t="shared" si="433"/>
        <v>0</v>
      </c>
      <c r="Q2127" s="112">
        <f t="shared" si="434"/>
        <v>0</v>
      </c>
      <c r="R2127" s="53"/>
      <c r="S2127" s="53" t="str">
        <f t="shared" si="435"/>
        <v>Autos - Singles|Autographs Gold Parallel|A-CT|Gold</v>
      </c>
      <c r="T2127" s="57" t="str">
        <f>IF($S2127="","",IFERROR(VLOOKUP($S2127,'Pop Estimates (Non-#d)'!$N$2:$O$500,2,FALSE),""))</f>
        <v/>
      </c>
      <c r="U2127" s="57">
        <f t="shared" si="436"/>
        <v>1</v>
      </c>
      <c r="V2127" s="53" t="str">
        <f t="shared" si="437"/>
        <v>Ryan</v>
      </c>
      <c r="W2127" s="53" t="str">
        <f t="shared" si="438"/>
        <v>Ryan</v>
      </c>
      <c r="X2127" s="53" t="str">
        <f t="shared" si="439"/>
        <v>Ryan</v>
      </c>
      <c r="Y2127" s="57">
        <f>IF($X2127="","",IFERROR(VLOOKUP($X2127,'Char Popularity'!$A$2:$C$500,2,FALSE),""))</f>
        <v>4</v>
      </c>
      <c r="Z2127" s="56">
        <f>IF($X2127="",1,IFERROR(VLOOKUP($X2127,'Char Popularity'!$A$2:$C$500,3,FALSE),1))</f>
        <v>1.1000000000000001</v>
      </c>
      <c r="AA2127" s="62">
        <f>IF($H2127&lt;&gt;"Y",0,(IF($F2127&lt;&gt;"",ROUND(Dashboard!$R$4/$F2127,1),IF(AND($I2127="Base",$E2127="Base"),Dashboard!$R$5,IF(AND($I2127="Base",$E2127="Red"),Dashboard!$R$6,IF(AND($I2127="Base",$E2127="Gold"),Dashboard!$R$7,VLOOKUP($I2127,Dashboard!$Q$16:$R$21,2,FALSE)))))*VLOOKUP($I2127,Dashboard!$Q$9:$R$13,2,FALSE)*IF(AND($I2127="Auto",$F2127="",OR($B2127="Autographs Duals",$B2127="Autographs Triples",$B2127="Autographs Quads",$B2127="Autographs Quads (Inscribed)")),IF($B2127="Autographs Duals",2,IF($B2127="Autographs Triples",3,4)),1)))</f>
        <v>0</v>
      </c>
      <c r="AB2127" s="62">
        <f t="shared" si="440"/>
        <v>0</v>
      </c>
      <c r="AC2127" s="62">
        <f t="shared" si="441"/>
        <v>0</v>
      </c>
    </row>
    <row r="2128" spans="1:29" ht="30" customHeight="1" x14ac:dyDescent="0.25">
      <c r="A2128" s="4" t="s">
        <v>37</v>
      </c>
      <c r="B2128" s="7" t="s">
        <v>790</v>
      </c>
      <c r="C2128" s="2" t="s">
        <v>241</v>
      </c>
      <c r="D2128" s="7" t="s">
        <v>228</v>
      </c>
      <c r="E2128" s="4" t="s">
        <v>1602</v>
      </c>
      <c r="F2128" s="2">
        <v>1</v>
      </c>
      <c r="G2128" s="2" t="s">
        <v>1399</v>
      </c>
      <c r="H2128" s="2" t="s">
        <v>1399</v>
      </c>
      <c r="I2128" s="4" t="s">
        <v>68</v>
      </c>
      <c r="J2128" s="112">
        <f>IF($H2128&lt;&gt;"Y",0,ROUND(MIN(Dashboard!$R$24,IF(IFERROR(VLOOKUP($B2128,Dashboard!$Q$28:$S$60,2,FALSE),0)&gt;0,IFERROR(VLOOKUP($B2128,Dashboard!$Q$28:$S$60,2,FALSE),0),$Z2128*IF($U2128&lt;&gt;"",ROUND((Dashboard!$R$4/$U2128)*VLOOKUP($I2128,Dashboard!$Q$9:$R$13,2,FALSE)*IF(ISNUMBER(SEARCH("Duals",$B2128)),2,IF(ISNUMBER(SEARCH("Triples",$B2128)),3,IF(ISNUMBER(SEARCH("Quads",$B2128)),4,1))),2),ROUND(VLOOKUP($I2128,Dashboard!$Q$15:$R$20,2,FALSE)*IF($E2128="Red",Dashboard!$R$6,IF($E2128="Gold",Dashboard!$R$7,Dashboard!$R$5))*IF(ISNUMBER(SEARCH("Duals",$B2128)),2,IF(ISNUMBER(SEARCH("Triples",$B2128)),3,IF(ISNUMBER(SEARCH("Quads",$B2128)),4,1))),2))*IF(IFERROR(VLOOKUP($B2128,Dashboard!$Q$28:$S$60,3,FALSE),0)&gt;0,VLOOKUP($B2128,Dashboard!$Q$28:$S$60,3,FALSE),1))),0))</f>
        <v>0</v>
      </c>
      <c r="K2128" s="2" t="str">
        <f>IF('Autos - Singles'!H17="","",'Autos - Singles'!H17)</f>
        <v/>
      </c>
      <c r="L2128" s="2">
        <f t="shared" si="429"/>
        <v>0</v>
      </c>
      <c r="M2128" s="2">
        <f t="shared" si="430"/>
        <v>0</v>
      </c>
      <c r="N2128" s="2">
        <f t="shared" si="431"/>
        <v>0</v>
      </c>
      <c r="O2128" s="2">
        <f t="shared" si="432"/>
        <v>0</v>
      </c>
      <c r="P2128" s="112">
        <f t="shared" si="433"/>
        <v>0</v>
      </c>
      <c r="Q2128" s="112">
        <f t="shared" si="434"/>
        <v>0</v>
      </c>
      <c r="R2128" s="53"/>
      <c r="S2128" s="53" t="str">
        <f t="shared" si="435"/>
        <v>Autos - Singles|Autographs Gold Parallel|A-CV|Gold</v>
      </c>
      <c r="T2128" s="57" t="str">
        <f>IF($S2128="","",IFERROR(VLOOKUP($S2128,'Pop Estimates (Non-#d)'!$N$2:$O$500,2,FALSE),""))</f>
        <v/>
      </c>
      <c r="U2128" s="57">
        <f t="shared" si="436"/>
        <v>1</v>
      </c>
      <c r="V2128" s="53" t="str">
        <f t="shared" si="437"/>
        <v>Ryan</v>
      </c>
      <c r="W2128" s="53" t="str">
        <f t="shared" si="438"/>
        <v>Ryan</v>
      </c>
      <c r="X2128" s="53" t="str">
        <f t="shared" si="439"/>
        <v>Ryan</v>
      </c>
      <c r="Y2128" s="57">
        <f>IF($X2128="","",IFERROR(VLOOKUP($X2128,'Char Popularity'!$A$2:$C$500,2,FALSE),""))</f>
        <v>4</v>
      </c>
      <c r="Z2128" s="56">
        <f>IF($X2128="",1,IFERROR(VLOOKUP($X2128,'Char Popularity'!$A$2:$C$500,3,FALSE),1))</f>
        <v>1.1000000000000001</v>
      </c>
      <c r="AA2128" s="62">
        <f>IF($H2128&lt;&gt;"Y",0,(IF($F2128&lt;&gt;"",ROUND(Dashboard!$R$4/$F2128,1),IF(AND($I2128="Base",$E2128="Base"),Dashboard!$R$5,IF(AND($I2128="Base",$E2128="Red"),Dashboard!$R$6,IF(AND($I2128="Base",$E2128="Gold"),Dashboard!$R$7,VLOOKUP($I2128,Dashboard!$Q$16:$R$21,2,FALSE)))))*VLOOKUP($I2128,Dashboard!$Q$9:$R$13,2,FALSE)*IF(AND($I2128="Auto",$F2128="",OR($B2128="Autographs Duals",$B2128="Autographs Triples",$B2128="Autographs Quads",$B2128="Autographs Quads (Inscribed)")),IF($B2128="Autographs Duals",2,IF($B2128="Autographs Triples",3,4)),1)))</f>
        <v>0</v>
      </c>
      <c r="AB2128" s="62">
        <f t="shared" si="440"/>
        <v>0</v>
      </c>
      <c r="AC2128" s="62">
        <f t="shared" si="441"/>
        <v>0</v>
      </c>
    </row>
    <row r="2129" spans="1:29" ht="30" customHeight="1" x14ac:dyDescent="0.25">
      <c r="A2129" s="4" t="s">
        <v>37</v>
      </c>
      <c r="B2129" s="7" t="s">
        <v>790</v>
      </c>
      <c r="C2129" s="2" t="s">
        <v>243</v>
      </c>
      <c r="D2129" s="7" t="s">
        <v>244</v>
      </c>
      <c r="E2129" s="4" t="s">
        <v>1602</v>
      </c>
      <c r="F2129" s="2">
        <v>1</v>
      </c>
      <c r="G2129" s="2" t="s">
        <v>1399</v>
      </c>
      <c r="H2129" s="2" t="s">
        <v>1399</v>
      </c>
      <c r="I2129" s="4" t="s">
        <v>68</v>
      </c>
      <c r="J2129" s="112">
        <f>IF($H2129&lt;&gt;"Y",0,ROUND(MIN(Dashboard!$R$24,IF(IFERROR(VLOOKUP($B2129,Dashboard!$Q$28:$S$60,2,FALSE),0)&gt;0,IFERROR(VLOOKUP($B2129,Dashboard!$Q$28:$S$60,2,FALSE),0),$Z2129*IF($U2129&lt;&gt;"",ROUND((Dashboard!$R$4/$U2129)*VLOOKUP($I2129,Dashboard!$Q$9:$R$13,2,FALSE)*IF(ISNUMBER(SEARCH("Duals",$B2129)),2,IF(ISNUMBER(SEARCH("Triples",$B2129)),3,IF(ISNUMBER(SEARCH("Quads",$B2129)),4,1))),2),ROUND(VLOOKUP($I2129,Dashboard!$Q$15:$R$20,2,FALSE)*IF($E2129="Red",Dashboard!$R$6,IF($E2129="Gold",Dashboard!$R$7,Dashboard!$R$5))*IF(ISNUMBER(SEARCH("Duals",$B2129)),2,IF(ISNUMBER(SEARCH("Triples",$B2129)),3,IF(ISNUMBER(SEARCH("Quads",$B2129)),4,1))),2))*IF(IFERROR(VLOOKUP($B2129,Dashboard!$Q$28:$S$60,3,FALSE),0)&gt;0,VLOOKUP($B2129,Dashboard!$Q$28:$S$60,3,FALSE),1))),0))</f>
        <v>0</v>
      </c>
      <c r="K2129" s="2" t="str">
        <f>IF('Autos - Singles'!H18="","",'Autos - Singles'!H18)</f>
        <v/>
      </c>
      <c r="L2129" s="2">
        <f t="shared" si="429"/>
        <v>0</v>
      </c>
      <c r="M2129" s="2">
        <f t="shared" si="430"/>
        <v>0</v>
      </c>
      <c r="N2129" s="2">
        <f t="shared" si="431"/>
        <v>0</v>
      </c>
      <c r="O2129" s="2">
        <f t="shared" si="432"/>
        <v>0</v>
      </c>
      <c r="P2129" s="112">
        <f t="shared" si="433"/>
        <v>0</v>
      </c>
      <c r="Q2129" s="112">
        <f t="shared" si="434"/>
        <v>0</v>
      </c>
      <c r="R2129" s="53"/>
      <c r="S2129" s="53" t="str">
        <f t="shared" si="435"/>
        <v>Autos - Singles|Autographs Gold Parallel|A-DM|Gold</v>
      </c>
      <c r="T2129" s="57" t="str">
        <f>IF($S2129="","",IFERROR(VLOOKUP($S2129,'Pop Estimates (Non-#d)'!$N$2:$O$500,2,FALSE),""))</f>
        <v/>
      </c>
      <c r="U2129" s="57">
        <f t="shared" si="436"/>
        <v>1</v>
      </c>
      <c r="V2129" s="53" t="str">
        <f t="shared" si="437"/>
        <v>Queen Maeve</v>
      </c>
      <c r="W2129" s="53" t="str">
        <f t="shared" si="438"/>
        <v>Queen Maeve</v>
      </c>
      <c r="X2129" s="53" t="str">
        <f t="shared" si="439"/>
        <v>Queen Maeve</v>
      </c>
      <c r="Y2129" s="57">
        <f>IF($X2129="","",IFERROR(VLOOKUP($X2129,'Char Popularity'!$A$2:$C$500,2,FALSE),""))</f>
        <v>4</v>
      </c>
      <c r="Z2129" s="56">
        <f>IF($X2129="",1,IFERROR(VLOOKUP($X2129,'Char Popularity'!$A$2:$C$500,3,FALSE),1))</f>
        <v>1.1000000000000001</v>
      </c>
      <c r="AA2129" s="62">
        <f>IF($H2129&lt;&gt;"Y",0,(IF($F2129&lt;&gt;"",ROUND(Dashboard!$R$4/$F2129,1),IF(AND($I2129="Base",$E2129="Base"),Dashboard!$R$5,IF(AND($I2129="Base",$E2129="Red"),Dashboard!$R$6,IF(AND($I2129="Base",$E2129="Gold"),Dashboard!$R$7,VLOOKUP($I2129,Dashboard!$Q$16:$R$21,2,FALSE)))))*VLOOKUP($I2129,Dashboard!$Q$9:$R$13,2,FALSE)*IF(AND($I2129="Auto",$F2129="",OR($B2129="Autographs Duals",$B2129="Autographs Triples",$B2129="Autographs Quads",$B2129="Autographs Quads (Inscribed)")),IF($B2129="Autographs Duals",2,IF($B2129="Autographs Triples",3,4)),1)))</f>
        <v>0</v>
      </c>
      <c r="AB2129" s="62">
        <f t="shared" si="440"/>
        <v>0</v>
      </c>
      <c r="AC2129" s="62">
        <f t="shared" si="441"/>
        <v>0</v>
      </c>
    </row>
    <row r="2130" spans="1:29" ht="30" customHeight="1" x14ac:dyDescent="0.25">
      <c r="A2130" s="4" t="s">
        <v>37</v>
      </c>
      <c r="B2130" s="7" t="s">
        <v>790</v>
      </c>
      <c r="C2130" s="2" t="s">
        <v>245</v>
      </c>
      <c r="D2130" s="7" t="s">
        <v>244</v>
      </c>
      <c r="E2130" s="4" t="s">
        <v>1602</v>
      </c>
      <c r="F2130" s="2">
        <v>1</v>
      </c>
      <c r="G2130" s="2" t="s">
        <v>1399</v>
      </c>
      <c r="H2130" s="2" t="s">
        <v>1399</v>
      </c>
      <c r="I2130" s="4" t="s">
        <v>68</v>
      </c>
      <c r="J2130" s="112">
        <f>IF($H2130&lt;&gt;"Y",0,ROUND(MIN(Dashboard!$R$24,IF(IFERROR(VLOOKUP($B2130,Dashboard!$Q$28:$S$60,2,FALSE),0)&gt;0,IFERROR(VLOOKUP($B2130,Dashboard!$Q$28:$S$60,2,FALSE),0),$Z2130*IF($U2130&lt;&gt;"",ROUND((Dashboard!$R$4/$U2130)*VLOOKUP($I2130,Dashboard!$Q$9:$R$13,2,FALSE)*IF(ISNUMBER(SEARCH("Duals",$B2130)),2,IF(ISNUMBER(SEARCH("Triples",$B2130)),3,IF(ISNUMBER(SEARCH("Quads",$B2130)),4,1))),2),ROUND(VLOOKUP($I2130,Dashboard!$Q$15:$R$20,2,FALSE)*IF($E2130="Red",Dashboard!$R$6,IF($E2130="Gold",Dashboard!$R$7,Dashboard!$R$5))*IF(ISNUMBER(SEARCH("Duals",$B2130)),2,IF(ISNUMBER(SEARCH("Triples",$B2130)),3,IF(ISNUMBER(SEARCH("Quads",$B2130)),4,1))),2))*IF(IFERROR(VLOOKUP($B2130,Dashboard!$Q$28:$S$60,3,FALSE),0)&gt;0,VLOOKUP($B2130,Dashboard!$Q$28:$S$60,3,FALSE),1))),0))</f>
        <v>0</v>
      </c>
      <c r="K2130" s="2" t="str">
        <f>IF('Autos - Singles'!H19="","",'Autos - Singles'!H19)</f>
        <v/>
      </c>
      <c r="L2130" s="2">
        <f t="shared" si="429"/>
        <v>0</v>
      </c>
      <c r="M2130" s="2">
        <f t="shared" si="430"/>
        <v>0</v>
      </c>
      <c r="N2130" s="2">
        <f t="shared" si="431"/>
        <v>0</v>
      </c>
      <c r="O2130" s="2">
        <f t="shared" si="432"/>
        <v>0</v>
      </c>
      <c r="P2130" s="112">
        <f t="shared" si="433"/>
        <v>0</v>
      </c>
      <c r="Q2130" s="112">
        <f t="shared" si="434"/>
        <v>0</v>
      </c>
      <c r="R2130" s="53"/>
      <c r="S2130" s="53" t="str">
        <f t="shared" si="435"/>
        <v>Autos - Singles|Autographs Gold Parallel|A-DO|Gold</v>
      </c>
      <c r="T2130" s="57" t="str">
        <f>IF($S2130="","",IFERROR(VLOOKUP($S2130,'Pop Estimates (Non-#d)'!$N$2:$O$500,2,FALSE),""))</f>
        <v/>
      </c>
      <c r="U2130" s="57">
        <f t="shared" si="436"/>
        <v>1</v>
      </c>
      <c r="V2130" s="53" t="str">
        <f t="shared" si="437"/>
        <v>Queen Maeve</v>
      </c>
      <c r="W2130" s="53" t="str">
        <f t="shared" si="438"/>
        <v>Queen Maeve</v>
      </c>
      <c r="X2130" s="53" t="str">
        <f t="shared" si="439"/>
        <v>Queen Maeve</v>
      </c>
      <c r="Y2130" s="57">
        <f>IF($X2130="","",IFERROR(VLOOKUP($X2130,'Char Popularity'!$A$2:$C$500,2,FALSE),""))</f>
        <v>4</v>
      </c>
      <c r="Z2130" s="56">
        <f>IF($X2130="",1,IFERROR(VLOOKUP($X2130,'Char Popularity'!$A$2:$C$500,3,FALSE),1))</f>
        <v>1.1000000000000001</v>
      </c>
      <c r="AA2130" s="62">
        <f>IF($H2130&lt;&gt;"Y",0,(IF($F2130&lt;&gt;"",ROUND(Dashboard!$R$4/$F2130,1),IF(AND($I2130="Base",$E2130="Base"),Dashboard!$R$5,IF(AND($I2130="Base",$E2130="Red"),Dashboard!$R$6,IF(AND($I2130="Base",$E2130="Gold"),Dashboard!$R$7,VLOOKUP($I2130,Dashboard!$Q$16:$R$21,2,FALSE)))))*VLOOKUP($I2130,Dashboard!$Q$9:$R$13,2,FALSE)*IF(AND($I2130="Auto",$F2130="",OR($B2130="Autographs Duals",$B2130="Autographs Triples",$B2130="Autographs Quads",$B2130="Autographs Quads (Inscribed)")),IF($B2130="Autographs Duals",2,IF($B2130="Autographs Triples",3,4)),1)))</f>
        <v>0</v>
      </c>
      <c r="AB2130" s="62">
        <f t="shared" si="440"/>
        <v>0</v>
      </c>
      <c r="AC2130" s="62">
        <f t="shared" si="441"/>
        <v>0</v>
      </c>
    </row>
    <row r="2131" spans="1:29" ht="30" customHeight="1" x14ac:dyDescent="0.25">
      <c r="A2131" s="4" t="s">
        <v>37</v>
      </c>
      <c r="B2131" s="7" t="s">
        <v>790</v>
      </c>
      <c r="C2131" s="2" t="s">
        <v>246</v>
      </c>
      <c r="D2131" s="7" t="s">
        <v>244</v>
      </c>
      <c r="E2131" s="4" t="s">
        <v>1602</v>
      </c>
      <c r="F2131" s="2">
        <v>1</v>
      </c>
      <c r="G2131" s="2" t="s">
        <v>1399</v>
      </c>
      <c r="H2131" s="2" t="s">
        <v>1399</v>
      </c>
      <c r="I2131" s="4" t="s">
        <v>68</v>
      </c>
      <c r="J2131" s="112">
        <f>IF($H2131&lt;&gt;"Y",0,ROUND(MIN(Dashboard!$R$24,IF(IFERROR(VLOOKUP($B2131,Dashboard!$Q$28:$S$60,2,FALSE),0)&gt;0,IFERROR(VLOOKUP($B2131,Dashboard!$Q$28:$S$60,2,FALSE),0),$Z2131*IF($U2131&lt;&gt;"",ROUND((Dashboard!$R$4/$U2131)*VLOOKUP($I2131,Dashboard!$Q$9:$R$13,2,FALSE)*IF(ISNUMBER(SEARCH("Duals",$B2131)),2,IF(ISNUMBER(SEARCH("Triples",$B2131)),3,IF(ISNUMBER(SEARCH("Quads",$B2131)),4,1))),2),ROUND(VLOOKUP($I2131,Dashboard!$Q$15:$R$20,2,FALSE)*IF($E2131="Red",Dashboard!$R$6,IF($E2131="Gold",Dashboard!$R$7,Dashboard!$R$5))*IF(ISNUMBER(SEARCH("Duals",$B2131)),2,IF(ISNUMBER(SEARCH("Triples",$B2131)),3,IF(ISNUMBER(SEARCH("Quads",$B2131)),4,1))),2))*IF(IFERROR(VLOOKUP($B2131,Dashboard!$Q$28:$S$60,3,FALSE),0)&gt;0,VLOOKUP($B2131,Dashboard!$Q$28:$S$60,3,FALSE),1))),0))</f>
        <v>0</v>
      </c>
      <c r="K2131" s="2" t="str">
        <f>IF('Autos - Singles'!H20="","",'Autos - Singles'!H20)</f>
        <v/>
      </c>
      <c r="L2131" s="2">
        <f t="shared" si="429"/>
        <v>0</v>
      </c>
      <c r="M2131" s="2">
        <f t="shared" si="430"/>
        <v>0</v>
      </c>
      <c r="N2131" s="2">
        <f t="shared" si="431"/>
        <v>0</v>
      </c>
      <c r="O2131" s="2">
        <f t="shared" si="432"/>
        <v>0</v>
      </c>
      <c r="P2131" s="112">
        <f t="shared" si="433"/>
        <v>0</v>
      </c>
      <c r="Q2131" s="112">
        <f t="shared" si="434"/>
        <v>0</v>
      </c>
      <c r="R2131" s="53"/>
      <c r="S2131" s="53" t="str">
        <f t="shared" si="435"/>
        <v>Autos - Singles|Autographs Gold Parallel|A-DQ|Gold</v>
      </c>
      <c r="T2131" s="57" t="str">
        <f>IF($S2131="","",IFERROR(VLOOKUP($S2131,'Pop Estimates (Non-#d)'!$N$2:$O$500,2,FALSE),""))</f>
        <v/>
      </c>
      <c r="U2131" s="57">
        <f t="shared" si="436"/>
        <v>1</v>
      </c>
      <c r="V2131" s="53" t="str">
        <f t="shared" si="437"/>
        <v>Queen Maeve</v>
      </c>
      <c r="W2131" s="53" t="str">
        <f t="shared" si="438"/>
        <v>Queen Maeve</v>
      </c>
      <c r="X2131" s="53" t="str">
        <f t="shared" si="439"/>
        <v>Queen Maeve</v>
      </c>
      <c r="Y2131" s="57">
        <f>IF($X2131="","",IFERROR(VLOOKUP($X2131,'Char Popularity'!$A$2:$C$500,2,FALSE),""))</f>
        <v>4</v>
      </c>
      <c r="Z2131" s="56">
        <f>IF($X2131="",1,IFERROR(VLOOKUP($X2131,'Char Popularity'!$A$2:$C$500,3,FALSE),1))</f>
        <v>1.1000000000000001</v>
      </c>
      <c r="AA2131" s="62">
        <f>IF($H2131&lt;&gt;"Y",0,(IF($F2131&lt;&gt;"",ROUND(Dashboard!$R$4/$F2131,1),IF(AND($I2131="Base",$E2131="Base"),Dashboard!$R$5,IF(AND($I2131="Base",$E2131="Red"),Dashboard!$R$6,IF(AND($I2131="Base",$E2131="Gold"),Dashboard!$R$7,VLOOKUP($I2131,Dashboard!$Q$16:$R$21,2,FALSE)))))*VLOOKUP($I2131,Dashboard!$Q$9:$R$13,2,FALSE)*IF(AND($I2131="Auto",$F2131="",OR($B2131="Autographs Duals",$B2131="Autographs Triples",$B2131="Autographs Quads",$B2131="Autographs Quads (Inscribed)")),IF($B2131="Autographs Duals",2,IF($B2131="Autographs Triples",3,4)),1)))</f>
        <v>0</v>
      </c>
      <c r="AB2131" s="62">
        <f t="shared" si="440"/>
        <v>0</v>
      </c>
      <c r="AC2131" s="62">
        <f t="shared" si="441"/>
        <v>0</v>
      </c>
    </row>
    <row r="2132" spans="1:29" ht="30" customHeight="1" x14ac:dyDescent="0.25">
      <c r="A2132" s="4" t="s">
        <v>37</v>
      </c>
      <c r="B2132" s="7" t="s">
        <v>790</v>
      </c>
      <c r="C2132" s="2" t="s">
        <v>247</v>
      </c>
      <c r="D2132" s="7" t="s">
        <v>248</v>
      </c>
      <c r="E2132" s="4" t="s">
        <v>1602</v>
      </c>
      <c r="F2132" s="2">
        <v>1</v>
      </c>
      <c r="G2132" s="2" t="s">
        <v>1399</v>
      </c>
      <c r="H2132" s="2" t="s">
        <v>1399</v>
      </c>
      <c r="I2132" s="4" t="s">
        <v>68</v>
      </c>
      <c r="J2132" s="112">
        <f>IF($H2132&lt;&gt;"Y",0,ROUND(MIN(Dashboard!$R$24,IF(IFERROR(VLOOKUP($B2132,Dashboard!$Q$28:$S$60,2,FALSE),0)&gt;0,IFERROR(VLOOKUP($B2132,Dashboard!$Q$28:$S$60,2,FALSE),0),$Z2132*IF($U2132&lt;&gt;"",ROUND((Dashboard!$R$4/$U2132)*VLOOKUP($I2132,Dashboard!$Q$9:$R$13,2,FALSE)*IF(ISNUMBER(SEARCH("Duals",$B2132)),2,IF(ISNUMBER(SEARCH("Triples",$B2132)),3,IF(ISNUMBER(SEARCH("Quads",$B2132)),4,1))),2),ROUND(VLOOKUP($I2132,Dashboard!$Q$15:$R$20,2,FALSE)*IF($E2132="Red",Dashboard!$R$6,IF($E2132="Gold",Dashboard!$R$7,Dashboard!$R$5))*IF(ISNUMBER(SEARCH("Duals",$B2132)),2,IF(ISNUMBER(SEARCH("Triples",$B2132)),3,IF(ISNUMBER(SEARCH("Quads",$B2132)),4,1))),2))*IF(IFERROR(VLOOKUP($B2132,Dashboard!$Q$28:$S$60,3,FALSE),0)&gt;0,VLOOKUP($B2132,Dashboard!$Q$28:$S$60,3,FALSE),1))),0))</f>
        <v>0</v>
      </c>
      <c r="K2132" s="2" t="str">
        <f>IF('Autos - Singles'!H21="","",'Autos - Singles'!H21)</f>
        <v/>
      </c>
      <c r="L2132" s="2">
        <f t="shared" si="429"/>
        <v>0</v>
      </c>
      <c r="M2132" s="2">
        <f t="shared" si="430"/>
        <v>0</v>
      </c>
      <c r="N2132" s="2">
        <f t="shared" si="431"/>
        <v>0</v>
      </c>
      <c r="O2132" s="2">
        <f t="shared" si="432"/>
        <v>0</v>
      </c>
      <c r="P2132" s="112">
        <f t="shared" si="433"/>
        <v>0</v>
      </c>
      <c r="Q2132" s="112">
        <f t="shared" si="434"/>
        <v>0</v>
      </c>
      <c r="R2132" s="53"/>
      <c r="S2132" s="53" t="str">
        <f t="shared" si="435"/>
        <v>Autos - Singles|Autographs Gold Parallel|A-EM|Gold</v>
      </c>
      <c r="T2132" s="57" t="str">
        <f>IF($S2132="","",IFERROR(VLOOKUP($S2132,'Pop Estimates (Non-#d)'!$N$2:$O$500,2,FALSE),""))</f>
        <v/>
      </c>
      <c r="U2132" s="57">
        <f t="shared" si="436"/>
        <v>1</v>
      </c>
      <c r="V2132" s="53" t="str">
        <f t="shared" si="437"/>
        <v>Starlight</v>
      </c>
      <c r="W2132" s="53" t="str">
        <f t="shared" si="438"/>
        <v>Starlight</v>
      </c>
      <c r="X2132" s="53" t="str">
        <f t="shared" si="439"/>
        <v>Starlight</v>
      </c>
      <c r="Y2132" s="57">
        <f>IF($X2132="","",IFERROR(VLOOKUP($X2132,'Char Popularity'!$A$2:$C$500,2,FALSE),""))</f>
        <v>5</v>
      </c>
      <c r="Z2132" s="56">
        <f>IF($X2132="",1,IFERROR(VLOOKUP($X2132,'Char Popularity'!$A$2:$C$500,3,FALSE),1))</f>
        <v>1.2</v>
      </c>
      <c r="AA2132" s="62">
        <f>IF($H2132&lt;&gt;"Y",0,(IF($F2132&lt;&gt;"",ROUND(Dashboard!$R$4/$F2132,1),IF(AND($I2132="Base",$E2132="Base"),Dashboard!$R$5,IF(AND($I2132="Base",$E2132="Red"),Dashboard!$R$6,IF(AND($I2132="Base",$E2132="Gold"),Dashboard!$R$7,VLOOKUP($I2132,Dashboard!$Q$16:$R$21,2,FALSE)))))*VLOOKUP($I2132,Dashboard!$Q$9:$R$13,2,FALSE)*IF(AND($I2132="Auto",$F2132="",OR($B2132="Autographs Duals",$B2132="Autographs Triples",$B2132="Autographs Quads",$B2132="Autographs Quads (Inscribed)")),IF($B2132="Autographs Duals",2,IF($B2132="Autographs Triples",3,4)),1)))</f>
        <v>0</v>
      </c>
      <c r="AB2132" s="62">
        <f t="shared" si="440"/>
        <v>0</v>
      </c>
      <c r="AC2132" s="62">
        <f t="shared" si="441"/>
        <v>0</v>
      </c>
    </row>
    <row r="2133" spans="1:29" ht="30" customHeight="1" x14ac:dyDescent="0.25">
      <c r="A2133" s="4" t="s">
        <v>37</v>
      </c>
      <c r="B2133" s="7" t="s">
        <v>790</v>
      </c>
      <c r="C2133" s="2" t="s">
        <v>249</v>
      </c>
      <c r="D2133" s="7" t="s">
        <v>250</v>
      </c>
      <c r="E2133" s="4" t="s">
        <v>1602</v>
      </c>
      <c r="F2133" s="2">
        <v>1</v>
      </c>
      <c r="G2133" s="2" t="s">
        <v>1399</v>
      </c>
      <c r="H2133" s="2" t="s">
        <v>1399</v>
      </c>
      <c r="I2133" s="4" t="s">
        <v>68</v>
      </c>
      <c r="J2133" s="112">
        <f>IF($H2133&lt;&gt;"Y",0,ROUND(MIN(Dashboard!$R$24,IF(IFERROR(VLOOKUP($B2133,Dashboard!$Q$28:$S$60,2,FALSE),0)&gt;0,IFERROR(VLOOKUP($B2133,Dashboard!$Q$28:$S$60,2,FALSE),0),$Z2133*IF($U2133&lt;&gt;"",ROUND((Dashboard!$R$4/$U2133)*VLOOKUP($I2133,Dashboard!$Q$9:$R$13,2,FALSE)*IF(ISNUMBER(SEARCH("Duals",$B2133)),2,IF(ISNUMBER(SEARCH("Triples",$B2133)),3,IF(ISNUMBER(SEARCH("Quads",$B2133)),4,1))),2),ROUND(VLOOKUP($I2133,Dashboard!$Q$15:$R$20,2,FALSE)*IF($E2133="Red",Dashboard!$R$6,IF($E2133="Gold",Dashboard!$R$7,Dashboard!$R$5))*IF(ISNUMBER(SEARCH("Duals",$B2133)),2,IF(ISNUMBER(SEARCH("Triples",$B2133)),3,IF(ISNUMBER(SEARCH("Quads",$B2133)),4,1))),2))*IF(IFERROR(VLOOKUP($B2133,Dashboard!$Q$28:$S$60,3,FALSE),0)&gt;0,VLOOKUP($B2133,Dashboard!$Q$28:$S$60,3,FALSE),1))),0))</f>
        <v>0</v>
      </c>
      <c r="K2133" s="2" t="str">
        <f>IF('Autos - Singles'!H22="","",'Autos - Singles'!H22)</f>
        <v/>
      </c>
      <c r="L2133" s="2">
        <f t="shared" si="429"/>
        <v>0</v>
      </c>
      <c r="M2133" s="2">
        <f t="shared" si="430"/>
        <v>0</v>
      </c>
      <c r="N2133" s="2">
        <f t="shared" si="431"/>
        <v>0</v>
      </c>
      <c r="O2133" s="2">
        <f t="shared" si="432"/>
        <v>0</v>
      </c>
      <c r="P2133" s="112">
        <f t="shared" si="433"/>
        <v>0</v>
      </c>
      <c r="Q2133" s="112">
        <f t="shared" si="434"/>
        <v>0</v>
      </c>
      <c r="R2133" s="53"/>
      <c r="S2133" s="53" t="str">
        <f t="shared" si="435"/>
        <v>Autos - Singles|Autographs Gold Parallel|A-ES|Gold</v>
      </c>
      <c r="T2133" s="57" t="str">
        <f>IF($S2133="","",IFERROR(VLOOKUP($S2133,'Pop Estimates (Non-#d)'!$N$2:$O$500,2,FALSE),""))</f>
        <v/>
      </c>
      <c r="U2133" s="57">
        <f t="shared" si="436"/>
        <v>1</v>
      </c>
      <c r="V2133" s="53" t="str">
        <f t="shared" si="437"/>
        <v>Madelyn Stillwell</v>
      </c>
      <c r="W2133" s="53" t="str">
        <f t="shared" si="438"/>
        <v>Madelyn Stillwell</v>
      </c>
      <c r="X2133" s="53" t="str">
        <f t="shared" si="439"/>
        <v>Madelyn Stillwell</v>
      </c>
      <c r="Y2133" s="57">
        <f>IF($X2133="","",IFERROR(VLOOKUP($X2133,'Char Popularity'!$A$2:$C$500,2,FALSE),""))</f>
        <v>3</v>
      </c>
      <c r="Z2133" s="56">
        <f>IF($X2133="",1,IFERROR(VLOOKUP($X2133,'Char Popularity'!$A$2:$C$500,3,FALSE),1))</f>
        <v>1</v>
      </c>
      <c r="AA2133" s="62">
        <f>IF($H2133&lt;&gt;"Y",0,(IF($F2133&lt;&gt;"",ROUND(Dashboard!$R$4/$F2133,1),IF(AND($I2133="Base",$E2133="Base"),Dashboard!$R$5,IF(AND($I2133="Base",$E2133="Red"),Dashboard!$R$6,IF(AND($I2133="Base",$E2133="Gold"),Dashboard!$R$7,VLOOKUP($I2133,Dashboard!$Q$16:$R$21,2,FALSE)))))*VLOOKUP($I2133,Dashboard!$Q$9:$R$13,2,FALSE)*IF(AND($I2133="Auto",$F2133="",OR($B2133="Autographs Duals",$B2133="Autographs Triples",$B2133="Autographs Quads",$B2133="Autographs Quads (Inscribed)")),IF($B2133="Autographs Duals",2,IF($B2133="Autographs Triples",3,4)),1)))</f>
        <v>0</v>
      </c>
      <c r="AB2133" s="62">
        <f t="shared" si="440"/>
        <v>0</v>
      </c>
      <c r="AC2133" s="62">
        <f t="shared" si="441"/>
        <v>0</v>
      </c>
    </row>
    <row r="2134" spans="1:29" ht="30" customHeight="1" x14ac:dyDescent="0.25">
      <c r="A2134" s="4" t="s">
        <v>37</v>
      </c>
      <c r="B2134" s="7" t="s">
        <v>790</v>
      </c>
      <c r="C2134" s="2" t="s">
        <v>251</v>
      </c>
      <c r="D2134" s="7" t="s">
        <v>270</v>
      </c>
      <c r="E2134" s="4" t="s">
        <v>1602</v>
      </c>
      <c r="F2134" s="2">
        <v>1</v>
      </c>
      <c r="G2134" s="2" t="s">
        <v>1399</v>
      </c>
      <c r="H2134" s="2" t="s">
        <v>1399</v>
      </c>
      <c r="I2134" s="4" t="s">
        <v>68</v>
      </c>
      <c r="J2134" s="112">
        <f>IF($H2134&lt;&gt;"Y",0,ROUND(MIN(Dashboard!$R$24,IF(IFERROR(VLOOKUP($B2134,Dashboard!$Q$28:$S$60,2,FALSE),0)&gt;0,IFERROR(VLOOKUP($B2134,Dashboard!$Q$28:$S$60,2,FALSE),0),$Z2134*IF($U2134&lt;&gt;"",ROUND((Dashboard!$R$4/$U2134)*VLOOKUP($I2134,Dashboard!$Q$9:$R$13,2,FALSE)*IF(ISNUMBER(SEARCH("Duals",$B2134)),2,IF(ISNUMBER(SEARCH("Triples",$B2134)),3,IF(ISNUMBER(SEARCH("Quads",$B2134)),4,1))),2),ROUND(VLOOKUP($I2134,Dashboard!$Q$15:$R$20,2,FALSE)*IF($E2134="Red",Dashboard!$R$6,IF($E2134="Gold",Dashboard!$R$7,Dashboard!$R$5))*IF(ISNUMBER(SEARCH("Duals",$B2134)),2,IF(ISNUMBER(SEARCH("Triples",$B2134)),3,IF(ISNUMBER(SEARCH("Quads",$B2134)),4,1))),2))*IF(IFERROR(VLOOKUP($B2134,Dashboard!$Q$28:$S$60,3,FALSE),0)&gt;0,VLOOKUP($B2134,Dashboard!$Q$28:$S$60,3,FALSE),1))),0))</f>
        <v>0</v>
      </c>
      <c r="K2134" s="2" t="str">
        <f>IF('Autos - Singles'!H23="","",'Autos - Singles'!H23)</f>
        <v/>
      </c>
      <c r="L2134" s="2">
        <f t="shared" si="429"/>
        <v>0</v>
      </c>
      <c r="M2134" s="2">
        <f t="shared" si="430"/>
        <v>0</v>
      </c>
      <c r="N2134" s="2">
        <f t="shared" si="431"/>
        <v>0</v>
      </c>
      <c r="O2134" s="2">
        <f t="shared" si="432"/>
        <v>0</v>
      </c>
      <c r="P2134" s="112">
        <f t="shared" si="433"/>
        <v>0</v>
      </c>
      <c r="Q2134" s="112">
        <f t="shared" si="434"/>
        <v>0</v>
      </c>
      <c r="R2134" s="53"/>
      <c r="S2134" s="53" t="str">
        <f t="shared" si="435"/>
        <v>Autos - Singles|Autographs Gold Parallel|A-FH|Gold</v>
      </c>
      <c r="T2134" s="57" t="str">
        <f>IF($S2134="","",IFERROR(VLOOKUP($S2134,'Pop Estimates (Non-#d)'!$N$2:$O$500,2,FALSE),""))</f>
        <v/>
      </c>
      <c r="U2134" s="57">
        <f t="shared" si="436"/>
        <v>1</v>
      </c>
      <c r="V2134" s="53" t="str">
        <f t="shared" si="437"/>
        <v>Kimiko</v>
      </c>
      <c r="W2134" s="53" t="str">
        <f t="shared" si="438"/>
        <v>Kimiko</v>
      </c>
      <c r="X2134" s="53" t="str">
        <f t="shared" si="439"/>
        <v>Kimiko</v>
      </c>
      <c r="Y2134" s="57">
        <f>IF($X2134="","",IFERROR(VLOOKUP($X2134,'Char Popularity'!$A$2:$C$500,2,FALSE),""))</f>
        <v>4</v>
      </c>
      <c r="Z2134" s="56">
        <f>IF($X2134="",1,IFERROR(VLOOKUP($X2134,'Char Popularity'!$A$2:$C$500,3,FALSE),1))</f>
        <v>1.1000000000000001</v>
      </c>
      <c r="AA2134" s="62">
        <f>IF($H2134&lt;&gt;"Y",0,(IF($F2134&lt;&gt;"",ROUND(Dashboard!$R$4/$F2134,1),IF(AND($I2134="Base",$E2134="Base"),Dashboard!$R$5,IF(AND($I2134="Base",$E2134="Red"),Dashboard!$R$6,IF(AND($I2134="Base",$E2134="Gold"),Dashboard!$R$7,VLOOKUP($I2134,Dashboard!$Q$16:$R$21,2,FALSE)))))*VLOOKUP($I2134,Dashboard!$Q$9:$R$13,2,FALSE)*IF(AND($I2134="Auto",$F2134="",OR($B2134="Autographs Duals",$B2134="Autographs Triples",$B2134="Autographs Quads",$B2134="Autographs Quads (Inscribed)")),IF($B2134="Autographs Duals",2,IF($B2134="Autographs Triples",3,4)),1)))</f>
        <v>0</v>
      </c>
      <c r="AB2134" s="62">
        <f t="shared" si="440"/>
        <v>0</v>
      </c>
      <c r="AC2134" s="62">
        <f t="shared" si="441"/>
        <v>0</v>
      </c>
    </row>
    <row r="2135" spans="1:29" ht="30" customHeight="1" x14ac:dyDescent="0.25">
      <c r="A2135" s="4" t="s">
        <v>37</v>
      </c>
      <c r="B2135" s="7" t="s">
        <v>790</v>
      </c>
      <c r="C2135" s="2" t="s">
        <v>253</v>
      </c>
      <c r="D2135" s="7" t="s">
        <v>254</v>
      </c>
      <c r="E2135" s="4" t="s">
        <v>1602</v>
      </c>
      <c r="F2135" s="2">
        <v>1</v>
      </c>
      <c r="G2135" s="2" t="s">
        <v>1399</v>
      </c>
      <c r="H2135" s="2" t="s">
        <v>1399</v>
      </c>
      <c r="I2135" s="4" t="s">
        <v>68</v>
      </c>
      <c r="J2135" s="112">
        <f>IF($H2135&lt;&gt;"Y",0,ROUND(MIN(Dashboard!$R$24,IF(IFERROR(VLOOKUP($B2135,Dashboard!$Q$28:$S$60,2,FALSE),0)&gt;0,IFERROR(VLOOKUP($B2135,Dashboard!$Q$28:$S$60,2,FALSE),0),$Z2135*IF($U2135&lt;&gt;"",ROUND((Dashboard!$R$4/$U2135)*VLOOKUP($I2135,Dashboard!$Q$9:$R$13,2,FALSE)*IF(ISNUMBER(SEARCH("Duals",$B2135)),2,IF(ISNUMBER(SEARCH("Triples",$B2135)),3,IF(ISNUMBER(SEARCH("Quads",$B2135)),4,1))),2),ROUND(VLOOKUP($I2135,Dashboard!$Q$15:$R$20,2,FALSE)*IF($E2135="Red",Dashboard!$R$6,IF($E2135="Gold",Dashboard!$R$7,Dashboard!$R$5))*IF(ISNUMBER(SEARCH("Duals",$B2135)),2,IF(ISNUMBER(SEARCH("Triples",$B2135)),3,IF(ISNUMBER(SEARCH("Quads",$B2135)),4,1))),2))*IF(IFERROR(VLOOKUP($B2135,Dashboard!$Q$28:$S$60,3,FALSE),0)&gt;0,VLOOKUP($B2135,Dashboard!$Q$28:$S$60,3,FALSE),1))),0))</f>
        <v>0</v>
      </c>
      <c r="K2135" s="2" t="str">
        <f>IF('Autos - Singles'!H24="","",'Autos - Singles'!H24)</f>
        <v/>
      </c>
      <c r="L2135" s="2">
        <f t="shared" si="429"/>
        <v>0</v>
      </c>
      <c r="M2135" s="2">
        <f t="shared" si="430"/>
        <v>0</v>
      </c>
      <c r="N2135" s="2">
        <f t="shared" si="431"/>
        <v>0</v>
      </c>
      <c r="O2135" s="2">
        <f t="shared" si="432"/>
        <v>0</v>
      </c>
      <c r="P2135" s="112">
        <f t="shared" si="433"/>
        <v>0</v>
      </c>
      <c r="Q2135" s="112">
        <f t="shared" si="434"/>
        <v>0</v>
      </c>
      <c r="R2135" s="53"/>
      <c r="S2135" s="53" t="str">
        <f t="shared" si="435"/>
        <v>Autos - Singles|Autographs Gold Parallel|A-GC|Gold</v>
      </c>
      <c r="T2135" s="57" t="str">
        <f>IF($S2135="","",IFERROR(VLOOKUP($S2135,'Pop Estimates (Non-#d)'!$N$2:$O$500,2,FALSE),""))</f>
        <v/>
      </c>
      <c r="U2135" s="57">
        <f t="shared" si="436"/>
        <v>1</v>
      </c>
      <c r="V2135" s="53" t="str">
        <f t="shared" si="437"/>
        <v>Stan Edgar</v>
      </c>
      <c r="W2135" s="53" t="str">
        <f t="shared" si="438"/>
        <v>Stan Edgar</v>
      </c>
      <c r="X2135" s="53" t="str">
        <f t="shared" si="439"/>
        <v>Stan Edgar</v>
      </c>
      <c r="Y2135" s="57">
        <f>IF($X2135="","",IFERROR(VLOOKUP($X2135,'Char Popularity'!$A$2:$C$500,2,FALSE),""))</f>
        <v>4</v>
      </c>
      <c r="Z2135" s="56">
        <f>IF($X2135="",1,IFERROR(VLOOKUP($X2135,'Char Popularity'!$A$2:$C$500,3,FALSE),1))</f>
        <v>1.1000000000000001</v>
      </c>
      <c r="AA2135" s="62">
        <f>IF($H2135&lt;&gt;"Y",0,(IF($F2135&lt;&gt;"",ROUND(Dashboard!$R$4/$F2135,1),IF(AND($I2135="Base",$E2135="Base"),Dashboard!$R$5,IF(AND($I2135="Base",$E2135="Red"),Dashboard!$R$6,IF(AND($I2135="Base",$E2135="Gold"),Dashboard!$R$7,VLOOKUP($I2135,Dashboard!$Q$16:$R$21,2,FALSE)))))*VLOOKUP($I2135,Dashboard!$Q$9:$R$13,2,FALSE)*IF(AND($I2135="Auto",$F2135="",OR($B2135="Autographs Duals",$B2135="Autographs Triples",$B2135="Autographs Quads",$B2135="Autographs Quads (Inscribed)")),IF($B2135="Autographs Duals",2,IF($B2135="Autographs Triples",3,4)),1)))</f>
        <v>0</v>
      </c>
      <c r="AB2135" s="62">
        <f t="shared" si="440"/>
        <v>0</v>
      </c>
      <c r="AC2135" s="62">
        <f t="shared" si="441"/>
        <v>0</v>
      </c>
    </row>
    <row r="2136" spans="1:29" ht="30" customHeight="1" x14ac:dyDescent="0.25">
      <c r="A2136" s="4" t="s">
        <v>37</v>
      </c>
      <c r="B2136" s="7" t="s">
        <v>790</v>
      </c>
      <c r="C2136" s="2" t="s">
        <v>255</v>
      </c>
      <c r="D2136" s="7" t="s">
        <v>254</v>
      </c>
      <c r="E2136" s="4" t="s">
        <v>1602</v>
      </c>
      <c r="F2136" s="2">
        <v>1</v>
      </c>
      <c r="G2136" s="2" t="s">
        <v>1399</v>
      </c>
      <c r="H2136" s="2" t="s">
        <v>1399</v>
      </c>
      <c r="I2136" s="4" t="s">
        <v>68</v>
      </c>
      <c r="J2136" s="112">
        <f>IF($H2136&lt;&gt;"Y",0,ROUND(MIN(Dashboard!$R$24,IF(IFERROR(VLOOKUP($B2136,Dashboard!$Q$28:$S$60,2,FALSE),0)&gt;0,IFERROR(VLOOKUP($B2136,Dashboard!$Q$28:$S$60,2,FALSE),0),$Z2136*IF($U2136&lt;&gt;"",ROUND((Dashboard!$R$4/$U2136)*VLOOKUP($I2136,Dashboard!$Q$9:$R$13,2,FALSE)*IF(ISNUMBER(SEARCH("Duals",$B2136)),2,IF(ISNUMBER(SEARCH("Triples",$B2136)),3,IF(ISNUMBER(SEARCH("Quads",$B2136)),4,1))),2),ROUND(VLOOKUP($I2136,Dashboard!$Q$15:$R$20,2,FALSE)*IF($E2136="Red",Dashboard!$R$6,IF($E2136="Gold",Dashboard!$R$7,Dashboard!$R$5))*IF(ISNUMBER(SEARCH("Duals",$B2136)),2,IF(ISNUMBER(SEARCH("Triples",$B2136)),3,IF(ISNUMBER(SEARCH("Quads",$B2136)),4,1))),2))*IF(IFERROR(VLOOKUP($B2136,Dashboard!$Q$28:$S$60,3,FALSE),0)&gt;0,VLOOKUP($B2136,Dashboard!$Q$28:$S$60,3,FALSE),1))),0))</f>
        <v>0</v>
      </c>
      <c r="K2136" s="2" t="str">
        <f>IF('Autos - Singles'!H25="","",'Autos - Singles'!H25)</f>
        <v/>
      </c>
      <c r="L2136" s="2">
        <f t="shared" si="429"/>
        <v>0</v>
      </c>
      <c r="M2136" s="2">
        <f t="shared" si="430"/>
        <v>0</v>
      </c>
      <c r="N2136" s="2">
        <f t="shared" si="431"/>
        <v>0</v>
      </c>
      <c r="O2136" s="2">
        <f t="shared" si="432"/>
        <v>0</v>
      </c>
      <c r="P2136" s="112">
        <f t="shared" si="433"/>
        <v>0</v>
      </c>
      <c r="Q2136" s="112">
        <f t="shared" si="434"/>
        <v>0</v>
      </c>
      <c r="R2136" s="53"/>
      <c r="S2136" s="53" t="str">
        <f t="shared" si="435"/>
        <v>Autos - Singles|Autographs Gold Parallel|A-GE|Gold</v>
      </c>
      <c r="T2136" s="57" t="str">
        <f>IF($S2136="","",IFERROR(VLOOKUP($S2136,'Pop Estimates (Non-#d)'!$N$2:$O$500,2,FALSE),""))</f>
        <v/>
      </c>
      <c r="U2136" s="57">
        <f t="shared" si="436"/>
        <v>1</v>
      </c>
      <c r="V2136" s="53" t="str">
        <f t="shared" si="437"/>
        <v>Stan Edgar</v>
      </c>
      <c r="W2136" s="53" t="str">
        <f t="shared" si="438"/>
        <v>Stan Edgar</v>
      </c>
      <c r="X2136" s="53" t="str">
        <f t="shared" si="439"/>
        <v>Stan Edgar</v>
      </c>
      <c r="Y2136" s="57">
        <f>IF($X2136="","",IFERROR(VLOOKUP($X2136,'Char Popularity'!$A$2:$C$500,2,FALSE),""))</f>
        <v>4</v>
      </c>
      <c r="Z2136" s="56">
        <f>IF($X2136="",1,IFERROR(VLOOKUP($X2136,'Char Popularity'!$A$2:$C$500,3,FALSE),1))</f>
        <v>1.1000000000000001</v>
      </c>
      <c r="AA2136" s="62">
        <f>IF($H2136&lt;&gt;"Y",0,(IF($F2136&lt;&gt;"",ROUND(Dashboard!$R$4/$F2136,1),IF(AND($I2136="Base",$E2136="Base"),Dashboard!$R$5,IF(AND($I2136="Base",$E2136="Red"),Dashboard!$R$6,IF(AND($I2136="Base",$E2136="Gold"),Dashboard!$R$7,VLOOKUP($I2136,Dashboard!$Q$16:$R$21,2,FALSE)))))*VLOOKUP($I2136,Dashboard!$Q$9:$R$13,2,FALSE)*IF(AND($I2136="Auto",$F2136="",OR($B2136="Autographs Duals",$B2136="Autographs Triples",$B2136="Autographs Quads",$B2136="Autographs Quads (Inscribed)")),IF($B2136="Autographs Duals",2,IF($B2136="Autographs Triples",3,4)),1)))</f>
        <v>0</v>
      </c>
      <c r="AB2136" s="62">
        <f t="shared" si="440"/>
        <v>0</v>
      </c>
      <c r="AC2136" s="62">
        <f t="shared" si="441"/>
        <v>0</v>
      </c>
    </row>
    <row r="2137" spans="1:29" ht="30" customHeight="1" x14ac:dyDescent="0.25">
      <c r="A2137" s="4" t="s">
        <v>37</v>
      </c>
      <c r="B2137" s="7" t="s">
        <v>790</v>
      </c>
      <c r="C2137" s="2" t="s">
        <v>256</v>
      </c>
      <c r="D2137" s="7" t="s">
        <v>216</v>
      </c>
      <c r="E2137" s="4" t="s">
        <v>1602</v>
      </c>
      <c r="F2137" s="2">
        <v>1</v>
      </c>
      <c r="G2137" s="2" t="s">
        <v>1399</v>
      </c>
      <c r="H2137" s="2" t="s">
        <v>1399</v>
      </c>
      <c r="I2137" s="4" t="s">
        <v>68</v>
      </c>
      <c r="J2137" s="112">
        <f>IF($H2137&lt;&gt;"Y",0,ROUND(MIN(Dashboard!$R$24,IF(IFERROR(VLOOKUP($B2137,Dashboard!$Q$28:$S$60,2,FALSE),0)&gt;0,IFERROR(VLOOKUP($B2137,Dashboard!$Q$28:$S$60,2,FALSE),0),$Z2137*IF($U2137&lt;&gt;"",ROUND((Dashboard!$R$4/$U2137)*VLOOKUP($I2137,Dashboard!$Q$9:$R$13,2,FALSE)*IF(ISNUMBER(SEARCH("Duals",$B2137)),2,IF(ISNUMBER(SEARCH("Triples",$B2137)),3,IF(ISNUMBER(SEARCH("Quads",$B2137)),4,1))),2),ROUND(VLOOKUP($I2137,Dashboard!$Q$15:$R$20,2,FALSE)*IF($E2137="Red",Dashboard!$R$6,IF($E2137="Gold",Dashboard!$R$7,Dashboard!$R$5))*IF(ISNUMBER(SEARCH("Duals",$B2137)),2,IF(ISNUMBER(SEARCH("Triples",$B2137)),3,IF(ISNUMBER(SEARCH("Quads",$B2137)),4,1))),2))*IF(IFERROR(VLOOKUP($B2137,Dashboard!$Q$28:$S$60,3,FALSE),0)&gt;0,VLOOKUP($B2137,Dashboard!$Q$28:$S$60,3,FALSE),1))),0))</f>
        <v>0</v>
      </c>
      <c r="K2137" s="2" t="str">
        <f>IF('Autos - Singles'!H26="","",'Autos - Singles'!H26)</f>
        <v/>
      </c>
      <c r="L2137" s="2">
        <f t="shared" si="429"/>
        <v>0</v>
      </c>
      <c r="M2137" s="2">
        <f t="shared" si="430"/>
        <v>0</v>
      </c>
      <c r="N2137" s="2">
        <f t="shared" si="431"/>
        <v>0</v>
      </c>
      <c r="O2137" s="2">
        <f t="shared" si="432"/>
        <v>0</v>
      </c>
      <c r="P2137" s="112">
        <f t="shared" si="433"/>
        <v>0</v>
      </c>
      <c r="Q2137" s="112">
        <f t="shared" si="434"/>
        <v>0</v>
      </c>
      <c r="R2137" s="53"/>
      <c r="S2137" s="53" t="str">
        <f t="shared" si="435"/>
        <v>Autos - Singles|Autographs Gold Parallel|A-HA|Gold</v>
      </c>
      <c r="T2137" s="57" t="str">
        <f>IF($S2137="","",IFERROR(VLOOKUP($S2137,'Pop Estimates (Non-#d)'!$N$2:$O$500,2,FALSE),""))</f>
        <v/>
      </c>
      <c r="U2137" s="57">
        <f t="shared" si="436"/>
        <v>1</v>
      </c>
      <c r="V2137" s="53" t="str">
        <f t="shared" si="437"/>
        <v>Translucent</v>
      </c>
      <c r="W2137" s="53" t="str">
        <f t="shared" si="438"/>
        <v>Translucent</v>
      </c>
      <c r="X2137" s="53" t="str">
        <f t="shared" si="439"/>
        <v>Translucent</v>
      </c>
      <c r="Y2137" s="57">
        <f>IF($X2137="","",IFERROR(VLOOKUP($X2137,'Char Popularity'!$A$2:$C$500,2,FALSE),""))</f>
        <v>2</v>
      </c>
      <c r="Z2137" s="56">
        <f>IF($X2137="",1,IFERROR(VLOOKUP($X2137,'Char Popularity'!$A$2:$C$500,3,FALSE),1))</f>
        <v>0.9</v>
      </c>
      <c r="AA2137" s="62">
        <f>IF($H2137&lt;&gt;"Y",0,(IF($F2137&lt;&gt;"",ROUND(Dashboard!$R$4/$F2137,1),IF(AND($I2137="Base",$E2137="Base"),Dashboard!$R$5,IF(AND($I2137="Base",$E2137="Red"),Dashboard!$R$6,IF(AND($I2137="Base",$E2137="Gold"),Dashboard!$R$7,VLOOKUP($I2137,Dashboard!$Q$16:$R$21,2,FALSE)))))*VLOOKUP($I2137,Dashboard!$Q$9:$R$13,2,FALSE)*IF(AND($I2137="Auto",$F2137="",OR($B2137="Autographs Duals",$B2137="Autographs Triples",$B2137="Autographs Quads",$B2137="Autographs Quads (Inscribed)")),IF($B2137="Autographs Duals",2,IF($B2137="Autographs Triples",3,4)),1)))</f>
        <v>0</v>
      </c>
      <c r="AB2137" s="62">
        <f t="shared" si="440"/>
        <v>0</v>
      </c>
      <c r="AC2137" s="62">
        <f t="shared" si="441"/>
        <v>0</v>
      </c>
    </row>
    <row r="2138" spans="1:29" ht="30" customHeight="1" x14ac:dyDescent="0.25">
      <c r="A2138" s="4" t="s">
        <v>37</v>
      </c>
      <c r="B2138" s="7" t="s">
        <v>790</v>
      </c>
      <c r="C2138" s="2" t="s">
        <v>257</v>
      </c>
      <c r="D2138" s="7" t="s">
        <v>216</v>
      </c>
      <c r="E2138" s="4" t="s">
        <v>1602</v>
      </c>
      <c r="F2138" s="2">
        <v>1</v>
      </c>
      <c r="G2138" s="2" t="s">
        <v>1399</v>
      </c>
      <c r="H2138" s="2" t="s">
        <v>1399</v>
      </c>
      <c r="I2138" s="4" t="s">
        <v>68</v>
      </c>
      <c r="J2138" s="112">
        <f>IF($H2138&lt;&gt;"Y",0,ROUND(MIN(Dashboard!$R$24,IF(IFERROR(VLOOKUP($B2138,Dashboard!$Q$28:$S$60,2,FALSE),0)&gt;0,IFERROR(VLOOKUP($B2138,Dashboard!$Q$28:$S$60,2,FALSE),0),$Z2138*IF($U2138&lt;&gt;"",ROUND((Dashboard!$R$4/$U2138)*VLOOKUP($I2138,Dashboard!$Q$9:$R$13,2,FALSE)*IF(ISNUMBER(SEARCH("Duals",$B2138)),2,IF(ISNUMBER(SEARCH("Triples",$B2138)),3,IF(ISNUMBER(SEARCH("Quads",$B2138)),4,1))),2),ROUND(VLOOKUP($I2138,Dashboard!$Q$15:$R$20,2,FALSE)*IF($E2138="Red",Dashboard!$R$6,IF($E2138="Gold",Dashboard!$R$7,Dashboard!$R$5))*IF(ISNUMBER(SEARCH("Duals",$B2138)),2,IF(ISNUMBER(SEARCH("Triples",$B2138)),3,IF(ISNUMBER(SEARCH("Quads",$B2138)),4,1))),2))*IF(IFERROR(VLOOKUP($B2138,Dashboard!$Q$28:$S$60,3,FALSE),0)&gt;0,VLOOKUP($B2138,Dashboard!$Q$28:$S$60,3,FALSE),1))),0))</f>
        <v>0</v>
      </c>
      <c r="K2138" s="2" t="str">
        <f>IF('Autos - Singles'!H27="","",'Autos - Singles'!H27)</f>
        <v/>
      </c>
      <c r="L2138" s="2">
        <f t="shared" si="429"/>
        <v>0</v>
      </c>
      <c r="M2138" s="2">
        <f t="shared" si="430"/>
        <v>0</v>
      </c>
      <c r="N2138" s="2">
        <f t="shared" si="431"/>
        <v>0</v>
      </c>
      <c r="O2138" s="2">
        <f t="shared" si="432"/>
        <v>0</v>
      </c>
      <c r="P2138" s="112">
        <f t="shared" si="433"/>
        <v>0</v>
      </c>
      <c r="Q2138" s="112">
        <f t="shared" si="434"/>
        <v>0</v>
      </c>
      <c r="R2138" s="53"/>
      <c r="S2138" s="53" t="str">
        <f t="shared" si="435"/>
        <v>Autos - Singles|Autographs Gold Parallel|A-HS|Gold</v>
      </c>
      <c r="T2138" s="57" t="str">
        <f>IF($S2138="","",IFERROR(VLOOKUP($S2138,'Pop Estimates (Non-#d)'!$N$2:$O$500,2,FALSE),""))</f>
        <v/>
      </c>
      <c r="U2138" s="57">
        <f t="shared" si="436"/>
        <v>1</v>
      </c>
      <c r="V2138" s="53" t="str">
        <f t="shared" si="437"/>
        <v>Translucent</v>
      </c>
      <c r="W2138" s="53" t="str">
        <f t="shared" si="438"/>
        <v>Translucent</v>
      </c>
      <c r="X2138" s="53" t="str">
        <f t="shared" si="439"/>
        <v>Translucent</v>
      </c>
      <c r="Y2138" s="57">
        <f>IF($X2138="","",IFERROR(VLOOKUP($X2138,'Char Popularity'!$A$2:$C$500,2,FALSE),""))</f>
        <v>2</v>
      </c>
      <c r="Z2138" s="56">
        <f>IF($X2138="",1,IFERROR(VLOOKUP($X2138,'Char Popularity'!$A$2:$C$500,3,FALSE),1))</f>
        <v>0.9</v>
      </c>
      <c r="AA2138" s="62">
        <f>IF($H2138&lt;&gt;"Y",0,(IF($F2138&lt;&gt;"",ROUND(Dashboard!$R$4/$F2138,1),IF(AND($I2138="Base",$E2138="Base"),Dashboard!$R$5,IF(AND($I2138="Base",$E2138="Red"),Dashboard!$R$6,IF(AND($I2138="Base",$E2138="Gold"),Dashboard!$R$7,VLOOKUP($I2138,Dashboard!$Q$16:$R$21,2,FALSE)))))*VLOOKUP($I2138,Dashboard!$Q$9:$R$13,2,FALSE)*IF(AND($I2138="Auto",$F2138="",OR($B2138="Autographs Duals",$B2138="Autographs Triples",$B2138="Autographs Quads",$B2138="Autographs Quads (Inscribed)")),IF($B2138="Autographs Duals",2,IF($B2138="Autographs Triples",3,4)),1)))</f>
        <v>0</v>
      </c>
      <c r="AB2138" s="62">
        <f t="shared" si="440"/>
        <v>0</v>
      </c>
      <c r="AC2138" s="62">
        <f t="shared" si="441"/>
        <v>0</v>
      </c>
    </row>
    <row r="2139" spans="1:29" ht="30" customHeight="1" x14ac:dyDescent="0.25">
      <c r="A2139" s="4" t="s">
        <v>37</v>
      </c>
      <c r="B2139" s="7" t="s">
        <v>790</v>
      </c>
      <c r="C2139" s="2" t="s">
        <v>259</v>
      </c>
      <c r="D2139" s="7" t="s">
        <v>260</v>
      </c>
      <c r="E2139" s="4" t="s">
        <v>1602</v>
      </c>
      <c r="F2139" s="2">
        <v>1</v>
      </c>
      <c r="G2139" s="2" t="s">
        <v>1399</v>
      </c>
      <c r="H2139" s="2" t="s">
        <v>1399</v>
      </c>
      <c r="I2139" s="4" t="s">
        <v>68</v>
      </c>
      <c r="J2139" s="112">
        <f>IF($H2139&lt;&gt;"Y",0,ROUND(MIN(Dashboard!$R$24,IF(IFERROR(VLOOKUP($B2139,Dashboard!$Q$28:$S$60,2,FALSE),0)&gt;0,IFERROR(VLOOKUP($B2139,Dashboard!$Q$28:$S$60,2,FALSE),0),$Z2139*IF($U2139&lt;&gt;"",ROUND((Dashboard!$R$4/$U2139)*VLOOKUP($I2139,Dashboard!$Q$9:$R$13,2,FALSE)*IF(ISNUMBER(SEARCH("Duals",$B2139)),2,IF(ISNUMBER(SEARCH("Triples",$B2139)),3,IF(ISNUMBER(SEARCH("Quads",$B2139)),4,1))),2),ROUND(VLOOKUP($I2139,Dashboard!$Q$15:$R$20,2,FALSE)*IF($E2139="Red",Dashboard!$R$6,IF($E2139="Gold",Dashboard!$R$7,Dashboard!$R$5))*IF(ISNUMBER(SEARCH("Duals",$B2139)),2,IF(ISNUMBER(SEARCH("Triples",$B2139)),3,IF(ISNUMBER(SEARCH("Quads",$B2139)),4,1))),2))*IF(IFERROR(VLOOKUP($B2139,Dashboard!$Q$28:$S$60,3,FALSE),0)&gt;0,VLOOKUP($B2139,Dashboard!$Q$28:$S$60,3,FALSE),1))),0))</f>
        <v>0</v>
      </c>
      <c r="K2139" s="2" t="str">
        <f>IF('Autos - Singles'!H28="","",'Autos - Singles'!H28)</f>
        <v/>
      </c>
      <c r="L2139" s="2">
        <f t="shared" si="429"/>
        <v>0</v>
      </c>
      <c r="M2139" s="2">
        <f t="shared" si="430"/>
        <v>0</v>
      </c>
      <c r="N2139" s="2">
        <f t="shared" si="431"/>
        <v>0</v>
      </c>
      <c r="O2139" s="2">
        <f t="shared" si="432"/>
        <v>0</v>
      </c>
      <c r="P2139" s="112">
        <f t="shared" si="433"/>
        <v>0</v>
      </c>
      <c r="Q2139" s="112">
        <f t="shared" si="434"/>
        <v>0</v>
      </c>
      <c r="R2139" s="53"/>
      <c r="S2139" s="53" t="str">
        <f t="shared" si="435"/>
        <v>Autos - Singles|Autographs Gold Parallel|A-JL|Gold</v>
      </c>
      <c r="T2139" s="57" t="str">
        <f>IF($S2139="","",IFERROR(VLOOKUP($S2139,'Pop Estimates (Non-#d)'!$N$2:$O$500,2,FALSE),""))</f>
        <v/>
      </c>
      <c r="U2139" s="57">
        <f t="shared" si="436"/>
        <v>1</v>
      </c>
      <c r="V2139" s="53" t="str">
        <f t="shared" si="437"/>
        <v>Cherie</v>
      </c>
      <c r="W2139" s="53" t="str">
        <f t="shared" si="438"/>
        <v>Cherie</v>
      </c>
      <c r="X2139" s="53" t="str">
        <f t="shared" si="439"/>
        <v>Cherie</v>
      </c>
      <c r="Y2139" s="57">
        <f>IF($X2139="","",IFERROR(VLOOKUP($X2139,'Char Popularity'!$A$2:$C$500,2,FALSE),""))</f>
        <v>3</v>
      </c>
      <c r="Z2139" s="56">
        <f>IF($X2139="",1,IFERROR(VLOOKUP($X2139,'Char Popularity'!$A$2:$C$500,3,FALSE),1))</f>
        <v>1</v>
      </c>
      <c r="AA2139" s="62">
        <f>IF($H2139&lt;&gt;"Y",0,(IF($F2139&lt;&gt;"",ROUND(Dashboard!$R$4/$F2139,1),IF(AND($I2139="Base",$E2139="Base"),Dashboard!$R$5,IF(AND($I2139="Base",$E2139="Red"),Dashboard!$R$6,IF(AND($I2139="Base",$E2139="Gold"),Dashboard!$R$7,VLOOKUP($I2139,Dashboard!$Q$16:$R$21,2,FALSE)))))*VLOOKUP($I2139,Dashboard!$Q$9:$R$13,2,FALSE)*IF(AND($I2139="Auto",$F2139="",OR($B2139="Autographs Duals",$B2139="Autographs Triples",$B2139="Autographs Quads",$B2139="Autographs Quads (Inscribed)")),IF($B2139="Autographs Duals",2,IF($B2139="Autographs Triples",3,4)),1)))</f>
        <v>0</v>
      </c>
      <c r="AB2139" s="62">
        <f t="shared" si="440"/>
        <v>0</v>
      </c>
      <c r="AC2139" s="62">
        <f t="shared" si="441"/>
        <v>0</v>
      </c>
    </row>
    <row r="2140" spans="1:29" ht="30" customHeight="1" x14ac:dyDescent="0.25">
      <c r="A2140" s="4" t="s">
        <v>37</v>
      </c>
      <c r="B2140" s="7" t="s">
        <v>790</v>
      </c>
      <c r="C2140" s="2" t="s">
        <v>261</v>
      </c>
      <c r="D2140" s="7" t="s">
        <v>260</v>
      </c>
      <c r="E2140" s="4" t="s">
        <v>1602</v>
      </c>
      <c r="F2140" s="2">
        <v>1</v>
      </c>
      <c r="G2140" s="2" t="s">
        <v>1399</v>
      </c>
      <c r="H2140" s="2" t="s">
        <v>1399</v>
      </c>
      <c r="I2140" s="4" t="s">
        <v>68</v>
      </c>
      <c r="J2140" s="112">
        <f>IF($H2140&lt;&gt;"Y",0,ROUND(MIN(Dashboard!$R$24,IF(IFERROR(VLOOKUP($B2140,Dashboard!$Q$28:$S$60,2,FALSE),0)&gt;0,IFERROR(VLOOKUP($B2140,Dashboard!$Q$28:$S$60,2,FALSE),0),$Z2140*IF($U2140&lt;&gt;"",ROUND((Dashboard!$R$4/$U2140)*VLOOKUP($I2140,Dashboard!$Q$9:$R$13,2,FALSE)*IF(ISNUMBER(SEARCH("Duals",$B2140)),2,IF(ISNUMBER(SEARCH("Triples",$B2140)),3,IF(ISNUMBER(SEARCH("Quads",$B2140)),4,1))),2),ROUND(VLOOKUP($I2140,Dashboard!$Q$15:$R$20,2,FALSE)*IF($E2140="Red",Dashboard!$R$6,IF($E2140="Gold",Dashboard!$R$7,Dashboard!$R$5))*IF(ISNUMBER(SEARCH("Duals",$B2140)),2,IF(ISNUMBER(SEARCH("Triples",$B2140)),3,IF(ISNUMBER(SEARCH("Quads",$B2140)),4,1))),2))*IF(IFERROR(VLOOKUP($B2140,Dashboard!$Q$28:$S$60,3,FALSE),0)&gt;0,VLOOKUP($B2140,Dashboard!$Q$28:$S$60,3,FALSE),1))),0))</f>
        <v>0</v>
      </c>
      <c r="K2140" s="2" t="str">
        <f>IF('Autos - Singles'!H29="","",'Autos - Singles'!H29)</f>
        <v/>
      </c>
      <c r="L2140" s="2">
        <f t="shared" si="429"/>
        <v>0</v>
      </c>
      <c r="M2140" s="2">
        <f t="shared" si="430"/>
        <v>0</v>
      </c>
      <c r="N2140" s="2">
        <f t="shared" si="431"/>
        <v>0</v>
      </c>
      <c r="O2140" s="2">
        <f t="shared" si="432"/>
        <v>0</v>
      </c>
      <c r="P2140" s="112">
        <f t="shared" si="433"/>
        <v>0</v>
      </c>
      <c r="Q2140" s="112">
        <f t="shared" si="434"/>
        <v>0</v>
      </c>
      <c r="R2140" s="53"/>
      <c r="S2140" s="53" t="str">
        <f t="shared" si="435"/>
        <v>Autos - Singles|Autographs Gold Parallel|A-JO|Gold</v>
      </c>
      <c r="T2140" s="57" t="str">
        <f>IF($S2140="","",IFERROR(VLOOKUP($S2140,'Pop Estimates (Non-#d)'!$N$2:$O$500,2,FALSE),""))</f>
        <v/>
      </c>
      <c r="U2140" s="57">
        <f t="shared" si="436"/>
        <v>1</v>
      </c>
      <c r="V2140" s="53" t="str">
        <f t="shared" si="437"/>
        <v>Cherie</v>
      </c>
      <c r="W2140" s="53" t="str">
        <f t="shared" si="438"/>
        <v>Cherie</v>
      </c>
      <c r="X2140" s="53" t="str">
        <f t="shared" si="439"/>
        <v>Cherie</v>
      </c>
      <c r="Y2140" s="57">
        <f>IF($X2140="","",IFERROR(VLOOKUP($X2140,'Char Popularity'!$A$2:$C$500,2,FALSE),""))</f>
        <v>3</v>
      </c>
      <c r="Z2140" s="56">
        <f>IF($X2140="",1,IFERROR(VLOOKUP($X2140,'Char Popularity'!$A$2:$C$500,3,FALSE),1))</f>
        <v>1</v>
      </c>
      <c r="AA2140" s="62">
        <f>IF($H2140&lt;&gt;"Y",0,(IF($F2140&lt;&gt;"",ROUND(Dashboard!$R$4/$F2140,1),IF(AND($I2140="Base",$E2140="Base"),Dashboard!$R$5,IF(AND($I2140="Base",$E2140="Red"),Dashboard!$R$6,IF(AND($I2140="Base",$E2140="Gold"),Dashboard!$R$7,VLOOKUP($I2140,Dashboard!$Q$16:$R$21,2,FALSE)))))*VLOOKUP($I2140,Dashboard!$Q$9:$R$13,2,FALSE)*IF(AND($I2140="Auto",$F2140="",OR($B2140="Autographs Duals",$B2140="Autographs Triples",$B2140="Autographs Quads",$B2140="Autographs Quads (Inscribed)")),IF($B2140="Autographs Duals",2,IF($B2140="Autographs Triples",3,4)),1)))</f>
        <v>0</v>
      </c>
      <c r="AB2140" s="62">
        <f t="shared" si="440"/>
        <v>0</v>
      </c>
      <c r="AC2140" s="62">
        <f t="shared" si="441"/>
        <v>0</v>
      </c>
    </row>
    <row r="2141" spans="1:29" ht="30" customHeight="1" x14ac:dyDescent="0.25">
      <c r="A2141" s="4" t="s">
        <v>37</v>
      </c>
      <c r="B2141" s="7" t="s">
        <v>790</v>
      </c>
      <c r="C2141" s="2" t="s">
        <v>262</v>
      </c>
      <c r="D2141" s="7" t="s">
        <v>263</v>
      </c>
      <c r="E2141" s="4" t="s">
        <v>1602</v>
      </c>
      <c r="F2141" s="2">
        <v>1</v>
      </c>
      <c r="G2141" s="2" t="s">
        <v>1399</v>
      </c>
      <c r="H2141" s="2" t="s">
        <v>1399</v>
      </c>
      <c r="I2141" s="4" t="s">
        <v>68</v>
      </c>
      <c r="J2141" s="112">
        <f>IF($H2141&lt;&gt;"Y",0,ROUND(MIN(Dashboard!$R$24,IF(IFERROR(VLOOKUP($B2141,Dashboard!$Q$28:$S$60,2,FALSE),0)&gt;0,IFERROR(VLOOKUP($B2141,Dashboard!$Q$28:$S$60,2,FALSE),0),$Z2141*IF($U2141&lt;&gt;"",ROUND((Dashboard!$R$4/$U2141)*VLOOKUP($I2141,Dashboard!$Q$9:$R$13,2,FALSE)*IF(ISNUMBER(SEARCH("Duals",$B2141)),2,IF(ISNUMBER(SEARCH("Triples",$B2141)),3,IF(ISNUMBER(SEARCH("Quads",$B2141)),4,1))),2),ROUND(VLOOKUP($I2141,Dashboard!$Q$15:$R$20,2,FALSE)*IF($E2141="Red",Dashboard!$R$6,IF($E2141="Gold",Dashboard!$R$7,Dashboard!$R$5))*IF(ISNUMBER(SEARCH("Duals",$B2141)),2,IF(ISNUMBER(SEARCH("Triples",$B2141)),3,IF(ISNUMBER(SEARCH("Quads",$B2141)),4,1))),2))*IF(IFERROR(VLOOKUP($B2141,Dashboard!$Q$28:$S$60,3,FALSE),0)&gt;0,VLOOKUP($B2141,Dashboard!$Q$28:$S$60,3,FALSE),1))),0))</f>
        <v>0</v>
      </c>
      <c r="K2141" s="2" t="str">
        <f>IF('Autos - Singles'!H30="","",'Autos - Singles'!H30)</f>
        <v/>
      </c>
      <c r="L2141" s="2">
        <f t="shared" si="429"/>
        <v>0</v>
      </c>
      <c r="M2141" s="2">
        <f t="shared" si="430"/>
        <v>0</v>
      </c>
      <c r="N2141" s="2">
        <f t="shared" si="431"/>
        <v>0</v>
      </c>
      <c r="O2141" s="2">
        <f t="shared" si="432"/>
        <v>0</v>
      </c>
      <c r="P2141" s="112">
        <f t="shared" si="433"/>
        <v>0</v>
      </c>
      <c r="Q2141" s="112">
        <f t="shared" si="434"/>
        <v>0</v>
      </c>
      <c r="R2141" s="53"/>
      <c r="S2141" s="53" t="str">
        <f t="shared" si="435"/>
        <v>Autos - Singles|Autographs Gold Parallel|A-JQ|Gold</v>
      </c>
      <c r="T2141" s="57" t="str">
        <f>IF($S2141="","",IFERROR(VLOOKUP($S2141,'Pop Estimates (Non-#d)'!$N$2:$O$500,2,FALSE),""))</f>
        <v/>
      </c>
      <c r="U2141" s="57">
        <f t="shared" si="436"/>
        <v>1</v>
      </c>
      <c r="V2141" s="53" t="str">
        <f t="shared" si="437"/>
        <v>Hughie Campbell</v>
      </c>
      <c r="W2141" s="53" t="str">
        <f t="shared" si="438"/>
        <v>Hughie Campbell</v>
      </c>
      <c r="X2141" s="53" t="str">
        <f t="shared" si="439"/>
        <v>Hughie Campbell</v>
      </c>
      <c r="Y2141" s="57">
        <f>IF($X2141="","",IFERROR(VLOOKUP($X2141,'Char Popularity'!$A$2:$C$500,2,FALSE),""))</f>
        <v>5</v>
      </c>
      <c r="Z2141" s="56">
        <f>IF($X2141="",1,IFERROR(VLOOKUP($X2141,'Char Popularity'!$A$2:$C$500,3,FALSE),1))</f>
        <v>1.2</v>
      </c>
      <c r="AA2141" s="62">
        <f>IF($H2141&lt;&gt;"Y",0,(IF($F2141&lt;&gt;"",ROUND(Dashboard!$R$4/$F2141,1),IF(AND($I2141="Base",$E2141="Base"),Dashboard!$R$5,IF(AND($I2141="Base",$E2141="Red"),Dashboard!$R$6,IF(AND($I2141="Base",$E2141="Gold"),Dashboard!$R$7,VLOOKUP($I2141,Dashboard!$Q$16:$R$21,2,FALSE)))))*VLOOKUP($I2141,Dashboard!$Q$9:$R$13,2,FALSE)*IF(AND($I2141="Auto",$F2141="",OR($B2141="Autographs Duals",$B2141="Autographs Triples",$B2141="Autographs Quads",$B2141="Autographs Quads (Inscribed)")),IF($B2141="Autographs Duals",2,IF($B2141="Autographs Triples",3,4)),1)))</f>
        <v>0</v>
      </c>
      <c r="AB2141" s="62">
        <f t="shared" si="440"/>
        <v>0</v>
      </c>
      <c r="AC2141" s="62">
        <f t="shared" si="441"/>
        <v>0</v>
      </c>
    </row>
    <row r="2142" spans="1:29" ht="30" customHeight="1" x14ac:dyDescent="0.25">
      <c r="A2142" s="4" t="s">
        <v>37</v>
      </c>
      <c r="B2142" s="7" t="s">
        <v>790</v>
      </c>
      <c r="C2142" s="2" t="s">
        <v>264</v>
      </c>
      <c r="D2142" s="7" t="s">
        <v>260</v>
      </c>
      <c r="E2142" s="4" t="s">
        <v>1602</v>
      </c>
      <c r="F2142" s="2">
        <v>1</v>
      </c>
      <c r="G2142" s="2" t="s">
        <v>1399</v>
      </c>
      <c r="H2142" s="2" t="s">
        <v>1399</v>
      </c>
      <c r="I2142" s="4" t="s">
        <v>68</v>
      </c>
      <c r="J2142" s="112">
        <f>IF($H2142&lt;&gt;"Y",0,ROUND(MIN(Dashboard!$R$24,IF(IFERROR(VLOOKUP($B2142,Dashboard!$Q$28:$S$60,2,FALSE),0)&gt;0,IFERROR(VLOOKUP($B2142,Dashboard!$Q$28:$S$60,2,FALSE),0),$Z2142*IF($U2142&lt;&gt;"",ROUND((Dashboard!$R$4/$U2142)*VLOOKUP($I2142,Dashboard!$Q$9:$R$13,2,FALSE)*IF(ISNUMBER(SEARCH("Duals",$B2142)),2,IF(ISNUMBER(SEARCH("Triples",$B2142)),3,IF(ISNUMBER(SEARCH("Quads",$B2142)),4,1))),2),ROUND(VLOOKUP($I2142,Dashboard!$Q$15:$R$20,2,FALSE)*IF($E2142="Red",Dashboard!$R$6,IF($E2142="Gold",Dashboard!$R$7,Dashboard!$R$5))*IF(ISNUMBER(SEARCH("Duals",$B2142)),2,IF(ISNUMBER(SEARCH("Triples",$B2142)),3,IF(ISNUMBER(SEARCH("Quads",$B2142)),4,1))),2))*IF(IFERROR(VLOOKUP($B2142,Dashboard!$Q$28:$S$60,3,FALSE),0)&gt;0,VLOOKUP($B2142,Dashboard!$Q$28:$S$60,3,FALSE),1))),0))</f>
        <v>0</v>
      </c>
      <c r="K2142" s="2" t="str">
        <f>IF('Autos - Singles'!H31="","",'Autos - Singles'!H31)</f>
        <v/>
      </c>
      <c r="L2142" s="2">
        <f t="shared" si="429"/>
        <v>0</v>
      </c>
      <c r="M2142" s="2">
        <f t="shared" si="430"/>
        <v>0</v>
      </c>
      <c r="N2142" s="2">
        <f t="shared" si="431"/>
        <v>0</v>
      </c>
      <c r="O2142" s="2">
        <f t="shared" si="432"/>
        <v>0</v>
      </c>
      <c r="P2142" s="112">
        <f t="shared" si="433"/>
        <v>0</v>
      </c>
      <c r="Q2142" s="112">
        <f t="shared" si="434"/>
        <v>0</v>
      </c>
      <c r="R2142" s="53"/>
      <c r="S2142" s="53" t="str">
        <f t="shared" si="435"/>
        <v>Autos - Singles|Autographs Gold Parallel|A-JR|Gold</v>
      </c>
      <c r="T2142" s="57" t="str">
        <f>IF($S2142="","",IFERROR(VLOOKUP($S2142,'Pop Estimates (Non-#d)'!$N$2:$O$500,2,FALSE),""))</f>
        <v/>
      </c>
      <c r="U2142" s="57">
        <f t="shared" si="436"/>
        <v>1</v>
      </c>
      <c r="V2142" s="53" t="str">
        <f t="shared" si="437"/>
        <v>Cherie</v>
      </c>
      <c r="W2142" s="53" t="str">
        <f t="shared" si="438"/>
        <v>Cherie</v>
      </c>
      <c r="X2142" s="53" t="str">
        <f t="shared" si="439"/>
        <v>Cherie</v>
      </c>
      <c r="Y2142" s="57">
        <f>IF($X2142="","",IFERROR(VLOOKUP($X2142,'Char Popularity'!$A$2:$C$500,2,FALSE),""))</f>
        <v>3</v>
      </c>
      <c r="Z2142" s="56">
        <f>IF($X2142="",1,IFERROR(VLOOKUP($X2142,'Char Popularity'!$A$2:$C$500,3,FALSE),1))</f>
        <v>1</v>
      </c>
      <c r="AA2142" s="62">
        <f>IF($H2142&lt;&gt;"Y",0,(IF($F2142&lt;&gt;"",ROUND(Dashboard!$R$4/$F2142,1),IF(AND($I2142="Base",$E2142="Base"),Dashboard!$R$5,IF(AND($I2142="Base",$E2142="Red"),Dashboard!$R$6,IF(AND($I2142="Base",$E2142="Gold"),Dashboard!$R$7,VLOOKUP($I2142,Dashboard!$Q$16:$R$21,2,FALSE)))))*VLOOKUP($I2142,Dashboard!$Q$9:$R$13,2,FALSE)*IF(AND($I2142="Auto",$F2142="",OR($B2142="Autographs Duals",$B2142="Autographs Triples",$B2142="Autographs Quads",$B2142="Autographs Quads (Inscribed)")),IF($B2142="Autographs Duals",2,IF($B2142="Autographs Triples",3,4)),1)))</f>
        <v>0</v>
      </c>
      <c r="AB2142" s="62">
        <f t="shared" si="440"/>
        <v>0</v>
      </c>
      <c r="AC2142" s="62">
        <f t="shared" si="441"/>
        <v>0</v>
      </c>
    </row>
    <row r="2143" spans="1:29" ht="30" customHeight="1" x14ac:dyDescent="0.25">
      <c r="A2143" s="4" t="s">
        <v>37</v>
      </c>
      <c r="B2143" s="7" t="s">
        <v>790</v>
      </c>
      <c r="C2143" s="2" t="s">
        <v>266</v>
      </c>
      <c r="D2143" s="7" t="s">
        <v>267</v>
      </c>
      <c r="E2143" s="4" t="s">
        <v>1602</v>
      </c>
      <c r="F2143" s="2">
        <v>1</v>
      </c>
      <c r="G2143" s="2" t="s">
        <v>1399</v>
      </c>
      <c r="H2143" s="2" t="s">
        <v>1399</v>
      </c>
      <c r="I2143" s="4" t="s">
        <v>68</v>
      </c>
      <c r="J2143" s="112">
        <f>IF($H2143&lt;&gt;"Y",0,ROUND(MIN(Dashboard!$R$24,IF(IFERROR(VLOOKUP($B2143,Dashboard!$Q$28:$S$60,2,FALSE),0)&gt;0,IFERROR(VLOOKUP($B2143,Dashboard!$Q$28:$S$60,2,FALSE),0),$Z2143*IF($U2143&lt;&gt;"",ROUND((Dashboard!$R$4/$U2143)*VLOOKUP($I2143,Dashboard!$Q$9:$R$13,2,FALSE)*IF(ISNUMBER(SEARCH("Duals",$B2143)),2,IF(ISNUMBER(SEARCH("Triples",$B2143)),3,IF(ISNUMBER(SEARCH("Quads",$B2143)),4,1))),2),ROUND(VLOOKUP($I2143,Dashboard!$Q$15:$R$20,2,FALSE)*IF($E2143="Red",Dashboard!$R$6,IF($E2143="Gold",Dashboard!$R$7,Dashboard!$R$5))*IF(ISNUMBER(SEARCH("Duals",$B2143)),2,IF(ISNUMBER(SEARCH("Triples",$B2143)),3,IF(ISNUMBER(SEARCH("Quads",$B2143)),4,1))),2))*IF(IFERROR(VLOOKUP($B2143,Dashboard!$Q$28:$S$60,3,FALSE),0)&gt;0,VLOOKUP($B2143,Dashboard!$Q$28:$S$60,3,FALSE),1))),0))</f>
        <v>0</v>
      </c>
      <c r="K2143" s="2" t="str">
        <f>IF('Autos - Singles'!H32="","",'Autos - Singles'!H32)</f>
        <v/>
      </c>
      <c r="L2143" s="2">
        <f t="shared" si="429"/>
        <v>0</v>
      </c>
      <c r="M2143" s="2">
        <f t="shared" si="430"/>
        <v>0</v>
      </c>
      <c r="N2143" s="2">
        <f t="shared" si="431"/>
        <v>0</v>
      </c>
      <c r="O2143" s="2">
        <f t="shared" si="432"/>
        <v>0</v>
      </c>
      <c r="P2143" s="112">
        <f t="shared" si="433"/>
        <v>0</v>
      </c>
      <c r="Q2143" s="112">
        <f t="shared" si="434"/>
        <v>0</v>
      </c>
      <c r="R2143" s="53"/>
      <c r="S2143" s="53" t="str">
        <f t="shared" si="435"/>
        <v>Autos - Singles|Autographs Gold Parallel|A-JT|Gold</v>
      </c>
      <c r="T2143" s="57" t="str">
        <f>IF($S2143="","",IFERROR(VLOOKUP($S2143,'Pop Estimates (Non-#d)'!$N$2:$O$500,2,FALSE),""))</f>
        <v/>
      </c>
      <c r="U2143" s="57">
        <f t="shared" si="436"/>
        <v>1</v>
      </c>
      <c r="V2143" s="53" t="str">
        <f t="shared" si="437"/>
        <v>A-Train</v>
      </c>
      <c r="W2143" s="53" t="str">
        <f t="shared" si="438"/>
        <v>A-Train</v>
      </c>
      <c r="X2143" s="53" t="str">
        <f t="shared" si="439"/>
        <v>A-Train</v>
      </c>
      <c r="Y2143" s="57">
        <f>IF($X2143="","",IFERROR(VLOOKUP($X2143,'Char Popularity'!$A$2:$C$500,2,FALSE),""))</f>
        <v>4</v>
      </c>
      <c r="Z2143" s="56">
        <f>IF($X2143="",1,IFERROR(VLOOKUP($X2143,'Char Popularity'!$A$2:$C$500,3,FALSE),1))</f>
        <v>1.1000000000000001</v>
      </c>
      <c r="AA2143" s="62">
        <f>IF($H2143&lt;&gt;"Y",0,(IF($F2143&lt;&gt;"",ROUND(Dashboard!$R$4/$F2143,1),IF(AND($I2143="Base",$E2143="Base"),Dashboard!$R$5,IF(AND($I2143="Base",$E2143="Red"),Dashboard!$R$6,IF(AND($I2143="Base",$E2143="Gold"),Dashboard!$R$7,VLOOKUP($I2143,Dashboard!$Q$16:$R$21,2,FALSE)))))*VLOOKUP($I2143,Dashboard!$Q$9:$R$13,2,FALSE)*IF(AND($I2143="Auto",$F2143="",OR($B2143="Autographs Duals",$B2143="Autographs Triples",$B2143="Autographs Quads",$B2143="Autographs Quads (Inscribed)")),IF($B2143="Autographs Duals",2,IF($B2143="Autographs Triples",3,4)),1)))</f>
        <v>0</v>
      </c>
      <c r="AB2143" s="62">
        <f t="shared" si="440"/>
        <v>0</v>
      </c>
      <c r="AC2143" s="62">
        <f t="shared" si="441"/>
        <v>0</v>
      </c>
    </row>
    <row r="2144" spans="1:29" ht="30" customHeight="1" x14ac:dyDescent="0.25">
      <c r="A2144" s="4" t="s">
        <v>37</v>
      </c>
      <c r="B2144" s="7" t="s">
        <v>790</v>
      </c>
      <c r="C2144" s="2" t="s">
        <v>268</v>
      </c>
      <c r="D2144" s="7" t="s">
        <v>267</v>
      </c>
      <c r="E2144" s="4" t="s">
        <v>1602</v>
      </c>
      <c r="F2144" s="2">
        <v>1</v>
      </c>
      <c r="G2144" s="2" t="s">
        <v>1399</v>
      </c>
      <c r="H2144" s="2" t="s">
        <v>1399</v>
      </c>
      <c r="I2144" s="4" t="s">
        <v>68</v>
      </c>
      <c r="J2144" s="112">
        <f>IF($H2144&lt;&gt;"Y",0,ROUND(MIN(Dashboard!$R$24,IF(IFERROR(VLOOKUP($B2144,Dashboard!$Q$28:$S$60,2,FALSE),0)&gt;0,IFERROR(VLOOKUP($B2144,Dashboard!$Q$28:$S$60,2,FALSE),0),$Z2144*IF($U2144&lt;&gt;"",ROUND((Dashboard!$R$4/$U2144)*VLOOKUP($I2144,Dashboard!$Q$9:$R$13,2,FALSE)*IF(ISNUMBER(SEARCH("Duals",$B2144)),2,IF(ISNUMBER(SEARCH("Triples",$B2144)),3,IF(ISNUMBER(SEARCH("Quads",$B2144)),4,1))),2),ROUND(VLOOKUP($I2144,Dashboard!$Q$15:$R$20,2,FALSE)*IF($E2144="Red",Dashboard!$R$6,IF($E2144="Gold",Dashboard!$R$7,Dashboard!$R$5))*IF(ISNUMBER(SEARCH("Duals",$B2144)),2,IF(ISNUMBER(SEARCH("Triples",$B2144)),3,IF(ISNUMBER(SEARCH("Quads",$B2144)),4,1))),2))*IF(IFERROR(VLOOKUP($B2144,Dashboard!$Q$28:$S$60,3,FALSE),0)&gt;0,VLOOKUP($B2144,Dashboard!$Q$28:$S$60,3,FALSE),1))),0))</f>
        <v>0</v>
      </c>
      <c r="K2144" s="2" t="str">
        <f>IF('Autos - Singles'!H33="","",'Autos - Singles'!H33)</f>
        <v/>
      </c>
      <c r="L2144" s="2">
        <f t="shared" si="429"/>
        <v>0</v>
      </c>
      <c r="M2144" s="2">
        <f t="shared" si="430"/>
        <v>0</v>
      </c>
      <c r="N2144" s="2">
        <f t="shared" si="431"/>
        <v>0</v>
      </c>
      <c r="O2144" s="2">
        <f t="shared" si="432"/>
        <v>0</v>
      </c>
      <c r="P2144" s="112">
        <f t="shared" si="433"/>
        <v>0</v>
      </c>
      <c r="Q2144" s="112">
        <f t="shared" si="434"/>
        <v>0</v>
      </c>
      <c r="R2144" s="53"/>
      <c r="S2144" s="53" t="str">
        <f t="shared" si="435"/>
        <v>Autos - Singles|Autographs Gold Parallel|A-JU|Gold</v>
      </c>
      <c r="T2144" s="57" t="str">
        <f>IF($S2144="","",IFERROR(VLOOKUP($S2144,'Pop Estimates (Non-#d)'!$N$2:$O$500,2,FALSE),""))</f>
        <v/>
      </c>
      <c r="U2144" s="57">
        <f t="shared" si="436"/>
        <v>1</v>
      </c>
      <c r="V2144" s="53" t="str">
        <f t="shared" si="437"/>
        <v>A-Train</v>
      </c>
      <c r="W2144" s="53" t="str">
        <f t="shared" si="438"/>
        <v>A-Train</v>
      </c>
      <c r="X2144" s="53" t="str">
        <f t="shared" si="439"/>
        <v>A-Train</v>
      </c>
      <c r="Y2144" s="57">
        <f>IF($X2144="","",IFERROR(VLOOKUP($X2144,'Char Popularity'!$A$2:$C$500,2,FALSE),""))</f>
        <v>4</v>
      </c>
      <c r="Z2144" s="56">
        <f>IF($X2144="",1,IFERROR(VLOOKUP($X2144,'Char Popularity'!$A$2:$C$500,3,FALSE),1))</f>
        <v>1.1000000000000001</v>
      </c>
      <c r="AA2144" s="62">
        <f>IF($H2144&lt;&gt;"Y",0,(IF($F2144&lt;&gt;"",ROUND(Dashboard!$R$4/$F2144,1),IF(AND($I2144="Base",$E2144="Base"),Dashboard!$R$5,IF(AND($I2144="Base",$E2144="Red"),Dashboard!$R$6,IF(AND($I2144="Base",$E2144="Gold"),Dashboard!$R$7,VLOOKUP($I2144,Dashboard!$Q$16:$R$21,2,FALSE)))))*VLOOKUP($I2144,Dashboard!$Q$9:$R$13,2,FALSE)*IF(AND($I2144="Auto",$F2144="",OR($B2144="Autographs Duals",$B2144="Autographs Triples",$B2144="Autographs Quads",$B2144="Autographs Quads (Inscribed)")),IF($B2144="Autographs Duals",2,IF($B2144="Autographs Triples",3,4)),1)))</f>
        <v>0</v>
      </c>
      <c r="AB2144" s="62">
        <f t="shared" si="440"/>
        <v>0</v>
      </c>
      <c r="AC2144" s="62">
        <f t="shared" si="441"/>
        <v>0</v>
      </c>
    </row>
    <row r="2145" spans="1:29" ht="30" customHeight="1" x14ac:dyDescent="0.25">
      <c r="A2145" s="4" t="s">
        <v>37</v>
      </c>
      <c r="B2145" s="7" t="s">
        <v>790</v>
      </c>
      <c r="C2145" s="2" t="s">
        <v>269</v>
      </c>
      <c r="D2145" s="7" t="s">
        <v>270</v>
      </c>
      <c r="E2145" s="4" t="s">
        <v>1602</v>
      </c>
      <c r="F2145" s="2">
        <v>1</v>
      </c>
      <c r="G2145" s="2" t="s">
        <v>1399</v>
      </c>
      <c r="H2145" s="2" t="s">
        <v>1399</v>
      </c>
      <c r="I2145" s="4" t="s">
        <v>68</v>
      </c>
      <c r="J2145" s="112">
        <f>IF($H2145&lt;&gt;"Y",0,ROUND(MIN(Dashboard!$R$24,IF(IFERROR(VLOOKUP($B2145,Dashboard!$Q$28:$S$60,2,FALSE),0)&gt;0,IFERROR(VLOOKUP($B2145,Dashboard!$Q$28:$S$60,2,FALSE),0),$Z2145*IF($U2145&lt;&gt;"",ROUND((Dashboard!$R$4/$U2145)*VLOOKUP($I2145,Dashboard!$Q$9:$R$13,2,FALSE)*IF(ISNUMBER(SEARCH("Duals",$B2145)),2,IF(ISNUMBER(SEARCH("Triples",$B2145)),3,IF(ISNUMBER(SEARCH("Quads",$B2145)),4,1))),2),ROUND(VLOOKUP($I2145,Dashboard!$Q$15:$R$20,2,FALSE)*IF($E2145="Red",Dashboard!$R$6,IF($E2145="Gold",Dashboard!$R$7,Dashboard!$R$5))*IF(ISNUMBER(SEARCH("Duals",$B2145)),2,IF(ISNUMBER(SEARCH("Triples",$B2145)),3,IF(ISNUMBER(SEARCH("Quads",$B2145)),4,1))),2))*IF(IFERROR(VLOOKUP($B2145,Dashboard!$Q$28:$S$60,3,FALSE),0)&gt;0,VLOOKUP($B2145,Dashboard!$Q$28:$S$60,3,FALSE),1))),0))</f>
        <v>0</v>
      </c>
      <c r="K2145" s="2" t="str">
        <f>IF('Autos - Singles'!H34="","",'Autos - Singles'!H34)</f>
        <v/>
      </c>
      <c r="L2145" s="2">
        <f t="shared" si="429"/>
        <v>0</v>
      </c>
      <c r="M2145" s="2">
        <f t="shared" si="430"/>
        <v>0</v>
      </c>
      <c r="N2145" s="2">
        <f t="shared" si="431"/>
        <v>0</v>
      </c>
      <c r="O2145" s="2">
        <f t="shared" si="432"/>
        <v>0</v>
      </c>
      <c r="P2145" s="112">
        <f t="shared" si="433"/>
        <v>0</v>
      </c>
      <c r="Q2145" s="112">
        <f t="shared" si="434"/>
        <v>0</v>
      </c>
      <c r="R2145" s="53"/>
      <c r="S2145" s="53" t="str">
        <f t="shared" si="435"/>
        <v>Autos - Singles|Autographs Gold Parallel|A-KF|Gold</v>
      </c>
      <c r="T2145" s="57" t="str">
        <f>IF($S2145="","",IFERROR(VLOOKUP($S2145,'Pop Estimates (Non-#d)'!$N$2:$O$500,2,FALSE),""))</f>
        <v/>
      </c>
      <c r="U2145" s="57">
        <f t="shared" si="436"/>
        <v>1</v>
      </c>
      <c r="V2145" s="53" t="str">
        <f t="shared" si="437"/>
        <v>Kimiko</v>
      </c>
      <c r="W2145" s="53" t="str">
        <f t="shared" si="438"/>
        <v>Kimiko</v>
      </c>
      <c r="X2145" s="53" t="str">
        <f t="shared" si="439"/>
        <v>Kimiko</v>
      </c>
      <c r="Y2145" s="57">
        <f>IF($X2145="","",IFERROR(VLOOKUP($X2145,'Char Popularity'!$A$2:$C$500,2,FALSE),""))</f>
        <v>4</v>
      </c>
      <c r="Z2145" s="56">
        <f>IF($X2145="",1,IFERROR(VLOOKUP($X2145,'Char Popularity'!$A$2:$C$500,3,FALSE),1))</f>
        <v>1.1000000000000001</v>
      </c>
      <c r="AA2145" s="62">
        <f>IF($H2145&lt;&gt;"Y",0,(IF($F2145&lt;&gt;"",ROUND(Dashboard!$R$4/$F2145,1),IF(AND($I2145="Base",$E2145="Base"),Dashboard!$R$5,IF(AND($I2145="Base",$E2145="Red"),Dashboard!$R$6,IF(AND($I2145="Base",$E2145="Gold"),Dashboard!$R$7,VLOOKUP($I2145,Dashboard!$Q$16:$R$21,2,FALSE)))))*VLOOKUP($I2145,Dashboard!$Q$9:$R$13,2,FALSE)*IF(AND($I2145="Auto",$F2145="",OR($B2145="Autographs Duals",$B2145="Autographs Triples",$B2145="Autographs Quads",$B2145="Autographs Quads (Inscribed)")),IF($B2145="Autographs Duals",2,IF($B2145="Autographs Triples",3,4)),1)))</f>
        <v>0</v>
      </c>
      <c r="AB2145" s="62">
        <f t="shared" si="440"/>
        <v>0</v>
      </c>
      <c r="AC2145" s="62">
        <f t="shared" si="441"/>
        <v>0</v>
      </c>
    </row>
    <row r="2146" spans="1:29" ht="30" customHeight="1" x14ac:dyDescent="0.25">
      <c r="A2146" s="4" t="s">
        <v>37</v>
      </c>
      <c r="B2146" s="7" t="s">
        <v>790</v>
      </c>
      <c r="C2146" s="2" t="s">
        <v>271</v>
      </c>
      <c r="D2146" s="7" t="s">
        <v>270</v>
      </c>
      <c r="E2146" s="4" t="s">
        <v>1602</v>
      </c>
      <c r="F2146" s="2">
        <v>1</v>
      </c>
      <c r="G2146" s="2" t="s">
        <v>1399</v>
      </c>
      <c r="H2146" s="2" t="s">
        <v>1399</v>
      </c>
      <c r="I2146" s="4" t="s">
        <v>68</v>
      </c>
      <c r="J2146" s="112">
        <f>IF($H2146&lt;&gt;"Y",0,ROUND(MIN(Dashboard!$R$24,IF(IFERROR(VLOOKUP($B2146,Dashboard!$Q$28:$S$60,2,FALSE),0)&gt;0,IFERROR(VLOOKUP($B2146,Dashboard!$Q$28:$S$60,2,FALSE),0),$Z2146*IF($U2146&lt;&gt;"",ROUND((Dashboard!$R$4/$U2146)*VLOOKUP($I2146,Dashboard!$Q$9:$R$13,2,FALSE)*IF(ISNUMBER(SEARCH("Duals",$B2146)),2,IF(ISNUMBER(SEARCH("Triples",$B2146)),3,IF(ISNUMBER(SEARCH("Quads",$B2146)),4,1))),2),ROUND(VLOOKUP($I2146,Dashboard!$Q$15:$R$20,2,FALSE)*IF($E2146="Red",Dashboard!$R$6,IF($E2146="Gold",Dashboard!$R$7,Dashboard!$R$5))*IF(ISNUMBER(SEARCH("Duals",$B2146)),2,IF(ISNUMBER(SEARCH("Triples",$B2146)),3,IF(ISNUMBER(SEARCH("Quads",$B2146)),4,1))),2))*IF(IFERROR(VLOOKUP($B2146,Dashboard!$Q$28:$S$60,3,FALSE),0)&gt;0,VLOOKUP($B2146,Dashboard!$Q$28:$S$60,3,FALSE),1))),0))</f>
        <v>0</v>
      </c>
      <c r="K2146" s="2" t="str">
        <f>IF('Autos - Singles'!H35="","",'Autos - Singles'!H35)</f>
        <v/>
      </c>
      <c r="L2146" s="2">
        <f t="shared" si="429"/>
        <v>0</v>
      </c>
      <c r="M2146" s="2">
        <f t="shared" si="430"/>
        <v>0</v>
      </c>
      <c r="N2146" s="2">
        <f t="shared" si="431"/>
        <v>0</v>
      </c>
      <c r="O2146" s="2">
        <f t="shared" si="432"/>
        <v>0</v>
      </c>
      <c r="P2146" s="112">
        <f t="shared" si="433"/>
        <v>0</v>
      </c>
      <c r="Q2146" s="112">
        <f t="shared" si="434"/>
        <v>0</v>
      </c>
      <c r="R2146" s="53"/>
      <c r="S2146" s="53" t="str">
        <f t="shared" si="435"/>
        <v>Autos - Singles|Autographs Gold Parallel|A-KK|Gold</v>
      </c>
      <c r="T2146" s="57" t="str">
        <f>IF($S2146="","",IFERROR(VLOOKUP($S2146,'Pop Estimates (Non-#d)'!$N$2:$O$500,2,FALSE),""))</f>
        <v/>
      </c>
      <c r="U2146" s="57">
        <f t="shared" si="436"/>
        <v>1</v>
      </c>
      <c r="V2146" s="53" t="str">
        <f t="shared" si="437"/>
        <v>Kimiko</v>
      </c>
      <c r="W2146" s="53" t="str">
        <f t="shared" si="438"/>
        <v>Kimiko</v>
      </c>
      <c r="X2146" s="53" t="str">
        <f t="shared" si="439"/>
        <v>Kimiko</v>
      </c>
      <c r="Y2146" s="57">
        <f>IF($X2146="","",IFERROR(VLOOKUP($X2146,'Char Popularity'!$A$2:$C$500,2,FALSE),""))</f>
        <v>4</v>
      </c>
      <c r="Z2146" s="56">
        <f>IF($X2146="",1,IFERROR(VLOOKUP($X2146,'Char Popularity'!$A$2:$C$500,3,FALSE),1))</f>
        <v>1.1000000000000001</v>
      </c>
      <c r="AA2146" s="62">
        <f>IF($H2146&lt;&gt;"Y",0,(IF($F2146&lt;&gt;"",ROUND(Dashboard!$R$4/$F2146,1),IF(AND($I2146="Base",$E2146="Base"),Dashboard!$R$5,IF(AND($I2146="Base",$E2146="Red"),Dashboard!$R$6,IF(AND($I2146="Base",$E2146="Gold"),Dashboard!$R$7,VLOOKUP($I2146,Dashboard!$Q$16:$R$21,2,FALSE)))))*VLOOKUP($I2146,Dashboard!$Q$9:$R$13,2,FALSE)*IF(AND($I2146="Auto",$F2146="",OR($B2146="Autographs Duals",$B2146="Autographs Triples",$B2146="Autographs Quads",$B2146="Autographs Quads (Inscribed)")),IF($B2146="Autographs Duals",2,IF($B2146="Autographs Triples",3,4)),1)))</f>
        <v>0</v>
      </c>
      <c r="AB2146" s="62">
        <f t="shared" si="440"/>
        <v>0</v>
      </c>
      <c r="AC2146" s="62">
        <f t="shared" si="441"/>
        <v>0</v>
      </c>
    </row>
    <row r="2147" spans="1:29" ht="30" customHeight="1" x14ac:dyDescent="0.25">
      <c r="A2147" s="4" t="s">
        <v>37</v>
      </c>
      <c r="B2147" s="7" t="s">
        <v>790</v>
      </c>
      <c r="C2147" s="2" t="s">
        <v>272</v>
      </c>
      <c r="D2147" s="7" t="s">
        <v>270</v>
      </c>
      <c r="E2147" s="4" t="s">
        <v>1602</v>
      </c>
      <c r="F2147" s="2">
        <v>1</v>
      </c>
      <c r="G2147" s="2" t="s">
        <v>1399</v>
      </c>
      <c r="H2147" s="2" t="s">
        <v>1399</v>
      </c>
      <c r="I2147" s="4" t="s">
        <v>68</v>
      </c>
      <c r="J2147" s="112">
        <f>IF($H2147&lt;&gt;"Y",0,ROUND(MIN(Dashboard!$R$24,IF(IFERROR(VLOOKUP($B2147,Dashboard!$Q$28:$S$60,2,FALSE),0)&gt;0,IFERROR(VLOOKUP($B2147,Dashboard!$Q$28:$S$60,2,FALSE),0),$Z2147*IF($U2147&lt;&gt;"",ROUND((Dashboard!$R$4/$U2147)*VLOOKUP($I2147,Dashboard!$Q$9:$R$13,2,FALSE)*IF(ISNUMBER(SEARCH("Duals",$B2147)),2,IF(ISNUMBER(SEARCH("Triples",$B2147)),3,IF(ISNUMBER(SEARCH("Quads",$B2147)),4,1))),2),ROUND(VLOOKUP($I2147,Dashboard!$Q$15:$R$20,2,FALSE)*IF($E2147="Red",Dashboard!$R$6,IF($E2147="Gold",Dashboard!$R$7,Dashboard!$R$5))*IF(ISNUMBER(SEARCH("Duals",$B2147)),2,IF(ISNUMBER(SEARCH("Triples",$B2147)),3,IF(ISNUMBER(SEARCH("Quads",$B2147)),4,1))),2))*IF(IFERROR(VLOOKUP($B2147,Dashboard!$Q$28:$S$60,3,FALSE),0)&gt;0,VLOOKUP($B2147,Dashboard!$Q$28:$S$60,3,FALSE),1))),0))</f>
        <v>0</v>
      </c>
      <c r="K2147" s="2" t="str">
        <f>IF('Autos - Singles'!H36="","",'Autos - Singles'!H36)</f>
        <v/>
      </c>
      <c r="L2147" s="2">
        <f t="shared" si="429"/>
        <v>0</v>
      </c>
      <c r="M2147" s="2">
        <f t="shared" si="430"/>
        <v>0</v>
      </c>
      <c r="N2147" s="2">
        <f t="shared" si="431"/>
        <v>0</v>
      </c>
      <c r="O2147" s="2">
        <f t="shared" si="432"/>
        <v>0</v>
      </c>
      <c r="P2147" s="112">
        <f t="shared" si="433"/>
        <v>0</v>
      </c>
      <c r="Q2147" s="112">
        <f t="shared" si="434"/>
        <v>0</v>
      </c>
      <c r="R2147" s="53"/>
      <c r="S2147" s="53" t="str">
        <f t="shared" si="435"/>
        <v>Autos - Singles|Autographs Gold Parallel|A-KR|Gold</v>
      </c>
      <c r="T2147" s="57" t="str">
        <f>IF($S2147="","",IFERROR(VLOOKUP($S2147,'Pop Estimates (Non-#d)'!$N$2:$O$500,2,FALSE),""))</f>
        <v/>
      </c>
      <c r="U2147" s="57">
        <f t="shared" si="436"/>
        <v>1</v>
      </c>
      <c r="V2147" s="53" t="str">
        <f t="shared" si="437"/>
        <v>Kimiko</v>
      </c>
      <c r="W2147" s="53" t="str">
        <f t="shared" si="438"/>
        <v>Kimiko</v>
      </c>
      <c r="X2147" s="53" t="str">
        <f t="shared" si="439"/>
        <v>Kimiko</v>
      </c>
      <c r="Y2147" s="57">
        <f>IF($X2147="","",IFERROR(VLOOKUP($X2147,'Char Popularity'!$A$2:$C$500,2,FALSE),""))</f>
        <v>4</v>
      </c>
      <c r="Z2147" s="56">
        <f>IF($X2147="",1,IFERROR(VLOOKUP($X2147,'Char Popularity'!$A$2:$C$500,3,FALSE),1))</f>
        <v>1.1000000000000001</v>
      </c>
      <c r="AA2147" s="62">
        <f>IF($H2147&lt;&gt;"Y",0,(IF($F2147&lt;&gt;"",ROUND(Dashboard!$R$4/$F2147,1),IF(AND($I2147="Base",$E2147="Base"),Dashboard!$R$5,IF(AND($I2147="Base",$E2147="Red"),Dashboard!$R$6,IF(AND($I2147="Base",$E2147="Gold"),Dashboard!$R$7,VLOOKUP($I2147,Dashboard!$Q$16:$R$21,2,FALSE)))))*VLOOKUP($I2147,Dashboard!$Q$9:$R$13,2,FALSE)*IF(AND($I2147="Auto",$F2147="",OR($B2147="Autographs Duals",$B2147="Autographs Triples",$B2147="Autographs Quads",$B2147="Autographs Quads (Inscribed)")),IF($B2147="Autographs Duals",2,IF($B2147="Autographs Triples",3,4)),1)))</f>
        <v>0</v>
      </c>
      <c r="AB2147" s="62">
        <f t="shared" si="440"/>
        <v>0</v>
      </c>
      <c r="AC2147" s="62">
        <f t="shared" si="441"/>
        <v>0</v>
      </c>
    </row>
    <row r="2148" spans="1:29" ht="30" customHeight="1" x14ac:dyDescent="0.25">
      <c r="A2148" s="4" t="s">
        <v>37</v>
      </c>
      <c r="B2148" s="7" t="s">
        <v>790</v>
      </c>
      <c r="C2148" s="2" t="s">
        <v>275</v>
      </c>
      <c r="D2148" s="7" t="s">
        <v>276</v>
      </c>
      <c r="E2148" s="4" t="s">
        <v>1602</v>
      </c>
      <c r="F2148" s="2">
        <v>1</v>
      </c>
      <c r="G2148" s="2" t="s">
        <v>1399</v>
      </c>
      <c r="H2148" s="2" t="s">
        <v>1399</v>
      </c>
      <c r="I2148" s="4" t="s">
        <v>68</v>
      </c>
      <c r="J2148" s="112">
        <f>IF($H2148&lt;&gt;"Y",0,ROUND(MIN(Dashboard!$R$24,IF(IFERROR(VLOOKUP($B2148,Dashboard!$Q$28:$S$60,2,FALSE),0)&gt;0,IFERROR(VLOOKUP($B2148,Dashboard!$Q$28:$S$60,2,FALSE),0),$Z2148*IF($U2148&lt;&gt;"",ROUND((Dashboard!$R$4/$U2148)*VLOOKUP($I2148,Dashboard!$Q$9:$R$13,2,FALSE)*IF(ISNUMBER(SEARCH("Duals",$B2148)),2,IF(ISNUMBER(SEARCH("Triples",$B2148)),3,IF(ISNUMBER(SEARCH("Quads",$B2148)),4,1))),2),ROUND(VLOOKUP($I2148,Dashboard!$Q$15:$R$20,2,FALSE)*IF($E2148="Red",Dashboard!$R$6,IF($E2148="Gold",Dashboard!$R$7,Dashboard!$R$5))*IF(ISNUMBER(SEARCH("Duals",$B2148)),2,IF(ISNUMBER(SEARCH("Triples",$B2148)),3,IF(ISNUMBER(SEARCH("Quads",$B2148)),4,1))),2))*IF(IFERROR(VLOOKUP($B2148,Dashboard!$Q$28:$S$60,3,FALSE),0)&gt;0,VLOOKUP($B2148,Dashboard!$Q$28:$S$60,3,FALSE),1))),0))</f>
        <v>0</v>
      </c>
      <c r="K2148" s="2" t="str">
        <f>IF('Autos - Singles'!H38="","",'Autos - Singles'!H38)</f>
        <v/>
      </c>
      <c r="L2148" s="2">
        <f t="shared" si="429"/>
        <v>0</v>
      </c>
      <c r="M2148" s="2">
        <f t="shared" si="430"/>
        <v>0</v>
      </c>
      <c r="N2148" s="2">
        <f t="shared" si="431"/>
        <v>0</v>
      </c>
      <c r="O2148" s="2">
        <f t="shared" si="432"/>
        <v>0</v>
      </c>
      <c r="P2148" s="112">
        <f t="shared" si="433"/>
        <v>0</v>
      </c>
      <c r="Q2148" s="112">
        <f t="shared" si="434"/>
        <v>0</v>
      </c>
      <c r="R2148" s="53"/>
      <c r="S2148" s="53" t="str">
        <f t="shared" si="435"/>
        <v>Autos - Singles|Autographs Gold Parallel|A-LA|Gold</v>
      </c>
      <c r="T2148" s="57" t="str">
        <f>IF($S2148="","",IFERROR(VLOOKUP($S2148,'Pop Estimates (Non-#d)'!$N$2:$O$500,2,FALSE),""))</f>
        <v/>
      </c>
      <c r="U2148" s="57">
        <f t="shared" si="436"/>
        <v>1</v>
      </c>
      <c r="V2148" s="53" t="str">
        <f t="shared" si="437"/>
        <v>Mother's Milk</v>
      </c>
      <c r="W2148" s="53" t="str">
        <f t="shared" si="438"/>
        <v>Mother's Milk</v>
      </c>
      <c r="X2148" s="53" t="str">
        <f t="shared" si="439"/>
        <v>Mother's Milk</v>
      </c>
      <c r="Y2148" s="57">
        <f>IF($X2148="","",IFERROR(VLOOKUP($X2148,'Char Popularity'!$A$2:$C$500,2,FALSE),""))</f>
        <v>4</v>
      </c>
      <c r="Z2148" s="56">
        <f>IF($X2148="",1,IFERROR(VLOOKUP($X2148,'Char Popularity'!$A$2:$C$500,3,FALSE),1))</f>
        <v>1.1000000000000001</v>
      </c>
      <c r="AA2148" s="62">
        <f>IF($H2148&lt;&gt;"Y",0,(IF($F2148&lt;&gt;"",ROUND(Dashboard!$R$4/$F2148,1),IF(AND($I2148="Base",$E2148="Base"),Dashboard!$R$5,IF(AND($I2148="Base",$E2148="Red"),Dashboard!$R$6,IF(AND($I2148="Base",$E2148="Gold"),Dashboard!$R$7,VLOOKUP($I2148,Dashboard!$Q$16:$R$21,2,FALSE)))))*VLOOKUP($I2148,Dashboard!$Q$9:$R$13,2,FALSE)*IF(AND($I2148="Auto",$F2148="",OR($B2148="Autographs Duals",$B2148="Autographs Triples",$B2148="Autographs Quads",$B2148="Autographs Quads (Inscribed)")),IF($B2148="Autographs Duals",2,IF($B2148="Autographs Triples",3,4)),1)))</f>
        <v>0</v>
      </c>
      <c r="AB2148" s="62">
        <f t="shared" si="440"/>
        <v>0</v>
      </c>
      <c r="AC2148" s="62">
        <f t="shared" si="441"/>
        <v>0</v>
      </c>
    </row>
    <row r="2149" spans="1:29" ht="30" customHeight="1" x14ac:dyDescent="0.25">
      <c r="A2149" s="4" t="s">
        <v>37</v>
      </c>
      <c r="B2149" s="7" t="s">
        <v>790</v>
      </c>
      <c r="C2149" s="2" t="s">
        <v>277</v>
      </c>
      <c r="D2149" s="7" t="s">
        <v>260</v>
      </c>
      <c r="E2149" s="4" t="s">
        <v>1602</v>
      </c>
      <c r="F2149" s="2">
        <v>1</v>
      </c>
      <c r="G2149" s="2" t="s">
        <v>1399</v>
      </c>
      <c r="H2149" s="2" t="s">
        <v>1399</v>
      </c>
      <c r="I2149" s="4" t="s">
        <v>68</v>
      </c>
      <c r="J2149" s="112">
        <f>IF($H2149&lt;&gt;"Y",0,ROUND(MIN(Dashboard!$R$24,IF(IFERROR(VLOOKUP($B2149,Dashboard!$Q$28:$S$60,2,FALSE),0)&gt;0,IFERROR(VLOOKUP($B2149,Dashboard!$Q$28:$S$60,2,FALSE),0),$Z2149*IF($U2149&lt;&gt;"",ROUND((Dashboard!$R$4/$U2149)*VLOOKUP($I2149,Dashboard!$Q$9:$R$13,2,FALSE)*IF(ISNUMBER(SEARCH("Duals",$B2149)),2,IF(ISNUMBER(SEARCH("Triples",$B2149)),3,IF(ISNUMBER(SEARCH("Quads",$B2149)),4,1))),2),ROUND(VLOOKUP($I2149,Dashboard!$Q$15:$R$20,2,FALSE)*IF($E2149="Red",Dashboard!$R$6,IF($E2149="Gold",Dashboard!$R$7,Dashboard!$R$5))*IF(ISNUMBER(SEARCH("Duals",$B2149)),2,IF(ISNUMBER(SEARCH("Triples",$B2149)),3,IF(ISNUMBER(SEARCH("Quads",$B2149)),4,1))),2))*IF(IFERROR(VLOOKUP($B2149,Dashboard!$Q$28:$S$60,3,FALSE),0)&gt;0,VLOOKUP($B2149,Dashboard!$Q$28:$S$60,3,FALSE),1))),0))</f>
        <v>0</v>
      </c>
      <c r="K2149" s="2" t="str">
        <f>IF('Autos - Singles'!H39="","",'Autos - Singles'!H39)</f>
        <v/>
      </c>
      <c r="L2149" s="2">
        <f t="shared" si="429"/>
        <v>0</v>
      </c>
      <c r="M2149" s="2">
        <f t="shared" si="430"/>
        <v>0</v>
      </c>
      <c r="N2149" s="2">
        <f t="shared" si="431"/>
        <v>0</v>
      </c>
      <c r="O2149" s="2">
        <f t="shared" si="432"/>
        <v>0</v>
      </c>
      <c r="P2149" s="112">
        <f t="shared" si="433"/>
        <v>0</v>
      </c>
      <c r="Q2149" s="112">
        <f t="shared" si="434"/>
        <v>0</v>
      </c>
      <c r="R2149" s="53"/>
      <c r="S2149" s="53" t="str">
        <f t="shared" si="435"/>
        <v>Autos - Singles|Autographs Gold Parallel|A-LJ|Gold</v>
      </c>
      <c r="T2149" s="57" t="str">
        <f>IF($S2149="","",IFERROR(VLOOKUP($S2149,'Pop Estimates (Non-#d)'!$N$2:$O$500,2,FALSE),""))</f>
        <v/>
      </c>
      <c r="U2149" s="57">
        <f t="shared" si="436"/>
        <v>1</v>
      </c>
      <c r="V2149" s="53" t="str">
        <f t="shared" si="437"/>
        <v>Cherie</v>
      </c>
      <c r="W2149" s="53" t="str">
        <f t="shared" si="438"/>
        <v>Cherie</v>
      </c>
      <c r="X2149" s="53" t="str">
        <f t="shared" si="439"/>
        <v>Cherie</v>
      </c>
      <c r="Y2149" s="57">
        <f>IF($X2149="","",IFERROR(VLOOKUP($X2149,'Char Popularity'!$A$2:$C$500,2,FALSE),""))</f>
        <v>3</v>
      </c>
      <c r="Z2149" s="56">
        <f>IF($X2149="",1,IFERROR(VLOOKUP($X2149,'Char Popularity'!$A$2:$C$500,3,FALSE),1))</f>
        <v>1</v>
      </c>
      <c r="AA2149" s="62">
        <f>IF($H2149&lt;&gt;"Y",0,(IF($F2149&lt;&gt;"",ROUND(Dashboard!$R$4/$F2149,1),IF(AND($I2149="Base",$E2149="Base"),Dashboard!$R$5,IF(AND($I2149="Base",$E2149="Red"),Dashboard!$R$6,IF(AND($I2149="Base",$E2149="Gold"),Dashboard!$R$7,VLOOKUP($I2149,Dashboard!$Q$16:$R$21,2,FALSE)))))*VLOOKUP($I2149,Dashboard!$Q$9:$R$13,2,FALSE)*IF(AND($I2149="Auto",$F2149="",OR($B2149="Autographs Duals",$B2149="Autographs Triples",$B2149="Autographs Quads",$B2149="Autographs Quads (Inscribed)")),IF($B2149="Autographs Duals",2,IF($B2149="Autographs Triples",3,4)),1)))</f>
        <v>0</v>
      </c>
      <c r="AB2149" s="62">
        <f t="shared" si="440"/>
        <v>0</v>
      </c>
      <c r="AC2149" s="62">
        <f t="shared" si="441"/>
        <v>0</v>
      </c>
    </row>
    <row r="2150" spans="1:29" ht="30" customHeight="1" x14ac:dyDescent="0.25">
      <c r="A2150" s="4" t="s">
        <v>37</v>
      </c>
      <c r="B2150" s="7" t="s">
        <v>790</v>
      </c>
      <c r="C2150" s="2" t="s">
        <v>278</v>
      </c>
      <c r="D2150" s="7" t="s">
        <v>216</v>
      </c>
      <c r="E2150" s="4" t="s">
        <v>1602</v>
      </c>
      <c r="F2150" s="2">
        <v>1</v>
      </c>
      <c r="G2150" s="2" t="s">
        <v>1399</v>
      </c>
      <c r="H2150" s="2" t="s">
        <v>1399</v>
      </c>
      <c r="I2150" s="4" t="s">
        <v>68</v>
      </c>
      <c r="J2150" s="112">
        <f>IF($H2150&lt;&gt;"Y",0,ROUND(MIN(Dashboard!$R$24,IF(IFERROR(VLOOKUP($B2150,Dashboard!$Q$28:$S$60,2,FALSE),0)&gt;0,IFERROR(VLOOKUP($B2150,Dashboard!$Q$28:$S$60,2,FALSE),0),$Z2150*IF($U2150&lt;&gt;"",ROUND((Dashboard!$R$4/$U2150)*VLOOKUP($I2150,Dashboard!$Q$9:$R$13,2,FALSE)*IF(ISNUMBER(SEARCH("Duals",$B2150)),2,IF(ISNUMBER(SEARCH("Triples",$B2150)),3,IF(ISNUMBER(SEARCH("Quads",$B2150)),4,1))),2),ROUND(VLOOKUP($I2150,Dashboard!$Q$15:$R$20,2,FALSE)*IF($E2150="Red",Dashboard!$R$6,IF($E2150="Gold",Dashboard!$R$7,Dashboard!$R$5))*IF(ISNUMBER(SEARCH("Duals",$B2150)),2,IF(ISNUMBER(SEARCH("Triples",$B2150)),3,IF(ISNUMBER(SEARCH("Quads",$B2150)),4,1))),2))*IF(IFERROR(VLOOKUP($B2150,Dashboard!$Q$28:$S$60,3,FALSE),0)&gt;0,VLOOKUP($B2150,Dashboard!$Q$28:$S$60,3,FALSE),1))),0))</f>
        <v>0</v>
      </c>
      <c r="K2150" s="2" t="str">
        <f>IF('Autos - Singles'!H40="","",'Autos - Singles'!H40)</f>
        <v/>
      </c>
      <c r="L2150" s="2">
        <f t="shared" si="429"/>
        <v>0</v>
      </c>
      <c r="M2150" s="2">
        <f t="shared" si="430"/>
        <v>0</v>
      </c>
      <c r="N2150" s="2">
        <f t="shared" si="431"/>
        <v>0</v>
      </c>
      <c r="O2150" s="2">
        <f t="shared" si="432"/>
        <v>0</v>
      </c>
      <c r="P2150" s="112">
        <f t="shared" si="433"/>
        <v>0</v>
      </c>
      <c r="Q2150" s="112">
        <f t="shared" si="434"/>
        <v>0</v>
      </c>
      <c r="R2150" s="53"/>
      <c r="S2150" s="53" t="str">
        <f t="shared" si="435"/>
        <v>Autos - Singles|Autographs Gold Parallel|A-LL|Gold</v>
      </c>
      <c r="T2150" s="57" t="str">
        <f>IF($S2150="","",IFERROR(VLOOKUP($S2150,'Pop Estimates (Non-#d)'!$N$2:$O$500,2,FALSE),""))</f>
        <v/>
      </c>
      <c r="U2150" s="57">
        <f t="shared" si="436"/>
        <v>1</v>
      </c>
      <c r="V2150" s="53" t="str">
        <f t="shared" si="437"/>
        <v>Translucent</v>
      </c>
      <c r="W2150" s="53" t="str">
        <f t="shared" si="438"/>
        <v>Translucent</v>
      </c>
      <c r="X2150" s="53" t="str">
        <f t="shared" si="439"/>
        <v>Translucent</v>
      </c>
      <c r="Y2150" s="57">
        <f>IF($X2150="","",IFERROR(VLOOKUP($X2150,'Char Popularity'!$A$2:$C$500,2,FALSE),""))</f>
        <v>2</v>
      </c>
      <c r="Z2150" s="56">
        <f>IF($X2150="",1,IFERROR(VLOOKUP($X2150,'Char Popularity'!$A$2:$C$500,3,FALSE),1))</f>
        <v>0.9</v>
      </c>
      <c r="AA2150" s="62">
        <f>IF($H2150&lt;&gt;"Y",0,(IF($F2150&lt;&gt;"",ROUND(Dashboard!$R$4/$F2150,1),IF(AND($I2150="Base",$E2150="Base"),Dashboard!$R$5,IF(AND($I2150="Base",$E2150="Red"),Dashboard!$R$6,IF(AND($I2150="Base",$E2150="Gold"),Dashboard!$R$7,VLOOKUP($I2150,Dashboard!$Q$16:$R$21,2,FALSE)))))*VLOOKUP($I2150,Dashboard!$Q$9:$R$13,2,FALSE)*IF(AND($I2150="Auto",$F2150="",OR($B2150="Autographs Duals",$B2150="Autographs Triples",$B2150="Autographs Quads",$B2150="Autographs Quads (Inscribed)")),IF($B2150="Autographs Duals",2,IF($B2150="Autographs Triples",3,4)),1)))</f>
        <v>0</v>
      </c>
      <c r="AB2150" s="62">
        <f t="shared" si="440"/>
        <v>0</v>
      </c>
      <c r="AC2150" s="62">
        <f t="shared" si="441"/>
        <v>0</v>
      </c>
    </row>
    <row r="2151" spans="1:29" ht="30" customHeight="1" x14ac:dyDescent="0.25">
      <c r="A2151" s="4" t="s">
        <v>37</v>
      </c>
      <c r="B2151" s="7" t="s">
        <v>790</v>
      </c>
      <c r="C2151" s="2" t="s">
        <v>279</v>
      </c>
      <c r="D2151" s="7" t="s">
        <v>280</v>
      </c>
      <c r="E2151" s="4" t="s">
        <v>1602</v>
      </c>
      <c r="F2151" s="2">
        <v>1</v>
      </c>
      <c r="G2151" s="2" t="s">
        <v>1399</v>
      </c>
      <c r="H2151" s="2" t="s">
        <v>1399</v>
      </c>
      <c r="I2151" s="4" t="s">
        <v>68</v>
      </c>
      <c r="J2151" s="112">
        <f>IF($H2151&lt;&gt;"Y",0,ROUND(MIN(Dashboard!$R$24,IF(IFERROR(VLOOKUP($B2151,Dashboard!$Q$28:$S$60,2,FALSE),0)&gt;0,IFERROR(VLOOKUP($B2151,Dashboard!$Q$28:$S$60,2,FALSE),0),$Z2151*IF($U2151&lt;&gt;"",ROUND((Dashboard!$R$4/$U2151)*VLOOKUP($I2151,Dashboard!$Q$9:$R$13,2,FALSE)*IF(ISNUMBER(SEARCH("Duals",$B2151)),2,IF(ISNUMBER(SEARCH("Triples",$B2151)),3,IF(ISNUMBER(SEARCH("Quads",$B2151)),4,1))),2),ROUND(VLOOKUP($I2151,Dashboard!$Q$15:$R$20,2,FALSE)*IF($E2151="Red",Dashboard!$R$6,IF($E2151="Gold",Dashboard!$R$7,Dashboard!$R$5))*IF(ISNUMBER(SEARCH("Duals",$B2151)),2,IF(ISNUMBER(SEARCH("Triples",$B2151)),3,IF(ISNUMBER(SEARCH("Quads",$B2151)),4,1))),2))*IF(IFERROR(VLOOKUP($B2151,Dashboard!$Q$28:$S$60,3,FALSE),0)&gt;0,VLOOKUP($B2151,Dashboard!$Q$28:$S$60,3,FALSE),1))),0))</f>
        <v>0</v>
      </c>
      <c r="K2151" s="2" t="str">
        <f>IF('Autos - Singles'!H41="","",'Autos - Singles'!H41)</f>
        <v/>
      </c>
      <c r="L2151" s="2">
        <f t="shared" si="429"/>
        <v>0</v>
      </c>
      <c r="M2151" s="2">
        <f t="shared" si="430"/>
        <v>0</v>
      </c>
      <c r="N2151" s="2">
        <f t="shared" si="431"/>
        <v>0</v>
      </c>
      <c r="O2151" s="2">
        <f t="shared" si="432"/>
        <v>0</v>
      </c>
      <c r="P2151" s="112">
        <f t="shared" si="433"/>
        <v>0</v>
      </c>
      <c r="Q2151" s="112">
        <f t="shared" si="434"/>
        <v>0</v>
      </c>
      <c r="R2151" s="53"/>
      <c r="S2151" s="53" t="str">
        <f t="shared" si="435"/>
        <v>Autos - Singles|Autographs Gold Parallel|A-LR|Gold</v>
      </c>
      <c r="T2151" s="57" t="str">
        <f>IF($S2151="","",IFERROR(VLOOKUP($S2151,'Pop Estimates (Non-#d)'!$N$2:$O$500,2,FALSE),""))</f>
        <v/>
      </c>
      <c r="U2151" s="57">
        <f t="shared" si="436"/>
        <v>1</v>
      </c>
      <c r="V2151" s="53" t="str">
        <f t="shared" si="437"/>
        <v>Grace Mallory</v>
      </c>
      <c r="W2151" s="53" t="str">
        <f t="shared" si="438"/>
        <v>Grace Mallory</v>
      </c>
      <c r="X2151" s="53" t="str">
        <f t="shared" si="439"/>
        <v>Grace Mallory</v>
      </c>
      <c r="Y2151" s="57">
        <f>IF($X2151="","",IFERROR(VLOOKUP($X2151,'Char Popularity'!$A$2:$C$500,2,FALSE),""))</f>
        <v>4</v>
      </c>
      <c r="Z2151" s="56">
        <f>IF($X2151="",1,IFERROR(VLOOKUP($X2151,'Char Popularity'!$A$2:$C$500,3,FALSE),1))</f>
        <v>1.1000000000000001</v>
      </c>
      <c r="AA2151" s="62">
        <f>IF($H2151&lt;&gt;"Y",0,(IF($F2151&lt;&gt;"",ROUND(Dashboard!$R$4/$F2151,1),IF(AND($I2151="Base",$E2151="Base"),Dashboard!$R$5,IF(AND($I2151="Base",$E2151="Red"),Dashboard!$R$6,IF(AND($I2151="Base",$E2151="Gold"),Dashboard!$R$7,VLOOKUP($I2151,Dashboard!$Q$16:$R$21,2,FALSE)))))*VLOOKUP($I2151,Dashboard!$Q$9:$R$13,2,FALSE)*IF(AND($I2151="Auto",$F2151="",OR($B2151="Autographs Duals",$B2151="Autographs Triples",$B2151="Autographs Quads",$B2151="Autographs Quads (Inscribed)")),IF($B2151="Autographs Duals",2,IF($B2151="Autographs Triples",3,4)),1)))</f>
        <v>0</v>
      </c>
      <c r="AB2151" s="62">
        <f t="shared" si="440"/>
        <v>0</v>
      </c>
      <c r="AC2151" s="62">
        <f t="shared" si="441"/>
        <v>0</v>
      </c>
    </row>
    <row r="2152" spans="1:29" ht="30" customHeight="1" x14ac:dyDescent="0.25">
      <c r="A2152" s="4" t="s">
        <v>37</v>
      </c>
      <c r="B2152" s="7" t="s">
        <v>790</v>
      </c>
      <c r="C2152" s="2" t="s">
        <v>281</v>
      </c>
      <c r="D2152" s="7" t="s">
        <v>276</v>
      </c>
      <c r="E2152" s="4" t="s">
        <v>1602</v>
      </c>
      <c r="F2152" s="2">
        <v>1</v>
      </c>
      <c r="G2152" s="2" t="s">
        <v>1399</v>
      </c>
      <c r="H2152" s="2" t="s">
        <v>1399</v>
      </c>
      <c r="I2152" s="4" t="s">
        <v>68</v>
      </c>
      <c r="J2152" s="112">
        <f>IF($H2152&lt;&gt;"Y",0,ROUND(MIN(Dashboard!$R$24,IF(IFERROR(VLOOKUP($B2152,Dashboard!$Q$28:$S$60,2,FALSE),0)&gt;0,IFERROR(VLOOKUP($B2152,Dashboard!$Q$28:$S$60,2,FALSE),0),$Z2152*IF($U2152&lt;&gt;"",ROUND((Dashboard!$R$4/$U2152)*VLOOKUP($I2152,Dashboard!$Q$9:$R$13,2,FALSE)*IF(ISNUMBER(SEARCH("Duals",$B2152)),2,IF(ISNUMBER(SEARCH("Triples",$B2152)),3,IF(ISNUMBER(SEARCH("Quads",$B2152)),4,1))),2),ROUND(VLOOKUP($I2152,Dashboard!$Q$15:$R$20,2,FALSE)*IF($E2152="Red",Dashboard!$R$6,IF($E2152="Gold",Dashboard!$R$7,Dashboard!$R$5))*IF(ISNUMBER(SEARCH("Duals",$B2152)),2,IF(ISNUMBER(SEARCH("Triples",$B2152)),3,IF(ISNUMBER(SEARCH("Quads",$B2152)),4,1))),2))*IF(IFERROR(VLOOKUP($B2152,Dashboard!$Q$28:$S$60,3,FALSE),0)&gt;0,VLOOKUP($B2152,Dashboard!$Q$28:$S$60,3,FALSE),1))),0))</f>
        <v>0</v>
      </c>
      <c r="K2152" s="2" t="str">
        <f>IF('Autos - Singles'!H42="","",'Autos - Singles'!H42)</f>
        <v/>
      </c>
      <c r="L2152" s="2">
        <f t="shared" si="429"/>
        <v>0</v>
      </c>
      <c r="M2152" s="2">
        <f t="shared" si="430"/>
        <v>0</v>
      </c>
      <c r="N2152" s="2">
        <f t="shared" si="431"/>
        <v>0</v>
      </c>
      <c r="O2152" s="2">
        <f t="shared" si="432"/>
        <v>0</v>
      </c>
      <c r="P2152" s="112">
        <f t="shared" si="433"/>
        <v>0</v>
      </c>
      <c r="Q2152" s="112">
        <f t="shared" si="434"/>
        <v>0</v>
      </c>
      <c r="R2152" s="53"/>
      <c r="S2152" s="53" t="str">
        <f t="shared" si="435"/>
        <v>Autos - Singles|Autographs Gold Parallel|A-LZ|Gold</v>
      </c>
      <c r="T2152" s="57" t="str">
        <f>IF($S2152="","",IFERROR(VLOOKUP($S2152,'Pop Estimates (Non-#d)'!$N$2:$O$500,2,FALSE),""))</f>
        <v/>
      </c>
      <c r="U2152" s="57">
        <f t="shared" si="436"/>
        <v>1</v>
      </c>
      <c r="V2152" s="53" t="str">
        <f t="shared" si="437"/>
        <v>Mother's Milk</v>
      </c>
      <c r="W2152" s="53" t="str">
        <f t="shared" si="438"/>
        <v>Mother's Milk</v>
      </c>
      <c r="X2152" s="53" t="str">
        <f t="shared" si="439"/>
        <v>Mother's Milk</v>
      </c>
      <c r="Y2152" s="57">
        <f>IF($X2152="","",IFERROR(VLOOKUP($X2152,'Char Popularity'!$A$2:$C$500,2,FALSE),""))</f>
        <v>4</v>
      </c>
      <c r="Z2152" s="56">
        <f>IF($X2152="",1,IFERROR(VLOOKUP($X2152,'Char Popularity'!$A$2:$C$500,3,FALSE),1))</f>
        <v>1.1000000000000001</v>
      </c>
      <c r="AA2152" s="62">
        <f>IF($H2152&lt;&gt;"Y",0,(IF($F2152&lt;&gt;"",ROUND(Dashboard!$R$4/$F2152,1),IF(AND($I2152="Base",$E2152="Base"),Dashboard!$R$5,IF(AND($I2152="Base",$E2152="Red"),Dashboard!$R$6,IF(AND($I2152="Base",$E2152="Gold"),Dashboard!$R$7,VLOOKUP($I2152,Dashboard!$Q$16:$R$21,2,FALSE)))))*VLOOKUP($I2152,Dashboard!$Q$9:$R$13,2,FALSE)*IF(AND($I2152="Auto",$F2152="",OR($B2152="Autographs Duals",$B2152="Autographs Triples",$B2152="Autographs Quads",$B2152="Autographs Quads (Inscribed)")),IF($B2152="Autographs Duals",2,IF($B2152="Autographs Triples",3,4)),1)))</f>
        <v>0</v>
      </c>
      <c r="AB2152" s="62">
        <f t="shared" si="440"/>
        <v>0</v>
      </c>
      <c r="AC2152" s="62">
        <f t="shared" si="441"/>
        <v>0</v>
      </c>
    </row>
    <row r="2153" spans="1:29" ht="30" customHeight="1" x14ac:dyDescent="0.25">
      <c r="A2153" s="4" t="s">
        <v>37</v>
      </c>
      <c r="B2153" s="7" t="s">
        <v>790</v>
      </c>
      <c r="C2153" s="2" t="s">
        <v>282</v>
      </c>
      <c r="D2153" s="7" t="s">
        <v>283</v>
      </c>
      <c r="E2153" s="4" t="s">
        <v>1602</v>
      </c>
      <c r="F2153" s="2">
        <v>1</v>
      </c>
      <c r="G2153" s="2" t="s">
        <v>1399</v>
      </c>
      <c r="H2153" s="2" t="s">
        <v>1399</v>
      </c>
      <c r="I2153" s="4" t="s">
        <v>68</v>
      </c>
      <c r="J2153" s="112">
        <f>IF($H2153&lt;&gt;"Y",0,ROUND(MIN(Dashboard!$R$24,IF(IFERROR(VLOOKUP($B2153,Dashboard!$Q$28:$S$60,2,FALSE),0)&gt;0,IFERROR(VLOOKUP($B2153,Dashboard!$Q$28:$S$60,2,FALSE),0),$Z2153*IF($U2153&lt;&gt;"",ROUND((Dashboard!$R$4/$U2153)*VLOOKUP($I2153,Dashboard!$Q$9:$R$13,2,FALSE)*IF(ISNUMBER(SEARCH("Duals",$B2153)),2,IF(ISNUMBER(SEARCH("Triples",$B2153)),3,IF(ISNUMBER(SEARCH("Quads",$B2153)),4,1))),2),ROUND(VLOOKUP($I2153,Dashboard!$Q$15:$R$20,2,FALSE)*IF($E2153="Red",Dashboard!$R$6,IF($E2153="Gold",Dashboard!$R$7,Dashboard!$R$5))*IF(ISNUMBER(SEARCH("Duals",$B2153)),2,IF(ISNUMBER(SEARCH("Triples",$B2153)),3,IF(ISNUMBER(SEARCH("Quads",$B2153)),4,1))),2))*IF(IFERROR(VLOOKUP($B2153,Dashboard!$Q$28:$S$60,3,FALSE),0)&gt;0,VLOOKUP($B2153,Dashboard!$Q$28:$S$60,3,FALSE),1))),0))</f>
        <v>0</v>
      </c>
      <c r="K2153" s="2" t="str">
        <f>IF('Autos - Singles'!H43="","",'Autos - Singles'!H43)</f>
        <v/>
      </c>
      <c r="L2153" s="2">
        <f t="shared" si="429"/>
        <v>0</v>
      </c>
      <c r="M2153" s="2">
        <f t="shared" si="430"/>
        <v>0</v>
      </c>
      <c r="N2153" s="2">
        <f t="shared" si="431"/>
        <v>0</v>
      </c>
      <c r="O2153" s="2">
        <f t="shared" si="432"/>
        <v>0</v>
      </c>
      <c r="P2153" s="112">
        <f t="shared" si="433"/>
        <v>0</v>
      </c>
      <c r="Q2153" s="112">
        <f t="shared" si="434"/>
        <v>0</v>
      </c>
      <c r="R2153" s="53"/>
      <c r="S2153" s="53" t="str">
        <f t="shared" si="435"/>
        <v>Autos - Singles|Autographs Gold Parallel|A-MB|Gold</v>
      </c>
      <c r="T2153" s="57" t="str">
        <f>IF($S2153="","",IFERROR(VLOOKUP($S2153,'Pop Estimates (Non-#d)'!$N$2:$O$500,2,FALSE),""))</f>
        <v/>
      </c>
      <c r="U2153" s="57">
        <f t="shared" si="436"/>
        <v>1</v>
      </c>
      <c r="V2153" s="53" t="str">
        <f t="shared" si="437"/>
        <v>Black Noir</v>
      </c>
      <c r="W2153" s="53" t="str">
        <f t="shared" si="438"/>
        <v>Black Noir</v>
      </c>
      <c r="X2153" s="53" t="str">
        <f t="shared" si="439"/>
        <v>Black Noir</v>
      </c>
      <c r="Y2153" s="57">
        <f>IF($X2153="","",IFERROR(VLOOKUP($X2153,'Char Popularity'!$A$2:$C$500,2,FALSE),""))</f>
        <v>4</v>
      </c>
      <c r="Z2153" s="56">
        <f>IF($X2153="",1,IFERROR(VLOOKUP($X2153,'Char Popularity'!$A$2:$C$500,3,FALSE),1))</f>
        <v>1.1000000000000001</v>
      </c>
      <c r="AA2153" s="62">
        <f>IF($H2153&lt;&gt;"Y",0,(IF($F2153&lt;&gt;"",ROUND(Dashboard!$R$4/$F2153,1),IF(AND($I2153="Base",$E2153="Base"),Dashboard!$R$5,IF(AND($I2153="Base",$E2153="Red"),Dashboard!$R$6,IF(AND($I2153="Base",$E2153="Gold"),Dashboard!$R$7,VLOOKUP($I2153,Dashboard!$Q$16:$R$21,2,FALSE)))))*VLOOKUP($I2153,Dashboard!$Q$9:$R$13,2,FALSE)*IF(AND($I2153="Auto",$F2153="",OR($B2153="Autographs Duals",$B2153="Autographs Triples",$B2153="Autographs Quads",$B2153="Autographs Quads (Inscribed)")),IF($B2153="Autographs Duals",2,IF($B2153="Autographs Triples",3,4)),1)))</f>
        <v>0</v>
      </c>
      <c r="AB2153" s="62">
        <f t="shared" si="440"/>
        <v>0</v>
      </c>
      <c r="AC2153" s="62">
        <f t="shared" si="441"/>
        <v>0</v>
      </c>
    </row>
    <row r="2154" spans="1:29" ht="30" customHeight="1" x14ac:dyDescent="0.25">
      <c r="A2154" s="4" t="s">
        <v>37</v>
      </c>
      <c r="B2154" s="7" t="s">
        <v>790</v>
      </c>
      <c r="C2154" s="2" t="s">
        <v>284</v>
      </c>
      <c r="D2154" s="7" t="s">
        <v>244</v>
      </c>
      <c r="E2154" s="4" t="s">
        <v>1602</v>
      </c>
      <c r="F2154" s="2">
        <v>1</v>
      </c>
      <c r="G2154" s="2" t="s">
        <v>1399</v>
      </c>
      <c r="H2154" s="2" t="s">
        <v>1399</v>
      </c>
      <c r="I2154" s="4" t="s">
        <v>68</v>
      </c>
      <c r="J2154" s="112">
        <f>IF($H2154&lt;&gt;"Y",0,ROUND(MIN(Dashboard!$R$24,IF(IFERROR(VLOOKUP($B2154,Dashboard!$Q$28:$S$60,2,FALSE),0)&gt;0,IFERROR(VLOOKUP($B2154,Dashboard!$Q$28:$S$60,2,FALSE),0),$Z2154*IF($U2154&lt;&gt;"",ROUND((Dashboard!$R$4/$U2154)*VLOOKUP($I2154,Dashboard!$Q$9:$R$13,2,FALSE)*IF(ISNUMBER(SEARCH("Duals",$B2154)),2,IF(ISNUMBER(SEARCH("Triples",$B2154)),3,IF(ISNUMBER(SEARCH("Quads",$B2154)),4,1))),2),ROUND(VLOOKUP($I2154,Dashboard!$Q$15:$R$20,2,FALSE)*IF($E2154="Red",Dashboard!$R$6,IF($E2154="Gold",Dashboard!$R$7,Dashboard!$R$5))*IF(ISNUMBER(SEARCH("Duals",$B2154)),2,IF(ISNUMBER(SEARCH("Triples",$B2154)),3,IF(ISNUMBER(SEARCH("Quads",$B2154)),4,1))),2))*IF(IFERROR(VLOOKUP($B2154,Dashboard!$Q$28:$S$60,3,FALSE),0)&gt;0,VLOOKUP($B2154,Dashboard!$Q$28:$S$60,3,FALSE),1))),0))</f>
        <v>0</v>
      </c>
      <c r="K2154" s="2" t="str">
        <f>IF('Autos - Singles'!H44="","",'Autos - Singles'!H44)</f>
        <v/>
      </c>
      <c r="L2154" s="2">
        <f t="shared" si="429"/>
        <v>0</v>
      </c>
      <c r="M2154" s="2">
        <f t="shared" si="430"/>
        <v>0</v>
      </c>
      <c r="N2154" s="2">
        <f t="shared" si="431"/>
        <v>0</v>
      </c>
      <c r="O2154" s="2">
        <f t="shared" si="432"/>
        <v>0</v>
      </c>
      <c r="P2154" s="112">
        <f t="shared" si="433"/>
        <v>0</v>
      </c>
      <c r="Q2154" s="112">
        <f t="shared" si="434"/>
        <v>0</v>
      </c>
      <c r="R2154" s="53"/>
      <c r="S2154" s="53" t="str">
        <f t="shared" si="435"/>
        <v>Autos - Singles|Autographs Gold Parallel|A-MC|Gold</v>
      </c>
      <c r="T2154" s="57" t="str">
        <f>IF($S2154="","",IFERROR(VLOOKUP($S2154,'Pop Estimates (Non-#d)'!$N$2:$O$500,2,FALSE),""))</f>
        <v/>
      </c>
      <c r="U2154" s="57">
        <f t="shared" si="436"/>
        <v>1</v>
      </c>
      <c r="V2154" s="53" t="str">
        <f t="shared" si="437"/>
        <v>Queen Maeve</v>
      </c>
      <c r="W2154" s="53" t="str">
        <f t="shared" si="438"/>
        <v>Queen Maeve</v>
      </c>
      <c r="X2154" s="53" t="str">
        <f t="shared" si="439"/>
        <v>Queen Maeve</v>
      </c>
      <c r="Y2154" s="57">
        <f>IF($X2154="","",IFERROR(VLOOKUP($X2154,'Char Popularity'!$A$2:$C$500,2,FALSE),""))</f>
        <v>4</v>
      </c>
      <c r="Z2154" s="56">
        <f>IF($X2154="",1,IFERROR(VLOOKUP($X2154,'Char Popularity'!$A$2:$C$500,3,FALSE),1))</f>
        <v>1.1000000000000001</v>
      </c>
      <c r="AA2154" s="62">
        <f>IF($H2154&lt;&gt;"Y",0,(IF($F2154&lt;&gt;"",ROUND(Dashboard!$R$4/$F2154,1),IF(AND($I2154="Base",$E2154="Base"),Dashboard!$R$5,IF(AND($I2154="Base",$E2154="Red"),Dashboard!$R$6,IF(AND($I2154="Base",$E2154="Gold"),Dashboard!$R$7,VLOOKUP($I2154,Dashboard!$Q$16:$R$21,2,FALSE)))))*VLOOKUP($I2154,Dashboard!$Q$9:$R$13,2,FALSE)*IF(AND($I2154="Auto",$F2154="",OR($B2154="Autographs Duals",$B2154="Autographs Triples",$B2154="Autographs Quads",$B2154="Autographs Quads (Inscribed)")),IF($B2154="Autographs Duals",2,IF($B2154="Autographs Triples",3,4)),1)))</f>
        <v>0</v>
      </c>
      <c r="AB2154" s="62">
        <f t="shared" si="440"/>
        <v>0</v>
      </c>
      <c r="AC2154" s="62">
        <f t="shared" si="441"/>
        <v>0</v>
      </c>
    </row>
    <row r="2155" spans="1:29" ht="30" customHeight="1" x14ac:dyDescent="0.25">
      <c r="A2155" s="4" t="s">
        <v>37</v>
      </c>
      <c r="B2155" s="7" t="s">
        <v>790</v>
      </c>
      <c r="C2155" s="2" t="s">
        <v>286</v>
      </c>
      <c r="D2155" s="7" t="s">
        <v>234</v>
      </c>
      <c r="E2155" s="4" t="s">
        <v>1602</v>
      </c>
      <c r="F2155" s="2">
        <v>1</v>
      </c>
      <c r="G2155" s="2" t="s">
        <v>1399</v>
      </c>
      <c r="H2155" s="2" t="s">
        <v>1399</v>
      </c>
      <c r="I2155" s="4" t="s">
        <v>68</v>
      </c>
      <c r="J2155" s="112">
        <f>IF($H2155&lt;&gt;"Y",0,ROUND(MIN(Dashboard!$R$24,IF(IFERROR(VLOOKUP($B2155,Dashboard!$Q$28:$S$60,2,FALSE),0)&gt;0,IFERROR(VLOOKUP($B2155,Dashboard!$Q$28:$S$60,2,FALSE),0),$Z2155*IF($U2155&lt;&gt;"",ROUND((Dashboard!$R$4/$U2155)*VLOOKUP($I2155,Dashboard!$Q$9:$R$13,2,FALSE)*IF(ISNUMBER(SEARCH("Duals",$B2155)),2,IF(ISNUMBER(SEARCH("Triples",$B2155)),3,IF(ISNUMBER(SEARCH("Quads",$B2155)),4,1))),2),ROUND(VLOOKUP($I2155,Dashboard!$Q$15:$R$20,2,FALSE)*IF($E2155="Red",Dashboard!$R$6,IF($E2155="Gold",Dashboard!$R$7,Dashboard!$R$5))*IF(ISNUMBER(SEARCH("Duals",$B2155)),2,IF(ISNUMBER(SEARCH("Triples",$B2155)),3,IF(ISNUMBER(SEARCH("Quads",$B2155)),4,1))),2))*IF(IFERROR(VLOOKUP($B2155,Dashboard!$Q$28:$S$60,3,FALSE),0)&gt;0,VLOOKUP($B2155,Dashboard!$Q$28:$S$60,3,FALSE),1))),0))</f>
        <v>0</v>
      </c>
      <c r="K2155" s="2" t="str">
        <f>IF('Autos - Singles'!H45="","",'Autos - Singles'!H45)</f>
        <v/>
      </c>
      <c r="L2155" s="2">
        <f t="shared" si="429"/>
        <v>0</v>
      </c>
      <c r="M2155" s="2">
        <f t="shared" si="430"/>
        <v>0</v>
      </c>
      <c r="N2155" s="2">
        <f t="shared" si="431"/>
        <v>0</v>
      </c>
      <c r="O2155" s="2">
        <f t="shared" si="432"/>
        <v>0</v>
      </c>
      <c r="P2155" s="112">
        <f t="shared" si="433"/>
        <v>0</v>
      </c>
      <c r="Q2155" s="112">
        <f t="shared" si="434"/>
        <v>0</v>
      </c>
      <c r="R2155" s="53"/>
      <c r="S2155" s="53" t="str">
        <f t="shared" si="435"/>
        <v>Autos - Singles|Autographs Gold Parallel|A-MI|Gold</v>
      </c>
      <c r="T2155" s="57" t="str">
        <f>IF($S2155="","",IFERROR(VLOOKUP($S2155,'Pop Estimates (Non-#d)'!$N$2:$O$500,2,FALSE),""))</f>
        <v/>
      </c>
      <c r="U2155" s="57">
        <f t="shared" si="436"/>
        <v>1</v>
      </c>
      <c r="V2155" s="53" t="str">
        <f t="shared" si="437"/>
        <v>Ashley Barrett</v>
      </c>
      <c r="W2155" s="53" t="str">
        <f t="shared" si="438"/>
        <v>Ashley Barrett</v>
      </c>
      <c r="X2155" s="53" t="str">
        <f t="shared" si="439"/>
        <v>Ashley Barrett</v>
      </c>
      <c r="Y2155" s="57">
        <f>IF($X2155="","",IFERROR(VLOOKUP($X2155,'Char Popularity'!$A$2:$C$500,2,FALSE),""))</f>
        <v>3</v>
      </c>
      <c r="Z2155" s="56">
        <f>IF($X2155="",1,IFERROR(VLOOKUP($X2155,'Char Popularity'!$A$2:$C$500,3,FALSE),1))</f>
        <v>1</v>
      </c>
      <c r="AA2155" s="62">
        <f>IF($H2155&lt;&gt;"Y",0,(IF($F2155&lt;&gt;"",ROUND(Dashboard!$R$4/$F2155,1),IF(AND($I2155="Base",$E2155="Base"),Dashboard!$R$5,IF(AND($I2155="Base",$E2155="Red"),Dashboard!$R$6,IF(AND($I2155="Base",$E2155="Gold"),Dashboard!$R$7,VLOOKUP($I2155,Dashboard!$Q$16:$R$21,2,FALSE)))))*VLOOKUP($I2155,Dashboard!$Q$9:$R$13,2,FALSE)*IF(AND($I2155="Auto",$F2155="",OR($B2155="Autographs Duals",$B2155="Autographs Triples",$B2155="Autographs Quads",$B2155="Autographs Quads (Inscribed)")),IF($B2155="Autographs Duals",2,IF($B2155="Autographs Triples",3,4)),1)))</f>
        <v>0</v>
      </c>
      <c r="AB2155" s="62">
        <f t="shared" si="440"/>
        <v>0</v>
      </c>
      <c r="AC2155" s="62">
        <f t="shared" si="441"/>
        <v>0</v>
      </c>
    </row>
    <row r="2156" spans="1:29" ht="30" customHeight="1" x14ac:dyDescent="0.25">
      <c r="A2156" s="4" t="s">
        <v>37</v>
      </c>
      <c r="B2156" s="7" t="s">
        <v>790</v>
      </c>
      <c r="C2156" s="2" t="s">
        <v>287</v>
      </c>
      <c r="D2156" s="7" t="s">
        <v>288</v>
      </c>
      <c r="E2156" s="4" t="s">
        <v>1602</v>
      </c>
      <c r="F2156" s="2">
        <v>1</v>
      </c>
      <c r="G2156" s="2" t="s">
        <v>1399</v>
      </c>
      <c r="H2156" s="2" t="s">
        <v>1399</v>
      </c>
      <c r="I2156" s="4" t="s">
        <v>68</v>
      </c>
      <c r="J2156" s="112">
        <f>IF($H2156&lt;&gt;"Y",0,ROUND(MIN(Dashboard!$R$24,IF(IFERROR(VLOOKUP($B2156,Dashboard!$Q$28:$S$60,2,FALSE),0)&gt;0,IFERROR(VLOOKUP($B2156,Dashboard!$Q$28:$S$60,2,FALSE),0),$Z2156*IF($U2156&lt;&gt;"",ROUND((Dashboard!$R$4/$U2156)*VLOOKUP($I2156,Dashboard!$Q$9:$R$13,2,FALSE)*IF(ISNUMBER(SEARCH("Duals",$B2156)),2,IF(ISNUMBER(SEARCH("Triples",$B2156)),3,IF(ISNUMBER(SEARCH("Quads",$B2156)),4,1))),2),ROUND(VLOOKUP($I2156,Dashboard!$Q$15:$R$20,2,FALSE)*IF($E2156="Red",Dashboard!$R$6,IF($E2156="Gold",Dashboard!$R$7,Dashboard!$R$5))*IF(ISNUMBER(SEARCH("Duals",$B2156)),2,IF(ISNUMBER(SEARCH("Triples",$B2156)),3,IF(ISNUMBER(SEARCH("Quads",$B2156)),4,1))),2))*IF(IFERROR(VLOOKUP($B2156,Dashboard!$Q$28:$S$60,3,FALSE),0)&gt;0,VLOOKUP($B2156,Dashboard!$Q$28:$S$60,3,FALSE),1))),0))</f>
        <v>0</v>
      </c>
      <c r="K2156" s="2" t="str">
        <f>IF('Autos - Singles'!H46="","",'Autos - Singles'!H46)</f>
        <v/>
      </c>
      <c r="L2156" s="2">
        <f t="shared" si="429"/>
        <v>0</v>
      </c>
      <c r="M2156" s="2">
        <f t="shared" si="430"/>
        <v>0</v>
      </c>
      <c r="N2156" s="2">
        <f t="shared" si="431"/>
        <v>0</v>
      </c>
      <c r="O2156" s="2">
        <f t="shared" si="432"/>
        <v>0</v>
      </c>
      <c r="P2156" s="112">
        <f t="shared" si="433"/>
        <v>0</v>
      </c>
      <c r="Q2156" s="112">
        <f t="shared" si="434"/>
        <v>0</v>
      </c>
      <c r="R2156" s="53"/>
      <c r="S2156" s="53" t="str">
        <f t="shared" si="435"/>
        <v>Autos - Singles|Autographs Gold Parallel|A-MK|Gold</v>
      </c>
      <c r="T2156" s="57" t="str">
        <f>IF($S2156="","",IFERROR(VLOOKUP($S2156,'Pop Estimates (Non-#d)'!$N$2:$O$500,2,FALSE),""))</f>
        <v/>
      </c>
      <c r="U2156" s="57">
        <f t="shared" si="436"/>
        <v>1</v>
      </c>
      <c r="V2156" s="53" t="str">
        <f t="shared" si="437"/>
        <v>Shockwave</v>
      </c>
      <c r="W2156" s="53" t="str">
        <f t="shared" si="438"/>
        <v>Shockwave</v>
      </c>
      <c r="X2156" s="53" t="str">
        <f t="shared" si="439"/>
        <v>Shockwave</v>
      </c>
      <c r="Y2156" s="57">
        <f>IF($X2156="","",IFERROR(VLOOKUP($X2156,'Char Popularity'!$A$2:$C$500,2,FALSE),""))</f>
        <v>2</v>
      </c>
      <c r="Z2156" s="56">
        <f>IF($X2156="",1,IFERROR(VLOOKUP($X2156,'Char Popularity'!$A$2:$C$500,3,FALSE),1))</f>
        <v>0.9</v>
      </c>
      <c r="AA2156" s="62">
        <f>IF($H2156&lt;&gt;"Y",0,(IF($F2156&lt;&gt;"",ROUND(Dashboard!$R$4/$F2156,1),IF(AND($I2156="Base",$E2156="Base"),Dashboard!$R$5,IF(AND($I2156="Base",$E2156="Red"),Dashboard!$R$6,IF(AND($I2156="Base",$E2156="Gold"),Dashboard!$R$7,VLOOKUP($I2156,Dashboard!$Q$16:$R$21,2,FALSE)))))*VLOOKUP($I2156,Dashboard!$Q$9:$R$13,2,FALSE)*IF(AND($I2156="Auto",$F2156="",OR($B2156="Autographs Duals",$B2156="Autographs Triples",$B2156="Autographs Quads",$B2156="Autographs Quads (Inscribed)")),IF($B2156="Autographs Duals",2,IF($B2156="Autographs Triples",3,4)),1)))</f>
        <v>0</v>
      </c>
      <c r="AB2156" s="62">
        <f t="shared" si="440"/>
        <v>0</v>
      </c>
      <c r="AC2156" s="62">
        <f t="shared" si="441"/>
        <v>0</v>
      </c>
    </row>
    <row r="2157" spans="1:29" ht="30" customHeight="1" x14ac:dyDescent="0.25">
      <c r="A2157" s="4" t="s">
        <v>37</v>
      </c>
      <c r="B2157" s="7" t="s">
        <v>790</v>
      </c>
      <c r="C2157" s="2" t="s">
        <v>289</v>
      </c>
      <c r="D2157" s="7" t="s">
        <v>248</v>
      </c>
      <c r="E2157" s="4" t="s">
        <v>1602</v>
      </c>
      <c r="F2157" s="2">
        <v>1</v>
      </c>
      <c r="G2157" s="2" t="s">
        <v>1399</v>
      </c>
      <c r="H2157" s="2" t="s">
        <v>1399</v>
      </c>
      <c r="I2157" s="4" t="s">
        <v>68</v>
      </c>
      <c r="J2157" s="112">
        <f>IF($H2157&lt;&gt;"Y",0,ROUND(MIN(Dashboard!$R$24,IF(IFERROR(VLOOKUP($B2157,Dashboard!$Q$28:$S$60,2,FALSE),0)&gt;0,IFERROR(VLOOKUP($B2157,Dashboard!$Q$28:$S$60,2,FALSE),0),$Z2157*IF($U2157&lt;&gt;"",ROUND((Dashboard!$R$4/$U2157)*VLOOKUP($I2157,Dashboard!$Q$9:$R$13,2,FALSE)*IF(ISNUMBER(SEARCH("Duals",$B2157)),2,IF(ISNUMBER(SEARCH("Triples",$B2157)),3,IF(ISNUMBER(SEARCH("Quads",$B2157)),4,1))),2),ROUND(VLOOKUP($I2157,Dashboard!$Q$15:$R$20,2,FALSE)*IF($E2157="Red",Dashboard!$R$6,IF($E2157="Gold",Dashboard!$R$7,Dashboard!$R$5))*IF(ISNUMBER(SEARCH("Duals",$B2157)),2,IF(ISNUMBER(SEARCH("Triples",$B2157)),3,IF(ISNUMBER(SEARCH("Quads",$B2157)),4,1))),2))*IF(IFERROR(VLOOKUP($B2157,Dashboard!$Q$28:$S$60,3,FALSE),0)&gt;0,VLOOKUP($B2157,Dashboard!$Q$28:$S$60,3,FALSE),1))),0))</f>
        <v>0</v>
      </c>
      <c r="K2157" s="2" t="str">
        <f>IF('Autos - Singles'!H47="","",'Autos - Singles'!H47)</f>
        <v/>
      </c>
      <c r="L2157" s="2">
        <f t="shared" si="429"/>
        <v>0</v>
      </c>
      <c r="M2157" s="2">
        <f t="shared" si="430"/>
        <v>0</v>
      </c>
      <c r="N2157" s="2">
        <f t="shared" si="431"/>
        <v>0</v>
      </c>
      <c r="O2157" s="2">
        <f t="shared" si="432"/>
        <v>0</v>
      </c>
      <c r="P2157" s="112">
        <f t="shared" si="433"/>
        <v>0</v>
      </c>
      <c r="Q2157" s="112">
        <f t="shared" si="434"/>
        <v>0</v>
      </c>
      <c r="R2157" s="53"/>
      <c r="S2157" s="53" t="str">
        <f t="shared" si="435"/>
        <v>Autos - Singles|Autographs Gold Parallel|A-MO|Gold</v>
      </c>
      <c r="T2157" s="57" t="str">
        <f>IF($S2157="","",IFERROR(VLOOKUP($S2157,'Pop Estimates (Non-#d)'!$N$2:$O$500,2,FALSE),""))</f>
        <v/>
      </c>
      <c r="U2157" s="57">
        <f t="shared" si="436"/>
        <v>1</v>
      </c>
      <c r="V2157" s="53" t="str">
        <f t="shared" si="437"/>
        <v>Starlight</v>
      </c>
      <c r="W2157" s="53" t="str">
        <f t="shared" si="438"/>
        <v>Starlight</v>
      </c>
      <c r="X2157" s="53" t="str">
        <f t="shared" si="439"/>
        <v>Starlight</v>
      </c>
      <c r="Y2157" s="57">
        <f>IF($X2157="","",IFERROR(VLOOKUP($X2157,'Char Popularity'!$A$2:$C$500,2,FALSE),""))</f>
        <v>5</v>
      </c>
      <c r="Z2157" s="56">
        <f>IF($X2157="",1,IFERROR(VLOOKUP($X2157,'Char Popularity'!$A$2:$C$500,3,FALSE),1))</f>
        <v>1.2</v>
      </c>
      <c r="AA2157" s="62">
        <f>IF($H2157&lt;&gt;"Y",0,(IF($F2157&lt;&gt;"",ROUND(Dashboard!$R$4/$F2157,1),IF(AND($I2157="Base",$E2157="Base"),Dashboard!$R$5,IF(AND($I2157="Base",$E2157="Red"),Dashboard!$R$6,IF(AND($I2157="Base",$E2157="Gold"),Dashboard!$R$7,VLOOKUP($I2157,Dashboard!$Q$16:$R$21,2,FALSE)))))*VLOOKUP($I2157,Dashboard!$Q$9:$R$13,2,FALSE)*IF(AND($I2157="Auto",$F2157="",OR($B2157="Autographs Duals",$B2157="Autographs Triples",$B2157="Autographs Quads",$B2157="Autographs Quads (Inscribed)")),IF($B2157="Autographs Duals",2,IF($B2157="Autographs Triples",3,4)),1)))</f>
        <v>0</v>
      </c>
      <c r="AB2157" s="62">
        <f t="shared" si="440"/>
        <v>0</v>
      </c>
      <c r="AC2157" s="62">
        <f t="shared" si="441"/>
        <v>0</v>
      </c>
    </row>
    <row r="2158" spans="1:29" ht="30" customHeight="1" x14ac:dyDescent="0.25">
      <c r="A2158" s="4" t="s">
        <v>37</v>
      </c>
      <c r="B2158" s="7" t="s">
        <v>790</v>
      </c>
      <c r="C2158" s="2" t="s">
        <v>290</v>
      </c>
      <c r="D2158" s="7" t="s">
        <v>288</v>
      </c>
      <c r="E2158" s="4" t="s">
        <v>1602</v>
      </c>
      <c r="F2158" s="2">
        <v>1</v>
      </c>
      <c r="G2158" s="2" t="s">
        <v>1399</v>
      </c>
      <c r="H2158" s="2" t="s">
        <v>1399</v>
      </c>
      <c r="I2158" s="4" t="s">
        <v>68</v>
      </c>
      <c r="J2158" s="112">
        <f>IF($H2158&lt;&gt;"Y",0,ROUND(MIN(Dashboard!$R$24,IF(IFERROR(VLOOKUP($B2158,Dashboard!$Q$28:$S$60,2,FALSE),0)&gt;0,IFERROR(VLOOKUP($B2158,Dashboard!$Q$28:$S$60,2,FALSE),0),$Z2158*IF($U2158&lt;&gt;"",ROUND((Dashboard!$R$4/$U2158)*VLOOKUP($I2158,Dashboard!$Q$9:$R$13,2,FALSE)*IF(ISNUMBER(SEARCH("Duals",$B2158)),2,IF(ISNUMBER(SEARCH("Triples",$B2158)),3,IF(ISNUMBER(SEARCH("Quads",$B2158)),4,1))),2),ROUND(VLOOKUP($I2158,Dashboard!$Q$15:$R$20,2,FALSE)*IF($E2158="Red",Dashboard!$R$6,IF($E2158="Gold",Dashboard!$R$7,Dashboard!$R$5))*IF(ISNUMBER(SEARCH("Duals",$B2158)),2,IF(ISNUMBER(SEARCH("Triples",$B2158)),3,IF(ISNUMBER(SEARCH("Quads",$B2158)),4,1))),2))*IF(IFERROR(VLOOKUP($B2158,Dashboard!$Q$28:$S$60,3,FALSE),0)&gt;0,VLOOKUP($B2158,Dashboard!$Q$28:$S$60,3,FALSE),1))),0))</f>
        <v>0</v>
      </c>
      <c r="K2158" s="2" t="str">
        <f>IF('Autos - Singles'!H48="","",'Autos - Singles'!H48)</f>
        <v/>
      </c>
      <c r="L2158" s="2">
        <f t="shared" si="429"/>
        <v>0</v>
      </c>
      <c r="M2158" s="2">
        <f t="shared" si="430"/>
        <v>0</v>
      </c>
      <c r="N2158" s="2">
        <f t="shared" si="431"/>
        <v>0</v>
      </c>
      <c r="O2158" s="2">
        <f t="shared" si="432"/>
        <v>0</v>
      </c>
      <c r="P2158" s="112">
        <f t="shared" si="433"/>
        <v>0</v>
      </c>
      <c r="Q2158" s="112">
        <f t="shared" si="434"/>
        <v>0</v>
      </c>
      <c r="R2158" s="53"/>
      <c r="S2158" s="53" t="str">
        <f t="shared" si="435"/>
        <v>Autos - Singles|Autographs Gold Parallel|A-MS|Gold</v>
      </c>
      <c r="T2158" s="57" t="str">
        <f>IF($S2158="","",IFERROR(VLOOKUP($S2158,'Pop Estimates (Non-#d)'!$N$2:$O$500,2,FALSE),""))</f>
        <v/>
      </c>
      <c r="U2158" s="57">
        <f t="shared" si="436"/>
        <v>1</v>
      </c>
      <c r="V2158" s="53" t="str">
        <f t="shared" si="437"/>
        <v>Shockwave</v>
      </c>
      <c r="W2158" s="53" t="str">
        <f t="shared" si="438"/>
        <v>Shockwave</v>
      </c>
      <c r="X2158" s="53" t="str">
        <f t="shared" si="439"/>
        <v>Shockwave</v>
      </c>
      <c r="Y2158" s="57">
        <f>IF($X2158="","",IFERROR(VLOOKUP($X2158,'Char Popularity'!$A$2:$C$500,2,FALSE),""))</f>
        <v>2</v>
      </c>
      <c r="Z2158" s="56">
        <f>IF($X2158="",1,IFERROR(VLOOKUP($X2158,'Char Popularity'!$A$2:$C$500,3,FALSE),1))</f>
        <v>0.9</v>
      </c>
      <c r="AA2158" s="62">
        <f>IF($H2158&lt;&gt;"Y",0,(IF($F2158&lt;&gt;"",ROUND(Dashboard!$R$4/$F2158,1),IF(AND($I2158="Base",$E2158="Base"),Dashboard!$R$5,IF(AND($I2158="Base",$E2158="Red"),Dashboard!$R$6,IF(AND($I2158="Base",$E2158="Gold"),Dashboard!$R$7,VLOOKUP($I2158,Dashboard!$Q$16:$R$21,2,FALSE)))))*VLOOKUP($I2158,Dashboard!$Q$9:$R$13,2,FALSE)*IF(AND($I2158="Auto",$F2158="",OR($B2158="Autographs Duals",$B2158="Autographs Triples",$B2158="Autographs Quads",$B2158="Autographs Quads (Inscribed)")),IF($B2158="Autographs Duals",2,IF($B2158="Autographs Triples",3,4)),1)))</f>
        <v>0</v>
      </c>
      <c r="AB2158" s="62">
        <f t="shared" si="440"/>
        <v>0</v>
      </c>
      <c r="AC2158" s="62">
        <f t="shared" si="441"/>
        <v>0</v>
      </c>
    </row>
    <row r="2159" spans="1:29" ht="30" customHeight="1" x14ac:dyDescent="0.25">
      <c r="A2159" s="4" t="s">
        <v>37</v>
      </c>
      <c r="B2159" s="7" t="s">
        <v>790</v>
      </c>
      <c r="C2159" s="2" t="s">
        <v>291</v>
      </c>
      <c r="D2159" s="7" t="s">
        <v>288</v>
      </c>
      <c r="E2159" s="4" t="s">
        <v>1602</v>
      </c>
      <c r="F2159" s="2">
        <v>1</v>
      </c>
      <c r="G2159" s="2" t="s">
        <v>1399</v>
      </c>
      <c r="H2159" s="2" t="s">
        <v>1399</v>
      </c>
      <c r="I2159" s="4" t="s">
        <v>68</v>
      </c>
      <c r="J2159" s="112">
        <f>IF($H2159&lt;&gt;"Y",0,ROUND(MIN(Dashboard!$R$24,IF(IFERROR(VLOOKUP($B2159,Dashboard!$Q$28:$S$60,2,FALSE),0)&gt;0,IFERROR(VLOOKUP($B2159,Dashboard!$Q$28:$S$60,2,FALSE),0),$Z2159*IF($U2159&lt;&gt;"",ROUND((Dashboard!$R$4/$U2159)*VLOOKUP($I2159,Dashboard!$Q$9:$R$13,2,FALSE)*IF(ISNUMBER(SEARCH("Duals",$B2159)),2,IF(ISNUMBER(SEARCH("Triples",$B2159)),3,IF(ISNUMBER(SEARCH("Quads",$B2159)),4,1))),2),ROUND(VLOOKUP($I2159,Dashboard!$Q$15:$R$20,2,FALSE)*IF($E2159="Red",Dashboard!$R$6,IF($E2159="Gold",Dashboard!$R$7,Dashboard!$R$5))*IF(ISNUMBER(SEARCH("Duals",$B2159)),2,IF(ISNUMBER(SEARCH("Triples",$B2159)),3,IF(ISNUMBER(SEARCH("Quads",$B2159)),4,1))),2))*IF(IFERROR(VLOOKUP($B2159,Dashboard!$Q$28:$S$60,3,FALSE),0)&gt;0,VLOOKUP($B2159,Dashboard!$Q$28:$S$60,3,FALSE),1))),0))</f>
        <v>0</v>
      </c>
      <c r="K2159" s="2" t="str">
        <f>IF('Autos - Singles'!H49="","",'Autos - Singles'!H49)</f>
        <v/>
      </c>
      <c r="L2159" s="2">
        <f t="shared" si="429"/>
        <v>0</v>
      </c>
      <c r="M2159" s="2">
        <f t="shared" si="430"/>
        <v>0</v>
      </c>
      <c r="N2159" s="2">
        <f t="shared" si="431"/>
        <v>0</v>
      </c>
      <c r="O2159" s="2">
        <f t="shared" si="432"/>
        <v>0</v>
      </c>
      <c r="P2159" s="112">
        <f t="shared" si="433"/>
        <v>0</v>
      </c>
      <c r="Q2159" s="112">
        <f t="shared" si="434"/>
        <v>0</v>
      </c>
      <c r="R2159" s="53"/>
      <c r="S2159" s="53" t="str">
        <f t="shared" si="435"/>
        <v>Autos - Singles|Autographs Gold Parallel|A-MT|Gold</v>
      </c>
      <c r="T2159" s="57" t="str">
        <f>IF($S2159="","",IFERROR(VLOOKUP($S2159,'Pop Estimates (Non-#d)'!$N$2:$O$500,2,FALSE),""))</f>
        <v/>
      </c>
      <c r="U2159" s="57">
        <f t="shared" si="436"/>
        <v>1</v>
      </c>
      <c r="V2159" s="53" t="str">
        <f t="shared" si="437"/>
        <v>Shockwave</v>
      </c>
      <c r="W2159" s="53" t="str">
        <f t="shared" si="438"/>
        <v>Shockwave</v>
      </c>
      <c r="X2159" s="53" t="str">
        <f t="shared" si="439"/>
        <v>Shockwave</v>
      </c>
      <c r="Y2159" s="57">
        <f>IF($X2159="","",IFERROR(VLOOKUP($X2159,'Char Popularity'!$A$2:$C$500,2,FALSE),""))</f>
        <v>2</v>
      </c>
      <c r="Z2159" s="56">
        <f>IF($X2159="",1,IFERROR(VLOOKUP($X2159,'Char Popularity'!$A$2:$C$500,3,FALSE),1))</f>
        <v>0.9</v>
      </c>
      <c r="AA2159" s="62">
        <f>IF($H2159&lt;&gt;"Y",0,(IF($F2159&lt;&gt;"",ROUND(Dashboard!$R$4/$F2159,1),IF(AND($I2159="Base",$E2159="Base"),Dashboard!$R$5,IF(AND($I2159="Base",$E2159="Red"),Dashboard!$R$6,IF(AND($I2159="Base",$E2159="Gold"),Dashboard!$R$7,VLOOKUP($I2159,Dashboard!$Q$16:$R$21,2,FALSE)))))*VLOOKUP($I2159,Dashboard!$Q$9:$R$13,2,FALSE)*IF(AND($I2159="Auto",$F2159="",OR($B2159="Autographs Duals",$B2159="Autographs Triples",$B2159="Autographs Quads",$B2159="Autographs Quads (Inscribed)")),IF($B2159="Autographs Duals",2,IF($B2159="Autographs Triples",3,4)),1)))</f>
        <v>0</v>
      </c>
      <c r="AB2159" s="62">
        <f t="shared" si="440"/>
        <v>0</v>
      </c>
      <c r="AC2159" s="62">
        <f t="shared" si="441"/>
        <v>0</v>
      </c>
    </row>
    <row r="2160" spans="1:29" ht="30" customHeight="1" x14ac:dyDescent="0.25">
      <c r="A2160" s="4" t="s">
        <v>37</v>
      </c>
      <c r="B2160" s="7" t="s">
        <v>790</v>
      </c>
      <c r="C2160" s="2" t="s">
        <v>292</v>
      </c>
      <c r="D2160" s="7" t="s">
        <v>283</v>
      </c>
      <c r="E2160" s="4" t="s">
        <v>1602</v>
      </c>
      <c r="F2160" s="2">
        <v>1</v>
      </c>
      <c r="G2160" s="2" t="s">
        <v>1399</v>
      </c>
      <c r="H2160" s="2" t="s">
        <v>1399</v>
      </c>
      <c r="I2160" s="4" t="s">
        <v>68</v>
      </c>
      <c r="J2160" s="112">
        <f>IF($H2160&lt;&gt;"Y",0,ROUND(MIN(Dashboard!$R$24,IF(IFERROR(VLOOKUP($B2160,Dashboard!$Q$28:$S$60,2,FALSE),0)&gt;0,IFERROR(VLOOKUP($B2160,Dashboard!$Q$28:$S$60,2,FALSE),0),$Z2160*IF($U2160&lt;&gt;"",ROUND((Dashboard!$R$4/$U2160)*VLOOKUP($I2160,Dashboard!$Q$9:$R$13,2,FALSE)*IF(ISNUMBER(SEARCH("Duals",$B2160)),2,IF(ISNUMBER(SEARCH("Triples",$B2160)),3,IF(ISNUMBER(SEARCH("Quads",$B2160)),4,1))),2),ROUND(VLOOKUP($I2160,Dashboard!$Q$15:$R$20,2,FALSE)*IF($E2160="Red",Dashboard!$R$6,IF($E2160="Gold",Dashboard!$R$7,Dashboard!$R$5))*IF(ISNUMBER(SEARCH("Duals",$B2160)),2,IF(ISNUMBER(SEARCH("Triples",$B2160)),3,IF(ISNUMBER(SEARCH("Quads",$B2160)),4,1))),2))*IF(IFERROR(VLOOKUP($B2160,Dashboard!$Q$28:$S$60,3,FALSE),0)&gt;0,VLOOKUP($B2160,Dashboard!$Q$28:$S$60,3,FALSE),1))),0))</f>
        <v>0</v>
      </c>
      <c r="K2160" s="2" t="str">
        <f>IF('Autos - Singles'!H50="","",'Autos - Singles'!H50)</f>
        <v/>
      </c>
      <c r="L2160" s="2">
        <f t="shared" si="429"/>
        <v>0</v>
      </c>
      <c r="M2160" s="2">
        <f t="shared" si="430"/>
        <v>0</v>
      </c>
      <c r="N2160" s="2">
        <f t="shared" si="431"/>
        <v>0</v>
      </c>
      <c r="O2160" s="2">
        <f t="shared" si="432"/>
        <v>0</v>
      </c>
      <c r="P2160" s="112">
        <f t="shared" si="433"/>
        <v>0</v>
      </c>
      <c r="Q2160" s="112">
        <f t="shared" si="434"/>
        <v>0</v>
      </c>
      <c r="R2160" s="53"/>
      <c r="S2160" s="53" t="str">
        <f t="shared" si="435"/>
        <v>Autos - Singles|Autographs Gold Parallel|A-NA|Gold</v>
      </c>
      <c r="T2160" s="57" t="str">
        <f>IF($S2160="","",IFERROR(VLOOKUP($S2160,'Pop Estimates (Non-#d)'!$N$2:$O$500,2,FALSE),""))</f>
        <v/>
      </c>
      <c r="U2160" s="57">
        <f t="shared" si="436"/>
        <v>1</v>
      </c>
      <c r="V2160" s="53" t="str">
        <f t="shared" si="437"/>
        <v>Black Noir</v>
      </c>
      <c r="W2160" s="53" t="str">
        <f t="shared" si="438"/>
        <v>Black Noir</v>
      </c>
      <c r="X2160" s="53" t="str">
        <f t="shared" si="439"/>
        <v>Black Noir</v>
      </c>
      <c r="Y2160" s="57">
        <f>IF($X2160="","",IFERROR(VLOOKUP($X2160,'Char Popularity'!$A$2:$C$500,2,FALSE),""))</f>
        <v>4</v>
      </c>
      <c r="Z2160" s="56">
        <f>IF($X2160="",1,IFERROR(VLOOKUP($X2160,'Char Popularity'!$A$2:$C$500,3,FALSE),1))</f>
        <v>1.1000000000000001</v>
      </c>
      <c r="AA2160" s="62">
        <f>IF($H2160&lt;&gt;"Y",0,(IF($F2160&lt;&gt;"",ROUND(Dashboard!$R$4/$F2160,1),IF(AND($I2160="Base",$E2160="Base"),Dashboard!$R$5,IF(AND($I2160="Base",$E2160="Red"),Dashboard!$R$6,IF(AND($I2160="Base",$E2160="Gold"),Dashboard!$R$7,VLOOKUP($I2160,Dashboard!$Q$16:$R$21,2,FALSE)))))*VLOOKUP($I2160,Dashboard!$Q$9:$R$13,2,FALSE)*IF(AND($I2160="Auto",$F2160="",OR($B2160="Autographs Duals",$B2160="Autographs Triples",$B2160="Autographs Quads",$B2160="Autographs Quads (Inscribed)")),IF($B2160="Autographs Duals",2,IF($B2160="Autographs Triples",3,4)),1)))</f>
        <v>0</v>
      </c>
      <c r="AB2160" s="62">
        <f t="shared" si="440"/>
        <v>0</v>
      </c>
      <c r="AC2160" s="62">
        <f t="shared" si="441"/>
        <v>0</v>
      </c>
    </row>
    <row r="2161" spans="1:29" ht="30" customHeight="1" x14ac:dyDescent="0.25">
      <c r="A2161" s="4" t="s">
        <v>37</v>
      </c>
      <c r="B2161" s="7" t="s">
        <v>790</v>
      </c>
      <c r="C2161" s="2" t="s">
        <v>293</v>
      </c>
      <c r="D2161" s="7" t="s">
        <v>222</v>
      </c>
      <c r="E2161" s="4" t="s">
        <v>1602</v>
      </c>
      <c r="F2161" s="2">
        <v>1</v>
      </c>
      <c r="G2161" s="2" t="s">
        <v>1399</v>
      </c>
      <c r="H2161" s="2" t="s">
        <v>1399</v>
      </c>
      <c r="I2161" s="4" t="s">
        <v>68</v>
      </c>
      <c r="J2161" s="112">
        <f>IF($H2161&lt;&gt;"Y",0,ROUND(MIN(Dashboard!$R$24,IF(IFERROR(VLOOKUP($B2161,Dashboard!$Q$28:$S$60,2,FALSE),0)&gt;0,IFERROR(VLOOKUP($B2161,Dashboard!$Q$28:$S$60,2,FALSE),0),$Z2161*IF($U2161&lt;&gt;"",ROUND((Dashboard!$R$4/$U2161)*VLOOKUP($I2161,Dashboard!$Q$9:$R$13,2,FALSE)*IF(ISNUMBER(SEARCH("Duals",$B2161)),2,IF(ISNUMBER(SEARCH("Triples",$B2161)),3,IF(ISNUMBER(SEARCH("Quads",$B2161)),4,1))),2),ROUND(VLOOKUP($I2161,Dashboard!$Q$15:$R$20,2,FALSE)*IF($E2161="Red",Dashboard!$R$6,IF($E2161="Gold",Dashboard!$R$7,Dashboard!$R$5))*IF(ISNUMBER(SEARCH("Duals",$B2161)),2,IF(ISNUMBER(SEARCH("Triples",$B2161)),3,IF(ISNUMBER(SEARCH("Quads",$B2161)),4,1))),2))*IF(IFERROR(VLOOKUP($B2161,Dashboard!$Q$28:$S$60,3,FALSE),0)&gt;0,VLOOKUP($B2161,Dashboard!$Q$28:$S$60,3,FALSE),1))),0))</f>
        <v>0</v>
      </c>
      <c r="K2161" s="2" t="str">
        <f>IF('Autos - Singles'!H51="","",'Autos - Singles'!H51)</f>
        <v/>
      </c>
      <c r="L2161" s="2">
        <f t="shared" si="429"/>
        <v>0</v>
      </c>
      <c r="M2161" s="2">
        <f t="shared" si="430"/>
        <v>0</v>
      </c>
      <c r="N2161" s="2">
        <f t="shared" si="431"/>
        <v>0</v>
      </c>
      <c r="O2161" s="2">
        <f t="shared" si="432"/>
        <v>0</v>
      </c>
      <c r="P2161" s="112">
        <f t="shared" si="433"/>
        <v>0</v>
      </c>
      <c r="Q2161" s="112">
        <f t="shared" si="434"/>
        <v>0</v>
      </c>
      <c r="R2161" s="53"/>
      <c r="S2161" s="53" t="str">
        <f t="shared" si="435"/>
        <v>Autos - Singles|Autographs Gold Parallel|A-NE|Gold</v>
      </c>
      <c r="T2161" s="57" t="str">
        <f>IF($S2161="","",IFERROR(VLOOKUP($S2161,'Pop Estimates (Non-#d)'!$N$2:$O$500,2,FALSE),""))</f>
        <v/>
      </c>
      <c r="U2161" s="57">
        <f t="shared" si="436"/>
        <v>1</v>
      </c>
      <c r="V2161" s="53" t="str">
        <f t="shared" si="437"/>
        <v>Homelander</v>
      </c>
      <c r="W2161" s="53" t="str">
        <f t="shared" si="438"/>
        <v>Homelander</v>
      </c>
      <c r="X2161" s="53" t="str">
        <f t="shared" si="439"/>
        <v>Homelander</v>
      </c>
      <c r="Y2161" s="57">
        <f>IF($X2161="","",IFERROR(VLOOKUP($X2161,'Char Popularity'!$A$2:$C$500,2,FALSE),""))</f>
        <v>5</v>
      </c>
      <c r="Z2161" s="56">
        <f>IF($X2161="",1,IFERROR(VLOOKUP($X2161,'Char Popularity'!$A$2:$C$500,3,FALSE),1))</f>
        <v>1.2</v>
      </c>
      <c r="AA2161" s="62">
        <f>IF($H2161&lt;&gt;"Y",0,(IF($F2161&lt;&gt;"",ROUND(Dashboard!$R$4/$F2161,1),IF(AND($I2161="Base",$E2161="Base"),Dashboard!$R$5,IF(AND($I2161="Base",$E2161="Red"),Dashboard!$R$6,IF(AND($I2161="Base",$E2161="Gold"),Dashboard!$R$7,VLOOKUP($I2161,Dashboard!$Q$16:$R$21,2,FALSE)))))*VLOOKUP($I2161,Dashboard!$Q$9:$R$13,2,FALSE)*IF(AND($I2161="Auto",$F2161="",OR($B2161="Autographs Duals",$B2161="Autographs Triples",$B2161="Autographs Quads",$B2161="Autographs Quads (Inscribed)")),IF($B2161="Autographs Duals",2,IF($B2161="Autographs Triples",3,4)),1)))</f>
        <v>0</v>
      </c>
      <c r="AB2161" s="62">
        <f t="shared" si="440"/>
        <v>0</v>
      </c>
      <c r="AC2161" s="62">
        <f t="shared" si="441"/>
        <v>0</v>
      </c>
    </row>
    <row r="2162" spans="1:29" ht="30" customHeight="1" x14ac:dyDescent="0.25">
      <c r="A2162" s="4" t="s">
        <v>37</v>
      </c>
      <c r="B2162" s="7" t="s">
        <v>790</v>
      </c>
      <c r="C2162" s="2" t="s">
        <v>294</v>
      </c>
      <c r="D2162" s="7" t="s">
        <v>283</v>
      </c>
      <c r="E2162" s="4" t="s">
        <v>1602</v>
      </c>
      <c r="F2162" s="2">
        <v>1</v>
      </c>
      <c r="G2162" s="2" t="s">
        <v>1399</v>
      </c>
      <c r="H2162" s="2" t="s">
        <v>1399</v>
      </c>
      <c r="I2162" s="4" t="s">
        <v>68</v>
      </c>
      <c r="J2162" s="112">
        <f>IF($H2162&lt;&gt;"Y",0,ROUND(MIN(Dashboard!$R$24,IF(IFERROR(VLOOKUP($B2162,Dashboard!$Q$28:$S$60,2,FALSE),0)&gt;0,IFERROR(VLOOKUP($B2162,Dashboard!$Q$28:$S$60,2,FALSE),0),$Z2162*IF($U2162&lt;&gt;"",ROUND((Dashboard!$R$4/$U2162)*VLOOKUP($I2162,Dashboard!$Q$9:$R$13,2,FALSE)*IF(ISNUMBER(SEARCH("Duals",$B2162)),2,IF(ISNUMBER(SEARCH("Triples",$B2162)),3,IF(ISNUMBER(SEARCH("Quads",$B2162)),4,1))),2),ROUND(VLOOKUP($I2162,Dashboard!$Q$15:$R$20,2,FALSE)*IF($E2162="Red",Dashboard!$R$6,IF($E2162="Gold",Dashboard!$R$7,Dashboard!$R$5))*IF(ISNUMBER(SEARCH("Duals",$B2162)),2,IF(ISNUMBER(SEARCH("Triples",$B2162)),3,IF(ISNUMBER(SEARCH("Quads",$B2162)),4,1))),2))*IF(IFERROR(VLOOKUP($B2162,Dashboard!$Q$28:$S$60,3,FALSE),0)&gt;0,VLOOKUP($B2162,Dashboard!$Q$28:$S$60,3,FALSE),1))),0))</f>
        <v>0</v>
      </c>
      <c r="K2162" s="2" t="str">
        <f>IF('Autos - Singles'!H52="","",'Autos - Singles'!H52)</f>
        <v/>
      </c>
      <c r="L2162" s="2">
        <f t="shared" si="429"/>
        <v>0</v>
      </c>
      <c r="M2162" s="2">
        <f t="shared" si="430"/>
        <v>0</v>
      </c>
      <c r="N2162" s="2">
        <f t="shared" si="431"/>
        <v>0</v>
      </c>
      <c r="O2162" s="2">
        <f t="shared" si="432"/>
        <v>0</v>
      </c>
      <c r="P2162" s="112">
        <f t="shared" si="433"/>
        <v>0</v>
      </c>
      <c r="Q2162" s="112">
        <f t="shared" si="434"/>
        <v>0</v>
      </c>
      <c r="R2162" s="53"/>
      <c r="S2162" s="53" t="str">
        <f t="shared" si="435"/>
        <v>Autos - Singles|Autographs Gold Parallel|A-NL|Gold</v>
      </c>
      <c r="T2162" s="57" t="str">
        <f>IF($S2162="","",IFERROR(VLOOKUP($S2162,'Pop Estimates (Non-#d)'!$N$2:$O$500,2,FALSE),""))</f>
        <v/>
      </c>
      <c r="U2162" s="57">
        <f t="shared" si="436"/>
        <v>1</v>
      </c>
      <c r="V2162" s="53" t="str">
        <f t="shared" si="437"/>
        <v>Black Noir</v>
      </c>
      <c r="W2162" s="53" t="str">
        <f t="shared" si="438"/>
        <v>Black Noir</v>
      </c>
      <c r="X2162" s="53" t="str">
        <f t="shared" si="439"/>
        <v>Black Noir</v>
      </c>
      <c r="Y2162" s="57">
        <f>IF($X2162="","",IFERROR(VLOOKUP($X2162,'Char Popularity'!$A$2:$C$500,2,FALSE),""))</f>
        <v>4</v>
      </c>
      <c r="Z2162" s="56">
        <f>IF($X2162="",1,IFERROR(VLOOKUP($X2162,'Char Popularity'!$A$2:$C$500,3,FALSE),1))</f>
        <v>1.1000000000000001</v>
      </c>
      <c r="AA2162" s="62">
        <f>IF($H2162&lt;&gt;"Y",0,(IF($F2162&lt;&gt;"",ROUND(Dashboard!$R$4/$F2162,1),IF(AND($I2162="Base",$E2162="Base"),Dashboard!$R$5,IF(AND($I2162="Base",$E2162="Red"),Dashboard!$R$6,IF(AND($I2162="Base",$E2162="Gold"),Dashboard!$R$7,VLOOKUP($I2162,Dashboard!$Q$16:$R$21,2,FALSE)))))*VLOOKUP($I2162,Dashboard!$Q$9:$R$13,2,FALSE)*IF(AND($I2162="Auto",$F2162="",OR($B2162="Autographs Duals",$B2162="Autographs Triples",$B2162="Autographs Quads",$B2162="Autographs Quads (Inscribed)")),IF($B2162="Autographs Duals",2,IF($B2162="Autographs Triples",3,4)),1)))</f>
        <v>0</v>
      </c>
      <c r="AB2162" s="62">
        <f t="shared" si="440"/>
        <v>0</v>
      </c>
      <c r="AC2162" s="62">
        <f t="shared" si="441"/>
        <v>0</v>
      </c>
    </row>
    <row r="2163" spans="1:29" ht="30" customHeight="1" x14ac:dyDescent="0.25">
      <c r="A2163" s="4" t="s">
        <v>37</v>
      </c>
      <c r="B2163" s="7" t="s">
        <v>790</v>
      </c>
      <c r="C2163" s="2" t="s">
        <v>295</v>
      </c>
      <c r="D2163" s="7" t="s">
        <v>283</v>
      </c>
      <c r="E2163" s="4" t="s">
        <v>1602</v>
      </c>
      <c r="F2163" s="2">
        <v>1</v>
      </c>
      <c r="G2163" s="2" t="s">
        <v>1399</v>
      </c>
      <c r="H2163" s="2" t="s">
        <v>1399</v>
      </c>
      <c r="I2163" s="4" t="s">
        <v>68</v>
      </c>
      <c r="J2163" s="112">
        <f>IF($H2163&lt;&gt;"Y",0,ROUND(MIN(Dashboard!$R$24,IF(IFERROR(VLOOKUP($B2163,Dashboard!$Q$28:$S$60,2,FALSE),0)&gt;0,IFERROR(VLOOKUP($B2163,Dashboard!$Q$28:$S$60,2,FALSE),0),$Z2163*IF($U2163&lt;&gt;"",ROUND((Dashboard!$R$4/$U2163)*VLOOKUP($I2163,Dashboard!$Q$9:$R$13,2,FALSE)*IF(ISNUMBER(SEARCH("Duals",$B2163)),2,IF(ISNUMBER(SEARCH("Triples",$B2163)),3,IF(ISNUMBER(SEARCH("Quads",$B2163)),4,1))),2),ROUND(VLOOKUP($I2163,Dashboard!$Q$15:$R$20,2,FALSE)*IF($E2163="Red",Dashboard!$R$6,IF($E2163="Gold",Dashboard!$R$7,Dashboard!$R$5))*IF(ISNUMBER(SEARCH("Duals",$B2163)),2,IF(ISNUMBER(SEARCH("Triples",$B2163)),3,IF(ISNUMBER(SEARCH("Quads",$B2163)),4,1))),2))*IF(IFERROR(VLOOKUP($B2163,Dashboard!$Q$28:$S$60,3,FALSE),0)&gt;0,VLOOKUP($B2163,Dashboard!$Q$28:$S$60,3,FALSE),1))),0))</f>
        <v>0</v>
      </c>
      <c r="K2163" s="2" t="str">
        <f>IF('Autos - Singles'!H53="","",'Autos - Singles'!H53)</f>
        <v/>
      </c>
      <c r="L2163" s="2">
        <f t="shared" si="429"/>
        <v>0</v>
      </c>
      <c r="M2163" s="2">
        <f t="shared" si="430"/>
        <v>0</v>
      </c>
      <c r="N2163" s="2">
        <f t="shared" si="431"/>
        <v>0</v>
      </c>
      <c r="O2163" s="2">
        <f t="shared" si="432"/>
        <v>0</v>
      </c>
      <c r="P2163" s="112">
        <f t="shared" si="433"/>
        <v>0</v>
      </c>
      <c r="Q2163" s="112">
        <f t="shared" si="434"/>
        <v>0</v>
      </c>
      <c r="R2163" s="53"/>
      <c r="S2163" s="53" t="str">
        <f t="shared" si="435"/>
        <v>Autos - Singles|Autographs Gold Parallel|A-NM|Gold</v>
      </c>
      <c r="T2163" s="57" t="str">
        <f>IF($S2163="","",IFERROR(VLOOKUP($S2163,'Pop Estimates (Non-#d)'!$N$2:$O$500,2,FALSE),""))</f>
        <v/>
      </c>
      <c r="U2163" s="57">
        <f t="shared" si="436"/>
        <v>1</v>
      </c>
      <c r="V2163" s="53" t="str">
        <f t="shared" si="437"/>
        <v>Black Noir</v>
      </c>
      <c r="W2163" s="53" t="str">
        <f t="shared" si="438"/>
        <v>Black Noir</v>
      </c>
      <c r="X2163" s="53" t="str">
        <f t="shared" si="439"/>
        <v>Black Noir</v>
      </c>
      <c r="Y2163" s="57">
        <f>IF($X2163="","",IFERROR(VLOOKUP($X2163,'Char Popularity'!$A$2:$C$500,2,FALSE),""))</f>
        <v>4</v>
      </c>
      <c r="Z2163" s="56">
        <f>IF($X2163="",1,IFERROR(VLOOKUP($X2163,'Char Popularity'!$A$2:$C$500,3,FALSE),1))</f>
        <v>1.1000000000000001</v>
      </c>
      <c r="AA2163" s="62">
        <f>IF($H2163&lt;&gt;"Y",0,(IF($F2163&lt;&gt;"",ROUND(Dashboard!$R$4/$F2163,1),IF(AND($I2163="Base",$E2163="Base"),Dashboard!$R$5,IF(AND($I2163="Base",$E2163="Red"),Dashboard!$R$6,IF(AND($I2163="Base",$E2163="Gold"),Dashboard!$R$7,VLOOKUP($I2163,Dashboard!$Q$16:$R$21,2,FALSE)))))*VLOOKUP($I2163,Dashboard!$Q$9:$R$13,2,FALSE)*IF(AND($I2163="Auto",$F2163="",OR($B2163="Autographs Duals",$B2163="Autographs Triples",$B2163="Autographs Quads",$B2163="Autographs Quads (Inscribed)")),IF($B2163="Autographs Duals",2,IF($B2163="Autographs Triples",3,4)),1)))</f>
        <v>0</v>
      </c>
      <c r="AB2163" s="62">
        <f t="shared" si="440"/>
        <v>0</v>
      </c>
      <c r="AC2163" s="62">
        <f t="shared" si="441"/>
        <v>0</v>
      </c>
    </row>
    <row r="2164" spans="1:29" ht="30" customHeight="1" x14ac:dyDescent="0.25">
      <c r="A2164" s="4" t="s">
        <v>37</v>
      </c>
      <c r="B2164" s="7" t="s">
        <v>790</v>
      </c>
      <c r="C2164" s="2" t="s">
        <v>296</v>
      </c>
      <c r="D2164" s="7" t="s">
        <v>263</v>
      </c>
      <c r="E2164" s="4" t="s">
        <v>1602</v>
      </c>
      <c r="F2164" s="2">
        <v>1</v>
      </c>
      <c r="G2164" s="2" t="s">
        <v>1399</v>
      </c>
      <c r="H2164" s="2" t="s">
        <v>1399</v>
      </c>
      <c r="I2164" s="4" t="s">
        <v>68</v>
      </c>
      <c r="J2164" s="112">
        <f>IF($H2164&lt;&gt;"Y",0,ROUND(MIN(Dashboard!$R$24,IF(IFERROR(VLOOKUP($B2164,Dashboard!$Q$28:$S$60,2,FALSE),0)&gt;0,IFERROR(VLOOKUP($B2164,Dashboard!$Q$28:$S$60,2,FALSE),0),$Z2164*IF($U2164&lt;&gt;"",ROUND((Dashboard!$R$4/$U2164)*VLOOKUP($I2164,Dashboard!$Q$9:$R$13,2,FALSE)*IF(ISNUMBER(SEARCH("Duals",$B2164)),2,IF(ISNUMBER(SEARCH("Triples",$B2164)),3,IF(ISNUMBER(SEARCH("Quads",$B2164)),4,1))),2),ROUND(VLOOKUP($I2164,Dashboard!$Q$15:$R$20,2,FALSE)*IF($E2164="Red",Dashboard!$R$6,IF($E2164="Gold",Dashboard!$R$7,Dashboard!$R$5))*IF(ISNUMBER(SEARCH("Duals",$B2164)),2,IF(ISNUMBER(SEARCH("Triples",$B2164)),3,IF(ISNUMBER(SEARCH("Quads",$B2164)),4,1))),2))*IF(IFERROR(VLOOKUP($B2164,Dashboard!$Q$28:$S$60,3,FALSE),0)&gt;0,VLOOKUP($B2164,Dashboard!$Q$28:$S$60,3,FALSE),1))),0))</f>
        <v>0</v>
      </c>
      <c r="K2164" s="2" t="str">
        <f>IF('Autos - Singles'!H54="","",'Autos - Singles'!H54)</f>
        <v/>
      </c>
      <c r="L2164" s="2">
        <f t="shared" si="429"/>
        <v>0</v>
      </c>
      <c r="M2164" s="2">
        <f t="shared" si="430"/>
        <v>0</v>
      </c>
      <c r="N2164" s="2">
        <f t="shared" si="431"/>
        <v>0</v>
      </c>
      <c r="O2164" s="2">
        <f t="shared" si="432"/>
        <v>0</v>
      </c>
      <c r="P2164" s="112">
        <f t="shared" si="433"/>
        <v>0</v>
      </c>
      <c r="Q2164" s="112">
        <f t="shared" si="434"/>
        <v>0</v>
      </c>
      <c r="R2164" s="53"/>
      <c r="S2164" s="53" t="str">
        <f t="shared" si="435"/>
        <v>Autos - Singles|Autographs Gold Parallel|A-QD|Gold</v>
      </c>
      <c r="T2164" s="57" t="str">
        <f>IF($S2164="","",IFERROR(VLOOKUP($S2164,'Pop Estimates (Non-#d)'!$N$2:$O$500,2,FALSE),""))</f>
        <v/>
      </c>
      <c r="U2164" s="57">
        <f t="shared" si="436"/>
        <v>1</v>
      </c>
      <c r="V2164" s="53" t="str">
        <f t="shared" si="437"/>
        <v>Hughie Campbell</v>
      </c>
      <c r="W2164" s="53" t="str">
        <f t="shared" si="438"/>
        <v>Hughie Campbell</v>
      </c>
      <c r="X2164" s="53" t="str">
        <f t="shared" si="439"/>
        <v>Hughie Campbell</v>
      </c>
      <c r="Y2164" s="57">
        <f>IF($X2164="","",IFERROR(VLOOKUP($X2164,'Char Popularity'!$A$2:$C$500,2,FALSE),""))</f>
        <v>5</v>
      </c>
      <c r="Z2164" s="56">
        <f>IF($X2164="",1,IFERROR(VLOOKUP($X2164,'Char Popularity'!$A$2:$C$500,3,FALSE),1))</f>
        <v>1.2</v>
      </c>
      <c r="AA2164" s="62">
        <f>IF($H2164&lt;&gt;"Y",0,(IF($F2164&lt;&gt;"",ROUND(Dashboard!$R$4/$F2164,1),IF(AND($I2164="Base",$E2164="Base"),Dashboard!$R$5,IF(AND($I2164="Base",$E2164="Red"),Dashboard!$R$6,IF(AND($I2164="Base",$E2164="Gold"),Dashboard!$R$7,VLOOKUP($I2164,Dashboard!$Q$16:$R$21,2,FALSE)))))*VLOOKUP($I2164,Dashboard!$Q$9:$R$13,2,FALSE)*IF(AND($I2164="Auto",$F2164="",OR($B2164="Autographs Duals",$B2164="Autographs Triples",$B2164="Autographs Quads",$B2164="Autographs Quads (Inscribed)")),IF($B2164="Autographs Duals",2,IF($B2164="Autographs Triples",3,4)),1)))</f>
        <v>0</v>
      </c>
      <c r="AB2164" s="62">
        <f t="shared" si="440"/>
        <v>0</v>
      </c>
      <c r="AC2164" s="62">
        <f t="shared" si="441"/>
        <v>0</v>
      </c>
    </row>
    <row r="2165" spans="1:29" ht="30" customHeight="1" x14ac:dyDescent="0.25">
      <c r="A2165" s="4" t="s">
        <v>37</v>
      </c>
      <c r="B2165" s="7" t="s">
        <v>790</v>
      </c>
      <c r="C2165" s="2" t="s">
        <v>298</v>
      </c>
      <c r="D2165" s="7" t="s">
        <v>280</v>
      </c>
      <c r="E2165" s="4" t="s">
        <v>1602</v>
      </c>
      <c r="F2165" s="2">
        <v>1</v>
      </c>
      <c r="G2165" s="2" t="s">
        <v>1399</v>
      </c>
      <c r="H2165" s="2" t="s">
        <v>1399</v>
      </c>
      <c r="I2165" s="4" t="s">
        <v>68</v>
      </c>
      <c r="J2165" s="112">
        <f>IF($H2165&lt;&gt;"Y",0,ROUND(MIN(Dashboard!$R$24,IF(IFERROR(VLOOKUP($B2165,Dashboard!$Q$28:$S$60,2,FALSE),0)&gt;0,IFERROR(VLOOKUP($B2165,Dashboard!$Q$28:$S$60,2,FALSE),0),$Z2165*IF($U2165&lt;&gt;"",ROUND((Dashboard!$R$4/$U2165)*VLOOKUP($I2165,Dashboard!$Q$9:$R$13,2,FALSE)*IF(ISNUMBER(SEARCH("Duals",$B2165)),2,IF(ISNUMBER(SEARCH("Triples",$B2165)),3,IF(ISNUMBER(SEARCH("Quads",$B2165)),4,1))),2),ROUND(VLOOKUP($I2165,Dashboard!$Q$15:$R$20,2,FALSE)*IF($E2165="Red",Dashboard!$R$6,IF($E2165="Gold",Dashboard!$R$7,Dashboard!$R$5))*IF(ISNUMBER(SEARCH("Duals",$B2165)),2,IF(ISNUMBER(SEARCH("Triples",$B2165)),3,IF(ISNUMBER(SEARCH("Quads",$B2165)),4,1))),2))*IF(IFERROR(VLOOKUP($B2165,Dashboard!$Q$28:$S$60,3,FALSE),0)&gt;0,VLOOKUP($B2165,Dashboard!$Q$28:$S$60,3,FALSE),1))),0))</f>
        <v>0</v>
      </c>
      <c r="K2165" s="2" t="str">
        <f>IF('Autos - Singles'!H55="","",'Autos - Singles'!H55)</f>
        <v/>
      </c>
      <c r="L2165" s="2">
        <f t="shared" si="429"/>
        <v>0</v>
      </c>
      <c r="M2165" s="2">
        <f t="shared" si="430"/>
        <v>0</v>
      </c>
      <c r="N2165" s="2">
        <f t="shared" si="431"/>
        <v>0</v>
      </c>
      <c r="O2165" s="2">
        <f t="shared" si="432"/>
        <v>0</v>
      </c>
      <c r="P2165" s="112">
        <f t="shared" si="433"/>
        <v>0</v>
      </c>
      <c r="Q2165" s="112">
        <f t="shared" si="434"/>
        <v>0</v>
      </c>
      <c r="R2165" s="53"/>
      <c r="S2165" s="53" t="str">
        <f t="shared" si="435"/>
        <v>Autos - Singles|Autographs Gold Parallel|A-RO|Gold</v>
      </c>
      <c r="T2165" s="57" t="str">
        <f>IF($S2165="","",IFERROR(VLOOKUP($S2165,'Pop Estimates (Non-#d)'!$N$2:$O$500,2,FALSE),""))</f>
        <v/>
      </c>
      <c r="U2165" s="57">
        <f t="shared" si="436"/>
        <v>1</v>
      </c>
      <c r="V2165" s="53" t="str">
        <f t="shared" si="437"/>
        <v>Grace Mallory</v>
      </c>
      <c r="W2165" s="53" t="str">
        <f t="shared" si="438"/>
        <v>Grace Mallory</v>
      </c>
      <c r="X2165" s="53" t="str">
        <f t="shared" si="439"/>
        <v>Grace Mallory</v>
      </c>
      <c r="Y2165" s="57">
        <f>IF($X2165="","",IFERROR(VLOOKUP($X2165,'Char Popularity'!$A$2:$C$500,2,FALSE),""))</f>
        <v>4</v>
      </c>
      <c r="Z2165" s="56">
        <f>IF($X2165="",1,IFERROR(VLOOKUP($X2165,'Char Popularity'!$A$2:$C$500,3,FALSE),1))</f>
        <v>1.1000000000000001</v>
      </c>
      <c r="AA2165" s="62">
        <f>IF($H2165&lt;&gt;"Y",0,(IF($F2165&lt;&gt;"",ROUND(Dashboard!$R$4/$F2165,1),IF(AND($I2165="Base",$E2165="Base"),Dashboard!$R$5,IF(AND($I2165="Base",$E2165="Red"),Dashboard!$R$6,IF(AND($I2165="Base",$E2165="Gold"),Dashboard!$R$7,VLOOKUP($I2165,Dashboard!$Q$16:$R$21,2,FALSE)))))*VLOOKUP($I2165,Dashboard!$Q$9:$R$13,2,FALSE)*IF(AND($I2165="Auto",$F2165="",OR($B2165="Autographs Duals",$B2165="Autographs Triples",$B2165="Autographs Quads",$B2165="Autographs Quads (Inscribed)")),IF($B2165="Autographs Duals",2,IF($B2165="Autographs Triples",3,4)),1)))</f>
        <v>0</v>
      </c>
      <c r="AB2165" s="62">
        <f t="shared" si="440"/>
        <v>0</v>
      </c>
      <c r="AC2165" s="62">
        <f t="shared" si="441"/>
        <v>0</v>
      </c>
    </row>
    <row r="2166" spans="1:29" ht="30" customHeight="1" x14ac:dyDescent="0.25">
      <c r="A2166" s="4" t="s">
        <v>37</v>
      </c>
      <c r="B2166" s="7" t="s">
        <v>790</v>
      </c>
      <c r="C2166" s="2" t="s">
        <v>300</v>
      </c>
      <c r="D2166" s="7" t="s">
        <v>301</v>
      </c>
      <c r="E2166" s="4" t="s">
        <v>1602</v>
      </c>
      <c r="F2166" s="2">
        <v>1</v>
      </c>
      <c r="G2166" s="2" t="s">
        <v>1399</v>
      </c>
      <c r="H2166" s="2" t="s">
        <v>1399</v>
      </c>
      <c r="I2166" s="4" t="s">
        <v>68</v>
      </c>
      <c r="J2166" s="112">
        <f>IF($H2166&lt;&gt;"Y",0,ROUND(MIN(Dashboard!$R$24,IF(IFERROR(VLOOKUP($B2166,Dashboard!$Q$28:$S$60,2,FALSE),0)&gt;0,IFERROR(VLOOKUP($B2166,Dashboard!$Q$28:$S$60,2,FALSE),0),$Z2166*IF($U2166&lt;&gt;"",ROUND((Dashboard!$R$4/$U2166)*VLOOKUP($I2166,Dashboard!$Q$9:$R$13,2,FALSE)*IF(ISNUMBER(SEARCH("Duals",$B2166)),2,IF(ISNUMBER(SEARCH("Triples",$B2166)),3,IF(ISNUMBER(SEARCH("Quads",$B2166)),4,1))),2),ROUND(VLOOKUP($I2166,Dashboard!$Q$15:$R$20,2,FALSE)*IF($E2166="Red",Dashboard!$R$6,IF($E2166="Gold",Dashboard!$R$7,Dashboard!$R$5))*IF(ISNUMBER(SEARCH("Duals",$B2166)),2,IF(ISNUMBER(SEARCH("Triples",$B2166)),3,IF(ISNUMBER(SEARCH("Quads",$B2166)),4,1))),2))*IF(IFERROR(VLOOKUP($B2166,Dashboard!$Q$28:$S$60,3,FALSE),0)&gt;0,VLOOKUP($B2166,Dashboard!$Q$28:$S$60,3,FALSE),1))),0))</f>
        <v>0</v>
      </c>
      <c r="K2166" s="2" t="str">
        <f>IF('Autos - Singles'!H56="","",'Autos - Singles'!H56)</f>
        <v/>
      </c>
      <c r="L2166" s="2">
        <f t="shared" si="429"/>
        <v>0</v>
      </c>
      <c r="M2166" s="2">
        <f t="shared" si="430"/>
        <v>0</v>
      </c>
      <c r="N2166" s="2">
        <f t="shared" si="431"/>
        <v>0</v>
      </c>
      <c r="O2166" s="2">
        <f t="shared" si="432"/>
        <v>0</v>
      </c>
      <c r="P2166" s="112">
        <f t="shared" si="433"/>
        <v>0</v>
      </c>
      <c r="Q2166" s="112">
        <f t="shared" si="434"/>
        <v>0</v>
      </c>
      <c r="R2166" s="53"/>
      <c r="S2166" s="53" t="str">
        <f t="shared" si="435"/>
        <v>Autos - Singles|Autographs Gold Parallel|A-SA|Gold</v>
      </c>
      <c r="T2166" s="57" t="str">
        <f>IF($S2166="","",IFERROR(VLOOKUP($S2166,'Pop Estimates (Non-#d)'!$N$2:$O$500,2,FALSE),""))</f>
        <v/>
      </c>
      <c r="U2166" s="57">
        <f t="shared" si="436"/>
        <v>1</v>
      </c>
      <c r="V2166" s="53" t="str">
        <f t="shared" si="437"/>
        <v>Lamplighter</v>
      </c>
      <c r="W2166" s="53" t="str">
        <f t="shared" si="438"/>
        <v>Lamplighter</v>
      </c>
      <c r="X2166" s="53" t="str">
        <f t="shared" si="439"/>
        <v>Lamplighter</v>
      </c>
      <c r="Y2166" s="57">
        <f>IF($X2166="","",IFERROR(VLOOKUP($X2166,'Char Popularity'!$A$2:$C$500,2,FALSE),""))</f>
        <v>2</v>
      </c>
      <c r="Z2166" s="56">
        <f>IF($X2166="",1,IFERROR(VLOOKUP($X2166,'Char Popularity'!$A$2:$C$500,3,FALSE),1))</f>
        <v>0.9</v>
      </c>
      <c r="AA2166" s="62">
        <f>IF($H2166&lt;&gt;"Y",0,(IF($F2166&lt;&gt;"",ROUND(Dashboard!$R$4/$F2166,1),IF(AND($I2166="Base",$E2166="Base"),Dashboard!$R$5,IF(AND($I2166="Base",$E2166="Red"),Dashboard!$R$6,IF(AND($I2166="Base",$E2166="Gold"),Dashboard!$R$7,VLOOKUP($I2166,Dashboard!$Q$16:$R$21,2,FALSE)))))*VLOOKUP($I2166,Dashboard!$Q$9:$R$13,2,FALSE)*IF(AND($I2166="Auto",$F2166="",OR($B2166="Autographs Duals",$B2166="Autographs Triples",$B2166="Autographs Quads",$B2166="Autographs Quads (Inscribed)")),IF($B2166="Autographs Duals",2,IF($B2166="Autographs Triples",3,4)),1)))</f>
        <v>0</v>
      </c>
      <c r="AB2166" s="62">
        <f t="shared" si="440"/>
        <v>0</v>
      </c>
      <c r="AC2166" s="62">
        <f t="shared" si="441"/>
        <v>0</v>
      </c>
    </row>
    <row r="2167" spans="1:29" ht="30" customHeight="1" x14ac:dyDescent="0.25">
      <c r="A2167" s="4" t="s">
        <v>37</v>
      </c>
      <c r="B2167" s="7" t="s">
        <v>790</v>
      </c>
      <c r="C2167" s="2" t="s">
        <v>302</v>
      </c>
      <c r="D2167" s="7" t="s">
        <v>250</v>
      </c>
      <c r="E2167" s="4" t="s">
        <v>1602</v>
      </c>
      <c r="F2167" s="2">
        <v>1</v>
      </c>
      <c r="G2167" s="2" t="s">
        <v>1399</v>
      </c>
      <c r="H2167" s="2" t="s">
        <v>1399</v>
      </c>
      <c r="I2167" s="4" t="s">
        <v>68</v>
      </c>
      <c r="J2167" s="112">
        <f>IF($H2167&lt;&gt;"Y",0,ROUND(MIN(Dashboard!$R$24,IF(IFERROR(VLOOKUP($B2167,Dashboard!$Q$28:$S$60,2,FALSE),0)&gt;0,IFERROR(VLOOKUP($B2167,Dashboard!$Q$28:$S$60,2,FALSE),0),$Z2167*IF($U2167&lt;&gt;"",ROUND((Dashboard!$R$4/$U2167)*VLOOKUP($I2167,Dashboard!$Q$9:$R$13,2,FALSE)*IF(ISNUMBER(SEARCH("Duals",$B2167)),2,IF(ISNUMBER(SEARCH("Triples",$B2167)),3,IF(ISNUMBER(SEARCH("Quads",$B2167)),4,1))),2),ROUND(VLOOKUP($I2167,Dashboard!$Q$15:$R$20,2,FALSE)*IF($E2167="Red",Dashboard!$R$6,IF($E2167="Gold",Dashboard!$R$7,Dashboard!$R$5))*IF(ISNUMBER(SEARCH("Duals",$B2167)),2,IF(ISNUMBER(SEARCH("Triples",$B2167)),3,IF(ISNUMBER(SEARCH("Quads",$B2167)),4,1))),2))*IF(IFERROR(VLOOKUP($B2167,Dashboard!$Q$28:$S$60,3,FALSE),0)&gt;0,VLOOKUP($B2167,Dashboard!$Q$28:$S$60,3,FALSE),1))),0))</f>
        <v>0</v>
      </c>
      <c r="K2167" s="2" t="str">
        <f>IF('Autos - Singles'!H57="","",'Autos - Singles'!H57)</f>
        <v/>
      </c>
      <c r="L2167" s="2">
        <f t="shared" si="429"/>
        <v>0</v>
      </c>
      <c r="M2167" s="2">
        <f t="shared" si="430"/>
        <v>0</v>
      </c>
      <c r="N2167" s="2">
        <f t="shared" si="431"/>
        <v>0</v>
      </c>
      <c r="O2167" s="2">
        <f t="shared" si="432"/>
        <v>0</v>
      </c>
      <c r="P2167" s="112">
        <f t="shared" si="433"/>
        <v>0</v>
      </c>
      <c r="Q2167" s="112">
        <f t="shared" si="434"/>
        <v>0</v>
      </c>
      <c r="R2167" s="53"/>
      <c r="S2167" s="53" t="str">
        <f t="shared" si="435"/>
        <v>Autos - Singles|Autographs Gold Parallel|A-SH|Gold</v>
      </c>
      <c r="T2167" s="57" t="str">
        <f>IF($S2167="","",IFERROR(VLOOKUP($S2167,'Pop Estimates (Non-#d)'!$N$2:$O$500,2,FALSE),""))</f>
        <v/>
      </c>
      <c r="U2167" s="57">
        <f t="shared" si="436"/>
        <v>1</v>
      </c>
      <c r="V2167" s="53" t="str">
        <f t="shared" si="437"/>
        <v>Madelyn Stillwell</v>
      </c>
      <c r="W2167" s="53" t="str">
        <f t="shared" si="438"/>
        <v>Madelyn Stillwell</v>
      </c>
      <c r="X2167" s="53" t="str">
        <f t="shared" si="439"/>
        <v>Madelyn Stillwell</v>
      </c>
      <c r="Y2167" s="57">
        <f>IF($X2167="","",IFERROR(VLOOKUP($X2167,'Char Popularity'!$A$2:$C$500,2,FALSE),""))</f>
        <v>3</v>
      </c>
      <c r="Z2167" s="56">
        <f>IF($X2167="",1,IFERROR(VLOOKUP($X2167,'Char Popularity'!$A$2:$C$500,3,FALSE),1))</f>
        <v>1</v>
      </c>
      <c r="AA2167" s="62">
        <f>IF($H2167&lt;&gt;"Y",0,(IF($F2167&lt;&gt;"",ROUND(Dashboard!$R$4/$F2167,1),IF(AND($I2167="Base",$E2167="Base"),Dashboard!$R$5,IF(AND($I2167="Base",$E2167="Red"),Dashboard!$R$6,IF(AND($I2167="Base",$E2167="Gold"),Dashboard!$R$7,VLOOKUP($I2167,Dashboard!$Q$16:$R$21,2,FALSE)))))*VLOOKUP($I2167,Dashboard!$Q$9:$R$13,2,FALSE)*IF(AND($I2167="Auto",$F2167="",OR($B2167="Autographs Duals",$B2167="Autographs Triples",$B2167="Autographs Quads",$B2167="Autographs Quads (Inscribed)")),IF($B2167="Autographs Duals",2,IF($B2167="Autographs Triples",3,4)),1)))</f>
        <v>0</v>
      </c>
      <c r="AB2167" s="62">
        <f t="shared" si="440"/>
        <v>0</v>
      </c>
      <c r="AC2167" s="62">
        <f t="shared" si="441"/>
        <v>0</v>
      </c>
    </row>
    <row r="2168" spans="1:29" ht="30" customHeight="1" x14ac:dyDescent="0.25">
      <c r="A2168" s="4" t="s">
        <v>37</v>
      </c>
      <c r="B2168" s="7" t="s">
        <v>790</v>
      </c>
      <c r="C2168" s="2" t="s">
        <v>304</v>
      </c>
      <c r="D2168" s="7" t="s">
        <v>301</v>
      </c>
      <c r="E2168" s="4" t="s">
        <v>1602</v>
      </c>
      <c r="F2168" s="2">
        <v>1</v>
      </c>
      <c r="G2168" s="2" t="s">
        <v>1399</v>
      </c>
      <c r="H2168" s="2" t="s">
        <v>1399</v>
      </c>
      <c r="I2168" s="4" t="s">
        <v>68</v>
      </c>
      <c r="J2168" s="112">
        <f>IF($H2168&lt;&gt;"Y",0,ROUND(MIN(Dashboard!$R$24,IF(IFERROR(VLOOKUP($B2168,Dashboard!$Q$28:$S$60,2,FALSE),0)&gt;0,IFERROR(VLOOKUP($B2168,Dashboard!$Q$28:$S$60,2,FALSE),0),$Z2168*IF($U2168&lt;&gt;"",ROUND((Dashboard!$R$4/$U2168)*VLOOKUP($I2168,Dashboard!$Q$9:$R$13,2,FALSE)*IF(ISNUMBER(SEARCH("Duals",$B2168)),2,IF(ISNUMBER(SEARCH("Triples",$B2168)),3,IF(ISNUMBER(SEARCH("Quads",$B2168)),4,1))),2),ROUND(VLOOKUP($I2168,Dashboard!$Q$15:$R$20,2,FALSE)*IF($E2168="Red",Dashboard!$R$6,IF($E2168="Gold",Dashboard!$R$7,Dashboard!$R$5))*IF(ISNUMBER(SEARCH("Duals",$B2168)),2,IF(ISNUMBER(SEARCH("Triples",$B2168)),3,IF(ISNUMBER(SEARCH("Quads",$B2168)),4,1))),2))*IF(IFERROR(VLOOKUP($B2168,Dashboard!$Q$28:$S$60,3,FALSE),0)&gt;0,VLOOKUP($B2168,Dashboard!$Q$28:$S$60,3,FALSE),1))),0))</f>
        <v>0</v>
      </c>
      <c r="K2168" s="2" t="str">
        <f>IF('Autos - Singles'!H58="","",'Autos - Singles'!H58)</f>
        <v/>
      </c>
      <c r="L2168" s="2">
        <f t="shared" si="429"/>
        <v>0</v>
      </c>
      <c r="M2168" s="2">
        <f t="shared" si="430"/>
        <v>0</v>
      </c>
      <c r="N2168" s="2">
        <f t="shared" si="431"/>
        <v>0</v>
      </c>
      <c r="O2168" s="2">
        <f t="shared" si="432"/>
        <v>0</v>
      </c>
      <c r="P2168" s="112">
        <f t="shared" si="433"/>
        <v>0</v>
      </c>
      <c r="Q2168" s="112">
        <f t="shared" si="434"/>
        <v>0</v>
      </c>
      <c r="R2168" s="53"/>
      <c r="S2168" s="53" t="str">
        <f t="shared" si="435"/>
        <v>Autos - Singles|Autographs Gold Parallel|A-SM|Gold</v>
      </c>
      <c r="T2168" s="57" t="str">
        <f>IF($S2168="","",IFERROR(VLOOKUP($S2168,'Pop Estimates (Non-#d)'!$N$2:$O$500,2,FALSE),""))</f>
        <v/>
      </c>
      <c r="U2168" s="57">
        <f t="shared" si="436"/>
        <v>1</v>
      </c>
      <c r="V2168" s="53" t="str">
        <f t="shared" si="437"/>
        <v>Lamplighter</v>
      </c>
      <c r="W2168" s="53" t="str">
        <f t="shared" si="438"/>
        <v>Lamplighter</v>
      </c>
      <c r="X2168" s="53" t="str">
        <f t="shared" si="439"/>
        <v>Lamplighter</v>
      </c>
      <c r="Y2168" s="57">
        <f>IF($X2168="","",IFERROR(VLOOKUP($X2168,'Char Popularity'!$A$2:$C$500,2,FALSE),""))</f>
        <v>2</v>
      </c>
      <c r="Z2168" s="56">
        <f>IF($X2168="",1,IFERROR(VLOOKUP($X2168,'Char Popularity'!$A$2:$C$500,3,FALSE),1))</f>
        <v>0.9</v>
      </c>
      <c r="AA2168" s="62">
        <f>IF($H2168&lt;&gt;"Y",0,(IF($F2168&lt;&gt;"",ROUND(Dashboard!$R$4/$F2168,1),IF(AND($I2168="Base",$E2168="Base"),Dashboard!$R$5,IF(AND($I2168="Base",$E2168="Red"),Dashboard!$R$6,IF(AND($I2168="Base",$E2168="Gold"),Dashboard!$R$7,VLOOKUP($I2168,Dashboard!$Q$16:$R$21,2,FALSE)))))*VLOOKUP($I2168,Dashboard!$Q$9:$R$13,2,FALSE)*IF(AND($I2168="Auto",$F2168="",OR($B2168="Autographs Duals",$B2168="Autographs Triples",$B2168="Autographs Quads",$B2168="Autographs Quads (Inscribed)")),IF($B2168="Autographs Duals",2,IF($B2168="Autographs Triples",3,4)),1)))</f>
        <v>0</v>
      </c>
      <c r="AB2168" s="62">
        <f t="shared" si="440"/>
        <v>0</v>
      </c>
      <c r="AC2168" s="62">
        <f t="shared" si="441"/>
        <v>0</v>
      </c>
    </row>
    <row r="2169" spans="1:29" ht="30" customHeight="1" x14ac:dyDescent="0.25">
      <c r="A2169" s="4" t="s">
        <v>37</v>
      </c>
      <c r="B2169" s="7" t="s">
        <v>790</v>
      </c>
      <c r="C2169" s="2" t="s">
        <v>306</v>
      </c>
      <c r="D2169" s="7" t="s">
        <v>222</v>
      </c>
      <c r="E2169" s="4" t="s">
        <v>1602</v>
      </c>
      <c r="F2169" s="2">
        <v>1</v>
      </c>
      <c r="G2169" s="2" t="s">
        <v>1399</v>
      </c>
      <c r="H2169" s="2" t="s">
        <v>1399</v>
      </c>
      <c r="I2169" s="4" t="s">
        <v>68</v>
      </c>
      <c r="J2169" s="112">
        <f>IF($H2169&lt;&gt;"Y",0,ROUND(MIN(Dashboard!$R$24,IF(IFERROR(VLOOKUP($B2169,Dashboard!$Q$28:$S$60,2,FALSE),0)&gt;0,IFERROR(VLOOKUP($B2169,Dashboard!$Q$28:$S$60,2,FALSE),0),$Z2169*IF($U2169&lt;&gt;"",ROUND((Dashboard!$R$4/$U2169)*VLOOKUP($I2169,Dashboard!$Q$9:$R$13,2,FALSE)*IF(ISNUMBER(SEARCH("Duals",$B2169)),2,IF(ISNUMBER(SEARCH("Triples",$B2169)),3,IF(ISNUMBER(SEARCH("Quads",$B2169)),4,1))),2),ROUND(VLOOKUP($I2169,Dashboard!$Q$15:$R$20,2,FALSE)*IF($E2169="Red",Dashboard!$R$6,IF($E2169="Gold",Dashboard!$R$7,Dashboard!$R$5))*IF(ISNUMBER(SEARCH("Duals",$B2169)),2,IF(ISNUMBER(SEARCH("Triples",$B2169)),3,IF(ISNUMBER(SEARCH("Quads",$B2169)),4,1))),2))*IF(IFERROR(VLOOKUP($B2169,Dashboard!$Q$28:$S$60,3,FALSE),0)&gt;0,VLOOKUP($B2169,Dashboard!$Q$28:$S$60,3,FALSE),1))),0))</f>
        <v>0</v>
      </c>
      <c r="K2169" s="2" t="str">
        <f>IF('Autos - Singles'!H59="","",'Autos - Singles'!H59)</f>
        <v/>
      </c>
      <c r="L2169" s="2">
        <f t="shared" si="429"/>
        <v>0</v>
      </c>
      <c r="M2169" s="2">
        <f t="shared" si="430"/>
        <v>0</v>
      </c>
      <c r="N2169" s="2">
        <f t="shared" si="431"/>
        <v>0</v>
      </c>
      <c r="O2169" s="2">
        <f t="shared" si="432"/>
        <v>0</v>
      </c>
      <c r="P2169" s="112">
        <f t="shared" si="433"/>
        <v>0</v>
      </c>
      <c r="Q2169" s="112">
        <f t="shared" si="434"/>
        <v>0</v>
      </c>
      <c r="R2169" s="53"/>
      <c r="S2169" s="53" t="str">
        <f t="shared" si="435"/>
        <v>Autos - Singles|Autographs Gold Parallel|A-SR|Gold</v>
      </c>
      <c r="T2169" s="57" t="str">
        <f>IF($S2169="","",IFERROR(VLOOKUP($S2169,'Pop Estimates (Non-#d)'!$N$2:$O$500,2,FALSE),""))</f>
        <v/>
      </c>
      <c r="U2169" s="57">
        <f t="shared" si="436"/>
        <v>1</v>
      </c>
      <c r="V2169" s="53" t="str">
        <f t="shared" si="437"/>
        <v>Homelander</v>
      </c>
      <c r="W2169" s="53" t="str">
        <f t="shared" si="438"/>
        <v>Homelander</v>
      </c>
      <c r="X2169" s="53" t="str">
        <f t="shared" si="439"/>
        <v>Homelander</v>
      </c>
      <c r="Y2169" s="57">
        <f>IF($X2169="","",IFERROR(VLOOKUP($X2169,'Char Popularity'!$A$2:$C$500,2,FALSE),""))</f>
        <v>5</v>
      </c>
      <c r="Z2169" s="56">
        <f>IF($X2169="",1,IFERROR(VLOOKUP($X2169,'Char Popularity'!$A$2:$C$500,3,FALSE),1))</f>
        <v>1.2</v>
      </c>
      <c r="AA2169" s="62">
        <f>IF($H2169&lt;&gt;"Y",0,(IF($F2169&lt;&gt;"",ROUND(Dashboard!$R$4/$F2169,1),IF(AND($I2169="Base",$E2169="Base"),Dashboard!$R$5,IF(AND($I2169="Base",$E2169="Red"),Dashboard!$R$6,IF(AND($I2169="Base",$E2169="Gold"),Dashboard!$R$7,VLOOKUP($I2169,Dashboard!$Q$16:$R$21,2,FALSE)))))*VLOOKUP($I2169,Dashboard!$Q$9:$R$13,2,FALSE)*IF(AND($I2169="Auto",$F2169="",OR($B2169="Autographs Duals",$B2169="Autographs Triples",$B2169="Autographs Quads",$B2169="Autographs Quads (Inscribed)")),IF($B2169="Autographs Duals",2,IF($B2169="Autographs Triples",3,4)),1)))</f>
        <v>0</v>
      </c>
      <c r="AB2169" s="62">
        <f t="shared" si="440"/>
        <v>0</v>
      </c>
      <c r="AC2169" s="62">
        <f t="shared" si="441"/>
        <v>0</v>
      </c>
    </row>
    <row r="2170" spans="1:29" ht="30" customHeight="1" x14ac:dyDescent="0.25">
      <c r="A2170" s="4" t="s">
        <v>37</v>
      </c>
      <c r="B2170" s="7" t="s">
        <v>790</v>
      </c>
      <c r="C2170" s="2" t="s">
        <v>307</v>
      </c>
      <c r="D2170" s="7" t="s">
        <v>308</v>
      </c>
      <c r="E2170" s="4" t="s">
        <v>1602</v>
      </c>
      <c r="F2170" s="2">
        <v>1</v>
      </c>
      <c r="G2170" s="2" t="s">
        <v>1399</v>
      </c>
      <c r="H2170" s="2" t="s">
        <v>1399</v>
      </c>
      <c r="I2170" s="4" t="s">
        <v>68</v>
      </c>
      <c r="J2170" s="112">
        <f>IF($H2170&lt;&gt;"Y",0,ROUND(MIN(Dashboard!$R$24,IF(IFERROR(VLOOKUP($B2170,Dashboard!$Q$28:$S$60,2,FALSE),0)&gt;0,IFERROR(VLOOKUP($B2170,Dashboard!$Q$28:$S$60,2,FALSE),0),$Z2170*IF($U2170&lt;&gt;"",ROUND((Dashboard!$R$4/$U2170)*VLOOKUP($I2170,Dashboard!$Q$9:$R$13,2,FALSE)*IF(ISNUMBER(SEARCH("Duals",$B2170)),2,IF(ISNUMBER(SEARCH("Triples",$B2170)),3,IF(ISNUMBER(SEARCH("Quads",$B2170)),4,1))),2),ROUND(VLOOKUP($I2170,Dashboard!$Q$15:$R$20,2,FALSE)*IF($E2170="Red",Dashboard!$R$6,IF($E2170="Gold",Dashboard!$R$7,Dashboard!$R$5))*IF(ISNUMBER(SEARCH("Duals",$B2170)),2,IF(ISNUMBER(SEARCH("Triples",$B2170)),3,IF(ISNUMBER(SEARCH("Quads",$B2170)),4,1))),2))*IF(IFERROR(VLOOKUP($B2170,Dashboard!$Q$28:$S$60,3,FALSE),0)&gt;0,VLOOKUP($B2170,Dashboard!$Q$28:$S$60,3,FALSE),1))),0))</f>
        <v>0</v>
      </c>
      <c r="K2170" s="2" t="str">
        <f>IF('Autos - Singles'!H60="","",'Autos - Singles'!H60)</f>
        <v/>
      </c>
      <c r="L2170" s="2">
        <f t="shared" si="429"/>
        <v>0</v>
      </c>
      <c r="M2170" s="2">
        <f t="shared" si="430"/>
        <v>0</v>
      </c>
      <c r="N2170" s="2">
        <f t="shared" si="431"/>
        <v>0</v>
      </c>
      <c r="O2170" s="2">
        <f t="shared" si="432"/>
        <v>0</v>
      </c>
      <c r="P2170" s="112">
        <f t="shared" si="433"/>
        <v>0</v>
      </c>
      <c r="Q2170" s="112">
        <f t="shared" si="434"/>
        <v>0</v>
      </c>
      <c r="R2170" s="53"/>
      <c r="S2170" s="53" t="str">
        <f t="shared" si="435"/>
        <v>Autos - Singles|Autographs Gold Parallel|A-SS|Gold</v>
      </c>
      <c r="T2170" s="57" t="str">
        <f>IF($S2170="","",IFERROR(VLOOKUP($S2170,'Pop Estimates (Non-#d)'!$N$2:$O$500,2,FALSE),""))</f>
        <v/>
      </c>
      <c r="U2170" s="57">
        <f t="shared" si="436"/>
        <v>1</v>
      </c>
      <c r="V2170" s="53" t="str">
        <f t="shared" si="437"/>
        <v>Becca Butcher</v>
      </c>
      <c r="W2170" s="53" t="str">
        <f t="shared" si="438"/>
        <v>Becca Butcher</v>
      </c>
      <c r="X2170" s="53" t="str">
        <f t="shared" si="439"/>
        <v>Becca Butcher</v>
      </c>
      <c r="Y2170" s="57">
        <f>IF($X2170="","",IFERROR(VLOOKUP($X2170,'Char Popularity'!$A$2:$C$500,2,FALSE),""))</f>
        <v>3</v>
      </c>
      <c r="Z2170" s="56">
        <f>IF($X2170="",1,IFERROR(VLOOKUP($X2170,'Char Popularity'!$A$2:$C$500,3,FALSE),1))</f>
        <v>1</v>
      </c>
      <c r="AA2170" s="62">
        <f>IF($H2170&lt;&gt;"Y",0,(IF($F2170&lt;&gt;"",ROUND(Dashboard!$R$4/$F2170,1),IF(AND($I2170="Base",$E2170="Base"),Dashboard!$R$5,IF(AND($I2170="Base",$E2170="Red"),Dashboard!$R$6,IF(AND($I2170="Base",$E2170="Gold"),Dashboard!$R$7,VLOOKUP($I2170,Dashboard!$Q$16:$R$21,2,FALSE)))))*VLOOKUP($I2170,Dashboard!$Q$9:$R$13,2,FALSE)*IF(AND($I2170="Auto",$F2170="",OR($B2170="Autographs Duals",$B2170="Autographs Triples",$B2170="Autographs Quads",$B2170="Autographs Quads (Inscribed)")),IF($B2170="Autographs Duals",2,IF($B2170="Autographs Triples",3,4)),1)))</f>
        <v>0</v>
      </c>
      <c r="AB2170" s="62">
        <f t="shared" si="440"/>
        <v>0</v>
      </c>
      <c r="AC2170" s="62">
        <f t="shared" si="441"/>
        <v>0</v>
      </c>
    </row>
    <row r="2171" spans="1:29" ht="30" customHeight="1" x14ac:dyDescent="0.25">
      <c r="A2171" s="4" t="s">
        <v>37</v>
      </c>
      <c r="B2171" s="7" t="s">
        <v>790</v>
      </c>
      <c r="C2171" s="2" t="s">
        <v>309</v>
      </c>
      <c r="D2171" s="7" t="s">
        <v>222</v>
      </c>
      <c r="E2171" s="4" t="s">
        <v>1602</v>
      </c>
      <c r="F2171" s="2">
        <v>1</v>
      </c>
      <c r="G2171" s="2" t="s">
        <v>1399</v>
      </c>
      <c r="H2171" s="2" t="s">
        <v>1399</v>
      </c>
      <c r="I2171" s="4" t="s">
        <v>68</v>
      </c>
      <c r="J2171" s="112">
        <f>IF($H2171&lt;&gt;"Y",0,ROUND(MIN(Dashboard!$R$24,IF(IFERROR(VLOOKUP($B2171,Dashboard!$Q$28:$S$60,2,FALSE),0)&gt;0,IFERROR(VLOOKUP($B2171,Dashboard!$Q$28:$S$60,2,FALSE),0),$Z2171*IF($U2171&lt;&gt;"",ROUND((Dashboard!$R$4/$U2171)*VLOOKUP($I2171,Dashboard!$Q$9:$R$13,2,FALSE)*IF(ISNUMBER(SEARCH("Duals",$B2171)),2,IF(ISNUMBER(SEARCH("Triples",$B2171)),3,IF(ISNUMBER(SEARCH("Quads",$B2171)),4,1))),2),ROUND(VLOOKUP($I2171,Dashboard!$Q$15:$R$20,2,FALSE)*IF($E2171="Red",Dashboard!$R$6,IF($E2171="Gold",Dashboard!$R$7,Dashboard!$R$5))*IF(ISNUMBER(SEARCH("Duals",$B2171)),2,IF(ISNUMBER(SEARCH("Triples",$B2171)),3,IF(ISNUMBER(SEARCH("Quads",$B2171)),4,1))),2))*IF(IFERROR(VLOOKUP($B2171,Dashboard!$Q$28:$S$60,3,FALSE),0)&gt;0,VLOOKUP($B2171,Dashboard!$Q$28:$S$60,3,FALSE),1))),0))</f>
        <v>0</v>
      </c>
      <c r="K2171" s="2" t="str">
        <f>IF('Autos - Singles'!H61="","",'Autos - Singles'!H61)</f>
        <v/>
      </c>
      <c r="L2171" s="2">
        <f t="shared" si="429"/>
        <v>0</v>
      </c>
      <c r="M2171" s="2">
        <f t="shared" si="430"/>
        <v>0</v>
      </c>
      <c r="N2171" s="2">
        <f t="shared" si="431"/>
        <v>0</v>
      </c>
      <c r="O2171" s="2">
        <f t="shared" si="432"/>
        <v>0</v>
      </c>
      <c r="P2171" s="112">
        <f t="shared" si="433"/>
        <v>0</v>
      </c>
      <c r="Q2171" s="112">
        <f t="shared" si="434"/>
        <v>0</v>
      </c>
      <c r="R2171" s="53"/>
      <c r="S2171" s="53" t="str">
        <f t="shared" si="435"/>
        <v>Autos - Singles|Autographs Gold Parallel|A-ST|Gold</v>
      </c>
      <c r="T2171" s="57" t="str">
        <f>IF($S2171="","",IFERROR(VLOOKUP($S2171,'Pop Estimates (Non-#d)'!$N$2:$O$500,2,FALSE),""))</f>
        <v/>
      </c>
      <c r="U2171" s="57">
        <f t="shared" si="436"/>
        <v>1</v>
      </c>
      <c r="V2171" s="53" t="str">
        <f t="shared" si="437"/>
        <v>Homelander</v>
      </c>
      <c r="W2171" s="53" t="str">
        <f t="shared" si="438"/>
        <v>Homelander</v>
      </c>
      <c r="X2171" s="53" t="str">
        <f t="shared" si="439"/>
        <v>Homelander</v>
      </c>
      <c r="Y2171" s="57">
        <f>IF($X2171="","",IFERROR(VLOOKUP($X2171,'Char Popularity'!$A$2:$C$500,2,FALSE),""))</f>
        <v>5</v>
      </c>
      <c r="Z2171" s="56">
        <f>IF($X2171="",1,IFERROR(VLOOKUP($X2171,'Char Popularity'!$A$2:$C$500,3,FALSE),1))</f>
        <v>1.2</v>
      </c>
      <c r="AA2171" s="62">
        <f>IF($H2171&lt;&gt;"Y",0,(IF($F2171&lt;&gt;"",ROUND(Dashboard!$R$4/$F2171,1),IF(AND($I2171="Base",$E2171="Base"),Dashboard!$R$5,IF(AND($I2171="Base",$E2171="Red"),Dashboard!$R$6,IF(AND($I2171="Base",$E2171="Gold"),Dashboard!$R$7,VLOOKUP($I2171,Dashboard!$Q$16:$R$21,2,FALSE)))))*VLOOKUP($I2171,Dashboard!$Q$9:$R$13,2,FALSE)*IF(AND($I2171="Auto",$F2171="",OR($B2171="Autographs Duals",$B2171="Autographs Triples",$B2171="Autographs Quads",$B2171="Autographs Quads (Inscribed)")),IF($B2171="Autographs Duals",2,IF($B2171="Autographs Triples",3,4)),1)))</f>
        <v>0</v>
      </c>
      <c r="AB2171" s="62">
        <f t="shared" si="440"/>
        <v>0</v>
      </c>
      <c r="AC2171" s="62">
        <f t="shared" si="441"/>
        <v>0</v>
      </c>
    </row>
    <row r="2172" spans="1:29" ht="30" customHeight="1" x14ac:dyDescent="0.25">
      <c r="A2172" s="4" t="s">
        <v>37</v>
      </c>
      <c r="B2172" s="7" t="s">
        <v>790</v>
      </c>
      <c r="C2172" s="2" t="s">
        <v>310</v>
      </c>
      <c r="D2172" s="7" t="s">
        <v>308</v>
      </c>
      <c r="E2172" s="4" t="s">
        <v>1602</v>
      </c>
      <c r="F2172" s="2">
        <v>1</v>
      </c>
      <c r="G2172" s="2" t="s">
        <v>1399</v>
      </c>
      <c r="H2172" s="2" t="s">
        <v>1399</v>
      </c>
      <c r="I2172" s="4" t="s">
        <v>68</v>
      </c>
      <c r="J2172" s="112">
        <f>IF($H2172&lt;&gt;"Y",0,ROUND(MIN(Dashboard!$R$24,IF(IFERROR(VLOOKUP($B2172,Dashboard!$Q$28:$S$60,2,FALSE),0)&gt;0,IFERROR(VLOOKUP($B2172,Dashboard!$Q$28:$S$60,2,FALSE),0),$Z2172*IF($U2172&lt;&gt;"",ROUND((Dashboard!$R$4/$U2172)*VLOOKUP($I2172,Dashboard!$Q$9:$R$13,2,FALSE)*IF(ISNUMBER(SEARCH("Duals",$B2172)),2,IF(ISNUMBER(SEARCH("Triples",$B2172)),3,IF(ISNUMBER(SEARCH("Quads",$B2172)),4,1))),2),ROUND(VLOOKUP($I2172,Dashboard!$Q$15:$R$20,2,FALSE)*IF($E2172="Red",Dashboard!$R$6,IF($E2172="Gold",Dashboard!$R$7,Dashboard!$R$5))*IF(ISNUMBER(SEARCH("Duals",$B2172)),2,IF(ISNUMBER(SEARCH("Triples",$B2172)),3,IF(ISNUMBER(SEARCH("Quads",$B2172)),4,1))),2))*IF(IFERROR(VLOOKUP($B2172,Dashboard!$Q$28:$S$60,3,FALSE),0)&gt;0,VLOOKUP($B2172,Dashboard!$Q$28:$S$60,3,FALSE),1))),0))</f>
        <v>0</v>
      </c>
      <c r="K2172" s="2" t="str">
        <f>IF('Autos - Singles'!H62="","",'Autos - Singles'!H62)</f>
        <v/>
      </c>
      <c r="L2172" s="2">
        <f t="shared" si="429"/>
        <v>0</v>
      </c>
      <c r="M2172" s="2">
        <f t="shared" si="430"/>
        <v>0</v>
      </c>
      <c r="N2172" s="2">
        <f t="shared" si="431"/>
        <v>0</v>
      </c>
      <c r="O2172" s="2">
        <f t="shared" si="432"/>
        <v>0</v>
      </c>
      <c r="P2172" s="112">
        <f t="shared" si="433"/>
        <v>0</v>
      </c>
      <c r="Q2172" s="112">
        <f t="shared" si="434"/>
        <v>0</v>
      </c>
      <c r="R2172" s="53"/>
      <c r="S2172" s="53" t="str">
        <f t="shared" si="435"/>
        <v>Autos - Singles|Autographs Gold Parallel|A-SV|Gold</v>
      </c>
      <c r="T2172" s="57" t="str">
        <f>IF($S2172="","",IFERROR(VLOOKUP($S2172,'Pop Estimates (Non-#d)'!$N$2:$O$500,2,FALSE),""))</f>
        <v/>
      </c>
      <c r="U2172" s="57">
        <f t="shared" si="436"/>
        <v>1</v>
      </c>
      <c r="V2172" s="53" t="str">
        <f t="shared" si="437"/>
        <v>Becca Butcher</v>
      </c>
      <c r="W2172" s="53" t="str">
        <f t="shared" si="438"/>
        <v>Becca Butcher</v>
      </c>
      <c r="X2172" s="53" t="str">
        <f t="shared" si="439"/>
        <v>Becca Butcher</v>
      </c>
      <c r="Y2172" s="57">
        <f>IF($X2172="","",IFERROR(VLOOKUP($X2172,'Char Popularity'!$A$2:$C$500,2,FALSE),""))</f>
        <v>3</v>
      </c>
      <c r="Z2172" s="56">
        <f>IF($X2172="",1,IFERROR(VLOOKUP($X2172,'Char Popularity'!$A$2:$C$500,3,FALSE),1))</f>
        <v>1</v>
      </c>
      <c r="AA2172" s="62">
        <f>IF($H2172&lt;&gt;"Y",0,(IF($F2172&lt;&gt;"",ROUND(Dashboard!$R$4/$F2172,1),IF(AND($I2172="Base",$E2172="Base"),Dashboard!$R$5,IF(AND($I2172="Base",$E2172="Red"),Dashboard!$R$6,IF(AND($I2172="Base",$E2172="Gold"),Dashboard!$R$7,VLOOKUP($I2172,Dashboard!$Q$16:$R$21,2,FALSE)))))*VLOOKUP($I2172,Dashboard!$Q$9:$R$13,2,FALSE)*IF(AND($I2172="Auto",$F2172="",OR($B2172="Autographs Duals",$B2172="Autographs Triples",$B2172="Autographs Quads",$B2172="Autographs Quads (Inscribed)")),IF($B2172="Autographs Duals",2,IF($B2172="Autographs Triples",3,4)),1)))</f>
        <v>0</v>
      </c>
      <c r="AB2172" s="62">
        <f t="shared" si="440"/>
        <v>0</v>
      </c>
      <c r="AC2172" s="62">
        <f t="shared" si="441"/>
        <v>0</v>
      </c>
    </row>
    <row r="2173" spans="1:29" ht="30" customHeight="1" x14ac:dyDescent="0.25">
      <c r="A2173" s="4" t="s">
        <v>37</v>
      </c>
      <c r="B2173" s="7" t="s">
        <v>790</v>
      </c>
      <c r="C2173" s="2" t="s">
        <v>311</v>
      </c>
      <c r="D2173" s="7" t="s">
        <v>288</v>
      </c>
      <c r="E2173" s="4" t="s">
        <v>1602</v>
      </c>
      <c r="F2173" s="2">
        <v>1</v>
      </c>
      <c r="G2173" s="2" t="s">
        <v>1399</v>
      </c>
      <c r="H2173" s="2" t="s">
        <v>1399</v>
      </c>
      <c r="I2173" s="4" t="s">
        <v>68</v>
      </c>
      <c r="J2173" s="112">
        <f>IF($H2173&lt;&gt;"Y",0,ROUND(MIN(Dashboard!$R$24,IF(IFERROR(VLOOKUP($B2173,Dashboard!$Q$28:$S$60,2,FALSE),0)&gt;0,IFERROR(VLOOKUP($B2173,Dashboard!$Q$28:$S$60,2,FALSE),0),$Z2173*IF($U2173&lt;&gt;"",ROUND((Dashboard!$R$4/$U2173)*VLOOKUP($I2173,Dashboard!$Q$9:$R$13,2,FALSE)*IF(ISNUMBER(SEARCH("Duals",$B2173)),2,IF(ISNUMBER(SEARCH("Triples",$B2173)),3,IF(ISNUMBER(SEARCH("Quads",$B2173)),4,1))),2),ROUND(VLOOKUP($I2173,Dashboard!$Q$15:$R$20,2,FALSE)*IF($E2173="Red",Dashboard!$R$6,IF($E2173="Gold",Dashboard!$R$7,Dashboard!$R$5))*IF(ISNUMBER(SEARCH("Duals",$B2173)),2,IF(ISNUMBER(SEARCH("Triples",$B2173)),3,IF(ISNUMBER(SEARCH("Quads",$B2173)),4,1))),2))*IF(IFERROR(VLOOKUP($B2173,Dashboard!$Q$28:$S$60,3,FALSE),0)&gt;0,VLOOKUP($B2173,Dashboard!$Q$28:$S$60,3,FALSE),1))),0))</f>
        <v>0</v>
      </c>
      <c r="K2173" s="2" t="str">
        <f>IF('Autos - Singles'!H63="","",'Autos - Singles'!H63)</f>
        <v/>
      </c>
      <c r="L2173" s="2">
        <f t="shared" si="429"/>
        <v>0</v>
      </c>
      <c r="M2173" s="2">
        <f t="shared" si="430"/>
        <v>0</v>
      </c>
      <c r="N2173" s="2">
        <f t="shared" si="431"/>
        <v>0</v>
      </c>
      <c r="O2173" s="2">
        <f t="shared" si="432"/>
        <v>0</v>
      </c>
      <c r="P2173" s="112">
        <f t="shared" si="433"/>
        <v>0</v>
      </c>
      <c r="Q2173" s="112">
        <f t="shared" si="434"/>
        <v>0</v>
      </c>
      <c r="R2173" s="53"/>
      <c r="S2173" s="53" t="str">
        <f t="shared" si="435"/>
        <v>Autos - Singles|Autographs Gold Parallel|A-TB|Gold</v>
      </c>
      <c r="T2173" s="57" t="str">
        <f>IF($S2173="","",IFERROR(VLOOKUP($S2173,'Pop Estimates (Non-#d)'!$N$2:$O$500,2,FALSE),""))</f>
        <v/>
      </c>
      <c r="U2173" s="57">
        <f t="shared" si="436"/>
        <v>1</v>
      </c>
      <c r="V2173" s="53" t="str">
        <f t="shared" si="437"/>
        <v>Shockwave</v>
      </c>
      <c r="W2173" s="53" t="str">
        <f t="shared" si="438"/>
        <v>Shockwave</v>
      </c>
      <c r="X2173" s="53" t="str">
        <f t="shared" si="439"/>
        <v>Shockwave</v>
      </c>
      <c r="Y2173" s="57">
        <f>IF($X2173="","",IFERROR(VLOOKUP($X2173,'Char Popularity'!$A$2:$C$500,2,FALSE),""))</f>
        <v>2</v>
      </c>
      <c r="Z2173" s="56">
        <f>IF($X2173="",1,IFERROR(VLOOKUP($X2173,'Char Popularity'!$A$2:$C$500,3,FALSE),1))</f>
        <v>0.9</v>
      </c>
      <c r="AA2173" s="62">
        <f>IF($H2173&lt;&gt;"Y",0,(IF($F2173&lt;&gt;"",ROUND(Dashboard!$R$4/$F2173,1),IF(AND($I2173="Base",$E2173="Base"),Dashboard!$R$5,IF(AND($I2173="Base",$E2173="Red"),Dashboard!$R$6,IF(AND($I2173="Base",$E2173="Gold"),Dashboard!$R$7,VLOOKUP($I2173,Dashboard!$Q$16:$R$21,2,FALSE)))))*VLOOKUP($I2173,Dashboard!$Q$9:$R$13,2,FALSE)*IF(AND($I2173="Auto",$F2173="",OR($B2173="Autographs Duals",$B2173="Autographs Triples",$B2173="Autographs Quads",$B2173="Autographs Quads (Inscribed)")),IF($B2173="Autographs Duals",2,IF($B2173="Autographs Triples",3,4)),1)))</f>
        <v>0</v>
      </c>
      <c r="AB2173" s="62">
        <f t="shared" si="440"/>
        <v>0</v>
      </c>
      <c r="AC2173" s="62">
        <f t="shared" si="441"/>
        <v>0</v>
      </c>
    </row>
    <row r="2174" spans="1:29" ht="30" customHeight="1" x14ac:dyDescent="0.25">
      <c r="A2174" s="4" t="s">
        <v>37</v>
      </c>
      <c r="B2174" s="7" t="s">
        <v>790</v>
      </c>
      <c r="C2174" s="2" t="s">
        <v>312</v>
      </c>
      <c r="D2174" s="7" t="s">
        <v>238</v>
      </c>
      <c r="E2174" s="4" t="s">
        <v>1602</v>
      </c>
      <c r="F2174" s="2">
        <v>1</v>
      </c>
      <c r="G2174" s="2" t="s">
        <v>1399</v>
      </c>
      <c r="H2174" s="2" t="s">
        <v>1399</v>
      </c>
      <c r="I2174" s="4" t="s">
        <v>68</v>
      </c>
      <c r="J2174" s="112">
        <f>IF($H2174&lt;&gt;"Y",0,ROUND(MIN(Dashboard!$R$24,IF(IFERROR(VLOOKUP($B2174,Dashboard!$Q$28:$S$60,2,FALSE),0)&gt;0,IFERROR(VLOOKUP($B2174,Dashboard!$Q$28:$S$60,2,FALSE),0),$Z2174*IF($U2174&lt;&gt;"",ROUND((Dashboard!$R$4/$U2174)*VLOOKUP($I2174,Dashboard!$Q$9:$R$13,2,FALSE)*IF(ISNUMBER(SEARCH("Duals",$B2174)),2,IF(ISNUMBER(SEARCH("Triples",$B2174)),3,IF(ISNUMBER(SEARCH("Quads",$B2174)),4,1))),2),ROUND(VLOOKUP($I2174,Dashboard!$Q$15:$R$20,2,FALSE)*IF($E2174="Red",Dashboard!$R$6,IF($E2174="Gold",Dashboard!$R$7,Dashboard!$R$5))*IF(ISNUMBER(SEARCH("Duals",$B2174)),2,IF(ISNUMBER(SEARCH("Triples",$B2174)),3,IF(ISNUMBER(SEARCH("Quads",$B2174)),4,1))),2))*IF(IFERROR(VLOOKUP($B2174,Dashboard!$Q$28:$S$60,3,FALSE),0)&gt;0,VLOOKUP($B2174,Dashboard!$Q$28:$S$60,3,FALSE),1))),0))</f>
        <v>0</v>
      </c>
      <c r="K2174" s="2" t="str">
        <f>IF('Autos - Singles'!H64="","",'Autos - Singles'!H64)</f>
        <v/>
      </c>
      <c r="L2174" s="2">
        <f t="shared" si="429"/>
        <v>0</v>
      </c>
      <c r="M2174" s="2">
        <f t="shared" si="430"/>
        <v>0</v>
      </c>
      <c r="N2174" s="2">
        <f t="shared" si="431"/>
        <v>0</v>
      </c>
      <c r="O2174" s="2">
        <f t="shared" si="432"/>
        <v>0</v>
      </c>
      <c r="P2174" s="112">
        <f t="shared" si="433"/>
        <v>0</v>
      </c>
      <c r="Q2174" s="112">
        <f t="shared" si="434"/>
        <v>0</v>
      </c>
      <c r="R2174" s="53"/>
      <c r="S2174" s="53" t="str">
        <f t="shared" si="435"/>
        <v>Autos - Singles|Autographs Gold Parallel|A-TC|Gold</v>
      </c>
      <c r="T2174" s="57" t="str">
        <f>IF($S2174="","",IFERROR(VLOOKUP($S2174,'Pop Estimates (Non-#d)'!$N$2:$O$500,2,FALSE),""))</f>
        <v/>
      </c>
      <c r="U2174" s="57">
        <f t="shared" si="436"/>
        <v>1</v>
      </c>
      <c r="V2174" s="53" t="str">
        <f t="shared" si="437"/>
        <v>Frenchie</v>
      </c>
      <c r="W2174" s="53" t="str">
        <f t="shared" si="438"/>
        <v>Frenchie</v>
      </c>
      <c r="X2174" s="53" t="str">
        <f t="shared" si="439"/>
        <v>Frenchie</v>
      </c>
      <c r="Y2174" s="57">
        <f>IF($X2174="","",IFERROR(VLOOKUP($X2174,'Char Popularity'!$A$2:$C$500,2,FALSE),""))</f>
        <v>4</v>
      </c>
      <c r="Z2174" s="56">
        <f>IF($X2174="",1,IFERROR(VLOOKUP($X2174,'Char Popularity'!$A$2:$C$500,3,FALSE),1))</f>
        <v>1.1000000000000001</v>
      </c>
      <c r="AA2174" s="62">
        <f>IF($H2174&lt;&gt;"Y",0,(IF($F2174&lt;&gt;"",ROUND(Dashboard!$R$4/$F2174,1),IF(AND($I2174="Base",$E2174="Base"),Dashboard!$R$5,IF(AND($I2174="Base",$E2174="Red"),Dashboard!$R$6,IF(AND($I2174="Base",$E2174="Gold"),Dashboard!$R$7,VLOOKUP($I2174,Dashboard!$Q$16:$R$21,2,FALSE)))))*VLOOKUP($I2174,Dashboard!$Q$9:$R$13,2,FALSE)*IF(AND($I2174="Auto",$F2174="",OR($B2174="Autographs Duals",$B2174="Autographs Triples",$B2174="Autographs Quads",$B2174="Autographs Quads (Inscribed)")),IF($B2174="Autographs Duals",2,IF($B2174="Autographs Triples",3,4)),1)))</f>
        <v>0</v>
      </c>
      <c r="AB2174" s="62">
        <f t="shared" si="440"/>
        <v>0</v>
      </c>
      <c r="AC2174" s="62">
        <f t="shared" si="441"/>
        <v>0</v>
      </c>
    </row>
    <row r="2175" spans="1:29" ht="30" customHeight="1" x14ac:dyDescent="0.25">
      <c r="A2175" s="4" t="s">
        <v>37</v>
      </c>
      <c r="B2175" s="7" t="s">
        <v>790</v>
      </c>
      <c r="C2175" s="2" t="s">
        <v>314</v>
      </c>
      <c r="D2175" s="7" t="s">
        <v>276</v>
      </c>
      <c r="E2175" s="4" t="s">
        <v>1602</v>
      </c>
      <c r="F2175" s="2">
        <v>1</v>
      </c>
      <c r="G2175" s="2" t="s">
        <v>1399</v>
      </c>
      <c r="H2175" s="2" t="s">
        <v>1399</v>
      </c>
      <c r="I2175" s="4" t="s">
        <v>68</v>
      </c>
      <c r="J2175" s="112">
        <f>IF($H2175&lt;&gt;"Y",0,ROUND(MIN(Dashboard!$R$24,IF(IFERROR(VLOOKUP($B2175,Dashboard!$Q$28:$S$60,2,FALSE),0)&gt;0,IFERROR(VLOOKUP($B2175,Dashboard!$Q$28:$S$60,2,FALSE),0),$Z2175*IF($U2175&lt;&gt;"",ROUND((Dashboard!$R$4/$U2175)*VLOOKUP($I2175,Dashboard!$Q$9:$R$13,2,FALSE)*IF(ISNUMBER(SEARCH("Duals",$B2175)),2,IF(ISNUMBER(SEARCH("Triples",$B2175)),3,IF(ISNUMBER(SEARCH("Quads",$B2175)),4,1))),2),ROUND(VLOOKUP($I2175,Dashboard!$Q$15:$R$20,2,FALSE)*IF($E2175="Red",Dashboard!$R$6,IF($E2175="Gold",Dashboard!$R$7,Dashboard!$R$5))*IF(ISNUMBER(SEARCH("Duals",$B2175)),2,IF(ISNUMBER(SEARCH("Triples",$B2175)),3,IF(ISNUMBER(SEARCH("Quads",$B2175)),4,1))),2))*IF(IFERROR(VLOOKUP($B2175,Dashboard!$Q$28:$S$60,3,FALSE),0)&gt;0,VLOOKUP($B2175,Dashboard!$Q$28:$S$60,3,FALSE),1))),0))</f>
        <v>0</v>
      </c>
      <c r="K2175" s="2" t="str">
        <f>IF('Autos - Singles'!H66="","",'Autos - Singles'!H66)</f>
        <v/>
      </c>
      <c r="L2175" s="2">
        <f t="shared" si="429"/>
        <v>0</v>
      </c>
      <c r="M2175" s="2">
        <f t="shared" si="430"/>
        <v>0</v>
      </c>
      <c r="N2175" s="2">
        <f t="shared" si="431"/>
        <v>0</v>
      </c>
      <c r="O2175" s="2">
        <f t="shared" si="432"/>
        <v>0</v>
      </c>
      <c r="P2175" s="112">
        <f t="shared" si="433"/>
        <v>0</v>
      </c>
      <c r="Q2175" s="112">
        <f t="shared" si="434"/>
        <v>0</v>
      </c>
      <c r="R2175" s="53"/>
      <c r="S2175" s="53" t="str">
        <f t="shared" si="435"/>
        <v>Autos - Singles|Autographs Gold Parallel|A-ZA|Gold</v>
      </c>
      <c r="T2175" s="57" t="str">
        <f>IF($S2175="","",IFERROR(VLOOKUP($S2175,'Pop Estimates (Non-#d)'!$N$2:$O$500,2,FALSE),""))</f>
        <v/>
      </c>
      <c r="U2175" s="57">
        <f t="shared" si="436"/>
        <v>1</v>
      </c>
      <c r="V2175" s="53" t="str">
        <f t="shared" si="437"/>
        <v>Mother's Milk</v>
      </c>
      <c r="W2175" s="53" t="str">
        <f t="shared" si="438"/>
        <v>Mother's Milk</v>
      </c>
      <c r="X2175" s="53" t="str">
        <f t="shared" si="439"/>
        <v>Mother's Milk</v>
      </c>
      <c r="Y2175" s="57">
        <f>IF($X2175="","",IFERROR(VLOOKUP($X2175,'Char Popularity'!$A$2:$C$500,2,FALSE),""))</f>
        <v>4</v>
      </c>
      <c r="Z2175" s="56">
        <f>IF($X2175="",1,IFERROR(VLOOKUP($X2175,'Char Popularity'!$A$2:$C$500,3,FALSE),1))</f>
        <v>1.1000000000000001</v>
      </c>
      <c r="AA2175" s="62">
        <f>IF($H2175&lt;&gt;"Y",0,(IF($F2175&lt;&gt;"",ROUND(Dashboard!$R$4/$F2175,1),IF(AND($I2175="Base",$E2175="Base"),Dashboard!$R$5,IF(AND($I2175="Base",$E2175="Red"),Dashboard!$R$6,IF(AND($I2175="Base",$E2175="Gold"),Dashboard!$R$7,VLOOKUP($I2175,Dashboard!$Q$16:$R$21,2,FALSE)))))*VLOOKUP($I2175,Dashboard!$Q$9:$R$13,2,FALSE)*IF(AND($I2175="Auto",$F2175="",OR($B2175="Autographs Duals",$B2175="Autographs Triples",$B2175="Autographs Quads",$B2175="Autographs Quads (Inscribed)")),IF($B2175="Autographs Duals",2,IF($B2175="Autographs Triples",3,4)),1)))</f>
        <v>0</v>
      </c>
      <c r="AB2175" s="62">
        <f t="shared" si="440"/>
        <v>0</v>
      </c>
      <c r="AC2175" s="62">
        <f t="shared" si="441"/>
        <v>0</v>
      </c>
    </row>
    <row r="2176" spans="1:29" ht="30" customHeight="1" x14ac:dyDescent="0.25">
      <c r="A2176" s="4" t="s">
        <v>37</v>
      </c>
      <c r="B2176" s="7" t="s">
        <v>790</v>
      </c>
      <c r="C2176" s="2" t="s">
        <v>315</v>
      </c>
      <c r="D2176" s="7" t="s">
        <v>276</v>
      </c>
      <c r="E2176" s="4" t="s">
        <v>1602</v>
      </c>
      <c r="F2176" s="2">
        <v>1</v>
      </c>
      <c r="G2176" s="2" t="s">
        <v>1399</v>
      </c>
      <c r="H2176" s="2" t="s">
        <v>1399</v>
      </c>
      <c r="I2176" s="4" t="s">
        <v>68</v>
      </c>
      <c r="J2176" s="112">
        <f>IF($H2176&lt;&gt;"Y",0,ROUND(MIN(Dashboard!$R$24,IF(IFERROR(VLOOKUP($B2176,Dashboard!$Q$28:$S$60,2,FALSE),0)&gt;0,IFERROR(VLOOKUP($B2176,Dashboard!$Q$28:$S$60,2,FALSE),0),$Z2176*IF($U2176&lt;&gt;"",ROUND((Dashboard!$R$4/$U2176)*VLOOKUP($I2176,Dashboard!$Q$9:$R$13,2,FALSE)*IF(ISNUMBER(SEARCH("Duals",$B2176)),2,IF(ISNUMBER(SEARCH("Triples",$B2176)),3,IF(ISNUMBER(SEARCH("Quads",$B2176)),4,1))),2),ROUND(VLOOKUP($I2176,Dashboard!$Q$15:$R$20,2,FALSE)*IF($E2176="Red",Dashboard!$R$6,IF($E2176="Gold",Dashboard!$R$7,Dashboard!$R$5))*IF(ISNUMBER(SEARCH("Duals",$B2176)),2,IF(ISNUMBER(SEARCH("Triples",$B2176)),3,IF(ISNUMBER(SEARCH("Quads",$B2176)),4,1))),2))*IF(IFERROR(VLOOKUP($B2176,Dashboard!$Q$28:$S$60,3,FALSE),0)&gt;0,VLOOKUP($B2176,Dashboard!$Q$28:$S$60,3,FALSE),1))),0))</f>
        <v>0</v>
      </c>
      <c r="K2176" s="2" t="str">
        <f>IF('Autos - Singles'!H67="","",'Autos - Singles'!H67)</f>
        <v/>
      </c>
      <c r="L2176" s="2">
        <f t="shared" si="429"/>
        <v>0</v>
      </c>
      <c r="M2176" s="2">
        <f t="shared" si="430"/>
        <v>0</v>
      </c>
      <c r="N2176" s="2">
        <f t="shared" si="431"/>
        <v>0</v>
      </c>
      <c r="O2176" s="2">
        <f t="shared" si="432"/>
        <v>0</v>
      </c>
      <c r="P2176" s="112">
        <f t="shared" si="433"/>
        <v>0</v>
      </c>
      <c r="Q2176" s="112">
        <f t="shared" si="434"/>
        <v>0</v>
      </c>
      <c r="R2176" s="53"/>
      <c r="S2176" s="53" t="str">
        <f t="shared" si="435"/>
        <v>Autos - Singles|Autographs Gold Parallel|A-ZZ|Gold</v>
      </c>
      <c r="T2176" s="57" t="str">
        <f>IF($S2176="","",IFERROR(VLOOKUP($S2176,'Pop Estimates (Non-#d)'!$N$2:$O$500,2,FALSE),""))</f>
        <v/>
      </c>
      <c r="U2176" s="57">
        <f t="shared" si="436"/>
        <v>1</v>
      </c>
      <c r="V2176" s="53" t="str">
        <f t="shared" si="437"/>
        <v>Mother's Milk</v>
      </c>
      <c r="W2176" s="53" t="str">
        <f t="shared" si="438"/>
        <v>Mother's Milk</v>
      </c>
      <c r="X2176" s="53" t="str">
        <f t="shared" si="439"/>
        <v>Mother's Milk</v>
      </c>
      <c r="Y2176" s="57">
        <f>IF($X2176="","",IFERROR(VLOOKUP($X2176,'Char Popularity'!$A$2:$C$500,2,FALSE),""))</f>
        <v>4</v>
      </c>
      <c r="Z2176" s="56">
        <f>IF($X2176="",1,IFERROR(VLOOKUP($X2176,'Char Popularity'!$A$2:$C$500,3,FALSE),1))</f>
        <v>1.1000000000000001</v>
      </c>
      <c r="AA2176" s="62">
        <f>IF($H2176&lt;&gt;"Y",0,(IF($F2176&lt;&gt;"",ROUND(Dashboard!$R$4/$F2176,1),IF(AND($I2176="Base",$E2176="Base"),Dashboard!$R$5,IF(AND($I2176="Base",$E2176="Red"),Dashboard!$R$6,IF(AND($I2176="Base",$E2176="Gold"),Dashboard!$R$7,VLOOKUP($I2176,Dashboard!$Q$16:$R$21,2,FALSE)))))*VLOOKUP($I2176,Dashboard!$Q$9:$R$13,2,FALSE)*IF(AND($I2176="Auto",$F2176="",OR($B2176="Autographs Duals",$B2176="Autographs Triples",$B2176="Autographs Quads",$B2176="Autographs Quads (Inscribed)")),IF($B2176="Autographs Duals",2,IF($B2176="Autographs Triples",3,4)),1)))</f>
        <v>0</v>
      </c>
      <c r="AB2176" s="62">
        <f t="shared" si="440"/>
        <v>0</v>
      </c>
      <c r="AC2176" s="62">
        <f t="shared" si="441"/>
        <v>0</v>
      </c>
    </row>
    <row r="2177" spans="1:29" ht="30" customHeight="1" x14ac:dyDescent="0.25">
      <c r="A2177" s="4" t="s">
        <v>37</v>
      </c>
      <c r="B2177" s="7" t="s">
        <v>111</v>
      </c>
      <c r="C2177" s="2" t="s">
        <v>215</v>
      </c>
      <c r="D2177" s="7" t="s">
        <v>1605</v>
      </c>
      <c r="E2177" s="4" t="s">
        <v>1606</v>
      </c>
      <c r="F2177" s="2">
        <v>25</v>
      </c>
      <c r="G2177" s="2" t="s">
        <v>1399</v>
      </c>
      <c r="H2177" s="2" t="s">
        <v>1400</v>
      </c>
      <c r="I2177" s="4" t="s">
        <v>68</v>
      </c>
      <c r="J2177" s="112">
        <f>IF($H2177&lt;&gt;"Y",0,ROUND(MIN(Dashboard!$R$24,IF(IFERROR(VLOOKUP($B2177,Dashboard!$Q$28:$S$60,2,FALSE),0)&gt;0,IFERROR(VLOOKUP($B2177,Dashboard!$Q$28:$S$60,2,FALSE),0),$Z2177*IF($U2177&lt;&gt;"",ROUND((Dashboard!$R$4/$U2177)*VLOOKUP($I2177,Dashboard!$Q$9:$R$13,2,FALSE)*IF(ISNUMBER(SEARCH("Duals",$B2177)),2,IF(ISNUMBER(SEARCH("Triples",$B2177)),3,IF(ISNUMBER(SEARCH("Quads",$B2177)),4,1))),2),ROUND(VLOOKUP($I2177,Dashboard!$Q$15:$R$20,2,FALSE)*IF($E2177="Red",Dashboard!$R$6,IF($E2177="Gold",Dashboard!$R$7,Dashboard!$R$5))*IF(ISNUMBER(SEARCH("Duals",$B2177)),2,IF(ISNUMBER(SEARCH("Triples",$B2177)),3,IF(ISNUMBER(SEARCH("Quads",$B2177)),4,1))),2))*IF(IFERROR(VLOOKUP($B2177,Dashboard!$Q$28:$S$60,3,FALSE),0)&gt;0,VLOOKUP($B2177,Dashboard!$Q$28:$S$60,3,FALSE),1))),0))</f>
        <v>90</v>
      </c>
      <c r="K2177" s="2" t="str">
        <f>IF('Autos - Singles'!G2="","",'Autos - Singles'!G2)</f>
        <v/>
      </c>
      <c r="L2177" s="2">
        <f t="shared" si="429"/>
        <v>0</v>
      </c>
      <c r="M2177" s="2">
        <f t="shared" si="430"/>
        <v>0</v>
      </c>
      <c r="N2177" s="2">
        <f t="shared" si="431"/>
        <v>0</v>
      </c>
      <c r="O2177" s="2">
        <f t="shared" si="432"/>
        <v>1</v>
      </c>
      <c r="P2177" s="112">
        <f t="shared" si="433"/>
        <v>0</v>
      </c>
      <c r="Q2177" s="112">
        <f t="shared" si="434"/>
        <v>0</v>
      </c>
      <c r="R2177" s="53" t="s">
        <v>446</v>
      </c>
      <c r="S2177" s="53" t="str">
        <f t="shared" si="435"/>
        <v>Autos - Singles|Autographs Inscribed Parallel|A-AH|Inscribed Parallel</v>
      </c>
      <c r="T2177" s="57" t="str">
        <f>IF($S2177="","",IFERROR(VLOOKUP($S2177,'Pop Estimates (Non-#d)'!$N$2:$O$500,2,FALSE),""))</f>
        <v/>
      </c>
      <c r="U2177" s="57">
        <f t="shared" si="436"/>
        <v>25</v>
      </c>
      <c r="V2177" s="53" t="str">
        <f t="shared" si="437"/>
        <v>Translucent "Translucent"</v>
      </c>
      <c r="W2177" s="53" t="str">
        <f t="shared" si="438"/>
        <v>Translucent "Translucent"</v>
      </c>
      <c r="X2177" s="53" t="str">
        <f t="shared" si="439"/>
        <v>Translucent</v>
      </c>
      <c r="Y2177" s="57">
        <f>IF($X2177="","",IFERROR(VLOOKUP($X2177,'Char Popularity'!$A$2:$C$500,2,FALSE),""))</f>
        <v>2</v>
      </c>
      <c r="Z2177" s="56">
        <f>IF($X2177="",1,IFERROR(VLOOKUP($X2177,'Char Popularity'!$A$2:$C$500,3,FALSE),1))</f>
        <v>0.9</v>
      </c>
      <c r="AA2177" s="62">
        <f>IF($H2177&lt;&gt;"Y",0,(IF($F2177&lt;&gt;"",ROUND(Dashboard!$R$4/$F2177,1),IF(AND($I2177="Base",$E2177="Base"),Dashboard!$R$5,IF(AND($I2177="Base",$E2177="Red"),Dashboard!$R$6,IF(AND($I2177="Base",$E2177="Gold"),Dashboard!$R$7,VLOOKUP($I2177,Dashboard!$Q$16:$R$21,2,FALSE)))))*VLOOKUP($I2177,Dashboard!$Q$9:$R$13,2,FALSE)*IF(AND($I2177="Auto",$F2177="",OR($B2177="Autographs Duals",$B2177="Autographs Triples",$B2177="Autographs Quads",$B2177="Autographs Quads (Inscribed)")),IF($B2177="Autographs Duals",2,IF($B2177="Autographs Triples",3,4)),1)))</f>
        <v>80</v>
      </c>
      <c r="AB2177" s="62">
        <f t="shared" si="440"/>
        <v>0</v>
      </c>
      <c r="AC2177" s="62">
        <f t="shared" si="441"/>
        <v>0</v>
      </c>
    </row>
    <row r="2178" spans="1:29" ht="30" customHeight="1" x14ac:dyDescent="0.25">
      <c r="A2178" s="4" t="s">
        <v>37</v>
      </c>
      <c r="B2178" s="7" t="s">
        <v>111</v>
      </c>
      <c r="C2178" s="2" t="s">
        <v>219</v>
      </c>
      <c r="D2178" s="7" t="s">
        <v>220</v>
      </c>
      <c r="E2178" s="4" t="s">
        <v>1606</v>
      </c>
      <c r="F2178" s="2">
        <v>25</v>
      </c>
      <c r="G2178" s="2" t="s">
        <v>1399</v>
      </c>
      <c r="H2178" s="2" t="s">
        <v>1400</v>
      </c>
      <c r="I2178" s="4" t="s">
        <v>68</v>
      </c>
      <c r="J2178" s="112">
        <f>IF($H2178&lt;&gt;"Y",0,ROUND(MIN(Dashboard!$R$24,IF(IFERROR(VLOOKUP($B2178,Dashboard!$Q$28:$S$60,2,FALSE),0)&gt;0,IFERROR(VLOOKUP($B2178,Dashboard!$Q$28:$S$60,2,FALSE),0),$Z2178*IF($U2178&lt;&gt;"",ROUND((Dashboard!$R$4/$U2178)*VLOOKUP($I2178,Dashboard!$Q$9:$R$13,2,FALSE)*IF(ISNUMBER(SEARCH("Duals",$B2178)),2,IF(ISNUMBER(SEARCH("Triples",$B2178)),3,IF(ISNUMBER(SEARCH("Quads",$B2178)),4,1))),2),ROUND(VLOOKUP($I2178,Dashboard!$Q$15:$R$20,2,FALSE)*IF($E2178="Red",Dashboard!$R$6,IF($E2178="Gold",Dashboard!$R$7,Dashboard!$R$5))*IF(ISNUMBER(SEARCH("Duals",$B2178)),2,IF(ISNUMBER(SEARCH("Triples",$B2178)),3,IF(ISNUMBER(SEARCH("Quads",$B2178)),4,1))),2))*IF(IFERROR(VLOOKUP($B2178,Dashboard!$Q$28:$S$60,3,FALSE),0)&gt;0,VLOOKUP($B2178,Dashboard!$Q$28:$S$60,3,FALSE),1))),0))</f>
        <v>90</v>
      </c>
      <c r="K2178" s="2" t="str">
        <f>IF('Autos - Singles'!G3="","",'Autos - Singles'!G3)</f>
        <v/>
      </c>
      <c r="L2178" s="2">
        <f t="shared" ref="L2178:L2241" si="442">IF(AND($K2178&lt;&gt;"",LEFT($K2178,1)&lt;&gt;"Y"),1,0)</f>
        <v>0</v>
      </c>
      <c r="M2178" s="2">
        <f t="shared" ref="M2178:M2241" si="443">IF(LEFT($K2178,1)="Y",1,0)</f>
        <v>0</v>
      </c>
      <c r="N2178" s="2">
        <f t="shared" ref="N2178:N2241" si="444">$L2178+$M2178</f>
        <v>0</v>
      </c>
      <c r="O2178" s="2">
        <f t="shared" ref="O2178:O2241" si="445">IF($H2178="Y",1-$N2178,0)</f>
        <v>1</v>
      </c>
      <c r="P2178" s="112">
        <f t="shared" ref="P2178:P2241" si="446">IF($L2178=1,$J2178,0)</f>
        <v>0</v>
      </c>
      <c r="Q2178" s="112">
        <f t="shared" ref="Q2178:Q2241" si="447">IF($M2178=1,$J2178,0)</f>
        <v>0</v>
      </c>
      <c r="R2178" s="53" t="s">
        <v>458</v>
      </c>
      <c r="S2178" s="53" t="str">
        <f t="shared" ref="S2178:S2241" si="448">IF($A2178="","",$A2178&amp;"|"&amp;$B2178&amp;"|"&amp;$C2178&amp;"|"&amp;$E2178)</f>
        <v>Autos - Singles|Autographs Inscribed Parallel|A-AL|Inscribed Parallel</v>
      </c>
      <c r="T2178" s="57" t="str">
        <f>IF($S2178="","",IFERROR(VLOOKUP($S2178,'Pop Estimates (Non-#d)'!$N$2:$O$500,2,FALSE),""))</f>
        <v/>
      </c>
      <c r="U2178" s="57">
        <f t="shared" ref="U2178:U2241" si="449">IF($A2178="","",IF($F2178&lt;&gt;"",$F2178,$T2178))</f>
        <v>25</v>
      </c>
      <c r="V2178" s="53" t="str">
        <f t="shared" ref="V2178:V2241" si="450">IF($A2178="","",IF(ISNUMBER(SEARCH(" as ",$D2178)),MID($D2178,SEARCH(" as ",$D2178)+4,255),IF(ISNUMBER(SEARCH("/",$D2178)),LEFT($D2178,FIND("/",$D2178&amp;"/")-1),"")))</f>
        <v>Popclaw "Popclaw"</v>
      </c>
      <c r="W2178" s="53" t="str">
        <f t="shared" ref="W2178:W2241" si="451">IF($V2178="","",TRIM(IFERROR(MID($V2178,SEARCH("(", $V2178)+1,SEARCH(")",$V2178)-SEARCH("(", $V2178)-1),$V2178)))</f>
        <v>Popclaw "Popclaw"</v>
      </c>
      <c r="X2178" s="53" t="str">
        <f t="shared" ref="X2178:X2241" si="452">IF($W2178="","",TRIM(LEFT($W2178&amp;"""",FIND("""",$W2178&amp;"""")-1)))</f>
        <v>Popclaw</v>
      </c>
      <c r="Y2178" s="57">
        <f>IF($X2178="","",IFERROR(VLOOKUP($X2178,'Char Popularity'!$A$2:$C$500,2,FALSE),""))</f>
        <v>2</v>
      </c>
      <c r="Z2178" s="56">
        <f>IF($X2178="",1,IFERROR(VLOOKUP($X2178,'Char Popularity'!$A$2:$C$500,3,FALSE),1))</f>
        <v>0.9</v>
      </c>
      <c r="AA2178" s="62">
        <f>IF($H2178&lt;&gt;"Y",0,(IF($F2178&lt;&gt;"",ROUND(Dashboard!$R$4/$F2178,1),IF(AND($I2178="Base",$E2178="Base"),Dashboard!$R$5,IF(AND($I2178="Base",$E2178="Red"),Dashboard!$R$6,IF(AND($I2178="Base",$E2178="Gold"),Dashboard!$R$7,VLOOKUP($I2178,Dashboard!$Q$16:$R$21,2,FALSE)))))*VLOOKUP($I2178,Dashboard!$Q$9:$R$13,2,FALSE)*IF(AND($I2178="Auto",$F2178="",OR($B2178="Autographs Duals",$B2178="Autographs Triples",$B2178="Autographs Quads",$B2178="Autographs Quads (Inscribed)")),IF($B2178="Autographs Duals",2,IF($B2178="Autographs Triples",3,4)),1)))</f>
        <v>80</v>
      </c>
      <c r="AB2178" s="62">
        <f t="shared" ref="AB2178:AB2241" si="453">IF($L2178=1,$AA2178,0)</f>
        <v>0</v>
      </c>
      <c r="AC2178" s="62">
        <f t="shared" ref="AC2178:AC2241" si="454">IF($M2178=1,$AA2178,0)</f>
        <v>0</v>
      </c>
    </row>
    <row r="2179" spans="1:29" ht="30" customHeight="1" x14ac:dyDescent="0.25">
      <c r="A2179" s="4" t="s">
        <v>37</v>
      </c>
      <c r="B2179" s="7" t="s">
        <v>111</v>
      </c>
      <c r="C2179" s="2" t="s">
        <v>221</v>
      </c>
      <c r="D2179" s="7" t="s">
        <v>1607</v>
      </c>
      <c r="E2179" s="4" t="s">
        <v>1606</v>
      </c>
      <c r="F2179" s="2">
        <v>25</v>
      </c>
      <c r="G2179" s="2" t="s">
        <v>1399</v>
      </c>
      <c r="H2179" s="2" t="s">
        <v>1400</v>
      </c>
      <c r="I2179" s="4" t="s">
        <v>68</v>
      </c>
      <c r="J2179" s="112">
        <f>IF($H2179&lt;&gt;"Y",0,ROUND(MIN(Dashboard!$R$24,IF(IFERROR(VLOOKUP($B2179,Dashboard!$Q$28:$S$60,2,FALSE),0)&gt;0,IFERROR(VLOOKUP($B2179,Dashboard!$Q$28:$S$60,2,FALSE),0),$Z2179*IF($U2179&lt;&gt;"",ROUND((Dashboard!$R$4/$U2179)*VLOOKUP($I2179,Dashboard!$Q$9:$R$13,2,FALSE)*IF(ISNUMBER(SEARCH("Duals",$B2179)),2,IF(ISNUMBER(SEARCH("Triples",$B2179)),3,IF(ISNUMBER(SEARCH("Quads",$B2179)),4,1))),2),ROUND(VLOOKUP($I2179,Dashboard!$Q$15:$R$20,2,FALSE)*IF($E2179="Red",Dashboard!$R$6,IF($E2179="Gold",Dashboard!$R$7,Dashboard!$R$5))*IF(ISNUMBER(SEARCH("Duals",$B2179)),2,IF(ISNUMBER(SEARCH("Triples",$B2179)),3,IF(ISNUMBER(SEARCH("Quads",$B2179)),4,1))),2))*IF(IFERROR(VLOOKUP($B2179,Dashboard!$Q$28:$S$60,3,FALSE),0)&gt;0,VLOOKUP($B2179,Dashboard!$Q$28:$S$60,3,FALSE),1))),0))</f>
        <v>120</v>
      </c>
      <c r="K2179" s="2" t="str">
        <f>IF('Autos - Singles'!G4="","",'Autos - Singles'!G4)</f>
        <v/>
      </c>
      <c r="L2179" s="2">
        <f t="shared" si="442"/>
        <v>0</v>
      </c>
      <c r="M2179" s="2">
        <f t="shared" si="443"/>
        <v>0</v>
      </c>
      <c r="N2179" s="2">
        <f t="shared" si="444"/>
        <v>0</v>
      </c>
      <c r="O2179" s="2">
        <f t="shared" si="445"/>
        <v>1</v>
      </c>
      <c r="P2179" s="112">
        <f t="shared" si="446"/>
        <v>0</v>
      </c>
      <c r="Q2179" s="112">
        <f t="shared" si="447"/>
        <v>0</v>
      </c>
      <c r="R2179" s="53" t="s">
        <v>689</v>
      </c>
      <c r="S2179" s="53" t="str">
        <f t="shared" si="448"/>
        <v>Autos - Singles|Autographs Inscribed Parallel|A-AS|Inscribed Parallel</v>
      </c>
      <c r="T2179" s="57" t="str">
        <f>IF($S2179="","",IFERROR(VLOOKUP($S2179,'Pop Estimates (Non-#d)'!$N$2:$O$500,2,FALSE),""))</f>
        <v/>
      </c>
      <c r="U2179" s="57">
        <f t="shared" si="449"/>
        <v>25</v>
      </c>
      <c r="V2179" s="53" t="str">
        <f t="shared" si="450"/>
        <v>Homelander "The Seven"</v>
      </c>
      <c r="W2179" s="53" t="str">
        <f t="shared" si="451"/>
        <v>Homelander "The Seven"</v>
      </c>
      <c r="X2179" s="53" t="str">
        <f t="shared" si="452"/>
        <v>Homelander</v>
      </c>
      <c r="Y2179" s="57">
        <f>IF($X2179="","",IFERROR(VLOOKUP($X2179,'Char Popularity'!$A$2:$C$500,2,FALSE),""))</f>
        <v>5</v>
      </c>
      <c r="Z2179" s="56">
        <f>IF($X2179="",1,IFERROR(VLOOKUP($X2179,'Char Popularity'!$A$2:$C$500,3,FALSE),1))</f>
        <v>1.2</v>
      </c>
      <c r="AA2179" s="62">
        <f>IF($H2179&lt;&gt;"Y",0,(IF($F2179&lt;&gt;"",ROUND(Dashboard!$R$4/$F2179,1),IF(AND($I2179="Base",$E2179="Base"),Dashboard!$R$5,IF(AND($I2179="Base",$E2179="Red"),Dashboard!$R$6,IF(AND($I2179="Base",$E2179="Gold"),Dashboard!$R$7,VLOOKUP($I2179,Dashboard!$Q$16:$R$21,2,FALSE)))))*VLOOKUP($I2179,Dashboard!$Q$9:$R$13,2,FALSE)*IF(AND($I2179="Auto",$F2179="",OR($B2179="Autographs Duals",$B2179="Autographs Triples",$B2179="Autographs Quads",$B2179="Autographs Quads (Inscribed)")),IF($B2179="Autographs Duals",2,IF($B2179="Autographs Triples",3,4)),1)))</f>
        <v>80</v>
      </c>
      <c r="AB2179" s="62">
        <f t="shared" si="453"/>
        <v>0</v>
      </c>
      <c r="AC2179" s="62">
        <f t="shared" si="454"/>
        <v>0</v>
      </c>
    </row>
    <row r="2180" spans="1:29" ht="30" customHeight="1" x14ac:dyDescent="0.25">
      <c r="A2180" s="4" t="s">
        <v>37</v>
      </c>
      <c r="B2180" s="7" t="s">
        <v>111</v>
      </c>
      <c r="C2180" s="2" t="s">
        <v>223</v>
      </c>
      <c r="D2180" s="7" t="s">
        <v>1608</v>
      </c>
      <c r="E2180" s="4" t="s">
        <v>1606</v>
      </c>
      <c r="F2180" s="2">
        <v>25</v>
      </c>
      <c r="G2180" s="2" t="s">
        <v>1399</v>
      </c>
      <c r="H2180" s="2" t="s">
        <v>1400</v>
      </c>
      <c r="I2180" s="4" t="s">
        <v>68</v>
      </c>
      <c r="J2180" s="112">
        <f>IF($H2180&lt;&gt;"Y",0,ROUND(MIN(Dashboard!$R$24,IF(IFERROR(VLOOKUP($B2180,Dashboard!$Q$28:$S$60,2,FALSE),0)&gt;0,IFERROR(VLOOKUP($B2180,Dashboard!$Q$28:$S$60,2,FALSE),0),$Z2180*IF($U2180&lt;&gt;"",ROUND((Dashboard!$R$4/$U2180)*VLOOKUP($I2180,Dashboard!$Q$9:$R$13,2,FALSE)*IF(ISNUMBER(SEARCH("Duals",$B2180)),2,IF(ISNUMBER(SEARCH("Triples",$B2180)),3,IF(ISNUMBER(SEARCH("Quads",$B2180)),4,1))),2),ROUND(VLOOKUP($I2180,Dashboard!$Q$15:$R$20,2,FALSE)*IF($E2180="Red",Dashboard!$R$6,IF($E2180="Gold",Dashboard!$R$7,Dashboard!$R$5))*IF(ISNUMBER(SEARCH("Duals",$B2180)),2,IF(ISNUMBER(SEARCH("Triples",$B2180)),3,IF(ISNUMBER(SEARCH("Quads",$B2180)),4,1))),2))*IF(IFERROR(VLOOKUP($B2180,Dashboard!$Q$28:$S$60,3,FALSE),0)&gt;0,VLOOKUP($B2180,Dashboard!$Q$28:$S$60,3,FALSE),1))),0))</f>
        <v>90</v>
      </c>
      <c r="K2180" s="2" t="str">
        <f>IF('Autos - Singles'!G5="","",'Autos - Singles'!G5)</f>
        <v/>
      </c>
      <c r="L2180" s="2">
        <f t="shared" si="442"/>
        <v>0</v>
      </c>
      <c r="M2180" s="2">
        <f t="shared" si="443"/>
        <v>0</v>
      </c>
      <c r="N2180" s="2">
        <f t="shared" si="444"/>
        <v>0</v>
      </c>
      <c r="O2180" s="2">
        <f t="shared" si="445"/>
        <v>1</v>
      </c>
      <c r="P2180" s="112">
        <f t="shared" si="446"/>
        <v>0</v>
      </c>
      <c r="Q2180" s="112">
        <f t="shared" si="447"/>
        <v>0</v>
      </c>
      <c r="R2180" s="53" t="s">
        <v>900</v>
      </c>
      <c r="S2180" s="53" t="str">
        <f t="shared" si="448"/>
        <v>Autos - Singles|Autographs Inscribed Parallel|A-BA|Inscribed Parallel</v>
      </c>
      <c r="T2180" s="57" t="str">
        <f>IF($S2180="","",IFERROR(VLOOKUP($S2180,'Pop Estimates (Non-#d)'!$N$2:$O$500,2,FALSE),""))</f>
        <v/>
      </c>
      <c r="U2180" s="57">
        <f t="shared" si="449"/>
        <v>25</v>
      </c>
      <c r="V2180" s="53" t="str">
        <f t="shared" si="450"/>
        <v>Popclaw "Terminal Beauty"</v>
      </c>
      <c r="W2180" s="53" t="str">
        <f t="shared" si="451"/>
        <v>Popclaw "Terminal Beauty"</v>
      </c>
      <c r="X2180" s="53" t="str">
        <f t="shared" si="452"/>
        <v>Popclaw</v>
      </c>
      <c r="Y2180" s="57">
        <f>IF($X2180="","",IFERROR(VLOOKUP($X2180,'Char Popularity'!$A$2:$C$500,2,FALSE),""))</f>
        <v>2</v>
      </c>
      <c r="Z2180" s="56">
        <f>IF($X2180="",1,IFERROR(VLOOKUP($X2180,'Char Popularity'!$A$2:$C$500,3,FALSE),1))</f>
        <v>0.9</v>
      </c>
      <c r="AA2180" s="62">
        <f>IF($H2180&lt;&gt;"Y",0,(IF($F2180&lt;&gt;"",ROUND(Dashboard!$R$4/$F2180,1),IF(AND($I2180="Base",$E2180="Base"),Dashboard!$R$5,IF(AND($I2180="Base",$E2180="Red"),Dashboard!$R$6,IF(AND($I2180="Base",$E2180="Gold"),Dashboard!$R$7,VLOOKUP($I2180,Dashboard!$Q$16:$R$21,2,FALSE)))))*VLOOKUP($I2180,Dashboard!$Q$9:$R$13,2,FALSE)*IF(AND($I2180="Auto",$F2180="",OR($B2180="Autographs Duals",$B2180="Autographs Triples",$B2180="Autographs Quads",$B2180="Autographs Quads (Inscribed)")),IF($B2180="Autographs Duals",2,IF($B2180="Autographs Triples",3,4)),1)))</f>
        <v>80</v>
      </c>
      <c r="AB2180" s="62">
        <f t="shared" si="453"/>
        <v>0</v>
      </c>
      <c r="AC2180" s="62">
        <f t="shared" si="454"/>
        <v>0</v>
      </c>
    </row>
    <row r="2181" spans="1:29" ht="30" customHeight="1" x14ac:dyDescent="0.25">
      <c r="A2181" s="4" t="s">
        <v>37</v>
      </c>
      <c r="B2181" s="7" t="s">
        <v>111</v>
      </c>
      <c r="C2181" s="2" t="s">
        <v>225</v>
      </c>
      <c r="D2181" s="7" t="s">
        <v>1608</v>
      </c>
      <c r="E2181" s="4" t="s">
        <v>1606</v>
      </c>
      <c r="F2181" s="2">
        <v>25</v>
      </c>
      <c r="G2181" s="2" t="s">
        <v>1399</v>
      </c>
      <c r="H2181" s="2" t="s">
        <v>1400</v>
      </c>
      <c r="I2181" s="4" t="s">
        <v>68</v>
      </c>
      <c r="J2181" s="112">
        <f>IF($H2181&lt;&gt;"Y",0,ROUND(MIN(Dashboard!$R$24,IF(IFERROR(VLOOKUP($B2181,Dashboard!$Q$28:$S$60,2,FALSE),0)&gt;0,IFERROR(VLOOKUP($B2181,Dashboard!$Q$28:$S$60,2,FALSE),0),$Z2181*IF($U2181&lt;&gt;"",ROUND((Dashboard!$R$4/$U2181)*VLOOKUP($I2181,Dashboard!$Q$9:$R$13,2,FALSE)*IF(ISNUMBER(SEARCH("Duals",$B2181)),2,IF(ISNUMBER(SEARCH("Triples",$B2181)),3,IF(ISNUMBER(SEARCH("Quads",$B2181)),4,1))),2),ROUND(VLOOKUP($I2181,Dashboard!$Q$15:$R$20,2,FALSE)*IF($E2181="Red",Dashboard!$R$6,IF($E2181="Gold",Dashboard!$R$7,Dashboard!$R$5))*IF(ISNUMBER(SEARCH("Duals",$B2181)),2,IF(ISNUMBER(SEARCH("Triples",$B2181)),3,IF(ISNUMBER(SEARCH("Quads",$B2181)),4,1))),2))*IF(IFERROR(VLOOKUP($B2181,Dashboard!$Q$28:$S$60,3,FALSE),0)&gt;0,VLOOKUP($B2181,Dashboard!$Q$28:$S$60,3,FALSE),1))),0))</f>
        <v>90</v>
      </c>
      <c r="K2181" s="2" t="str">
        <f>IF('Autos - Singles'!G6="","",'Autos - Singles'!G6)</f>
        <v/>
      </c>
      <c r="L2181" s="2">
        <f t="shared" si="442"/>
        <v>0</v>
      </c>
      <c r="M2181" s="2">
        <f t="shared" si="443"/>
        <v>0</v>
      </c>
      <c r="N2181" s="2">
        <f t="shared" si="444"/>
        <v>0</v>
      </c>
      <c r="O2181" s="2">
        <f t="shared" si="445"/>
        <v>1</v>
      </c>
      <c r="P2181" s="112">
        <f t="shared" si="446"/>
        <v>0</v>
      </c>
      <c r="Q2181" s="112">
        <f t="shared" si="447"/>
        <v>0</v>
      </c>
      <c r="R2181" s="53" t="s">
        <v>900</v>
      </c>
      <c r="S2181" s="53" t="str">
        <f t="shared" si="448"/>
        <v>Autos - Singles|Autographs Inscribed Parallel|A-BI|Inscribed Parallel</v>
      </c>
      <c r="T2181" s="57" t="str">
        <f>IF($S2181="","",IFERROR(VLOOKUP($S2181,'Pop Estimates (Non-#d)'!$N$2:$O$500,2,FALSE),""))</f>
        <v/>
      </c>
      <c r="U2181" s="57">
        <f t="shared" si="449"/>
        <v>25</v>
      </c>
      <c r="V2181" s="53" t="str">
        <f t="shared" si="450"/>
        <v>Popclaw "Terminal Beauty"</v>
      </c>
      <c r="W2181" s="53" t="str">
        <f t="shared" si="451"/>
        <v>Popclaw "Terminal Beauty"</v>
      </c>
      <c r="X2181" s="53" t="str">
        <f t="shared" si="452"/>
        <v>Popclaw</v>
      </c>
      <c r="Y2181" s="57">
        <f>IF($X2181="","",IFERROR(VLOOKUP($X2181,'Char Popularity'!$A$2:$C$500,2,FALSE),""))</f>
        <v>2</v>
      </c>
      <c r="Z2181" s="56">
        <f>IF($X2181="",1,IFERROR(VLOOKUP($X2181,'Char Popularity'!$A$2:$C$500,3,FALSE),1))</f>
        <v>0.9</v>
      </c>
      <c r="AA2181" s="62">
        <f>IF($H2181&lt;&gt;"Y",0,(IF($F2181&lt;&gt;"",ROUND(Dashboard!$R$4/$F2181,1),IF(AND($I2181="Base",$E2181="Base"),Dashboard!$R$5,IF(AND($I2181="Base",$E2181="Red"),Dashboard!$R$6,IF(AND($I2181="Base",$E2181="Gold"),Dashboard!$R$7,VLOOKUP($I2181,Dashboard!$Q$16:$R$21,2,FALSE)))))*VLOOKUP($I2181,Dashboard!$Q$9:$R$13,2,FALSE)*IF(AND($I2181="Auto",$F2181="",OR($B2181="Autographs Duals",$B2181="Autographs Triples",$B2181="Autographs Quads",$B2181="Autographs Quads (Inscribed)")),IF($B2181="Autographs Duals",2,IF($B2181="Autographs Triples",3,4)),1)))</f>
        <v>80</v>
      </c>
      <c r="AB2181" s="62">
        <f t="shared" si="453"/>
        <v>0</v>
      </c>
      <c r="AC2181" s="62">
        <f t="shared" si="454"/>
        <v>0</v>
      </c>
    </row>
    <row r="2182" spans="1:29" ht="30" customHeight="1" x14ac:dyDescent="0.25">
      <c r="A2182" s="4" t="s">
        <v>37</v>
      </c>
      <c r="B2182" s="7" t="s">
        <v>111</v>
      </c>
      <c r="C2182" s="2" t="s">
        <v>226</v>
      </c>
      <c r="D2182" s="7" t="s">
        <v>1608</v>
      </c>
      <c r="E2182" s="4" t="s">
        <v>1606</v>
      </c>
      <c r="F2182" s="2">
        <v>25</v>
      </c>
      <c r="G2182" s="2" t="s">
        <v>1399</v>
      </c>
      <c r="H2182" s="2" t="s">
        <v>1400</v>
      </c>
      <c r="I2182" s="4" t="s">
        <v>68</v>
      </c>
      <c r="J2182" s="112">
        <f>IF($H2182&lt;&gt;"Y",0,ROUND(MIN(Dashboard!$R$24,IF(IFERROR(VLOOKUP($B2182,Dashboard!$Q$28:$S$60,2,FALSE),0)&gt;0,IFERROR(VLOOKUP($B2182,Dashboard!$Q$28:$S$60,2,FALSE),0),$Z2182*IF($U2182&lt;&gt;"",ROUND((Dashboard!$R$4/$U2182)*VLOOKUP($I2182,Dashboard!$Q$9:$R$13,2,FALSE)*IF(ISNUMBER(SEARCH("Duals",$B2182)),2,IF(ISNUMBER(SEARCH("Triples",$B2182)),3,IF(ISNUMBER(SEARCH("Quads",$B2182)),4,1))),2),ROUND(VLOOKUP($I2182,Dashboard!$Q$15:$R$20,2,FALSE)*IF($E2182="Red",Dashboard!$R$6,IF($E2182="Gold",Dashboard!$R$7,Dashboard!$R$5))*IF(ISNUMBER(SEARCH("Duals",$B2182)),2,IF(ISNUMBER(SEARCH("Triples",$B2182)),3,IF(ISNUMBER(SEARCH("Quads",$B2182)),4,1))),2))*IF(IFERROR(VLOOKUP($B2182,Dashboard!$Q$28:$S$60,3,FALSE),0)&gt;0,VLOOKUP($B2182,Dashboard!$Q$28:$S$60,3,FALSE),1))),0))</f>
        <v>90</v>
      </c>
      <c r="K2182" s="2" t="str">
        <f>IF('Autos - Singles'!G7="","",'Autos - Singles'!G7)</f>
        <v/>
      </c>
      <c r="L2182" s="2">
        <f t="shared" si="442"/>
        <v>0</v>
      </c>
      <c r="M2182" s="2">
        <f t="shared" si="443"/>
        <v>0</v>
      </c>
      <c r="N2182" s="2">
        <f t="shared" si="444"/>
        <v>0</v>
      </c>
      <c r="O2182" s="2">
        <f t="shared" si="445"/>
        <v>1</v>
      </c>
      <c r="P2182" s="112">
        <f t="shared" si="446"/>
        <v>0</v>
      </c>
      <c r="Q2182" s="112">
        <f t="shared" si="447"/>
        <v>0</v>
      </c>
      <c r="R2182" s="53" t="s">
        <v>900</v>
      </c>
      <c r="S2182" s="53" t="str">
        <f t="shared" si="448"/>
        <v>Autos - Singles|Autographs Inscribed Parallel|A-BR|Inscribed Parallel</v>
      </c>
      <c r="T2182" s="57" t="str">
        <f>IF($S2182="","",IFERROR(VLOOKUP($S2182,'Pop Estimates (Non-#d)'!$N$2:$O$500,2,FALSE),""))</f>
        <v/>
      </c>
      <c r="U2182" s="57">
        <f t="shared" si="449"/>
        <v>25</v>
      </c>
      <c r="V2182" s="53" t="str">
        <f t="shared" si="450"/>
        <v>Popclaw "Terminal Beauty"</v>
      </c>
      <c r="W2182" s="53" t="str">
        <f t="shared" si="451"/>
        <v>Popclaw "Terminal Beauty"</v>
      </c>
      <c r="X2182" s="53" t="str">
        <f t="shared" si="452"/>
        <v>Popclaw</v>
      </c>
      <c r="Y2182" s="57">
        <f>IF($X2182="","",IFERROR(VLOOKUP($X2182,'Char Popularity'!$A$2:$C$500,2,FALSE),""))</f>
        <v>2</v>
      </c>
      <c r="Z2182" s="56">
        <f>IF($X2182="",1,IFERROR(VLOOKUP($X2182,'Char Popularity'!$A$2:$C$500,3,FALSE),1))</f>
        <v>0.9</v>
      </c>
      <c r="AA2182" s="62">
        <f>IF($H2182&lt;&gt;"Y",0,(IF($F2182&lt;&gt;"",ROUND(Dashboard!$R$4/$F2182,1),IF(AND($I2182="Base",$E2182="Base"),Dashboard!$R$5,IF(AND($I2182="Base",$E2182="Red"),Dashboard!$R$6,IF(AND($I2182="Base",$E2182="Gold"),Dashboard!$R$7,VLOOKUP($I2182,Dashboard!$Q$16:$R$21,2,FALSE)))))*VLOOKUP($I2182,Dashboard!$Q$9:$R$13,2,FALSE)*IF(AND($I2182="Auto",$F2182="",OR($B2182="Autographs Duals",$B2182="Autographs Triples",$B2182="Autographs Quads",$B2182="Autographs Quads (Inscribed)")),IF($B2182="Autographs Duals",2,IF($B2182="Autographs Triples",3,4)),1)))</f>
        <v>80</v>
      </c>
      <c r="AB2182" s="62">
        <f t="shared" si="453"/>
        <v>0</v>
      </c>
      <c r="AC2182" s="62">
        <f t="shared" si="454"/>
        <v>0</v>
      </c>
    </row>
    <row r="2183" spans="1:29" ht="30" customHeight="1" x14ac:dyDescent="0.25">
      <c r="A2183" s="4" t="s">
        <v>37</v>
      </c>
      <c r="B2183" s="7" t="s">
        <v>111</v>
      </c>
      <c r="C2183" s="2" t="s">
        <v>227</v>
      </c>
      <c r="D2183" s="7" t="s">
        <v>242</v>
      </c>
      <c r="E2183" s="4" t="s">
        <v>1606</v>
      </c>
      <c r="F2183" s="2">
        <v>25</v>
      </c>
      <c r="G2183" s="2" t="s">
        <v>1399</v>
      </c>
      <c r="H2183" s="2" t="s">
        <v>1400</v>
      </c>
      <c r="I2183" s="4" t="s">
        <v>68</v>
      </c>
      <c r="J2183" s="112">
        <f>IF($H2183&lt;&gt;"Y",0,ROUND(MIN(Dashboard!$R$24,IF(IFERROR(VLOOKUP($B2183,Dashboard!$Q$28:$S$60,2,FALSE),0)&gt;0,IFERROR(VLOOKUP($B2183,Dashboard!$Q$28:$S$60,2,FALSE),0),$Z2183*IF($U2183&lt;&gt;"",ROUND((Dashboard!$R$4/$U2183)*VLOOKUP($I2183,Dashboard!$Q$9:$R$13,2,FALSE)*IF(ISNUMBER(SEARCH("Duals",$B2183)),2,IF(ISNUMBER(SEARCH("Triples",$B2183)),3,IF(ISNUMBER(SEARCH("Quads",$B2183)),4,1))),2),ROUND(VLOOKUP($I2183,Dashboard!$Q$15:$R$20,2,FALSE)*IF($E2183="Red",Dashboard!$R$6,IF($E2183="Gold",Dashboard!$R$7,Dashboard!$R$5))*IF(ISNUMBER(SEARCH("Duals",$B2183)),2,IF(ISNUMBER(SEARCH("Triples",$B2183)),3,IF(ISNUMBER(SEARCH("Quads",$B2183)),4,1))),2))*IF(IFERROR(VLOOKUP($B2183,Dashboard!$Q$28:$S$60,3,FALSE),0)&gt;0,VLOOKUP($B2183,Dashboard!$Q$28:$S$60,3,FALSE),1))),0))</f>
        <v>110</v>
      </c>
      <c r="K2183" s="2" t="str">
        <f>IF('Autos - Singles'!G8="","",'Autos - Singles'!G8)</f>
        <v/>
      </c>
      <c r="L2183" s="2">
        <f t="shared" si="442"/>
        <v>0</v>
      </c>
      <c r="M2183" s="2">
        <f t="shared" si="443"/>
        <v>0</v>
      </c>
      <c r="N2183" s="2">
        <f t="shared" si="444"/>
        <v>0</v>
      </c>
      <c r="O2183" s="2">
        <f t="shared" si="445"/>
        <v>1</v>
      </c>
      <c r="P2183" s="112">
        <f t="shared" si="446"/>
        <v>0</v>
      </c>
      <c r="Q2183" s="112">
        <f t="shared" si="447"/>
        <v>0</v>
      </c>
      <c r="R2183" s="53" t="s">
        <v>1603</v>
      </c>
      <c r="S2183" s="53" t="str">
        <f t="shared" si="448"/>
        <v>Autos - Singles|Autographs Inscribed Parallel|A-CA|Inscribed Parallel</v>
      </c>
      <c r="T2183" s="57" t="str">
        <f>IF($S2183="","",IFERROR(VLOOKUP($S2183,'Pop Estimates (Non-#d)'!$N$2:$O$500,2,FALSE),""))</f>
        <v/>
      </c>
      <c r="U2183" s="57">
        <f t="shared" si="449"/>
        <v>25</v>
      </c>
      <c r="V2183" s="53" t="str">
        <f t="shared" si="450"/>
        <v>Ryan "Ryan Butcher"</v>
      </c>
      <c r="W2183" s="53" t="str">
        <f t="shared" si="451"/>
        <v>Ryan "Ryan Butcher"</v>
      </c>
      <c r="X2183" s="53" t="str">
        <f t="shared" si="452"/>
        <v>Ryan</v>
      </c>
      <c r="Y2183" s="57">
        <f>IF($X2183="","",IFERROR(VLOOKUP($X2183,'Char Popularity'!$A$2:$C$500,2,FALSE),""))</f>
        <v>4</v>
      </c>
      <c r="Z2183" s="56">
        <f>IF($X2183="",1,IFERROR(VLOOKUP($X2183,'Char Popularity'!$A$2:$C$500,3,FALSE),1))</f>
        <v>1.1000000000000001</v>
      </c>
      <c r="AA2183" s="62">
        <f>IF($H2183&lt;&gt;"Y",0,(IF($F2183&lt;&gt;"",ROUND(Dashboard!$R$4/$F2183,1),IF(AND($I2183="Base",$E2183="Base"),Dashboard!$R$5,IF(AND($I2183="Base",$E2183="Red"),Dashboard!$R$6,IF(AND($I2183="Base",$E2183="Gold"),Dashboard!$R$7,VLOOKUP($I2183,Dashboard!$Q$16:$R$21,2,FALSE)))))*VLOOKUP($I2183,Dashboard!$Q$9:$R$13,2,FALSE)*IF(AND($I2183="Auto",$F2183="",OR($B2183="Autographs Duals",$B2183="Autographs Triples",$B2183="Autographs Quads",$B2183="Autographs Quads (Inscribed)")),IF($B2183="Autographs Duals",2,IF($B2183="Autographs Triples",3,4)),1)))</f>
        <v>80</v>
      </c>
      <c r="AB2183" s="62">
        <f t="shared" si="453"/>
        <v>0</v>
      </c>
      <c r="AC2183" s="62">
        <f t="shared" si="454"/>
        <v>0</v>
      </c>
    </row>
    <row r="2184" spans="1:29" ht="30" customHeight="1" x14ac:dyDescent="0.25">
      <c r="A2184" s="4" t="s">
        <v>37</v>
      </c>
      <c r="B2184" s="7" t="s">
        <v>111</v>
      </c>
      <c r="C2184" s="2" t="s">
        <v>229</v>
      </c>
      <c r="D2184" s="7" t="s">
        <v>372</v>
      </c>
      <c r="E2184" s="4" t="s">
        <v>1606</v>
      </c>
      <c r="F2184" s="2">
        <v>25</v>
      </c>
      <c r="G2184" s="2" t="s">
        <v>1399</v>
      </c>
      <c r="H2184" s="2" t="s">
        <v>1400</v>
      </c>
      <c r="I2184" s="4" t="s">
        <v>68</v>
      </c>
      <c r="J2184" s="112">
        <f>IF($H2184&lt;&gt;"Y",0,ROUND(MIN(Dashboard!$R$24,IF(IFERROR(VLOOKUP($B2184,Dashboard!$Q$28:$S$60,2,FALSE),0)&gt;0,IFERROR(VLOOKUP($B2184,Dashboard!$Q$28:$S$60,2,FALSE),0),$Z2184*IF($U2184&lt;&gt;"",ROUND((Dashboard!$R$4/$U2184)*VLOOKUP($I2184,Dashboard!$Q$9:$R$13,2,FALSE)*IF(ISNUMBER(SEARCH("Duals",$B2184)),2,IF(ISNUMBER(SEARCH("Triples",$B2184)),3,IF(ISNUMBER(SEARCH("Quads",$B2184)),4,1))),2),ROUND(VLOOKUP($I2184,Dashboard!$Q$15:$R$20,2,FALSE)*IF($E2184="Red",Dashboard!$R$6,IF($E2184="Gold",Dashboard!$R$7,Dashboard!$R$5))*IF(ISNUMBER(SEARCH("Duals",$B2184)),2,IF(ISNUMBER(SEARCH("Triples",$B2184)),3,IF(ISNUMBER(SEARCH("Quads",$B2184)),4,1))),2))*IF(IFERROR(VLOOKUP($B2184,Dashboard!$Q$28:$S$60,3,FALSE),0)&gt;0,VLOOKUP($B2184,Dashboard!$Q$28:$S$60,3,FALSE),1))),0))</f>
        <v>110</v>
      </c>
      <c r="K2184" s="2" t="str">
        <f>IF('Autos - Singles'!G9="","",'Autos - Singles'!G9)</f>
        <v/>
      </c>
      <c r="L2184" s="2">
        <f t="shared" si="442"/>
        <v>0</v>
      </c>
      <c r="M2184" s="2">
        <f t="shared" si="443"/>
        <v>0</v>
      </c>
      <c r="N2184" s="2">
        <f t="shared" si="444"/>
        <v>0</v>
      </c>
      <c r="O2184" s="2">
        <f t="shared" si="445"/>
        <v>1</v>
      </c>
      <c r="P2184" s="112">
        <f t="shared" si="446"/>
        <v>0</v>
      </c>
      <c r="Q2184" s="112">
        <f t="shared" si="447"/>
        <v>0</v>
      </c>
      <c r="R2184" s="53" t="s">
        <v>689</v>
      </c>
      <c r="S2184" s="53" t="str">
        <f t="shared" si="448"/>
        <v>Autos - Singles|Autographs Inscribed Parallel|A-CC|Inscribed Parallel</v>
      </c>
      <c r="T2184" s="57" t="str">
        <f>IF($S2184="","",IFERROR(VLOOKUP($S2184,'Pop Estimates (Non-#d)'!$N$2:$O$500,2,FALSE),""))</f>
        <v/>
      </c>
      <c r="U2184" s="57">
        <f t="shared" si="449"/>
        <v>25</v>
      </c>
      <c r="V2184" s="53" t="str">
        <f t="shared" si="450"/>
        <v>The Deep "The Seven"</v>
      </c>
      <c r="W2184" s="53" t="str">
        <f t="shared" si="451"/>
        <v>The Deep "The Seven"</v>
      </c>
      <c r="X2184" s="53" t="str">
        <f t="shared" si="452"/>
        <v>The Deep</v>
      </c>
      <c r="Y2184" s="57">
        <f>IF($X2184="","",IFERROR(VLOOKUP($X2184,'Char Popularity'!$A$2:$C$500,2,FALSE),""))</f>
        <v>4</v>
      </c>
      <c r="Z2184" s="56">
        <f>IF($X2184="",1,IFERROR(VLOOKUP($X2184,'Char Popularity'!$A$2:$C$500,3,FALSE),1))</f>
        <v>1.1000000000000001</v>
      </c>
      <c r="AA2184" s="62">
        <f>IF($H2184&lt;&gt;"Y",0,(IF($F2184&lt;&gt;"",ROUND(Dashboard!$R$4/$F2184,1),IF(AND($I2184="Base",$E2184="Base"),Dashboard!$R$5,IF(AND($I2184="Base",$E2184="Red"),Dashboard!$R$6,IF(AND($I2184="Base",$E2184="Gold"),Dashboard!$R$7,VLOOKUP($I2184,Dashboard!$Q$16:$R$21,2,FALSE)))))*VLOOKUP($I2184,Dashboard!$Q$9:$R$13,2,FALSE)*IF(AND($I2184="Auto",$F2184="",OR($B2184="Autographs Duals",$B2184="Autographs Triples",$B2184="Autographs Quads",$B2184="Autographs Quads (Inscribed)")),IF($B2184="Autographs Duals",2,IF($B2184="Autographs Triples",3,4)),1)))</f>
        <v>80</v>
      </c>
      <c r="AB2184" s="62">
        <f t="shared" si="453"/>
        <v>0</v>
      </c>
      <c r="AC2184" s="62">
        <f t="shared" si="454"/>
        <v>0</v>
      </c>
    </row>
    <row r="2185" spans="1:29" ht="30" customHeight="1" x14ac:dyDescent="0.25">
      <c r="A2185" s="4" t="s">
        <v>37</v>
      </c>
      <c r="B2185" s="7" t="s">
        <v>111</v>
      </c>
      <c r="C2185" s="2" t="s">
        <v>231</v>
      </c>
      <c r="D2185" s="7" t="s">
        <v>232</v>
      </c>
      <c r="E2185" s="4" t="s">
        <v>1606</v>
      </c>
      <c r="F2185" s="2">
        <v>25</v>
      </c>
      <c r="G2185" s="2" t="s">
        <v>1399</v>
      </c>
      <c r="H2185" s="2" t="s">
        <v>1400</v>
      </c>
      <c r="I2185" s="4" t="s">
        <v>68</v>
      </c>
      <c r="J2185" s="112">
        <f>IF($H2185&lt;&gt;"Y",0,ROUND(MIN(Dashboard!$R$24,IF(IFERROR(VLOOKUP($B2185,Dashboard!$Q$28:$S$60,2,FALSE),0)&gt;0,IFERROR(VLOOKUP($B2185,Dashboard!$Q$28:$S$60,2,FALSE),0),$Z2185*IF($U2185&lt;&gt;"",ROUND((Dashboard!$R$4/$U2185)*VLOOKUP($I2185,Dashboard!$Q$9:$R$13,2,FALSE)*IF(ISNUMBER(SEARCH("Duals",$B2185)),2,IF(ISNUMBER(SEARCH("Triples",$B2185)),3,IF(ISNUMBER(SEARCH("Quads",$B2185)),4,1))),2),ROUND(VLOOKUP($I2185,Dashboard!$Q$15:$R$20,2,FALSE)*IF($E2185="Red",Dashboard!$R$6,IF($E2185="Gold",Dashboard!$R$7,Dashboard!$R$5))*IF(ISNUMBER(SEARCH("Duals",$B2185)),2,IF(ISNUMBER(SEARCH("Triples",$B2185)),3,IF(ISNUMBER(SEARCH("Quads",$B2185)),4,1))),2))*IF(IFERROR(VLOOKUP($B2185,Dashboard!$Q$28:$S$60,3,FALSE),0)&gt;0,VLOOKUP($B2185,Dashboard!$Q$28:$S$60,3,FALSE),1))),0))</f>
        <v>110</v>
      </c>
      <c r="K2185" s="2" t="str">
        <f>IF('Autos - Singles'!G10="","",'Autos - Singles'!G10)</f>
        <v/>
      </c>
      <c r="L2185" s="2">
        <f t="shared" si="442"/>
        <v>0</v>
      </c>
      <c r="M2185" s="2">
        <f t="shared" si="443"/>
        <v>0</v>
      </c>
      <c r="N2185" s="2">
        <f t="shared" si="444"/>
        <v>0</v>
      </c>
      <c r="O2185" s="2">
        <f t="shared" si="445"/>
        <v>1</v>
      </c>
      <c r="P2185" s="112">
        <f t="shared" si="446"/>
        <v>0</v>
      </c>
      <c r="Q2185" s="112">
        <f t="shared" si="447"/>
        <v>0</v>
      </c>
      <c r="R2185" s="53" t="s">
        <v>454</v>
      </c>
      <c r="S2185" s="53" t="str">
        <f t="shared" si="448"/>
        <v>Autos - Singles|Autographs Inscribed Parallel|A-CH|Inscribed Parallel</v>
      </c>
      <c r="T2185" s="57" t="str">
        <f>IF($S2185="","",IFERROR(VLOOKUP($S2185,'Pop Estimates (Non-#d)'!$N$2:$O$500,2,FALSE),""))</f>
        <v/>
      </c>
      <c r="U2185" s="57">
        <f t="shared" si="449"/>
        <v>25</v>
      </c>
      <c r="V2185" s="53" t="str">
        <f t="shared" si="450"/>
        <v>The Deep "The Deep"</v>
      </c>
      <c r="W2185" s="53" t="str">
        <f t="shared" si="451"/>
        <v>The Deep "The Deep"</v>
      </c>
      <c r="X2185" s="53" t="str">
        <f t="shared" si="452"/>
        <v>The Deep</v>
      </c>
      <c r="Y2185" s="57">
        <f>IF($X2185="","",IFERROR(VLOOKUP($X2185,'Char Popularity'!$A$2:$C$500,2,FALSE),""))</f>
        <v>4</v>
      </c>
      <c r="Z2185" s="56">
        <f>IF($X2185="",1,IFERROR(VLOOKUP($X2185,'Char Popularity'!$A$2:$C$500,3,FALSE),1))</f>
        <v>1.1000000000000001</v>
      </c>
      <c r="AA2185" s="62">
        <f>IF($H2185&lt;&gt;"Y",0,(IF($F2185&lt;&gt;"",ROUND(Dashboard!$R$4/$F2185,1),IF(AND($I2185="Base",$E2185="Base"),Dashboard!$R$5,IF(AND($I2185="Base",$E2185="Red"),Dashboard!$R$6,IF(AND($I2185="Base",$E2185="Gold"),Dashboard!$R$7,VLOOKUP($I2185,Dashboard!$Q$16:$R$21,2,FALSE)))))*VLOOKUP($I2185,Dashboard!$Q$9:$R$13,2,FALSE)*IF(AND($I2185="Auto",$F2185="",OR($B2185="Autographs Duals",$B2185="Autographs Triples",$B2185="Autographs Quads",$B2185="Autographs Quads (Inscribed)")),IF($B2185="Autographs Duals",2,IF($B2185="Autographs Triples",3,4)),1)))</f>
        <v>80</v>
      </c>
      <c r="AB2185" s="62">
        <f t="shared" si="453"/>
        <v>0</v>
      </c>
      <c r="AC2185" s="62">
        <f t="shared" si="454"/>
        <v>0</v>
      </c>
    </row>
    <row r="2186" spans="1:29" ht="30" customHeight="1" x14ac:dyDescent="0.25">
      <c r="A2186" s="4" t="s">
        <v>37</v>
      </c>
      <c r="B2186" s="7" t="s">
        <v>111</v>
      </c>
      <c r="C2186" s="2" t="s">
        <v>233</v>
      </c>
      <c r="D2186" s="7" t="s">
        <v>1609</v>
      </c>
      <c r="E2186" s="4" t="s">
        <v>1606</v>
      </c>
      <c r="F2186" s="2">
        <v>25</v>
      </c>
      <c r="G2186" s="2" t="s">
        <v>1399</v>
      </c>
      <c r="H2186" s="2" t="s">
        <v>1400</v>
      </c>
      <c r="I2186" s="4" t="s">
        <v>68</v>
      </c>
      <c r="J2186" s="112">
        <f>IF($H2186&lt;&gt;"Y",0,ROUND(MIN(Dashboard!$R$24,IF(IFERROR(VLOOKUP($B2186,Dashboard!$Q$28:$S$60,2,FALSE),0)&gt;0,IFERROR(VLOOKUP($B2186,Dashboard!$Q$28:$S$60,2,FALSE),0),$Z2186*IF($U2186&lt;&gt;"",ROUND((Dashboard!$R$4/$U2186)*VLOOKUP($I2186,Dashboard!$Q$9:$R$13,2,FALSE)*IF(ISNUMBER(SEARCH("Duals",$B2186)),2,IF(ISNUMBER(SEARCH("Triples",$B2186)),3,IF(ISNUMBER(SEARCH("Quads",$B2186)),4,1))),2),ROUND(VLOOKUP($I2186,Dashboard!$Q$15:$R$20,2,FALSE)*IF($E2186="Red",Dashboard!$R$6,IF($E2186="Gold",Dashboard!$R$7,Dashboard!$R$5))*IF(ISNUMBER(SEARCH("Duals",$B2186)),2,IF(ISNUMBER(SEARCH("Triples",$B2186)),3,IF(ISNUMBER(SEARCH("Quads",$B2186)),4,1))),2))*IF(IFERROR(VLOOKUP($B2186,Dashboard!$Q$28:$S$60,3,FALSE),0)&gt;0,VLOOKUP($B2186,Dashboard!$Q$28:$S$60,3,FALSE),1))),0))</f>
        <v>100</v>
      </c>
      <c r="K2186" s="2" t="str">
        <f>IF('Autos - Singles'!G11="","",'Autos - Singles'!G11)</f>
        <v/>
      </c>
      <c r="L2186" s="2">
        <f t="shared" si="442"/>
        <v>0</v>
      </c>
      <c r="M2186" s="2">
        <f t="shared" si="443"/>
        <v>0</v>
      </c>
      <c r="N2186" s="2">
        <f t="shared" si="444"/>
        <v>0</v>
      </c>
      <c r="O2186" s="2">
        <f t="shared" si="445"/>
        <v>1</v>
      </c>
      <c r="P2186" s="112">
        <f t="shared" si="446"/>
        <v>0</v>
      </c>
      <c r="Q2186" s="112">
        <f t="shared" si="447"/>
        <v>0</v>
      </c>
      <c r="R2186" s="53" t="s">
        <v>523</v>
      </c>
      <c r="S2186" s="53" t="str">
        <f t="shared" si="448"/>
        <v>Autos - Singles|Autographs Inscribed Parallel|A-CL|Inscribed Parallel</v>
      </c>
      <c r="T2186" s="57" t="str">
        <f>IF($S2186="","",IFERROR(VLOOKUP($S2186,'Pop Estimates (Non-#d)'!$N$2:$O$500,2,FALSE),""))</f>
        <v/>
      </c>
      <c r="U2186" s="57">
        <f t="shared" si="449"/>
        <v>25</v>
      </c>
      <c r="V2186" s="53" t="str">
        <f t="shared" si="450"/>
        <v>Ashley Barrett "Ashley Barrett"</v>
      </c>
      <c r="W2186" s="53" t="str">
        <f t="shared" si="451"/>
        <v>Ashley Barrett "Ashley Barrett"</v>
      </c>
      <c r="X2186" s="53" t="str">
        <f t="shared" si="452"/>
        <v>Ashley Barrett</v>
      </c>
      <c r="Y2186" s="57">
        <f>IF($X2186="","",IFERROR(VLOOKUP($X2186,'Char Popularity'!$A$2:$C$500,2,FALSE),""))</f>
        <v>3</v>
      </c>
      <c r="Z2186" s="56">
        <f>IF($X2186="",1,IFERROR(VLOOKUP($X2186,'Char Popularity'!$A$2:$C$500,3,FALSE),1))</f>
        <v>1</v>
      </c>
      <c r="AA2186" s="62">
        <f>IF($H2186&lt;&gt;"Y",0,(IF($F2186&lt;&gt;"",ROUND(Dashboard!$R$4/$F2186,1),IF(AND($I2186="Base",$E2186="Base"),Dashboard!$R$5,IF(AND($I2186="Base",$E2186="Red"),Dashboard!$R$6,IF(AND($I2186="Base",$E2186="Gold"),Dashboard!$R$7,VLOOKUP($I2186,Dashboard!$Q$16:$R$21,2,FALSE)))))*VLOOKUP($I2186,Dashboard!$Q$9:$R$13,2,FALSE)*IF(AND($I2186="Auto",$F2186="",OR($B2186="Autographs Duals",$B2186="Autographs Triples",$B2186="Autographs Quads",$B2186="Autographs Quads (Inscribed)")),IF($B2186="Autographs Duals",2,IF($B2186="Autographs Triples",3,4)),1)))</f>
        <v>80</v>
      </c>
      <c r="AB2186" s="62">
        <f t="shared" si="453"/>
        <v>0</v>
      </c>
      <c r="AC2186" s="62">
        <f t="shared" si="454"/>
        <v>0</v>
      </c>
    </row>
    <row r="2187" spans="1:29" ht="30" customHeight="1" x14ac:dyDescent="0.25">
      <c r="A2187" s="4" t="s">
        <v>37</v>
      </c>
      <c r="B2187" s="7" t="s">
        <v>111</v>
      </c>
      <c r="C2187" s="2" t="s">
        <v>235</v>
      </c>
      <c r="D2187" s="7" t="s">
        <v>1609</v>
      </c>
      <c r="E2187" s="4" t="s">
        <v>1606</v>
      </c>
      <c r="F2187" s="2">
        <v>25</v>
      </c>
      <c r="G2187" s="2" t="s">
        <v>1399</v>
      </c>
      <c r="H2187" s="2" t="s">
        <v>1400</v>
      </c>
      <c r="I2187" s="4" t="s">
        <v>68</v>
      </c>
      <c r="J2187" s="112">
        <f>IF($H2187&lt;&gt;"Y",0,ROUND(MIN(Dashboard!$R$24,IF(IFERROR(VLOOKUP($B2187,Dashboard!$Q$28:$S$60,2,FALSE),0)&gt;0,IFERROR(VLOOKUP($B2187,Dashboard!$Q$28:$S$60,2,FALSE),0),$Z2187*IF($U2187&lt;&gt;"",ROUND((Dashboard!$R$4/$U2187)*VLOOKUP($I2187,Dashboard!$Q$9:$R$13,2,FALSE)*IF(ISNUMBER(SEARCH("Duals",$B2187)),2,IF(ISNUMBER(SEARCH("Triples",$B2187)),3,IF(ISNUMBER(SEARCH("Quads",$B2187)),4,1))),2),ROUND(VLOOKUP($I2187,Dashboard!$Q$15:$R$20,2,FALSE)*IF($E2187="Red",Dashboard!$R$6,IF($E2187="Gold",Dashboard!$R$7,Dashboard!$R$5))*IF(ISNUMBER(SEARCH("Duals",$B2187)),2,IF(ISNUMBER(SEARCH("Triples",$B2187)),3,IF(ISNUMBER(SEARCH("Quads",$B2187)),4,1))),2))*IF(IFERROR(VLOOKUP($B2187,Dashboard!$Q$28:$S$60,3,FALSE),0)&gt;0,VLOOKUP($B2187,Dashboard!$Q$28:$S$60,3,FALSE),1))),0))</f>
        <v>100</v>
      </c>
      <c r="K2187" s="2" t="str">
        <f>IF('Autos - Singles'!G12="","",'Autos - Singles'!G12)</f>
        <v/>
      </c>
      <c r="L2187" s="2">
        <f t="shared" si="442"/>
        <v>0</v>
      </c>
      <c r="M2187" s="2">
        <f t="shared" si="443"/>
        <v>0</v>
      </c>
      <c r="N2187" s="2">
        <f t="shared" si="444"/>
        <v>0</v>
      </c>
      <c r="O2187" s="2">
        <f t="shared" si="445"/>
        <v>1</v>
      </c>
      <c r="P2187" s="112">
        <f t="shared" si="446"/>
        <v>0</v>
      </c>
      <c r="Q2187" s="112">
        <f t="shared" si="447"/>
        <v>0</v>
      </c>
      <c r="R2187" s="53" t="s">
        <v>523</v>
      </c>
      <c r="S2187" s="53" t="str">
        <f t="shared" si="448"/>
        <v>Autos - Singles|Autographs Inscribed Parallel|A-CM|Inscribed Parallel</v>
      </c>
      <c r="T2187" s="57" t="str">
        <f>IF($S2187="","",IFERROR(VLOOKUP($S2187,'Pop Estimates (Non-#d)'!$N$2:$O$500,2,FALSE),""))</f>
        <v/>
      </c>
      <c r="U2187" s="57">
        <f t="shared" si="449"/>
        <v>25</v>
      </c>
      <c r="V2187" s="53" t="str">
        <f t="shared" si="450"/>
        <v>Ashley Barrett "Ashley Barrett"</v>
      </c>
      <c r="W2187" s="53" t="str">
        <f t="shared" si="451"/>
        <v>Ashley Barrett "Ashley Barrett"</v>
      </c>
      <c r="X2187" s="53" t="str">
        <f t="shared" si="452"/>
        <v>Ashley Barrett</v>
      </c>
      <c r="Y2187" s="57">
        <f>IF($X2187="","",IFERROR(VLOOKUP($X2187,'Char Popularity'!$A$2:$C$500,2,FALSE),""))</f>
        <v>3</v>
      </c>
      <c r="Z2187" s="56">
        <f>IF($X2187="",1,IFERROR(VLOOKUP($X2187,'Char Popularity'!$A$2:$C$500,3,FALSE),1))</f>
        <v>1</v>
      </c>
      <c r="AA2187" s="62">
        <f>IF($H2187&lt;&gt;"Y",0,(IF($F2187&lt;&gt;"",ROUND(Dashboard!$R$4/$F2187,1),IF(AND($I2187="Base",$E2187="Base"),Dashboard!$R$5,IF(AND($I2187="Base",$E2187="Red"),Dashboard!$R$6,IF(AND($I2187="Base",$E2187="Gold"),Dashboard!$R$7,VLOOKUP($I2187,Dashboard!$Q$16:$R$21,2,FALSE)))))*VLOOKUP($I2187,Dashboard!$Q$9:$R$13,2,FALSE)*IF(AND($I2187="Auto",$F2187="",OR($B2187="Autographs Duals",$B2187="Autographs Triples",$B2187="Autographs Quads",$B2187="Autographs Quads (Inscribed)")),IF($B2187="Autographs Duals",2,IF($B2187="Autographs Triples",3,4)),1)))</f>
        <v>80</v>
      </c>
      <c r="AB2187" s="62">
        <f t="shared" si="453"/>
        <v>0</v>
      </c>
      <c r="AC2187" s="62">
        <f t="shared" si="454"/>
        <v>0</v>
      </c>
    </row>
    <row r="2188" spans="1:29" ht="30" customHeight="1" x14ac:dyDescent="0.25">
      <c r="A2188" s="4" t="s">
        <v>37</v>
      </c>
      <c r="B2188" s="7" t="s">
        <v>111</v>
      </c>
      <c r="C2188" s="2" t="s">
        <v>236</v>
      </c>
      <c r="D2188" s="7" t="s">
        <v>1609</v>
      </c>
      <c r="E2188" s="4" t="s">
        <v>1606</v>
      </c>
      <c r="F2188" s="2">
        <v>25</v>
      </c>
      <c r="G2188" s="2" t="s">
        <v>1399</v>
      </c>
      <c r="H2188" s="2" t="s">
        <v>1400</v>
      </c>
      <c r="I2188" s="4" t="s">
        <v>68</v>
      </c>
      <c r="J2188" s="112">
        <f>IF($H2188&lt;&gt;"Y",0,ROUND(MIN(Dashboard!$R$24,IF(IFERROR(VLOOKUP($B2188,Dashboard!$Q$28:$S$60,2,FALSE),0)&gt;0,IFERROR(VLOOKUP($B2188,Dashboard!$Q$28:$S$60,2,FALSE),0),$Z2188*IF($U2188&lt;&gt;"",ROUND((Dashboard!$R$4/$U2188)*VLOOKUP($I2188,Dashboard!$Q$9:$R$13,2,FALSE)*IF(ISNUMBER(SEARCH("Duals",$B2188)),2,IF(ISNUMBER(SEARCH("Triples",$B2188)),3,IF(ISNUMBER(SEARCH("Quads",$B2188)),4,1))),2),ROUND(VLOOKUP($I2188,Dashboard!$Q$15:$R$20,2,FALSE)*IF($E2188="Red",Dashboard!$R$6,IF($E2188="Gold",Dashboard!$R$7,Dashboard!$R$5))*IF(ISNUMBER(SEARCH("Duals",$B2188)),2,IF(ISNUMBER(SEARCH("Triples",$B2188)),3,IF(ISNUMBER(SEARCH("Quads",$B2188)),4,1))),2))*IF(IFERROR(VLOOKUP($B2188,Dashboard!$Q$28:$S$60,3,FALSE),0)&gt;0,VLOOKUP($B2188,Dashboard!$Q$28:$S$60,3,FALSE),1))),0))</f>
        <v>100</v>
      </c>
      <c r="K2188" s="2" t="str">
        <f>IF('Autos - Singles'!G13="","",'Autos - Singles'!G13)</f>
        <v/>
      </c>
      <c r="L2188" s="2">
        <f t="shared" si="442"/>
        <v>0</v>
      </c>
      <c r="M2188" s="2">
        <f t="shared" si="443"/>
        <v>0</v>
      </c>
      <c r="N2188" s="2">
        <f t="shared" si="444"/>
        <v>0</v>
      </c>
      <c r="O2188" s="2">
        <f t="shared" si="445"/>
        <v>1</v>
      </c>
      <c r="P2188" s="112">
        <f t="shared" si="446"/>
        <v>0</v>
      </c>
      <c r="Q2188" s="112">
        <f t="shared" si="447"/>
        <v>0</v>
      </c>
      <c r="R2188" s="53" t="s">
        <v>523</v>
      </c>
      <c r="S2188" s="53" t="str">
        <f t="shared" si="448"/>
        <v>Autos - Singles|Autographs Inscribed Parallel|A-CO|Inscribed Parallel</v>
      </c>
      <c r="T2188" s="57" t="str">
        <f>IF($S2188="","",IFERROR(VLOOKUP($S2188,'Pop Estimates (Non-#d)'!$N$2:$O$500,2,FALSE),""))</f>
        <v/>
      </c>
      <c r="U2188" s="57">
        <f t="shared" si="449"/>
        <v>25</v>
      </c>
      <c r="V2188" s="53" t="str">
        <f t="shared" si="450"/>
        <v>Ashley Barrett "Ashley Barrett"</v>
      </c>
      <c r="W2188" s="53" t="str">
        <f t="shared" si="451"/>
        <v>Ashley Barrett "Ashley Barrett"</v>
      </c>
      <c r="X2188" s="53" t="str">
        <f t="shared" si="452"/>
        <v>Ashley Barrett</v>
      </c>
      <c r="Y2188" s="57">
        <f>IF($X2188="","",IFERROR(VLOOKUP($X2188,'Char Popularity'!$A$2:$C$500,2,FALSE),""))</f>
        <v>3</v>
      </c>
      <c r="Z2188" s="56">
        <f>IF($X2188="",1,IFERROR(VLOOKUP($X2188,'Char Popularity'!$A$2:$C$500,3,FALSE),1))</f>
        <v>1</v>
      </c>
      <c r="AA2188" s="62">
        <f>IF($H2188&lt;&gt;"Y",0,(IF($F2188&lt;&gt;"",ROUND(Dashboard!$R$4/$F2188,1),IF(AND($I2188="Base",$E2188="Base"),Dashboard!$R$5,IF(AND($I2188="Base",$E2188="Red"),Dashboard!$R$6,IF(AND($I2188="Base",$E2188="Gold"),Dashboard!$R$7,VLOOKUP($I2188,Dashboard!$Q$16:$R$21,2,FALSE)))))*VLOOKUP($I2188,Dashboard!$Q$9:$R$13,2,FALSE)*IF(AND($I2188="Auto",$F2188="",OR($B2188="Autographs Duals",$B2188="Autographs Triples",$B2188="Autographs Quads",$B2188="Autographs Quads (Inscribed)")),IF($B2188="Autographs Duals",2,IF($B2188="Autographs Triples",3,4)),1)))</f>
        <v>80</v>
      </c>
      <c r="AB2188" s="62">
        <f t="shared" si="453"/>
        <v>0</v>
      </c>
      <c r="AC2188" s="62">
        <f t="shared" si="454"/>
        <v>0</v>
      </c>
    </row>
    <row r="2189" spans="1:29" ht="30" customHeight="1" x14ac:dyDescent="0.25">
      <c r="A2189" s="4" t="s">
        <v>37</v>
      </c>
      <c r="B2189" s="7" t="s">
        <v>111</v>
      </c>
      <c r="C2189" s="2" t="s">
        <v>237</v>
      </c>
      <c r="D2189" s="7" t="s">
        <v>1610</v>
      </c>
      <c r="E2189" s="4" t="s">
        <v>1606</v>
      </c>
      <c r="F2189" s="2">
        <v>25</v>
      </c>
      <c r="G2189" s="2" t="s">
        <v>1399</v>
      </c>
      <c r="H2189" s="2" t="s">
        <v>1400</v>
      </c>
      <c r="I2189" s="4" t="s">
        <v>68</v>
      </c>
      <c r="J2189" s="112">
        <f>IF($H2189&lt;&gt;"Y",0,ROUND(MIN(Dashboard!$R$24,IF(IFERROR(VLOOKUP($B2189,Dashboard!$Q$28:$S$60,2,FALSE),0)&gt;0,IFERROR(VLOOKUP($B2189,Dashboard!$Q$28:$S$60,2,FALSE),0),$Z2189*IF($U2189&lt;&gt;"",ROUND((Dashboard!$R$4/$U2189)*VLOOKUP($I2189,Dashboard!$Q$9:$R$13,2,FALSE)*IF(ISNUMBER(SEARCH("Duals",$B2189)),2,IF(ISNUMBER(SEARCH("Triples",$B2189)),3,IF(ISNUMBER(SEARCH("Quads",$B2189)),4,1))),2),ROUND(VLOOKUP($I2189,Dashboard!$Q$15:$R$20,2,FALSE)*IF($E2189="Red",Dashboard!$R$6,IF($E2189="Gold",Dashboard!$R$7,Dashboard!$R$5))*IF(ISNUMBER(SEARCH("Duals",$B2189)),2,IF(ISNUMBER(SEARCH("Triples",$B2189)),3,IF(ISNUMBER(SEARCH("Quads",$B2189)),4,1))),2))*IF(IFERROR(VLOOKUP($B2189,Dashboard!$Q$28:$S$60,3,FALSE),0)&gt;0,VLOOKUP($B2189,Dashboard!$Q$28:$S$60,3,FALSE),1))),0))</f>
        <v>110</v>
      </c>
      <c r="K2189" s="2" t="str">
        <f>IF('Autos - Singles'!G14="","",'Autos - Singles'!G14)</f>
        <v/>
      </c>
      <c r="L2189" s="2">
        <f t="shared" si="442"/>
        <v>0</v>
      </c>
      <c r="M2189" s="2">
        <f t="shared" si="443"/>
        <v>0</v>
      </c>
      <c r="N2189" s="2">
        <f t="shared" si="444"/>
        <v>0</v>
      </c>
      <c r="O2189" s="2">
        <f t="shared" si="445"/>
        <v>1</v>
      </c>
      <c r="P2189" s="112">
        <f t="shared" si="446"/>
        <v>0</v>
      </c>
      <c r="Q2189" s="112">
        <f t="shared" si="447"/>
        <v>0</v>
      </c>
      <c r="R2189" s="53" t="s">
        <v>1604</v>
      </c>
      <c r="S2189" s="53" t="str">
        <f t="shared" si="448"/>
        <v>Autos - Singles|Autographs Inscribed Parallel|A-CP|Inscribed Parallel</v>
      </c>
      <c r="T2189" s="57" t="str">
        <f>IF($S2189="","",IFERROR(VLOOKUP($S2189,'Pop Estimates (Non-#d)'!$N$2:$O$500,2,FALSE),""))</f>
        <v/>
      </c>
      <c r="U2189" s="57">
        <f t="shared" si="449"/>
        <v>25</v>
      </c>
      <c r="V2189" s="53" t="str">
        <f t="shared" si="450"/>
        <v>Frenchie "The Boys"</v>
      </c>
      <c r="W2189" s="53" t="str">
        <f t="shared" si="451"/>
        <v>Frenchie "The Boys"</v>
      </c>
      <c r="X2189" s="53" t="str">
        <f t="shared" si="452"/>
        <v>Frenchie</v>
      </c>
      <c r="Y2189" s="57">
        <f>IF($X2189="","",IFERROR(VLOOKUP($X2189,'Char Popularity'!$A$2:$C$500,2,FALSE),""))</f>
        <v>4</v>
      </c>
      <c r="Z2189" s="56">
        <f>IF($X2189="",1,IFERROR(VLOOKUP($X2189,'Char Popularity'!$A$2:$C$500,3,FALSE),1))</f>
        <v>1.1000000000000001</v>
      </c>
      <c r="AA2189" s="62">
        <f>IF($H2189&lt;&gt;"Y",0,(IF($F2189&lt;&gt;"",ROUND(Dashboard!$R$4/$F2189,1),IF(AND($I2189="Base",$E2189="Base"),Dashboard!$R$5,IF(AND($I2189="Base",$E2189="Red"),Dashboard!$R$6,IF(AND($I2189="Base",$E2189="Gold"),Dashboard!$R$7,VLOOKUP($I2189,Dashboard!$Q$16:$R$21,2,FALSE)))))*VLOOKUP($I2189,Dashboard!$Q$9:$R$13,2,FALSE)*IF(AND($I2189="Auto",$F2189="",OR($B2189="Autographs Duals",$B2189="Autographs Triples",$B2189="Autographs Quads",$B2189="Autographs Quads (Inscribed)")),IF($B2189="Autographs Duals",2,IF($B2189="Autographs Triples",3,4)),1)))</f>
        <v>80</v>
      </c>
      <c r="AB2189" s="62">
        <f t="shared" si="453"/>
        <v>0</v>
      </c>
      <c r="AC2189" s="62">
        <f t="shared" si="454"/>
        <v>0</v>
      </c>
    </row>
    <row r="2190" spans="1:29" ht="30" customHeight="1" x14ac:dyDescent="0.25">
      <c r="A2190" s="4" t="s">
        <v>37</v>
      </c>
      <c r="B2190" s="7" t="s">
        <v>111</v>
      </c>
      <c r="C2190" s="2" t="s">
        <v>239</v>
      </c>
      <c r="D2190" s="7" t="s">
        <v>242</v>
      </c>
      <c r="E2190" s="4" t="s">
        <v>1606</v>
      </c>
      <c r="F2190" s="2">
        <v>25</v>
      </c>
      <c r="G2190" s="2" t="s">
        <v>1399</v>
      </c>
      <c r="H2190" s="2" t="s">
        <v>1400</v>
      </c>
      <c r="I2190" s="4" t="s">
        <v>68</v>
      </c>
      <c r="J2190" s="112">
        <f>IF($H2190&lt;&gt;"Y",0,ROUND(MIN(Dashboard!$R$24,IF(IFERROR(VLOOKUP($B2190,Dashboard!$Q$28:$S$60,2,FALSE),0)&gt;0,IFERROR(VLOOKUP($B2190,Dashboard!$Q$28:$S$60,2,FALSE),0),$Z2190*IF($U2190&lt;&gt;"",ROUND((Dashboard!$R$4/$U2190)*VLOOKUP($I2190,Dashboard!$Q$9:$R$13,2,FALSE)*IF(ISNUMBER(SEARCH("Duals",$B2190)),2,IF(ISNUMBER(SEARCH("Triples",$B2190)),3,IF(ISNUMBER(SEARCH("Quads",$B2190)),4,1))),2),ROUND(VLOOKUP($I2190,Dashboard!$Q$15:$R$20,2,FALSE)*IF($E2190="Red",Dashboard!$R$6,IF($E2190="Gold",Dashboard!$R$7,Dashboard!$R$5))*IF(ISNUMBER(SEARCH("Duals",$B2190)),2,IF(ISNUMBER(SEARCH("Triples",$B2190)),3,IF(ISNUMBER(SEARCH("Quads",$B2190)),4,1))),2))*IF(IFERROR(VLOOKUP($B2190,Dashboard!$Q$28:$S$60,3,FALSE),0)&gt;0,VLOOKUP($B2190,Dashboard!$Q$28:$S$60,3,FALSE),1))),0))</f>
        <v>110</v>
      </c>
      <c r="K2190" s="2" t="str">
        <f>IF('Autos - Singles'!G15="","",'Autos - Singles'!G15)</f>
        <v/>
      </c>
      <c r="L2190" s="2">
        <f t="shared" si="442"/>
        <v>0</v>
      </c>
      <c r="M2190" s="2">
        <f t="shared" si="443"/>
        <v>0</v>
      </c>
      <c r="N2190" s="2">
        <f t="shared" si="444"/>
        <v>0</v>
      </c>
      <c r="O2190" s="2">
        <f t="shared" si="445"/>
        <v>1</v>
      </c>
      <c r="P2190" s="112">
        <f t="shared" si="446"/>
        <v>0</v>
      </c>
      <c r="Q2190" s="112">
        <f t="shared" si="447"/>
        <v>0</v>
      </c>
      <c r="R2190" s="53" t="s">
        <v>1603</v>
      </c>
      <c r="S2190" s="53" t="str">
        <f t="shared" si="448"/>
        <v>Autos - Singles|Autographs Inscribed Parallel|A-CR|Inscribed Parallel</v>
      </c>
      <c r="T2190" s="57" t="str">
        <f>IF($S2190="","",IFERROR(VLOOKUP($S2190,'Pop Estimates (Non-#d)'!$N$2:$O$500,2,FALSE),""))</f>
        <v/>
      </c>
      <c r="U2190" s="57">
        <f t="shared" si="449"/>
        <v>25</v>
      </c>
      <c r="V2190" s="53" t="str">
        <f t="shared" si="450"/>
        <v>Ryan "Ryan Butcher"</v>
      </c>
      <c r="W2190" s="53" t="str">
        <f t="shared" si="451"/>
        <v>Ryan "Ryan Butcher"</v>
      </c>
      <c r="X2190" s="53" t="str">
        <f t="shared" si="452"/>
        <v>Ryan</v>
      </c>
      <c r="Y2190" s="57">
        <f>IF($X2190="","",IFERROR(VLOOKUP($X2190,'Char Popularity'!$A$2:$C$500,2,FALSE),""))</f>
        <v>4</v>
      </c>
      <c r="Z2190" s="56">
        <f>IF($X2190="",1,IFERROR(VLOOKUP($X2190,'Char Popularity'!$A$2:$C$500,3,FALSE),1))</f>
        <v>1.1000000000000001</v>
      </c>
      <c r="AA2190" s="62">
        <f>IF($H2190&lt;&gt;"Y",0,(IF($F2190&lt;&gt;"",ROUND(Dashboard!$R$4/$F2190,1),IF(AND($I2190="Base",$E2190="Base"),Dashboard!$R$5,IF(AND($I2190="Base",$E2190="Red"),Dashboard!$R$6,IF(AND($I2190="Base",$E2190="Gold"),Dashboard!$R$7,VLOOKUP($I2190,Dashboard!$Q$16:$R$21,2,FALSE)))))*VLOOKUP($I2190,Dashboard!$Q$9:$R$13,2,FALSE)*IF(AND($I2190="Auto",$F2190="",OR($B2190="Autographs Duals",$B2190="Autographs Triples",$B2190="Autographs Quads",$B2190="Autographs Quads (Inscribed)")),IF($B2190="Autographs Duals",2,IF($B2190="Autographs Triples",3,4)),1)))</f>
        <v>80</v>
      </c>
      <c r="AB2190" s="62">
        <f t="shared" si="453"/>
        <v>0</v>
      </c>
      <c r="AC2190" s="62">
        <f t="shared" si="454"/>
        <v>0</v>
      </c>
    </row>
    <row r="2191" spans="1:29" ht="30" customHeight="1" x14ac:dyDescent="0.25">
      <c r="A2191" s="4" t="s">
        <v>37</v>
      </c>
      <c r="B2191" s="7" t="s">
        <v>111</v>
      </c>
      <c r="C2191" s="2" t="s">
        <v>240</v>
      </c>
      <c r="D2191" s="7" t="s">
        <v>242</v>
      </c>
      <c r="E2191" s="4" t="s">
        <v>1606</v>
      </c>
      <c r="F2191" s="2">
        <v>25</v>
      </c>
      <c r="G2191" s="2" t="s">
        <v>1399</v>
      </c>
      <c r="H2191" s="2" t="s">
        <v>1400</v>
      </c>
      <c r="I2191" s="4" t="s">
        <v>68</v>
      </c>
      <c r="J2191" s="112">
        <f>IF($H2191&lt;&gt;"Y",0,ROUND(MIN(Dashboard!$R$24,IF(IFERROR(VLOOKUP($B2191,Dashboard!$Q$28:$S$60,2,FALSE),0)&gt;0,IFERROR(VLOOKUP($B2191,Dashboard!$Q$28:$S$60,2,FALSE),0),$Z2191*IF($U2191&lt;&gt;"",ROUND((Dashboard!$R$4/$U2191)*VLOOKUP($I2191,Dashboard!$Q$9:$R$13,2,FALSE)*IF(ISNUMBER(SEARCH("Duals",$B2191)),2,IF(ISNUMBER(SEARCH("Triples",$B2191)),3,IF(ISNUMBER(SEARCH("Quads",$B2191)),4,1))),2),ROUND(VLOOKUP($I2191,Dashboard!$Q$15:$R$20,2,FALSE)*IF($E2191="Red",Dashboard!$R$6,IF($E2191="Gold",Dashboard!$R$7,Dashboard!$R$5))*IF(ISNUMBER(SEARCH("Duals",$B2191)),2,IF(ISNUMBER(SEARCH("Triples",$B2191)),3,IF(ISNUMBER(SEARCH("Quads",$B2191)),4,1))),2))*IF(IFERROR(VLOOKUP($B2191,Dashboard!$Q$28:$S$60,3,FALSE),0)&gt;0,VLOOKUP($B2191,Dashboard!$Q$28:$S$60,3,FALSE),1))),0))</f>
        <v>110</v>
      </c>
      <c r="K2191" s="2" t="str">
        <f>IF('Autos - Singles'!G16="","",'Autos - Singles'!G16)</f>
        <v/>
      </c>
      <c r="L2191" s="2">
        <f t="shared" si="442"/>
        <v>0</v>
      </c>
      <c r="M2191" s="2">
        <f t="shared" si="443"/>
        <v>0</v>
      </c>
      <c r="N2191" s="2">
        <f t="shared" si="444"/>
        <v>0</v>
      </c>
      <c r="O2191" s="2">
        <f t="shared" si="445"/>
        <v>1</v>
      </c>
      <c r="P2191" s="112">
        <f t="shared" si="446"/>
        <v>0</v>
      </c>
      <c r="Q2191" s="112">
        <f t="shared" si="447"/>
        <v>0</v>
      </c>
      <c r="R2191" s="53" t="s">
        <v>1603</v>
      </c>
      <c r="S2191" s="53" t="str">
        <f t="shared" si="448"/>
        <v>Autos - Singles|Autographs Inscribed Parallel|A-CT|Inscribed Parallel</v>
      </c>
      <c r="T2191" s="57" t="str">
        <f>IF($S2191="","",IFERROR(VLOOKUP($S2191,'Pop Estimates (Non-#d)'!$N$2:$O$500,2,FALSE),""))</f>
        <v/>
      </c>
      <c r="U2191" s="57">
        <f t="shared" si="449"/>
        <v>25</v>
      </c>
      <c r="V2191" s="53" t="str">
        <f t="shared" si="450"/>
        <v>Ryan "Ryan Butcher"</v>
      </c>
      <c r="W2191" s="53" t="str">
        <f t="shared" si="451"/>
        <v>Ryan "Ryan Butcher"</v>
      </c>
      <c r="X2191" s="53" t="str">
        <f t="shared" si="452"/>
        <v>Ryan</v>
      </c>
      <c r="Y2191" s="57">
        <f>IF($X2191="","",IFERROR(VLOOKUP($X2191,'Char Popularity'!$A$2:$C$500,2,FALSE),""))</f>
        <v>4</v>
      </c>
      <c r="Z2191" s="56">
        <f>IF($X2191="",1,IFERROR(VLOOKUP($X2191,'Char Popularity'!$A$2:$C$500,3,FALSE),1))</f>
        <v>1.1000000000000001</v>
      </c>
      <c r="AA2191" s="62">
        <f>IF($H2191&lt;&gt;"Y",0,(IF($F2191&lt;&gt;"",ROUND(Dashboard!$R$4/$F2191,1),IF(AND($I2191="Base",$E2191="Base"),Dashboard!$R$5,IF(AND($I2191="Base",$E2191="Red"),Dashboard!$R$6,IF(AND($I2191="Base",$E2191="Gold"),Dashboard!$R$7,VLOOKUP($I2191,Dashboard!$Q$16:$R$21,2,FALSE)))))*VLOOKUP($I2191,Dashboard!$Q$9:$R$13,2,FALSE)*IF(AND($I2191="Auto",$F2191="",OR($B2191="Autographs Duals",$B2191="Autographs Triples",$B2191="Autographs Quads",$B2191="Autographs Quads (Inscribed)")),IF($B2191="Autographs Duals",2,IF($B2191="Autographs Triples",3,4)),1)))</f>
        <v>80</v>
      </c>
      <c r="AB2191" s="62">
        <f t="shared" si="453"/>
        <v>0</v>
      </c>
      <c r="AC2191" s="62">
        <f t="shared" si="454"/>
        <v>0</v>
      </c>
    </row>
    <row r="2192" spans="1:29" ht="30" customHeight="1" x14ac:dyDescent="0.25">
      <c r="A2192" s="4" t="s">
        <v>37</v>
      </c>
      <c r="B2192" s="7" t="s">
        <v>111</v>
      </c>
      <c r="C2192" s="2" t="s">
        <v>241</v>
      </c>
      <c r="D2192" s="7" t="s">
        <v>242</v>
      </c>
      <c r="E2192" s="4" t="s">
        <v>1606</v>
      </c>
      <c r="F2192" s="2">
        <v>25</v>
      </c>
      <c r="G2192" s="2" t="s">
        <v>1399</v>
      </c>
      <c r="H2192" s="2" t="s">
        <v>1400</v>
      </c>
      <c r="I2192" s="4" t="s">
        <v>68</v>
      </c>
      <c r="J2192" s="112">
        <f>IF($H2192&lt;&gt;"Y",0,ROUND(MIN(Dashboard!$R$24,IF(IFERROR(VLOOKUP($B2192,Dashboard!$Q$28:$S$60,2,FALSE),0)&gt;0,IFERROR(VLOOKUP($B2192,Dashboard!$Q$28:$S$60,2,FALSE),0),$Z2192*IF($U2192&lt;&gt;"",ROUND((Dashboard!$R$4/$U2192)*VLOOKUP($I2192,Dashboard!$Q$9:$R$13,2,FALSE)*IF(ISNUMBER(SEARCH("Duals",$B2192)),2,IF(ISNUMBER(SEARCH("Triples",$B2192)),3,IF(ISNUMBER(SEARCH("Quads",$B2192)),4,1))),2),ROUND(VLOOKUP($I2192,Dashboard!$Q$15:$R$20,2,FALSE)*IF($E2192="Red",Dashboard!$R$6,IF($E2192="Gold",Dashboard!$R$7,Dashboard!$R$5))*IF(ISNUMBER(SEARCH("Duals",$B2192)),2,IF(ISNUMBER(SEARCH("Triples",$B2192)),3,IF(ISNUMBER(SEARCH("Quads",$B2192)),4,1))),2))*IF(IFERROR(VLOOKUP($B2192,Dashboard!$Q$28:$S$60,3,FALSE),0)&gt;0,VLOOKUP($B2192,Dashboard!$Q$28:$S$60,3,FALSE),1))),0))</f>
        <v>110</v>
      </c>
      <c r="K2192" s="2" t="str">
        <f>IF('Autos - Singles'!G17="","",'Autos - Singles'!G17)</f>
        <v>V 18/25</v>
      </c>
      <c r="L2192" s="2">
        <f t="shared" si="442"/>
        <v>1</v>
      </c>
      <c r="M2192" s="2">
        <f t="shared" si="443"/>
        <v>0</v>
      </c>
      <c r="N2192" s="2">
        <f t="shared" si="444"/>
        <v>1</v>
      </c>
      <c r="O2192" s="2">
        <f t="shared" si="445"/>
        <v>0</v>
      </c>
      <c r="P2192" s="112">
        <f t="shared" si="446"/>
        <v>110</v>
      </c>
      <c r="Q2192" s="112">
        <f t="shared" si="447"/>
        <v>0</v>
      </c>
      <c r="R2192" s="53" t="s">
        <v>1603</v>
      </c>
      <c r="S2192" s="53" t="str">
        <f t="shared" si="448"/>
        <v>Autos - Singles|Autographs Inscribed Parallel|A-CV|Inscribed Parallel</v>
      </c>
      <c r="T2192" s="57" t="str">
        <f>IF($S2192="","",IFERROR(VLOOKUP($S2192,'Pop Estimates (Non-#d)'!$N$2:$O$500,2,FALSE),""))</f>
        <v/>
      </c>
      <c r="U2192" s="57">
        <f t="shared" si="449"/>
        <v>25</v>
      </c>
      <c r="V2192" s="53" t="str">
        <f t="shared" si="450"/>
        <v>Ryan "Ryan Butcher"</v>
      </c>
      <c r="W2192" s="53" t="str">
        <f t="shared" si="451"/>
        <v>Ryan "Ryan Butcher"</v>
      </c>
      <c r="X2192" s="53" t="str">
        <f t="shared" si="452"/>
        <v>Ryan</v>
      </c>
      <c r="Y2192" s="57">
        <f>IF($X2192="","",IFERROR(VLOOKUP($X2192,'Char Popularity'!$A$2:$C$500,2,FALSE),""))</f>
        <v>4</v>
      </c>
      <c r="Z2192" s="56">
        <f>IF($X2192="",1,IFERROR(VLOOKUP($X2192,'Char Popularity'!$A$2:$C$500,3,FALSE),1))</f>
        <v>1.1000000000000001</v>
      </c>
      <c r="AA2192" s="62">
        <f>IF($H2192&lt;&gt;"Y",0,(IF($F2192&lt;&gt;"",ROUND(Dashboard!$R$4/$F2192,1),IF(AND($I2192="Base",$E2192="Base"),Dashboard!$R$5,IF(AND($I2192="Base",$E2192="Red"),Dashboard!$R$6,IF(AND($I2192="Base",$E2192="Gold"),Dashboard!$R$7,VLOOKUP($I2192,Dashboard!$Q$16:$R$21,2,FALSE)))))*VLOOKUP($I2192,Dashboard!$Q$9:$R$13,2,FALSE)*IF(AND($I2192="Auto",$F2192="",OR($B2192="Autographs Duals",$B2192="Autographs Triples",$B2192="Autographs Quads",$B2192="Autographs Quads (Inscribed)")),IF($B2192="Autographs Duals",2,IF($B2192="Autographs Triples",3,4)),1)))</f>
        <v>80</v>
      </c>
      <c r="AB2192" s="62">
        <f t="shared" si="453"/>
        <v>80</v>
      </c>
      <c r="AC2192" s="62">
        <f t="shared" si="454"/>
        <v>0</v>
      </c>
    </row>
    <row r="2193" spans="1:29" ht="30" customHeight="1" x14ac:dyDescent="0.25">
      <c r="A2193" s="4" t="s">
        <v>37</v>
      </c>
      <c r="B2193" s="7" t="s">
        <v>111</v>
      </c>
      <c r="C2193" s="2" t="s">
        <v>243</v>
      </c>
      <c r="D2193" s="7" t="s">
        <v>285</v>
      </c>
      <c r="E2193" s="4" t="s">
        <v>1606</v>
      </c>
      <c r="F2193" s="2">
        <v>25</v>
      </c>
      <c r="G2193" s="2" t="s">
        <v>1399</v>
      </c>
      <c r="H2193" s="2" t="s">
        <v>1400</v>
      </c>
      <c r="I2193" s="4" t="s">
        <v>68</v>
      </c>
      <c r="J2193" s="112">
        <f>IF($H2193&lt;&gt;"Y",0,ROUND(MIN(Dashboard!$R$24,IF(IFERROR(VLOOKUP($B2193,Dashboard!$Q$28:$S$60,2,FALSE),0)&gt;0,IFERROR(VLOOKUP($B2193,Dashboard!$Q$28:$S$60,2,FALSE),0),$Z2193*IF($U2193&lt;&gt;"",ROUND((Dashboard!$R$4/$U2193)*VLOOKUP($I2193,Dashboard!$Q$9:$R$13,2,FALSE)*IF(ISNUMBER(SEARCH("Duals",$B2193)),2,IF(ISNUMBER(SEARCH("Triples",$B2193)),3,IF(ISNUMBER(SEARCH("Quads",$B2193)),4,1))),2),ROUND(VLOOKUP($I2193,Dashboard!$Q$15:$R$20,2,FALSE)*IF($E2193="Red",Dashboard!$R$6,IF($E2193="Gold",Dashboard!$R$7,Dashboard!$R$5))*IF(ISNUMBER(SEARCH("Duals",$B2193)),2,IF(ISNUMBER(SEARCH("Triples",$B2193)),3,IF(ISNUMBER(SEARCH("Quads",$B2193)),4,1))),2))*IF(IFERROR(VLOOKUP($B2193,Dashboard!$Q$28:$S$60,3,FALSE),0)&gt;0,VLOOKUP($B2193,Dashboard!$Q$28:$S$60,3,FALSE),1))),0))</f>
        <v>110</v>
      </c>
      <c r="K2193" s="2" t="str">
        <f>IF('Autos - Singles'!G18="","",'Autos - Singles'!G18)</f>
        <v/>
      </c>
      <c r="L2193" s="2">
        <f t="shared" si="442"/>
        <v>0</v>
      </c>
      <c r="M2193" s="2">
        <f t="shared" si="443"/>
        <v>0</v>
      </c>
      <c r="N2193" s="2">
        <f t="shared" si="444"/>
        <v>0</v>
      </c>
      <c r="O2193" s="2">
        <f t="shared" si="445"/>
        <v>1</v>
      </c>
      <c r="P2193" s="112">
        <f t="shared" si="446"/>
        <v>0</v>
      </c>
      <c r="Q2193" s="112">
        <f t="shared" si="447"/>
        <v>0</v>
      </c>
      <c r="R2193" s="53" t="s">
        <v>345</v>
      </c>
      <c r="S2193" s="53" t="str">
        <f t="shared" si="448"/>
        <v>Autos - Singles|Autographs Inscribed Parallel|A-DM|Inscribed Parallel</v>
      </c>
      <c r="T2193" s="57" t="str">
        <f>IF($S2193="","",IFERROR(VLOOKUP($S2193,'Pop Estimates (Non-#d)'!$N$2:$O$500,2,FALSE),""))</f>
        <v/>
      </c>
      <c r="U2193" s="57">
        <f t="shared" si="449"/>
        <v>25</v>
      </c>
      <c r="V2193" s="53" t="str">
        <f t="shared" si="450"/>
        <v>Queen Maeve "Queen Maeve"</v>
      </c>
      <c r="W2193" s="53" t="str">
        <f t="shared" si="451"/>
        <v>Queen Maeve "Queen Maeve"</v>
      </c>
      <c r="X2193" s="53" t="str">
        <f t="shared" si="452"/>
        <v>Queen Maeve</v>
      </c>
      <c r="Y2193" s="57">
        <f>IF($X2193="","",IFERROR(VLOOKUP($X2193,'Char Popularity'!$A$2:$C$500,2,FALSE),""))</f>
        <v>4</v>
      </c>
      <c r="Z2193" s="56">
        <f>IF($X2193="",1,IFERROR(VLOOKUP($X2193,'Char Popularity'!$A$2:$C$500,3,FALSE),1))</f>
        <v>1.1000000000000001</v>
      </c>
      <c r="AA2193" s="62">
        <f>IF($H2193&lt;&gt;"Y",0,(IF($F2193&lt;&gt;"",ROUND(Dashboard!$R$4/$F2193,1),IF(AND($I2193="Base",$E2193="Base"),Dashboard!$R$5,IF(AND($I2193="Base",$E2193="Red"),Dashboard!$R$6,IF(AND($I2193="Base",$E2193="Gold"),Dashboard!$R$7,VLOOKUP($I2193,Dashboard!$Q$16:$R$21,2,FALSE)))))*VLOOKUP($I2193,Dashboard!$Q$9:$R$13,2,FALSE)*IF(AND($I2193="Auto",$F2193="",OR($B2193="Autographs Duals",$B2193="Autographs Triples",$B2193="Autographs Quads",$B2193="Autographs Quads (Inscribed)")),IF($B2193="Autographs Duals",2,IF($B2193="Autographs Triples",3,4)),1)))</f>
        <v>80</v>
      </c>
      <c r="AB2193" s="62">
        <f t="shared" si="453"/>
        <v>0</v>
      </c>
      <c r="AC2193" s="62">
        <f t="shared" si="454"/>
        <v>0</v>
      </c>
    </row>
    <row r="2194" spans="1:29" ht="30" customHeight="1" x14ac:dyDescent="0.25">
      <c r="A2194" s="4" t="s">
        <v>37</v>
      </c>
      <c r="B2194" s="7" t="s">
        <v>111</v>
      </c>
      <c r="C2194" s="2" t="s">
        <v>245</v>
      </c>
      <c r="D2194" s="7" t="s">
        <v>285</v>
      </c>
      <c r="E2194" s="4" t="s">
        <v>1606</v>
      </c>
      <c r="F2194" s="2">
        <v>25</v>
      </c>
      <c r="G2194" s="2" t="s">
        <v>1399</v>
      </c>
      <c r="H2194" s="2" t="s">
        <v>1400</v>
      </c>
      <c r="I2194" s="4" t="s">
        <v>68</v>
      </c>
      <c r="J2194" s="112">
        <f>IF($H2194&lt;&gt;"Y",0,ROUND(MIN(Dashboard!$R$24,IF(IFERROR(VLOOKUP($B2194,Dashboard!$Q$28:$S$60,2,FALSE),0)&gt;0,IFERROR(VLOOKUP($B2194,Dashboard!$Q$28:$S$60,2,FALSE),0),$Z2194*IF($U2194&lt;&gt;"",ROUND((Dashboard!$R$4/$U2194)*VLOOKUP($I2194,Dashboard!$Q$9:$R$13,2,FALSE)*IF(ISNUMBER(SEARCH("Duals",$B2194)),2,IF(ISNUMBER(SEARCH("Triples",$B2194)),3,IF(ISNUMBER(SEARCH("Quads",$B2194)),4,1))),2),ROUND(VLOOKUP($I2194,Dashboard!$Q$15:$R$20,2,FALSE)*IF($E2194="Red",Dashboard!$R$6,IF($E2194="Gold",Dashboard!$R$7,Dashboard!$R$5))*IF(ISNUMBER(SEARCH("Duals",$B2194)),2,IF(ISNUMBER(SEARCH("Triples",$B2194)),3,IF(ISNUMBER(SEARCH("Quads",$B2194)),4,1))),2))*IF(IFERROR(VLOOKUP($B2194,Dashboard!$Q$28:$S$60,3,FALSE),0)&gt;0,VLOOKUP($B2194,Dashboard!$Q$28:$S$60,3,FALSE),1))),0))</f>
        <v>110</v>
      </c>
      <c r="K2194" s="2" t="str">
        <f>IF('Autos - Singles'!G19="","",'Autos - Singles'!G19)</f>
        <v/>
      </c>
      <c r="L2194" s="2">
        <f t="shared" si="442"/>
        <v>0</v>
      </c>
      <c r="M2194" s="2">
        <f t="shared" si="443"/>
        <v>0</v>
      </c>
      <c r="N2194" s="2">
        <f t="shared" si="444"/>
        <v>0</v>
      </c>
      <c r="O2194" s="2">
        <f t="shared" si="445"/>
        <v>1</v>
      </c>
      <c r="P2194" s="112">
        <f t="shared" si="446"/>
        <v>0</v>
      </c>
      <c r="Q2194" s="112">
        <f t="shared" si="447"/>
        <v>0</v>
      </c>
      <c r="R2194" s="53" t="s">
        <v>345</v>
      </c>
      <c r="S2194" s="53" t="str">
        <f t="shared" si="448"/>
        <v>Autos - Singles|Autographs Inscribed Parallel|A-DO|Inscribed Parallel</v>
      </c>
      <c r="T2194" s="57" t="str">
        <f>IF($S2194="","",IFERROR(VLOOKUP($S2194,'Pop Estimates (Non-#d)'!$N$2:$O$500,2,FALSE),""))</f>
        <v/>
      </c>
      <c r="U2194" s="57">
        <f t="shared" si="449"/>
        <v>25</v>
      </c>
      <c r="V2194" s="53" t="str">
        <f t="shared" si="450"/>
        <v>Queen Maeve "Queen Maeve"</v>
      </c>
      <c r="W2194" s="53" t="str">
        <f t="shared" si="451"/>
        <v>Queen Maeve "Queen Maeve"</v>
      </c>
      <c r="X2194" s="53" t="str">
        <f t="shared" si="452"/>
        <v>Queen Maeve</v>
      </c>
      <c r="Y2194" s="57">
        <f>IF($X2194="","",IFERROR(VLOOKUP($X2194,'Char Popularity'!$A$2:$C$500,2,FALSE),""))</f>
        <v>4</v>
      </c>
      <c r="Z2194" s="56">
        <f>IF($X2194="",1,IFERROR(VLOOKUP($X2194,'Char Popularity'!$A$2:$C$500,3,FALSE),1))</f>
        <v>1.1000000000000001</v>
      </c>
      <c r="AA2194" s="62">
        <f>IF($H2194&lt;&gt;"Y",0,(IF($F2194&lt;&gt;"",ROUND(Dashboard!$R$4/$F2194,1),IF(AND($I2194="Base",$E2194="Base"),Dashboard!$R$5,IF(AND($I2194="Base",$E2194="Red"),Dashboard!$R$6,IF(AND($I2194="Base",$E2194="Gold"),Dashboard!$R$7,VLOOKUP($I2194,Dashboard!$Q$16:$R$21,2,FALSE)))))*VLOOKUP($I2194,Dashboard!$Q$9:$R$13,2,FALSE)*IF(AND($I2194="Auto",$F2194="",OR($B2194="Autographs Duals",$B2194="Autographs Triples",$B2194="Autographs Quads",$B2194="Autographs Quads (Inscribed)")),IF($B2194="Autographs Duals",2,IF($B2194="Autographs Triples",3,4)),1)))</f>
        <v>80</v>
      </c>
      <c r="AB2194" s="62">
        <f t="shared" si="453"/>
        <v>0</v>
      </c>
      <c r="AC2194" s="62">
        <f t="shared" si="454"/>
        <v>0</v>
      </c>
    </row>
    <row r="2195" spans="1:29" ht="30" customHeight="1" x14ac:dyDescent="0.25">
      <c r="A2195" s="4" t="s">
        <v>37</v>
      </c>
      <c r="B2195" s="7" t="s">
        <v>111</v>
      </c>
      <c r="C2195" s="2" t="s">
        <v>246</v>
      </c>
      <c r="D2195" s="7" t="s">
        <v>285</v>
      </c>
      <c r="E2195" s="4" t="s">
        <v>1606</v>
      </c>
      <c r="F2195" s="2">
        <v>25</v>
      </c>
      <c r="G2195" s="2" t="s">
        <v>1399</v>
      </c>
      <c r="H2195" s="2" t="s">
        <v>1400</v>
      </c>
      <c r="I2195" s="4" t="s">
        <v>68</v>
      </c>
      <c r="J2195" s="112">
        <f>IF($H2195&lt;&gt;"Y",0,ROUND(MIN(Dashboard!$R$24,IF(IFERROR(VLOOKUP($B2195,Dashboard!$Q$28:$S$60,2,FALSE),0)&gt;0,IFERROR(VLOOKUP($B2195,Dashboard!$Q$28:$S$60,2,FALSE),0),$Z2195*IF($U2195&lt;&gt;"",ROUND((Dashboard!$R$4/$U2195)*VLOOKUP($I2195,Dashboard!$Q$9:$R$13,2,FALSE)*IF(ISNUMBER(SEARCH("Duals",$B2195)),2,IF(ISNUMBER(SEARCH("Triples",$B2195)),3,IF(ISNUMBER(SEARCH("Quads",$B2195)),4,1))),2),ROUND(VLOOKUP($I2195,Dashboard!$Q$15:$R$20,2,FALSE)*IF($E2195="Red",Dashboard!$R$6,IF($E2195="Gold",Dashboard!$R$7,Dashboard!$R$5))*IF(ISNUMBER(SEARCH("Duals",$B2195)),2,IF(ISNUMBER(SEARCH("Triples",$B2195)),3,IF(ISNUMBER(SEARCH("Quads",$B2195)),4,1))),2))*IF(IFERROR(VLOOKUP($B2195,Dashboard!$Q$28:$S$60,3,FALSE),0)&gt;0,VLOOKUP($B2195,Dashboard!$Q$28:$S$60,3,FALSE),1))),0))</f>
        <v>110</v>
      </c>
      <c r="K2195" s="2" t="str">
        <f>IF('Autos - Singles'!G20="","",'Autos - Singles'!G20)</f>
        <v/>
      </c>
      <c r="L2195" s="2">
        <f t="shared" si="442"/>
        <v>0</v>
      </c>
      <c r="M2195" s="2">
        <f t="shared" si="443"/>
        <v>0</v>
      </c>
      <c r="N2195" s="2">
        <f t="shared" si="444"/>
        <v>0</v>
      </c>
      <c r="O2195" s="2">
        <f t="shared" si="445"/>
        <v>1</v>
      </c>
      <c r="P2195" s="112">
        <f t="shared" si="446"/>
        <v>0</v>
      </c>
      <c r="Q2195" s="112">
        <f t="shared" si="447"/>
        <v>0</v>
      </c>
      <c r="R2195" s="53" t="s">
        <v>345</v>
      </c>
      <c r="S2195" s="53" t="str">
        <f t="shared" si="448"/>
        <v>Autos - Singles|Autographs Inscribed Parallel|A-DQ|Inscribed Parallel</v>
      </c>
      <c r="T2195" s="57" t="str">
        <f>IF($S2195="","",IFERROR(VLOOKUP($S2195,'Pop Estimates (Non-#d)'!$N$2:$O$500,2,FALSE),""))</f>
        <v/>
      </c>
      <c r="U2195" s="57">
        <f t="shared" si="449"/>
        <v>25</v>
      </c>
      <c r="V2195" s="53" t="str">
        <f t="shared" si="450"/>
        <v>Queen Maeve "Queen Maeve"</v>
      </c>
      <c r="W2195" s="53" t="str">
        <f t="shared" si="451"/>
        <v>Queen Maeve "Queen Maeve"</v>
      </c>
      <c r="X2195" s="53" t="str">
        <f t="shared" si="452"/>
        <v>Queen Maeve</v>
      </c>
      <c r="Y2195" s="57">
        <f>IF($X2195="","",IFERROR(VLOOKUP($X2195,'Char Popularity'!$A$2:$C$500,2,FALSE),""))</f>
        <v>4</v>
      </c>
      <c r="Z2195" s="56">
        <f>IF($X2195="",1,IFERROR(VLOOKUP($X2195,'Char Popularity'!$A$2:$C$500,3,FALSE),1))</f>
        <v>1.1000000000000001</v>
      </c>
      <c r="AA2195" s="62">
        <f>IF($H2195&lt;&gt;"Y",0,(IF($F2195&lt;&gt;"",ROUND(Dashboard!$R$4/$F2195,1),IF(AND($I2195="Base",$E2195="Base"),Dashboard!$R$5,IF(AND($I2195="Base",$E2195="Red"),Dashboard!$R$6,IF(AND($I2195="Base",$E2195="Gold"),Dashboard!$R$7,VLOOKUP($I2195,Dashboard!$Q$16:$R$21,2,FALSE)))))*VLOOKUP($I2195,Dashboard!$Q$9:$R$13,2,FALSE)*IF(AND($I2195="Auto",$F2195="",OR($B2195="Autographs Duals",$B2195="Autographs Triples",$B2195="Autographs Quads",$B2195="Autographs Quads (Inscribed)")),IF($B2195="Autographs Duals",2,IF($B2195="Autographs Triples",3,4)),1)))</f>
        <v>80</v>
      </c>
      <c r="AB2195" s="62">
        <f t="shared" si="453"/>
        <v>0</v>
      </c>
      <c r="AC2195" s="62">
        <f t="shared" si="454"/>
        <v>0</v>
      </c>
    </row>
    <row r="2196" spans="1:29" ht="30" customHeight="1" x14ac:dyDescent="0.25">
      <c r="A2196" s="4" t="s">
        <v>37</v>
      </c>
      <c r="B2196" s="7" t="s">
        <v>111</v>
      </c>
      <c r="C2196" s="2" t="s">
        <v>247</v>
      </c>
      <c r="D2196" s="7" t="s">
        <v>1611</v>
      </c>
      <c r="E2196" s="4" t="s">
        <v>1606</v>
      </c>
      <c r="F2196" s="2">
        <v>25</v>
      </c>
      <c r="G2196" s="2" t="s">
        <v>1399</v>
      </c>
      <c r="H2196" s="2" t="s">
        <v>1400</v>
      </c>
      <c r="I2196" s="4" t="s">
        <v>68</v>
      </c>
      <c r="J2196" s="112">
        <f>IF($H2196&lt;&gt;"Y",0,ROUND(MIN(Dashboard!$R$24,IF(IFERROR(VLOOKUP($B2196,Dashboard!$Q$28:$S$60,2,FALSE),0)&gt;0,IFERROR(VLOOKUP($B2196,Dashboard!$Q$28:$S$60,2,FALSE),0),$Z2196*IF($U2196&lt;&gt;"",ROUND((Dashboard!$R$4/$U2196)*VLOOKUP($I2196,Dashboard!$Q$9:$R$13,2,FALSE)*IF(ISNUMBER(SEARCH("Duals",$B2196)),2,IF(ISNUMBER(SEARCH("Triples",$B2196)),3,IF(ISNUMBER(SEARCH("Quads",$B2196)),4,1))),2),ROUND(VLOOKUP($I2196,Dashboard!$Q$15:$R$20,2,FALSE)*IF($E2196="Red",Dashboard!$R$6,IF($E2196="Gold",Dashboard!$R$7,Dashboard!$R$5))*IF(ISNUMBER(SEARCH("Duals",$B2196)),2,IF(ISNUMBER(SEARCH("Triples",$B2196)),3,IF(ISNUMBER(SEARCH("Quads",$B2196)),4,1))),2))*IF(IFERROR(VLOOKUP($B2196,Dashboard!$Q$28:$S$60,3,FALSE),0)&gt;0,VLOOKUP($B2196,Dashboard!$Q$28:$S$60,3,FALSE),1))),0))</f>
        <v>120</v>
      </c>
      <c r="K2196" s="2" t="str">
        <f>IF('Autos - Singles'!G21="","",'Autos - Singles'!G21)</f>
        <v>C 12/25</v>
      </c>
      <c r="L2196" s="2">
        <f t="shared" si="442"/>
        <v>1</v>
      </c>
      <c r="M2196" s="2">
        <f t="shared" si="443"/>
        <v>0</v>
      </c>
      <c r="N2196" s="2">
        <f t="shared" si="444"/>
        <v>1</v>
      </c>
      <c r="O2196" s="2">
        <f t="shared" si="445"/>
        <v>0</v>
      </c>
      <c r="P2196" s="112">
        <f t="shared" si="446"/>
        <v>120</v>
      </c>
      <c r="Q2196" s="112">
        <f t="shared" si="447"/>
        <v>0</v>
      </c>
      <c r="R2196" s="53" t="s">
        <v>341</v>
      </c>
      <c r="S2196" s="53" t="str">
        <f t="shared" si="448"/>
        <v>Autos - Singles|Autographs Inscribed Parallel|A-EM|Inscribed Parallel</v>
      </c>
      <c r="T2196" s="57" t="str">
        <f>IF($S2196="","",IFERROR(VLOOKUP($S2196,'Pop Estimates (Non-#d)'!$N$2:$O$500,2,FALSE),""))</f>
        <v/>
      </c>
      <c r="U2196" s="57">
        <f t="shared" si="449"/>
        <v>25</v>
      </c>
      <c r="V2196" s="53" t="str">
        <f t="shared" si="450"/>
        <v>Starlight "Starlight"</v>
      </c>
      <c r="W2196" s="53" t="str">
        <f t="shared" si="451"/>
        <v>Starlight "Starlight"</v>
      </c>
      <c r="X2196" s="53" t="str">
        <f t="shared" si="452"/>
        <v>Starlight</v>
      </c>
      <c r="Y2196" s="57">
        <f>IF($X2196="","",IFERROR(VLOOKUP($X2196,'Char Popularity'!$A$2:$C$500,2,FALSE),""))</f>
        <v>5</v>
      </c>
      <c r="Z2196" s="56">
        <f>IF($X2196="",1,IFERROR(VLOOKUP($X2196,'Char Popularity'!$A$2:$C$500,3,FALSE),1))</f>
        <v>1.2</v>
      </c>
      <c r="AA2196" s="62">
        <f>IF($H2196&lt;&gt;"Y",0,(IF($F2196&lt;&gt;"",ROUND(Dashboard!$R$4/$F2196,1),IF(AND($I2196="Base",$E2196="Base"),Dashboard!$R$5,IF(AND($I2196="Base",$E2196="Red"),Dashboard!$R$6,IF(AND($I2196="Base",$E2196="Gold"),Dashboard!$R$7,VLOOKUP($I2196,Dashboard!$Q$16:$R$21,2,FALSE)))))*VLOOKUP($I2196,Dashboard!$Q$9:$R$13,2,FALSE)*IF(AND($I2196="Auto",$F2196="",OR($B2196="Autographs Duals",$B2196="Autographs Triples",$B2196="Autographs Quads",$B2196="Autographs Quads (Inscribed)")),IF($B2196="Autographs Duals",2,IF($B2196="Autographs Triples",3,4)),1)))</f>
        <v>80</v>
      </c>
      <c r="AB2196" s="62">
        <f t="shared" si="453"/>
        <v>80</v>
      </c>
      <c r="AC2196" s="62">
        <f t="shared" si="454"/>
        <v>0</v>
      </c>
    </row>
    <row r="2197" spans="1:29" ht="30" customHeight="1" x14ac:dyDescent="0.25">
      <c r="A2197" s="4" t="s">
        <v>37</v>
      </c>
      <c r="B2197" s="7" t="s">
        <v>111</v>
      </c>
      <c r="C2197" s="2" t="s">
        <v>249</v>
      </c>
      <c r="D2197" s="7" t="s">
        <v>303</v>
      </c>
      <c r="E2197" s="4" t="s">
        <v>1606</v>
      </c>
      <c r="F2197" s="2">
        <v>25</v>
      </c>
      <c r="G2197" s="2" t="s">
        <v>1399</v>
      </c>
      <c r="H2197" s="2" t="s">
        <v>1400</v>
      </c>
      <c r="I2197" s="4" t="s">
        <v>68</v>
      </c>
      <c r="J2197" s="112">
        <f>IF($H2197&lt;&gt;"Y",0,ROUND(MIN(Dashboard!$R$24,IF(IFERROR(VLOOKUP($B2197,Dashboard!$Q$28:$S$60,2,FALSE),0)&gt;0,IFERROR(VLOOKUP($B2197,Dashboard!$Q$28:$S$60,2,FALSE),0),$Z2197*IF($U2197&lt;&gt;"",ROUND((Dashboard!$R$4/$U2197)*VLOOKUP($I2197,Dashboard!$Q$9:$R$13,2,FALSE)*IF(ISNUMBER(SEARCH("Duals",$B2197)),2,IF(ISNUMBER(SEARCH("Triples",$B2197)),3,IF(ISNUMBER(SEARCH("Quads",$B2197)),4,1))),2),ROUND(VLOOKUP($I2197,Dashboard!$Q$15:$R$20,2,FALSE)*IF($E2197="Red",Dashboard!$R$6,IF($E2197="Gold",Dashboard!$R$7,Dashboard!$R$5))*IF(ISNUMBER(SEARCH("Duals",$B2197)),2,IF(ISNUMBER(SEARCH("Triples",$B2197)),3,IF(ISNUMBER(SEARCH("Quads",$B2197)),4,1))),2))*IF(IFERROR(VLOOKUP($B2197,Dashboard!$Q$28:$S$60,3,FALSE),0)&gt;0,VLOOKUP($B2197,Dashboard!$Q$28:$S$60,3,FALSE),1))),0))</f>
        <v>100</v>
      </c>
      <c r="K2197" s="2" t="str">
        <f>IF('Autos - Singles'!G22="","",'Autos - Singles'!G22)</f>
        <v/>
      </c>
      <c r="L2197" s="2">
        <f t="shared" si="442"/>
        <v>0</v>
      </c>
      <c r="M2197" s="2">
        <f t="shared" si="443"/>
        <v>0</v>
      </c>
      <c r="N2197" s="2">
        <f t="shared" si="444"/>
        <v>0</v>
      </c>
      <c r="O2197" s="2">
        <f t="shared" si="445"/>
        <v>1</v>
      </c>
      <c r="P2197" s="112">
        <f t="shared" si="446"/>
        <v>0</v>
      </c>
      <c r="Q2197" s="112">
        <f t="shared" si="447"/>
        <v>0</v>
      </c>
      <c r="R2197" s="53" t="s">
        <v>444</v>
      </c>
      <c r="S2197" s="53" t="str">
        <f t="shared" si="448"/>
        <v>Autos - Singles|Autographs Inscribed Parallel|A-ES|Inscribed Parallel</v>
      </c>
      <c r="T2197" s="57" t="str">
        <f>IF($S2197="","",IFERROR(VLOOKUP($S2197,'Pop Estimates (Non-#d)'!$N$2:$O$500,2,FALSE),""))</f>
        <v/>
      </c>
      <c r="U2197" s="57">
        <f t="shared" si="449"/>
        <v>25</v>
      </c>
      <c r="V2197" s="53" t="str">
        <f t="shared" si="450"/>
        <v>Madelyn Stillwell "Madelyn Stillwell"</v>
      </c>
      <c r="W2197" s="53" t="str">
        <f t="shared" si="451"/>
        <v>Madelyn Stillwell "Madelyn Stillwell"</v>
      </c>
      <c r="X2197" s="53" t="str">
        <f t="shared" si="452"/>
        <v>Madelyn Stillwell</v>
      </c>
      <c r="Y2197" s="57">
        <f>IF($X2197="","",IFERROR(VLOOKUP($X2197,'Char Popularity'!$A$2:$C$500,2,FALSE),""))</f>
        <v>3</v>
      </c>
      <c r="Z2197" s="56">
        <f>IF($X2197="",1,IFERROR(VLOOKUP($X2197,'Char Popularity'!$A$2:$C$500,3,FALSE),1))</f>
        <v>1</v>
      </c>
      <c r="AA2197" s="62">
        <f>IF($H2197&lt;&gt;"Y",0,(IF($F2197&lt;&gt;"",ROUND(Dashboard!$R$4/$F2197,1),IF(AND($I2197="Base",$E2197="Base"),Dashboard!$R$5,IF(AND($I2197="Base",$E2197="Red"),Dashboard!$R$6,IF(AND($I2197="Base",$E2197="Gold"),Dashboard!$R$7,VLOOKUP($I2197,Dashboard!$Q$16:$R$21,2,FALSE)))))*VLOOKUP($I2197,Dashboard!$Q$9:$R$13,2,FALSE)*IF(AND($I2197="Auto",$F2197="",OR($B2197="Autographs Duals",$B2197="Autographs Triples",$B2197="Autographs Quads",$B2197="Autographs Quads (Inscribed)")),IF($B2197="Autographs Duals",2,IF($B2197="Autographs Triples",3,4)),1)))</f>
        <v>80</v>
      </c>
      <c r="AB2197" s="62">
        <f t="shared" si="453"/>
        <v>0</v>
      </c>
      <c r="AC2197" s="62">
        <f t="shared" si="454"/>
        <v>0</v>
      </c>
    </row>
    <row r="2198" spans="1:29" ht="30" customHeight="1" x14ac:dyDescent="0.25">
      <c r="A2198" s="4" t="s">
        <v>37</v>
      </c>
      <c r="B2198" s="7" t="s">
        <v>111</v>
      </c>
      <c r="C2198" s="2" t="s">
        <v>251</v>
      </c>
      <c r="D2198" s="7" t="s">
        <v>252</v>
      </c>
      <c r="E2198" s="4" t="s">
        <v>1606</v>
      </c>
      <c r="F2198" s="2">
        <v>25</v>
      </c>
      <c r="G2198" s="2" t="s">
        <v>1399</v>
      </c>
      <c r="H2198" s="2" t="s">
        <v>1400</v>
      </c>
      <c r="I2198" s="4" t="s">
        <v>68</v>
      </c>
      <c r="J2198" s="112">
        <f>IF($H2198&lt;&gt;"Y",0,ROUND(MIN(Dashboard!$R$24,IF(IFERROR(VLOOKUP($B2198,Dashboard!$Q$28:$S$60,2,FALSE),0)&gt;0,IFERROR(VLOOKUP($B2198,Dashboard!$Q$28:$S$60,2,FALSE),0),$Z2198*IF($U2198&lt;&gt;"",ROUND((Dashboard!$R$4/$U2198)*VLOOKUP($I2198,Dashboard!$Q$9:$R$13,2,FALSE)*IF(ISNUMBER(SEARCH("Duals",$B2198)),2,IF(ISNUMBER(SEARCH("Triples",$B2198)),3,IF(ISNUMBER(SEARCH("Quads",$B2198)),4,1))),2),ROUND(VLOOKUP($I2198,Dashboard!$Q$15:$R$20,2,FALSE)*IF($E2198="Red",Dashboard!$R$6,IF($E2198="Gold",Dashboard!$R$7,Dashboard!$R$5))*IF(ISNUMBER(SEARCH("Duals",$B2198)),2,IF(ISNUMBER(SEARCH("Triples",$B2198)),3,IF(ISNUMBER(SEARCH("Quads",$B2198)),4,1))),2))*IF(IFERROR(VLOOKUP($B2198,Dashboard!$Q$28:$S$60,3,FALSE),0)&gt;0,VLOOKUP($B2198,Dashboard!$Q$28:$S$60,3,FALSE),1))),0))</f>
        <v>110</v>
      </c>
      <c r="K2198" s="2" t="str">
        <f>IF('Autos - Singles'!G23="","",'Autos - Singles'!G23)</f>
        <v/>
      </c>
      <c r="L2198" s="2">
        <f t="shared" si="442"/>
        <v>0</v>
      </c>
      <c r="M2198" s="2">
        <f t="shared" si="443"/>
        <v>0</v>
      </c>
      <c r="N2198" s="2">
        <f t="shared" si="444"/>
        <v>0</v>
      </c>
      <c r="O2198" s="2">
        <f t="shared" si="445"/>
        <v>1</v>
      </c>
      <c r="P2198" s="112">
        <f t="shared" si="446"/>
        <v>0</v>
      </c>
      <c r="Q2198" s="112">
        <f t="shared" si="447"/>
        <v>0</v>
      </c>
      <c r="R2198" s="53" t="s">
        <v>1604</v>
      </c>
      <c r="S2198" s="53" t="str">
        <f t="shared" si="448"/>
        <v>Autos - Singles|Autographs Inscribed Parallel|A-FH|Inscribed Parallel</v>
      </c>
      <c r="T2198" s="57" t="str">
        <f>IF($S2198="","",IFERROR(VLOOKUP($S2198,'Pop Estimates (Non-#d)'!$N$2:$O$500,2,FALSE),""))</f>
        <v/>
      </c>
      <c r="U2198" s="57">
        <f t="shared" si="449"/>
        <v>25</v>
      </c>
      <c r="V2198" s="53" t="str">
        <f t="shared" si="450"/>
        <v>Kimiko "The Boys"</v>
      </c>
      <c r="W2198" s="53" t="str">
        <f t="shared" si="451"/>
        <v>Kimiko "The Boys"</v>
      </c>
      <c r="X2198" s="53" t="str">
        <f t="shared" si="452"/>
        <v>Kimiko</v>
      </c>
      <c r="Y2198" s="57">
        <f>IF($X2198="","",IFERROR(VLOOKUP($X2198,'Char Popularity'!$A$2:$C$500,2,FALSE),""))</f>
        <v>4</v>
      </c>
      <c r="Z2198" s="56">
        <f>IF($X2198="",1,IFERROR(VLOOKUP($X2198,'Char Popularity'!$A$2:$C$500,3,FALSE),1))</f>
        <v>1.1000000000000001</v>
      </c>
      <c r="AA2198" s="62">
        <f>IF($H2198&lt;&gt;"Y",0,(IF($F2198&lt;&gt;"",ROUND(Dashboard!$R$4/$F2198,1),IF(AND($I2198="Base",$E2198="Base"),Dashboard!$R$5,IF(AND($I2198="Base",$E2198="Red"),Dashboard!$R$6,IF(AND($I2198="Base",$E2198="Gold"),Dashboard!$R$7,VLOOKUP($I2198,Dashboard!$Q$16:$R$21,2,FALSE)))))*VLOOKUP($I2198,Dashboard!$Q$9:$R$13,2,FALSE)*IF(AND($I2198="Auto",$F2198="",OR($B2198="Autographs Duals",$B2198="Autographs Triples",$B2198="Autographs Quads",$B2198="Autographs Quads (Inscribed)")),IF($B2198="Autographs Duals",2,IF($B2198="Autographs Triples",3,4)),1)))</f>
        <v>80</v>
      </c>
      <c r="AB2198" s="62">
        <f t="shared" si="453"/>
        <v>0</v>
      </c>
      <c r="AC2198" s="62">
        <f t="shared" si="454"/>
        <v>0</v>
      </c>
    </row>
    <row r="2199" spans="1:29" ht="30" customHeight="1" x14ac:dyDescent="0.25">
      <c r="A2199" s="4" t="s">
        <v>37</v>
      </c>
      <c r="B2199" s="7" t="s">
        <v>111</v>
      </c>
      <c r="C2199" s="2" t="s">
        <v>253</v>
      </c>
      <c r="D2199" s="7" t="s">
        <v>1612</v>
      </c>
      <c r="E2199" s="4" t="s">
        <v>1606</v>
      </c>
      <c r="F2199" s="2">
        <v>25</v>
      </c>
      <c r="G2199" s="2" t="s">
        <v>1399</v>
      </c>
      <c r="H2199" s="2" t="s">
        <v>1400</v>
      </c>
      <c r="I2199" s="4" t="s">
        <v>68</v>
      </c>
      <c r="J2199" s="112">
        <f>IF($H2199&lt;&gt;"Y",0,ROUND(MIN(Dashboard!$R$24,IF(IFERROR(VLOOKUP($B2199,Dashboard!$Q$28:$S$60,2,FALSE),0)&gt;0,IFERROR(VLOOKUP($B2199,Dashboard!$Q$28:$S$60,2,FALSE),0),$Z2199*IF($U2199&lt;&gt;"",ROUND((Dashboard!$R$4/$U2199)*VLOOKUP($I2199,Dashboard!$Q$9:$R$13,2,FALSE)*IF(ISNUMBER(SEARCH("Duals",$B2199)),2,IF(ISNUMBER(SEARCH("Triples",$B2199)),3,IF(ISNUMBER(SEARCH("Quads",$B2199)),4,1))),2),ROUND(VLOOKUP($I2199,Dashboard!$Q$15:$R$20,2,FALSE)*IF($E2199="Red",Dashboard!$R$6,IF($E2199="Gold",Dashboard!$R$7,Dashboard!$R$5))*IF(ISNUMBER(SEARCH("Duals",$B2199)),2,IF(ISNUMBER(SEARCH("Triples",$B2199)),3,IF(ISNUMBER(SEARCH("Quads",$B2199)),4,1))),2))*IF(IFERROR(VLOOKUP($B2199,Dashboard!$Q$28:$S$60,3,FALSE),0)&gt;0,VLOOKUP($B2199,Dashboard!$Q$28:$S$60,3,FALSE),1))),0))</f>
        <v>110</v>
      </c>
      <c r="K2199" s="2" t="str">
        <f>IF('Autos - Singles'!G24="","",'Autos - Singles'!G24)</f>
        <v/>
      </c>
      <c r="L2199" s="2">
        <f t="shared" si="442"/>
        <v>0</v>
      </c>
      <c r="M2199" s="2">
        <f t="shared" si="443"/>
        <v>0</v>
      </c>
      <c r="N2199" s="2">
        <f t="shared" si="444"/>
        <v>0</v>
      </c>
      <c r="O2199" s="2">
        <f t="shared" si="445"/>
        <v>1</v>
      </c>
      <c r="P2199" s="112">
        <f t="shared" si="446"/>
        <v>0</v>
      </c>
      <c r="Q2199" s="112">
        <f t="shared" si="447"/>
        <v>0</v>
      </c>
      <c r="R2199" s="53" t="s">
        <v>1613</v>
      </c>
      <c r="S2199" s="53" t="str">
        <f t="shared" si="448"/>
        <v>Autos - Singles|Autographs Inscribed Parallel|A-GC|Inscribed Parallel</v>
      </c>
      <c r="T2199" s="57" t="str">
        <f>IF($S2199="","",IFERROR(VLOOKUP($S2199,'Pop Estimates (Non-#d)'!$N$2:$O$500,2,FALSE),""))</f>
        <v/>
      </c>
      <c r="U2199" s="57">
        <f t="shared" si="449"/>
        <v>25</v>
      </c>
      <c r="V2199" s="53" t="str">
        <f t="shared" si="450"/>
        <v>Stan Edgar "CEO, Vought International"</v>
      </c>
      <c r="W2199" s="53" t="str">
        <f t="shared" si="451"/>
        <v>Stan Edgar "CEO, Vought International"</v>
      </c>
      <c r="X2199" s="53" t="str">
        <f t="shared" si="452"/>
        <v>Stan Edgar</v>
      </c>
      <c r="Y2199" s="57">
        <f>IF($X2199="","",IFERROR(VLOOKUP($X2199,'Char Popularity'!$A$2:$C$500,2,FALSE),""))</f>
        <v>4</v>
      </c>
      <c r="Z2199" s="56">
        <f>IF($X2199="",1,IFERROR(VLOOKUP($X2199,'Char Popularity'!$A$2:$C$500,3,FALSE),1))</f>
        <v>1.1000000000000001</v>
      </c>
      <c r="AA2199" s="62">
        <f>IF($H2199&lt;&gt;"Y",0,(IF($F2199&lt;&gt;"",ROUND(Dashboard!$R$4/$F2199,1),IF(AND($I2199="Base",$E2199="Base"),Dashboard!$R$5,IF(AND($I2199="Base",$E2199="Red"),Dashboard!$R$6,IF(AND($I2199="Base",$E2199="Gold"),Dashboard!$R$7,VLOOKUP($I2199,Dashboard!$Q$16:$R$21,2,FALSE)))))*VLOOKUP($I2199,Dashboard!$Q$9:$R$13,2,FALSE)*IF(AND($I2199="Auto",$F2199="",OR($B2199="Autographs Duals",$B2199="Autographs Triples",$B2199="Autographs Quads",$B2199="Autographs Quads (Inscribed)")),IF($B2199="Autographs Duals",2,IF($B2199="Autographs Triples",3,4)),1)))</f>
        <v>80</v>
      </c>
      <c r="AB2199" s="62">
        <f t="shared" si="453"/>
        <v>0</v>
      </c>
      <c r="AC2199" s="62">
        <f t="shared" si="454"/>
        <v>0</v>
      </c>
    </row>
    <row r="2200" spans="1:29" ht="30" customHeight="1" x14ac:dyDescent="0.25">
      <c r="A2200" s="4" t="s">
        <v>37</v>
      </c>
      <c r="B2200" s="7" t="s">
        <v>111</v>
      </c>
      <c r="C2200" s="2" t="s">
        <v>255</v>
      </c>
      <c r="D2200" s="7" t="s">
        <v>1614</v>
      </c>
      <c r="E2200" s="4" t="s">
        <v>1606</v>
      </c>
      <c r="F2200" s="2">
        <v>25</v>
      </c>
      <c r="G2200" s="2" t="s">
        <v>1399</v>
      </c>
      <c r="H2200" s="2" t="s">
        <v>1400</v>
      </c>
      <c r="I2200" s="4" t="s">
        <v>68</v>
      </c>
      <c r="J2200" s="112">
        <f>IF($H2200&lt;&gt;"Y",0,ROUND(MIN(Dashboard!$R$24,IF(IFERROR(VLOOKUP($B2200,Dashboard!$Q$28:$S$60,2,FALSE),0)&gt;0,IFERROR(VLOOKUP($B2200,Dashboard!$Q$28:$S$60,2,FALSE),0),$Z2200*IF($U2200&lt;&gt;"",ROUND((Dashboard!$R$4/$U2200)*VLOOKUP($I2200,Dashboard!$Q$9:$R$13,2,FALSE)*IF(ISNUMBER(SEARCH("Duals",$B2200)),2,IF(ISNUMBER(SEARCH("Triples",$B2200)),3,IF(ISNUMBER(SEARCH("Quads",$B2200)),4,1))),2),ROUND(VLOOKUP($I2200,Dashboard!$Q$15:$R$20,2,FALSE)*IF($E2200="Red",Dashboard!$R$6,IF($E2200="Gold",Dashboard!$R$7,Dashboard!$R$5))*IF(ISNUMBER(SEARCH("Duals",$B2200)),2,IF(ISNUMBER(SEARCH("Triples",$B2200)),3,IF(ISNUMBER(SEARCH("Quads",$B2200)),4,1))),2))*IF(IFERROR(VLOOKUP($B2200,Dashboard!$Q$28:$S$60,3,FALSE),0)&gt;0,VLOOKUP($B2200,Dashboard!$Q$28:$S$60,3,FALSE),1))),0))</f>
        <v>110</v>
      </c>
      <c r="K2200" s="2" t="str">
        <f>IF('Autos - Singles'!G25="","",'Autos - Singles'!G25)</f>
        <v/>
      </c>
      <c r="L2200" s="2">
        <f t="shared" si="442"/>
        <v>0</v>
      </c>
      <c r="M2200" s="2">
        <f t="shared" si="443"/>
        <v>0</v>
      </c>
      <c r="N2200" s="2">
        <f t="shared" si="444"/>
        <v>0</v>
      </c>
      <c r="O2200" s="2">
        <f t="shared" si="445"/>
        <v>1</v>
      </c>
      <c r="P2200" s="112">
        <f t="shared" si="446"/>
        <v>0</v>
      </c>
      <c r="Q2200" s="112">
        <f t="shared" si="447"/>
        <v>0</v>
      </c>
      <c r="R2200" s="53" t="s">
        <v>516</v>
      </c>
      <c r="S2200" s="53" t="str">
        <f t="shared" si="448"/>
        <v>Autos - Singles|Autographs Inscribed Parallel|A-GE|Inscribed Parallel</v>
      </c>
      <c r="T2200" s="57" t="str">
        <f>IF($S2200="","",IFERROR(VLOOKUP($S2200,'Pop Estimates (Non-#d)'!$N$2:$O$500,2,FALSE),""))</f>
        <v/>
      </c>
      <c r="U2200" s="57">
        <f t="shared" si="449"/>
        <v>25</v>
      </c>
      <c r="V2200" s="53" t="str">
        <f t="shared" si="450"/>
        <v>Stan Edgar "Stan Edgar"</v>
      </c>
      <c r="W2200" s="53" t="str">
        <f t="shared" si="451"/>
        <v>Stan Edgar "Stan Edgar"</v>
      </c>
      <c r="X2200" s="53" t="str">
        <f t="shared" si="452"/>
        <v>Stan Edgar</v>
      </c>
      <c r="Y2200" s="57">
        <f>IF($X2200="","",IFERROR(VLOOKUP($X2200,'Char Popularity'!$A$2:$C$500,2,FALSE),""))</f>
        <v>4</v>
      </c>
      <c r="Z2200" s="56">
        <f>IF($X2200="",1,IFERROR(VLOOKUP($X2200,'Char Popularity'!$A$2:$C$500,3,FALSE),1))</f>
        <v>1.1000000000000001</v>
      </c>
      <c r="AA2200" s="62">
        <f>IF($H2200&lt;&gt;"Y",0,(IF($F2200&lt;&gt;"",ROUND(Dashboard!$R$4/$F2200,1),IF(AND($I2200="Base",$E2200="Base"),Dashboard!$R$5,IF(AND($I2200="Base",$E2200="Red"),Dashboard!$R$6,IF(AND($I2200="Base",$E2200="Gold"),Dashboard!$R$7,VLOOKUP($I2200,Dashboard!$Q$16:$R$21,2,FALSE)))))*VLOOKUP($I2200,Dashboard!$Q$9:$R$13,2,FALSE)*IF(AND($I2200="Auto",$F2200="",OR($B2200="Autographs Duals",$B2200="Autographs Triples",$B2200="Autographs Quads",$B2200="Autographs Quads (Inscribed)")),IF($B2200="Autographs Duals",2,IF($B2200="Autographs Triples",3,4)),1)))</f>
        <v>80</v>
      </c>
      <c r="AB2200" s="62">
        <f t="shared" si="453"/>
        <v>0</v>
      </c>
      <c r="AC2200" s="62">
        <f t="shared" si="454"/>
        <v>0</v>
      </c>
    </row>
    <row r="2201" spans="1:29" ht="30" customHeight="1" x14ac:dyDescent="0.25">
      <c r="A2201" s="4" t="s">
        <v>37</v>
      </c>
      <c r="B2201" s="7" t="s">
        <v>111</v>
      </c>
      <c r="C2201" s="2" t="s">
        <v>256</v>
      </c>
      <c r="D2201" s="7" t="s">
        <v>1605</v>
      </c>
      <c r="E2201" s="4" t="s">
        <v>1606</v>
      </c>
      <c r="F2201" s="2">
        <v>25</v>
      </c>
      <c r="G2201" s="2" t="s">
        <v>1399</v>
      </c>
      <c r="H2201" s="2" t="s">
        <v>1400</v>
      </c>
      <c r="I2201" s="4" t="s">
        <v>68</v>
      </c>
      <c r="J2201" s="112">
        <f>IF($H2201&lt;&gt;"Y",0,ROUND(MIN(Dashboard!$R$24,IF(IFERROR(VLOOKUP($B2201,Dashboard!$Q$28:$S$60,2,FALSE),0)&gt;0,IFERROR(VLOOKUP($B2201,Dashboard!$Q$28:$S$60,2,FALSE),0),$Z2201*IF($U2201&lt;&gt;"",ROUND((Dashboard!$R$4/$U2201)*VLOOKUP($I2201,Dashboard!$Q$9:$R$13,2,FALSE)*IF(ISNUMBER(SEARCH("Duals",$B2201)),2,IF(ISNUMBER(SEARCH("Triples",$B2201)),3,IF(ISNUMBER(SEARCH("Quads",$B2201)),4,1))),2),ROUND(VLOOKUP($I2201,Dashboard!$Q$15:$R$20,2,FALSE)*IF($E2201="Red",Dashboard!$R$6,IF($E2201="Gold",Dashboard!$R$7,Dashboard!$R$5))*IF(ISNUMBER(SEARCH("Duals",$B2201)),2,IF(ISNUMBER(SEARCH("Triples",$B2201)),3,IF(ISNUMBER(SEARCH("Quads",$B2201)),4,1))),2))*IF(IFERROR(VLOOKUP($B2201,Dashboard!$Q$28:$S$60,3,FALSE),0)&gt;0,VLOOKUP($B2201,Dashboard!$Q$28:$S$60,3,FALSE),1))),0))</f>
        <v>90</v>
      </c>
      <c r="K2201" s="2" t="str">
        <f>IF('Autos - Singles'!G26="","",'Autos - Singles'!G26)</f>
        <v/>
      </c>
      <c r="L2201" s="2">
        <f t="shared" si="442"/>
        <v>0</v>
      </c>
      <c r="M2201" s="2">
        <f t="shared" si="443"/>
        <v>0</v>
      </c>
      <c r="N2201" s="2">
        <f t="shared" si="444"/>
        <v>0</v>
      </c>
      <c r="O2201" s="2">
        <f t="shared" si="445"/>
        <v>1</v>
      </c>
      <c r="P2201" s="112">
        <f t="shared" si="446"/>
        <v>0</v>
      </c>
      <c r="Q2201" s="112">
        <f t="shared" si="447"/>
        <v>0</v>
      </c>
      <c r="R2201" s="53" t="s">
        <v>446</v>
      </c>
      <c r="S2201" s="53" t="str">
        <f t="shared" si="448"/>
        <v>Autos - Singles|Autographs Inscribed Parallel|A-HA|Inscribed Parallel</v>
      </c>
      <c r="T2201" s="57" t="str">
        <f>IF($S2201="","",IFERROR(VLOOKUP($S2201,'Pop Estimates (Non-#d)'!$N$2:$O$500,2,FALSE),""))</f>
        <v/>
      </c>
      <c r="U2201" s="57">
        <f t="shared" si="449"/>
        <v>25</v>
      </c>
      <c r="V2201" s="53" t="str">
        <f t="shared" si="450"/>
        <v>Translucent "Translucent"</v>
      </c>
      <c r="W2201" s="53" t="str">
        <f t="shared" si="451"/>
        <v>Translucent "Translucent"</v>
      </c>
      <c r="X2201" s="53" t="str">
        <f t="shared" si="452"/>
        <v>Translucent</v>
      </c>
      <c r="Y2201" s="57">
        <f>IF($X2201="","",IFERROR(VLOOKUP($X2201,'Char Popularity'!$A$2:$C$500,2,FALSE),""))</f>
        <v>2</v>
      </c>
      <c r="Z2201" s="56">
        <f>IF($X2201="",1,IFERROR(VLOOKUP($X2201,'Char Popularity'!$A$2:$C$500,3,FALSE),1))</f>
        <v>0.9</v>
      </c>
      <c r="AA2201" s="62">
        <f>IF($H2201&lt;&gt;"Y",0,(IF($F2201&lt;&gt;"",ROUND(Dashboard!$R$4/$F2201,1),IF(AND($I2201="Base",$E2201="Base"),Dashboard!$R$5,IF(AND($I2201="Base",$E2201="Red"),Dashboard!$R$6,IF(AND($I2201="Base",$E2201="Gold"),Dashboard!$R$7,VLOOKUP($I2201,Dashboard!$Q$16:$R$21,2,FALSE)))))*VLOOKUP($I2201,Dashboard!$Q$9:$R$13,2,FALSE)*IF(AND($I2201="Auto",$F2201="",OR($B2201="Autographs Duals",$B2201="Autographs Triples",$B2201="Autographs Quads",$B2201="Autographs Quads (Inscribed)")),IF($B2201="Autographs Duals",2,IF($B2201="Autographs Triples",3,4)),1)))</f>
        <v>80</v>
      </c>
      <c r="AB2201" s="62">
        <f t="shared" si="453"/>
        <v>0</v>
      </c>
      <c r="AC2201" s="62">
        <f t="shared" si="454"/>
        <v>0</v>
      </c>
    </row>
    <row r="2202" spans="1:29" ht="30" customHeight="1" x14ac:dyDescent="0.25">
      <c r="A2202" s="4" t="s">
        <v>37</v>
      </c>
      <c r="B2202" s="7" t="s">
        <v>111</v>
      </c>
      <c r="C2202" s="2" t="s">
        <v>257</v>
      </c>
      <c r="D2202" s="7" t="s">
        <v>258</v>
      </c>
      <c r="E2202" s="4" t="s">
        <v>1606</v>
      </c>
      <c r="F2202" s="2">
        <v>25</v>
      </c>
      <c r="G2202" s="2" t="s">
        <v>1399</v>
      </c>
      <c r="H2202" s="2" t="s">
        <v>1400</v>
      </c>
      <c r="I2202" s="4" t="s">
        <v>68</v>
      </c>
      <c r="J2202" s="112">
        <f>IF($H2202&lt;&gt;"Y",0,ROUND(MIN(Dashboard!$R$24,IF(IFERROR(VLOOKUP($B2202,Dashboard!$Q$28:$S$60,2,FALSE),0)&gt;0,IFERROR(VLOOKUP($B2202,Dashboard!$Q$28:$S$60,2,FALSE),0),$Z2202*IF($U2202&lt;&gt;"",ROUND((Dashboard!$R$4/$U2202)*VLOOKUP($I2202,Dashboard!$Q$9:$R$13,2,FALSE)*IF(ISNUMBER(SEARCH("Duals",$B2202)),2,IF(ISNUMBER(SEARCH("Triples",$B2202)),3,IF(ISNUMBER(SEARCH("Quads",$B2202)),4,1))),2),ROUND(VLOOKUP($I2202,Dashboard!$Q$15:$R$20,2,FALSE)*IF($E2202="Red",Dashboard!$R$6,IF($E2202="Gold",Dashboard!$R$7,Dashboard!$R$5))*IF(ISNUMBER(SEARCH("Duals",$B2202)),2,IF(ISNUMBER(SEARCH("Triples",$B2202)),3,IF(ISNUMBER(SEARCH("Quads",$B2202)),4,1))),2))*IF(IFERROR(VLOOKUP($B2202,Dashboard!$Q$28:$S$60,3,FALSE),0)&gt;0,VLOOKUP($B2202,Dashboard!$Q$28:$S$60,3,FALSE),1))),0))</f>
        <v>90</v>
      </c>
      <c r="K2202" s="2" t="str">
        <f>IF('Autos - Singles'!G27="","",'Autos - Singles'!G27)</f>
        <v/>
      </c>
      <c r="L2202" s="2">
        <f t="shared" si="442"/>
        <v>0</v>
      </c>
      <c r="M2202" s="2">
        <f t="shared" si="443"/>
        <v>0</v>
      </c>
      <c r="N2202" s="2">
        <f t="shared" si="444"/>
        <v>0</v>
      </c>
      <c r="O2202" s="2">
        <f t="shared" si="445"/>
        <v>1</v>
      </c>
      <c r="P2202" s="112">
        <f t="shared" si="446"/>
        <v>0</v>
      </c>
      <c r="Q2202" s="112">
        <f t="shared" si="447"/>
        <v>0</v>
      </c>
      <c r="R2202" s="53" t="s">
        <v>689</v>
      </c>
      <c r="S2202" s="53" t="str">
        <f t="shared" si="448"/>
        <v>Autos - Singles|Autographs Inscribed Parallel|A-HS|Inscribed Parallel</v>
      </c>
      <c r="T2202" s="57" t="str">
        <f>IF($S2202="","",IFERROR(VLOOKUP($S2202,'Pop Estimates (Non-#d)'!$N$2:$O$500,2,FALSE),""))</f>
        <v/>
      </c>
      <c r="U2202" s="57">
        <f t="shared" si="449"/>
        <v>25</v>
      </c>
      <c r="V2202" s="53" t="str">
        <f t="shared" si="450"/>
        <v>Translucent "The Seven"</v>
      </c>
      <c r="W2202" s="53" t="str">
        <f t="shared" si="451"/>
        <v>Translucent "The Seven"</v>
      </c>
      <c r="X2202" s="53" t="str">
        <f t="shared" si="452"/>
        <v>Translucent</v>
      </c>
      <c r="Y2202" s="57">
        <f>IF($X2202="","",IFERROR(VLOOKUP($X2202,'Char Popularity'!$A$2:$C$500,2,FALSE),""))</f>
        <v>2</v>
      </c>
      <c r="Z2202" s="56">
        <f>IF($X2202="",1,IFERROR(VLOOKUP($X2202,'Char Popularity'!$A$2:$C$500,3,FALSE),1))</f>
        <v>0.9</v>
      </c>
      <c r="AA2202" s="62">
        <f>IF($H2202&lt;&gt;"Y",0,(IF($F2202&lt;&gt;"",ROUND(Dashboard!$R$4/$F2202,1),IF(AND($I2202="Base",$E2202="Base"),Dashboard!$R$5,IF(AND($I2202="Base",$E2202="Red"),Dashboard!$R$6,IF(AND($I2202="Base",$E2202="Gold"),Dashboard!$R$7,VLOOKUP($I2202,Dashboard!$Q$16:$R$21,2,FALSE)))))*VLOOKUP($I2202,Dashboard!$Q$9:$R$13,2,FALSE)*IF(AND($I2202="Auto",$F2202="",OR($B2202="Autographs Duals",$B2202="Autographs Triples",$B2202="Autographs Quads",$B2202="Autographs Quads (Inscribed)")),IF($B2202="Autographs Duals",2,IF($B2202="Autographs Triples",3,4)),1)))</f>
        <v>80</v>
      </c>
      <c r="AB2202" s="62">
        <f t="shared" si="453"/>
        <v>0</v>
      </c>
      <c r="AC2202" s="62">
        <f t="shared" si="454"/>
        <v>0</v>
      </c>
    </row>
    <row r="2203" spans="1:29" ht="30" customHeight="1" x14ac:dyDescent="0.25">
      <c r="A2203" s="4" t="s">
        <v>37</v>
      </c>
      <c r="B2203" s="7" t="s">
        <v>111</v>
      </c>
      <c r="C2203" s="2" t="s">
        <v>259</v>
      </c>
      <c r="D2203" s="7" t="s">
        <v>265</v>
      </c>
      <c r="E2203" s="4" t="s">
        <v>1606</v>
      </c>
      <c r="F2203" s="2">
        <v>25</v>
      </c>
      <c r="G2203" s="2" t="s">
        <v>1399</v>
      </c>
      <c r="H2203" s="2" t="s">
        <v>1400</v>
      </c>
      <c r="I2203" s="4" t="s">
        <v>68</v>
      </c>
      <c r="J2203" s="112">
        <f>IF($H2203&lt;&gt;"Y",0,ROUND(MIN(Dashboard!$R$24,IF(IFERROR(VLOOKUP($B2203,Dashboard!$Q$28:$S$60,2,FALSE),0)&gt;0,IFERROR(VLOOKUP($B2203,Dashboard!$Q$28:$S$60,2,FALSE),0),$Z2203*IF($U2203&lt;&gt;"",ROUND((Dashboard!$R$4/$U2203)*VLOOKUP($I2203,Dashboard!$Q$9:$R$13,2,FALSE)*IF(ISNUMBER(SEARCH("Duals",$B2203)),2,IF(ISNUMBER(SEARCH("Triples",$B2203)),3,IF(ISNUMBER(SEARCH("Quads",$B2203)),4,1))),2),ROUND(VLOOKUP($I2203,Dashboard!$Q$15:$R$20,2,FALSE)*IF($E2203="Red",Dashboard!$R$6,IF($E2203="Gold",Dashboard!$R$7,Dashboard!$R$5))*IF(ISNUMBER(SEARCH("Duals",$B2203)),2,IF(ISNUMBER(SEARCH("Triples",$B2203)),3,IF(ISNUMBER(SEARCH("Quads",$B2203)),4,1))),2))*IF(IFERROR(VLOOKUP($B2203,Dashboard!$Q$28:$S$60,3,FALSE),0)&gt;0,VLOOKUP($B2203,Dashboard!$Q$28:$S$60,3,FALSE),1))),0))</f>
        <v>100</v>
      </c>
      <c r="K2203" s="2" t="str">
        <f>IF('Autos - Singles'!G28="","",'Autos - Singles'!G28)</f>
        <v/>
      </c>
      <c r="L2203" s="2">
        <f t="shared" si="442"/>
        <v>0</v>
      </c>
      <c r="M2203" s="2">
        <f t="shared" si="443"/>
        <v>0</v>
      </c>
      <c r="N2203" s="2">
        <f t="shared" si="444"/>
        <v>0</v>
      </c>
      <c r="O2203" s="2">
        <f t="shared" si="445"/>
        <v>1</v>
      </c>
      <c r="P2203" s="112">
        <f t="shared" si="446"/>
        <v>0</v>
      </c>
      <c r="Q2203" s="112">
        <f t="shared" si="447"/>
        <v>0</v>
      </c>
      <c r="R2203" s="53" t="s">
        <v>518</v>
      </c>
      <c r="S2203" s="53" t="str">
        <f t="shared" si="448"/>
        <v>Autos - Singles|Autographs Inscribed Parallel|A-JL|Inscribed Parallel</v>
      </c>
      <c r="T2203" s="57" t="str">
        <f>IF($S2203="","",IFERROR(VLOOKUP($S2203,'Pop Estimates (Non-#d)'!$N$2:$O$500,2,FALSE),""))</f>
        <v/>
      </c>
      <c r="U2203" s="57">
        <f t="shared" si="449"/>
        <v>25</v>
      </c>
      <c r="V2203" s="53" t="str">
        <f t="shared" si="450"/>
        <v>Cherie "Cherie"</v>
      </c>
      <c r="W2203" s="53" t="str">
        <f t="shared" si="451"/>
        <v>Cherie "Cherie"</v>
      </c>
      <c r="X2203" s="53" t="str">
        <f t="shared" si="452"/>
        <v>Cherie</v>
      </c>
      <c r="Y2203" s="57">
        <f>IF($X2203="","",IFERROR(VLOOKUP($X2203,'Char Popularity'!$A$2:$C$500,2,FALSE),""))</f>
        <v>3</v>
      </c>
      <c r="Z2203" s="56">
        <f>IF($X2203="",1,IFERROR(VLOOKUP($X2203,'Char Popularity'!$A$2:$C$500,3,FALSE),1))</f>
        <v>1</v>
      </c>
      <c r="AA2203" s="62">
        <f>IF($H2203&lt;&gt;"Y",0,(IF($F2203&lt;&gt;"",ROUND(Dashboard!$R$4/$F2203,1),IF(AND($I2203="Base",$E2203="Base"),Dashboard!$R$5,IF(AND($I2203="Base",$E2203="Red"),Dashboard!$R$6,IF(AND($I2203="Base",$E2203="Gold"),Dashboard!$R$7,VLOOKUP($I2203,Dashboard!$Q$16:$R$21,2,FALSE)))))*VLOOKUP($I2203,Dashboard!$Q$9:$R$13,2,FALSE)*IF(AND($I2203="Auto",$F2203="",OR($B2203="Autographs Duals",$B2203="Autographs Triples",$B2203="Autographs Quads",$B2203="Autographs Quads (Inscribed)")),IF($B2203="Autographs Duals",2,IF($B2203="Autographs Triples",3,4)),1)))</f>
        <v>80</v>
      </c>
      <c r="AB2203" s="62">
        <f t="shared" si="453"/>
        <v>0</v>
      </c>
      <c r="AC2203" s="62">
        <f t="shared" si="454"/>
        <v>0</v>
      </c>
    </row>
    <row r="2204" spans="1:29" ht="30" customHeight="1" x14ac:dyDescent="0.25">
      <c r="A2204" s="4" t="s">
        <v>37</v>
      </c>
      <c r="B2204" s="7" t="s">
        <v>111</v>
      </c>
      <c r="C2204" s="2" t="s">
        <v>261</v>
      </c>
      <c r="D2204" s="7" t="s">
        <v>265</v>
      </c>
      <c r="E2204" s="4" t="s">
        <v>1606</v>
      </c>
      <c r="F2204" s="2">
        <v>25</v>
      </c>
      <c r="G2204" s="2" t="s">
        <v>1399</v>
      </c>
      <c r="H2204" s="2" t="s">
        <v>1400</v>
      </c>
      <c r="I2204" s="4" t="s">
        <v>68</v>
      </c>
      <c r="J2204" s="112">
        <f>IF($H2204&lt;&gt;"Y",0,ROUND(MIN(Dashboard!$R$24,IF(IFERROR(VLOOKUP($B2204,Dashboard!$Q$28:$S$60,2,FALSE),0)&gt;0,IFERROR(VLOOKUP($B2204,Dashboard!$Q$28:$S$60,2,FALSE),0),$Z2204*IF($U2204&lt;&gt;"",ROUND((Dashboard!$R$4/$U2204)*VLOOKUP($I2204,Dashboard!$Q$9:$R$13,2,FALSE)*IF(ISNUMBER(SEARCH("Duals",$B2204)),2,IF(ISNUMBER(SEARCH("Triples",$B2204)),3,IF(ISNUMBER(SEARCH("Quads",$B2204)),4,1))),2),ROUND(VLOOKUP($I2204,Dashboard!$Q$15:$R$20,2,FALSE)*IF($E2204="Red",Dashboard!$R$6,IF($E2204="Gold",Dashboard!$R$7,Dashboard!$R$5))*IF(ISNUMBER(SEARCH("Duals",$B2204)),2,IF(ISNUMBER(SEARCH("Triples",$B2204)),3,IF(ISNUMBER(SEARCH("Quads",$B2204)),4,1))),2))*IF(IFERROR(VLOOKUP($B2204,Dashboard!$Q$28:$S$60,3,FALSE),0)&gt;0,VLOOKUP($B2204,Dashboard!$Q$28:$S$60,3,FALSE),1))),0))</f>
        <v>100</v>
      </c>
      <c r="K2204" s="2" t="str">
        <f>IF('Autos - Singles'!G29="","",'Autos - Singles'!G29)</f>
        <v/>
      </c>
      <c r="L2204" s="2">
        <f t="shared" si="442"/>
        <v>0</v>
      </c>
      <c r="M2204" s="2">
        <f t="shared" si="443"/>
        <v>0</v>
      </c>
      <c r="N2204" s="2">
        <f t="shared" si="444"/>
        <v>0</v>
      </c>
      <c r="O2204" s="2">
        <f t="shared" si="445"/>
        <v>1</v>
      </c>
      <c r="P2204" s="112">
        <f t="shared" si="446"/>
        <v>0</v>
      </c>
      <c r="Q2204" s="112">
        <f t="shared" si="447"/>
        <v>0</v>
      </c>
      <c r="R2204" s="53" t="s">
        <v>518</v>
      </c>
      <c r="S2204" s="53" t="str">
        <f t="shared" si="448"/>
        <v>Autos - Singles|Autographs Inscribed Parallel|A-JO|Inscribed Parallel</v>
      </c>
      <c r="T2204" s="57" t="str">
        <f>IF($S2204="","",IFERROR(VLOOKUP($S2204,'Pop Estimates (Non-#d)'!$N$2:$O$500,2,FALSE),""))</f>
        <v/>
      </c>
      <c r="U2204" s="57">
        <f t="shared" si="449"/>
        <v>25</v>
      </c>
      <c r="V2204" s="53" t="str">
        <f t="shared" si="450"/>
        <v>Cherie "Cherie"</v>
      </c>
      <c r="W2204" s="53" t="str">
        <f t="shared" si="451"/>
        <v>Cherie "Cherie"</v>
      </c>
      <c r="X2204" s="53" t="str">
        <f t="shared" si="452"/>
        <v>Cherie</v>
      </c>
      <c r="Y2204" s="57">
        <f>IF($X2204="","",IFERROR(VLOOKUP($X2204,'Char Popularity'!$A$2:$C$500,2,FALSE),""))</f>
        <v>3</v>
      </c>
      <c r="Z2204" s="56">
        <f>IF($X2204="",1,IFERROR(VLOOKUP($X2204,'Char Popularity'!$A$2:$C$500,3,FALSE),1))</f>
        <v>1</v>
      </c>
      <c r="AA2204" s="62">
        <f>IF($H2204&lt;&gt;"Y",0,(IF($F2204&lt;&gt;"",ROUND(Dashboard!$R$4/$F2204,1),IF(AND($I2204="Base",$E2204="Base"),Dashboard!$R$5,IF(AND($I2204="Base",$E2204="Red"),Dashboard!$R$6,IF(AND($I2204="Base",$E2204="Gold"),Dashboard!$R$7,VLOOKUP($I2204,Dashboard!$Q$16:$R$21,2,FALSE)))))*VLOOKUP($I2204,Dashboard!$Q$9:$R$13,2,FALSE)*IF(AND($I2204="Auto",$F2204="",OR($B2204="Autographs Duals",$B2204="Autographs Triples",$B2204="Autographs Quads",$B2204="Autographs Quads (Inscribed)")),IF($B2204="Autographs Duals",2,IF($B2204="Autographs Triples",3,4)),1)))</f>
        <v>80</v>
      </c>
      <c r="AB2204" s="62">
        <f t="shared" si="453"/>
        <v>0</v>
      </c>
      <c r="AC2204" s="62">
        <f t="shared" si="454"/>
        <v>0</v>
      </c>
    </row>
    <row r="2205" spans="1:29" ht="30" customHeight="1" x14ac:dyDescent="0.25">
      <c r="A2205" s="4" t="s">
        <v>37</v>
      </c>
      <c r="B2205" s="7" t="s">
        <v>111</v>
      </c>
      <c r="C2205" s="2" t="s">
        <v>262</v>
      </c>
      <c r="D2205" s="7" t="s">
        <v>297</v>
      </c>
      <c r="E2205" s="4" t="s">
        <v>1606</v>
      </c>
      <c r="F2205" s="2">
        <v>25</v>
      </c>
      <c r="G2205" s="2" t="s">
        <v>1399</v>
      </c>
      <c r="H2205" s="2" t="s">
        <v>1400</v>
      </c>
      <c r="I2205" s="4" t="s">
        <v>68</v>
      </c>
      <c r="J2205" s="112">
        <f>IF($H2205&lt;&gt;"Y",0,ROUND(MIN(Dashboard!$R$24,IF(IFERROR(VLOOKUP($B2205,Dashboard!$Q$28:$S$60,2,FALSE),0)&gt;0,IFERROR(VLOOKUP($B2205,Dashboard!$Q$28:$S$60,2,FALSE),0),$Z2205*IF($U2205&lt;&gt;"",ROUND((Dashboard!$R$4/$U2205)*VLOOKUP($I2205,Dashboard!$Q$9:$R$13,2,FALSE)*IF(ISNUMBER(SEARCH("Duals",$B2205)),2,IF(ISNUMBER(SEARCH("Triples",$B2205)),3,IF(ISNUMBER(SEARCH("Quads",$B2205)),4,1))),2),ROUND(VLOOKUP($I2205,Dashboard!$Q$15:$R$20,2,FALSE)*IF($E2205="Red",Dashboard!$R$6,IF($E2205="Gold",Dashboard!$R$7,Dashboard!$R$5))*IF(ISNUMBER(SEARCH("Duals",$B2205)),2,IF(ISNUMBER(SEARCH("Triples",$B2205)),3,IF(ISNUMBER(SEARCH("Quads",$B2205)),4,1))),2))*IF(IFERROR(VLOOKUP($B2205,Dashboard!$Q$28:$S$60,3,FALSE),0)&gt;0,VLOOKUP($B2205,Dashboard!$Q$28:$S$60,3,FALSE),1))),0))</f>
        <v>120</v>
      </c>
      <c r="K2205" s="2" t="str">
        <f>IF('Autos - Singles'!G30="","",'Autos - Singles'!G30)</f>
        <v/>
      </c>
      <c r="L2205" s="2">
        <f t="shared" si="442"/>
        <v>0</v>
      </c>
      <c r="M2205" s="2">
        <f t="shared" si="443"/>
        <v>0</v>
      </c>
      <c r="N2205" s="2">
        <f t="shared" si="444"/>
        <v>0</v>
      </c>
      <c r="O2205" s="2">
        <f t="shared" si="445"/>
        <v>1</v>
      </c>
      <c r="P2205" s="112">
        <f t="shared" si="446"/>
        <v>0</v>
      </c>
      <c r="Q2205" s="112">
        <f t="shared" si="447"/>
        <v>0</v>
      </c>
      <c r="R2205" s="53" t="s">
        <v>391</v>
      </c>
      <c r="S2205" s="53" t="str">
        <f t="shared" si="448"/>
        <v>Autos - Singles|Autographs Inscribed Parallel|A-JQ|Inscribed Parallel</v>
      </c>
      <c r="T2205" s="57" t="str">
        <f>IF($S2205="","",IFERROR(VLOOKUP($S2205,'Pop Estimates (Non-#d)'!$N$2:$O$500,2,FALSE),""))</f>
        <v/>
      </c>
      <c r="U2205" s="57">
        <f t="shared" si="449"/>
        <v>25</v>
      </c>
      <c r="V2205" s="53" t="str">
        <f t="shared" si="450"/>
        <v>Hughie Campbell "Hughie Campbell"</v>
      </c>
      <c r="W2205" s="53" t="str">
        <f t="shared" si="451"/>
        <v>Hughie Campbell "Hughie Campbell"</v>
      </c>
      <c r="X2205" s="53" t="str">
        <f t="shared" si="452"/>
        <v>Hughie Campbell</v>
      </c>
      <c r="Y2205" s="57">
        <f>IF($X2205="","",IFERROR(VLOOKUP($X2205,'Char Popularity'!$A$2:$C$500,2,FALSE),""))</f>
        <v>5</v>
      </c>
      <c r="Z2205" s="56">
        <f>IF($X2205="",1,IFERROR(VLOOKUP($X2205,'Char Popularity'!$A$2:$C$500,3,FALSE),1))</f>
        <v>1.2</v>
      </c>
      <c r="AA2205" s="62">
        <f>IF($H2205&lt;&gt;"Y",0,(IF($F2205&lt;&gt;"",ROUND(Dashboard!$R$4/$F2205,1),IF(AND($I2205="Base",$E2205="Base"),Dashboard!$R$5,IF(AND($I2205="Base",$E2205="Red"),Dashboard!$R$6,IF(AND($I2205="Base",$E2205="Gold"),Dashboard!$R$7,VLOOKUP($I2205,Dashboard!$Q$16:$R$21,2,FALSE)))))*VLOOKUP($I2205,Dashboard!$Q$9:$R$13,2,FALSE)*IF(AND($I2205="Auto",$F2205="",OR($B2205="Autographs Duals",$B2205="Autographs Triples",$B2205="Autographs Quads",$B2205="Autographs Quads (Inscribed)")),IF($B2205="Autographs Duals",2,IF($B2205="Autographs Triples",3,4)),1)))</f>
        <v>80</v>
      </c>
      <c r="AB2205" s="62">
        <f t="shared" si="453"/>
        <v>0</v>
      </c>
      <c r="AC2205" s="62">
        <f t="shared" si="454"/>
        <v>0</v>
      </c>
    </row>
    <row r="2206" spans="1:29" ht="30" customHeight="1" x14ac:dyDescent="0.25">
      <c r="A2206" s="4" t="s">
        <v>37</v>
      </c>
      <c r="B2206" s="7" t="s">
        <v>111</v>
      </c>
      <c r="C2206" s="2" t="s">
        <v>264</v>
      </c>
      <c r="D2206" s="7" t="s">
        <v>265</v>
      </c>
      <c r="E2206" s="4" t="s">
        <v>1606</v>
      </c>
      <c r="F2206" s="2">
        <v>25</v>
      </c>
      <c r="G2206" s="2" t="s">
        <v>1399</v>
      </c>
      <c r="H2206" s="2" t="s">
        <v>1400</v>
      </c>
      <c r="I2206" s="4" t="s">
        <v>68</v>
      </c>
      <c r="J2206" s="112">
        <f>IF($H2206&lt;&gt;"Y",0,ROUND(MIN(Dashboard!$R$24,IF(IFERROR(VLOOKUP($B2206,Dashboard!$Q$28:$S$60,2,FALSE),0)&gt;0,IFERROR(VLOOKUP($B2206,Dashboard!$Q$28:$S$60,2,FALSE),0),$Z2206*IF($U2206&lt;&gt;"",ROUND((Dashboard!$R$4/$U2206)*VLOOKUP($I2206,Dashboard!$Q$9:$R$13,2,FALSE)*IF(ISNUMBER(SEARCH("Duals",$B2206)),2,IF(ISNUMBER(SEARCH("Triples",$B2206)),3,IF(ISNUMBER(SEARCH("Quads",$B2206)),4,1))),2),ROUND(VLOOKUP($I2206,Dashboard!$Q$15:$R$20,2,FALSE)*IF($E2206="Red",Dashboard!$R$6,IF($E2206="Gold",Dashboard!$R$7,Dashboard!$R$5))*IF(ISNUMBER(SEARCH("Duals",$B2206)),2,IF(ISNUMBER(SEARCH("Triples",$B2206)),3,IF(ISNUMBER(SEARCH("Quads",$B2206)),4,1))),2))*IF(IFERROR(VLOOKUP($B2206,Dashboard!$Q$28:$S$60,3,FALSE),0)&gt;0,VLOOKUP($B2206,Dashboard!$Q$28:$S$60,3,FALSE),1))),0))</f>
        <v>100</v>
      </c>
      <c r="K2206" s="2" t="str">
        <f>IF('Autos - Singles'!G31="","",'Autos - Singles'!G31)</f>
        <v/>
      </c>
      <c r="L2206" s="2">
        <f t="shared" si="442"/>
        <v>0</v>
      </c>
      <c r="M2206" s="2">
        <f t="shared" si="443"/>
        <v>0</v>
      </c>
      <c r="N2206" s="2">
        <f t="shared" si="444"/>
        <v>0</v>
      </c>
      <c r="O2206" s="2">
        <f t="shared" si="445"/>
        <v>1</v>
      </c>
      <c r="P2206" s="112">
        <f t="shared" si="446"/>
        <v>0</v>
      </c>
      <c r="Q2206" s="112">
        <f t="shared" si="447"/>
        <v>0</v>
      </c>
      <c r="R2206" s="53" t="s">
        <v>518</v>
      </c>
      <c r="S2206" s="53" t="str">
        <f t="shared" si="448"/>
        <v>Autos - Singles|Autographs Inscribed Parallel|A-JR|Inscribed Parallel</v>
      </c>
      <c r="T2206" s="57" t="str">
        <f>IF($S2206="","",IFERROR(VLOOKUP($S2206,'Pop Estimates (Non-#d)'!$N$2:$O$500,2,FALSE),""))</f>
        <v/>
      </c>
      <c r="U2206" s="57">
        <f t="shared" si="449"/>
        <v>25</v>
      </c>
      <c r="V2206" s="53" t="str">
        <f t="shared" si="450"/>
        <v>Cherie "Cherie"</v>
      </c>
      <c r="W2206" s="53" t="str">
        <f t="shared" si="451"/>
        <v>Cherie "Cherie"</v>
      </c>
      <c r="X2206" s="53" t="str">
        <f t="shared" si="452"/>
        <v>Cherie</v>
      </c>
      <c r="Y2206" s="57">
        <f>IF($X2206="","",IFERROR(VLOOKUP($X2206,'Char Popularity'!$A$2:$C$500,2,FALSE),""))</f>
        <v>3</v>
      </c>
      <c r="Z2206" s="56">
        <f>IF($X2206="",1,IFERROR(VLOOKUP($X2206,'Char Popularity'!$A$2:$C$500,3,FALSE),1))</f>
        <v>1</v>
      </c>
      <c r="AA2206" s="62">
        <f>IF($H2206&lt;&gt;"Y",0,(IF($F2206&lt;&gt;"",ROUND(Dashboard!$R$4/$F2206,1),IF(AND($I2206="Base",$E2206="Base"),Dashboard!$R$5,IF(AND($I2206="Base",$E2206="Red"),Dashboard!$R$6,IF(AND($I2206="Base",$E2206="Gold"),Dashboard!$R$7,VLOOKUP($I2206,Dashboard!$Q$16:$R$21,2,FALSE)))))*VLOOKUP($I2206,Dashboard!$Q$9:$R$13,2,FALSE)*IF(AND($I2206="Auto",$F2206="",OR($B2206="Autographs Duals",$B2206="Autographs Triples",$B2206="Autographs Quads",$B2206="Autographs Quads (Inscribed)")),IF($B2206="Autographs Duals",2,IF($B2206="Autographs Triples",3,4)),1)))</f>
        <v>80</v>
      </c>
      <c r="AB2206" s="62">
        <f t="shared" si="453"/>
        <v>0</v>
      </c>
      <c r="AC2206" s="62">
        <f t="shared" si="454"/>
        <v>0</v>
      </c>
    </row>
    <row r="2207" spans="1:29" ht="30" customHeight="1" x14ac:dyDescent="0.25">
      <c r="A2207" s="4" t="s">
        <v>37</v>
      </c>
      <c r="B2207" s="7" t="s">
        <v>111</v>
      </c>
      <c r="C2207" s="2" t="s">
        <v>266</v>
      </c>
      <c r="D2207" s="7" t="s">
        <v>1615</v>
      </c>
      <c r="E2207" s="4" t="s">
        <v>1606</v>
      </c>
      <c r="F2207" s="2">
        <v>25</v>
      </c>
      <c r="G2207" s="2" t="s">
        <v>1399</v>
      </c>
      <c r="H2207" s="2" t="s">
        <v>1400</v>
      </c>
      <c r="I2207" s="4" t="s">
        <v>68</v>
      </c>
      <c r="J2207" s="112">
        <f>IF($H2207&lt;&gt;"Y",0,ROUND(MIN(Dashboard!$R$24,IF(IFERROR(VLOOKUP($B2207,Dashboard!$Q$28:$S$60,2,FALSE),0)&gt;0,IFERROR(VLOOKUP($B2207,Dashboard!$Q$28:$S$60,2,FALSE),0),$Z2207*IF($U2207&lt;&gt;"",ROUND((Dashboard!$R$4/$U2207)*VLOOKUP($I2207,Dashboard!$Q$9:$R$13,2,FALSE)*IF(ISNUMBER(SEARCH("Duals",$B2207)),2,IF(ISNUMBER(SEARCH("Triples",$B2207)),3,IF(ISNUMBER(SEARCH("Quads",$B2207)),4,1))),2),ROUND(VLOOKUP($I2207,Dashboard!$Q$15:$R$20,2,FALSE)*IF($E2207="Red",Dashboard!$R$6,IF($E2207="Gold",Dashboard!$R$7,Dashboard!$R$5))*IF(ISNUMBER(SEARCH("Duals",$B2207)),2,IF(ISNUMBER(SEARCH("Triples",$B2207)),3,IF(ISNUMBER(SEARCH("Quads",$B2207)),4,1))),2))*IF(IFERROR(VLOOKUP($B2207,Dashboard!$Q$28:$S$60,3,FALSE),0)&gt;0,VLOOKUP($B2207,Dashboard!$Q$28:$S$60,3,FALSE),1))),0))</f>
        <v>110</v>
      </c>
      <c r="K2207" s="2" t="str">
        <f>IF('Autos - Singles'!G32="","",'Autos - Singles'!G32)</f>
        <v/>
      </c>
      <c r="L2207" s="2">
        <f t="shared" si="442"/>
        <v>0</v>
      </c>
      <c r="M2207" s="2">
        <f t="shared" si="443"/>
        <v>0</v>
      </c>
      <c r="N2207" s="2">
        <f t="shared" si="444"/>
        <v>0</v>
      </c>
      <c r="O2207" s="2">
        <f t="shared" si="445"/>
        <v>1</v>
      </c>
      <c r="P2207" s="112">
        <f t="shared" si="446"/>
        <v>0</v>
      </c>
      <c r="Q2207" s="112">
        <f t="shared" si="447"/>
        <v>0</v>
      </c>
      <c r="R2207" s="53" t="s">
        <v>343</v>
      </c>
      <c r="S2207" s="53" t="str">
        <f t="shared" si="448"/>
        <v>Autos - Singles|Autographs Inscribed Parallel|A-JT|Inscribed Parallel</v>
      </c>
      <c r="T2207" s="57" t="str">
        <f>IF($S2207="","",IFERROR(VLOOKUP($S2207,'Pop Estimates (Non-#d)'!$N$2:$O$500,2,FALSE),""))</f>
        <v/>
      </c>
      <c r="U2207" s="57">
        <f t="shared" si="449"/>
        <v>25</v>
      </c>
      <c r="V2207" s="53" t="str">
        <f t="shared" si="450"/>
        <v>A-Train "A-Train"</v>
      </c>
      <c r="W2207" s="53" t="str">
        <f t="shared" si="451"/>
        <v>A-Train "A-Train"</v>
      </c>
      <c r="X2207" s="53" t="str">
        <f t="shared" si="452"/>
        <v>A-Train</v>
      </c>
      <c r="Y2207" s="57">
        <f>IF($X2207="","",IFERROR(VLOOKUP($X2207,'Char Popularity'!$A$2:$C$500,2,FALSE),""))</f>
        <v>4</v>
      </c>
      <c r="Z2207" s="56">
        <f>IF($X2207="",1,IFERROR(VLOOKUP($X2207,'Char Popularity'!$A$2:$C$500,3,FALSE),1))</f>
        <v>1.1000000000000001</v>
      </c>
      <c r="AA2207" s="62">
        <f>IF($H2207&lt;&gt;"Y",0,(IF($F2207&lt;&gt;"",ROUND(Dashboard!$R$4/$F2207,1),IF(AND($I2207="Base",$E2207="Base"),Dashboard!$R$5,IF(AND($I2207="Base",$E2207="Red"),Dashboard!$R$6,IF(AND($I2207="Base",$E2207="Gold"),Dashboard!$R$7,VLOOKUP($I2207,Dashboard!$Q$16:$R$21,2,FALSE)))))*VLOOKUP($I2207,Dashboard!$Q$9:$R$13,2,FALSE)*IF(AND($I2207="Auto",$F2207="",OR($B2207="Autographs Duals",$B2207="Autographs Triples",$B2207="Autographs Quads",$B2207="Autographs Quads (Inscribed)")),IF($B2207="Autographs Duals",2,IF($B2207="Autographs Triples",3,4)),1)))</f>
        <v>80</v>
      </c>
      <c r="AB2207" s="62">
        <f t="shared" si="453"/>
        <v>0</v>
      </c>
      <c r="AC2207" s="62">
        <f t="shared" si="454"/>
        <v>0</v>
      </c>
    </row>
    <row r="2208" spans="1:29" ht="30" customHeight="1" x14ac:dyDescent="0.25">
      <c r="A2208" s="4" t="s">
        <v>37</v>
      </c>
      <c r="B2208" s="7" t="s">
        <v>111</v>
      </c>
      <c r="C2208" s="2" t="s">
        <v>268</v>
      </c>
      <c r="D2208" s="7" t="s">
        <v>1616</v>
      </c>
      <c r="E2208" s="4" t="s">
        <v>1606</v>
      </c>
      <c r="F2208" s="2">
        <v>25</v>
      </c>
      <c r="G2208" s="2" t="s">
        <v>1399</v>
      </c>
      <c r="H2208" s="2" t="s">
        <v>1400</v>
      </c>
      <c r="I2208" s="4" t="s">
        <v>68</v>
      </c>
      <c r="J2208" s="112">
        <f>IF($H2208&lt;&gt;"Y",0,ROUND(MIN(Dashboard!$R$24,IF(IFERROR(VLOOKUP($B2208,Dashboard!$Q$28:$S$60,2,FALSE),0)&gt;0,IFERROR(VLOOKUP($B2208,Dashboard!$Q$28:$S$60,2,FALSE),0),$Z2208*IF($U2208&lt;&gt;"",ROUND((Dashboard!$R$4/$U2208)*VLOOKUP($I2208,Dashboard!$Q$9:$R$13,2,FALSE)*IF(ISNUMBER(SEARCH("Duals",$B2208)),2,IF(ISNUMBER(SEARCH("Triples",$B2208)),3,IF(ISNUMBER(SEARCH("Quads",$B2208)),4,1))),2),ROUND(VLOOKUP($I2208,Dashboard!$Q$15:$R$20,2,FALSE)*IF($E2208="Red",Dashboard!$R$6,IF($E2208="Gold",Dashboard!$R$7,Dashboard!$R$5))*IF(ISNUMBER(SEARCH("Duals",$B2208)),2,IF(ISNUMBER(SEARCH("Triples",$B2208)),3,IF(ISNUMBER(SEARCH("Quads",$B2208)),4,1))),2))*IF(IFERROR(VLOOKUP($B2208,Dashboard!$Q$28:$S$60,3,FALSE),0)&gt;0,VLOOKUP($B2208,Dashboard!$Q$28:$S$60,3,FALSE),1))),0))</f>
        <v>110</v>
      </c>
      <c r="K2208" s="2" t="str">
        <f>IF('Autos - Singles'!G33="","",'Autos - Singles'!G33)</f>
        <v>V 13/25</v>
      </c>
      <c r="L2208" s="2">
        <f t="shared" si="442"/>
        <v>1</v>
      </c>
      <c r="M2208" s="2">
        <f t="shared" si="443"/>
        <v>0</v>
      </c>
      <c r="N2208" s="2">
        <f t="shared" si="444"/>
        <v>1</v>
      </c>
      <c r="O2208" s="2">
        <f t="shared" si="445"/>
        <v>0</v>
      </c>
      <c r="P2208" s="112">
        <f t="shared" si="446"/>
        <v>110</v>
      </c>
      <c r="Q2208" s="112">
        <f t="shared" si="447"/>
        <v>0</v>
      </c>
      <c r="R2208" s="53" t="s">
        <v>1617</v>
      </c>
      <c r="S2208" s="53" t="str">
        <f t="shared" si="448"/>
        <v>Autos - Singles|Autographs Inscribed Parallel|A-JU|Inscribed Parallel</v>
      </c>
      <c r="T2208" s="57" t="str">
        <f>IF($S2208="","",IFERROR(VLOOKUP($S2208,'Pop Estimates (Non-#d)'!$N$2:$O$500,2,FALSE),""))</f>
        <v/>
      </c>
      <c r="U2208" s="57">
        <f t="shared" si="449"/>
        <v>25</v>
      </c>
      <c r="V2208" s="53" t="str">
        <f t="shared" si="450"/>
        <v>A-Train "A-Train, Baby"</v>
      </c>
      <c r="W2208" s="53" t="str">
        <f t="shared" si="451"/>
        <v>A-Train "A-Train, Baby"</v>
      </c>
      <c r="X2208" s="53" t="str">
        <f t="shared" si="452"/>
        <v>A-Train</v>
      </c>
      <c r="Y2208" s="57">
        <f>IF($X2208="","",IFERROR(VLOOKUP($X2208,'Char Popularity'!$A$2:$C$500,2,FALSE),""))</f>
        <v>4</v>
      </c>
      <c r="Z2208" s="56">
        <f>IF($X2208="",1,IFERROR(VLOOKUP($X2208,'Char Popularity'!$A$2:$C$500,3,FALSE),1))</f>
        <v>1.1000000000000001</v>
      </c>
      <c r="AA2208" s="62">
        <f>IF($H2208&lt;&gt;"Y",0,(IF($F2208&lt;&gt;"",ROUND(Dashboard!$R$4/$F2208,1),IF(AND($I2208="Base",$E2208="Base"),Dashboard!$R$5,IF(AND($I2208="Base",$E2208="Red"),Dashboard!$R$6,IF(AND($I2208="Base",$E2208="Gold"),Dashboard!$R$7,VLOOKUP($I2208,Dashboard!$Q$16:$R$21,2,FALSE)))))*VLOOKUP($I2208,Dashboard!$Q$9:$R$13,2,FALSE)*IF(AND($I2208="Auto",$F2208="",OR($B2208="Autographs Duals",$B2208="Autographs Triples",$B2208="Autographs Quads",$B2208="Autographs Quads (Inscribed)")),IF($B2208="Autographs Duals",2,IF($B2208="Autographs Triples",3,4)),1)))</f>
        <v>80</v>
      </c>
      <c r="AB2208" s="62">
        <f t="shared" si="453"/>
        <v>80</v>
      </c>
      <c r="AC2208" s="62">
        <f t="shared" si="454"/>
        <v>0</v>
      </c>
    </row>
    <row r="2209" spans="1:29" ht="30" customHeight="1" x14ac:dyDescent="0.25">
      <c r="A2209" s="4" t="s">
        <v>37</v>
      </c>
      <c r="B2209" s="7" t="s">
        <v>111</v>
      </c>
      <c r="C2209" s="2" t="s">
        <v>269</v>
      </c>
      <c r="D2209" s="7" t="s">
        <v>252</v>
      </c>
      <c r="E2209" s="4" t="s">
        <v>1606</v>
      </c>
      <c r="F2209" s="2">
        <v>25</v>
      </c>
      <c r="G2209" s="2" t="s">
        <v>1399</v>
      </c>
      <c r="H2209" s="2" t="s">
        <v>1400</v>
      </c>
      <c r="I2209" s="4" t="s">
        <v>68</v>
      </c>
      <c r="J2209" s="112">
        <f>IF($H2209&lt;&gt;"Y",0,ROUND(MIN(Dashboard!$R$24,IF(IFERROR(VLOOKUP($B2209,Dashboard!$Q$28:$S$60,2,FALSE),0)&gt;0,IFERROR(VLOOKUP($B2209,Dashboard!$Q$28:$S$60,2,FALSE),0),$Z2209*IF($U2209&lt;&gt;"",ROUND((Dashboard!$R$4/$U2209)*VLOOKUP($I2209,Dashboard!$Q$9:$R$13,2,FALSE)*IF(ISNUMBER(SEARCH("Duals",$B2209)),2,IF(ISNUMBER(SEARCH("Triples",$B2209)),3,IF(ISNUMBER(SEARCH("Quads",$B2209)),4,1))),2),ROUND(VLOOKUP($I2209,Dashboard!$Q$15:$R$20,2,FALSE)*IF($E2209="Red",Dashboard!$R$6,IF($E2209="Gold",Dashboard!$R$7,Dashboard!$R$5))*IF(ISNUMBER(SEARCH("Duals",$B2209)),2,IF(ISNUMBER(SEARCH("Triples",$B2209)),3,IF(ISNUMBER(SEARCH("Quads",$B2209)),4,1))),2))*IF(IFERROR(VLOOKUP($B2209,Dashboard!$Q$28:$S$60,3,FALSE),0)&gt;0,VLOOKUP($B2209,Dashboard!$Q$28:$S$60,3,FALSE),1))),0))</f>
        <v>110</v>
      </c>
      <c r="K2209" s="2" t="str">
        <f>IF('Autos - Singles'!G34="","",'Autos - Singles'!G34)</f>
        <v/>
      </c>
      <c r="L2209" s="2">
        <f t="shared" si="442"/>
        <v>0</v>
      </c>
      <c r="M2209" s="2">
        <f t="shared" si="443"/>
        <v>0</v>
      </c>
      <c r="N2209" s="2">
        <f t="shared" si="444"/>
        <v>0</v>
      </c>
      <c r="O2209" s="2">
        <f t="shared" si="445"/>
        <v>1</v>
      </c>
      <c r="P2209" s="112">
        <f t="shared" si="446"/>
        <v>0</v>
      </c>
      <c r="Q2209" s="112">
        <f t="shared" si="447"/>
        <v>0</v>
      </c>
      <c r="R2209" s="53" t="s">
        <v>1604</v>
      </c>
      <c r="S2209" s="53" t="str">
        <f t="shared" si="448"/>
        <v>Autos - Singles|Autographs Inscribed Parallel|A-KF|Inscribed Parallel</v>
      </c>
      <c r="T2209" s="57" t="str">
        <f>IF($S2209="","",IFERROR(VLOOKUP($S2209,'Pop Estimates (Non-#d)'!$N$2:$O$500,2,FALSE),""))</f>
        <v/>
      </c>
      <c r="U2209" s="57">
        <f t="shared" si="449"/>
        <v>25</v>
      </c>
      <c r="V2209" s="53" t="str">
        <f t="shared" si="450"/>
        <v>Kimiko "The Boys"</v>
      </c>
      <c r="W2209" s="53" t="str">
        <f t="shared" si="451"/>
        <v>Kimiko "The Boys"</v>
      </c>
      <c r="X2209" s="53" t="str">
        <f t="shared" si="452"/>
        <v>Kimiko</v>
      </c>
      <c r="Y2209" s="57">
        <f>IF($X2209="","",IFERROR(VLOOKUP($X2209,'Char Popularity'!$A$2:$C$500,2,FALSE),""))</f>
        <v>4</v>
      </c>
      <c r="Z2209" s="56">
        <f>IF($X2209="",1,IFERROR(VLOOKUP($X2209,'Char Popularity'!$A$2:$C$500,3,FALSE),1))</f>
        <v>1.1000000000000001</v>
      </c>
      <c r="AA2209" s="62">
        <f>IF($H2209&lt;&gt;"Y",0,(IF($F2209&lt;&gt;"",ROUND(Dashboard!$R$4/$F2209,1),IF(AND($I2209="Base",$E2209="Base"),Dashboard!$R$5,IF(AND($I2209="Base",$E2209="Red"),Dashboard!$R$6,IF(AND($I2209="Base",$E2209="Gold"),Dashboard!$R$7,VLOOKUP($I2209,Dashboard!$Q$16:$R$21,2,FALSE)))))*VLOOKUP($I2209,Dashboard!$Q$9:$R$13,2,FALSE)*IF(AND($I2209="Auto",$F2209="",OR($B2209="Autographs Duals",$B2209="Autographs Triples",$B2209="Autographs Quads",$B2209="Autographs Quads (Inscribed)")),IF($B2209="Autographs Duals",2,IF($B2209="Autographs Triples",3,4)),1)))</f>
        <v>80</v>
      </c>
      <c r="AB2209" s="62">
        <f t="shared" si="453"/>
        <v>0</v>
      </c>
      <c r="AC2209" s="62">
        <f t="shared" si="454"/>
        <v>0</v>
      </c>
    </row>
    <row r="2210" spans="1:29" ht="30" customHeight="1" x14ac:dyDescent="0.25">
      <c r="A2210" s="4" t="s">
        <v>37</v>
      </c>
      <c r="B2210" s="7" t="s">
        <v>111</v>
      </c>
      <c r="C2210" s="2" t="s">
        <v>271</v>
      </c>
      <c r="D2210" s="7" t="s">
        <v>252</v>
      </c>
      <c r="E2210" s="4" t="s">
        <v>1606</v>
      </c>
      <c r="F2210" s="2">
        <v>25</v>
      </c>
      <c r="G2210" s="2" t="s">
        <v>1399</v>
      </c>
      <c r="H2210" s="2" t="s">
        <v>1400</v>
      </c>
      <c r="I2210" s="4" t="s">
        <v>68</v>
      </c>
      <c r="J2210" s="112">
        <f>IF($H2210&lt;&gt;"Y",0,ROUND(MIN(Dashboard!$R$24,IF(IFERROR(VLOOKUP($B2210,Dashboard!$Q$28:$S$60,2,FALSE),0)&gt;0,IFERROR(VLOOKUP($B2210,Dashboard!$Q$28:$S$60,2,FALSE),0),$Z2210*IF($U2210&lt;&gt;"",ROUND((Dashboard!$R$4/$U2210)*VLOOKUP($I2210,Dashboard!$Q$9:$R$13,2,FALSE)*IF(ISNUMBER(SEARCH("Duals",$B2210)),2,IF(ISNUMBER(SEARCH("Triples",$B2210)),3,IF(ISNUMBER(SEARCH("Quads",$B2210)),4,1))),2),ROUND(VLOOKUP($I2210,Dashboard!$Q$15:$R$20,2,FALSE)*IF($E2210="Red",Dashboard!$R$6,IF($E2210="Gold",Dashboard!$R$7,Dashboard!$R$5))*IF(ISNUMBER(SEARCH("Duals",$B2210)),2,IF(ISNUMBER(SEARCH("Triples",$B2210)),3,IF(ISNUMBER(SEARCH("Quads",$B2210)),4,1))),2))*IF(IFERROR(VLOOKUP($B2210,Dashboard!$Q$28:$S$60,3,FALSE),0)&gt;0,VLOOKUP($B2210,Dashboard!$Q$28:$S$60,3,FALSE),1))),0))</f>
        <v>110</v>
      </c>
      <c r="K2210" s="2" t="str">
        <f>IF('Autos - Singles'!G35="","",'Autos - Singles'!G35)</f>
        <v/>
      </c>
      <c r="L2210" s="2">
        <f t="shared" si="442"/>
        <v>0</v>
      </c>
      <c r="M2210" s="2">
        <f t="shared" si="443"/>
        <v>0</v>
      </c>
      <c r="N2210" s="2">
        <f t="shared" si="444"/>
        <v>0</v>
      </c>
      <c r="O2210" s="2">
        <f t="shared" si="445"/>
        <v>1</v>
      </c>
      <c r="P2210" s="112">
        <f t="shared" si="446"/>
        <v>0</v>
      </c>
      <c r="Q2210" s="112">
        <f t="shared" si="447"/>
        <v>0</v>
      </c>
      <c r="R2210" s="53" t="s">
        <v>1604</v>
      </c>
      <c r="S2210" s="53" t="str">
        <f t="shared" si="448"/>
        <v>Autos - Singles|Autographs Inscribed Parallel|A-KK|Inscribed Parallel</v>
      </c>
      <c r="T2210" s="57" t="str">
        <f>IF($S2210="","",IFERROR(VLOOKUP($S2210,'Pop Estimates (Non-#d)'!$N$2:$O$500,2,FALSE),""))</f>
        <v/>
      </c>
      <c r="U2210" s="57">
        <f t="shared" si="449"/>
        <v>25</v>
      </c>
      <c r="V2210" s="53" t="str">
        <f t="shared" si="450"/>
        <v>Kimiko "The Boys"</v>
      </c>
      <c r="W2210" s="53" t="str">
        <f t="shared" si="451"/>
        <v>Kimiko "The Boys"</v>
      </c>
      <c r="X2210" s="53" t="str">
        <f t="shared" si="452"/>
        <v>Kimiko</v>
      </c>
      <c r="Y2210" s="57">
        <f>IF($X2210="","",IFERROR(VLOOKUP($X2210,'Char Popularity'!$A$2:$C$500,2,FALSE),""))</f>
        <v>4</v>
      </c>
      <c r="Z2210" s="56">
        <f>IF($X2210="",1,IFERROR(VLOOKUP($X2210,'Char Popularity'!$A$2:$C$500,3,FALSE),1))</f>
        <v>1.1000000000000001</v>
      </c>
      <c r="AA2210" s="62">
        <f>IF($H2210&lt;&gt;"Y",0,(IF($F2210&lt;&gt;"",ROUND(Dashboard!$R$4/$F2210,1),IF(AND($I2210="Base",$E2210="Base"),Dashboard!$R$5,IF(AND($I2210="Base",$E2210="Red"),Dashboard!$R$6,IF(AND($I2210="Base",$E2210="Gold"),Dashboard!$R$7,VLOOKUP($I2210,Dashboard!$Q$16:$R$21,2,FALSE)))))*VLOOKUP($I2210,Dashboard!$Q$9:$R$13,2,FALSE)*IF(AND($I2210="Auto",$F2210="",OR($B2210="Autographs Duals",$B2210="Autographs Triples",$B2210="Autographs Quads",$B2210="Autographs Quads (Inscribed)")),IF($B2210="Autographs Duals",2,IF($B2210="Autographs Triples",3,4)),1)))</f>
        <v>80</v>
      </c>
      <c r="AB2210" s="62">
        <f t="shared" si="453"/>
        <v>0</v>
      </c>
      <c r="AC2210" s="62">
        <f t="shared" si="454"/>
        <v>0</v>
      </c>
    </row>
    <row r="2211" spans="1:29" ht="30" customHeight="1" x14ac:dyDescent="0.25">
      <c r="A2211" s="4" t="s">
        <v>37</v>
      </c>
      <c r="B2211" s="7" t="s">
        <v>111</v>
      </c>
      <c r="C2211" s="2" t="s">
        <v>272</v>
      </c>
      <c r="D2211" s="7" t="s">
        <v>252</v>
      </c>
      <c r="E2211" s="4" t="s">
        <v>1606</v>
      </c>
      <c r="F2211" s="2">
        <v>25</v>
      </c>
      <c r="G2211" s="2" t="s">
        <v>1399</v>
      </c>
      <c r="H2211" s="2" t="s">
        <v>1400</v>
      </c>
      <c r="I2211" s="4" t="s">
        <v>68</v>
      </c>
      <c r="J2211" s="112">
        <f>IF($H2211&lt;&gt;"Y",0,ROUND(MIN(Dashboard!$R$24,IF(IFERROR(VLOOKUP($B2211,Dashboard!$Q$28:$S$60,2,FALSE),0)&gt;0,IFERROR(VLOOKUP($B2211,Dashboard!$Q$28:$S$60,2,FALSE),0),$Z2211*IF($U2211&lt;&gt;"",ROUND((Dashboard!$R$4/$U2211)*VLOOKUP($I2211,Dashboard!$Q$9:$R$13,2,FALSE)*IF(ISNUMBER(SEARCH("Duals",$B2211)),2,IF(ISNUMBER(SEARCH("Triples",$B2211)),3,IF(ISNUMBER(SEARCH("Quads",$B2211)),4,1))),2),ROUND(VLOOKUP($I2211,Dashboard!$Q$15:$R$20,2,FALSE)*IF($E2211="Red",Dashboard!$R$6,IF($E2211="Gold",Dashboard!$R$7,Dashboard!$R$5))*IF(ISNUMBER(SEARCH("Duals",$B2211)),2,IF(ISNUMBER(SEARCH("Triples",$B2211)),3,IF(ISNUMBER(SEARCH("Quads",$B2211)),4,1))),2))*IF(IFERROR(VLOOKUP($B2211,Dashboard!$Q$28:$S$60,3,FALSE),0)&gt;0,VLOOKUP($B2211,Dashboard!$Q$28:$S$60,3,FALSE),1))),0))</f>
        <v>110</v>
      </c>
      <c r="K2211" s="2" t="str">
        <f>IF('Autos - Singles'!G36="","",'Autos - Singles'!G36)</f>
        <v/>
      </c>
      <c r="L2211" s="2">
        <f t="shared" si="442"/>
        <v>0</v>
      </c>
      <c r="M2211" s="2">
        <f t="shared" si="443"/>
        <v>0</v>
      </c>
      <c r="N2211" s="2">
        <f t="shared" si="444"/>
        <v>0</v>
      </c>
      <c r="O2211" s="2">
        <f t="shared" si="445"/>
        <v>1</v>
      </c>
      <c r="P2211" s="112">
        <f t="shared" si="446"/>
        <v>0</v>
      </c>
      <c r="Q2211" s="112">
        <f t="shared" si="447"/>
        <v>0</v>
      </c>
      <c r="R2211" s="53" t="s">
        <v>1604</v>
      </c>
      <c r="S2211" s="53" t="str">
        <f t="shared" si="448"/>
        <v>Autos - Singles|Autographs Inscribed Parallel|A-KR|Inscribed Parallel</v>
      </c>
      <c r="T2211" s="57" t="str">
        <f>IF($S2211="","",IFERROR(VLOOKUP($S2211,'Pop Estimates (Non-#d)'!$N$2:$O$500,2,FALSE),""))</f>
        <v/>
      </c>
      <c r="U2211" s="57">
        <f t="shared" si="449"/>
        <v>25</v>
      </c>
      <c r="V2211" s="53" t="str">
        <f t="shared" si="450"/>
        <v>Kimiko "The Boys"</v>
      </c>
      <c r="W2211" s="53" t="str">
        <f t="shared" si="451"/>
        <v>Kimiko "The Boys"</v>
      </c>
      <c r="X2211" s="53" t="str">
        <f t="shared" si="452"/>
        <v>Kimiko</v>
      </c>
      <c r="Y2211" s="57">
        <f>IF($X2211="","",IFERROR(VLOOKUP($X2211,'Char Popularity'!$A$2:$C$500,2,FALSE),""))</f>
        <v>4</v>
      </c>
      <c r="Z2211" s="56">
        <f>IF($X2211="",1,IFERROR(VLOOKUP($X2211,'Char Popularity'!$A$2:$C$500,3,FALSE),1))</f>
        <v>1.1000000000000001</v>
      </c>
      <c r="AA2211" s="62">
        <f>IF($H2211&lt;&gt;"Y",0,(IF($F2211&lt;&gt;"",ROUND(Dashboard!$R$4/$F2211,1),IF(AND($I2211="Base",$E2211="Base"),Dashboard!$R$5,IF(AND($I2211="Base",$E2211="Red"),Dashboard!$R$6,IF(AND($I2211="Base",$E2211="Gold"),Dashboard!$R$7,VLOOKUP($I2211,Dashboard!$Q$16:$R$21,2,FALSE)))))*VLOOKUP($I2211,Dashboard!$Q$9:$R$13,2,FALSE)*IF(AND($I2211="Auto",$F2211="",OR($B2211="Autographs Duals",$B2211="Autographs Triples",$B2211="Autographs Quads",$B2211="Autographs Quads (Inscribed)")),IF($B2211="Autographs Duals",2,IF($B2211="Autographs Triples",3,4)),1)))</f>
        <v>80</v>
      </c>
      <c r="AB2211" s="62">
        <f t="shared" si="453"/>
        <v>0</v>
      </c>
      <c r="AC2211" s="62">
        <f t="shared" si="454"/>
        <v>0</v>
      </c>
    </row>
    <row r="2212" spans="1:29" ht="30" customHeight="1" x14ac:dyDescent="0.25">
      <c r="A2212" s="4" t="s">
        <v>37</v>
      </c>
      <c r="B2212" s="7" t="s">
        <v>111</v>
      </c>
      <c r="C2212" s="2" t="s">
        <v>275</v>
      </c>
      <c r="D2212" s="7" t="s">
        <v>1618</v>
      </c>
      <c r="E2212" s="4" t="s">
        <v>1606</v>
      </c>
      <c r="F2212" s="2">
        <v>25</v>
      </c>
      <c r="G2212" s="2" t="s">
        <v>1399</v>
      </c>
      <c r="H2212" s="2" t="s">
        <v>1400</v>
      </c>
      <c r="I2212" s="4" t="s">
        <v>68</v>
      </c>
      <c r="J2212" s="112">
        <f>IF($H2212&lt;&gt;"Y",0,ROUND(MIN(Dashboard!$R$24,IF(IFERROR(VLOOKUP($B2212,Dashboard!$Q$28:$S$60,2,FALSE),0)&gt;0,IFERROR(VLOOKUP($B2212,Dashboard!$Q$28:$S$60,2,FALSE),0),$Z2212*IF($U2212&lt;&gt;"",ROUND((Dashboard!$R$4/$U2212)*VLOOKUP($I2212,Dashboard!$Q$9:$R$13,2,FALSE)*IF(ISNUMBER(SEARCH("Duals",$B2212)),2,IF(ISNUMBER(SEARCH("Triples",$B2212)),3,IF(ISNUMBER(SEARCH("Quads",$B2212)),4,1))),2),ROUND(VLOOKUP($I2212,Dashboard!$Q$15:$R$20,2,FALSE)*IF($E2212="Red",Dashboard!$R$6,IF($E2212="Gold",Dashboard!$R$7,Dashboard!$R$5))*IF(ISNUMBER(SEARCH("Duals",$B2212)),2,IF(ISNUMBER(SEARCH("Triples",$B2212)),3,IF(ISNUMBER(SEARCH("Quads",$B2212)),4,1))),2))*IF(IFERROR(VLOOKUP($B2212,Dashboard!$Q$28:$S$60,3,FALSE),0)&gt;0,VLOOKUP($B2212,Dashboard!$Q$28:$S$60,3,FALSE),1))),0))</f>
        <v>110</v>
      </c>
      <c r="K2212" s="2" t="str">
        <f>IF('Autos - Singles'!G38="","",'Autos - Singles'!G38)</f>
        <v>V 24/25</v>
      </c>
      <c r="L2212" s="2">
        <f t="shared" si="442"/>
        <v>1</v>
      </c>
      <c r="M2212" s="2">
        <f t="shared" si="443"/>
        <v>0</v>
      </c>
      <c r="N2212" s="2">
        <f t="shared" si="444"/>
        <v>1</v>
      </c>
      <c r="O2212" s="2">
        <f t="shared" si="445"/>
        <v>0</v>
      </c>
      <c r="P2212" s="112">
        <f t="shared" si="446"/>
        <v>110</v>
      </c>
      <c r="Q2212" s="112">
        <f t="shared" si="447"/>
        <v>0</v>
      </c>
      <c r="R2212" s="53" t="s">
        <v>1604</v>
      </c>
      <c r="S2212" s="53" t="str">
        <f t="shared" si="448"/>
        <v>Autos - Singles|Autographs Inscribed Parallel|A-LA|Inscribed Parallel</v>
      </c>
      <c r="T2212" s="57" t="str">
        <f>IF($S2212="","",IFERROR(VLOOKUP($S2212,'Pop Estimates (Non-#d)'!$N$2:$O$500,2,FALSE),""))</f>
        <v/>
      </c>
      <c r="U2212" s="57">
        <f t="shared" si="449"/>
        <v>25</v>
      </c>
      <c r="V2212" s="53" t="str">
        <f t="shared" si="450"/>
        <v>Mother's Milk "The Boys"</v>
      </c>
      <c r="W2212" s="53" t="str">
        <f t="shared" si="451"/>
        <v>Mother's Milk "The Boys"</v>
      </c>
      <c r="X2212" s="53" t="str">
        <f t="shared" si="452"/>
        <v>Mother's Milk</v>
      </c>
      <c r="Y2212" s="57">
        <f>IF($X2212="","",IFERROR(VLOOKUP($X2212,'Char Popularity'!$A$2:$C$500,2,FALSE),""))</f>
        <v>4</v>
      </c>
      <c r="Z2212" s="56">
        <f>IF($X2212="",1,IFERROR(VLOOKUP($X2212,'Char Popularity'!$A$2:$C$500,3,FALSE),1))</f>
        <v>1.1000000000000001</v>
      </c>
      <c r="AA2212" s="62">
        <f>IF($H2212&lt;&gt;"Y",0,(IF($F2212&lt;&gt;"",ROUND(Dashboard!$R$4/$F2212,1),IF(AND($I2212="Base",$E2212="Base"),Dashboard!$R$5,IF(AND($I2212="Base",$E2212="Red"),Dashboard!$R$6,IF(AND($I2212="Base",$E2212="Gold"),Dashboard!$R$7,VLOOKUP($I2212,Dashboard!$Q$16:$R$21,2,FALSE)))))*VLOOKUP($I2212,Dashboard!$Q$9:$R$13,2,FALSE)*IF(AND($I2212="Auto",$F2212="",OR($B2212="Autographs Duals",$B2212="Autographs Triples",$B2212="Autographs Quads",$B2212="Autographs Quads (Inscribed)")),IF($B2212="Autographs Duals",2,IF($B2212="Autographs Triples",3,4)),1)))</f>
        <v>80</v>
      </c>
      <c r="AB2212" s="62">
        <f t="shared" si="453"/>
        <v>80</v>
      </c>
      <c r="AC2212" s="62">
        <f t="shared" si="454"/>
        <v>0</v>
      </c>
    </row>
    <row r="2213" spans="1:29" ht="30" customHeight="1" x14ac:dyDescent="0.25">
      <c r="A2213" s="4" t="s">
        <v>37</v>
      </c>
      <c r="B2213" s="7" t="s">
        <v>111</v>
      </c>
      <c r="C2213" s="2" t="s">
        <v>277</v>
      </c>
      <c r="D2213" s="7" t="s">
        <v>265</v>
      </c>
      <c r="E2213" s="4" t="s">
        <v>1606</v>
      </c>
      <c r="F2213" s="2">
        <v>25</v>
      </c>
      <c r="G2213" s="2" t="s">
        <v>1399</v>
      </c>
      <c r="H2213" s="2" t="s">
        <v>1400</v>
      </c>
      <c r="I2213" s="4" t="s">
        <v>68</v>
      </c>
      <c r="J2213" s="112">
        <f>IF($H2213&lt;&gt;"Y",0,ROUND(MIN(Dashboard!$R$24,IF(IFERROR(VLOOKUP($B2213,Dashboard!$Q$28:$S$60,2,FALSE),0)&gt;0,IFERROR(VLOOKUP($B2213,Dashboard!$Q$28:$S$60,2,FALSE),0),$Z2213*IF($U2213&lt;&gt;"",ROUND((Dashboard!$R$4/$U2213)*VLOOKUP($I2213,Dashboard!$Q$9:$R$13,2,FALSE)*IF(ISNUMBER(SEARCH("Duals",$B2213)),2,IF(ISNUMBER(SEARCH("Triples",$B2213)),3,IF(ISNUMBER(SEARCH("Quads",$B2213)),4,1))),2),ROUND(VLOOKUP($I2213,Dashboard!$Q$15:$R$20,2,FALSE)*IF($E2213="Red",Dashboard!$R$6,IF($E2213="Gold",Dashboard!$R$7,Dashboard!$R$5))*IF(ISNUMBER(SEARCH("Duals",$B2213)),2,IF(ISNUMBER(SEARCH("Triples",$B2213)),3,IF(ISNUMBER(SEARCH("Quads",$B2213)),4,1))),2))*IF(IFERROR(VLOOKUP($B2213,Dashboard!$Q$28:$S$60,3,FALSE),0)&gt;0,VLOOKUP($B2213,Dashboard!$Q$28:$S$60,3,FALSE),1))),0))</f>
        <v>100</v>
      </c>
      <c r="K2213" s="2" t="str">
        <f>IF('Autos - Singles'!G39="","",'Autos - Singles'!G39)</f>
        <v/>
      </c>
      <c r="L2213" s="2">
        <f t="shared" si="442"/>
        <v>0</v>
      </c>
      <c r="M2213" s="2">
        <f t="shared" si="443"/>
        <v>0</v>
      </c>
      <c r="N2213" s="2">
        <f t="shared" si="444"/>
        <v>0</v>
      </c>
      <c r="O2213" s="2">
        <f t="shared" si="445"/>
        <v>1</v>
      </c>
      <c r="P2213" s="112">
        <f t="shared" si="446"/>
        <v>0</v>
      </c>
      <c r="Q2213" s="112">
        <f t="shared" si="447"/>
        <v>0</v>
      </c>
      <c r="R2213" s="53" t="s">
        <v>518</v>
      </c>
      <c r="S2213" s="53" t="str">
        <f t="shared" si="448"/>
        <v>Autos - Singles|Autographs Inscribed Parallel|A-LJ|Inscribed Parallel</v>
      </c>
      <c r="T2213" s="57" t="str">
        <f>IF($S2213="","",IFERROR(VLOOKUP($S2213,'Pop Estimates (Non-#d)'!$N$2:$O$500,2,FALSE),""))</f>
        <v/>
      </c>
      <c r="U2213" s="57">
        <f t="shared" si="449"/>
        <v>25</v>
      </c>
      <c r="V2213" s="53" t="str">
        <f t="shared" si="450"/>
        <v>Cherie "Cherie"</v>
      </c>
      <c r="W2213" s="53" t="str">
        <f t="shared" si="451"/>
        <v>Cherie "Cherie"</v>
      </c>
      <c r="X2213" s="53" t="str">
        <f t="shared" si="452"/>
        <v>Cherie</v>
      </c>
      <c r="Y2213" s="57">
        <f>IF($X2213="","",IFERROR(VLOOKUP($X2213,'Char Popularity'!$A$2:$C$500,2,FALSE),""))</f>
        <v>3</v>
      </c>
      <c r="Z2213" s="56">
        <f>IF($X2213="",1,IFERROR(VLOOKUP($X2213,'Char Popularity'!$A$2:$C$500,3,FALSE),1))</f>
        <v>1</v>
      </c>
      <c r="AA2213" s="62">
        <f>IF($H2213&lt;&gt;"Y",0,(IF($F2213&lt;&gt;"",ROUND(Dashboard!$R$4/$F2213,1),IF(AND($I2213="Base",$E2213="Base"),Dashboard!$R$5,IF(AND($I2213="Base",$E2213="Red"),Dashboard!$R$6,IF(AND($I2213="Base",$E2213="Gold"),Dashboard!$R$7,VLOOKUP($I2213,Dashboard!$Q$16:$R$21,2,FALSE)))))*VLOOKUP($I2213,Dashboard!$Q$9:$R$13,2,FALSE)*IF(AND($I2213="Auto",$F2213="",OR($B2213="Autographs Duals",$B2213="Autographs Triples",$B2213="Autographs Quads",$B2213="Autographs Quads (Inscribed)")),IF($B2213="Autographs Duals",2,IF($B2213="Autographs Triples",3,4)),1)))</f>
        <v>80</v>
      </c>
      <c r="AB2213" s="62">
        <f t="shared" si="453"/>
        <v>0</v>
      </c>
      <c r="AC2213" s="62">
        <f t="shared" si="454"/>
        <v>0</v>
      </c>
    </row>
    <row r="2214" spans="1:29" ht="30" customHeight="1" x14ac:dyDescent="0.25">
      <c r="A2214" s="4" t="s">
        <v>37</v>
      </c>
      <c r="B2214" s="7" t="s">
        <v>111</v>
      </c>
      <c r="C2214" s="2" t="s">
        <v>278</v>
      </c>
      <c r="D2214" s="7" t="s">
        <v>258</v>
      </c>
      <c r="E2214" s="4" t="s">
        <v>1606</v>
      </c>
      <c r="F2214" s="2">
        <v>25</v>
      </c>
      <c r="G2214" s="2" t="s">
        <v>1399</v>
      </c>
      <c r="H2214" s="2" t="s">
        <v>1400</v>
      </c>
      <c r="I2214" s="4" t="s">
        <v>68</v>
      </c>
      <c r="J2214" s="112">
        <f>IF($H2214&lt;&gt;"Y",0,ROUND(MIN(Dashboard!$R$24,IF(IFERROR(VLOOKUP($B2214,Dashboard!$Q$28:$S$60,2,FALSE),0)&gt;0,IFERROR(VLOOKUP($B2214,Dashboard!$Q$28:$S$60,2,FALSE),0),$Z2214*IF($U2214&lt;&gt;"",ROUND((Dashboard!$R$4/$U2214)*VLOOKUP($I2214,Dashboard!$Q$9:$R$13,2,FALSE)*IF(ISNUMBER(SEARCH("Duals",$B2214)),2,IF(ISNUMBER(SEARCH("Triples",$B2214)),3,IF(ISNUMBER(SEARCH("Quads",$B2214)),4,1))),2),ROUND(VLOOKUP($I2214,Dashboard!$Q$15:$R$20,2,FALSE)*IF($E2214="Red",Dashboard!$R$6,IF($E2214="Gold",Dashboard!$R$7,Dashboard!$R$5))*IF(ISNUMBER(SEARCH("Duals",$B2214)),2,IF(ISNUMBER(SEARCH("Triples",$B2214)),3,IF(ISNUMBER(SEARCH("Quads",$B2214)),4,1))),2))*IF(IFERROR(VLOOKUP($B2214,Dashboard!$Q$28:$S$60,3,FALSE),0)&gt;0,VLOOKUP($B2214,Dashboard!$Q$28:$S$60,3,FALSE),1))),0))</f>
        <v>90</v>
      </c>
      <c r="K2214" s="2" t="str">
        <f>IF('Autos - Singles'!G40="","",'Autos - Singles'!G40)</f>
        <v/>
      </c>
      <c r="L2214" s="2">
        <f t="shared" si="442"/>
        <v>0</v>
      </c>
      <c r="M2214" s="2">
        <f t="shared" si="443"/>
        <v>0</v>
      </c>
      <c r="N2214" s="2">
        <f t="shared" si="444"/>
        <v>0</v>
      </c>
      <c r="O2214" s="2">
        <f t="shared" si="445"/>
        <v>1</v>
      </c>
      <c r="P2214" s="112">
        <f t="shared" si="446"/>
        <v>0</v>
      </c>
      <c r="Q2214" s="112">
        <f t="shared" si="447"/>
        <v>0</v>
      </c>
      <c r="R2214" s="53" t="s">
        <v>689</v>
      </c>
      <c r="S2214" s="53" t="str">
        <f t="shared" si="448"/>
        <v>Autos - Singles|Autographs Inscribed Parallel|A-LL|Inscribed Parallel</v>
      </c>
      <c r="T2214" s="57" t="str">
        <f>IF($S2214="","",IFERROR(VLOOKUP($S2214,'Pop Estimates (Non-#d)'!$N$2:$O$500,2,FALSE),""))</f>
        <v/>
      </c>
      <c r="U2214" s="57">
        <f t="shared" si="449"/>
        <v>25</v>
      </c>
      <c r="V2214" s="53" t="str">
        <f t="shared" si="450"/>
        <v>Translucent "The Seven"</v>
      </c>
      <c r="W2214" s="53" t="str">
        <f t="shared" si="451"/>
        <v>Translucent "The Seven"</v>
      </c>
      <c r="X2214" s="53" t="str">
        <f t="shared" si="452"/>
        <v>Translucent</v>
      </c>
      <c r="Y2214" s="57">
        <f>IF($X2214="","",IFERROR(VLOOKUP($X2214,'Char Popularity'!$A$2:$C$500,2,FALSE),""))</f>
        <v>2</v>
      </c>
      <c r="Z2214" s="56">
        <f>IF($X2214="",1,IFERROR(VLOOKUP($X2214,'Char Popularity'!$A$2:$C$500,3,FALSE),1))</f>
        <v>0.9</v>
      </c>
      <c r="AA2214" s="62">
        <f>IF($H2214&lt;&gt;"Y",0,(IF($F2214&lt;&gt;"",ROUND(Dashboard!$R$4/$F2214,1),IF(AND($I2214="Base",$E2214="Base"),Dashboard!$R$5,IF(AND($I2214="Base",$E2214="Red"),Dashboard!$R$6,IF(AND($I2214="Base",$E2214="Gold"),Dashboard!$R$7,VLOOKUP($I2214,Dashboard!$Q$16:$R$21,2,FALSE)))))*VLOOKUP($I2214,Dashboard!$Q$9:$R$13,2,FALSE)*IF(AND($I2214="Auto",$F2214="",OR($B2214="Autographs Duals",$B2214="Autographs Triples",$B2214="Autographs Quads",$B2214="Autographs Quads (Inscribed)")),IF($B2214="Autographs Duals",2,IF($B2214="Autographs Triples",3,4)),1)))</f>
        <v>80</v>
      </c>
      <c r="AB2214" s="62">
        <f t="shared" si="453"/>
        <v>0</v>
      </c>
      <c r="AC2214" s="62">
        <f t="shared" si="454"/>
        <v>0</v>
      </c>
    </row>
    <row r="2215" spans="1:29" ht="30" customHeight="1" x14ac:dyDescent="0.25">
      <c r="A2215" s="4" t="s">
        <v>37</v>
      </c>
      <c r="B2215" s="7" t="s">
        <v>111</v>
      </c>
      <c r="C2215" s="2" t="s">
        <v>279</v>
      </c>
      <c r="D2215" s="7" t="s">
        <v>299</v>
      </c>
      <c r="E2215" s="4" t="s">
        <v>1606</v>
      </c>
      <c r="F2215" s="2">
        <v>25</v>
      </c>
      <c r="G2215" s="2" t="s">
        <v>1399</v>
      </c>
      <c r="H2215" s="2" t="s">
        <v>1400</v>
      </c>
      <c r="I2215" s="4" t="s">
        <v>68</v>
      </c>
      <c r="J2215" s="112">
        <f>IF($H2215&lt;&gt;"Y",0,ROUND(MIN(Dashboard!$R$24,IF(IFERROR(VLOOKUP($B2215,Dashboard!$Q$28:$S$60,2,FALSE),0)&gt;0,IFERROR(VLOOKUP($B2215,Dashboard!$Q$28:$S$60,2,FALSE),0),$Z2215*IF($U2215&lt;&gt;"",ROUND((Dashboard!$R$4/$U2215)*VLOOKUP($I2215,Dashboard!$Q$9:$R$13,2,FALSE)*IF(ISNUMBER(SEARCH("Duals",$B2215)),2,IF(ISNUMBER(SEARCH("Triples",$B2215)),3,IF(ISNUMBER(SEARCH("Quads",$B2215)),4,1))),2),ROUND(VLOOKUP($I2215,Dashboard!$Q$15:$R$20,2,FALSE)*IF($E2215="Red",Dashboard!$R$6,IF($E2215="Gold",Dashboard!$R$7,Dashboard!$R$5))*IF(ISNUMBER(SEARCH("Duals",$B2215)),2,IF(ISNUMBER(SEARCH("Triples",$B2215)),3,IF(ISNUMBER(SEARCH("Quads",$B2215)),4,1))),2))*IF(IFERROR(VLOOKUP($B2215,Dashboard!$Q$28:$S$60,3,FALSE),0)&gt;0,VLOOKUP($B2215,Dashboard!$Q$28:$S$60,3,FALSE),1))),0))</f>
        <v>110</v>
      </c>
      <c r="K2215" s="2" t="str">
        <f>IF('Autos - Singles'!G41="","",'Autos - Singles'!G41)</f>
        <v/>
      </c>
      <c r="L2215" s="2">
        <f t="shared" si="442"/>
        <v>0</v>
      </c>
      <c r="M2215" s="2">
        <f t="shared" si="443"/>
        <v>0</v>
      </c>
      <c r="N2215" s="2">
        <f t="shared" si="444"/>
        <v>0</v>
      </c>
      <c r="O2215" s="2">
        <f t="shared" si="445"/>
        <v>1</v>
      </c>
      <c r="P2215" s="112">
        <f t="shared" si="446"/>
        <v>0</v>
      </c>
      <c r="Q2215" s="112">
        <f t="shared" si="447"/>
        <v>0</v>
      </c>
      <c r="R2215" s="53" t="s">
        <v>511</v>
      </c>
      <c r="S2215" s="53" t="str">
        <f t="shared" si="448"/>
        <v>Autos - Singles|Autographs Inscribed Parallel|A-LR|Inscribed Parallel</v>
      </c>
      <c r="T2215" s="57" t="str">
        <f>IF($S2215="","",IFERROR(VLOOKUP($S2215,'Pop Estimates (Non-#d)'!$N$2:$O$500,2,FALSE),""))</f>
        <v/>
      </c>
      <c r="U2215" s="57">
        <f t="shared" si="449"/>
        <v>25</v>
      </c>
      <c r="V2215" s="53" t="str">
        <f t="shared" si="450"/>
        <v>Grace Mallory "Grace Mallory"</v>
      </c>
      <c r="W2215" s="53" t="str">
        <f t="shared" si="451"/>
        <v>Grace Mallory "Grace Mallory"</v>
      </c>
      <c r="X2215" s="53" t="str">
        <f t="shared" si="452"/>
        <v>Grace Mallory</v>
      </c>
      <c r="Y2215" s="57">
        <f>IF($X2215="","",IFERROR(VLOOKUP($X2215,'Char Popularity'!$A$2:$C$500,2,FALSE),""))</f>
        <v>4</v>
      </c>
      <c r="Z2215" s="56">
        <f>IF($X2215="",1,IFERROR(VLOOKUP($X2215,'Char Popularity'!$A$2:$C$500,3,FALSE),1))</f>
        <v>1.1000000000000001</v>
      </c>
      <c r="AA2215" s="62">
        <f>IF($H2215&lt;&gt;"Y",0,(IF($F2215&lt;&gt;"",ROUND(Dashboard!$R$4/$F2215,1),IF(AND($I2215="Base",$E2215="Base"),Dashboard!$R$5,IF(AND($I2215="Base",$E2215="Red"),Dashboard!$R$6,IF(AND($I2215="Base",$E2215="Gold"),Dashboard!$R$7,VLOOKUP($I2215,Dashboard!$Q$16:$R$21,2,FALSE)))))*VLOOKUP($I2215,Dashboard!$Q$9:$R$13,2,FALSE)*IF(AND($I2215="Auto",$F2215="",OR($B2215="Autographs Duals",$B2215="Autographs Triples",$B2215="Autographs Quads",$B2215="Autographs Quads (Inscribed)")),IF($B2215="Autographs Duals",2,IF($B2215="Autographs Triples",3,4)),1)))</f>
        <v>80</v>
      </c>
      <c r="AB2215" s="62">
        <f t="shared" si="453"/>
        <v>0</v>
      </c>
      <c r="AC2215" s="62">
        <f t="shared" si="454"/>
        <v>0</v>
      </c>
    </row>
    <row r="2216" spans="1:29" ht="30" customHeight="1" x14ac:dyDescent="0.25">
      <c r="A2216" s="4" t="s">
        <v>37</v>
      </c>
      <c r="B2216" s="7" t="s">
        <v>111</v>
      </c>
      <c r="C2216" s="2" t="s">
        <v>281</v>
      </c>
      <c r="D2216" s="7" t="s">
        <v>1619</v>
      </c>
      <c r="E2216" s="4" t="s">
        <v>1606</v>
      </c>
      <c r="F2216" s="2">
        <v>25</v>
      </c>
      <c r="G2216" s="2" t="s">
        <v>1399</v>
      </c>
      <c r="H2216" s="2" t="s">
        <v>1400</v>
      </c>
      <c r="I2216" s="4" t="s">
        <v>68</v>
      </c>
      <c r="J2216" s="112">
        <f>IF($H2216&lt;&gt;"Y",0,ROUND(MIN(Dashboard!$R$24,IF(IFERROR(VLOOKUP($B2216,Dashboard!$Q$28:$S$60,2,FALSE),0)&gt;0,IFERROR(VLOOKUP($B2216,Dashboard!$Q$28:$S$60,2,FALSE),0),$Z2216*IF($U2216&lt;&gt;"",ROUND((Dashboard!$R$4/$U2216)*VLOOKUP($I2216,Dashboard!$Q$9:$R$13,2,FALSE)*IF(ISNUMBER(SEARCH("Duals",$B2216)),2,IF(ISNUMBER(SEARCH("Triples",$B2216)),3,IF(ISNUMBER(SEARCH("Quads",$B2216)),4,1))),2),ROUND(VLOOKUP($I2216,Dashboard!$Q$15:$R$20,2,FALSE)*IF($E2216="Red",Dashboard!$R$6,IF($E2216="Gold",Dashboard!$R$7,Dashboard!$R$5))*IF(ISNUMBER(SEARCH("Duals",$B2216)),2,IF(ISNUMBER(SEARCH("Triples",$B2216)),3,IF(ISNUMBER(SEARCH("Quads",$B2216)),4,1))),2))*IF(IFERROR(VLOOKUP($B2216,Dashboard!$Q$28:$S$60,3,FALSE),0)&gt;0,VLOOKUP($B2216,Dashboard!$Q$28:$S$60,3,FALSE),1))),0))</f>
        <v>110</v>
      </c>
      <c r="K2216" s="2" t="str">
        <f>IF('Autos - Singles'!G42="","",'Autos - Singles'!G42)</f>
        <v/>
      </c>
      <c r="L2216" s="2">
        <f t="shared" si="442"/>
        <v>0</v>
      </c>
      <c r="M2216" s="2">
        <f t="shared" si="443"/>
        <v>0</v>
      </c>
      <c r="N2216" s="2">
        <f t="shared" si="444"/>
        <v>0</v>
      </c>
      <c r="O2216" s="2">
        <f t="shared" si="445"/>
        <v>1</v>
      </c>
      <c r="P2216" s="112">
        <f t="shared" si="446"/>
        <v>0</v>
      </c>
      <c r="Q2216" s="112">
        <f t="shared" si="447"/>
        <v>0</v>
      </c>
      <c r="R2216" s="53" t="s">
        <v>1620</v>
      </c>
      <c r="S2216" s="53" t="str">
        <f t="shared" si="448"/>
        <v>Autos - Singles|Autographs Inscribed Parallel|A-LZ|Inscribed Parallel</v>
      </c>
      <c r="T2216" s="57" t="str">
        <f>IF($S2216="","",IFERROR(VLOOKUP($S2216,'Pop Estimates (Non-#d)'!$N$2:$O$500,2,FALSE),""))</f>
        <v/>
      </c>
      <c r="U2216" s="57">
        <f t="shared" si="449"/>
        <v>25</v>
      </c>
      <c r="V2216" s="53" t="str">
        <f t="shared" si="450"/>
        <v>Mother's Milk "MM"</v>
      </c>
      <c r="W2216" s="53" t="str">
        <f t="shared" si="451"/>
        <v>Mother's Milk "MM"</v>
      </c>
      <c r="X2216" s="53" t="str">
        <f t="shared" si="452"/>
        <v>Mother's Milk</v>
      </c>
      <c r="Y2216" s="57">
        <f>IF($X2216="","",IFERROR(VLOOKUP($X2216,'Char Popularity'!$A$2:$C$500,2,FALSE),""))</f>
        <v>4</v>
      </c>
      <c r="Z2216" s="56">
        <f>IF($X2216="",1,IFERROR(VLOOKUP($X2216,'Char Popularity'!$A$2:$C$500,3,FALSE),1))</f>
        <v>1.1000000000000001</v>
      </c>
      <c r="AA2216" s="62">
        <f>IF($H2216&lt;&gt;"Y",0,(IF($F2216&lt;&gt;"",ROUND(Dashboard!$R$4/$F2216,1),IF(AND($I2216="Base",$E2216="Base"),Dashboard!$R$5,IF(AND($I2216="Base",$E2216="Red"),Dashboard!$R$6,IF(AND($I2216="Base",$E2216="Gold"),Dashboard!$R$7,VLOOKUP($I2216,Dashboard!$Q$16:$R$21,2,FALSE)))))*VLOOKUP($I2216,Dashboard!$Q$9:$R$13,2,FALSE)*IF(AND($I2216="Auto",$F2216="",OR($B2216="Autographs Duals",$B2216="Autographs Triples",$B2216="Autographs Quads",$B2216="Autographs Quads (Inscribed)")),IF($B2216="Autographs Duals",2,IF($B2216="Autographs Triples",3,4)),1)))</f>
        <v>80</v>
      </c>
      <c r="AB2216" s="62">
        <f t="shared" si="453"/>
        <v>0</v>
      </c>
      <c r="AC2216" s="62">
        <f t="shared" si="454"/>
        <v>0</v>
      </c>
    </row>
    <row r="2217" spans="1:29" ht="30" customHeight="1" x14ac:dyDescent="0.25">
      <c r="A2217" s="4" t="s">
        <v>37</v>
      </c>
      <c r="B2217" s="7" t="s">
        <v>111</v>
      </c>
      <c r="C2217" s="2" t="s">
        <v>282</v>
      </c>
      <c r="D2217" s="7" t="s">
        <v>1621</v>
      </c>
      <c r="E2217" s="4" t="s">
        <v>1606</v>
      </c>
      <c r="F2217" s="2">
        <v>25</v>
      </c>
      <c r="G2217" s="2" t="s">
        <v>1399</v>
      </c>
      <c r="H2217" s="2" t="s">
        <v>1400</v>
      </c>
      <c r="I2217" s="4" t="s">
        <v>68</v>
      </c>
      <c r="J2217" s="112">
        <f>IF($H2217&lt;&gt;"Y",0,ROUND(MIN(Dashboard!$R$24,IF(IFERROR(VLOOKUP($B2217,Dashboard!$Q$28:$S$60,2,FALSE),0)&gt;0,IFERROR(VLOOKUP($B2217,Dashboard!$Q$28:$S$60,2,FALSE),0),$Z2217*IF($U2217&lt;&gt;"",ROUND((Dashboard!$R$4/$U2217)*VLOOKUP($I2217,Dashboard!$Q$9:$R$13,2,FALSE)*IF(ISNUMBER(SEARCH("Duals",$B2217)),2,IF(ISNUMBER(SEARCH("Triples",$B2217)),3,IF(ISNUMBER(SEARCH("Quads",$B2217)),4,1))),2),ROUND(VLOOKUP($I2217,Dashboard!$Q$15:$R$20,2,FALSE)*IF($E2217="Red",Dashboard!$R$6,IF($E2217="Gold",Dashboard!$R$7,Dashboard!$R$5))*IF(ISNUMBER(SEARCH("Duals",$B2217)),2,IF(ISNUMBER(SEARCH("Triples",$B2217)),3,IF(ISNUMBER(SEARCH("Quads",$B2217)),4,1))),2))*IF(IFERROR(VLOOKUP($B2217,Dashboard!$Q$28:$S$60,3,FALSE),0)&gt;0,VLOOKUP($B2217,Dashboard!$Q$28:$S$60,3,FALSE),1))),0))</f>
        <v>110</v>
      </c>
      <c r="K2217" s="2" t="str">
        <f>IF('Autos - Singles'!G43="","",'Autos - Singles'!G43)</f>
        <v/>
      </c>
      <c r="L2217" s="2">
        <f t="shared" si="442"/>
        <v>0</v>
      </c>
      <c r="M2217" s="2">
        <f t="shared" si="443"/>
        <v>0</v>
      </c>
      <c r="N2217" s="2">
        <f t="shared" si="444"/>
        <v>0</v>
      </c>
      <c r="O2217" s="2">
        <f t="shared" si="445"/>
        <v>1</v>
      </c>
      <c r="P2217" s="112">
        <f t="shared" si="446"/>
        <v>0</v>
      </c>
      <c r="Q2217" s="112">
        <f t="shared" si="447"/>
        <v>0</v>
      </c>
      <c r="R2217" s="53" t="s">
        <v>339</v>
      </c>
      <c r="S2217" s="53" t="str">
        <f t="shared" si="448"/>
        <v>Autos - Singles|Autographs Inscribed Parallel|A-MB|Inscribed Parallel</v>
      </c>
      <c r="T2217" s="57" t="str">
        <f>IF($S2217="","",IFERROR(VLOOKUP($S2217,'Pop Estimates (Non-#d)'!$N$2:$O$500,2,FALSE),""))</f>
        <v/>
      </c>
      <c r="U2217" s="57">
        <f t="shared" si="449"/>
        <v>25</v>
      </c>
      <c r="V2217" s="53" t="str">
        <f t="shared" si="450"/>
        <v>Black Noir "Black Noir"</v>
      </c>
      <c r="W2217" s="53" t="str">
        <f t="shared" si="451"/>
        <v>Black Noir "Black Noir"</v>
      </c>
      <c r="X2217" s="53" t="str">
        <f t="shared" si="452"/>
        <v>Black Noir</v>
      </c>
      <c r="Y2217" s="57">
        <f>IF($X2217="","",IFERROR(VLOOKUP($X2217,'Char Popularity'!$A$2:$C$500,2,FALSE),""))</f>
        <v>4</v>
      </c>
      <c r="Z2217" s="56">
        <f>IF($X2217="",1,IFERROR(VLOOKUP($X2217,'Char Popularity'!$A$2:$C$500,3,FALSE),1))</f>
        <v>1.1000000000000001</v>
      </c>
      <c r="AA2217" s="62">
        <f>IF($H2217&lt;&gt;"Y",0,(IF($F2217&lt;&gt;"",ROUND(Dashboard!$R$4/$F2217,1),IF(AND($I2217="Base",$E2217="Base"),Dashboard!$R$5,IF(AND($I2217="Base",$E2217="Red"),Dashboard!$R$6,IF(AND($I2217="Base",$E2217="Gold"),Dashboard!$R$7,VLOOKUP($I2217,Dashboard!$Q$16:$R$21,2,FALSE)))))*VLOOKUP($I2217,Dashboard!$Q$9:$R$13,2,FALSE)*IF(AND($I2217="Auto",$F2217="",OR($B2217="Autographs Duals",$B2217="Autographs Triples",$B2217="Autographs Quads",$B2217="Autographs Quads (Inscribed)")),IF($B2217="Autographs Duals",2,IF($B2217="Autographs Triples",3,4)),1)))</f>
        <v>80</v>
      </c>
      <c r="AB2217" s="62">
        <f t="shared" si="453"/>
        <v>0</v>
      </c>
      <c r="AC2217" s="62">
        <f t="shared" si="454"/>
        <v>0</v>
      </c>
    </row>
    <row r="2218" spans="1:29" ht="30" customHeight="1" x14ac:dyDescent="0.25">
      <c r="A2218" s="4" t="s">
        <v>37</v>
      </c>
      <c r="B2218" s="7" t="s">
        <v>111</v>
      </c>
      <c r="C2218" s="2" t="s">
        <v>284</v>
      </c>
      <c r="D2218" s="7" t="s">
        <v>285</v>
      </c>
      <c r="E2218" s="4" t="s">
        <v>1606</v>
      </c>
      <c r="F2218" s="2">
        <v>25</v>
      </c>
      <c r="G2218" s="2" t="s">
        <v>1399</v>
      </c>
      <c r="H2218" s="2" t="s">
        <v>1400</v>
      </c>
      <c r="I2218" s="4" t="s">
        <v>68</v>
      </c>
      <c r="J2218" s="112">
        <f>IF($H2218&lt;&gt;"Y",0,ROUND(MIN(Dashboard!$R$24,IF(IFERROR(VLOOKUP($B2218,Dashboard!$Q$28:$S$60,2,FALSE),0)&gt;0,IFERROR(VLOOKUP($B2218,Dashboard!$Q$28:$S$60,2,FALSE),0),$Z2218*IF($U2218&lt;&gt;"",ROUND((Dashboard!$R$4/$U2218)*VLOOKUP($I2218,Dashboard!$Q$9:$R$13,2,FALSE)*IF(ISNUMBER(SEARCH("Duals",$B2218)),2,IF(ISNUMBER(SEARCH("Triples",$B2218)),3,IF(ISNUMBER(SEARCH("Quads",$B2218)),4,1))),2),ROUND(VLOOKUP($I2218,Dashboard!$Q$15:$R$20,2,FALSE)*IF($E2218="Red",Dashboard!$R$6,IF($E2218="Gold",Dashboard!$R$7,Dashboard!$R$5))*IF(ISNUMBER(SEARCH("Duals",$B2218)),2,IF(ISNUMBER(SEARCH("Triples",$B2218)),3,IF(ISNUMBER(SEARCH("Quads",$B2218)),4,1))),2))*IF(IFERROR(VLOOKUP($B2218,Dashboard!$Q$28:$S$60,3,FALSE),0)&gt;0,VLOOKUP($B2218,Dashboard!$Q$28:$S$60,3,FALSE),1))),0))</f>
        <v>110</v>
      </c>
      <c r="K2218" s="2" t="str">
        <f>IF('Autos - Singles'!G44="","",'Autos - Singles'!G44)</f>
        <v/>
      </c>
      <c r="L2218" s="2">
        <f t="shared" si="442"/>
        <v>0</v>
      </c>
      <c r="M2218" s="2">
        <f t="shared" si="443"/>
        <v>0</v>
      </c>
      <c r="N2218" s="2">
        <f t="shared" si="444"/>
        <v>0</v>
      </c>
      <c r="O2218" s="2">
        <f t="shared" si="445"/>
        <v>1</v>
      </c>
      <c r="P2218" s="112">
        <f t="shared" si="446"/>
        <v>0</v>
      </c>
      <c r="Q2218" s="112">
        <f t="shared" si="447"/>
        <v>0</v>
      </c>
      <c r="R2218" s="53" t="s">
        <v>345</v>
      </c>
      <c r="S2218" s="53" t="str">
        <f t="shared" si="448"/>
        <v>Autos - Singles|Autographs Inscribed Parallel|A-MC|Inscribed Parallel</v>
      </c>
      <c r="T2218" s="57" t="str">
        <f>IF($S2218="","",IFERROR(VLOOKUP($S2218,'Pop Estimates (Non-#d)'!$N$2:$O$500,2,FALSE),""))</f>
        <v/>
      </c>
      <c r="U2218" s="57">
        <f t="shared" si="449"/>
        <v>25</v>
      </c>
      <c r="V2218" s="53" t="str">
        <f t="shared" si="450"/>
        <v>Queen Maeve "Queen Maeve"</v>
      </c>
      <c r="W2218" s="53" t="str">
        <f t="shared" si="451"/>
        <v>Queen Maeve "Queen Maeve"</v>
      </c>
      <c r="X2218" s="53" t="str">
        <f t="shared" si="452"/>
        <v>Queen Maeve</v>
      </c>
      <c r="Y2218" s="57">
        <f>IF($X2218="","",IFERROR(VLOOKUP($X2218,'Char Popularity'!$A$2:$C$500,2,FALSE),""))</f>
        <v>4</v>
      </c>
      <c r="Z2218" s="56">
        <f>IF($X2218="",1,IFERROR(VLOOKUP($X2218,'Char Popularity'!$A$2:$C$500,3,FALSE),1))</f>
        <v>1.1000000000000001</v>
      </c>
      <c r="AA2218" s="62">
        <f>IF($H2218&lt;&gt;"Y",0,(IF($F2218&lt;&gt;"",ROUND(Dashboard!$R$4/$F2218,1),IF(AND($I2218="Base",$E2218="Base"),Dashboard!$R$5,IF(AND($I2218="Base",$E2218="Red"),Dashboard!$R$6,IF(AND($I2218="Base",$E2218="Gold"),Dashboard!$R$7,VLOOKUP($I2218,Dashboard!$Q$16:$R$21,2,FALSE)))))*VLOOKUP($I2218,Dashboard!$Q$9:$R$13,2,FALSE)*IF(AND($I2218="Auto",$F2218="",OR($B2218="Autographs Duals",$B2218="Autographs Triples",$B2218="Autographs Quads",$B2218="Autographs Quads (Inscribed)")),IF($B2218="Autographs Duals",2,IF($B2218="Autographs Triples",3,4)),1)))</f>
        <v>80</v>
      </c>
      <c r="AB2218" s="62">
        <f t="shared" si="453"/>
        <v>0</v>
      </c>
      <c r="AC2218" s="62">
        <f t="shared" si="454"/>
        <v>0</v>
      </c>
    </row>
    <row r="2219" spans="1:29" ht="30" customHeight="1" x14ac:dyDescent="0.25">
      <c r="A2219" s="4" t="s">
        <v>37</v>
      </c>
      <c r="B2219" s="7" t="s">
        <v>111</v>
      </c>
      <c r="C2219" s="2" t="s">
        <v>286</v>
      </c>
      <c r="D2219" s="7" t="s">
        <v>1609</v>
      </c>
      <c r="E2219" s="4" t="s">
        <v>1606</v>
      </c>
      <c r="F2219" s="2">
        <v>25</v>
      </c>
      <c r="G2219" s="2" t="s">
        <v>1399</v>
      </c>
      <c r="H2219" s="2" t="s">
        <v>1400</v>
      </c>
      <c r="I2219" s="4" t="s">
        <v>68</v>
      </c>
      <c r="J2219" s="112">
        <f>IF($H2219&lt;&gt;"Y",0,ROUND(MIN(Dashboard!$R$24,IF(IFERROR(VLOOKUP($B2219,Dashboard!$Q$28:$S$60,2,FALSE),0)&gt;0,IFERROR(VLOOKUP($B2219,Dashboard!$Q$28:$S$60,2,FALSE),0),$Z2219*IF($U2219&lt;&gt;"",ROUND((Dashboard!$R$4/$U2219)*VLOOKUP($I2219,Dashboard!$Q$9:$R$13,2,FALSE)*IF(ISNUMBER(SEARCH("Duals",$B2219)),2,IF(ISNUMBER(SEARCH("Triples",$B2219)),3,IF(ISNUMBER(SEARCH("Quads",$B2219)),4,1))),2),ROUND(VLOOKUP($I2219,Dashboard!$Q$15:$R$20,2,FALSE)*IF($E2219="Red",Dashboard!$R$6,IF($E2219="Gold",Dashboard!$R$7,Dashboard!$R$5))*IF(ISNUMBER(SEARCH("Duals",$B2219)),2,IF(ISNUMBER(SEARCH("Triples",$B2219)),3,IF(ISNUMBER(SEARCH("Quads",$B2219)),4,1))),2))*IF(IFERROR(VLOOKUP($B2219,Dashboard!$Q$28:$S$60,3,FALSE),0)&gt;0,VLOOKUP($B2219,Dashboard!$Q$28:$S$60,3,FALSE),1))),0))</f>
        <v>100</v>
      </c>
      <c r="K2219" s="2" t="str">
        <f>IF('Autos - Singles'!G45="","",'Autos - Singles'!G45)</f>
        <v/>
      </c>
      <c r="L2219" s="2">
        <f t="shared" si="442"/>
        <v>0</v>
      </c>
      <c r="M2219" s="2">
        <f t="shared" si="443"/>
        <v>0</v>
      </c>
      <c r="N2219" s="2">
        <f t="shared" si="444"/>
        <v>0</v>
      </c>
      <c r="O2219" s="2">
        <f t="shared" si="445"/>
        <v>1</v>
      </c>
      <c r="P2219" s="112">
        <f t="shared" si="446"/>
        <v>0</v>
      </c>
      <c r="Q2219" s="112">
        <f t="shared" si="447"/>
        <v>0</v>
      </c>
      <c r="R2219" s="53" t="s">
        <v>523</v>
      </c>
      <c r="S2219" s="53" t="str">
        <f t="shared" si="448"/>
        <v>Autos - Singles|Autographs Inscribed Parallel|A-MI|Inscribed Parallel</v>
      </c>
      <c r="T2219" s="57" t="str">
        <f>IF($S2219="","",IFERROR(VLOOKUP($S2219,'Pop Estimates (Non-#d)'!$N$2:$O$500,2,FALSE),""))</f>
        <v/>
      </c>
      <c r="U2219" s="57">
        <f t="shared" si="449"/>
        <v>25</v>
      </c>
      <c r="V2219" s="53" t="str">
        <f t="shared" si="450"/>
        <v>Ashley Barrett "Ashley Barrett"</v>
      </c>
      <c r="W2219" s="53" t="str">
        <f t="shared" si="451"/>
        <v>Ashley Barrett "Ashley Barrett"</v>
      </c>
      <c r="X2219" s="53" t="str">
        <f t="shared" si="452"/>
        <v>Ashley Barrett</v>
      </c>
      <c r="Y2219" s="57">
        <f>IF($X2219="","",IFERROR(VLOOKUP($X2219,'Char Popularity'!$A$2:$C$500,2,FALSE),""))</f>
        <v>3</v>
      </c>
      <c r="Z2219" s="56">
        <f>IF($X2219="",1,IFERROR(VLOOKUP($X2219,'Char Popularity'!$A$2:$C$500,3,FALSE),1))</f>
        <v>1</v>
      </c>
      <c r="AA2219" s="62">
        <f>IF($H2219&lt;&gt;"Y",0,(IF($F2219&lt;&gt;"",ROUND(Dashboard!$R$4/$F2219,1),IF(AND($I2219="Base",$E2219="Base"),Dashboard!$R$5,IF(AND($I2219="Base",$E2219="Red"),Dashboard!$R$6,IF(AND($I2219="Base",$E2219="Gold"),Dashboard!$R$7,VLOOKUP($I2219,Dashboard!$Q$16:$R$21,2,FALSE)))))*VLOOKUP($I2219,Dashboard!$Q$9:$R$13,2,FALSE)*IF(AND($I2219="Auto",$F2219="",OR($B2219="Autographs Duals",$B2219="Autographs Triples",$B2219="Autographs Quads",$B2219="Autographs Quads (Inscribed)")),IF($B2219="Autographs Duals",2,IF($B2219="Autographs Triples",3,4)),1)))</f>
        <v>80</v>
      </c>
      <c r="AB2219" s="62">
        <f t="shared" si="453"/>
        <v>0</v>
      </c>
      <c r="AC2219" s="62">
        <f t="shared" si="454"/>
        <v>0</v>
      </c>
    </row>
    <row r="2220" spans="1:29" ht="30" customHeight="1" x14ac:dyDescent="0.25">
      <c r="A2220" s="4" t="s">
        <v>37</v>
      </c>
      <c r="B2220" s="7" t="s">
        <v>111</v>
      </c>
      <c r="C2220" s="2" t="s">
        <v>287</v>
      </c>
      <c r="D2220" s="7"/>
      <c r="E2220" s="4" t="s">
        <v>1606</v>
      </c>
      <c r="F2220" s="2">
        <v>25</v>
      </c>
      <c r="G2220" s="2" t="s">
        <v>1399</v>
      </c>
      <c r="H2220" s="2" t="s">
        <v>1400</v>
      </c>
      <c r="I2220" s="4" t="s">
        <v>68</v>
      </c>
      <c r="J2220" s="112">
        <f>IF($H2220&lt;&gt;"Y",0,ROUND(MIN(Dashboard!$R$24,IF(IFERROR(VLOOKUP($B2220,Dashboard!$Q$28:$S$60,2,FALSE),0)&gt;0,IFERROR(VLOOKUP($B2220,Dashboard!$Q$28:$S$60,2,FALSE),0),$Z2220*IF($U2220&lt;&gt;"",ROUND((Dashboard!$R$4/$U2220)*VLOOKUP($I2220,Dashboard!$Q$9:$R$13,2,FALSE)*IF(ISNUMBER(SEARCH("Duals",$B2220)),2,IF(ISNUMBER(SEARCH("Triples",$B2220)),3,IF(ISNUMBER(SEARCH("Quads",$B2220)),4,1))),2),ROUND(VLOOKUP($I2220,Dashboard!$Q$15:$R$20,2,FALSE)*IF($E2220="Red",Dashboard!$R$6,IF($E2220="Gold",Dashboard!$R$7,Dashboard!$R$5))*IF(ISNUMBER(SEARCH("Duals",$B2220)),2,IF(ISNUMBER(SEARCH("Triples",$B2220)),3,IF(ISNUMBER(SEARCH("Quads",$B2220)),4,1))),2))*IF(IFERROR(VLOOKUP($B2220,Dashboard!$Q$28:$S$60,3,FALSE),0)&gt;0,VLOOKUP($B2220,Dashboard!$Q$28:$S$60,3,FALSE),1))),0))</f>
        <v>100</v>
      </c>
      <c r="K2220" s="2" t="str">
        <f>IF('Autos - Singles'!G46="","",'Autos - Singles'!G46)</f>
        <v/>
      </c>
      <c r="L2220" s="2">
        <f t="shared" si="442"/>
        <v>0</v>
      </c>
      <c r="M2220" s="2">
        <f t="shared" si="443"/>
        <v>0</v>
      </c>
      <c r="N2220" s="2">
        <f t="shared" si="444"/>
        <v>0</v>
      </c>
      <c r="O2220" s="2">
        <f t="shared" si="445"/>
        <v>1</v>
      </c>
      <c r="P2220" s="112">
        <f t="shared" si="446"/>
        <v>0</v>
      </c>
      <c r="Q2220" s="112">
        <f t="shared" si="447"/>
        <v>0</v>
      </c>
      <c r="R2220" s="53"/>
      <c r="S2220" s="53" t="str">
        <f t="shared" si="448"/>
        <v>Autos - Singles|Autographs Inscribed Parallel|A-MK|Inscribed Parallel</v>
      </c>
      <c r="T2220" s="57" t="str">
        <f>IF($S2220="","",IFERROR(VLOOKUP($S2220,'Pop Estimates (Non-#d)'!$N$2:$O$500,2,FALSE),""))</f>
        <v/>
      </c>
      <c r="U2220" s="57">
        <f t="shared" si="449"/>
        <v>25</v>
      </c>
      <c r="V2220" s="53" t="str">
        <f t="shared" si="450"/>
        <v/>
      </c>
      <c r="W2220" s="53" t="str">
        <f t="shared" si="451"/>
        <v/>
      </c>
      <c r="X2220" s="53" t="str">
        <f t="shared" si="452"/>
        <v/>
      </c>
      <c r="Y2220" s="57" t="str">
        <f>IF($X2220="","",IFERROR(VLOOKUP($X2220,'Char Popularity'!$A$2:$C$500,2,FALSE),""))</f>
        <v/>
      </c>
      <c r="Z2220" s="56">
        <f>IF($X2220="",1,IFERROR(VLOOKUP($X2220,'Char Popularity'!$A$2:$C$500,3,FALSE),1))</f>
        <v>1</v>
      </c>
      <c r="AA2220" s="62">
        <f>IF($H2220&lt;&gt;"Y",0,(IF($F2220&lt;&gt;"",ROUND(Dashboard!$R$4/$F2220,1),IF(AND($I2220="Base",$E2220="Base"),Dashboard!$R$5,IF(AND($I2220="Base",$E2220="Red"),Dashboard!$R$6,IF(AND($I2220="Base",$E2220="Gold"),Dashboard!$R$7,VLOOKUP($I2220,Dashboard!$Q$16:$R$21,2,FALSE)))))*VLOOKUP($I2220,Dashboard!$Q$9:$R$13,2,FALSE)*IF(AND($I2220="Auto",$F2220="",OR($B2220="Autographs Duals",$B2220="Autographs Triples",$B2220="Autographs Quads",$B2220="Autographs Quads (Inscribed)")),IF($B2220="Autographs Duals",2,IF($B2220="Autographs Triples",3,4)),1)))</f>
        <v>80</v>
      </c>
      <c r="AB2220" s="62">
        <f t="shared" si="453"/>
        <v>0</v>
      </c>
      <c r="AC2220" s="62">
        <f t="shared" si="454"/>
        <v>0</v>
      </c>
    </row>
    <row r="2221" spans="1:29" ht="30" customHeight="1" x14ac:dyDescent="0.25">
      <c r="A2221" s="4" t="s">
        <v>37</v>
      </c>
      <c r="B2221" s="7" t="s">
        <v>111</v>
      </c>
      <c r="C2221" s="2" t="s">
        <v>289</v>
      </c>
      <c r="D2221" s="7" t="s">
        <v>1611</v>
      </c>
      <c r="E2221" s="4" t="s">
        <v>1606</v>
      </c>
      <c r="F2221" s="2">
        <v>25</v>
      </c>
      <c r="G2221" s="2" t="s">
        <v>1399</v>
      </c>
      <c r="H2221" s="2" t="s">
        <v>1400</v>
      </c>
      <c r="I2221" s="4" t="s">
        <v>68</v>
      </c>
      <c r="J2221" s="112">
        <f>IF($H2221&lt;&gt;"Y",0,ROUND(MIN(Dashboard!$R$24,IF(IFERROR(VLOOKUP($B2221,Dashboard!$Q$28:$S$60,2,FALSE),0)&gt;0,IFERROR(VLOOKUP($B2221,Dashboard!$Q$28:$S$60,2,FALSE),0),$Z2221*IF($U2221&lt;&gt;"",ROUND((Dashboard!$R$4/$U2221)*VLOOKUP($I2221,Dashboard!$Q$9:$R$13,2,FALSE)*IF(ISNUMBER(SEARCH("Duals",$B2221)),2,IF(ISNUMBER(SEARCH("Triples",$B2221)),3,IF(ISNUMBER(SEARCH("Quads",$B2221)),4,1))),2),ROUND(VLOOKUP($I2221,Dashboard!$Q$15:$R$20,2,FALSE)*IF($E2221="Red",Dashboard!$R$6,IF($E2221="Gold",Dashboard!$R$7,Dashboard!$R$5))*IF(ISNUMBER(SEARCH("Duals",$B2221)),2,IF(ISNUMBER(SEARCH("Triples",$B2221)),3,IF(ISNUMBER(SEARCH("Quads",$B2221)),4,1))),2))*IF(IFERROR(VLOOKUP($B2221,Dashboard!$Q$28:$S$60,3,FALSE),0)&gt;0,VLOOKUP($B2221,Dashboard!$Q$28:$S$60,3,FALSE),1))),0))</f>
        <v>120</v>
      </c>
      <c r="K2221" s="2" t="str">
        <f>IF('Autos - Singles'!G47="","",'Autos - Singles'!G47)</f>
        <v/>
      </c>
      <c r="L2221" s="2">
        <f t="shared" si="442"/>
        <v>0</v>
      </c>
      <c r="M2221" s="2">
        <f t="shared" si="443"/>
        <v>0</v>
      </c>
      <c r="N2221" s="2">
        <f t="shared" si="444"/>
        <v>0</v>
      </c>
      <c r="O2221" s="2">
        <f t="shared" si="445"/>
        <v>1</v>
      </c>
      <c r="P2221" s="112">
        <f t="shared" si="446"/>
        <v>0</v>
      </c>
      <c r="Q2221" s="112">
        <f t="shared" si="447"/>
        <v>0</v>
      </c>
      <c r="R2221" s="53" t="s">
        <v>341</v>
      </c>
      <c r="S2221" s="53" t="str">
        <f t="shared" si="448"/>
        <v>Autos - Singles|Autographs Inscribed Parallel|A-MO|Inscribed Parallel</v>
      </c>
      <c r="T2221" s="57" t="str">
        <f>IF($S2221="","",IFERROR(VLOOKUP($S2221,'Pop Estimates (Non-#d)'!$N$2:$O$500,2,FALSE),""))</f>
        <v/>
      </c>
      <c r="U2221" s="57">
        <f t="shared" si="449"/>
        <v>25</v>
      </c>
      <c r="V2221" s="53" t="str">
        <f t="shared" si="450"/>
        <v>Starlight "Starlight"</v>
      </c>
      <c r="W2221" s="53" t="str">
        <f t="shared" si="451"/>
        <v>Starlight "Starlight"</v>
      </c>
      <c r="X2221" s="53" t="str">
        <f t="shared" si="452"/>
        <v>Starlight</v>
      </c>
      <c r="Y2221" s="57">
        <f>IF($X2221="","",IFERROR(VLOOKUP($X2221,'Char Popularity'!$A$2:$C$500,2,FALSE),""))</f>
        <v>5</v>
      </c>
      <c r="Z2221" s="56">
        <f>IF($X2221="",1,IFERROR(VLOOKUP($X2221,'Char Popularity'!$A$2:$C$500,3,FALSE),1))</f>
        <v>1.2</v>
      </c>
      <c r="AA2221" s="62">
        <f>IF($H2221&lt;&gt;"Y",0,(IF($F2221&lt;&gt;"",ROUND(Dashboard!$R$4/$F2221,1),IF(AND($I2221="Base",$E2221="Base"),Dashboard!$R$5,IF(AND($I2221="Base",$E2221="Red"),Dashboard!$R$6,IF(AND($I2221="Base",$E2221="Gold"),Dashboard!$R$7,VLOOKUP($I2221,Dashboard!$Q$16:$R$21,2,FALSE)))))*VLOOKUP($I2221,Dashboard!$Q$9:$R$13,2,FALSE)*IF(AND($I2221="Auto",$F2221="",OR($B2221="Autographs Duals",$B2221="Autographs Triples",$B2221="Autographs Quads",$B2221="Autographs Quads (Inscribed)")),IF($B2221="Autographs Duals",2,IF($B2221="Autographs Triples",3,4)),1)))</f>
        <v>80</v>
      </c>
      <c r="AB2221" s="62">
        <f t="shared" si="453"/>
        <v>0</v>
      </c>
      <c r="AC2221" s="62">
        <f t="shared" si="454"/>
        <v>0</v>
      </c>
    </row>
    <row r="2222" spans="1:29" ht="30" customHeight="1" x14ac:dyDescent="0.25">
      <c r="A2222" s="4" t="s">
        <v>37</v>
      </c>
      <c r="B2222" s="7" t="s">
        <v>111</v>
      </c>
      <c r="C2222" s="2" t="s">
        <v>290</v>
      </c>
      <c r="D2222" s="7"/>
      <c r="E2222" s="4" t="s">
        <v>1606</v>
      </c>
      <c r="F2222" s="2">
        <v>25</v>
      </c>
      <c r="G2222" s="2" t="s">
        <v>1399</v>
      </c>
      <c r="H2222" s="2" t="s">
        <v>1400</v>
      </c>
      <c r="I2222" s="4" t="s">
        <v>68</v>
      </c>
      <c r="J2222" s="112">
        <f>IF($H2222&lt;&gt;"Y",0,ROUND(MIN(Dashboard!$R$24,IF(IFERROR(VLOOKUP($B2222,Dashboard!$Q$28:$S$60,2,FALSE),0)&gt;0,IFERROR(VLOOKUP($B2222,Dashboard!$Q$28:$S$60,2,FALSE),0),$Z2222*IF($U2222&lt;&gt;"",ROUND((Dashboard!$R$4/$U2222)*VLOOKUP($I2222,Dashboard!$Q$9:$R$13,2,FALSE)*IF(ISNUMBER(SEARCH("Duals",$B2222)),2,IF(ISNUMBER(SEARCH("Triples",$B2222)),3,IF(ISNUMBER(SEARCH("Quads",$B2222)),4,1))),2),ROUND(VLOOKUP($I2222,Dashboard!$Q$15:$R$20,2,FALSE)*IF($E2222="Red",Dashboard!$R$6,IF($E2222="Gold",Dashboard!$R$7,Dashboard!$R$5))*IF(ISNUMBER(SEARCH("Duals",$B2222)),2,IF(ISNUMBER(SEARCH("Triples",$B2222)),3,IF(ISNUMBER(SEARCH("Quads",$B2222)),4,1))),2))*IF(IFERROR(VLOOKUP($B2222,Dashboard!$Q$28:$S$60,3,FALSE),0)&gt;0,VLOOKUP($B2222,Dashboard!$Q$28:$S$60,3,FALSE),1))),0))</f>
        <v>100</v>
      </c>
      <c r="K2222" s="2" t="str">
        <f>IF('Autos - Singles'!G48="","",'Autos - Singles'!G48)</f>
        <v/>
      </c>
      <c r="L2222" s="2">
        <f t="shared" si="442"/>
        <v>0</v>
      </c>
      <c r="M2222" s="2">
        <f t="shared" si="443"/>
        <v>0</v>
      </c>
      <c r="N2222" s="2">
        <f t="shared" si="444"/>
        <v>0</v>
      </c>
      <c r="O2222" s="2">
        <f t="shared" si="445"/>
        <v>1</v>
      </c>
      <c r="P2222" s="112">
        <f t="shared" si="446"/>
        <v>0</v>
      </c>
      <c r="Q2222" s="112">
        <f t="shared" si="447"/>
        <v>0</v>
      </c>
      <c r="R2222" s="53"/>
      <c r="S2222" s="53" t="str">
        <f t="shared" si="448"/>
        <v>Autos - Singles|Autographs Inscribed Parallel|A-MS|Inscribed Parallel</v>
      </c>
      <c r="T2222" s="57" t="str">
        <f>IF($S2222="","",IFERROR(VLOOKUP($S2222,'Pop Estimates (Non-#d)'!$N$2:$O$500,2,FALSE),""))</f>
        <v/>
      </c>
      <c r="U2222" s="57">
        <f t="shared" si="449"/>
        <v>25</v>
      </c>
      <c r="V2222" s="53" t="str">
        <f t="shared" si="450"/>
        <v/>
      </c>
      <c r="W2222" s="53" t="str">
        <f t="shared" si="451"/>
        <v/>
      </c>
      <c r="X2222" s="53" t="str">
        <f t="shared" si="452"/>
        <v/>
      </c>
      <c r="Y2222" s="57" t="str">
        <f>IF($X2222="","",IFERROR(VLOOKUP($X2222,'Char Popularity'!$A$2:$C$500,2,FALSE),""))</f>
        <v/>
      </c>
      <c r="Z2222" s="56">
        <f>IF($X2222="",1,IFERROR(VLOOKUP($X2222,'Char Popularity'!$A$2:$C$500,3,FALSE),1))</f>
        <v>1</v>
      </c>
      <c r="AA2222" s="62">
        <f>IF($H2222&lt;&gt;"Y",0,(IF($F2222&lt;&gt;"",ROUND(Dashboard!$R$4/$F2222,1),IF(AND($I2222="Base",$E2222="Base"),Dashboard!$R$5,IF(AND($I2222="Base",$E2222="Red"),Dashboard!$R$6,IF(AND($I2222="Base",$E2222="Gold"),Dashboard!$R$7,VLOOKUP($I2222,Dashboard!$Q$16:$R$21,2,FALSE)))))*VLOOKUP($I2222,Dashboard!$Q$9:$R$13,2,FALSE)*IF(AND($I2222="Auto",$F2222="",OR($B2222="Autographs Duals",$B2222="Autographs Triples",$B2222="Autographs Quads",$B2222="Autographs Quads (Inscribed)")),IF($B2222="Autographs Duals",2,IF($B2222="Autographs Triples",3,4)),1)))</f>
        <v>80</v>
      </c>
      <c r="AB2222" s="62">
        <f t="shared" si="453"/>
        <v>0</v>
      </c>
      <c r="AC2222" s="62">
        <f t="shared" si="454"/>
        <v>0</v>
      </c>
    </row>
    <row r="2223" spans="1:29" ht="30" customHeight="1" x14ac:dyDescent="0.25">
      <c r="A2223" s="4" t="s">
        <v>37</v>
      </c>
      <c r="B2223" s="7" t="s">
        <v>111</v>
      </c>
      <c r="C2223" s="2" t="s">
        <v>291</v>
      </c>
      <c r="D2223" s="7"/>
      <c r="E2223" s="4" t="s">
        <v>1606</v>
      </c>
      <c r="F2223" s="2">
        <v>25</v>
      </c>
      <c r="G2223" s="2" t="s">
        <v>1399</v>
      </c>
      <c r="H2223" s="2" t="s">
        <v>1400</v>
      </c>
      <c r="I2223" s="4" t="s">
        <v>68</v>
      </c>
      <c r="J2223" s="112">
        <f>IF($H2223&lt;&gt;"Y",0,ROUND(MIN(Dashboard!$R$24,IF(IFERROR(VLOOKUP($B2223,Dashboard!$Q$28:$S$60,2,FALSE),0)&gt;0,IFERROR(VLOOKUP($B2223,Dashboard!$Q$28:$S$60,2,FALSE),0),$Z2223*IF($U2223&lt;&gt;"",ROUND((Dashboard!$R$4/$U2223)*VLOOKUP($I2223,Dashboard!$Q$9:$R$13,2,FALSE)*IF(ISNUMBER(SEARCH("Duals",$B2223)),2,IF(ISNUMBER(SEARCH("Triples",$B2223)),3,IF(ISNUMBER(SEARCH("Quads",$B2223)),4,1))),2),ROUND(VLOOKUP($I2223,Dashboard!$Q$15:$R$20,2,FALSE)*IF($E2223="Red",Dashboard!$R$6,IF($E2223="Gold",Dashboard!$R$7,Dashboard!$R$5))*IF(ISNUMBER(SEARCH("Duals",$B2223)),2,IF(ISNUMBER(SEARCH("Triples",$B2223)),3,IF(ISNUMBER(SEARCH("Quads",$B2223)),4,1))),2))*IF(IFERROR(VLOOKUP($B2223,Dashboard!$Q$28:$S$60,3,FALSE),0)&gt;0,VLOOKUP($B2223,Dashboard!$Q$28:$S$60,3,FALSE),1))),0))</f>
        <v>100</v>
      </c>
      <c r="K2223" s="2" t="str">
        <f>IF('Autos - Singles'!G49="","",'Autos - Singles'!G49)</f>
        <v/>
      </c>
      <c r="L2223" s="2">
        <f t="shared" si="442"/>
        <v>0</v>
      </c>
      <c r="M2223" s="2">
        <f t="shared" si="443"/>
        <v>0</v>
      </c>
      <c r="N2223" s="2">
        <f t="shared" si="444"/>
        <v>0</v>
      </c>
      <c r="O2223" s="2">
        <f t="shared" si="445"/>
        <v>1</v>
      </c>
      <c r="P2223" s="112">
        <f t="shared" si="446"/>
        <v>0</v>
      </c>
      <c r="Q2223" s="112">
        <f t="shared" si="447"/>
        <v>0</v>
      </c>
      <c r="R2223" s="53"/>
      <c r="S2223" s="53" t="str">
        <f t="shared" si="448"/>
        <v>Autos - Singles|Autographs Inscribed Parallel|A-MT|Inscribed Parallel</v>
      </c>
      <c r="T2223" s="57" t="str">
        <f>IF($S2223="","",IFERROR(VLOOKUP($S2223,'Pop Estimates (Non-#d)'!$N$2:$O$500,2,FALSE),""))</f>
        <v/>
      </c>
      <c r="U2223" s="57">
        <f t="shared" si="449"/>
        <v>25</v>
      </c>
      <c r="V2223" s="53" t="str">
        <f t="shared" si="450"/>
        <v/>
      </c>
      <c r="W2223" s="53" t="str">
        <f t="shared" si="451"/>
        <v/>
      </c>
      <c r="X2223" s="53" t="str">
        <f t="shared" si="452"/>
        <v/>
      </c>
      <c r="Y2223" s="57" t="str">
        <f>IF($X2223="","",IFERROR(VLOOKUP($X2223,'Char Popularity'!$A$2:$C$500,2,FALSE),""))</f>
        <v/>
      </c>
      <c r="Z2223" s="56">
        <f>IF($X2223="",1,IFERROR(VLOOKUP($X2223,'Char Popularity'!$A$2:$C$500,3,FALSE),1))</f>
        <v>1</v>
      </c>
      <c r="AA2223" s="62">
        <f>IF($H2223&lt;&gt;"Y",0,(IF($F2223&lt;&gt;"",ROUND(Dashboard!$R$4/$F2223,1),IF(AND($I2223="Base",$E2223="Base"),Dashboard!$R$5,IF(AND($I2223="Base",$E2223="Red"),Dashboard!$R$6,IF(AND($I2223="Base",$E2223="Gold"),Dashboard!$R$7,VLOOKUP($I2223,Dashboard!$Q$16:$R$21,2,FALSE)))))*VLOOKUP($I2223,Dashboard!$Q$9:$R$13,2,FALSE)*IF(AND($I2223="Auto",$F2223="",OR($B2223="Autographs Duals",$B2223="Autographs Triples",$B2223="Autographs Quads",$B2223="Autographs Quads (Inscribed)")),IF($B2223="Autographs Duals",2,IF($B2223="Autographs Triples",3,4)),1)))</f>
        <v>80</v>
      </c>
      <c r="AB2223" s="62">
        <f t="shared" si="453"/>
        <v>0</v>
      </c>
      <c r="AC2223" s="62">
        <f t="shared" si="454"/>
        <v>0</v>
      </c>
    </row>
    <row r="2224" spans="1:29" ht="30" customHeight="1" x14ac:dyDescent="0.25">
      <c r="A2224" s="4" t="s">
        <v>37</v>
      </c>
      <c r="B2224" s="7" t="s">
        <v>111</v>
      </c>
      <c r="C2224" s="2" t="s">
        <v>292</v>
      </c>
      <c r="D2224" s="7" t="s">
        <v>1621</v>
      </c>
      <c r="E2224" s="4" t="s">
        <v>1606</v>
      </c>
      <c r="F2224" s="2">
        <v>25</v>
      </c>
      <c r="G2224" s="2" t="s">
        <v>1399</v>
      </c>
      <c r="H2224" s="2" t="s">
        <v>1400</v>
      </c>
      <c r="I2224" s="4" t="s">
        <v>68</v>
      </c>
      <c r="J2224" s="112">
        <f>IF($H2224&lt;&gt;"Y",0,ROUND(MIN(Dashboard!$R$24,IF(IFERROR(VLOOKUP($B2224,Dashboard!$Q$28:$S$60,2,FALSE),0)&gt;0,IFERROR(VLOOKUP($B2224,Dashboard!$Q$28:$S$60,2,FALSE),0),$Z2224*IF($U2224&lt;&gt;"",ROUND((Dashboard!$R$4/$U2224)*VLOOKUP($I2224,Dashboard!$Q$9:$R$13,2,FALSE)*IF(ISNUMBER(SEARCH("Duals",$B2224)),2,IF(ISNUMBER(SEARCH("Triples",$B2224)),3,IF(ISNUMBER(SEARCH("Quads",$B2224)),4,1))),2),ROUND(VLOOKUP($I2224,Dashboard!$Q$15:$R$20,2,FALSE)*IF($E2224="Red",Dashboard!$R$6,IF($E2224="Gold",Dashboard!$R$7,Dashboard!$R$5))*IF(ISNUMBER(SEARCH("Duals",$B2224)),2,IF(ISNUMBER(SEARCH("Triples",$B2224)),3,IF(ISNUMBER(SEARCH("Quads",$B2224)),4,1))),2))*IF(IFERROR(VLOOKUP($B2224,Dashboard!$Q$28:$S$60,3,FALSE),0)&gt;0,VLOOKUP($B2224,Dashboard!$Q$28:$S$60,3,FALSE),1))),0))</f>
        <v>110</v>
      </c>
      <c r="K2224" s="2" t="str">
        <f>IF('Autos - Singles'!G50="","",'Autos - Singles'!G50)</f>
        <v/>
      </c>
      <c r="L2224" s="2">
        <f t="shared" si="442"/>
        <v>0</v>
      </c>
      <c r="M2224" s="2">
        <f t="shared" si="443"/>
        <v>0</v>
      </c>
      <c r="N2224" s="2">
        <f t="shared" si="444"/>
        <v>0</v>
      </c>
      <c r="O2224" s="2">
        <f t="shared" si="445"/>
        <v>1</v>
      </c>
      <c r="P2224" s="112">
        <f t="shared" si="446"/>
        <v>0</v>
      </c>
      <c r="Q2224" s="112">
        <f t="shared" si="447"/>
        <v>0</v>
      </c>
      <c r="R2224" s="53" t="s">
        <v>339</v>
      </c>
      <c r="S2224" s="53" t="str">
        <f t="shared" si="448"/>
        <v>Autos - Singles|Autographs Inscribed Parallel|A-NA|Inscribed Parallel</v>
      </c>
      <c r="T2224" s="57" t="str">
        <f>IF($S2224="","",IFERROR(VLOOKUP($S2224,'Pop Estimates (Non-#d)'!$N$2:$O$500,2,FALSE),""))</f>
        <v/>
      </c>
      <c r="U2224" s="57">
        <f t="shared" si="449"/>
        <v>25</v>
      </c>
      <c r="V2224" s="53" t="str">
        <f t="shared" si="450"/>
        <v>Black Noir "Black Noir"</v>
      </c>
      <c r="W2224" s="53" t="str">
        <f t="shared" si="451"/>
        <v>Black Noir "Black Noir"</v>
      </c>
      <c r="X2224" s="53" t="str">
        <f t="shared" si="452"/>
        <v>Black Noir</v>
      </c>
      <c r="Y2224" s="57">
        <f>IF($X2224="","",IFERROR(VLOOKUP($X2224,'Char Popularity'!$A$2:$C$500,2,FALSE),""))</f>
        <v>4</v>
      </c>
      <c r="Z2224" s="56">
        <f>IF($X2224="",1,IFERROR(VLOOKUP($X2224,'Char Popularity'!$A$2:$C$500,3,FALSE),1))</f>
        <v>1.1000000000000001</v>
      </c>
      <c r="AA2224" s="62">
        <f>IF($H2224&lt;&gt;"Y",0,(IF($F2224&lt;&gt;"",ROUND(Dashboard!$R$4/$F2224,1),IF(AND($I2224="Base",$E2224="Base"),Dashboard!$R$5,IF(AND($I2224="Base",$E2224="Red"),Dashboard!$R$6,IF(AND($I2224="Base",$E2224="Gold"),Dashboard!$R$7,VLOOKUP($I2224,Dashboard!$Q$16:$R$21,2,FALSE)))))*VLOOKUP($I2224,Dashboard!$Q$9:$R$13,2,FALSE)*IF(AND($I2224="Auto",$F2224="",OR($B2224="Autographs Duals",$B2224="Autographs Triples",$B2224="Autographs Quads",$B2224="Autographs Quads (Inscribed)")),IF($B2224="Autographs Duals",2,IF($B2224="Autographs Triples",3,4)),1)))</f>
        <v>80</v>
      </c>
      <c r="AB2224" s="62">
        <f t="shared" si="453"/>
        <v>0</v>
      </c>
      <c r="AC2224" s="62">
        <f t="shared" si="454"/>
        <v>0</v>
      </c>
    </row>
    <row r="2225" spans="1:29" ht="30" customHeight="1" x14ac:dyDescent="0.25">
      <c r="A2225" s="4" t="s">
        <v>37</v>
      </c>
      <c r="B2225" s="7" t="s">
        <v>111</v>
      </c>
      <c r="C2225" s="2" t="s">
        <v>293</v>
      </c>
      <c r="D2225" s="7" t="s">
        <v>1622</v>
      </c>
      <c r="E2225" s="4" t="s">
        <v>1606</v>
      </c>
      <c r="F2225" s="2">
        <v>25</v>
      </c>
      <c r="G2225" s="2" t="s">
        <v>1399</v>
      </c>
      <c r="H2225" s="2" t="s">
        <v>1400</v>
      </c>
      <c r="I2225" s="4" t="s">
        <v>68</v>
      </c>
      <c r="J2225" s="112">
        <f>IF($H2225&lt;&gt;"Y",0,ROUND(MIN(Dashboard!$R$24,IF(IFERROR(VLOOKUP($B2225,Dashboard!$Q$28:$S$60,2,FALSE),0)&gt;0,IFERROR(VLOOKUP($B2225,Dashboard!$Q$28:$S$60,2,FALSE),0),$Z2225*IF($U2225&lt;&gt;"",ROUND((Dashboard!$R$4/$U2225)*VLOOKUP($I2225,Dashboard!$Q$9:$R$13,2,FALSE)*IF(ISNUMBER(SEARCH("Duals",$B2225)),2,IF(ISNUMBER(SEARCH("Triples",$B2225)),3,IF(ISNUMBER(SEARCH("Quads",$B2225)),4,1))),2),ROUND(VLOOKUP($I2225,Dashboard!$Q$15:$R$20,2,FALSE)*IF($E2225="Red",Dashboard!$R$6,IF($E2225="Gold",Dashboard!$R$7,Dashboard!$R$5))*IF(ISNUMBER(SEARCH("Duals",$B2225)),2,IF(ISNUMBER(SEARCH("Triples",$B2225)),3,IF(ISNUMBER(SEARCH("Quads",$B2225)),4,1))),2))*IF(IFERROR(VLOOKUP($B2225,Dashboard!$Q$28:$S$60,3,FALSE),0)&gt;0,VLOOKUP($B2225,Dashboard!$Q$28:$S$60,3,FALSE),1))),0))</f>
        <v>120</v>
      </c>
      <c r="K2225" s="2" t="str">
        <f>IF('Autos - Singles'!G51="","",'Autos - Singles'!G51)</f>
        <v/>
      </c>
      <c r="L2225" s="2">
        <f t="shared" si="442"/>
        <v>0</v>
      </c>
      <c r="M2225" s="2">
        <f t="shared" si="443"/>
        <v>0</v>
      </c>
      <c r="N2225" s="2">
        <f t="shared" si="444"/>
        <v>0</v>
      </c>
      <c r="O2225" s="2">
        <f t="shared" si="445"/>
        <v>1</v>
      </c>
      <c r="P2225" s="112">
        <f t="shared" si="446"/>
        <v>0</v>
      </c>
      <c r="Q2225" s="112">
        <f t="shared" si="447"/>
        <v>0</v>
      </c>
      <c r="R2225" s="53" t="s">
        <v>1623</v>
      </c>
      <c r="S2225" s="53" t="str">
        <f t="shared" si="448"/>
        <v>Autos - Singles|Autographs Inscribed Parallel|A-NE|Inscribed Parallel</v>
      </c>
      <c r="T2225" s="57" t="str">
        <f>IF($S2225="","",IFERROR(VLOOKUP($S2225,'Pop Estimates (Non-#d)'!$N$2:$O$500,2,FALSE),""))</f>
        <v/>
      </c>
      <c r="U2225" s="57">
        <f t="shared" si="449"/>
        <v>25</v>
      </c>
      <c r="V2225" s="53" t="str">
        <f t="shared" si="450"/>
        <v>Homelander "The Homelander"</v>
      </c>
      <c r="W2225" s="53" t="str">
        <f t="shared" si="451"/>
        <v>Homelander "The Homelander"</v>
      </c>
      <c r="X2225" s="53" t="str">
        <f t="shared" si="452"/>
        <v>Homelander</v>
      </c>
      <c r="Y2225" s="57">
        <f>IF($X2225="","",IFERROR(VLOOKUP($X2225,'Char Popularity'!$A$2:$C$500,2,FALSE),""))</f>
        <v>5</v>
      </c>
      <c r="Z2225" s="56">
        <f>IF($X2225="",1,IFERROR(VLOOKUP($X2225,'Char Popularity'!$A$2:$C$500,3,FALSE),1))</f>
        <v>1.2</v>
      </c>
      <c r="AA2225" s="62">
        <f>IF($H2225&lt;&gt;"Y",0,(IF($F2225&lt;&gt;"",ROUND(Dashboard!$R$4/$F2225,1),IF(AND($I2225="Base",$E2225="Base"),Dashboard!$R$5,IF(AND($I2225="Base",$E2225="Red"),Dashboard!$R$6,IF(AND($I2225="Base",$E2225="Gold"),Dashboard!$R$7,VLOOKUP($I2225,Dashboard!$Q$16:$R$21,2,FALSE)))))*VLOOKUP($I2225,Dashboard!$Q$9:$R$13,2,FALSE)*IF(AND($I2225="Auto",$F2225="",OR($B2225="Autographs Duals",$B2225="Autographs Triples",$B2225="Autographs Quads",$B2225="Autographs Quads (Inscribed)")),IF($B2225="Autographs Duals",2,IF($B2225="Autographs Triples",3,4)),1)))</f>
        <v>80</v>
      </c>
      <c r="AB2225" s="62">
        <f t="shared" si="453"/>
        <v>0</v>
      </c>
      <c r="AC2225" s="62">
        <f t="shared" si="454"/>
        <v>0</v>
      </c>
    </row>
    <row r="2226" spans="1:29" ht="30" customHeight="1" x14ac:dyDescent="0.25">
      <c r="A2226" s="4" t="s">
        <v>37</v>
      </c>
      <c r="B2226" s="7" t="s">
        <v>111</v>
      </c>
      <c r="C2226" s="2" t="s">
        <v>294</v>
      </c>
      <c r="D2226" s="7" t="s">
        <v>1621</v>
      </c>
      <c r="E2226" s="4" t="s">
        <v>1606</v>
      </c>
      <c r="F2226" s="2">
        <v>25</v>
      </c>
      <c r="G2226" s="2" t="s">
        <v>1399</v>
      </c>
      <c r="H2226" s="2" t="s">
        <v>1400</v>
      </c>
      <c r="I2226" s="4" t="s">
        <v>68</v>
      </c>
      <c r="J2226" s="112">
        <f>IF($H2226&lt;&gt;"Y",0,ROUND(MIN(Dashboard!$R$24,IF(IFERROR(VLOOKUP($B2226,Dashboard!$Q$28:$S$60,2,FALSE),0)&gt;0,IFERROR(VLOOKUP($B2226,Dashboard!$Q$28:$S$60,2,FALSE),0),$Z2226*IF($U2226&lt;&gt;"",ROUND((Dashboard!$R$4/$U2226)*VLOOKUP($I2226,Dashboard!$Q$9:$R$13,2,FALSE)*IF(ISNUMBER(SEARCH("Duals",$B2226)),2,IF(ISNUMBER(SEARCH("Triples",$B2226)),3,IF(ISNUMBER(SEARCH("Quads",$B2226)),4,1))),2),ROUND(VLOOKUP($I2226,Dashboard!$Q$15:$R$20,2,FALSE)*IF($E2226="Red",Dashboard!$R$6,IF($E2226="Gold",Dashboard!$R$7,Dashboard!$R$5))*IF(ISNUMBER(SEARCH("Duals",$B2226)),2,IF(ISNUMBER(SEARCH("Triples",$B2226)),3,IF(ISNUMBER(SEARCH("Quads",$B2226)),4,1))),2))*IF(IFERROR(VLOOKUP($B2226,Dashboard!$Q$28:$S$60,3,FALSE),0)&gt;0,VLOOKUP($B2226,Dashboard!$Q$28:$S$60,3,FALSE),1))),0))</f>
        <v>110</v>
      </c>
      <c r="K2226" s="2" t="str">
        <f>IF('Autos - Singles'!G52="","",'Autos - Singles'!G52)</f>
        <v/>
      </c>
      <c r="L2226" s="2">
        <f t="shared" si="442"/>
        <v>0</v>
      </c>
      <c r="M2226" s="2">
        <f t="shared" si="443"/>
        <v>0</v>
      </c>
      <c r="N2226" s="2">
        <f t="shared" si="444"/>
        <v>0</v>
      </c>
      <c r="O2226" s="2">
        <f t="shared" si="445"/>
        <v>1</v>
      </c>
      <c r="P2226" s="112">
        <f t="shared" si="446"/>
        <v>0</v>
      </c>
      <c r="Q2226" s="112">
        <f t="shared" si="447"/>
        <v>0</v>
      </c>
      <c r="R2226" s="53" t="s">
        <v>339</v>
      </c>
      <c r="S2226" s="53" t="str">
        <f t="shared" si="448"/>
        <v>Autos - Singles|Autographs Inscribed Parallel|A-NL|Inscribed Parallel</v>
      </c>
      <c r="T2226" s="57" t="str">
        <f>IF($S2226="","",IFERROR(VLOOKUP($S2226,'Pop Estimates (Non-#d)'!$N$2:$O$500,2,FALSE),""))</f>
        <v/>
      </c>
      <c r="U2226" s="57">
        <f t="shared" si="449"/>
        <v>25</v>
      </c>
      <c r="V2226" s="53" t="str">
        <f t="shared" si="450"/>
        <v>Black Noir "Black Noir"</v>
      </c>
      <c r="W2226" s="53" t="str">
        <f t="shared" si="451"/>
        <v>Black Noir "Black Noir"</v>
      </c>
      <c r="X2226" s="53" t="str">
        <f t="shared" si="452"/>
        <v>Black Noir</v>
      </c>
      <c r="Y2226" s="57">
        <f>IF($X2226="","",IFERROR(VLOOKUP($X2226,'Char Popularity'!$A$2:$C$500,2,FALSE),""))</f>
        <v>4</v>
      </c>
      <c r="Z2226" s="56">
        <f>IF($X2226="",1,IFERROR(VLOOKUP($X2226,'Char Popularity'!$A$2:$C$500,3,FALSE),1))</f>
        <v>1.1000000000000001</v>
      </c>
      <c r="AA2226" s="62">
        <f>IF($H2226&lt;&gt;"Y",0,(IF($F2226&lt;&gt;"",ROUND(Dashboard!$R$4/$F2226,1),IF(AND($I2226="Base",$E2226="Base"),Dashboard!$R$5,IF(AND($I2226="Base",$E2226="Red"),Dashboard!$R$6,IF(AND($I2226="Base",$E2226="Gold"),Dashboard!$R$7,VLOOKUP($I2226,Dashboard!$Q$16:$R$21,2,FALSE)))))*VLOOKUP($I2226,Dashboard!$Q$9:$R$13,2,FALSE)*IF(AND($I2226="Auto",$F2226="",OR($B2226="Autographs Duals",$B2226="Autographs Triples",$B2226="Autographs Quads",$B2226="Autographs Quads (Inscribed)")),IF($B2226="Autographs Duals",2,IF($B2226="Autographs Triples",3,4)),1)))</f>
        <v>80</v>
      </c>
      <c r="AB2226" s="62">
        <f t="shared" si="453"/>
        <v>0</v>
      </c>
      <c r="AC2226" s="62">
        <f t="shared" si="454"/>
        <v>0</v>
      </c>
    </row>
    <row r="2227" spans="1:29" ht="30" customHeight="1" x14ac:dyDescent="0.25">
      <c r="A2227" s="4" t="s">
        <v>37</v>
      </c>
      <c r="B2227" s="7" t="s">
        <v>111</v>
      </c>
      <c r="C2227" s="2" t="s">
        <v>295</v>
      </c>
      <c r="D2227" s="7" t="s">
        <v>1621</v>
      </c>
      <c r="E2227" s="4" t="s">
        <v>1606</v>
      </c>
      <c r="F2227" s="2">
        <v>25</v>
      </c>
      <c r="G2227" s="2" t="s">
        <v>1399</v>
      </c>
      <c r="H2227" s="2" t="s">
        <v>1400</v>
      </c>
      <c r="I2227" s="4" t="s">
        <v>68</v>
      </c>
      <c r="J2227" s="112">
        <f>IF($H2227&lt;&gt;"Y",0,ROUND(MIN(Dashboard!$R$24,IF(IFERROR(VLOOKUP($B2227,Dashboard!$Q$28:$S$60,2,FALSE),0)&gt;0,IFERROR(VLOOKUP($B2227,Dashboard!$Q$28:$S$60,2,FALSE),0),$Z2227*IF($U2227&lt;&gt;"",ROUND((Dashboard!$R$4/$U2227)*VLOOKUP($I2227,Dashboard!$Q$9:$R$13,2,FALSE)*IF(ISNUMBER(SEARCH("Duals",$B2227)),2,IF(ISNUMBER(SEARCH("Triples",$B2227)),3,IF(ISNUMBER(SEARCH("Quads",$B2227)),4,1))),2),ROUND(VLOOKUP($I2227,Dashboard!$Q$15:$R$20,2,FALSE)*IF($E2227="Red",Dashboard!$R$6,IF($E2227="Gold",Dashboard!$R$7,Dashboard!$R$5))*IF(ISNUMBER(SEARCH("Duals",$B2227)),2,IF(ISNUMBER(SEARCH("Triples",$B2227)),3,IF(ISNUMBER(SEARCH("Quads",$B2227)),4,1))),2))*IF(IFERROR(VLOOKUP($B2227,Dashboard!$Q$28:$S$60,3,FALSE),0)&gt;0,VLOOKUP($B2227,Dashboard!$Q$28:$S$60,3,FALSE),1))),0))</f>
        <v>110</v>
      </c>
      <c r="K2227" s="2" t="str">
        <f>IF('Autos - Singles'!G53="","",'Autos - Singles'!G53)</f>
        <v/>
      </c>
      <c r="L2227" s="2">
        <f t="shared" si="442"/>
        <v>0</v>
      </c>
      <c r="M2227" s="2">
        <f t="shared" si="443"/>
        <v>0</v>
      </c>
      <c r="N2227" s="2">
        <f t="shared" si="444"/>
        <v>0</v>
      </c>
      <c r="O2227" s="2">
        <f t="shared" si="445"/>
        <v>1</v>
      </c>
      <c r="P2227" s="112">
        <f t="shared" si="446"/>
        <v>0</v>
      </c>
      <c r="Q2227" s="112">
        <f t="shared" si="447"/>
        <v>0</v>
      </c>
      <c r="R2227" s="53" t="s">
        <v>339</v>
      </c>
      <c r="S2227" s="53" t="str">
        <f t="shared" si="448"/>
        <v>Autos - Singles|Autographs Inscribed Parallel|A-NM|Inscribed Parallel</v>
      </c>
      <c r="T2227" s="57" t="str">
        <f>IF($S2227="","",IFERROR(VLOOKUP($S2227,'Pop Estimates (Non-#d)'!$N$2:$O$500,2,FALSE),""))</f>
        <v/>
      </c>
      <c r="U2227" s="57">
        <f t="shared" si="449"/>
        <v>25</v>
      </c>
      <c r="V2227" s="53" t="str">
        <f t="shared" si="450"/>
        <v>Black Noir "Black Noir"</v>
      </c>
      <c r="W2227" s="53" t="str">
        <f t="shared" si="451"/>
        <v>Black Noir "Black Noir"</v>
      </c>
      <c r="X2227" s="53" t="str">
        <f t="shared" si="452"/>
        <v>Black Noir</v>
      </c>
      <c r="Y2227" s="57">
        <f>IF($X2227="","",IFERROR(VLOOKUP($X2227,'Char Popularity'!$A$2:$C$500,2,FALSE),""))</f>
        <v>4</v>
      </c>
      <c r="Z2227" s="56">
        <f>IF($X2227="",1,IFERROR(VLOOKUP($X2227,'Char Popularity'!$A$2:$C$500,3,FALSE),1))</f>
        <v>1.1000000000000001</v>
      </c>
      <c r="AA2227" s="62">
        <f>IF($H2227&lt;&gt;"Y",0,(IF($F2227&lt;&gt;"",ROUND(Dashboard!$R$4/$F2227,1),IF(AND($I2227="Base",$E2227="Base"),Dashboard!$R$5,IF(AND($I2227="Base",$E2227="Red"),Dashboard!$R$6,IF(AND($I2227="Base",$E2227="Gold"),Dashboard!$R$7,VLOOKUP($I2227,Dashboard!$Q$16:$R$21,2,FALSE)))))*VLOOKUP($I2227,Dashboard!$Q$9:$R$13,2,FALSE)*IF(AND($I2227="Auto",$F2227="",OR($B2227="Autographs Duals",$B2227="Autographs Triples",$B2227="Autographs Quads",$B2227="Autographs Quads (Inscribed)")),IF($B2227="Autographs Duals",2,IF($B2227="Autographs Triples",3,4)),1)))</f>
        <v>80</v>
      </c>
      <c r="AB2227" s="62">
        <f t="shared" si="453"/>
        <v>0</v>
      </c>
      <c r="AC2227" s="62">
        <f t="shared" si="454"/>
        <v>0</v>
      </c>
    </row>
    <row r="2228" spans="1:29" ht="30" customHeight="1" x14ac:dyDescent="0.25">
      <c r="A2228" s="4" t="s">
        <v>37</v>
      </c>
      <c r="B2228" s="7" t="s">
        <v>111</v>
      </c>
      <c r="C2228" s="2" t="s">
        <v>296</v>
      </c>
      <c r="D2228" s="7" t="s">
        <v>1624</v>
      </c>
      <c r="E2228" s="4" t="s">
        <v>1606</v>
      </c>
      <c r="F2228" s="2">
        <v>25</v>
      </c>
      <c r="G2228" s="2" t="s">
        <v>1399</v>
      </c>
      <c r="H2228" s="2" t="s">
        <v>1400</v>
      </c>
      <c r="I2228" s="4" t="s">
        <v>68</v>
      </c>
      <c r="J2228" s="112">
        <f>IF($H2228&lt;&gt;"Y",0,ROUND(MIN(Dashboard!$R$24,IF(IFERROR(VLOOKUP($B2228,Dashboard!$Q$28:$S$60,2,FALSE),0)&gt;0,IFERROR(VLOOKUP($B2228,Dashboard!$Q$28:$S$60,2,FALSE),0),$Z2228*IF($U2228&lt;&gt;"",ROUND((Dashboard!$R$4/$U2228)*VLOOKUP($I2228,Dashboard!$Q$9:$R$13,2,FALSE)*IF(ISNUMBER(SEARCH("Duals",$B2228)),2,IF(ISNUMBER(SEARCH("Triples",$B2228)),3,IF(ISNUMBER(SEARCH("Quads",$B2228)),4,1))),2),ROUND(VLOOKUP($I2228,Dashboard!$Q$15:$R$20,2,FALSE)*IF($E2228="Red",Dashboard!$R$6,IF($E2228="Gold",Dashboard!$R$7,Dashboard!$R$5))*IF(ISNUMBER(SEARCH("Duals",$B2228)),2,IF(ISNUMBER(SEARCH("Triples",$B2228)),3,IF(ISNUMBER(SEARCH("Quads",$B2228)),4,1))),2))*IF(IFERROR(VLOOKUP($B2228,Dashboard!$Q$28:$S$60,3,FALSE),0)&gt;0,VLOOKUP($B2228,Dashboard!$Q$28:$S$60,3,FALSE),1))),0))</f>
        <v>120</v>
      </c>
      <c r="K2228" s="2" t="str">
        <f>IF('Autos - Singles'!G54="","",'Autos - Singles'!G54)</f>
        <v/>
      </c>
      <c r="L2228" s="2">
        <f t="shared" si="442"/>
        <v>0</v>
      </c>
      <c r="M2228" s="2">
        <f t="shared" si="443"/>
        <v>0</v>
      </c>
      <c r="N2228" s="2">
        <f t="shared" si="444"/>
        <v>0</v>
      </c>
      <c r="O2228" s="2">
        <f t="shared" si="445"/>
        <v>1</v>
      </c>
      <c r="P2228" s="112">
        <f t="shared" si="446"/>
        <v>0</v>
      </c>
      <c r="Q2228" s="112">
        <f t="shared" si="447"/>
        <v>0</v>
      </c>
      <c r="R2228" s="53" t="s">
        <v>1604</v>
      </c>
      <c r="S2228" s="53" t="str">
        <f t="shared" si="448"/>
        <v>Autos - Singles|Autographs Inscribed Parallel|A-QD|Inscribed Parallel</v>
      </c>
      <c r="T2228" s="57" t="str">
        <f>IF($S2228="","",IFERROR(VLOOKUP($S2228,'Pop Estimates (Non-#d)'!$N$2:$O$500,2,FALSE),""))</f>
        <v/>
      </c>
      <c r="U2228" s="57">
        <f t="shared" si="449"/>
        <v>25</v>
      </c>
      <c r="V2228" s="53" t="str">
        <f t="shared" si="450"/>
        <v>Hughie Campbell "The Boys"</v>
      </c>
      <c r="W2228" s="53" t="str">
        <f t="shared" si="451"/>
        <v>Hughie Campbell "The Boys"</v>
      </c>
      <c r="X2228" s="53" t="str">
        <f t="shared" si="452"/>
        <v>Hughie Campbell</v>
      </c>
      <c r="Y2228" s="57">
        <f>IF($X2228="","",IFERROR(VLOOKUP($X2228,'Char Popularity'!$A$2:$C$500,2,FALSE),""))</f>
        <v>5</v>
      </c>
      <c r="Z2228" s="56">
        <f>IF($X2228="",1,IFERROR(VLOOKUP($X2228,'Char Popularity'!$A$2:$C$500,3,FALSE),1))</f>
        <v>1.2</v>
      </c>
      <c r="AA2228" s="62">
        <f>IF($H2228&lt;&gt;"Y",0,(IF($F2228&lt;&gt;"",ROUND(Dashboard!$R$4/$F2228,1),IF(AND($I2228="Base",$E2228="Base"),Dashboard!$R$5,IF(AND($I2228="Base",$E2228="Red"),Dashboard!$R$6,IF(AND($I2228="Base",$E2228="Gold"),Dashboard!$R$7,VLOOKUP($I2228,Dashboard!$Q$16:$R$21,2,FALSE)))))*VLOOKUP($I2228,Dashboard!$Q$9:$R$13,2,FALSE)*IF(AND($I2228="Auto",$F2228="",OR($B2228="Autographs Duals",$B2228="Autographs Triples",$B2228="Autographs Quads",$B2228="Autographs Quads (Inscribed)")),IF($B2228="Autographs Duals",2,IF($B2228="Autographs Triples",3,4)),1)))</f>
        <v>80</v>
      </c>
      <c r="AB2228" s="62">
        <f t="shared" si="453"/>
        <v>0</v>
      </c>
      <c r="AC2228" s="62">
        <f t="shared" si="454"/>
        <v>0</v>
      </c>
    </row>
    <row r="2229" spans="1:29" ht="30" customHeight="1" x14ac:dyDescent="0.25">
      <c r="A2229" s="4" t="s">
        <v>37</v>
      </c>
      <c r="B2229" s="7" t="s">
        <v>111</v>
      </c>
      <c r="C2229" s="2" t="s">
        <v>298</v>
      </c>
      <c r="D2229" s="7" t="s">
        <v>299</v>
      </c>
      <c r="E2229" s="4" t="s">
        <v>1606</v>
      </c>
      <c r="F2229" s="2">
        <v>25</v>
      </c>
      <c r="G2229" s="2" t="s">
        <v>1399</v>
      </c>
      <c r="H2229" s="2" t="s">
        <v>1400</v>
      </c>
      <c r="I2229" s="4" t="s">
        <v>68</v>
      </c>
      <c r="J2229" s="112">
        <f>IF($H2229&lt;&gt;"Y",0,ROUND(MIN(Dashboard!$R$24,IF(IFERROR(VLOOKUP($B2229,Dashboard!$Q$28:$S$60,2,FALSE),0)&gt;0,IFERROR(VLOOKUP($B2229,Dashboard!$Q$28:$S$60,2,FALSE),0),$Z2229*IF($U2229&lt;&gt;"",ROUND((Dashboard!$R$4/$U2229)*VLOOKUP($I2229,Dashboard!$Q$9:$R$13,2,FALSE)*IF(ISNUMBER(SEARCH("Duals",$B2229)),2,IF(ISNUMBER(SEARCH("Triples",$B2229)),3,IF(ISNUMBER(SEARCH("Quads",$B2229)),4,1))),2),ROUND(VLOOKUP($I2229,Dashboard!$Q$15:$R$20,2,FALSE)*IF($E2229="Red",Dashboard!$R$6,IF($E2229="Gold",Dashboard!$R$7,Dashboard!$R$5))*IF(ISNUMBER(SEARCH("Duals",$B2229)),2,IF(ISNUMBER(SEARCH("Triples",$B2229)),3,IF(ISNUMBER(SEARCH("Quads",$B2229)),4,1))),2))*IF(IFERROR(VLOOKUP($B2229,Dashboard!$Q$28:$S$60,3,FALSE),0)&gt;0,VLOOKUP($B2229,Dashboard!$Q$28:$S$60,3,FALSE),1))),0))</f>
        <v>110</v>
      </c>
      <c r="K2229" s="2" t="str">
        <f>IF('Autos - Singles'!G55="","",'Autos - Singles'!G55)</f>
        <v>C 12/25</v>
      </c>
      <c r="L2229" s="2">
        <f t="shared" si="442"/>
        <v>1</v>
      </c>
      <c r="M2229" s="2">
        <f t="shared" si="443"/>
        <v>0</v>
      </c>
      <c r="N2229" s="2">
        <f t="shared" si="444"/>
        <v>1</v>
      </c>
      <c r="O2229" s="2">
        <f t="shared" si="445"/>
        <v>0</v>
      </c>
      <c r="P2229" s="112">
        <f t="shared" si="446"/>
        <v>110</v>
      </c>
      <c r="Q2229" s="112">
        <f t="shared" si="447"/>
        <v>0</v>
      </c>
      <c r="R2229" s="53" t="s">
        <v>511</v>
      </c>
      <c r="S2229" s="53" t="str">
        <f t="shared" si="448"/>
        <v>Autos - Singles|Autographs Inscribed Parallel|A-RO|Inscribed Parallel</v>
      </c>
      <c r="T2229" s="57" t="str">
        <f>IF($S2229="","",IFERROR(VLOOKUP($S2229,'Pop Estimates (Non-#d)'!$N$2:$O$500,2,FALSE),""))</f>
        <v/>
      </c>
      <c r="U2229" s="57">
        <f t="shared" si="449"/>
        <v>25</v>
      </c>
      <c r="V2229" s="53" t="str">
        <f t="shared" si="450"/>
        <v>Grace Mallory "Grace Mallory"</v>
      </c>
      <c r="W2229" s="53" t="str">
        <f t="shared" si="451"/>
        <v>Grace Mallory "Grace Mallory"</v>
      </c>
      <c r="X2229" s="53" t="str">
        <f t="shared" si="452"/>
        <v>Grace Mallory</v>
      </c>
      <c r="Y2229" s="57">
        <f>IF($X2229="","",IFERROR(VLOOKUP($X2229,'Char Popularity'!$A$2:$C$500,2,FALSE),""))</f>
        <v>4</v>
      </c>
      <c r="Z2229" s="56">
        <f>IF($X2229="",1,IFERROR(VLOOKUP($X2229,'Char Popularity'!$A$2:$C$500,3,FALSE),1))</f>
        <v>1.1000000000000001</v>
      </c>
      <c r="AA2229" s="62">
        <f>IF($H2229&lt;&gt;"Y",0,(IF($F2229&lt;&gt;"",ROUND(Dashboard!$R$4/$F2229,1),IF(AND($I2229="Base",$E2229="Base"),Dashboard!$R$5,IF(AND($I2229="Base",$E2229="Red"),Dashboard!$R$6,IF(AND($I2229="Base",$E2229="Gold"),Dashboard!$R$7,VLOOKUP($I2229,Dashboard!$Q$16:$R$21,2,FALSE)))))*VLOOKUP($I2229,Dashboard!$Q$9:$R$13,2,FALSE)*IF(AND($I2229="Auto",$F2229="",OR($B2229="Autographs Duals",$B2229="Autographs Triples",$B2229="Autographs Quads",$B2229="Autographs Quads (Inscribed)")),IF($B2229="Autographs Duals",2,IF($B2229="Autographs Triples",3,4)),1)))</f>
        <v>80</v>
      </c>
      <c r="AB2229" s="62">
        <f t="shared" si="453"/>
        <v>80</v>
      </c>
      <c r="AC2229" s="62">
        <f t="shared" si="454"/>
        <v>0</v>
      </c>
    </row>
    <row r="2230" spans="1:29" ht="30" customHeight="1" x14ac:dyDescent="0.25">
      <c r="A2230" s="4" t="s">
        <v>37</v>
      </c>
      <c r="B2230" s="7" t="s">
        <v>111</v>
      </c>
      <c r="C2230" s="2" t="s">
        <v>300</v>
      </c>
      <c r="D2230" s="7" t="s">
        <v>1625</v>
      </c>
      <c r="E2230" s="4" t="s">
        <v>1606</v>
      </c>
      <c r="F2230" s="2">
        <v>25</v>
      </c>
      <c r="G2230" s="2" t="s">
        <v>1399</v>
      </c>
      <c r="H2230" s="2" t="s">
        <v>1400</v>
      </c>
      <c r="I2230" s="4" t="s">
        <v>68</v>
      </c>
      <c r="J2230" s="112">
        <f>IF($H2230&lt;&gt;"Y",0,ROUND(MIN(Dashboard!$R$24,IF(IFERROR(VLOOKUP($B2230,Dashboard!$Q$28:$S$60,2,FALSE),0)&gt;0,IFERROR(VLOOKUP($B2230,Dashboard!$Q$28:$S$60,2,FALSE),0),$Z2230*IF($U2230&lt;&gt;"",ROUND((Dashboard!$R$4/$U2230)*VLOOKUP($I2230,Dashboard!$Q$9:$R$13,2,FALSE)*IF(ISNUMBER(SEARCH("Duals",$B2230)),2,IF(ISNUMBER(SEARCH("Triples",$B2230)),3,IF(ISNUMBER(SEARCH("Quads",$B2230)),4,1))),2),ROUND(VLOOKUP($I2230,Dashboard!$Q$15:$R$20,2,FALSE)*IF($E2230="Red",Dashboard!$R$6,IF($E2230="Gold",Dashboard!$R$7,Dashboard!$R$5))*IF(ISNUMBER(SEARCH("Duals",$B2230)),2,IF(ISNUMBER(SEARCH("Triples",$B2230)),3,IF(ISNUMBER(SEARCH("Quads",$B2230)),4,1))),2))*IF(IFERROR(VLOOKUP($B2230,Dashboard!$Q$28:$S$60,3,FALSE),0)&gt;0,VLOOKUP($B2230,Dashboard!$Q$28:$S$60,3,FALSE),1))),0))</f>
        <v>90</v>
      </c>
      <c r="K2230" s="2" t="str">
        <f>IF('Autos - Singles'!G56="","",'Autos - Singles'!G56)</f>
        <v/>
      </c>
      <c r="L2230" s="2">
        <f t="shared" si="442"/>
        <v>0</v>
      </c>
      <c r="M2230" s="2">
        <f t="shared" si="443"/>
        <v>0</v>
      </c>
      <c r="N2230" s="2">
        <f t="shared" si="444"/>
        <v>0</v>
      </c>
      <c r="O2230" s="2">
        <f t="shared" si="445"/>
        <v>1</v>
      </c>
      <c r="P2230" s="112">
        <f t="shared" si="446"/>
        <v>0</v>
      </c>
      <c r="Q2230" s="112">
        <f t="shared" si="447"/>
        <v>0</v>
      </c>
      <c r="R2230" s="53" t="s">
        <v>689</v>
      </c>
      <c r="S2230" s="53" t="str">
        <f t="shared" si="448"/>
        <v>Autos - Singles|Autographs Inscribed Parallel|A-SA|Inscribed Parallel</v>
      </c>
      <c r="T2230" s="57" t="str">
        <f>IF($S2230="","",IFERROR(VLOOKUP($S2230,'Pop Estimates (Non-#d)'!$N$2:$O$500,2,FALSE),""))</f>
        <v/>
      </c>
      <c r="U2230" s="57">
        <f t="shared" si="449"/>
        <v>25</v>
      </c>
      <c r="V2230" s="53" t="str">
        <f t="shared" si="450"/>
        <v>Lamplighter "The Seven"</v>
      </c>
      <c r="W2230" s="53" t="str">
        <f t="shared" si="451"/>
        <v>Lamplighter "The Seven"</v>
      </c>
      <c r="X2230" s="53" t="str">
        <f t="shared" si="452"/>
        <v>Lamplighter</v>
      </c>
      <c r="Y2230" s="57">
        <f>IF($X2230="","",IFERROR(VLOOKUP($X2230,'Char Popularity'!$A$2:$C$500,2,FALSE),""))</f>
        <v>2</v>
      </c>
      <c r="Z2230" s="56">
        <f>IF($X2230="",1,IFERROR(VLOOKUP($X2230,'Char Popularity'!$A$2:$C$500,3,FALSE),1))</f>
        <v>0.9</v>
      </c>
      <c r="AA2230" s="62">
        <f>IF($H2230&lt;&gt;"Y",0,(IF($F2230&lt;&gt;"",ROUND(Dashboard!$R$4/$F2230,1),IF(AND($I2230="Base",$E2230="Base"),Dashboard!$R$5,IF(AND($I2230="Base",$E2230="Red"),Dashboard!$R$6,IF(AND($I2230="Base",$E2230="Gold"),Dashboard!$R$7,VLOOKUP($I2230,Dashboard!$Q$16:$R$21,2,FALSE)))))*VLOOKUP($I2230,Dashboard!$Q$9:$R$13,2,FALSE)*IF(AND($I2230="Auto",$F2230="",OR($B2230="Autographs Duals",$B2230="Autographs Triples",$B2230="Autographs Quads",$B2230="Autographs Quads (Inscribed)")),IF($B2230="Autographs Duals",2,IF($B2230="Autographs Triples",3,4)),1)))</f>
        <v>80</v>
      </c>
      <c r="AB2230" s="62">
        <f t="shared" si="453"/>
        <v>0</v>
      </c>
      <c r="AC2230" s="62">
        <f t="shared" si="454"/>
        <v>0</v>
      </c>
    </row>
    <row r="2231" spans="1:29" ht="30" customHeight="1" x14ac:dyDescent="0.25">
      <c r="A2231" s="4" t="s">
        <v>37</v>
      </c>
      <c r="B2231" s="7" t="s">
        <v>111</v>
      </c>
      <c r="C2231" s="2" t="s">
        <v>302</v>
      </c>
      <c r="D2231" s="7" t="s">
        <v>303</v>
      </c>
      <c r="E2231" s="4" t="s">
        <v>1606</v>
      </c>
      <c r="F2231" s="2">
        <v>25</v>
      </c>
      <c r="G2231" s="2" t="s">
        <v>1399</v>
      </c>
      <c r="H2231" s="2" t="s">
        <v>1400</v>
      </c>
      <c r="I2231" s="4" t="s">
        <v>68</v>
      </c>
      <c r="J2231" s="112">
        <f>IF($H2231&lt;&gt;"Y",0,ROUND(MIN(Dashboard!$R$24,IF(IFERROR(VLOOKUP($B2231,Dashboard!$Q$28:$S$60,2,FALSE),0)&gt;0,IFERROR(VLOOKUP($B2231,Dashboard!$Q$28:$S$60,2,FALSE),0),$Z2231*IF($U2231&lt;&gt;"",ROUND((Dashboard!$R$4/$U2231)*VLOOKUP($I2231,Dashboard!$Q$9:$R$13,2,FALSE)*IF(ISNUMBER(SEARCH("Duals",$B2231)),2,IF(ISNUMBER(SEARCH("Triples",$B2231)),3,IF(ISNUMBER(SEARCH("Quads",$B2231)),4,1))),2),ROUND(VLOOKUP($I2231,Dashboard!$Q$15:$R$20,2,FALSE)*IF($E2231="Red",Dashboard!$R$6,IF($E2231="Gold",Dashboard!$R$7,Dashboard!$R$5))*IF(ISNUMBER(SEARCH("Duals",$B2231)),2,IF(ISNUMBER(SEARCH("Triples",$B2231)),3,IF(ISNUMBER(SEARCH("Quads",$B2231)),4,1))),2))*IF(IFERROR(VLOOKUP($B2231,Dashboard!$Q$28:$S$60,3,FALSE),0)&gt;0,VLOOKUP($B2231,Dashboard!$Q$28:$S$60,3,FALSE),1))),0))</f>
        <v>100</v>
      </c>
      <c r="K2231" s="2" t="str">
        <f>IF('Autos - Singles'!G57="","",'Autos - Singles'!G57)</f>
        <v/>
      </c>
      <c r="L2231" s="2">
        <f t="shared" si="442"/>
        <v>0</v>
      </c>
      <c r="M2231" s="2">
        <f t="shared" si="443"/>
        <v>0</v>
      </c>
      <c r="N2231" s="2">
        <f t="shared" si="444"/>
        <v>0</v>
      </c>
      <c r="O2231" s="2">
        <f t="shared" si="445"/>
        <v>1</v>
      </c>
      <c r="P2231" s="112">
        <f t="shared" si="446"/>
        <v>0</v>
      </c>
      <c r="Q2231" s="112">
        <f t="shared" si="447"/>
        <v>0</v>
      </c>
      <c r="R2231" s="53" t="s">
        <v>444</v>
      </c>
      <c r="S2231" s="53" t="str">
        <f t="shared" si="448"/>
        <v>Autos - Singles|Autographs Inscribed Parallel|A-SH|Inscribed Parallel</v>
      </c>
      <c r="T2231" s="57" t="str">
        <f>IF($S2231="","",IFERROR(VLOOKUP($S2231,'Pop Estimates (Non-#d)'!$N$2:$O$500,2,FALSE),""))</f>
        <v/>
      </c>
      <c r="U2231" s="57">
        <f t="shared" si="449"/>
        <v>25</v>
      </c>
      <c r="V2231" s="53" t="str">
        <f t="shared" si="450"/>
        <v>Madelyn Stillwell "Madelyn Stillwell"</v>
      </c>
      <c r="W2231" s="53" t="str">
        <f t="shared" si="451"/>
        <v>Madelyn Stillwell "Madelyn Stillwell"</v>
      </c>
      <c r="X2231" s="53" t="str">
        <f t="shared" si="452"/>
        <v>Madelyn Stillwell</v>
      </c>
      <c r="Y2231" s="57">
        <f>IF($X2231="","",IFERROR(VLOOKUP($X2231,'Char Popularity'!$A$2:$C$500,2,FALSE),""))</f>
        <v>3</v>
      </c>
      <c r="Z2231" s="56">
        <f>IF($X2231="",1,IFERROR(VLOOKUP($X2231,'Char Popularity'!$A$2:$C$500,3,FALSE),1))</f>
        <v>1</v>
      </c>
      <c r="AA2231" s="62">
        <f>IF($H2231&lt;&gt;"Y",0,(IF($F2231&lt;&gt;"",ROUND(Dashboard!$R$4/$F2231,1),IF(AND($I2231="Base",$E2231="Base"),Dashboard!$R$5,IF(AND($I2231="Base",$E2231="Red"),Dashboard!$R$6,IF(AND($I2231="Base",$E2231="Gold"),Dashboard!$R$7,VLOOKUP($I2231,Dashboard!$Q$16:$R$21,2,FALSE)))))*VLOOKUP($I2231,Dashboard!$Q$9:$R$13,2,FALSE)*IF(AND($I2231="Auto",$F2231="",OR($B2231="Autographs Duals",$B2231="Autographs Triples",$B2231="Autographs Quads",$B2231="Autographs Quads (Inscribed)")),IF($B2231="Autographs Duals",2,IF($B2231="Autographs Triples",3,4)),1)))</f>
        <v>80</v>
      </c>
      <c r="AB2231" s="62">
        <f t="shared" si="453"/>
        <v>0</v>
      </c>
      <c r="AC2231" s="62">
        <f t="shared" si="454"/>
        <v>0</v>
      </c>
    </row>
    <row r="2232" spans="1:29" ht="30" customHeight="1" x14ac:dyDescent="0.25">
      <c r="A2232" s="4" t="s">
        <v>37</v>
      </c>
      <c r="B2232" s="7" t="s">
        <v>111</v>
      </c>
      <c r="C2232" s="2" t="s">
        <v>304</v>
      </c>
      <c r="D2232" s="7" t="s">
        <v>305</v>
      </c>
      <c r="E2232" s="4" t="s">
        <v>1606</v>
      </c>
      <c r="F2232" s="2">
        <v>25</v>
      </c>
      <c r="G2232" s="2" t="s">
        <v>1399</v>
      </c>
      <c r="H2232" s="2" t="s">
        <v>1400</v>
      </c>
      <c r="I2232" s="4" t="s">
        <v>68</v>
      </c>
      <c r="J2232" s="112">
        <f>IF($H2232&lt;&gt;"Y",0,ROUND(MIN(Dashboard!$R$24,IF(IFERROR(VLOOKUP($B2232,Dashboard!$Q$28:$S$60,2,FALSE),0)&gt;0,IFERROR(VLOOKUP($B2232,Dashboard!$Q$28:$S$60,2,FALSE),0),$Z2232*IF($U2232&lt;&gt;"",ROUND((Dashboard!$R$4/$U2232)*VLOOKUP($I2232,Dashboard!$Q$9:$R$13,2,FALSE)*IF(ISNUMBER(SEARCH("Duals",$B2232)),2,IF(ISNUMBER(SEARCH("Triples",$B2232)),3,IF(ISNUMBER(SEARCH("Quads",$B2232)),4,1))),2),ROUND(VLOOKUP($I2232,Dashboard!$Q$15:$R$20,2,FALSE)*IF($E2232="Red",Dashboard!$R$6,IF($E2232="Gold",Dashboard!$R$7,Dashboard!$R$5))*IF(ISNUMBER(SEARCH("Duals",$B2232)),2,IF(ISNUMBER(SEARCH("Triples",$B2232)),3,IF(ISNUMBER(SEARCH("Quads",$B2232)),4,1))),2))*IF(IFERROR(VLOOKUP($B2232,Dashboard!$Q$28:$S$60,3,FALSE),0)&gt;0,VLOOKUP($B2232,Dashboard!$Q$28:$S$60,3,FALSE),1))),0))</f>
        <v>90</v>
      </c>
      <c r="K2232" s="2" t="str">
        <f>IF('Autos - Singles'!G58="","",'Autos - Singles'!G58)</f>
        <v/>
      </c>
      <c r="L2232" s="2">
        <f t="shared" si="442"/>
        <v>0</v>
      </c>
      <c r="M2232" s="2">
        <f t="shared" si="443"/>
        <v>0</v>
      </c>
      <c r="N2232" s="2">
        <f t="shared" si="444"/>
        <v>0</v>
      </c>
      <c r="O2232" s="2">
        <f t="shared" si="445"/>
        <v>1</v>
      </c>
      <c r="P2232" s="112">
        <f t="shared" si="446"/>
        <v>0</v>
      </c>
      <c r="Q2232" s="112">
        <f t="shared" si="447"/>
        <v>0</v>
      </c>
      <c r="R2232" s="53" t="s">
        <v>441</v>
      </c>
      <c r="S2232" s="53" t="str">
        <f t="shared" si="448"/>
        <v>Autos - Singles|Autographs Inscribed Parallel|A-SM|Inscribed Parallel</v>
      </c>
      <c r="T2232" s="57" t="str">
        <f>IF($S2232="","",IFERROR(VLOOKUP($S2232,'Pop Estimates (Non-#d)'!$N$2:$O$500,2,FALSE),""))</f>
        <v/>
      </c>
      <c r="U2232" s="57">
        <f t="shared" si="449"/>
        <v>25</v>
      </c>
      <c r="V2232" s="53" t="str">
        <f t="shared" si="450"/>
        <v>Lamplighter "Lamplighter"</v>
      </c>
      <c r="W2232" s="53" t="str">
        <f t="shared" si="451"/>
        <v>Lamplighter "Lamplighter"</v>
      </c>
      <c r="X2232" s="53" t="str">
        <f t="shared" si="452"/>
        <v>Lamplighter</v>
      </c>
      <c r="Y2232" s="57">
        <f>IF($X2232="","",IFERROR(VLOOKUP($X2232,'Char Popularity'!$A$2:$C$500,2,FALSE),""))</f>
        <v>2</v>
      </c>
      <c r="Z2232" s="56">
        <f>IF($X2232="",1,IFERROR(VLOOKUP($X2232,'Char Popularity'!$A$2:$C$500,3,FALSE),1))</f>
        <v>0.9</v>
      </c>
      <c r="AA2232" s="62">
        <f>IF($H2232&lt;&gt;"Y",0,(IF($F2232&lt;&gt;"",ROUND(Dashboard!$R$4/$F2232,1),IF(AND($I2232="Base",$E2232="Base"),Dashboard!$R$5,IF(AND($I2232="Base",$E2232="Red"),Dashboard!$R$6,IF(AND($I2232="Base",$E2232="Gold"),Dashboard!$R$7,VLOOKUP($I2232,Dashboard!$Q$16:$R$21,2,FALSE)))))*VLOOKUP($I2232,Dashboard!$Q$9:$R$13,2,FALSE)*IF(AND($I2232="Auto",$F2232="",OR($B2232="Autographs Duals",$B2232="Autographs Triples",$B2232="Autographs Quads",$B2232="Autographs Quads (Inscribed)")),IF($B2232="Autographs Duals",2,IF($B2232="Autographs Triples",3,4)),1)))</f>
        <v>80</v>
      </c>
      <c r="AB2232" s="62">
        <f t="shared" si="453"/>
        <v>0</v>
      </c>
      <c r="AC2232" s="62">
        <f t="shared" si="454"/>
        <v>0</v>
      </c>
    </row>
    <row r="2233" spans="1:29" ht="30" customHeight="1" x14ac:dyDescent="0.25">
      <c r="A2233" s="4" t="s">
        <v>37</v>
      </c>
      <c r="B2233" s="7" t="s">
        <v>111</v>
      </c>
      <c r="C2233" s="2" t="s">
        <v>306</v>
      </c>
      <c r="D2233" s="7" t="s">
        <v>1622</v>
      </c>
      <c r="E2233" s="4" t="s">
        <v>1606</v>
      </c>
      <c r="F2233" s="2">
        <v>25</v>
      </c>
      <c r="G2233" s="2" t="s">
        <v>1399</v>
      </c>
      <c r="H2233" s="2" t="s">
        <v>1400</v>
      </c>
      <c r="I2233" s="4" t="s">
        <v>68</v>
      </c>
      <c r="J2233" s="112">
        <f>IF($H2233&lt;&gt;"Y",0,ROUND(MIN(Dashboard!$R$24,IF(IFERROR(VLOOKUP($B2233,Dashboard!$Q$28:$S$60,2,FALSE),0)&gt;0,IFERROR(VLOOKUP($B2233,Dashboard!$Q$28:$S$60,2,FALSE),0),$Z2233*IF($U2233&lt;&gt;"",ROUND((Dashboard!$R$4/$U2233)*VLOOKUP($I2233,Dashboard!$Q$9:$R$13,2,FALSE)*IF(ISNUMBER(SEARCH("Duals",$B2233)),2,IF(ISNUMBER(SEARCH("Triples",$B2233)),3,IF(ISNUMBER(SEARCH("Quads",$B2233)),4,1))),2),ROUND(VLOOKUP($I2233,Dashboard!$Q$15:$R$20,2,FALSE)*IF($E2233="Red",Dashboard!$R$6,IF($E2233="Gold",Dashboard!$R$7,Dashboard!$R$5))*IF(ISNUMBER(SEARCH("Duals",$B2233)),2,IF(ISNUMBER(SEARCH("Triples",$B2233)),3,IF(ISNUMBER(SEARCH("Quads",$B2233)),4,1))),2))*IF(IFERROR(VLOOKUP($B2233,Dashboard!$Q$28:$S$60,3,FALSE),0)&gt;0,VLOOKUP($B2233,Dashboard!$Q$28:$S$60,3,FALSE),1))),0))</f>
        <v>120</v>
      </c>
      <c r="K2233" s="2" t="str">
        <f>IF('Autos - Singles'!G59="","",'Autos - Singles'!G59)</f>
        <v/>
      </c>
      <c r="L2233" s="2">
        <f t="shared" si="442"/>
        <v>0</v>
      </c>
      <c r="M2233" s="2">
        <f t="shared" si="443"/>
        <v>0</v>
      </c>
      <c r="N2233" s="2">
        <f t="shared" si="444"/>
        <v>0</v>
      </c>
      <c r="O2233" s="2">
        <f t="shared" si="445"/>
        <v>1</v>
      </c>
      <c r="P2233" s="112">
        <f t="shared" si="446"/>
        <v>0</v>
      </c>
      <c r="Q2233" s="112">
        <f t="shared" si="447"/>
        <v>0</v>
      </c>
      <c r="R2233" s="53" t="s">
        <v>1623</v>
      </c>
      <c r="S2233" s="53" t="str">
        <f t="shared" si="448"/>
        <v>Autos - Singles|Autographs Inscribed Parallel|A-SR|Inscribed Parallel</v>
      </c>
      <c r="T2233" s="57" t="str">
        <f>IF($S2233="","",IFERROR(VLOOKUP($S2233,'Pop Estimates (Non-#d)'!$N$2:$O$500,2,FALSE),""))</f>
        <v/>
      </c>
      <c r="U2233" s="57">
        <f t="shared" si="449"/>
        <v>25</v>
      </c>
      <c r="V2233" s="53" t="str">
        <f t="shared" si="450"/>
        <v>Homelander "The Homelander"</v>
      </c>
      <c r="W2233" s="53" t="str">
        <f t="shared" si="451"/>
        <v>Homelander "The Homelander"</v>
      </c>
      <c r="X2233" s="53" t="str">
        <f t="shared" si="452"/>
        <v>Homelander</v>
      </c>
      <c r="Y2233" s="57">
        <f>IF($X2233="","",IFERROR(VLOOKUP($X2233,'Char Popularity'!$A$2:$C$500,2,FALSE),""))</f>
        <v>5</v>
      </c>
      <c r="Z2233" s="56">
        <f>IF($X2233="",1,IFERROR(VLOOKUP($X2233,'Char Popularity'!$A$2:$C$500,3,FALSE),1))</f>
        <v>1.2</v>
      </c>
      <c r="AA2233" s="62">
        <f>IF($H2233&lt;&gt;"Y",0,(IF($F2233&lt;&gt;"",ROUND(Dashboard!$R$4/$F2233,1),IF(AND($I2233="Base",$E2233="Base"),Dashboard!$R$5,IF(AND($I2233="Base",$E2233="Red"),Dashboard!$R$6,IF(AND($I2233="Base",$E2233="Gold"),Dashboard!$R$7,VLOOKUP($I2233,Dashboard!$Q$16:$R$21,2,FALSE)))))*VLOOKUP($I2233,Dashboard!$Q$9:$R$13,2,FALSE)*IF(AND($I2233="Auto",$F2233="",OR($B2233="Autographs Duals",$B2233="Autographs Triples",$B2233="Autographs Quads",$B2233="Autographs Quads (Inscribed)")),IF($B2233="Autographs Duals",2,IF($B2233="Autographs Triples",3,4)),1)))</f>
        <v>80</v>
      </c>
      <c r="AB2233" s="62">
        <f t="shared" si="453"/>
        <v>0</v>
      </c>
      <c r="AC2233" s="62">
        <f t="shared" si="454"/>
        <v>0</v>
      </c>
    </row>
    <row r="2234" spans="1:29" ht="30" customHeight="1" x14ac:dyDescent="0.25">
      <c r="A2234" s="4" t="s">
        <v>37</v>
      </c>
      <c r="B2234" s="7" t="s">
        <v>111</v>
      </c>
      <c r="C2234" s="2" t="s">
        <v>307</v>
      </c>
      <c r="D2234" s="7" t="s">
        <v>1626</v>
      </c>
      <c r="E2234" s="4" t="s">
        <v>1606</v>
      </c>
      <c r="F2234" s="2">
        <v>25</v>
      </c>
      <c r="G2234" s="2" t="s">
        <v>1399</v>
      </c>
      <c r="H2234" s="2" t="s">
        <v>1400</v>
      </c>
      <c r="I2234" s="4" t="s">
        <v>68</v>
      </c>
      <c r="J2234" s="112">
        <f>IF($H2234&lt;&gt;"Y",0,ROUND(MIN(Dashboard!$R$24,IF(IFERROR(VLOOKUP($B2234,Dashboard!$Q$28:$S$60,2,FALSE),0)&gt;0,IFERROR(VLOOKUP($B2234,Dashboard!$Q$28:$S$60,2,FALSE),0),$Z2234*IF($U2234&lt;&gt;"",ROUND((Dashboard!$R$4/$U2234)*VLOOKUP($I2234,Dashboard!$Q$9:$R$13,2,FALSE)*IF(ISNUMBER(SEARCH("Duals",$B2234)),2,IF(ISNUMBER(SEARCH("Triples",$B2234)),3,IF(ISNUMBER(SEARCH("Quads",$B2234)),4,1))),2),ROUND(VLOOKUP($I2234,Dashboard!$Q$15:$R$20,2,FALSE)*IF($E2234="Red",Dashboard!$R$6,IF($E2234="Gold",Dashboard!$R$7,Dashboard!$R$5))*IF(ISNUMBER(SEARCH("Duals",$B2234)),2,IF(ISNUMBER(SEARCH("Triples",$B2234)),3,IF(ISNUMBER(SEARCH("Quads",$B2234)),4,1))),2))*IF(IFERROR(VLOOKUP($B2234,Dashboard!$Q$28:$S$60,3,FALSE),0)&gt;0,VLOOKUP($B2234,Dashboard!$Q$28:$S$60,3,FALSE),1))),0))</f>
        <v>100</v>
      </c>
      <c r="K2234" s="2" t="str">
        <f>IF('Autos - Singles'!G60="","",'Autos - Singles'!G60)</f>
        <v/>
      </c>
      <c r="L2234" s="2">
        <f t="shared" si="442"/>
        <v>0</v>
      </c>
      <c r="M2234" s="2">
        <f t="shared" si="443"/>
        <v>0</v>
      </c>
      <c r="N2234" s="2">
        <f t="shared" si="444"/>
        <v>0</v>
      </c>
      <c r="O2234" s="2">
        <f t="shared" si="445"/>
        <v>1</v>
      </c>
      <c r="P2234" s="112">
        <f t="shared" si="446"/>
        <v>0</v>
      </c>
      <c r="Q2234" s="112">
        <f t="shared" si="447"/>
        <v>0</v>
      </c>
      <c r="R2234" s="53" t="s">
        <v>537</v>
      </c>
      <c r="S2234" s="53" t="str">
        <f t="shared" si="448"/>
        <v>Autos - Singles|Autographs Inscribed Parallel|A-SS|Inscribed Parallel</v>
      </c>
      <c r="T2234" s="57" t="str">
        <f>IF($S2234="","",IFERROR(VLOOKUP($S2234,'Pop Estimates (Non-#d)'!$N$2:$O$500,2,FALSE),""))</f>
        <v/>
      </c>
      <c r="U2234" s="57">
        <f t="shared" si="449"/>
        <v>25</v>
      </c>
      <c r="V2234" s="53" t="str">
        <f t="shared" si="450"/>
        <v>Becca Butcher "Becca Butcher"</v>
      </c>
      <c r="W2234" s="53" t="str">
        <f t="shared" si="451"/>
        <v>Becca Butcher "Becca Butcher"</v>
      </c>
      <c r="X2234" s="53" t="str">
        <f t="shared" si="452"/>
        <v>Becca Butcher</v>
      </c>
      <c r="Y2234" s="57">
        <f>IF($X2234="","",IFERROR(VLOOKUP($X2234,'Char Popularity'!$A$2:$C$500,2,FALSE),""))</f>
        <v>3</v>
      </c>
      <c r="Z2234" s="56">
        <f>IF($X2234="",1,IFERROR(VLOOKUP($X2234,'Char Popularity'!$A$2:$C$500,3,FALSE),1))</f>
        <v>1</v>
      </c>
      <c r="AA2234" s="62">
        <f>IF($H2234&lt;&gt;"Y",0,(IF($F2234&lt;&gt;"",ROUND(Dashboard!$R$4/$F2234,1),IF(AND($I2234="Base",$E2234="Base"),Dashboard!$R$5,IF(AND($I2234="Base",$E2234="Red"),Dashboard!$R$6,IF(AND($I2234="Base",$E2234="Gold"),Dashboard!$R$7,VLOOKUP($I2234,Dashboard!$Q$16:$R$21,2,FALSE)))))*VLOOKUP($I2234,Dashboard!$Q$9:$R$13,2,FALSE)*IF(AND($I2234="Auto",$F2234="",OR($B2234="Autographs Duals",$B2234="Autographs Triples",$B2234="Autographs Quads",$B2234="Autographs Quads (Inscribed)")),IF($B2234="Autographs Duals",2,IF($B2234="Autographs Triples",3,4)),1)))</f>
        <v>80</v>
      </c>
      <c r="AB2234" s="62">
        <f t="shared" si="453"/>
        <v>0</v>
      </c>
      <c r="AC2234" s="62">
        <f t="shared" si="454"/>
        <v>0</v>
      </c>
    </row>
    <row r="2235" spans="1:29" ht="30" customHeight="1" x14ac:dyDescent="0.25">
      <c r="A2235" s="4" t="s">
        <v>37</v>
      </c>
      <c r="B2235" s="7" t="s">
        <v>111</v>
      </c>
      <c r="C2235" s="2" t="s">
        <v>309</v>
      </c>
      <c r="D2235" s="7" t="s">
        <v>1622</v>
      </c>
      <c r="E2235" s="4" t="s">
        <v>1606</v>
      </c>
      <c r="F2235" s="2">
        <v>25</v>
      </c>
      <c r="G2235" s="2" t="s">
        <v>1399</v>
      </c>
      <c r="H2235" s="2" t="s">
        <v>1400</v>
      </c>
      <c r="I2235" s="4" t="s">
        <v>68</v>
      </c>
      <c r="J2235" s="112">
        <f>IF($H2235&lt;&gt;"Y",0,ROUND(MIN(Dashboard!$R$24,IF(IFERROR(VLOOKUP($B2235,Dashboard!$Q$28:$S$60,2,FALSE),0)&gt;0,IFERROR(VLOOKUP($B2235,Dashboard!$Q$28:$S$60,2,FALSE),0),$Z2235*IF($U2235&lt;&gt;"",ROUND((Dashboard!$R$4/$U2235)*VLOOKUP($I2235,Dashboard!$Q$9:$R$13,2,FALSE)*IF(ISNUMBER(SEARCH("Duals",$B2235)),2,IF(ISNUMBER(SEARCH("Triples",$B2235)),3,IF(ISNUMBER(SEARCH("Quads",$B2235)),4,1))),2),ROUND(VLOOKUP($I2235,Dashboard!$Q$15:$R$20,2,FALSE)*IF($E2235="Red",Dashboard!$R$6,IF($E2235="Gold",Dashboard!$R$7,Dashboard!$R$5))*IF(ISNUMBER(SEARCH("Duals",$B2235)),2,IF(ISNUMBER(SEARCH("Triples",$B2235)),3,IF(ISNUMBER(SEARCH("Quads",$B2235)),4,1))),2))*IF(IFERROR(VLOOKUP($B2235,Dashboard!$Q$28:$S$60,3,FALSE),0)&gt;0,VLOOKUP($B2235,Dashboard!$Q$28:$S$60,3,FALSE),1))),0))</f>
        <v>120</v>
      </c>
      <c r="K2235" s="2" t="str">
        <f>IF('Autos - Singles'!G61="","",'Autos - Singles'!G61)</f>
        <v/>
      </c>
      <c r="L2235" s="2">
        <f t="shared" si="442"/>
        <v>0</v>
      </c>
      <c r="M2235" s="2">
        <f t="shared" si="443"/>
        <v>0</v>
      </c>
      <c r="N2235" s="2">
        <f t="shared" si="444"/>
        <v>0</v>
      </c>
      <c r="O2235" s="2">
        <f t="shared" si="445"/>
        <v>1</v>
      </c>
      <c r="P2235" s="112">
        <f t="shared" si="446"/>
        <v>0</v>
      </c>
      <c r="Q2235" s="112">
        <f t="shared" si="447"/>
        <v>0</v>
      </c>
      <c r="R2235" s="53" t="s">
        <v>1623</v>
      </c>
      <c r="S2235" s="53" t="str">
        <f t="shared" si="448"/>
        <v>Autos - Singles|Autographs Inscribed Parallel|A-ST|Inscribed Parallel</v>
      </c>
      <c r="T2235" s="57" t="str">
        <f>IF($S2235="","",IFERROR(VLOOKUP($S2235,'Pop Estimates (Non-#d)'!$N$2:$O$500,2,FALSE),""))</f>
        <v/>
      </c>
      <c r="U2235" s="57">
        <f t="shared" si="449"/>
        <v>25</v>
      </c>
      <c r="V2235" s="53" t="str">
        <f t="shared" si="450"/>
        <v>Homelander "The Homelander"</v>
      </c>
      <c r="W2235" s="53" t="str">
        <f t="shared" si="451"/>
        <v>Homelander "The Homelander"</v>
      </c>
      <c r="X2235" s="53" t="str">
        <f t="shared" si="452"/>
        <v>Homelander</v>
      </c>
      <c r="Y2235" s="57">
        <f>IF($X2235="","",IFERROR(VLOOKUP($X2235,'Char Popularity'!$A$2:$C$500,2,FALSE),""))</f>
        <v>5</v>
      </c>
      <c r="Z2235" s="56">
        <f>IF($X2235="",1,IFERROR(VLOOKUP($X2235,'Char Popularity'!$A$2:$C$500,3,FALSE),1))</f>
        <v>1.2</v>
      </c>
      <c r="AA2235" s="62">
        <f>IF($H2235&lt;&gt;"Y",0,(IF($F2235&lt;&gt;"",ROUND(Dashboard!$R$4/$F2235,1),IF(AND($I2235="Base",$E2235="Base"),Dashboard!$R$5,IF(AND($I2235="Base",$E2235="Red"),Dashboard!$R$6,IF(AND($I2235="Base",$E2235="Gold"),Dashboard!$R$7,VLOOKUP($I2235,Dashboard!$Q$16:$R$21,2,FALSE)))))*VLOOKUP($I2235,Dashboard!$Q$9:$R$13,2,FALSE)*IF(AND($I2235="Auto",$F2235="",OR($B2235="Autographs Duals",$B2235="Autographs Triples",$B2235="Autographs Quads",$B2235="Autographs Quads (Inscribed)")),IF($B2235="Autographs Duals",2,IF($B2235="Autographs Triples",3,4)),1)))</f>
        <v>80</v>
      </c>
      <c r="AB2235" s="62">
        <f t="shared" si="453"/>
        <v>0</v>
      </c>
      <c r="AC2235" s="62">
        <f t="shared" si="454"/>
        <v>0</v>
      </c>
    </row>
    <row r="2236" spans="1:29" ht="30" customHeight="1" x14ac:dyDescent="0.25">
      <c r="A2236" s="4" t="s">
        <v>37</v>
      </c>
      <c r="B2236" s="7" t="s">
        <v>111</v>
      </c>
      <c r="C2236" s="2" t="s">
        <v>310</v>
      </c>
      <c r="D2236" s="7" t="s">
        <v>1626</v>
      </c>
      <c r="E2236" s="4" t="s">
        <v>1606</v>
      </c>
      <c r="F2236" s="2">
        <v>25</v>
      </c>
      <c r="G2236" s="2" t="s">
        <v>1399</v>
      </c>
      <c r="H2236" s="2" t="s">
        <v>1400</v>
      </c>
      <c r="I2236" s="4" t="s">
        <v>68</v>
      </c>
      <c r="J2236" s="112">
        <f>IF($H2236&lt;&gt;"Y",0,ROUND(MIN(Dashboard!$R$24,IF(IFERROR(VLOOKUP($B2236,Dashboard!$Q$28:$S$60,2,FALSE),0)&gt;0,IFERROR(VLOOKUP($B2236,Dashboard!$Q$28:$S$60,2,FALSE),0),$Z2236*IF($U2236&lt;&gt;"",ROUND((Dashboard!$R$4/$U2236)*VLOOKUP($I2236,Dashboard!$Q$9:$R$13,2,FALSE)*IF(ISNUMBER(SEARCH("Duals",$B2236)),2,IF(ISNUMBER(SEARCH("Triples",$B2236)),3,IF(ISNUMBER(SEARCH("Quads",$B2236)),4,1))),2),ROUND(VLOOKUP($I2236,Dashboard!$Q$15:$R$20,2,FALSE)*IF($E2236="Red",Dashboard!$R$6,IF($E2236="Gold",Dashboard!$R$7,Dashboard!$R$5))*IF(ISNUMBER(SEARCH("Duals",$B2236)),2,IF(ISNUMBER(SEARCH("Triples",$B2236)),3,IF(ISNUMBER(SEARCH("Quads",$B2236)),4,1))),2))*IF(IFERROR(VLOOKUP($B2236,Dashboard!$Q$28:$S$60,3,FALSE),0)&gt;0,VLOOKUP($B2236,Dashboard!$Q$28:$S$60,3,FALSE),1))),0))</f>
        <v>100</v>
      </c>
      <c r="K2236" s="2" t="str">
        <f>IF('Autos - Singles'!G62="","",'Autos - Singles'!G62)</f>
        <v/>
      </c>
      <c r="L2236" s="2">
        <f t="shared" si="442"/>
        <v>0</v>
      </c>
      <c r="M2236" s="2">
        <f t="shared" si="443"/>
        <v>0</v>
      </c>
      <c r="N2236" s="2">
        <f t="shared" si="444"/>
        <v>0</v>
      </c>
      <c r="O2236" s="2">
        <f t="shared" si="445"/>
        <v>1</v>
      </c>
      <c r="P2236" s="112">
        <f t="shared" si="446"/>
        <v>0</v>
      </c>
      <c r="Q2236" s="112">
        <f t="shared" si="447"/>
        <v>0</v>
      </c>
      <c r="R2236" s="53" t="s">
        <v>537</v>
      </c>
      <c r="S2236" s="53" t="str">
        <f t="shared" si="448"/>
        <v>Autos - Singles|Autographs Inscribed Parallel|A-SV|Inscribed Parallel</v>
      </c>
      <c r="T2236" s="57" t="str">
        <f>IF($S2236="","",IFERROR(VLOOKUP($S2236,'Pop Estimates (Non-#d)'!$N$2:$O$500,2,FALSE),""))</f>
        <v/>
      </c>
      <c r="U2236" s="57">
        <f t="shared" si="449"/>
        <v>25</v>
      </c>
      <c r="V2236" s="53" t="str">
        <f t="shared" si="450"/>
        <v>Becca Butcher "Becca Butcher"</v>
      </c>
      <c r="W2236" s="53" t="str">
        <f t="shared" si="451"/>
        <v>Becca Butcher "Becca Butcher"</v>
      </c>
      <c r="X2236" s="53" t="str">
        <f t="shared" si="452"/>
        <v>Becca Butcher</v>
      </c>
      <c r="Y2236" s="57">
        <f>IF($X2236="","",IFERROR(VLOOKUP($X2236,'Char Popularity'!$A$2:$C$500,2,FALSE),""))</f>
        <v>3</v>
      </c>
      <c r="Z2236" s="56">
        <f>IF($X2236="",1,IFERROR(VLOOKUP($X2236,'Char Popularity'!$A$2:$C$500,3,FALSE),1))</f>
        <v>1</v>
      </c>
      <c r="AA2236" s="62">
        <f>IF($H2236&lt;&gt;"Y",0,(IF($F2236&lt;&gt;"",ROUND(Dashboard!$R$4/$F2236,1),IF(AND($I2236="Base",$E2236="Base"),Dashboard!$R$5,IF(AND($I2236="Base",$E2236="Red"),Dashboard!$R$6,IF(AND($I2236="Base",$E2236="Gold"),Dashboard!$R$7,VLOOKUP($I2236,Dashboard!$Q$16:$R$21,2,FALSE)))))*VLOOKUP($I2236,Dashboard!$Q$9:$R$13,2,FALSE)*IF(AND($I2236="Auto",$F2236="",OR($B2236="Autographs Duals",$B2236="Autographs Triples",$B2236="Autographs Quads",$B2236="Autographs Quads (Inscribed)")),IF($B2236="Autographs Duals",2,IF($B2236="Autographs Triples",3,4)),1)))</f>
        <v>80</v>
      </c>
      <c r="AB2236" s="62">
        <f t="shared" si="453"/>
        <v>0</v>
      </c>
      <c r="AC2236" s="62">
        <f t="shared" si="454"/>
        <v>0</v>
      </c>
    </row>
    <row r="2237" spans="1:29" ht="30" customHeight="1" x14ac:dyDescent="0.25">
      <c r="A2237" s="4" t="s">
        <v>37</v>
      </c>
      <c r="B2237" s="7" t="s">
        <v>111</v>
      </c>
      <c r="C2237" s="2" t="s">
        <v>311</v>
      </c>
      <c r="D2237" s="7"/>
      <c r="E2237" s="4" t="s">
        <v>1606</v>
      </c>
      <c r="F2237" s="2">
        <v>25</v>
      </c>
      <c r="G2237" s="2" t="s">
        <v>1399</v>
      </c>
      <c r="H2237" s="2" t="s">
        <v>1400</v>
      </c>
      <c r="I2237" s="4" t="s">
        <v>68</v>
      </c>
      <c r="J2237" s="112">
        <f>IF($H2237&lt;&gt;"Y",0,ROUND(MIN(Dashboard!$R$24,IF(IFERROR(VLOOKUP($B2237,Dashboard!$Q$28:$S$60,2,FALSE),0)&gt;0,IFERROR(VLOOKUP($B2237,Dashboard!$Q$28:$S$60,2,FALSE),0),$Z2237*IF($U2237&lt;&gt;"",ROUND((Dashboard!$R$4/$U2237)*VLOOKUP($I2237,Dashboard!$Q$9:$R$13,2,FALSE)*IF(ISNUMBER(SEARCH("Duals",$B2237)),2,IF(ISNUMBER(SEARCH("Triples",$B2237)),3,IF(ISNUMBER(SEARCH("Quads",$B2237)),4,1))),2),ROUND(VLOOKUP($I2237,Dashboard!$Q$15:$R$20,2,FALSE)*IF($E2237="Red",Dashboard!$R$6,IF($E2237="Gold",Dashboard!$R$7,Dashboard!$R$5))*IF(ISNUMBER(SEARCH("Duals",$B2237)),2,IF(ISNUMBER(SEARCH("Triples",$B2237)),3,IF(ISNUMBER(SEARCH("Quads",$B2237)),4,1))),2))*IF(IFERROR(VLOOKUP($B2237,Dashboard!$Q$28:$S$60,3,FALSE),0)&gt;0,VLOOKUP($B2237,Dashboard!$Q$28:$S$60,3,FALSE),1))),0))</f>
        <v>100</v>
      </c>
      <c r="K2237" s="2" t="str">
        <f>IF('Autos - Singles'!G63="","",'Autos - Singles'!G63)</f>
        <v/>
      </c>
      <c r="L2237" s="2">
        <f t="shared" si="442"/>
        <v>0</v>
      </c>
      <c r="M2237" s="2">
        <f t="shared" si="443"/>
        <v>0</v>
      </c>
      <c r="N2237" s="2">
        <f t="shared" si="444"/>
        <v>0</v>
      </c>
      <c r="O2237" s="2">
        <f t="shared" si="445"/>
        <v>1</v>
      </c>
      <c r="P2237" s="112">
        <f t="shared" si="446"/>
        <v>0</v>
      </c>
      <c r="Q2237" s="112">
        <f t="shared" si="447"/>
        <v>0</v>
      </c>
      <c r="R2237" s="53"/>
      <c r="S2237" s="53" t="str">
        <f t="shared" si="448"/>
        <v>Autos - Singles|Autographs Inscribed Parallel|A-TB|Inscribed Parallel</v>
      </c>
      <c r="T2237" s="57" t="str">
        <f>IF($S2237="","",IFERROR(VLOOKUP($S2237,'Pop Estimates (Non-#d)'!$N$2:$O$500,2,FALSE),""))</f>
        <v/>
      </c>
      <c r="U2237" s="57">
        <f t="shared" si="449"/>
        <v>25</v>
      </c>
      <c r="V2237" s="53" t="str">
        <f t="shared" si="450"/>
        <v/>
      </c>
      <c r="W2237" s="53" t="str">
        <f t="shared" si="451"/>
        <v/>
      </c>
      <c r="X2237" s="53" t="str">
        <f t="shared" si="452"/>
        <v/>
      </c>
      <c r="Y2237" s="57" t="str">
        <f>IF($X2237="","",IFERROR(VLOOKUP($X2237,'Char Popularity'!$A$2:$C$500,2,FALSE),""))</f>
        <v/>
      </c>
      <c r="Z2237" s="56">
        <f>IF($X2237="",1,IFERROR(VLOOKUP($X2237,'Char Popularity'!$A$2:$C$500,3,FALSE),1))</f>
        <v>1</v>
      </c>
      <c r="AA2237" s="62">
        <f>IF($H2237&lt;&gt;"Y",0,(IF($F2237&lt;&gt;"",ROUND(Dashboard!$R$4/$F2237,1),IF(AND($I2237="Base",$E2237="Base"),Dashboard!$R$5,IF(AND($I2237="Base",$E2237="Red"),Dashboard!$R$6,IF(AND($I2237="Base",$E2237="Gold"),Dashboard!$R$7,VLOOKUP($I2237,Dashboard!$Q$16:$R$21,2,FALSE)))))*VLOOKUP($I2237,Dashboard!$Q$9:$R$13,2,FALSE)*IF(AND($I2237="Auto",$F2237="",OR($B2237="Autographs Duals",$B2237="Autographs Triples",$B2237="Autographs Quads",$B2237="Autographs Quads (Inscribed)")),IF($B2237="Autographs Duals",2,IF($B2237="Autographs Triples",3,4)),1)))</f>
        <v>80</v>
      </c>
      <c r="AB2237" s="62">
        <f t="shared" si="453"/>
        <v>0</v>
      </c>
      <c r="AC2237" s="62">
        <f t="shared" si="454"/>
        <v>0</v>
      </c>
    </row>
    <row r="2238" spans="1:29" ht="30" customHeight="1" x14ac:dyDescent="0.25">
      <c r="A2238" s="4" t="s">
        <v>37</v>
      </c>
      <c r="B2238" s="7" t="s">
        <v>111</v>
      </c>
      <c r="C2238" s="2" t="s">
        <v>312</v>
      </c>
      <c r="D2238" s="7" t="s">
        <v>1610</v>
      </c>
      <c r="E2238" s="4" t="s">
        <v>1606</v>
      </c>
      <c r="F2238" s="2">
        <v>25</v>
      </c>
      <c r="G2238" s="2" t="s">
        <v>1399</v>
      </c>
      <c r="H2238" s="2" t="s">
        <v>1400</v>
      </c>
      <c r="I2238" s="4" t="s">
        <v>68</v>
      </c>
      <c r="J2238" s="112">
        <f>IF($H2238&lt;&gt;"Y",0,ROUND(MIN(Dashboard!$R$24,IF(IFERROR(VLOOKUP($B2238,Dashboard!$Q$28:$S$60,2,FALSE),0)&gt;0,IFERROR(VLOOKUP($B2238,Dashboard!$Q$28:$S$60,2,FALSE),0),$Z2238*IF($U2238&lt;&gt;"",ROUND((Dashboard!$R$4/$U2238)*VLOOKUP($I2238,Dashboard!$Q$9:$R$13,2,FALSE)*IF(ISNUMBER(SEARCH("Duals",$B2238)),2,IF(ISNUMBER(SEARCH("Triples",$B2238)),3,IF(ISNUMBER(SEARCH("Quads",$B2238)),4,1))),2),ROUND(VLOOKUP($I2238,Dashboard!$Q$15:$R$20,2,FALSE)*IF($E2238="Red",Dashboard!$R$6,IF($E2238="Gold",Dashboard!$R$7,Dashboard!$R$5))*IF(ISNUMBER(SEARCH("Duals",$B2238)),2,IF(ISNUMBER(SEARCH("Triples",$B2238)),3,IF(ISNUMBER(SEARCH("Quads",$B2238)),4,1))),2))*IF(IFERROR(VLOOKUP($B2238,Dashboard!$Q$28:$S$60,3,FALSE),0)&gt;0,VLOOKUP($B2238,Dashboard!$Q$28:$S$60,3,FALSE),1))),0))</f>
        <v>110</v>
      </c>
      <c r="K2238" s="2" t="str">
        <f>IF('Autos - Singles'!G64="","",'Autos - Singles'!G64)</f>
        <v/>
      </c>
      <c r="L2238" s="2">
        <f t="shared" si="442"/>
        <v>0</v>
      </c>
      <c r="M2238" s="2">
        <f t="shared" si="443"/>
        <v>0</v>
      </c>
      <c r="N2238" s="2">
        <f t="shared" si="444"/>
        <v>0</v>
      </c>
      <c r="O2238" s="2">
        <f t="shared" si="445"/>
        <v>1</v>
      </c>
      <c r="P2238" s="112">
        <f t="shared" si="446"/>
        <v>0</v>
      </c>
      <c r="Q2238" s="112">
        <f t="shared" si="447"/>
        <v>0</v>
      </c>
      <c r="R2238" s="53" t="s">
        <v>1604</v>
      </c>
      <c r="S2238" s="53" t="str">
        <f t="shared" si="448"/>
        <v>Autos - Singles|Autographs Inscribed Parallel|A-TC|Inscribed Parallel</v>
      </c>
      <c r="T2238" s="57" t="str">
        <f>IF($S2238="","",IFERROR(VLOOKUP($S2238,'Pop Estimates (Non-#d)'!$N$2:$O$500,2,FALSE),""))</f>
        <v/>
      </c>
      <c r="U2238" s="57">
        <f t="shared" si="449"/>
        <v>25</v>
      </c>
      <c r="V2238" s="53" t="str">
        <f t="shared" si="450"/>
        <v>Frenchie "The Boys"</v>
      </c>
      <c r="W2238" s="53" t="str">
        <f t="shared" si="451"/>
        <v>Frenchie "The Boys"</v>
      </c>
      <c r="X2238" s="53" t="str">
        <f t="shared" si="452"/>
        <v>Frenchie</v>
      </c>
      <c r="Y2238" s="57">
        <f>IF($X2238="","",IFERROR(VLOOKUP($X2238,'Char Popularity'!$A$2:$C$500,2,FALSE),""))</f>
        <v>4</v>
      </c>
      <c r="Z2238" s="56">
        <f>IF($X2238="",1,IFERROR(VLOOKUP($X2238,'Char Popularity'!$A$2:$C$500,3,FALSE),1))</f>
        <v>1.1000000000000001</v>
      </c>
      <c r="AA2238" s="62">
        <f>IF($H2238&lt;&gt;"Y",0,(IF($F2238&lt;&gt;"",ROUND(Dashboard!$R$4/$F2238,1),IF(AND($I2238="Base",$E2238="Base"),Dashboard!$R$5,IF(AND($I2238="Base",$E2238="Red"),Dashboard!$R$6,IF(AND($I2238="Base",$E2238="Gold"),Dashboard!$R$7,VLOOKUP($I2238,Dashboard!$Q$16:$R$21,2,FALSE)))))*VLOOKUP($I2238,Dashboard!$Q$9:$R$13,2,FALSE)*IF(AND($I2238="Auto",$F2238="",OR($B2238="Autographs Duals",$B2238="Autographs Triples",$B2238="Autographs Quads",$B2238="Autographs Quads (Inscribed)")),IF($B2238="Autographs Duals",2,IF($B2238="Autographs Triples",3,4)),1)))</f>
        <v>80</v>
      </c>
      <c r="AB2238" s="62">
        <f t="shared" si="453"/>
        <v>0</v>
      </c>
      <c r="AC2238" s="62">
        <f t="shared" si="454"/>
        <v>0</v>
      </c>
    </row>
    <row r="2239" spans="1:29" ht="30" customHeight="1" x14ac:dyDescent="0.25">
      <c r="A2239" s="4" t="s">
        <v>37</v>
      </c>
      <c r="B2239" s="7" t="s">
        <v>111</v>
      </c>
      <c r="C2239" s="2" t="s">
        <v>314</v>
      </c>
      <c r="D2239" s="7" t="s">
        <v>1619</v>
      </c>
      <c r="E2239" s="4" t="s">
        <v>1606</v>
      </c>
      <c r="F2239" s="2">
        <v>25</v>
      </c>
      <c r="G2239" s="2" t="s">
        <v>1399</v>
      </c>
      <c r="H2239" s="2" t="s">
        <v>1400</v>
      </c>
      <c r="I2239" s="4" t="s">
        <v>68</v>
      </c>
      <c r="J2239" s="112">
        <f>IF($H2239&lt;&gt;"Y",0,ROUND(MIN(Dashboard!$R$24,IF(IFERROR(VLOOKUP($B2239,Dashboard!$Q$28:$S$60,2,FALSE),0)&gt;0,IFERROR(VLOOKUP($B2239,Dashboard!$Q$28:$S$60,2,FALSE),0),$Z2239*IF($U2239&lt;&gt;"",ROUND((Dashboard!$R$4/$U2239)*VLOOKUP($I2239,Dashboard!$Q$9:$R$13,2,FALSE)*IF(ISNUMBER(SEARCH("Duals",$B2239)),2,IF(ISNUMBER(SEARCH("Triples",$B2239)),3,IF(ISNUMBER(SEARCH("Quads",$B2239)),4,1))),2),ROUND(VLOOKUP($I2239,Dashboard!$Q$15:$R$20,2,FALSE)*IF($E2239="Red",Dashboard!$R$6,IF($E2239="Gold",Dashboard!$R$7,Dashboard!$R$5))*IF(ISNUMBER(SEARCH("Duals",$B2239)),2,IF(ISNUMBER(SEARCH("Triples",$B2239)),3,IF(ISNUMBER(SEARCH("Quads",$B2239)),4,1))),2))*IF(IFERROR(VLOOKUP($B2239,Dashboard!$Q$28:$S$60,3,FALSE),0)&gt;0,VLOOKUP($B2239,Dashboard!$Q$28:$S$60,3,FALSE),1))),0))</f>
        <v>110</v>
      </c>
      <c r="K2239" s="2" t="str">
        <f>IF('Autos - Singles'!G66="","",'Autos - Singles'!G66)</f>
        <v>Y 06/25</v>
      </c>
      <c r="L2239" s="2">
        <f t="shared" si="442"/>
        <v>0</v>
      </c>
      <c r="M2239" s="2">
        <f t="shared" si="443"/>
        <v>1</v>
      </c>
      <c r="N2239" s="2">
        <f t="shared" si="444"/>
        <v>1</v>
      </c>
      <c r="O2239" s="2">
        <f t="shared" si="445"/>
        <v>0</v>
      </c>
      <c r="P2239" s="112">
        <f t="shared" si="446"/>
        <v>0</v>
      </c>
      <c r="Q2239" s="112">
        <f t="shared" si="447"/>
        <v>110</v>
      </c>
      <c r="R2239" s="53" t="s">
        <v>1620</v>
      </c>
      <c r="S2239" s="53" t="str">
        <f t="shared" si="448"/>
        <v>Autos - Singles|Autographs Inscribed Parallel|A-ZA|Inscribed Parallel</v>
      </c>
      <c r="T2239" s="57" t="str">
        <f>IF($S2239="","",IFERROR(VLOOKUP($S2239,'Pop Estimates (Non-#d)'!$N$2:$O$500,2,FALSE),""))</f>
        <v/>
      </c>
      <c r="U2239" s="57">
        <f t="shared" si="449"/>
        <v>25</v>
      </c>
      <c r="V2239" s="53" t="str">
        <f t="shared" si="450"/>
        <v>Mother's Milk "MM"</v>
      </c>
      <c r="W2239" s="53" t="str">
        <f t="shared" si="451"/>
        <v>Mother's Milk "MM"</v>
      </c>
      <c r="X2239" s="53" t="str">
        <f t="shared" si="452"/>
        <v>Mother's Milk</v>
      </c>
      <c r="Y2239" s="57">
        <f>IF($X2239="","",IFERROR(VLOOKUP($X2239,'Char Popularity'!$A$2:$C$500,2,FALSE),""))</f>
        <v>4</v>
      </c>
      <c r="Z2239" s="56">
        <f>IF($X2239="",1,IFERROR(VLOOKUP($X2239,'Char Popularity'!$A$2:$C$500,3,FALSE),1))</f>
        <v>1.1000000000000001</v>
      </c>
      <c r="AA2239" s="62">
        <f>IF($H2239&lt;&gt;"Y",0,(IF($F2239&lt;&gt;"",ROUND(Dashboard!$R$4/$F2239,1),IF(AND($I2239="Base",$E2239="Base"),Dashboard!$R$5,IF(AND($I2239="Base",$E2239="Red"),Dashboard!$R$6,IF(AND($I2239="Base",$E2239="Gold"),Dashboard!$R$7,VLOOKUP($I2239,Dashboard!$Q$16:$R$21,2,FALSE)))))*VLOOKUP($I2239,Dashboard!$Q$9:$R$13,2,FALSE)*IF(AND($I2239="Auto",$F2239="",OR($B2239="Autographs Duals",$B2239="Autographs Triples",$B2239="Autographs Quads",$B2239="Autographs Quads (Inscribed)")),IF($B2239="Autographs Duals",2,IF($B2239="Autographs Triples",3,4)),1)))</f>
        <v>80</v>
      </c>
      <c r="AB2239" s="62">
        <f t="shared" si="453"/>
        <v>0</v>
      </c>
      <c r="AC2239" s="62">
        <f t="shared" si="454"/>
        <v>80</v>
      </c>
    </row>
    <row r="2240" spans="1:29" ht="30" customHeight="1" x14ac:dyDescent="0.25">
      <c r="A2240" s="4" t="s">
        <v>37</v>
      </c>
      <c r="B2240" s="7" t="s">
        <v>111</v>
      </c>
      <c r="C2240" s="2" t="s">
        <v>315</v>
      </c>
      <c r="D2240" s="7" t="s">
        <v>1619</v>
      </c>
      <c r="E2240" s="4" t="s">
        <v>1606</v>
      </c>
      <c r="F2240" s="2">
        <v>25</v>
      </c>
      <c r="G2240" s="2" t="s">
        <v>1399</v>
      </c>
      <c r="H2240" s="2" t="s">
        <v>1400</v>
      </c>
      <c r="I2240" s="4" t="s">
        <v>68</v>
      </c>
      <c r="J2240" s="112">
        <f>IF($H2240&lt;&gt;"Y",0,ROUND(MIN(Dashboard!$R$24,IF(IFERROR(VLOOKUP($B2240,Dashboard!$Q$28:$S$60,2,FALSE),0)&gt;0,IFERROR(VLOOKUP($B2240,Dashboard!$Q$28:$S$60,2,FALSE),0),$Z2240*IF($U2240&lt;&gt;"",ROUND((Dashboard!$R$4/$U2240)*VLOOKUP($I2240,Dashboard!$Q$9:$R$13,2,FALSE)*IF(ISNUMBER(SEARCH("Duals",$B2240)),2,IF(ISNUMBER(SEARCH("Triples",$B2240)),3,IF(ISNUMBER(SEARCH("Quads",$B2240)),4,1))),2),ROUND(VLOOKUP($I2240,Dashboard!$Q$15:$R$20,2,FALSE)*IF($E2240="Red",Dashboard!$R$6,IF($E2240="Gold",Dashboard!$R$7,Dashboard!$R$5))*IF(ISNUMBER(SEARCH("Duals",$B2240)),2,IF(ISNUMBER(SEARCH("Triples",$B2240)),3,IF(ISNUMBER(SEARCH("Quads",$B2240)),4,1))),2))*IF(IFERROR(VLOOKUP($B2240,Dashboard!$Q$28:$S$60,3,FALSE),0)&gt;0,VLOOKUP($B2240,Dashboard!$Q$28:$S$60,3,FALSE),1))),0))</f>
        <v>110</v>
      </c>
      <c r="K2240" s="2" t="str">
        <f>IF('Autos - Singles'!G67="","",'Autos - Singles'!G67)</f>
        <v/>
      </c>
      <c r="L2240" s="2">
        <f t="shared" si="442"/>
        <v>0</v>
      </c>
      <c r="M2240" s="2">
        <f t="shared" si="443"/>
        <v>0</v>
      </c>
      <c r="N2240" s="2">
        <f t="shared" si="444"/>
        <v>0</v>
      </c>
      <c r="O2240" s="2">
        <f t="shared" si="445"/>
        <v>1</v>
      </c>
      <c r="P2240" s="112">
        <f t="shared" si="446"/>
        <v>0</v>
      </c>
      <c r="Q2240" s="112">
        <f t="shared" si="447"/>
        <v>0</v>
      </c>
      <c r="R2240" s="53" t="s">
        <v>1620</v>
      </c>
      <c r="S2240" s="53" t="str">
        <f t="shared" si="448"/>
        <v>Autos - Singles|Autographs Inscribed Parallel|A-ZZ|Inscribed Parallel</v>
      </c>
      <c r="T2240" s="57" t="str">
        <f>IF($S2240="","",IFERROR(VLOOKUP($S2240,'Pop Estimates (Non-#d)'!$N$2:$O$500,2,FALSE),""))</f>
        <v/>
      </c>
      <c r="U2240" s="57">
        <f t="shared" si="449"/>
        <v>25</v>
      </c>
      <c r="V2240" s="53" t="str">
        <f t="shared" si="450"/>
        <v>Mother's Milk "MM"</v>
      </c>
      <c r="W2240" s="53" t="str">
        <f t="shared" si="451"/>
        <v>Mother's Milk "MM"</v>
      </c>
      <c r="X2240" s="53" t="str">
        <f t="shared" si="452"/>
        <v>Mother's Milk</v>
      </c>
      <c r="Y2240" s="57">
        <f>IF($X2240="","",IFERROR(VLOOKUP($X2240,'Char Popularity'!$A$2:$C$500,2,FALSE),""))</f>
        <v>4</v>
      </c>
      <c r="Z2240" s="56">
        <f>IF($X2240="",1,IFERROR(VLOOKUP($X2240,'Char Popularity'!$A$2:$C$500,3,FALSE),1))</f>
        <v>1.1000000000000001</v>
      </c>
      <c r="AA2240" s="62">
        <f>IF($H2240&lt;&gt;"Y",0,(IF($F2240&lt;&gt;"",ROUND(Dashboard!$R$4/$F2240,1),IF(AND($I2240="Base",$E2240="Base"),Dashboard!$R$5,IF(AND($I2240="Base",$E2240="Red"),Dashboard!$R$6,IF(AND($I2240="Base",$E2240="Gold"),Dashboard!$R$7,VLOOKUP($I2240,Dashboard!$Q$16:$R$21,2,FALSE)))))*VLOOKUP($I2240,Dashboard!$Q$9:$R$13,2,FALSE)*IF(AND($I2240="Auto",$F2240="",OR($B2240="Autographs Duals",$B2240="Autographs Triples",$B2240="Autographs Quads",$B2240="Autographs Quads (Inscribed)")),IF($B2240="Autographs Duals",2,IF($B2240="Autographs Triples",3,4)),1)))</f>
        <v>80</v>
      </c>
      <c r="AB2240" s="62">
        <f t="shared" si="453"/>
        <v>0</v>
      </c>
      <c r="AC2240" s="62">
        <f t="shared" si="454"/>
        <v>0</v>
      </c>
    </row>
    <row r="2241" spans="1:29" ht="30" customHeight="1" x14ac:dyDescent="0.25">
      <c r="A2241" s="4" t="s">
        <v>37</v>
      </c>
      <c r="B2241" s="7" t="s">
        <v>794</v>
      </c>
      <c r="C2241" s="2" t="s">
        <v>215</v>
      </c>
      <c r="D2241" s="7" t="s">
        <v>216</v>
      </c>
      <c r="E2241" s="4" t="s">
        <v>829</v>
      </c>
      <c r="F2241" s="2">
        <v>4</v>
      </c>
      <c r="G2241" s="2" t="s">
        <v>1400</v>
      </c>
      <c r="H2241" s="2" t="s">
        <v>1399</v>
      </c>
      <c r="I2241" s="4" t="s">
        <v>68</v>
      </c>
      <c r="J2241" s="112">
        <f>IF($H2241&lt;&gt;"Y",0,ROUND(MIN(Dashboard!$R$24,IF(IFERROR(VLOOKUP($B2241,Dashboard!$Q$28:$S$60,2,FALSE),0)&gt;0,IFERROR(VLOOKUP($B2241,Dashboard!$Q$28:$S$60,2,FALSE),0),$Z2241*IF($U2241&lt;&gt;"",ROUND((Dashboard!$R$4/$U2241)*VLOOKUP($I2241,Dashboard!$Q$9:$R$13,2,FALSE)*IF(ISNUMBER(SEARCH("Duals",$B2241)),2,IF(ISNUMBER(SEARCH("Triples",$B2241)),3,IF(ISNUMBER(SEARCH("Quads",$B2241)),4,1))),2),ROUND(VLOOKUP($I2241,Dashboard!$Q$15:$R$20,2,FALSE)*IF($E2241="Red",Dashboard!$R$6,IF($E2241="Gold",Dashboard!$R$7,Dashboard!$R$5))*IF(ISNUMBER(SEARCH("Duals",$B2241)),2,IF(ISNUMBER(SEARCH("Triples",$B2241)),3,IF(ISNUMBER(SEARCH("Quads",$B2241)),4,1))),2))*IF(IFERROR(VLOOKUP($B2241,Dashboard!$Q$28:$S$60,3,FALSE),0)&gt;0,VLOOKUP($B2241,Dashboard!$Q$28:$S$60,3,FALSE),1))),0))</f>
        <v>0</v>
      </c>
      <c r="K2241" s="2" t="str">
        <f>IF('Autos - Singles'!I2="","",'Autos - Singles'!I2)</f>
        <v/>
      </c>
      <c r="L2241" s="2">
        <f t="shared" si="442"/>
        <v>0</v>
      </c>
      <c r="M2241" s="2">
        <f t="shared" si="443"/>
        <v>0</v>
      </c>
      <c r="N2241" s="2">
        <f t="shared" si="444"/>
        <v>0</v>
      </c>
      <c r="O2241" s="2">
        <f t="shared" si="445"/>
        <v>0</v>
      </c>
      <c r="P2241" s="112">
        <f t="shared" si="446"/>
        <v>0</v>
      </c>
      <c r="Q2241" s="112">
        <f t="shared" si="447"/>
        <v>0</v>
      </c>
      <c r="R2241" s="53"/>
      <c r="S2241" s="53" t="str">
        <f t="shared" si="448"/>
        <v>Autos - Singles|Autographs Printing Plates Parallel|A-AH|Printing Plate</v>
      </c>
      <c r="T2241" s="57" t="str">
        <f>IF($S2241="","",IFERROR(VLOOKUP($S2241,'Pop Estimates (Non-#d)'!$N$2:$O$500,2,FALSE),""))</f>
        <v/>
      </c>
      <c r="U2241" s="57">
        <f t="shared" si="449"/>
        <v>4</v>
      </c>
      <c r="V2241" s="53" t="str">
        <f t="shared" si="450"/>
        <v>Translucent</v>
      </c>
      <c r="W2241" s="53" t="str">
        <f t="shared" si="451"/>
        <v>Translucent</v>
      </c>
      <c r="X2241" s="53" t="str">
        <f t="shared" si="452"/>
        <v>Translucent</v>
      </c>
      <c r="Y2241" s="57">
        <f>IF($X2241="","",IFERROR(VLOOKUP($X2241,'Char Popularity'!$A$2:$C$500,2,FALSE),""))</f>
        <v>2</v>
      </c>
      <c r="Z2241" s="56">
        <f>IF($X2241="",1,IFERROR(VLOOKUP($X2241,'Char Popularity'!$A$2:$C$500,3,FALSE),1))</f>
        <v>0.9</v>
      </c>
      <c r="AA2241" s="62">
        <f>IF($H2241&lt;&gt;"Y",0,(IF($F2241&lt;&gt;"",ROUND(Dashboard!$R$4/$F2241,1),IF(AND($I2241="Base",$E2241="Base"),Dashboard!$R$5,IF(AND($I2241="Base",$E2241="Red"),Dashboard!$R$6,IF(AND($I2241="Base",$E2241="Gold"),Dashboard!$R$7,VLOOKUP($I2241,Dashboard!$Q$16:$R$21,2,FALSE)))))*VLOOKUP($I2241,Dashboard!$Q$9:$R$13,2,FALSE)*IF(AND($I2241="Auto",$F2241="",OR($B2241="Autographs Duals",$B2241="Autographs Triples",$B2241="Autographs Quads",$B2241="Autographs Quads (Inscribed)")),IF($B2241="Autographs Duals",2,IF($B2241="Autographs Triples",3,4)),1)))</f>
        <v>0</v>
      </c>
      <c r="AB2241" s="62">
        <f t="shared" si="453"/>
        <v>0</v>
      </c>
      <c r="AC2241" s="62">
        <f t="shared" si="454"/>
        <v>0</v>
      </c>
    </row>
    <row r="2242" spans="1:29" ht="30" customHeight="1" x14ac:dyDescent="0.25">
      <c r="A2242" s="4" t="s">
        <v>37</v>
      </c>
      <c r="B2242" s="7" t="s">
        <v>794</v>
      </c>
      <c r="C2242" s="2" t="s">
        <v>219</v>
      </c>
      <c r="D2242" s="7" t="s">
        <v>224</v>
      </c>
      <c r="E2242" s="4" t="s">
        <v>829</v>
      </c>
      <c r="F2242" s="2">
        <v>4</v>
      </c>
      <c r="G2242" s="2" t="s">
        <v>1400</v>
      </c>
      <c r="H2242" s="2" t="s">
        <v>1399</v>
      </c>
      <c r="I2242" s="4" t="s">
        <v>68</v>
      </c>
      <c r="J2242" s="112">
        <f>IF($H2242&lt;&gt;"Y",0,ROUND(MIN(Dashboard!$R$24,IF(IFERROR(VLOOKUP($B2242,Dashboard!$Q$28:$S$60,2,FALSE),0)&gt;0,IFERROR(VLOOKUP($B2242,Dashboard!$Q$28:$S$60,2,FALSE),0),$Z2242*IF($U2242&lt;&gt;"",ROUND((Dashboard!$R$4/$U2242)*VLOOKUP($I2242,Dashboard!$Q$9:$R$13,2,FALSE)*IF(ISNUMBER(SEARCH("Duals",$B2242)),2,IF(ISNUMBER(SEARCH("Triples",$B2242)),3,IF(ISNUMBER(SEARCH("Quads",$B2242)),4,1))),2),ROUND(VLOOKUP($I2242,Dashboard!$Q$15:$R$20,2,FALSE)*IF($E2242="Red",Dashboard!$R$6,IF($E2242="Gold",Dashboard!$R$7,Dashboard!$R$5))*IF(ISNUMBER(SEARCH("Duals",$B2242)),2,IF(ISNUMBER(SEARCH("Triples",$B2242)),3,IF(ISNUMBER(SEARCH("Quads",$B2242)),4,1))),2))*IF(IFERROR(VLOOKUP($B2242,Dashboard!$Q$28:$S$60,3,FALSE),0)&gt;0,VLOOKUP($B2242,Dashboard!$Q$28:$S$60,3,FALSE),1))),0))</f>
        <v>0</v>
      </c>
      <c r="K2242" s="2" t="str">
        <f>IF('Autos - Singles'!I3="","",'Autos - Singles'!I3)</f>
        <v/>
      </c>
      <c r="L2242" s="2">
        <f t="shared" ref="L2242:L2305" si="455">IF(AND($K2242&lt;&gt;"",LEFT($K2242,1)&lt;&gt;"Y"),1,0)</f>
        <v>0</v>
      </c>
      <c r="M2242" s="2">
        <f t="shared" ref="M2242:M2305" si="456">IF(LEFT($K2242,1)="Y",1,0)</f>
        <v>0</v>
      </c>
      <c r="N2242" s="2">
        <f t="shared" ref="N2242:N2305" si="457">$L2242+$M2242</f>
        <v>0</v>
      </c>
      <c r="O2242" s="2">
        <f t="shared" ref="O2242:O2305" si="458">IF($H2242="Y",1-$N2242,0)</f>
        <v>0</v>
      </c>
      <c r="P2242" s="112">
        <f t="shared" ref="P2242:P2305" si="459">IF($L2242=1,$J2242,0)</f>
        <v>0</v>
      </c>
      <c r="Q2242" s="112">
        <f t="shared" ref="Q2242:Q2305" si="460">IF($M2242=1,$J2242,0)</f>
        <v>0</v>
      </c>
      <c r="R2242" s="53"/>
      <c r="S2242" s="53" t="str">
        <f t="shared" ref="S2242:S2305" si="461">IF($A2242="","",$A2242&amp;"|"&amp;$B2242&amp;"|"&amp;$C2242&amp;"|"&amp;$E2242)</f>
        <v>Autos - Singles|Autographs Printing Plates Parallel|A-AL|Printing Plate</v>
      </c>
      <c r="T2242" s="57" t="str">
        <f>IF($S2242="","",IFERROR(VLOOKUP($S2242,'Pop Estimates (Non-#d)'!$N$2:$O$500,2,FALSE),""))</f>
        <v/>
      </c>
      <c r="U2242" s="57">
        <f t="shared" ref="U2242:U2305" si="462">IF($A2242="","",IF($F2242&lt;&gt;"",$F2242,$T2242))</f>
        <v>4</v>
      </c>
      <c r="V2242" s="53" t="str">
        <f t="shared" ref="V2242:V2305" si="463">IF($A2242="","",IF(ISNUMBER(SEARCH(" as ",$D2242)),MID($D2242,SEARCH(" as ",$D2242)+4,255),IF(ISNUMBER(SEARCH("/",$D2242)),LEFT($D2242,FIND("/",$D2242&amp;"/")-1),"")))</f>
        <v>Popclaw</v>
      </c>
      <c r="W2242" s="53" t="str">
        <f t="shared" ref="W2242:W2305" si="464">IF($V2242="","",TRIM(IFERROR(MID($V2242,SEARCH("(", $V2242)+1,SEARCH(")",$V2242)-SEARCH("(", $V2242)-1),$V2242)))</f>
        <v>Popclaw</v>
      </c>
      <c r="X2242" s="53" t="str">
        <f t="shared" ref="X2242:X2305" si="465">IF($W2242="","",TRIM(LEFT($W2242&amp;"""",FIND("""",$W2242&amp;"""")-1)))</f>
        <v>Popclaw</v>
      </c>
      <c r="Y2242" s="57">
        <f>IF($X2242="","",IFERROR(VLOOKUP($X2242,'Char Popularity'!$A$2:$C$500,2,FALSE),""))</f>
        <v>2</v>
      </c>
      <c r="Z2242" s="56">
        <f>IF($X2242="",1,IFERROR(VLOOKUP($X2242,'Char Popularity'!$A$2:$C$500,3,FALSE),1))</f>
        <v>0.9</v>
      </c>
      <c r="AA2242" s="62">
        <f>IF($H2242&lt;&gt;"Y",0,(IF($F2242&lt;&gt;"",ROUND(Dashboard!$R$4/$F2242,1),IF(AND($I2242="Base",$E2242="Base"),Dashboard!$R$5,IF(AND($I2242="Base",$E2242="Red"),Dashboard!$R$6,IF(AND($I2242="Base",$E2242="Gold"),Dashboard!$R$7,VLOOKUP($I2242,Dashboard!$Q$16:$R$21,2,FALSE)))))*VLOOKUP($I2242,Dashboard!$Q$9:$R$13,2,FALSE)*IF(AND($I2242="Auto",$F2242="",OR($B2242="Autographs Duals",$B2242="Autographs Triples",$B2242="Autographs Quads",$B2242="Autographs Quads (Inscribed)")),IF($B2242="Autographs Duals",2,IF($B2242="Autographs Triples",3,4)),1)))</f>
        <v>0</v>
      </c>
      <c r="AB2242" s="62">
        <f t="shared" ref="AB2242:AB2305" si="466">IF($L2242=1,$AA2242,0)</f>
        <v>0</v>
      </c>
      <c r="AC2242" s="62">
        <f t="shared" ref="AC2242:AC2305" si="467">IF($M2242=1,$AA2242,0)</f>
        <v>0</v>
      </c>
    </row>
    <row r="2243" spans="1:29" ht="30" customHeight="1" x14ac:dyDescent="0.25">
      <c r="A2243" s="4" t="s">
        <v>37</v>
      </c>
      <c r="B2243" s="7" t="s">
        <v>794</v>
      </c>
      <c r="C2243" s="2" t="s">
        <v>221</v>
      </c>
      <c r="D2243" s="7" t="s">
        <v>222</v>
      </c>
      <c r="E2243" s="4" t="s">
        <v>829</v>
      </c>
      <c r="F2243" s="2">
        <v>4</v>
      </c>
      <c r="G2243" s="2" t="s">
        <v>1400</v>
      </c>
      <c r="H2243" s="2" t="s">
        <v>1399</v>
      </c>
      <c r="I2243" s="4" t="s">
        <v>68</v>
      </c>
      <c r="J2243" s="112">
        <f>IF($H2243&lt;&gt;"Y",0,ROUND(MIN(Dashboard!$R$24,IF(IFERROR(VLOOKUP($B2243,Dashboard!$Q$28:$S$60,2,FALSE),0)&gt;0,IFERROR(VLOOKUP($B2243,Dashboard!$Q$28:$S$60,2,FALSE),0),$Z2243*IF($U2243&lt;&gt;"",ROUND((Dashboard!$R$4/$U2243)*VLOOKUP($I2243,Dashboard!$Q$9:$R$13,2,FALSE)*IF(ISNUMBER(SEARCH("Duals",$B2243)),2,IF(ISNUMBER(SEARCH("Triples",$B2243)),3,IF(ISNUMBER(SEARCH("Quads",$B2243)),4,1))),2),ROUND(VLOOKUP($I2243,Dashboard!$Q$15:$R$20,2,FALSE)*IF($E2243="Red",Dashboard!$R$6,IF($E2243="Gold",Dashboard!$R$7,Dashboard!$R$5))*IF(ISNUMBER(SEARCH("Duals",$B2243)),2,IF(ISNUMBER(SEARCH("Triples",$B2243)),3,IF(ISNUMBER(SEARCH("Quads",$B2243)),4,1))),2))*IF(IFERROR(VLOOKUP($B2243,Dashboard!$Q$28:$S$60,3,FALSE),0)&gt;0,VLOOKUP($B2243,Dashboard!$Q$28:$S$60,3,FALSE),1))),0))</f>
        <v>0</v>
      </c>
      <c r="K2243" s="2" t="str">
        <f>IF('Autos - Singles'!I4="","",'Autos - Singles'!I4)</f>
        <v/>
      </c>
      <c r="L2243" s="2">
        <f t="shared" si="455"/>
        <v>0</v>
      </c>
      <c r="M2243" s="2">
        <f t="shared" si="456"/>
        <v>0</v>
      </c>
      <c r="N2243" s="2">
        <f t="shared" si="457"/>
        <v>0</v>
      </c>
      <c r="O2243" s="2">
        <f t="shared" si="458"/>
        <v>0</v>
      </c>
      <c r="P2243" s="112">
        <f t="shared" si="459"/>
        <v>0</v>
      </c>
      <c r="Q2243" s="112">
        <f t="shared" si="460"/>
        <v>0</v>
      </c>
      <c r="R2243" s="53"/>
      <c r="S2243" s="53" t="str">
        <f t="shared" si="461"/>
        <v>Autos - Singles|Autographs Printing Plates Parallel|A-AS|Printing Plate</v>
      </c>
      <c r="T2243" s="57" t="str">
        <f>IF($S2243="","",IFERROR(VLOOKUP($S2243,'Pop Estimates (Non-#d)'!$N$2:$O$500,2,FALSE),""))</f>
        <v/>
      </c>
      <c r="U2243" s="57">
        <f t="shared" si="462"/>
        <v>4</v>
      </c>
      <c r="V2243" s="53" t="str">
        <f t="shared" si="463"/>
        <v>Homelander</v>
      </c>
      <c r="W2243" s="53" t="str">
        <f t="shared" si="464"/>
        <v>Homelander</v>
      </c>
      <c r="X2243" s="53" t="str">
        <f t="shared" si="465"/>
        <v>Homelander</v>
      </c>
      <c r="Y2243" s="57">
        <f>IF($X2243="","",IFERROR(VLOOKUP($X2243,'Char Popularity'!$A$2:$C$500,2,FALSE),""))</f>
        <v>5</v>
      </c>
      <c r="Z2243" s="56">
        <f>IF($X2243="",1,IFERROR(VLOOKUP($X2243,'Char Popularity'!$A$2:$C$500,3,FALSE),1))</f>
        <v>1.2</v>
      </c>
      <c r="AA2243" s="62">
        <f>IF($H2243&lt;&gt;"Y",0,(IF($F2243&lt;&gt;"",ROUND(Dashboard!$R$4/$F2243,1),IF(AND($I2243="Base",$E2243="Base"),Dashboard!$R$5,IF(AND($I2243="Base",$E2243="Red"),Dashboard!$R$6,IF(AND($I2243="Base",$E2243="Gold"),Dashboard!$R$7,VLOOKUP($I2243,Dashboard!$Q$16:$R$21,2,FALSE)))))*VLOOKUP($I2243,Dashboard!$Q$9:$R$13,2,FALSE)*IF(AND($I2243="Auto",$F2243="",OR($B2243="Autographs Duals",$B2243="Autographs Triples",$B2243="Autographs Quads",$B2243="Autographs Quads (Inscribed)")),IF($B2243="Autographs Duals",2,IF($B2243="Autographs Triples",3,4)),1)))</f>
        <v>0</v>
      </c>
      <c r="AB2243" s="62">
        <f t="shared" si="466"/>
        <v>0</v>
      </c>
      <c r="AC2243" s="62">
        <f t="shared" si="467"/>
        <v>0</v>
      </c>
    </row>
    <row r="2244" spans="1:29" ht="30" customHeight="1" x14ac:dyDescent="0.25">
      <c r="A2244" s="4" t="s">
        <v>37</v>
      </c>
      <c r="B2244" s="7" t="s">
        <v>794</v>
      </c>
      <c r="C2244" s="2" t="s">
        <v>223</v>
      </c>
      <c r="D2244" s="7" t="s">
        <v>224</v>
      </c>
      <c r="E2244" s="4" t="s">
        <v>829</v>
      </c>
      <c r="F2244" s="2">
        <v>4</v>
      </c>
      <c r="G2244" s="2" t="s">
        <v>1400</v>
      </c>
      <c r="H2244" s="2" t="s">
        <v>1399</v>
      </c>
      <c r="I2244" s="4" t="s">
        <v>68</v>
      </c>
      <c r="J2244" s="112">
        <f>IF($H2244&lt;&gt;"Y",0,ROUND(MIN(Dashboard!$R$24,IF(IFERROR(VLOOKUP($B2244,Dashboard!$Q$28:$S$60,2,FALSE),0)&gt;0,IFERROR(VLOOKUP($B2244,Dashboard!$Q$28:$S$60,2,FALSE),0),$Z2244*IF($U2244&lt;&gt;"",ROUND((Dashboard!$R$4/$U2244)*VLOOKUP($I2244,Dashboard!$Q$9:$R$13,2,FALSE)*IF(ISNUMBER(SEARCH("Duals",$B2244)),2,IF(ISNUMBER(SEARCH("Triples",$B2244)),3,IF(ISNUMBER(SEARCH("Quads",$B2244)),4,1))),2),ROUND(VLOOKUP($I2244,Dashboard!$Q$15:$R$20,2,FALSE)*IF($E2244="Red",Dashboard!$R$6,IF($E2244="Gold",Dashboard!$R$7,Dashboard!$R$5))*IF(ISNUMBER(SEARCH("Duals",$B2244)),2,IF(ISNUMBER(SEARCH("Triples",$B2244)),3,IF(ISNUMBER(SEARCH("Quads",$B2244)),4,1))),2))*IF(IFERROR(VLOOKUP($B2244,Dashboard!$Q$28:$S$60,3,FALSE),0)&gt;0,VLOOKUP($B2244,Dashboard!$Q$28:$S$60,3,FALSE),1))),0))</f>
        <v>0</v>
      </c>
      <c r="K2244" s="2" t="str">
        <f>IF('Autos - Singles'!I5="","",'Autos - Singles'!I5)</f>
        <v/>
      </c>
      <c r="L2244" s="2">
        <f t="shared" si="455"/>
        <v>0</v>
      </c>
      <c r="M2244" s="2">
        <f t="shared" si="456"/>
        <v>0</v>
      </c>
      <c r="N2244" s="2">
        <f t="shared" si="457"/>
        <v>0</v>
      </c>
      <c r="O2244" s="2">
        <f t="shared" si="458"/>
        <v>0</v>
      </c>
      <c r="P2244" s="112">
        <f t="shared" si="459"/>
        <v>0</v>
      </c>
      <c r="Q2244" s="112">
        <f t="shared" si="460"/>
        <v>0</v>
      </c>
      <c r="R2244" s="53"/>
      <c r="S2244" s="53" t="str">
        <f t="shared" si="461"/>
        <v>Autos - Singles|Autographs Printing Plates Parallel|A-BA|Printing Plate</v>
      </c>
      <c r="T2244" s="57" t="str">
        <f>IF($S2244="","",IFERROR(VLOOKUP($S2244,'Pop Estimates (Non-#d)'!$N$2:$O$500,2,FALSE),""))</f>
        <v/>
      </c>
      <c r="U2244" s="57">
        <f t="shared" si="462"/>
        <v>4</v>
      </c>
      <c r="V2244" s="53" t="str">
        <f t="shared" si="463"/>
        <v>Popclaw</v>
      </c>
      <c r="W2244" s="53" t="str">
        <f t="shared" si="464"/>
        <v>Popclaw</v>
      </c>
      <c r="X2244" s="53" t="str">
        <f t="shared" si="465"/>
        <v>Popclaw</v>
      </c>
      <c r="Y2244" s="57">
        <f>IF($X2244="","",IFERROR(VLOOKUP($X2244,'Char Popularity'!$A$2:$C$500,2,FALSE),""))</f>
        <v>2</v>
      </c>
      <c r="Z2244" s="56">
        <f>IF($X2244="",1,IFERROR(VLOOKUP($X2244,'Char Popularity'!$A$2:$C$500,3,FALSE),1))</f>
        <v>0.9</v>
      </c>
      <c r="AA2244" s="62">
        <f>IF($H2244&lt;&gt;"Y",0,(IF($F2244&lt;&gt;"",ROUND(Dashboard!$R$4/$F2244,1),IF(AND($I2244="Base",$E2244="Base"),Dashboard!$R$5,IF(AND($I2244="Base",$E2244="Red"),Dashboard!$R$6,IF(AND($I2244="Base",$E2244="Gold"),Dashboard!$R$7,VLOOKUP($I2244,Dashboard!$Q$16:$R$21,2,FALSE)))))*VLOOKUP($I2244,Dashboard!$Q$9:$R$13,2,FALSE)*IF(AND($I2244="Auto",$F2244="",OR($B2244="Autographs Duals",$B2244="Autographs Triples",$B2244="Autographs Quads",$B2244="Autographs Quads (Inscribed)")),IF($B2244="Autographs Duals",2,IF($B2244="Autographs Triples",3,4)),1)))</f>
        <v>0</v>
      </c>
      <c r="AB2244" s="62">
        <f t="shared" si="466"/>
        <v>0</v>
      </c>
      <c r="AC2244" s="62">
        <f t="shared" si="467"/>
        <v>0</v>
      </c>
    </row>
    <row r="2245" spans="1:29" ht="30" customHeight="1" x14ac:dyDescent="0.25">
      <c r="A2245" s="4" t="s">
        <v>37</v>
      </c>
      <c r="B2245" s="7" t="s">
        <v>794</v>
      </c>
      <c r="C2245" s="2" t="s">
        <v>225</v>
      </c>
      <c r="D2245" s="7" t="s">
        <v>224</v>
      </c>
      <c r="E2245" s="4" t="s">
        <v>829</v>
      </c>
      <c r="F2245" s="2">
        <v>4</v>
      </c>
      <c r="G2245" s="2" t="s">
        <v>1400</v>
      </c>
      <c r="H2245" s="2" t="s">
        <v>1399</v>
      </c>
      <c r="I2245" s="4" t="s">
        <v>68</v>
      </c>
      <c r="J2245" s="112">
        <f>IF($H2245&lt;&gt;"Y",0,ROUND(MIN(Dashboard!$R$24,IF(IFERROR(VLOOKUP($B2245,Dashboard!$Q$28:$S$60,2,FALSE),0)&gt;0,IFERROR(VLOOKUP($B2245,Dashboard!$Q$28:$S$60,2,FALSE),0),$Z2245*IF($U2245&lt;&gt;"",ROUND((Dashboard!$R$4/$U2245)*VLOOKUP($I2245,Dashboard!$Q$9:$R$13,2,FALSE)*IF(ISNUMBER(SEARCH("Duals",$B2245)),2,IF(ISNUMBER(SEARCH("Triples",$B2245)),3,IF(ISNUMBER(SEARCH("Quads",$B2245)),4,1))),2),ROUND(VLOOKUP($I2245,Dashboard!$Q$15:$R$20,2,FALSE)*IF($E2245="Red",Dashboard!$R$6,IF($E2245="Gold",Dashboard!$R$7,Dashboard!$R$5))*IF(ISNUMBER(SEARCH("Duals",$B2245)),2,IF(ISNUMBER(SEARCH("Triples",$B2245)),3,IF(ISNUMBER(SEARCH("Quads",$B2245)),4,1))),2))*IF(IFERROR(VLOOKUP($B2245,Dashboard!$Q$28:$S$60,3,FALSE),0)&gt;0,VLOOKUP($B2245,Dashboard!$Q$28:$S$60,3,FALSE),1))),0))</f>
        <v>0</v>
      </c>
      <c r="K2245" s="2" t="str">
        <f>IF('Autos - Singles'!I6="","",'Autos - Singles'!I6)</f>
        <v/>
      </c>
      <c r="L2245" s="2">
        <f t="shared" si="455"/>
        <v>0</v>
      </c>
      <c r="M2245" s="2">
        <f t="shared" si="456"/>
        <v>0</v>
      </c>
      <c r="N2245" s="2">
        <f t="shared" si="457"/>
        <v>0</v>
      </c>
      <c r="O2245" s="2">
        <f t="shared" si="458"/>
        <v>0</v>
      </c>
      <c r="P2245" s="112">
        <f t="shared" si="459"/>
        <v>0</v>
      </c>
      <c r="Q2245" s="112">
        <f t="shared" si="460"/>
        <v>0</v>
      </c>
      <c r="R2245" s="53"/>
      <c r="S2245" s="53" t="str">
        <f t="shared" si="461"/>
        <v>Autos - Singles|Autographs Printing Plates Parallel|A-BI|Printing Plate</v>
      </c>
      <c r="T2245" s="57" t="str">
        <f>IF($S2245="","",IFERROR(VLOOKUP($S2245,'Pop Estimates (Non-#d)'!$N$2:$O$500,2,FALSE),""))</f>
        <v/>
      </c>
      <c r="U2245" s="57">
        <f t="shared" si="462"/>
        <v>4</v>
      </c>
      <c r="V2245" s="53" t="str">
        <f t="shared" si="463"/>
        <v>Popclaw</v>
      </c>
      <c r="W2245" s="53" t="str">
        <f t="shared" si="464"/>
        <v>Popclaw</v>
      </c>
      <c r="X2245" s="53" t="str">
        <f t="shared" si="465"/>
        <v>Popclaw</v>
      </c>
      <c r="Y2245" s="57">
        <f>IF($X2245="","",IFERROR(VLOOKUP($X2245,'Char Popularity'!$A$2:$C$500,2,FALSE),""))</f>
        <v>2</v>
      </c>
      <c r="Z2245" s="56">
        <f>IF($X2245="",1,IFERROR(VLOOKUP($X2245,'Char Popularity'!$A$2:$C$500,3,FALSE),1))</f>
        <v>0.9</v>
      </c>
      <c r="AA2245" s="62">
        <f>IF($H2245&lt;&gt;"Y",0,(IF($F2245&lt;&gt;"",ROUND(Dashboard!$R$4/$F2245,1),IF(AND($I2245="Base",$E2245="Base"),Dashboard!$R$5,IF(AND($I2245="Base",$E2245="Red"),Dashboard!$R$6,IF(AND($I2245="Base",$E2245="Gold"),Dashboard!$R$7,VLOOKUP($I2245,Dashboard!$Q$16:$R$21,2,FALSE)))))*VLOOKUP($I2245,Dashboard!$Q$9:$R$13,2,FALSE)*IF(AND($I2245="Auto",$F2245="",OR($B2245="Autographs Duals",$B2245="Autographs Triples",$B2245="Autographs Quads",$B2245="Autographs Quads (Inscribed)")),IF($B2245="Autographs Duals",2,IF($B2245="Autographs Triples",3,4)),1)))</f>
        <v>0</v>
      </c>
      <c r="AB2245" s="62">
        <f t="shared" si="466"/>
        <v>0</v>
      </c>
      <c r="AC2245" s="62">
        <f t="shared" si="467"/>
        <v>0</v>
      </c>
    </row>
    <row r="2246" spans="1:29" ht="30" customHeight="1" x14ac:dyDescent="0.25">
      <c r="A2246" s="4" t="s">
        <v>37</v>
      </c>
      <c r="B2246" s="7" t="s">
        <v>794</v>
      </c>
      <c r="C2246" s="2" t="s">
        <v>226</v>
      </c>
      <c r="D2246" s="7" t="s">
        <v>224</v>
      </c>
      <c r="E2246" s="4" t="s">
        <v>829</v>
      </c>
      <c r="F2246" s="2">
        <v>4</v>
      </c>
      <c r="G2246" s="2" t="s">
        <v>1400</v>
      </c>
      <c r="H2246" s="2" t="s">
        <v>1399</v>
      </c>
      <c r="I2246" s="4" t="s">
        <v>68</v>
      </c>
      <c r="J2246" s="112">
        <f>IF($H2246&lt;&gt;"Y",0,ROUND(MIN(Dashboard!$R$24,IF(IFERROR(VLOOKUP($B2246,Dashboard!$Q$28:$S$60,2,FALSE),0)&gt;0,IFERROR(VLOOKUP($B2246,Dashboard!$Q$28:$S$60,2,FALSE),0),$Z2246*IF($U2246&lt;&gt;"",ROUND((Dashboard!$R$4/$U2246)*VLOOKUP($I2246,Dashboard!$Q$9:$R$13,2,FALSE)*IF(ISNUMBER(SEARCH("Duals",$B2246)),2,IF(ISNUMBER(SEARCH("Triples",$B2246)),3,IF(ISNUMBER(SEARCH("Quads",$B2246)),4,1))),2),ROUND(VLOOKUP($I2246,Dashboard!$Q$15:$R$20,2,FALSE)*IF($E2246="Red",Dashboard!$R$6,IF($E2246="Gold",Dashboard!$R$7,Dashboard!$R$5))*IF(ISNUMBER(SEARCH("Duals",$B2246)),2,IF(ISNUMBER(SEARCH("Triples",$B2246)),3,IF(ISNUMBER(SEARCH("Quads",$B2246)),4,1))),2))*IF(IFERROR(VLOOKUP($B2246,Dashboard!$Q$28:$S$60,3,FALSE),0)&gt;0,VLOOKUP($B2246,Dashboard!$Q$28:$S$60,3,FALSE),1))),0))</f>
        <v>0</v>
      </c>
      <c r="K2246" s="2" t="str">
        <f>IF('Autos - Singles'!I7="","",'Autos - Singles'!I7)</f>
        <v/>
      </c>
      <c r="L2246" s="2">
        <f t="shared" si="455"/>
        <v>0</v>
      </c>
      <c r="M2246" s="2">
        <f t="shared" si="456"/>
        <v>0</v>
      </c>
      <c r="N2246" s="2">
        <f t="shared" si="457"/>
        <v>0</v>
      </c>
      <c r="O2246" s="2">
        <f t="shared" si="458"/>
        <v>0</v>
      </c>
      <c r="P2246" s="112">
        <f t="shared" si="459"/>
        <v>0</v>
      </c>
      <c r="Q2246" s="112">
        <f t="shared" si="460"/>
        <v>0</v>
      </c>
      <c r="R2246" s="53"/>
      <c r="S2246" s="53" t="str">
        <f t="shared" si="461"/>
        <v>Autos - Singles|Autographs Printing Plates Parallel|A-BR|Printing Plate</v>
      </c>
      <c r="T2246" s="57" t="str">
        <f>IF($S2246="","",IFERROR(VLOOKUP($S2246,'Pop Estimates (Non-#d)'!$N$2:$O$500,2,FALSE),""))</f>
        <v/>
      </c>
      <c r="U2246" s="57">
        <f t="shared" si="462"/>
        <v>4</v>
      </c>
      <c r="V2246" s="53" t="str">
        <f t="shared" si="463"/>
        <v>Popclaw</v>
      </c>
      <c r="W2246" s="53" t="str">
        <f t="shared" si="464"/>
        <v>Popclaw</v>
      </c>
      <c r="X2246" s="53" t="str">
        <f t="shared" si="465"/>
        <v>Popclaw</v>
      </c>
      <c r="Y2246" s="57">
        <f>IF($X2246="","",IFERROR(VLOOKUP($X2246,'Char Popularity'!$A$2:$C$500,2,FALSE),""))</f>
        <v>2</v>
      </c>
      <c r="Z2246" s="56">
        <f>IF($X2246="",1,IFERROR(VLOOKUP($X2246,'Char Popularity'!$A$2:$C$500,3,FALSE),1))</f>
        <v>0.9</v>
      </c>
      <c r="AA2246" s="62">
        <f>IF($H2246&lt;&gt;"Y",0,(IF($F2246&lt;&gt;"",ROUND(Dashboard!$R$4/$F2246,1),IF(AND($I2246="Base",$E2246="Base"),Dashboard!$R$5,IF(AND($I2246="Base",$E2246="Red"),Dashboard!$R$6,IF(AND($I2246="Base",$E2246="Gold"),Dashboard!$R$7,VLOOKUP($I2246,Dashboard!$Q$16:$R$21,2,FALSE)))))*VLOOKUP($I2246,Dashboard!$Q$9:$R$13,2,FALSE)*IF(AND($I2246="Auto",$F2246="",OR($B2246="Autographs Duals",$B2246="Autographs Triples",$B2246="Autographs Quads",$B2246="Autographs Quads (Inscribed)")),IF($B2246="Autographs Duals",2,IF($B2246="Autographs Triples",3,4)),1)))</f>
        <v>0</v>
      </c>
      <c r="AB2246" s="62">
        <f t="shared" si="466"/>
        <v>0</v>
      </c>
      <c r="AC2246" s="62">
        <f t="shared" si="467"/>
        <v>0</v>
      </c>
    </row>
    <row r="2247" spans="1:29" ht="30" customHeight="1" x14ac:dyDescent="0.25">
      <c r="A2247" s="4" t="s">
        <v>37</v>
      </c>
      <c r="B2247" s="7" t="s">
        <v>794</v>
      </c>
      <c r="C2247" s="2" t="s">
        <v>229</v>
      </c>
      <c r="D2247" s="7" t="s">
        <v>230</v>
      </c>
      <c r="E2247" s="4" t="s">
        <v>829</v>
      </c>
      <c r="F2247" s="2">
        <v>4</v>
      </c>
      <c r="G2247" s="2" t="s">
        <v>1400</v>
      </c>
      <c r="H2247" s="2" t="s">
        <v>1399</v>
      </c>
      <c r="I2247" s="4" t="s">
        <v>68</v>
      </c>
      <c r="J2247" s="112">
        <f>IF($H2247&lt;&gt;"Y",0,ROUND(MIN(Dashboard!$R$24,IF(IFERROR(VLOOKUP($B2247,Dashboard!$Q$28:$S$60,2,FALSE),0)&gt;0,IFERROR(VLOOKUP($B2247,Dashboard!$Q$28:$S$60,2,FALSE),0),$Z2247*IF($U2247&lt;&gt;"",ROUND((Dashboard!$R$4/$U2247)*VLOOKUP($I2247,Dashboard!$Q$9:$R$13,2,FALSE)*IF(ISNUMBER(SEARCH("Duals",$B2247)),2,IF(ISNUMBER(SEARCH("Triples",$B2247)),3,IF(ISNUMBER(SEARCH("Quads",$B2247)),4,1))),2),ROUND(VLOOKUP($I2247,Dashboard!$Q$15:$R$20,2,FALSE)*IF($E2247="Red",Dashboard!$R$6,IF($E2247="Gold",Dashboard!$R$7,Dashboard!$R$5))*IF(ISNUMBER(SEARCH("Duals",$B2247)),2,IF(ISNUMBER(SEARCH("Triples",$B2247)),3,IF(ISNUMBER(SEARCH("Quads",$B2247)),4,1))),2))*IF(IFERROR(VLOOKUP($B2247,Dashboard!$Q$28:$S$60,3,FALSE),0)&gt;0,VLOOKUP($B2247,Dashboard!$Q$28:$S$60,3,FALSE),1))),0))</f>
        <v>0</v>
      </c>
      <c r="K2247" s="2" t="str">
        <f>IF('Autos - Singles'!I9="","",'Autos - Singles'!I9)</f>
        <v/>
      </c>
      <c r="L2247" s="2">
        <f t="shared" si="455"/>
        <v>0</v>
      </c>
      <c r="M2247" s="2">
        <f t="shared" si="456"/>
        <v>0</v>
      </c>
      <c r="N2247" s="2">
        <f t="shared" si="457"/>
        <v>0</v>
      </c>
      <c r="O2247" s="2">
        <f t="shared" si="458"/>
        <v>0</v>
      </c>
      <c r="P2247" s="112">
        <f t="shared" si="459"/>
        <v>0</v>
      </c>
      <c r="Q2247" s="112">
        <f t="shared" si="460"/>
        <v>0</v>
      </c>
      <c r="R2247" s="53"/>
      <c r="S2247" s="53" t="str">
        <f t="shared" si="461"/>
        <v>Autos - Singles|Autographs Printing Plates Parallel|A-CC|Printing Plate</v>
      </c>
      <c r="T2247" s="57" t="str">
        <f>IF($S2247="","",IFERROR(VLOOKUP($S2247,'Pop Estimates (Non-#d)'!$N$2:$O$500,2,FALSE),""))</f>
        <v/>
      </c>
      <c r="U2247" s="57">
        <f t="shared" si="462"/>
        <v>4</v>
      </c>
      <c r="V2247" s="53" t="str">
        <f t="shared" si="463"/>
        <v>The Deep</v>
      </c>
      <c r="W2247" s="53" t="str">
        <f t="shared" si="464"/>
        <v>The Deep</v>
      </c>
      <c r="X2247" s="53" t="str">
        <f t="shared" si="465"/>
        <v>The Deep</v>
      </c>
      <c r="Y2247" s="57">
        <f>IF($X2247="","",IFERROR(VLOOKUP($X2247,'Char Popularity'!$A$2:$C$500,2,FALSE),""))</f>
        <v>4</v>
      </c>
      <c r="Z2247" s="56">
        <f>IF($X2247="",1,IFERROR(VLOOKUP($X2247,'Char Popularity'!$A$2:$C$500,3,FALSE),1))</f>
        <v>1.1000000000000001</v>
      </c>
      <c r="AA2247" s="62">
        <f>IF($H2247&lt;&gt;"Y",0,(IF($F2247&lt;&gt;"",ROUND(Dashboard!$R$4/$F2247,1),IF(AND($I2247="Base",$E2247="Base"),Dashboard!$R$5,IF(AND($I2247="Base",$E2247="Red"),Dashboard!$R$6,IF(AND($I2247="Base",$E2247="Gold"),Dashboard!$R$7,VLOOKUP($I2247,Dashboard!$Q$16:$R$21,2,FALSE)))))*VLOOKUP($I2247,Dashboard!$Q$9:$R$13,2,FALSE)*IF(AND($I2247="Auto",$F2247="",OR($B2247="Autographs Duals",$B2247="Autographs Triples",$B2247="Autographs Quads",$B2247="Autographs Quads (Inscribed)")),IF($B2247="Autographs Duals",2,IF($B2247="Autographs Triples",3,4)),1)))</f>
        <v>0</v>
      </c>
      <c r="AB2247" s="62">
        <f t="shared" si="466"/>
        <v>0</v>
      </c>
      <c r="AC2247" s="62">
        <f t="shared" si="467"/>
        <v>0</v>
      </c>
    </row>
    <row r="2248" spans="1:29" ht="30" customHeight="1" x14ac:dyDescent="0.25">
      <c r="A2248" s="4" t="s">
        <v>37</v>
      </c>
      <c r="B2248" s="7" t="s">
        <v>794</v>
      </c>
      <c r="C2248" s="2" t="s">
        <v>231</v>
      </c>
      <c r="D2248" s="7" t="s">
        <v>230</v>
      </c>
      <c r="E2248" s="4" t="s">
        <v>829</v>
      </c>
      <c r="F2248" s="2">
        <v>4</v>
      </c>
      <c r="G2248" s="2" t="s">
        <v>1400</v>
      </c>
      <c r="H2248" s="2" t="s">
        <v>1399</v>
      </c>
      <c r="I2248" s="4" t="s">
        <v>68</v>
      </c>
      <c r="J2248" s="112">
        <f>IF($H2248&lt;&gt;"Y",0,ROUND(MIN(Dashboard!$R$24,IF(IFERROR(VLOOKUP($B2248,Dashboard!$Q$28:$S$60,2,FALSE),0)&gt;0,IFERROR(VLOOKUP($B2248,Dashboard!$Q$28:$S$60,2,FALSE),0),$Z2248*IF($U2248&lt;&gt;"",ROUND((Dashboard!$R$4/$U2248)*VLOOKUP($I2248,Dashboard!$Q$9:$R$13,2,FALSE)*IF(ISNUMBER(SEARCH("Duals",$B2248)),2,IF(ISNUMBER(SEARCH("Triples",$B2248)),3,IF(ISNUMBER(SEARCH("Quads",$B2248)),4,1))),2),ROUND(VLOOKUP($I2248,Dashboard!$Q$15:$R$20,2,FALSE)*IF($E2248="Red",Dashboard!$R$6,IF($E2248="Gold",Dashboard!$R$7,Dashboard!$R$5))*IF(ISNUMBER(SEARCH("Duals",$B2248)),2,IF(ISNUMBER(SEARCH("Triples",$B2248)),3,IF(ISNUMBER(SEARCH("Quads",$B2248)),4,1))),2))*IF(IFERROR(VLOOKUP($B2248,Dashboard!$Q$28:$S$60,3,FALSE),0)&gt;0,VLOOKUP($B2248,Dashboard!$Q$28:$S$60,3,FALSE),1))),0))</f>
        <v>0</v>
      </c>
      <c r="K2248" s="2" t="str">
        <f>IF('Autos - Singles'!I10="","",'Autos - Singles'!I10)</f>
        <v/>
      </c>
      <c r="L2248" s="2">
        <f t="shared" si="455"/>
        <v>0</v>
      </c>
      <c r="M2248" s="2">
        <f t="shared" si="456"/>
        <v>0</v>
      </c>
      <c r="N2248" s="2">
        <f t="shared" si="457"/>
        <v>0</v>
      </c>
      <c r="O2248" s="2">
        <f t="shared" si="458"/>
        <v>0</v>
      </c>
      <c r="P2248" s="112">
        <f t="shared" si="459"/>
        <v>0</v>
      </c>
      <c r="Q2248" s="112">
        <f t="shared" si="460"/>
        <v>0</v>
      </c>
      <c r="R2248" s="53"/>
      <c r="S2248" s="53" t="str">
        <f t="shared" si="461"/>
        <v>Autos - Singles|Autographs Printing Plates Parallel|A-CH|Printing Plate</v>
      </c>
      <c r="T2248" s="57" t="str">
        <f>IF($S2248="","",IFERROR(VLOOKUP($S2248,'Pop Estimates (Non-#d)'!$N$2:$O$500,2,FALSE),""))</f>
        <v/>
      </c>
      <c r="U2248" s="57">
        <f t="shared" si="462"/>
        <v>4</v>
      </c>
      <c r="V2248" s="53" t="str">
        <f t="shared" si="463"/>
        <v>The Deep</v>
      </c>
      <c r="W2248" s="53" t="str">
        <f t="shared" si="464"/>
        <v>The Deep</v>
      </c>
      <c r="X2248" s="53" t="str">
        <f t="shared" si="465"/>
        <v>The Deep</v>
      </c>
      <c r="Y2248" s="57">
        <f>IF($X2248="","",IFERROR(VLOOKUP($X2248,'Char Popularity'!$A$2:$C$500,2,FALSE),""))</f>
        <v>4</v>
      </c>
      <c r="Z2248" s="56">
        <f>IF($X2248="",1,IFERROR(VLOOKUP($X2248,'Char Popularity'!$A$2:$C$500,3,FALSE),1))</f>
        <v>1.1000000000000001</v>
      </c>
      <c r="AA2248" s="62">
        <f>IF($H2248&lt;&gt;"Y",0,(IF($F2248&lt;&gt;"",ROUND(Dashboard!$R$4/$F2248,1),IF(AND($I2248="Base",$E2248="Base"),Dashboard!$R$5,IF(AND($I2248="Base",$E2248="Red"),Dashboard!$R$6,IF(AND($I2248="Base",$E2248="Gold"),Dashboard!$R$7,VLOOKUP($I2248,Dashboard!$Q$16:$R$21,2,FALSE)))))*VLOOKUP($I2248,Dashboard!$Q$9:$R$13,2,FALSE)*IF(AND($I2248="Auto",$F2248="",OR($B2248="Autographs Duals",$B2248="Autographs Triples",$B2248="Autographs Quads",$B2248="Autographs Quads (Inscribed)")),IF($B2248="Autographs Duals",2,IF($B2248="Autographs Triples",3,4)),1)))</f>
        <v>0</v>
      </c>
      <c r="AB2248" s="62">
        <f t="shared" si="466"/>
        <v>0</v>
      </c>
      <c r="AC2248" s="62">
        <f t="shared" si="467"/>
        <v>0</v>
      </c>
    </row>
    <row r="2249" spans="1:29" ht="30" customHeight="1" x14ac:dyDescent="0.25">
      <c r="A2249" s="4" t="s">
        <v>37</v>
      </c>
      <c r="B2249" s="7" t="s">
        <v>794</v>
      </c>
      <c r="C2249" s="2" t="s">
        <v>233</v>
      </c>
      <c r="D2249" s="7" t="s">
        <v>234</v>
      </c>
      <c r="E2249" s="4" t="s">
        <v>829</v>
      </c>
      <c r="F2249" s="2">
        <v>4</v>
      </c>
      <c r="G2249" s="2" t="s">
        <v>1400</v>
      </c>
      <c r="H2249" s="2" t="s">
        <v>1399</v>
      </c>
      <c r="I2249" s="4" t="s">
        <v>68</v>
      </c>
      <c r="J2249" s="112">
        <f>IF($H2249&lt;&gt;"Y",0,ROUND(MIN(Dashboard!$R$24,IF(IFERROR(VLOOKUP($B2249,Dashboard!$Q$28:$S$60,2,FALSE),0)&gt;0,IFERROR(VLOOKUP($B2249,Dashboard!$Q$28:$S$60,2,FALSE),0),$Z2249*IF($U2249&lt;&gt;"",ROUND((Dashboard!$R$4/$U2249)*VLOOKUP($I2249,Dashboard!$Q$9:$R$13,2,FALSE)*IF(ISNUMBER(SEARCH("Duals",$B2249)),2,IF(ISNUMBER(SEARCH("Triples",$B2249)),3,IF(ISNUMBER(SEARCH("Quads",$B2249)),4,1))),2),ROUND(VLOOKUP($I2249,Dashboard!$Q$15:$R$20,2,FALSE)*IF($E2249="Red",Dashboard!$R$6,IF($E2249="Gold",Dashboard!$R$7,Dashboard!$R$5))*IF(ISNUMBER(SEARCH("Duals",$B2249)),2,IF(ISNUMBER(SEARCH("Triples",$B2249)),3,IF(ISNUMBER(SEARCH("Quads",$B2249)),4,1))),2))*IF(IFERROR(VLOOKUP($B2249,Dashboard!$Q$28:$S$60,3,FALSE),0)&gt;0,VLOOKUP($B2249,Dashboard!$Q$28:$S$60,3,FALSE),1))),0))</f>
        <v>0</v>
      </c>
      <c r="K2249" s="2" t="str">
        <f>IF('Autos - Singles'!I11="","",'Autos - Singles'!I11)</f>
        <v/>
      </c>
      <c r="L2249" s="2">
        <f t="shared" si="455"/>
        <v>0</v>
      </c>
      <c r="M2249" s="2">
        <f t="shared" si="456"/>
        <v>0</v>
      </c>
      <c r="N2249" s="2">
        <f t="shared" si="457"/>
        <v>0</v>
      </c>
      <c r="O2249" s="2">
        <f t="shared" si="458"/>
        <v>0</v>
      </c>
      <c r="P2249" s="112">
        <f t="shared" si="459"/>
        <v>0</v>
      </c>
      <c r="Q2249" s="112">
        <f t="shared" si="460"/>
        <v>0</v>
      </c>
      <c r="R2249" s="53"/>
      <c r="S2249" s="53" t="str">
        <f t="shared" si="461"/>
        <v>Autos - Singles|Autographs Printing Plates Parallel|A-CL|Printing Plate</v>
      </c>
      <c r="T2249" s="57" t="str">
        <f>IF($S2249="","",IFERROR(VLOOKUP($S2249,'Pop Estimates (Non-#d)'!$N$2:$O$500,2,FALSE),""))</f>
        <v/>
      </c>
      <c r="U2249" s="57">
        <f t="shared" si="462"/>
        <v>4</v>
      </c>
      <c r="V2249" s="53" t="str">
        <f t="shared" si="463"/>
        <v>Ashley Barrett</v>
      </c>
      <c r="W2249" s="53" t="str">
        <f t="shared" si="464"/>
        <v>Ashley Barrett</v>
      </c>
      <c r="X2249" s="53" t="str">
        <f t="shared" si="465"/>
        <v>Ashley Barrett</v>
      </c>
      <c r="Y2249" s="57">
        <f>IF($X2249="","",IFERROR(VLOOKUP($X2249,'Char Popularity'!$A$2:$C$500,2,FALSE),""))</f>
        <v>3</v>
      </c>
      <c r="Z2249" s="56">
        <f>IF($X2249="",1,IFERROR(VLOOKUP($X2249,'Char Popularity'!$A$2:$C$500,3,FALSE),1))</f>
        <v>1</v>
      </c>
      <c r="AA2249" s="62">
        <f>IF($H2249&lt;&gt;"Y",0,(IF($F2249&lt;&gt;"",ROUND(Dashboard!$R$4/$F2249,1),IF(AND($I2249="Base",$E2249="Base"),Dashboard!$R$5,IF(AND($I2249="Base",$E2249="Red"),Dashboard!$R$6,IF(AND($I2249="Base",$E2249="Gold"),Dashboard!$R$7,VLOOKUP($I2249,Dashboard!$Q$16:$R$21,2,FALSE)))))*VLOOKUP($I2249,Dashboard!$Q$9:$R$13,2,FALSE)*IF(AND($I2249="Auto",$F2249="",OR($B2249="Autographs Duals",$B2249="Autographs Triples",$B2249="Autographs Quads",$B2249="Autographs Quads (Inscribed)")),IF($B2249="Autographs Duals",2,IF($B2249="Autographs Triples",3,4)),1)))</f>
        <v>0</v>
      </c>
      <c r="AB2249" s="62">
        <f t="shared" si="466"/>
        <v>0</v>
      </c>
      <c r="AC2249" s="62">
        <f t="shared" si="467"/>
        <v>0</v>
      </c>
    </row>
    <row r="2250" spans="1:29" ht="30" customHeight="1" x14ac:dyDescent="0.25">
      <c r="A2250" s="4" t="s">
        <v>37</v>
      </c>
      <c r="B2250" s="7" t="s">
        <v>794</v>
      </c>
      <c r="C2250" s="2" t="s">
        <v>235</v>
      </c>
      <c r="D2250" s="7" t="s">
        <v>234</v>
      </c>
      <c r="E2250" s="4" t="s">
        <v>829</v>
      </c>
      <c r="F2250" s="2">
        <v>4</v>
      </c>
      <c r="G2250" s="2" t="s">
        <v>1400</v>
      </c>
      <c r="H2250" s="2" t="s">
        <v>1399</v>
      </c>
      <c r="I2250" s="4" t="s">
        <v>68</v>
      </c>
      <c r="J2250" s="112">
        <f>IF($H2250&lt;&gt;"Y",0,ROUND(MIN(Dashboard!$R$24,IF(IFERROR(VLOOKUP($B2250,Dashboard!$Q$28:$S$60,2,FALSE),0)&gt;0,IFERROR(VLOOKUP($B2250,Dashboard!$Q$28:$S$60,2,FALSE),0),$Z2250*IF($U2250&lt;&gt;"",ROUND((Dashboard!$R$4/$U2250)*VLOOKUP($I2250,Dashboard!$Q$9:$R$13,2,FALSE)*IF(ISNUMBER(SEARCH("Duals",$B2250)),2,IF(ISNUMBER(SEARCH("Triples",$B2250)),3,IF(ISNUMBER(SEARCH("Quads",$B2250)),4,1))),2),ROUND(VLOOKUP($I2250,Dashboard!$Q$15:$R$20,2,FALSE)*IF($E2250="Red",Dashboard!$R$6,IF($E2250="Gold",Dashboard!$R$7,Dashboard!$R$5))*IF(ISNUMBER(SEARCH("Duals",$B2250)),2,IF(ISNUMBER(SEARCH("Triples",$B2250)),3,IF(ISNUMBER(SEARCH("Quads",$B2250)),4,1))),2))*IF(IFERROR(VLOOKUP($B2250,Dashboard!$Q$28:$S$60,3,FALSE),0)&gt;0,VLOOKUP($B2250,Dashboard!$Q$28:$S$60,3,FALSE),1))),0))</f>
        <v>0</v>
      </c>
      <c r="K2250" s="2" t="str">
        <f>IF('Autos - Singles'!I12="","",'Autos - Singles'!I12)</f>
        <v/>
      </c>
      <c r="L2250" s="2">
        <f t="shared" si="455"/>
        <v>0</v>
      </c>
      <c r="M2250" s="2">
        <f t="shared" si="456"/>
        <v>0</v>
      </c>
      <c r="N2250" s="2">
        <f t="shared" si="457"/>
        <v>0</v>
      </c>
      <c r="O2250" s="2">
        <f t="shared" si="458"/>
        <v>0</v>
      </c>
      <c r="P2250" s="112">
        <f t="shared" si="459"/>
        <v>0</v>
      </c>
      <c r="Q2250" s="112">
        <f t="shared" si="460"/>
        <v>0</v>
      </c>
      <c r="R2250" s="53"/>
      <c r="S2250" s="53" t="str">
        <f t="shared" si="461"/>
        <v>Autos - Singles|Autographs Printing Plates Parallel|A-CM|Printing Plate</v>
      </c>
      <c r="T2250" s="57" t="str">
        <f>IF($S2250="","",IFERROR(VLOOKUP($S2250,'Pop Estimates (Non-#d)'!$N$2:$O$500,2,FALSE),""))</f>
        <v/>
      </c>
      <c r="U2250" s="57">
        <f t="shared" si="462"/>
        <v>4</v>
      </c>
      <c r="V2250" s="53" t="str">
        <f t="shared" si="463"/>
        <v>Ashley Barrett</v>
      </c>
      <c r="W2250" s="53" t="str">
        <f t="shared" si="464"/>
        <v>Ashley Barrett</v>
      </c>
      <c r="X2250" s="53" t="str">
        <f t="shared" si="465"/>
        <v>Ashley Barrett</v>
      </c>
      <c r="Y2250" s="57">
        <f>IF($X2250="","",IFERROR(VLOOKUP($X2250,'Char Popularity'!$A$2:$C$500,2,FALSE),""))</f>
        <v>3</v>
      </c>
      <c r="Z2250" s="56">
        <f>IF($X2250="",1,IFERROR(VLOOKUP($X2250,'Char Popularity'!$A$2:$C$500,3,FALSE),1))</f>
        <v>1</v>
      </c>
      <c r="AA2250" s="62">
        <f>IF($H2250&lt;&gt;"Y",0,(IF($F2250&lt;&gt;"",ROUND(Dashboard!$R$4/$F2250,1),IF(AND($I2250="Base",$E2250="Base"),Dashboard!$R$5,IF(AND($I2250="Base",$E2250="Red"),Dashboard!$R$6,IF(AND($I2250="Base",$E2250="Gold"),Dashboard!$R$7,VLOOKUP($I2250,Dashboard!$Q$16:$R$21,2,FALSE)))))*VLOOKUP($I2250,Dashboard!$Q$9:$R$13,2,FALSE)*IF(AND($I2250="Auto",$F2250="",OR($B2250="Autographs Duals",$B2250="Autographs Triples",$B2250="Autographs Quads",$B2250="Autographs Quads (Inscribed)")),IF($B2250="Autographs Duals",2,IF($B2250="Autographs Triples",3,4)),1)))</f>
        <v>0</v>
      </c>
      <c r="AB2250" s="62">
        <f t="shared" si="466"/>
        <v>0</v>
      </c>
      <c r="AC2250" s="62">
        <f t="shared" si="467"/>
        <v>0</v>
      </c>
    </row>
    <row r="2251" spans="1:29" ht="30" customHeight="1" x14ac:dyDescent="0.25">
      <c r="A2251" s="4" t="s">
        <v>37</v>
      </c>
      <c r="B2251" s="7" t="s">
        <v>794</v>
      </c>
      <c r="C2251" s="2" t="s">
        <v>236</v>
      </c>
      <c r="D2251" s="7" t="s">
        <v>234</v>
      </c>
      <c r="E2251" s="4" t="s">
        <v>829</v>
      </c>
      <c r="F2251" s="2">
        <v>4</v>
      </c>
      <c r="G2251" s="2" t="s">
        <v>1400</v>
      </c>
      <c r="H2251" s="2" t="s">
        <v>1399</v>
      </c>
      <c r="I2251" s="4" t="s">
        <v>68</v>
      </c>
      <c r="J2251" s="112">
        <f>IF($H2251&lt;&gt;"Y",0,ROUND(MIN(Dashboard!$R$24,IF(IFERROR(VLOOKUP($B2251,Dashboard!$Q$28:$S$60,2,FALSE),0)&gt;0,IFERROR(VLOOKUP($B2251,Dashboard!$Q$28:$S$60,2,FALSE),0),$Z2251*IF($U2251&lt;&gt;"",ROUND((Dashboard!$R$4/$U2251)*VLOOKUP($I2251,Dashboard!$Q$9:$R$13,2,FALSE)*IF(ISNUMBER(SEARCH("Duals",$B2251)),2,IF(ISNUMBER(SEARCH("Triples",$B2251)),3,IF(ISNUMBER(SEARCH("Quads",$B2251)),4,1))),2),ROUND(VLOOKUP($I2251,Dashboard!$Q$15:$R$20,2,FALSE)*IF($E2251="Red",Dashboard!$R$6,IF($E2251="Gold",Dashboard!$R$7,Dashboard!$R$5))*IF(ISNUMBER(SEARCH("Duals",$B2251)),2,IF(ISNUMBER(SEARCH("Triples",$B2251)),3,IF(ISNUMBER(SEARCH("Quads",$B2251)),4,1))),2))*IF(IFERROR(VLOOKUP($B2251,Dashboard!$Q$28:$S$60,3,FALSE),0)&gt;0,VLOOKUP($B2251,Dashboard!$Q$28:$S$60,3,FALSE),1))),0))</f>
        <v>0</v>
      </c>
      <c r="K2251" s="2" t="str">
        <f>IF('Autos - Singles'!I13="","",'Autos - Singles'!I13)</f>
        <v/>
      </c>
      <c r="L2251" s="2">
        <f t="shared" si="455"/>
        <v>0</v>
      </c>
      <c r="M2251" s="2">
        <f t="shared" si="456"/>
        <v>0</v>
      </c>
      <c r="N2251" s="2">
        <f t="shared" si="457"/>
        <v>0</v>
      </c>
      <c r="O2251" s="2">
        <f t="shared" si="458"/>
        <v>0</v>
      </c>
      <c r="P2251" s="112">
        <f t="shared" si="459"/>
        <v>0</v>
      </c>
      <c r="Q2251" s="112">
        <f t="shared" si="460"/>
        <v>0</v>
      </c>
      <c r="R2251" s="53"/>
      <c r="S2251" s="53" t="str">
        <f t="shared" si="461"/>
        <v>Autos - Singles|Autographs Printing Plates Parallel|A-CO|Printing Plate</v>
      </c>
      <c r="T2251" s="57" t="str">
        <f>IF($S2251="","",IFERROR(VLOOKUP($S2251,'Pop Estimates (Non-#d)'!$N$2:$O$500,2,FALSE),""))</f>
        <v/>
      </c>
      <c r="U2251" s="57">
        <f t="shared" si="462"/>
        <v>4</v>
      </c>
      <c r="V2251" s="53" t="str">
        <f t="shared" si="463"/>
        <v>Ashley Barrett</v>
      </c>
      <c r="W2251" s="53" t="str">
        <f t="shared" si="464"/>
        <v>Ashley Barrett</v>
      </c>
      <c r="X2251" s="53" t="str">
        <f t="shared" si="465"/>
        <v>Ashley Barrett</v>
      </c>
      <c r="Y2251" s="57">
        <f>IF($X2251="","",IFERROR(VLOOKUP($X2251,'Char Popularity'!$A$2:$C$500,2,FALSE),""))</f>
        <v>3</v>
      </c>
      <c r="Z2251" s="56">
        <f>IF($X2251="",1,IFERROR(VLOOKUP($X2251,'Char Popularity'!$A$2:$C$500,3,FALSE),1))</f>
        <v>1</v>
      </c>
      <c r="AA2251" s="62">
        <f>IF($H2251&lt;&gt;"Y",0,(IF($F2251&lt;&gt;"",ROUND(Dashboard!$R$4/$F2251,1),IF(AND($I2251="Base",$E2251="Base"),Dashboard!$R$5,IF(AND($I2251="Base",$E2251="Red"),Dashboard!$R$6,IF(AND($I2251="Base",$E2251="Gold"),Dashboard!$R$7,VLOOKUP($I2251,Dashboard!$Q$16:$R$21,2,FALSE)))))*VLOOKUP($I2251,Dashboard!$Q$9:$R$13,2,FALSE)*IF(AND($I2251="Auto",$F2251="",OR($B2251="Autographs Duals",$B2251="Autographs Triples",$B2251="Autographs Quads",$B2251="Autographs Quads (Inscribed)")),IF($B2251="Autographs Duals",2,IF($B2251="Autographs Triples",3,4)),1)))</f>
        <v>0</v>
      </c>
      <c r="AB2251" s="62">
        <f t="shared" si="466"/>
        <v>0</v>
      </c>
      <c r="AC2251" s="62">
        <f t="shared" si="467"/>
        <v>0</v>
      </c>
    </row>
    <row r="2252" spans="1:29" ht="30" customHeight="1" x14ac:dyDescent="0.25">
      <c r="A2252" s="4" t="s">
        <v>37</v>
      </c>
      <c r="B2252" s="7" t="s">
        <v>794</v>
      </c>
      <c r="C2252" s="2" t="s">
        <v>243</v>
      </c>
      <c r="D2252" s="7" t="s">
        <v>244</v>
      </c>
      <c r="E2252" s="4" t="s">
        <v>829</v>
      </c>
      <c r="F2252" s="2">
        <v>4</v>
      </c>
      <c r="G2252" s="2" t="s">
        <v>1400</v>
      </c>
      <c r="H2252" s="2" t="s">
        <v>1399</v>
      </c>
      <c r="I2252" s="4" t="s">
        <v>68</v>
      </c>
      <c r="J2252" s="112">
        <f>IF($H2252&lt;&gt;"Y",0,ROUND(MIN(Dashboard!$R$24,IF(IFERROR(VLOOKUP($B2252,Dashboard!$Q$28:$S$60,2,FALSE),0)&gt;0,IFERROR(VLOOKUP($B2252,Dashboard!$Q$28:$S$60,2,FALSE),0),$Z2252*IF($U2252&lt;&gt;"",ROUND((Dashboard!$R$4/$U2252)*VLOOKUP($I2252,Dashboard!$Q$9:$R$13,2,FALSE)*IF(ISNUMBER(SEARCH("Duals",$B2252)),2,IF(ISNUMBER(SEARCH("Triples",$B2252)),3,IF(ISNUMBER(SEARCH("Quads",$B2252)),4,1))),2),ROUND(VLOOKUP($I2252,Dashboard!$Q$15:$R$20,2,FALSE)*IF($E2252="Red",Dashboard!$R$6,IF($E2252="Gold",Dashboard!$R$7,Dashboard!$R$5))*IF(ISNUMBER(SEARCH("Duals",$B2252)),2,IF(ISNUMBER(SEARCH("Triples",$B2252)),3,IF(ISNUMBER(SEARCH("Quads",$B2252)),4,1))),2))*IF(IFERROR(VLOOKUP($B2252,Dashboard!$Q$28:$S$60,3,FALSE),0)&gt;0,VLOOKUP($B2252,Dashboard!$Q$28:$S$60,3,FALSE),1))),0))</f>
        <v>0</v>
      </c>
      <c r="K2252" s="2" t="str">
        <f>IF('Autos - Singles'!I18="","",'Autos - Singles'!I18)</f>
        <v/>
      </c>
      <c r="L2252" s="2">
        <f t="shared" si="455"/>
        <v>0</v>
      </c>
      <c r="M2252" s="2">
        <f t="shared" si="456"/>
        <v>0</v>
      </c>
      <c r="N2252" s="2">
        <f t="shared" si="457"/>
        <v>0</v>
      </c>
      <c r="O2252" s="2">
        <f t="shared" si="458"/>
        <v>0</v>
      </c>
      <c r="P2252" s="112">
        <f t="shared" si="459"/>
        <v>0</v>
      </c>
      <c r="Q2252" s="112">
        <f t="shared" si="460"/>
        <v>0</v>
      </c>
      <c r="R2252" s="53"/>
      <c r="S2252" s="53" t="str">
        <f t="shared" si="461"/>
        <v>Autos - Singles|Autographs Printing Plates Parallel|A-DM|Printing Plate</v>
      </c>
      <c r="T2252" s="57" t="str">
        <f>IF($S2252="","",IFERROR(VLOOKUP($S2252,'Pop Estimates (Non-#d)'!$N$2:$O$500,2,FALSE),""))</f>
        <v/>
      </c>
      <c r="U2252" s="57">
        <f t="shared" si="462"/>
        <v>4</v>
      </c>
      <c r="V2252" s="53" t="str">
        <f t="shared" si="463"/>
        <v>Queen Maeve</v>
      </c>
      <c r="W2252" s="53" t="str">
        <f t="shared" si="464"/>
        <v>Queen Maeve</v>
      </c>
      <c r="X2252" s="53" t="str">
        <f t="shared" si="465"/>
        <v>Queen Maeve</v>
      </c>
      <c r="Y2252" s="57">
        <f>IF($X2252="","",IFERROR(VLOOKUP($X2252,'Char Popularity'!$A$2:$C$500,2,FALSE),""))</f>
        <v>4</v>
      </c>
      <c r="Z2252" s="56">
        <f>IF($X2252="",1,IFERROR(VLOOKUP($X2252,'Char Popularity'!$A$2:$C$500,3,FALSE),1))</f>
        <v>1.1000000000000001</v>
      </c>
      <c r="AA2252" s="62">
        <f>IF($H2252&lt;&gt;"Y",0,(IF($F2252&lt;&gt;"",ROUND(Dashboard!$R$4/$F2252,1),IF(AND($I2252="Base",$E2252="Base"),Dashboard!$R$5,IF(AND($I2252="Base",$E2252="Red"),Dashboard!$R$6,IF(AND($I2252="Base",$E2252="Gold"),Dashboard!$R$7,VLOOKUP($I2252,Dashboard!$Q$16:$R$21,2,FALSE)))))*VLOOKUP($I2252,Dashboard!$Q$9:$R$13,2,FALSE)*IF(AND($I2252="Auto",$F2252="",OR($B2252="Autographs Duals",$B2252="Autographs Triples",$B2252="Autographs Quads",$B2252="Autographs Quads (Inscribed)")),IF($B2252="Autographs Duals",2,IF($B2252="Autographs Triples",3,4)),1)))</f>
        <v>0</v>
      </c>
      <c r="AB2252" s="62">
        <f t="shared" si="466"/>
        <v>0</v>
      </c>
      <c r="AC2252" s="62">
        <f t="shared" si="467"/>
        <v>0</v>
      </c>
    </row>
    <row r="2253" spans="1:29" ht="30" customHeight="1" x14ac:dyDescent="0.25">
      <c r="A2253" s="4" t="s">
        <v>37</v>
      </c>
      <c r="B2253" s="7" t="s">
        <v>794</v>
      </c>
      <c r="C2253" s="2" t="s">
        <v>245</v>
      </c>
      <c r="D2253" s="7" t="s">
        <v>244</v>
      </c>
      <c r="E2253" s="4" t="s">
        <v>829</v>
      </c>
      <c r="F2253" s="2">
        <v>4</v>
      </c>
      <c r="G2253" s="2" t="s">
        <v>1400</v>
      </c>
      <c r="H2253" s="2" t="s">
        <v>1399</v>
      </c>
      <c r="I2253" s="4" t="s">
        <v>68</v>
      </c>
      <c r="J2253" s="112">
        <f>IF($H2253&lt;&gt;"Y",0,ROUND(MIN(Dashboard!$R$24,IF(IFERROR(VLOOKUP($B2253,Dashboard!$Q$28:$S$60,2,FALSE),0)&gt;0,IFERROR(VLOOKUP($B2253,Dashboard!$Q$28:$S$60,2,FALSE),0),$Z2253*IF($U2253&lt;&gt;"",ROUND((Dashboard!$R$4/$U2253)*VLOOKUP($I2253,Dashboard!$Q$9:$R$13,2,FALSE)*IF(ISNUMBER(SEARCH("Duals",$B2253)),2,IF(ISNUMBER(SEARCH("Triples",$B2253)),3,IF(ISNUMBER(SEARCH("Quads",$B2253)),4,1))),2),ROUND(VLOOKUP($I2253,Dashboard!$Q$15:$R$20,2,FALSE)*IF($E2253="Red",Dashboard!$R$6,IF($E2253="Gold",Dashboard!$R$7,Dashboard!$R$5))*IF(ISNUMBER(SEARCH("Duals",$B2253)),2,IF(ISNUMBER(SEARCH("Triples",$B2253)),3,IF(ISNUMBER(SEARCH("Quads",$B2253)),4,1))),2))*IF(IFERROR(VLOOKUP($B2253,Dashboard!$Q$28:$S$60,3,FALSE),0)&gt;0,VLOOKUP($B2253,Dashboard!$Q$28:$S$60,3,FALSE),1))),0))</f>
        <v>0</v>
      </c>
      <c r="K2253" s="2" t="str">
        <f>IF('Autos - Singles'!I19="","",'Autos - Singles'!I19)</f>
        <v/>
      </c>
      <c r="L2253" s="2">
        <f t="shared" si="455"/>
        <v>0</v>
      </c>
      <c r="M2253" s="2">
        <f t="shared" si="456"/>
        <v>0</v>
      </c>
      <c r="N2253" s="2">
        <f t="shared" si="457"/>
        <v>0</v>
      </c>
      <c r="O2253" s="2">
        <f t="shared" si="458"/>
        <v>0</v>
      </c>
      <c r="P2253" s="112">
        <f t="shared" si="459"/>
        <v>0</v>
      </c>
      <c r="Q2253" s="112">
        <f t="shared" si="460"/>
        <v>0</v>
      </c>
      <c r="R2253" s="53"/>
      <c r="S2253" s="53" t="str">
        <f t="shared" si="461"/>
        <v>Autos - Singles|Autographs Printing Plates Parallel|A-DO|Printing Plate</v>
      </c>
      <c r="T2253" s="57" t="str">
        <f>IF($S2253="","",IFERROR(VLOOKUP($S2253,'Pop Estimates (Non-#d)'!$N$2:$O$500,2,FALSE),""))</f>
        <v/>
      </c>
      <c r="U2253" s="57">
        <f t="shared" si="462"/>
        <v>4</v>
      </c>
      <c r="V2253" s="53" t="str">
        <f t="shared" si="463"/>
        <v>Queen Maeve</v>
      </c>
      <c r="W2253" s="53" t="str">
        <f t="shared" si="464"/>
        <v>Queen Maeve</v>
      </c>
      <c r="X2253" s="53" t="str">
        <f t="shared" si="465"/>
        <v>Queen Maeve</v>
      </c>
      <c r="Y2253" s="57">
        <f>IF($X2253="","",IFERROR(VLOOKUP($X2253,'Char Popularity'!$A$2:$C$500,2,FALSE),""))</f>
        <v>4</v>
      </c>
      <c r="Z2253" s="56">
        <f>IF($X2253="",1,IFERROR(VLOOKUP($X2253,'Char Popularity'!$A$2:$C$500,3,FALSE),1))</f>
        <v>1.1000000000000001</v>
      </c>
      <c r="AA2253" s="62">
        <f>IF($H2253&lt;&gt;"Y",0,(IF($F2253&lt;&gt;"",ROUND(Dashboard!$R$4/$F2253,1),IF(AND($I2253="Base",$E2253="Base"),Dashboard!$R$5,IF(AND($I2253="Base",$E2253="Red"),Dashboard!$R$6,IF(AND($I2253="Base",$E2253="Gold"),Dashboard!$R$7,VLOOKUP($I2253,Dashboard!$Q$16:$R$21,2,FALSE)))))*VLOOKUP($I2253,Dashboard!$Q$9:$R$13,2,FALSE)*IF(AND($I2253="Auto",$F2253="",OR($B2253="Autographs Duals",$B2253="Autographs Triples",$B2253="Autographs Quads",$B2253="Autographs Quads (Inscribed)")),IF($B2253="Autographs Duals",2,IF($B2253="Autographs Triples",3,4)),1)))</f>
        <v>0</v>
      </c>
      <c r="AB2253" s="62">
        <f t="shared" si="466"/>
        <v>0</v>
      </c>
      <c r="AC2253" s="62">
        <f t="shared" si="467"/>
        <v>0</v>
      </c>
    </row>
    <row r="2254" spans="1:29" ht="30" customHeight="1" x14ac:dyDescent="0.25">
      <c r="A2254" s="4" t="s">
        <v>37</v>
      </c>
      <c r="B2254" s="7" t="s">
        <v>794</v>
      </c>
      <c r="C2254" s="2" t="s">
        <v>246</v>
      </c>
      <c r="D2254" s="7" t="s">
        <v>244</v>
      </c>
      <c r="E2254" s="4" t="s">
        <v>829</v>
      </c>
      <c r="F2254" s="2">
        <v>4</v>
      </c>
      <c r="G2254" s="2" t="s">
        <v>1400</v>
      </c>
      <c r="H2254" s="2" t="s">
        <v>1399</v>
      </c>
      <c r="I2254" s="4" t="s">
        <v>68</v>
      </c>
      <c r="J2254" s="112">
        <f>IF($H2254&lt;&gt;"Y",0,ROUND(MIN(Dashboard!$R$24,IF(IFERROR(VLOOKUP($B2254,Dashboard!$Q$28:$S$60,2,FALSE),0)&gt;0,IFERROR(VLOOKUP($B2254,Dashboard!$Q$28:$S$60,2,FALSE),0),$Z2254*IF($U2254&lt;&gt;"",ROUND((Dashboard!$R$4/$U2254)*VLOOKUP($I2254,Dashboard!$Q$9:$R$13,2,FALSE)*IF(ISNUMBER(SEARCH("Duals",$B2254)),2,IF(ISNUMBER(SEARCH("Triples",$B2254)),3,IF(ISNUMBER(SEARCH("Quads",$B2254)),4,1))),2),ROUND(VLOOKUP($I2254,Dashboard!$Q$15:$R$20,2,FALSE)*IF($E2254="Red",Dashboard!$R$6,IF($E2254="Gold",Dashboard!$R$7,Dashboard!$R$5))*IF(ISNUMBER(SEARCH("Duals",$B2254)),2,IF(ISNUMBER(SEARCH("Triples",$B2254)),3,IF(ISNUMBER(SEARCH("Quads",$B2254)),4,1))),2))*IF(IFERROR(VLOOKUP($B2254,Dashboard!$Q$28:$S$60,3,FALSE),0)&gt;0,VLOOKUP($B2254,Dashboard!$Q$28:$S$60,3,FALSE),1))),0))</f>
        <v>0</v>
      </c>
      <c r="K2254" s="2" t="str">
        <f>IF('Autos - Singles'!I20="","",'Autos - Singles'!I20)</f>
        <v/>
      </c>
      <c r="L2254" s="2">
        <f t="shared" si="455"/>
        <v>0</v>
      </c>
      <c r="M2254" s="2">
        <f t="shared" si="456"/>
        <v>0</v>
      </c>
      <c r="N2254" s="2">
        <f t="shared" si="457"/>
        <v>0</v>
      </c>
      <c r="O2254" s="2">
        <f t="shared" si="458"/>
        <v>0</v>
      </c>
      <c r="P2254" s="112">
        <f t="shared" si="459"/>
        <v>0</v>
      </c>
      <c r="Q2254" s="112">
        <f t="shared" si="460"/>
        <v>0</v>
      </c>
      <c r="R2254" s="53"/>
      <c r="S2254" s="53" t="str">
        <f t="shared" si="461"/>
        <v>Autos - Singles|Autographs Printing Plates Parallel|A-DQ|Printing Plate</v>
      </c>
      <c r="T2254" s="57" t="str">
        <f>IF($S2254="","",IFERROR(VLOOKUP($S2254,'Pop Estimates (Non-#d)'!$N$2:$O$500,2,FALSE),""))</f>
        <v/>
      </c>
      <c r="U2254" s="57">
        <f t="shared" si="462"/>
        <v>4</v>
      </c>
      <c r="V2254" s="53" t="str">
        <f t="shared" si="463"/>
        <v>Queen Maeve</v>
      </c>
      <c r="W2254" s="53" t="str">
        <f t="shared" si="464"/>
        <v>Queen Maeve</v>
      </c>
      <c r="X2254" s="53" t="str">
        <f t="shared" si="465"/>
        <v>Queen Maeve</v>
      </c>
      <c r="Y2254" s="57">
        <f>IF($X2254="","",IFERROR(VLOOKUP($X2254,'Char Popularity'!$A$2:$C$500,2,FALSE),""))</f>
        <v>4</v>
      </c>
      <c r="Z2254" s="56">
        <f>IF($X2254="",1,IFERROR(VLOOKUP($X2254,'Char Popularity'!$A$2:$C$500,3,FALSE),1))</f>
        <v>1.1000000000000001</v>
      </c>
      <c r="AA2254" s="62">
        <f>IF($H2254&lt;&gt;"Y",0,(IF($F2254&lt;&gt;"",ROUND(Dashboard!$R$4/$F2254,1),IF(AND($I2254="Base",$E2254="Base"),Dashboard!$R$5,IF(AND($I2254="Base",$E2254="Red"),Dashboard!$R$6,IF(AND($I2254="Base",$E2254="Gold"),Dashboard!$R$7,VLOOKUP($I2254,Dashboard!$Q$16:$R$21,2,FALSE)))))*VLOOKUP($I2254,Dashboard!$Q$9:$R$13,2,FALSE)*IF(AND($I2254="Auto",$F2254="",OR($B2254="Autographs Duals",$B2254="Autographs Triples",$B2254="Autographs Quads",$B2254="Autographs Quads (Inscribed)")),IF($B2254="Autographs Duals",2,IF($B2254="Autographs Triples",3,4)),1)))</f>
        <v>0</v>
      </c>
      <c r="AB2254" s="62">
        <f t="shared" si="466"/>
        <v>0</v>
      </c>
      <c r="AC2254" s="62">
        <f t="shared" si="467"/>
        <v>0</v>
      </c>
    </row>
    <row r="2255" spans="1:29" ht="30" customHeight="1" x14ac:dyDescent="0.25">
      <c r="A2255" s="4" t="s">
        <v>37</v>
      </c>
      <c r="B2255" s="7" t="s">
        <v>794</v>
      </c>
      <c r="C2255" s="2" t="s">
        <v>247</v>
      </c>
      <c r="D2255" s="7" t="s">
        <v>248</v>
      </c>
      <c r="E2255" s="4" t="s">
        <v>829</v>
      </c>
      <c r="F2255" s="2">
        <v>4</v>
      </c>
      <c r="G2255" s="2" t="s">
        <v>1400</v>
      </c>
      <c r="H2255" s="2" t="s">
        <v>1399</v>
      </c>
      <c r="I2255" s="4" t="s">
        <v>68</v>
      </c>
      <c r="J2255" s="112">
        <f>IF($H2255&lt;&gt;"Y",0,ROUND(MIN(Dashboard!$R$24,IF(IFERROR(VLOOKUP($B2255,Dashboard!$Q$28:$S$60,2,FALSE),0)&gt;0,IFERROR(VLOOKUP($B2255,Dashboard!$Q$28:$S$60,2,FALSE),0),$Z2255*IF($U2255&lt;&gt;"",ROUND((Dashboard!$R$4/$U2255)*VLOOKUP($I2255,Dashboard!$Q$9:$R$13,2,FALSE)*IF(ISNUMBER(SEARCH("Duals",$B2255)),2,IF(ISNUMBER(SEARCH("Triples",$B2255)),3,IF(ISNUMBER(SEARCH("Quads",$B2255)),4,1))),2),ROUND(VLOOKUP($I2255,Dashboard!$Q$15:$R$20,2,FALSE)*IF($E2255="Red",Dashboard!$R$6,IF($E2255="Gold",Dashboard!$R$7,Dashboard!$R$5))*IF(ISNUMBER(SEARCH("Duals",$B2255)),2,IF(ISNUMBER(SEARCH("Triples",$B2255)),3,IF(ISNUMBER(SEARCH("Quads",$B2255)),4,1))),2))*IF(IFERROR(VLOOKUP($B2255,Dashboard!$Q$28:$S$60,3,FALSE),0)&gt;0,VLOOKUP($B2255,Dashboard!$Q$28:$S$60,3,FALSE),1))),0))</f>
        <v>0</v>
      </c>
      <c r="K2255" s="2" t="str">
        <f>IF('Autos - Singles'!I21="","",'Autos - Singles'!I21)</f>
        <v/>
      </c>
      <c r="L2255" s="2">
        <f t="shared" si="455"/>
        <v>0</v>
      </c>
      <c r="M2255" s="2">
        <f t="shared" si="456"/>
        <v>0</v>
      </c>
      <c r="N2255" s="2">
        <f t="shared" si="457"/>
        <v>0</v>
      </c>
      <c r="O2255" s="2">
        <f t="shared" si="458"/>
        <v>0</v>
      </c>
      <c r="P2255" s="112">
        <f t="shared" si="459"/>
        <v>0</v>
      </c>
      <c r="Q2255" s="112">
        <f t="shared" si="460"/>
        <v>0</v>
      </c>
      <c r="R2255" s="53"/>
      <c r="S2255" s="53" t="str">
        <f t="shared" si="461"/>
        <v>Autos - Singles|Autographs Printing Plates Parallel|A-EM|Printing Plate</v>
      </c>
      <c r="T2255" s="57" t="str">
        <f>IF($S2255="","",IFERROR(VLOOKUP($S2255,'Pop Estimates (Non-#d)'!$N$2:$O$500,2,FALSE),""))</f>
        <v/>
      </c>
      <c r="U2255" s="57">
        <f t="shared" si="462"/>
        <v>4</v>
      </c>
      <c r="V2255" s="53" t="str">
        <f t="shared" si="463"/>
        <v>Starlight</v>
      </c>
      <c r="W2255" s="53" t="str">
        <f t="shared" si="464"/>
        <v>Starlight</v>
      </c>
      <c r="X2255" s="53" t="str">
        <f t="shared" si="465"/>
        <v>Starlight</v>
      </c>
      <c r="Y2255" s="57">
        <f>IF($X2255="","",IFERROR(VLOOKUP($X2255,'Char Popularity'!$A$2:$C$500,2,FALSE),""))</f>
        <v>5</v>
      </c>
      <c r="Z2255" s="56">
        <f>IF($X2255="",1,IFERROR(VLOOKUP($X2255,'Char Popularity'!$A$2:$C$500,3,FALSE),1))</f>
        <v>1.2</v>
      </c>
      <c r="AA2255" s="62">
        <f>IF($H2255&lt;&gt;"Y",0,(IF($F2255&lt;&gt;"",ROUND(Dashboard!$R$4/$F2255,1),IF(AND($I2255="Base",$E2255="Base"),Dashboard!$R$5,IF(AND($I2255="Base",$E2255="Red"),Dashboard!$R$6,IF(AND($I2255="Base",$E2255="Gold"),Dashboard!$R$7,VLOOKUP($I2255,Dashboard!$Q$16:$R$21,2,FALSE)))))*VLOOKUP($I2255,Dashboard!$Q$9:$R$13,2,FALSE)*IF(AND($I2255="Auto",$F2255="",OR($B2255="Autographs Duals",$B2255="Autographs Triples",$B2255="Autographs Quads",$B2255="Autographs Quads (Inscribed)")),IF($B2255="Autographs Duals",2,IF($B2255="Autographs Triples",3,4)),1)))</f>
        <v>0</v>
      </c>
      <c r="AB2255" s="62">
        <f t="shared" si="466"/>
        <v>0</v>
      </c>
      <c r="AC2255" s="62">
        <f t="shared" si="467"/>
        <v>0</v>
      </c>
    </row>
    <row r="2256" spans="1:29" ht="30" customHeight="1" x14ac:dyDescent="0.25">
      <c r="A2256" s="4" t="s">
        <v>37</v>
      </c>
      <c r="B2256" s="7" t="s">
        <v>794</v>
      </c>
      <c r="C2256" s="2" t="s">
        <v>249</v>
      </c>
      <c r="D2256" s="7" t="s">
        <v>250</v>
      </c>
      <c r="E2256" s="4" t="s">
        <v>829</v>
      </c>
      <c r="F2256" s="2">
        <v>4</v>
      </c>
      <c r="G2256" s="2" t="s">
        <v>1400</v>
      </c>
      <c r="H2256" s="2" t="s">
        <v>1399</v>
      </c>
      <c r="I2256" s="4" t="s">
        <v>68</v>
      </c>
      <c r="J2256" s="112">
        <f>IF($H2256&lt;&gt;"Y",0,ROUND(MIN(Dashboard!$R$24,IF(IFERROR(VLOOKUP($B2256,Dashboard!$Q$28:$S$60,2,FALSE),0)&gt;0,IFERROR(VLOOKUP($B2256,Dashboard!$Q$28:$S$60,2,FALSE),0),$Z2256*IF($U2256&lt;&gt;"",ROUND((Dashboard!$R$4/$U2256)*VLOOKUP($I2256,Dashboard!$Q$9:$R$13,2,FALSE)*IF(ISNUMBER(SEARCH("Duals",$B2256)),2,IF(ISNUMBER(SEARCH("Triples",$B2256)),3,IF(ISNUMBER(SEARCH("Quads",$B2256)),4,1))),2),ROUND(VLOOKUP($I2256,Dashboard!$Q$15:$R$20,2,FALSE)*IF($E2256="Red",Dashboard!$R$6,IF($E2256="Gold",Dashboard!$R$7,Dashboard!$R$5))*IF(ISNUMBER(SEARCH("Duals",$B2256)),2,IF(ISNUMBER(SEARCH("Triples",$B2256)),3,IF(ISNUMBER(SEARCH("Quads",$B2256)),4,1))),2))*IF(IFERROR(VLOOKUP($B2256,Dashboard!$Q$28:$S$60,3,FALSE),0)&gt;0,VLOOKUP($B2256,Dashboard!$Q$28:$S$60,3,FALSE),1))),0))</f>
        <v>0</v>
      </c>
      <c r="K2256" s="2" t="str">
        <f>IF('Autos - Singles'!I22="","",'Autos - Singles'!I22)</f>
        <v/>
      </c>
      <c r="L2256" s="2">
        <f t="shared" si="455"/>
        <v>0</v>
      </c>
      <c r="M2256" s="2">
        <f t="shared" si="456"/>
        <v>0</v>
      </c>
      <c r="N2256" s="2">
        <f t="shared" si="457"/>
        <v>0</v>
      </c>
      <c r="O2256" s="2">
        <f t="shared" si="458"/>
        <v>0</v>
      </c>
      <c r="P2256" s="112">
        <f t="shared" si="459"/>
        <v>0</v>
      </c>
      <c r="Q2256" s="112">
        <f t="shared" si="460"/>
        <v>0</v>
      </c>
      <c r="R2256" s="53"/>
      <c r="S2256" s="53" t="str">
        <f t="shared" si="461"/>
        <v>Autos - Singles|Autographs Printing Plates Parallel|A-ES|Printing Plate</v>
      </c>
      <c r="T2256" s="57" t="str">
        <f>IF($S2256="","",IFERROR(VLOOKUP($S2256,'Pop Estimates (Non-#d)'!$N$2:$O$500,2,FALSE),""))</f>
        <v/>
      </c>
      <c r="U2256" s="57">
        <f t="shared" si="462"/>
        <v>4</v>
      </c>
      <c r="V2256" s="53" t="str">
        <f t="shared" si="463"/>
        <v>Madelyn Stillwell</v>
      </c>
      <c r="W2256" s="53" t="str">
        <f t="shared" si="464"/>
        <v>Madelyn Stillwell</v>
      </c>
      <c r="X2256" s="53" t="str">
        <f t="shared" si="465"/>
        <v>Madelyn Stillwell</v>
      </c>
      <c r="Y2256" s="57">
        <f>IF($X2256="","",IFERROR(VLOOKUP($X2256,'Char Popularity'!$A$2:$C$500,2,FALSE),""))</f>
        <v>3</v>
      </c>
      <c r="Z2256" s="56">
        <f>IF($X2256="",1,IFERROR(VLOOKUP($X2256,'Char Popularity'!$A$2:$C$500,3,FALSE),1))</f>
        <v>1</v>
      </c>
      <c r="AA2256" s="62">
        <f>IF($H2256&lt;&gt;"Y",0,(IF($F2256&lt;&gt;"",ROUND(Dashboard!$R$4/$F2256,1),IF(AND($I2256="Base",$E2256="Base"),Dashboard!$R$5,IF(AND($I2256="Base",$E2256="Red"),Dashboard!$R$6,IF(AND($I2256="Base",$E2256="Gold"),Dashboard!$R$7,VLOOKUP($I2256,Dashboard!$Q$16:$R$21,2,FALSE)))))*VLOOKUP($I2256,Dashboard!$Q$9:$R$13,2,FALSE)*IF(AND($I2256="Auto",$F2256="",OR($B2256="Autographs Duals",$B2256="Autographs Triples",$B2256="Autographs Quads",$B2256="Autographs Quads (Inscribed)")),IF($B2256="Autographs Duals",2,IF($B2256="Autographs Triples",3,4)),1)))</f>
        <v>0</v>
      </c>
      <c r="AB2256" s="62">
        <f t="shared" si="466"/>
        <v>0</v>
      </c>
      <c r="AC2256" s="62">
        <f t="shared" si="467"/>
        <v>0</v>
      </c>
    </row>
    <row r="2257" spans="1:29" ht="30" customHeight="1" x14ac:dyDescent="0.25">
      <c r="A2257" s="4" t="s">
        <v>37</v>
      </c>
      <c r="B2257" s="7" t="s">
        <v>794</v>
      </c>
      <c r="C2257" s="2" t="s">
        <v>251</v>
      </c>
      <c r="D2257" s="7" t="s">
        <v>270</v>
      </c>
      <c r="E2257" s="4" t="s">
        <v>829</v>
      </c>
      <c r="F2257" s="2">
        <v>4</v>
      </c>
      <c r="G2257" s="2" t="s">
        <v>1400</v>
      </c>
      <c r="H2257" s="2" t="s">
        <v>1399</v>
      </c>
      <c r="I2257" s="4" t="s">
        <v>68</v>
      </c>
      <c r="J2257" s="112">
        <f>IF($H2257&lt;&gt;"Y",0,ROUND(MIN(Dashboard!$R$24,IF(IFERROR(VLOOKUP($B2257,Dashboard!$Q$28:$S$60,2,FALSE),0)&gt;0,IFERROR(VLOOKUP($B2257,Dashboard!$Q$28:$S$60,2,FALSE),0),$Z2257*IF($U2257&lt;&gt;"",ROUND((Dashboard!$R$4/$U2257)*VLOOKUP($I2257,Dashboard!$Q$9:$R$13,2,FALSE)*IF(ISNUMBER(SEARCH("Duals",$B2257)),2,IF(ISNUMBER(SEARCH("Triples",$B2257)),3,IF(ISNUMBER(SEARCH("Quads",$B2257)),4,1))),2),ROUND(VLOOKUP($I2257,Dashboard!$Q$15:$R$20,2,FALSE)*IF($E2257="Red",Dashboard!$R$6,IF($E2257="Gold",Dashboard!$R$7,Dashboard!$R$5))*IF(ISNUMBER(SEARCH("Duals",$B2257)),2,IF(ISNUMBER(SEARCH("Triples",$B2257)),3,IF(ISNUMBER(SEARCH("Quads",$B2257)),4,1))),2))*IF(IFERROR(VLOOKUP($B2257,Dashboard!$Q$28:$S$60,3,FALSE),0)&gt;0,VLOOKUP($B2257,Dashboard!$Q$28:$S$60,3,FALSE),1))),0))</f>
        <v>0</v>
      </c>
      <c r="K2257" s="2" t="str">
        <f>IF('Autos - Singles'!I23="","",'Autos - Singles'!I23)</f>
        <v/>
      </c>
      <c r="L2257" s="2">
        <f t="shared" si="455"/>
        <v>0</v>
      </c>
      <c r="M2257" s="2">
        <f t="shared" si="456"/>
        <v>0</v>
      </c>
      <c r="N2257" s="2">
        <f t="shared" si="457"/>
        <v>0</v>
      </c>
      <c r="O2257" s="2">
        <f t="shared" si="458"/>
        <v>0</v>
      </c>
      <c r="P2257" s="112">
        <f t="shared" si="459"/>
        <v>0</v>
      </c>
      <c r="Q2257" s="112">
        <f t="shared" si="460"/>
        <v>0</v>
      </c>
      <c r="R2257" s="53"/>
      <c r="S2257" s="53" t="str">
        <f t="shared" si="461"/>
        <v>Autos - Singles|Autographs Printing Plates Parallel|A-FH|Printing Plate</v>
      </c>
      <c r="T2257" s="57" t="str">
        <f>IF($S2257="","",IFERROR(VLOOKUP($S2257,'Pop Estimates (Non-#d)'!$N$2:$O$500,2,FALSE),""))</f>
        <v/>
      </c>
      <c r="U2257" s="57">
        <f t="shared" si="462"/>
        <v>4</v>
      </c>
      <c r="V2257" s="53" t="str">
        <f t="shared" si="463"/>
        <v>Kimiko</v>
      </c>
      <c r="W2257" s="53" t="str">
        <f t="shared" si="464"/>
        <v>Kimiko</v>
      </c>
      <c r="X2257" s="53" t="str">
        <f t="shared" si="465"/>
        <v>Kimiko</v>
      </c>
      <c r="Y2257" s="57">
        <f>IF($X2257="","",IFERROR(VLOOKUP($X2257,'Char Popularity'!$A$2:$C$500,2,FALSE),""))</f>
        <v>4</v>
      </c>
      <c r="Z2257" s="56">
        <f>IF($X2257="",1,IFERROR(VLOOKUP($X2257,'Char Popularity'!$A$2:$C$500,3,FALSE),1))</f>
        <v>1.1000000000000001</v>
      </c>
      <c r="AA2257" s="62">
        <f>IF($H2257&lt;&gt;"Y",0,(IF($F2257&lt;&gt;"",ROUND(Dashboard!$R$4/$F2257,1),IF(AND($I2257="Base",$E2257="Base"),Dashboard!$R$5,IF(AND($I2257="Base",$E2257="Red"),Dashboard!$R$6,IF(AND($I2257="Base",$E2257="Gold"),Dashboard!$R$7,VLOOKUP($I2257,Dashboard!$Q$16:$R$21,2,FALSE)))))*VLOOKUP($I2257,Dashboard!$Q$9:$R$13,2,FALSE)*IF(AND($I2257="Auto",$F2257="",OR($B2257="Autographs Duals",$B2257="Autographs Triples",$B2257="Autographs Quads",$B2257="Autographs Quads (Inscribed)")),IF($B2257="Autographs Duals",2,IF($B2257="Autographs Triples",3,4)),1)))</f>
        <v>0</v>
      </c>
      <c r="AB2257" s="62">
        <f t="shared" si="466"/>
        <v>0</v>
      </c>
      <c r="AC2257" s="62">
        <f t="shared" si="467"/>
        <v>0</v>
      </c>
    </row>
    <row r="2258" spans="1:29" ht="30" customHeight="1" x14ac:dyDescent="0.25">
      <c r="A2258" s="4" t="s">
        <v>37</v>
      </c>
      <c r="B2258" s="7" t="s">
        <v>794</v>
      </c>
      <c r="C2258" s="2" t="s">
        <v>253</v>
      </c>
      <c r="D2258" s="7" t="s">
        <v>254</v>
      </c>
      <c r="E2258" s="4" t="s">
        <v>829</v>
      </c>
      <c r="F2258" s="2">
        <v>4</v>
      </c>
      <c r="G2258" s="2" t="s">
        <v>1400</v>
      </c>
      <c r="H2258" s="2" t="s">
        <v>1399</v>
      </c>
      <c r="I2258" s="4" t="s">
        <v>68</v>
      </c>
      <c r="J2258" s="112">
        <f>IF($H2258&lt;&gt;"Y",0,ROUND(MIN(Dashboard!$R$24,IF(IFERROR(VLOOKUP($B2258,Dashboard!$Q$28:$S$60,2,FALSE),0)&gt;0,IFERROR(VLOOKUP($B2258,Dashboard!$Q$28:$S$60,2,FALSE),0),$Z2258*IF($U2258&lt;&gt;"",ROUND((Dashboard!$R$4/$U2258)*VLOOKUP($I2258,Dashboard!$Q$9:$R$13,2,FALSE)*IF(ISNUMBER(SEARCH("Duals",$B2258)),2,IF(ISNUMBER(SEARCH("Triples",$B2258)),3,IF(ISNUMBER(SEARCH("Quads",$B2258)),4,1))),2),ROUND(VLOOKUP($I2258,Dashboard!$Q$15:$R$20,2,FALSE)*IF($E2258="Red",Dashboard!$R$6,IF($E2258="Gold",Dashboard!$R$7,Dashboard!$R$5))*IF(ISNUMBER(SEARCH("Duals",$B2258)),2,IF(ISNUMBER(SEARCH("Triples",$B2258)),3,IF(ISNUMBER(SEARCH("Quads",$B2258)),4,1))),2))*IF(IFERROR(VLOOKUP($B2258,Dashboard!$Q$28:$S$60,3,FALSE),0)&gt;0,VLOOKUP($B2258,Dashboard!$Q$28:$S$60,3,FALSE),1))),0))</f>
        <v>0</v>
      </c>
      <c r="K2258" s="2" t="str">
        <f>IF('Autos - Singles'!I24="","",'Autos - Singles'!I24)</f>
        <v/>
      </c>
      <c r="L2258" s="2">
        <f t="shared" si="455"/>
        <v>0</v>
      </c>
      <c r="M2258" s="2">
        <f t="shared" si="456"/>
        <v>0</v>
      </c>
      <c r="N2258" s="2">
        <f t="shared" si="457"/>
        <v>0</v>
      </c>
      <c r="O2258" s="2">
        <f t="shared" si="458"/>
        <v>0</v>
      </c>
      <c r="P2258" s="112">
        <f t="shared" si="459"/>
        <v>0</v>
      </c>
      <c r="Q2258" s="112">
        <f t="shared" si="460"/>
        <v>0</v>
      </c>
      <c r="R2258" s="53"/>
      <c r="S2258" s="53" t="str">
        <f t="shared" si="461"/>
        <v>Autos - Singles|Autographs Printing Plates Parallel|A-GC|Printing Plate</v>
      </c>
      <c r="T2258" s="57" t="str">
        <f>IF($S2258="","",IFERROR(VLOOKUP($S2258,'Pop Estimates (Non-#d)'!$N$2:$O$500,2,FALSE),""))</f>
        <v/>
      </c>
      <c r="U2258" s="57">
        <f t="shared" si="462"/>
        <v>4</v>
      </c>
      <c r="V2258" s="53" t="str">
        <f t="shared" si="463"/>
        <v>Stan Edgar</v>
      </c>
      <c r="W2258" s="53" t="str">
        <f t="shared" si="464"/>
        <v>Stan Edgar</v>
      </c>
      <c r="X2258" s="53" t="str">
        <f t="shared" si="465"/>
        <v>Stan Edgar</v>
      </c>
      <c r="Y2258" s="57">
        <f>IF($X2258="","",IFERROR(VLOOKUP($X2258,'Char Popularity'!$A$2:$C$500,2,FALSE),""))</f>
        <v>4</v>
      </c>
      <c r="Z2258" s="56">
        <f>IF($X2258="",1,IFERROR(VLOOKUP($X2258,'Char Popularity'!$A$2:$C$500,3,FALSE),1))</f>
        <v>1.1000000000000001</v>
      </c>
      <c r="AA2258" s="62">
        <f>IF($H2258&lt;&gt;"Y",0,(IF($F2258&lt;&gt;"",ROUND(Dashboard!$R$4/$F2258,1),IF(AND($I2258="Base",$E2258="Base"),Dashboard!$R$5,IF(AND($I2258="Base",$E2258="Red"),Dashboard!$R$6,IF(AND($I2258="Base",$E2258="Gold"),Dashboard!$R$7,VLOOKUP($I2258,Dashboard!$Q$16:$R$21,2,FALSE)))))*VLOOKUP($I2258,Dashboard!$Q$9:$R$13,2,FALSE)*IF(AND($I2258="Auto",$F2258="",OR($B2258="Autographs Duals",$B2258="Autographs Triples",$B2258="Autographs Quads",$B2258="Autographs Quads (Inscribed)")),IF($B2258="Autographs Duals",2,IF($B2258="Autographs Triples",3,4)),1)))</f>
        <v>0</v>
      </c>
      <c r="AB2258" s="62">
        <f t="shared" si="466"/>
        <v>0</v>
      </c>
      <c r="AC2258" s="62">
        <f t="shared" si="467"/>
        <v>0</v>
      </c>
    </row>
    <row r="2259" spans="1:29" ht="30" customHeight="1" x14ac:dyDescent="0.25">
      <c r="A2259" s="4" t="s">
        <v>37</v>
      </c>
      <c r="B2259" s="7" t="s">
        <v>794</v>
      </c>
      <c r="C2259" s="2" t="s">
        <v>255</v>
      </c>
      <c r="D2259" s="7" t="s">
        <v>254</v>
      </c>
      <c r="E2259" s="4" t="s">
        <v>829</v>
      </c>
      <c r="F2259" s="2">
        <v>4</v>
      </c>
      <c r="G2259" s="2" t="s">
        <v>1400</v>
      </c>
      <c r="H2259" s="2" t="s">
        <v>1399</v>
      </c>
      <c r="I2259" s="4" t="s">
        <v>68</v>
      </c>
      <c r="J2259" s="112">
        <f>IF($H2259&lt;&gt;"Y",0,ROUND(MIN(Dashboard!$R$24,IF(IFERROR(VLOOKUP($B2259,Dashboard!$Q$28:$S$60,2,FALSE),0)&gt;0,IFERROR(VLOOKUP($B2259,Dashboard!$Q$28:$S$60,2,FALSE),0),$Z2259*IF($U2259&lt;&gt;"",ROUND((Dashboard!$R$4/$U2259)*VLOOKUP($I2259,Dashboard!$Q$9:$R$13,2,FALSE)*IF(ISNUMBER(SEARCH("Duals",$B2259)),2,IF(ISNUMBER(SEARCH("Triples",$B2259)),3,IF(ISNUMBER(SEARCH("Quads",$B2259)),4,1))),2),ROUND(VLOOKUP($I2259,Dashboard!$Q$15:$R$20,2,FALSE)*IF($E2259="Red",Dashboard!$R$6,IF($E2259="Gold",Dashboard!$R$7,Dashboard!$R$5))*IF(ISNUMBER(SEARCH("Duals",$B2259)),2,IF(ISNUMBER(SEARCH("Triples",$B2259)),3,IF(ISNUMBER(SEARCH("Quads",$B2259)),4,1))),2))*IF(IFERROR(VLOOKUP($B2259,Dashboard!$Q$28:$S$60,3,FALSE),0)&gt;0,VLOOKUP($B2259,Dashboard!$Q$28:$S$60,3,FALSE),1))),0))</f>
        <v>0</v>
      </c>
      <c r="K2259" s="2" t="str">
        <f>IF('Autos - Singles'!I25="","",'Autos - Singles'!I25)</f>
        <v/>
      </c>
      <c r="L2259" s="2">
        <f t="shared" si="455"/>
        <v>0</v>
      </c>
      <c r="M2259" s="2">
        <f t="shared" si="456"/>
        <v>0</v>
      </c>
      <c r="N2259" s="2">
        <f t="shared" si="457"/>
        <v>0</v>
      </c>
      <c r="O2259" s="2">
        <f t="shared" si="458"/>
        <v>0</v>
      </c>
      <c r="P2259" s="112">
        <f t="shared" si="459"/>
        <v>0</v>
      </c>
      <c r="Q2259" s="112">
        <f t="shared" si="460"/>
        <v>0</v>
      </c>
      <c r="R2259" s="53"/>
      <c r="S2259" s="53" t="str">
        <f t="shared" si="461"/>
        <v>Autos - Singles|Autographs Printing Plates Parallel|A-GE|Printing Plate</v>
      </c>
      <c r="T2259" s="57" t="str">
        <f>IF($S2259="","",IFERROR(VLOOKUP($S2259,'Pop Estimates (Non-#d)'!$N$2:$O$500,2,FALSE),""))</f>
        <v/>
      </c>
      <c r="U2259" s="57">
        <f t="shared" si="462"/>
        <v>4</v>
      </c>
      <c r="V2259" s="53" t="str">
        <f t="shared" si="463"/>
        <v>Stan Edgar</v>
      </c>
      <c r="W2259" s="53" t="str">
        <f t="shared" si="464"/>
        <v>Stan Edgar</v>
      </c>
      <c r="X2259" s="53" t="str">
        <f t="shared" si="465"/>
        <v>Stan Edgar</v>
      </c>
      <c r="Y2259" s="57">
        <f>IF($X2259="","",IFERROR(VLOOKUP($X2259,'Char Popularity'!$A$2:$C$500,2,FALSE),""))</f>
        <v>4</v>
      </c>
      <c r="Z2259" s="56">
        <f>IF($X2259="",1,IFERROR(VLOOKUP($X2259,'Char Popularity'!$A$2:$C$500,3,FALSE),1))</f>
        <v>1.1000000000000001</v>
      </c>
      <c r="AA2259" s="62">
        <f>IF($H2259&lt;&gt;"Y",0,(IF($F2259&lt;&gt;"",ROUND(Dashboard!$R$4/$F2259,1),IF(AND($I2259="Base",$E2259="Base"),Dashboard!$R$5,IF(AND($I2259="Base",$E2259="Red"),Dashboard!$R$6,IF(AND($I2259="Base",$E2259="Gold"),Dashboard!$R$7,VLOOKUP($I2259,Dashboard!$Q$16:$R$21,2,FALSE)))))*VLOOKUP($I2259,Dashboard!$Q$9:$R$13,2,FALSE)*IF(AND($I2259="Auto",$F2259="",OR($B2259="Autographs Duals",$B2259="Autographs Triples",$B2259="Autographs Quads",$B2259="Autographs Quads (Inscribed)")),IF($B2259="Autographs Duals",2,IF($B2259="Autographs Triples",3,4)),1)))</f>
        <v>0</v>
      </c>
      <c r="AB2259" s="62">
        <f t="shared" si="466"/>
        <v>0</v>
      </c>
      <c r="AC2259" s="62">
        <f t="shared" si="467"/>
        <v>0</v>
      </c>
    </row>
    <row r="2260" spans="1:29" ht="30" customHeight="1" x14ac:dyDescent="0.25">
      <c r="A2260" s="4" t="s">
        <v>37</v>
      </c>
      <c r="B2260" s="7" t="s">
        <v>794</v>
      </c>
      <c r="C2260" s="2" t="s">
        <v>256</v>
      </c>
      <c r="D2260" s="7" t="s">
        <v>216</v>
      </c>
      <c r="E2260" s="4" t="s">
        <v>829</v>
      </c>
      <c r="F2260" s="2">
        <v>4</v>
      </c>
      <c r="G2260" s="2" t="s">
        <v>1400</v>
      </c>
      <c r="H2260" s="2" t="s">
        <v>1399</v>
      </c>
      <c r="I2260" s="4" t="s">
        <v>68</v>
      </c>
      <c r="J2260" s="112">
        <f>IF($H2260&lt;&gt;"Y",0,ROUND(MIN(Dashboard!$R$24,IF(IFERROR(VLOOKUP($B2260,Dashboard!$Q$28:$S$60,2,FALSE),0)&gt;0,IFERROR(VLOOKUP($B2260,Dashboard!$Q$28:$S$60,2,FALSE),0),$Z2260*IF($U2260&lt;&gt;"",ROUND((Dashboard!$R$4/$U2260)*VLOOKUP($I2260,Dashboard!$Q$9:$R$13,2,FALSE)*IF(ISNUMBER(SEARCH("Duals",$B2260)),2,IF(ISNUMBER(SEARCH("Triples",$B2260)),3,IF(ISNUMBER(SEARCH("Quads",$B2260)),4,1))),2),ROUND(VLOOKUP($I2260,Dashboard!$Q$15:$R$20,2,FALSE)*IF($E2260="Red",Dashboard!$R$6,IF($E2260="Gold",Dashboard!$R$7,Dashboard!$R$5))*IF(ISNUMBER(SEARCH("Duals",$B2260)),2,IF(ISNUMBER(SEARCH("Triples",$B2260)),3,IF(ISNUMBER(SEARCH("Quads",$B2260)),4,1))),2))*IF(IFERROR(VLOOKUP($B2260,Dashboard!$Q$28:$S$60,3,FALSE),0)&gt;0,VLOOKUP($B2260,Dashboard!$Q$28:$S$60,3,FALSE),1))),0))</f>
        <v>0</v>
      </c>
      <c r="K2260" s="2" t="str">
        <f>IF('Autos - Singles'!I26="","",'Autos - Singles'!I26)</f>
        <v/>
      </c>
      <c r="L2260" s="2">
        <f t="shared" si="455"/>
        <v>0</v>
      </c>
      <c r="M2260" s="2">
        <f t="shared" si="456"/>
        <v>0</v>
      </c>
      <c r="N2260" s="2">
        <f t="shared" si="457"/>
        <v>0</v>
      </c>
      <c r="O2260" s="2">
        <f t="shared" si="458"/>
        <v>0</v>
      </c>
      <c r="P2260" s="112">
        <f t="shared" si="459"/>
        <v>0</v>
      </c>
      <c r="Q2260" s="112">
        <f t="shared" si="460"/>
        <v>0</v>
      </c>
      <c r="R2260" s="53"/>
      <c r="S2260" s="53" t="str">
        <f t="shared" si="461"/>
        <v>Autos - Singles|Autographs Printing Plates Parallel|A-HA|Printing Plate</v>
      </c>
      <c r="T2260" s="57" t="str">
        <f>IF($S2260="","",IFERROR(VLOOKUP($S2260,'Pop Estimates (Non-#d)'!$N$2:$O$500,2,FALSE),""))</f>
        <v/>
      </c>
      <c r="U2260" s="57">
        <f t="shared" si="462"/>
        <v>4</v>
      </c>
      <c r="V2260" s="53" t="str">
        <f t="shared" si="463"/>
        <v>Translucent</v>
      </c>
      <c r="W2260" s="53" t="str">
        <f t="shared" si="464"/>
        <v>Translucent</v>
      </c>
      <c r="X2260" s="53" t="str">
        <f t="shared" si="465"/>
        <v>Translucent</v>
      </c>
      <c r="Y2260" s="57">
        <f>IF($X2260="","",IFERROR(VLOOKUP($X2260,'Char Popularity'!$A$2:$C$500,2,FALSE),""))</f>
        <v>2</v>
      </c>
      <c r="Z2260" s="56">
        <f>IF($X2260="",1,IFERROR(VLOOKUP($X2260,'Char Popularity'!$A$2:$C$500,3,FALSE),1))</f>
        <v>0.9</v>
      </c>
      <c r="AA2260" s="62">
        <f>IF($H2260&lt;&gt;"Y",0,(IF($F2260&lt;&gt;"",ROUND(Dashboard!$R$4/$F2260,1),IF(AND($I2260="Base",$E2260="Base"),Dashboard!$R$5,IF(AND($I2260="Base",$E2260="Red"),Dashboard!$R$6,IF(AND($I2260="Base",$E2260="Gold"),Dashboard!$R$7,VLOOKUP($I2260,Dashboard!$Q$16:$R$21,2,FALSE)))))*VLOOKUP($I2260,Dashboard!$Q$9:$R$13,2,FALSE)*IF(AND($I2260="Auto",$F2260="",OR($B2260="Autographs Duals",$B2260="Autographs Triples",$B2260="Autographs Quads",$B2260="Autographs Quads (Inscribed)")),IF($B2260="Autographs Duals",2,IF($B2260="Autographs Triples",3,4)),1)))</f>
        <v>0</v>
      </c>
      <c r="AB2260" s="62">
        <f t="shared" si="466"/>
        <v>0</v>
      </c>
      <c r="AC2260" s="62">
        <f t="shared" si="467"/>
        <v>0</v>
      </c>
    </row>
    <row r="2261" spans="1:29" ht="30" customHeight="1" x14ac:dyDescent="0.25">
      <c r="A2261" s="4" t="s">
        <v>37</v>
      </c>
      <c r="B2261" s="7" t="s">
        <v>794</v>
      </c>
      <c r="C2261" s="2" t="s">
        <v>259</v>
      </c>
      <c r="D2261" s="7" t="s">
        <v>260</v>
      </c>
      <c r="E2261" s="4" t="s">
        <v>829</v>
      </c>
      <c r="F2261" s="2">
        <v>4</v>
      </c>
      <c r="G2261" s="2" t="s">
        <v>1400</v>
      </c>
      <c r="H2261" s="2" t="s">
        <v>1399</v>
      </c>
      <c r="I2261" s="4" t="s">
        <v>68</v>
      </c>
      <c r="J2261" s="112">
        <f>IF($H2261&lt;&gt;"Y",0,ROUND(MIN(Dashboard!$R$24,IF(IFERROR(VLOOKUP($B2261,Dashboard!$Q$28:$S$60,2,FALSE),0)&gt;0,IFERROR(VLOOKUP($B2261,Dashboard!$Q$28:$S$60,2,FALSE),0),$Z2261*IF($U2261&lt;&gt;"",ROUND((Dashboard!$R$4/$U2261)*VLOOKUP($I2261,Dashboard!$Q$9:$R$13,2,FALSE)*IF(ISNUMBER(SEARCH("Duals",$B2261)),2,IF(ISNUMBER(SEARCH("Triples",$B2261)),3,IF(ISNUMBER(SEARCH("Quads",$B2261)),4,1))),2),ROUND(VLOOKUP($I2261,Dashboard!$Q$15:$R$20,2,FALSE)*IF($E2261="Red",Dashboard!$R$6,IF($E2261="Gold",Dashboard!$R$7,Dashboard!$R$5))*IF(ISNUMBER(SEARCH("Duals",$B2261)),2,IF(ISNUMBER(SEARCH("Triples",$B2261)),3,IF(ISNUMBER(SEARCH("Quads",$B2261)),4,1))),2))*IF(IFERROR(VLOOKUP($B2261,Dashboard!$Q$28:$S$60,3,FALSE),0)&gt;0,VLOOKUP($B2261,Dashboard!$Q$28:$S$60,3,FALSE),1))),0))</f>
        <v>0</v>
      </c>
      <c r="K2261" s="2" t="str">
        <f>IF('Autos - Singles'!I28="","",'Autos - Singles'!I28)</f>
        <v/>
      </c>
      <c r="L2261" s="2">
        <f t="shared" si="455"/>
        <v>0</v>
      </c>
      <c r="M2261" s="2">
        <f t="shared" si="456"/>
        <v>0</v>
      </c>
      <c r="N2261" s="2">
        <f t="shared" si="457"/>
        <v>0</v>
      </c>
      <c r="O2261" s="2">
        <f t="shared" si="458"/>
        <v>0</v>
      </c>
      <c r="P2261" s="112">
        <f t="shared" si="459"/>
        <v>0</v>
      </c>
      <c r="Q2261" s="112">
        <f t="shared" si="460"/>
        <v>0</v>
      </c>
      <c r="R2261" s="53"/>
      <c r="S2261" s="53" t="str">
        <f t="shared" si="461"/>
        <v>Autos - Singles|Autographs Printing Plates Parallel|A-JL|Printing Plate</v>
      </c>
      <c r="T2261" s="57" t="str">
        <f>IF($S2261="","",IFERROR(VLOOKUP($S2261,'Pop Estimates (Non-#d)'!$N$2:$O$500,2,FALSE),""))</f>
        <v/>
      </c>
      <c r="U2261" s="57">
        <f t="shared" si="462"/>
        <v>4</v>
      </c>
      <c r="V2261" s="53" t="str">
        <f t="shared" si="463"/>
        <v>Cherie</v>
      </c>
      <c r="W2261" s="53" t="str">
        <f t="shared" si="464"/>
        <v>Cherie</v>
      </c>
      <c r="X2261" s="53" t="str">
        <f t="shared" si="465"/>
        <v>Cherie</v>
      </c>
      <c r="Y2261" s="57">
        <f>IF($X2261="","",IFERROR(VLOOKUP($X2261,'Char Popularity'!$A$2:$C$500,2,FALSE),""))</f>
        <v>3</v>
      </c>
      <c r="Z2261" s="56">
        <f>IF($X2261="",1,IFERROR(VLOOKUP($X2261,'Char Popularity'!$A$2:$C$500,3,FALSE),1))</f>
        <v>1</v>
      </c>
      <c r="AA2261" s="62">
        <f>IF($H2261&lt;&gt;"Y",0,(IF($F2261&lt;&gt;"",ROUND(Dashboard!$R$4/$F2261,1),IF(AND($I2261="Base",$E2261="Base"),Dashboard!$R$5,IF(AND($I2261="Base",$E2261="Red"),Dashboard!$R$6,IF(AND($I2261="Base",$E2261="Gold"),Dashboard!$R$7,VLOOKUP($I2261,Dashboard!$Q$16:$R$21,2,FALSE)))))*VLOOKUP($I2261,Dashboard!$Q$9:$R$13,2,FALSE)*IF(AND($I2261="Auto",$F2261="",OR($B2261="Autographs Duals",$B2261="Autographs Triples",$B2261="Autographs Quads",$B2261="Autographs Quads (Inscribed)")),IF($B2261="Autographs Duals",2,IF($B2261="Autographs Triples",3,4)),1)))</f>
        <v>0</v>
      </c>
      <c r="AB2261" s="62">
        <f t="shared" si="466"/>
        <v>0</v>
      </c>
      <c r="AC2261" s="62">
        <f t="shared" si="467"/>
        <v>0</v>
      </c>
    </row>
    <row r="2262" spans="1:29" ht="30" customHeight="1" x14ac:dyDescent="0.25">
      <c r="A2262" s="4" t="s">
        <v>37</v>
      </c>
      <c r="B2262" s="7" t="s">
        <v>794</v>
      </c>
      <c r="C2262" s="2" t="s">
        <v>261</v>
      </c>
      <c r="D2262" s="7" t="s">
        <v>260</v>
      </c>
      <c r="E2262" s="4" t="s">
        <v>829</v>
      </c>
      <c r="F2262" s="2">
        <v>4</v>
      </c>
      <c r="G2262" s="2" t="s">
        <v>1400</v>
      </c>
      <c r="H2262" s="2" t="s">
        <v>1399</v>
      </c>
      <c r="I2262" s="4" t="s">
        <v>68</v>
      </c>
      <c r="J2262" s="112">
        <f>IF($H2262&lt;&gt;"Y",0,ROUND(MIN(Dashboard!$R$24,IF(IFERROR(VLOOKUP($B2262,Dashboard!$Q$28:$S$60,2,FALSE),0)&gt;0,IFERROR(VLOOKUP($B2262,Dashboard!$Q$28:$S$60,2,FALSE),0),$Z2262*IF($U2262&lt;&gt;"",ROUND((Dashboard!$R$4/$U2262)*VLOOKUP($I2262,Dashboard!$Q$9:$R$13,2,FALSE)*IF(ISNUMBER(SEARCH("Duals",$B2262)),2,IF(ISNUMBER(SEARCH("Triples",$B2262)),3,IF(ISNUMBER(SEARCH("Quads",$B2262)),4,1))),2),ROUND(VLOOKUP($I2262,Dashboard!$Q$15:$R$20,2,FALSE)*IF($E2262="Red",Dashboard!$R$6,IF($E2262="Gold",Dashboard!$R$7,Dashboard!$R$5))*IF(ISNUMBER(SEARCH("Duals",$B2262)),2,IF(ISNUMBER(SEARCH("Triples",$B2262)),3,IF(ISNUMBER(SEARCH("Quads",$B2262)),4,1))),2))*IF(IFERROR(VLOOKUP($B2262,Dashboard!$Q$28:$S$60,3,FALSE),0)&gt;0,VLOOKUP($B2262,Dashboard!$Q$28:$S$60,3,FALSE),1))),0))</f>
        <v>0</v>
      </c>
      <c r="K2262" s="2" t="str">
        <f>IF('Autos - Singles'!I29="","",'Autos - Singles'!I29)</f>
        <v/>
      </c>
      <c r="L2262" s="2">
        <f t="shared" si="455"/>
        <v>0</v>
      </c>
      <c r="M2262" s="2">
        <f t="shared" si="456"/>
        <v>0</v>
      </c>
      <c r="N2262" s="2">
        <f t="shared" si="457"/>
        <v>0</v>
      </c>
      <c r="O2262" s="2">
        <f t="shared" si="458"/>
        <v>0</v>
      </c>
      <c r="P2262" s="112">
        <f t="shared" si="459"/>
        <v>0</v>
      </c>
      <c r="Q2262" s="112">
        <f t="shared" si="460"/>
        <v>0</v>
      </c>
      <c r="R2262" s="53"/>
      <c r="S2262" s="53" t="str">
        <f t="shared" si="461"/>
        <v>Autos - Singles|Autographs Printing Plates Parallel|A-JO|Printing Plate</v>
      </c>
      <c r="T2262" s="57" t="str">
        <f>IF($S2262="","",IFERROR(VLOOKUP($S2262,'Pop Estimates (Non-#d)'!$N$2:$O$500,2,FALSE),""))</f>
        <v/>
      </c>
      <c r="U2262" s="57">
        <f t="shared" si="462"/>
        <v>4</v>
      </c>
      <c r="V2262" s="53" t="str">
        <f t="shared" si="463"/>
        <v>Cherie</v>
      </c>
      <c r="W2262" s="53" t="str">
        <f t="shared" si="464"/>
        <v>Cherie</v>
      </c>
      <c r="X2262" s="53" t="str">
        <f t="shared" si="465"/>
        <v>Cherie</v>
      </c>
      <c r="Y2262" s="57">
        <f>IF($X2262="","",IFERROR(VLOOKUP($X2262,'Char Popularity'!$A$2:$C$500,2,FALSE),""))</f>
        <v>3</v>
      </c>
      <c r="Z2262" s="56">
        <f>IF($X2262="",1,IFERROR(VLOOKUP($X2262,'Char Popularity'!$A$2:$C$500,3,FALSE),1))</f>
        <v>1</v>
      </c>
      <c r="AA2262" s="62">
        <f>IF($H2262&lt;&gt;"Y",0,(IF($F2262&lt;&gt;"",ROUND(Dashboard!$R$4/$F2262,1),IF(AND($I2262="Base",$E2262="Base"),Dashboard!$R$5,IF(AND($I2262="Base",$E2262="Red"),Dashboard!$R$6,IF(AND($I2262="Base",$E2262="Gold"),Dashboard!$R$7,VLOOKUP($I2262,Dashboard!$Q$16:$R$21,2,FALSE)))))*VLOOKUP($I2262,Dashboard!$Q$9:$R$13,2,FALSE)*IF(AND($I2262="Auto",$F2262="",OR($B2262="Autographs Duals",$B2262="Autographs Triples",$B2262="Autographs Quads",$B2262="Autographs Quads (Inscribed)")),IF($B2262="Autographs Duals",2,IF($B2262="Autographs Triples",3,4)),1)))</f>
        <v>0</v>
      </c>
      <c r="AB2262" s="62">
        <f t="shared" si="466"/>
        <v>0</v>
      </c>
      <c r="AC2262" s="62">
        <f t="shared" si="467"/>
        <v>0</v>
      </c>
    </row>
    <row r="2263" spans="1:29" ht="30" customHeight="1" x14ac:dyDescent="0.25">
      <c r="A2263" s="4" t="s">
        <v>37</v>
      </c>
      <c r="B2263" s="7" t="s">
        <v>794</v>
      </c>
      <c r="C2263" s="2" t="s">
        <v>262</v>
      </c>
      <c r="D2263" s="7" t="s">
        <v>263</v>
      </c>
      <c r="E2263" s="4" t="s">
        <v>829</v>
      </c>
      <c r="F2263" s="2">
        <v>4</v>
      </c>
      <c r="G2263" s="2" t="s">
        <v>1400</v>
      </c>
      <c r="H2263" s="2" t="s">
        <v>1399</v>
      </c>
      <c r="I2263" s="4" t="s">
        <v>68</v>
      </c>
      <c r="J2263" s="112">
        <f>IF($H2263&lt;&gt;"Y",0,ROUND(MIN(Dashboard!$R$24,IF(IFERROR(VLOOKUP($B2263,Dashboard!$Q$28:$S$60,2,FALSE),0)&gt;0,IFERROR(VLOOKUP($B2263,Dashboard!$Q$28:$S$60,2,FALSE),0),$Z2263*IF($U2263&lt;&gt;"",ROUND((Dashboard!$R$4/$U2263)*VLOOKUP($I2263,Dashboard!$Q$9:$R$13,2,FALSE)*IF(ISNUMBER(SEARCH("Duals",$B2263)),2,IF(ISNUMBER(SEARCH("Triples",$B2263)),3,IF(ISNUMBER(SEARCH("Quads",$B2263)),4,1))),2),ROUND(VLOOKUP($I2263,Dashboard!$Q$15:$R$20,2,FALSE)*IF($E2263="Red",Dashboard!$R$6,IF($E2263="Gold",Dashboard!$R$7,Dashboard!$R$5))*IF(ISNUMBER(SEARCH("Duals",$B2263)),2,IF(ISNUMBER(SEARCH("Triples",$B2263)),3,IF(ISNUMBER(SEARCH("Quads",$B2263)),4,1))),2))*IF(IFERROR(VLOOKUP($B2263,Dashboard!$Q$28:$S$60,3,FALSE),0)&gt;0,VLOOKUP($B2263,Dashboard!$Q$28:$S$60,3,FALSE),1))),0))</f>
        <v>0</v>
      </c>
      <c r="K2263" s="2" t="str">
        <f>IF('Autos - Singles'!I30="","",'Autos - Singles'!I30)</f>
        <v/>
      </c>
      <c r="L2263" s="2">
        <f t="shared" si="455"/>
        <v>0</v>
      </c>
      <c r="M2263" s="2">
        <f t="shared" si="456"/>
        <v>0</v>
      </c>
      <c r="N2263" s="2">
        <f t="shared" si="457"/>
        <v>0</v>
      </c>
      <c r="O2263" s="2">
        <f t="shared" si="458"/>
        <v>0</v>
      </c>
      <c r="P2263" s="112">
        <f t="shared" si="459"/>
        <v>0</v>
      </c>
      <c r="Q2263" s="112">
        <f t="shared" si="460"/>
        <v>0</v>
      </c>
      <c r="R2263" s="53"/>
      <c r="S2263" s="53" t="str">
        <f t="shared" si="461"/>
        <v>Autos - Singles|Autographs Printing Plates Parallel|A-JQ|Printing Plate</v>
      </c>
      <c r="T2263" s="57" t="str">
        <f>IF($S2263="","",IFERROR(VLOOKUP($S2263,'Pop Estimates (Non-#d)'!$N$2:$O$500,2,FALSE),""))</f>
        <v/>
      </c>
      <c r="U2263" s="57">
        <f t="shared" si="462"/>
        <v>4</v>
      </c>
      <c r="V2263" s="53" t="str">
        <f t="shared" si="463"/>
        <v>Hughie Campbell</v>
      </c>
      <c r="W2263" s="53" t="str">
        <f t="shared" si="464"/>
        <v>Hughie Campbell</v>
      </c>
      <c r="X2263" s="53" t="str">
        <f t="shared" si="465"/>
        <v>Hughie Campbell</v>
      </c>
      <c r="Y2263" s="57">
        <f>IF($X2263="","",IFERROR(VLOOKUP($X2263,'Char Popularity'!$A$2:$C$500,2,FALSE),""))</f>
        <v>5</v>
      </c>
      <c r="Z2263" s="56">
        <f>IF($X2263="",1,IFERROR(VLOOKUP($X2263,'Char Popularity'!$A$2:$C$500,3,FALSE),1))</f>
        <v>1.2</v>
      </c>
      <c r="AA2263" s="62">
        <f>IF($H2263&lt;&gt;"Y",0,(IF($F2263&lt;&gt;"",ROUND(Dashboard!$R$4/$F2263,1),IF(AND($I2263="Base",$E2263="Base"),Dashboard!$R$5,IF(AND($I2263="Base",$E2263="Red"),Dashboard!$R$6,IF(AND($I2263="Base",$E2263="Gold"),Dashboard!$R$7,VLOOKUP($I2263,Dashboard!$Q$16:$R$21,2,FALSE)))))*VLOOKUP($I2263,Dashboard!$Q$9:$R$13,2,FALSE)*IF(AND($I2263="Auto",$F2263="",OR($B2263="Autographs Duals",$B2263="Autographs Triples",$B2263="Autographs Quads",$B2263="Autographs Quads (Inscribed)")),IF($B2263="Autographs Duals",2,IF($B2263="Autographs Triples",3,4)),1)))</f>
        <v>0</v>
      </c>
      <c r="AB2263" s="62">
        <f t="shared" si="466"/>
        <v>0</v>
      </c>
      <c r="AC2263" s="62">
        <f t="shared" si="467"/>
        <v>0</v>
      </c>
    </row>
    <row r="2264" spans="1:29" ht="30" customHeight="1" x14ac:dyDescent="0.25">
      <c r="A2264" s="4" t="s">
        <v>37</v>
      </c>
      <c r="B2264" s="7" t="s">
        <v>794</v>
      </c>
      <c r="C2264" s="2" t="s">
        <v>264</v>
      </c>
      <c r="D2264" s="7" t="s">
        <v>260</v>
      </c>
      <c r="E2264" s="4" t="s">
        <v>829</v>
      </c>
      <c r="F2264" s="2">
        <v>4</v>
      </c>
      <c r="G2264" s="2" t="s">
        <v>1400</v>
      </c>
      <c r="H2264" s="2" t="s">
        <v>1399</v>
      </c>
      <c r="I2264" s="4" t="s">
        <v>68</v>
      </c>
      <c r="J2264" s="112">
        <f>IF($H2264&lt;&gt;"Y",0,ROUND(MIN(Dashboard!$R$24,IF(IFERROR(VLOOKUP($B2264,Dashboard!$Q$28:$S$60,2,FALSE),0)&gt;0,IFERROR(VLOOKUP($B2264,Dashboard!$Q$28:$S$60,2,FALSE),0),$Z2264*IF($U2264&lt;&gt;"",ROUND((Dashboard!$R$4/$U2264)*VLOOKUP($I2264,Dashboard!$Q$9:$R$13,2,FALSE)*IF(ISNUMBER(SEARCH("Duals",$B2264)),2,IF(ISNUMBER(SEARCH("Triples",$B2264)),3,IF(ISNUMBER(SEARCH("Quads",$B2264)),4,1))),2),ROUND(VLOOKUP($I2264,Dashboard!$Q$15:$R$20,2,FALSE)*IF($E2264="Red",Dashboard!$R$6,IF($E2264="Gold",Dashboard!$R$7,Dashboard!$R$5))*IF(ISNUMBER(SEARCH("Duals",$B2264)),2,IF(ISNUMBER(SEARCH("Triples",$B2264)),3,IF(ISNUMBER(SEARCH("Quads",$B2264)),4,1))),2))*IF(IFERROR(VLOOKUP($B2264,Dashboard!$Q$28:$S$60,3,FALSE),0)&gt;0,VLOOKUP($B2264,Dashboard!$Q$28:$S$60,3,FALSE),1))),0))</f>
        <v>0</v>
      </c>
      <c r="K2264" s="2" t="str">
        <f>IF('Autos - Singles'!I31="","",'Autos - Singles'!I31)</f>
        <v/>
      </c>
      <c r="L2264" s="2">
        <f t="shared" si="455"/>
        <v>0</v>
      </c>
      <c r="M2264" s="2">
        <f t="shared" si="456"/>
        <v>0</v>
      </c>
      <c r="N2264" s="2">
        <f t="shared" si="457"/>
        <v>0</v>
      </c>
      <c r="O2264" s="2">
        <f t="shared" si="458"/>
        <v>0</v>
      </c>
      <c r="P2264" s="112">
        <f t="shared" si="459"/>
        <v>0</v>
      </c>
      <c r="Q2264" s="112">
        <f t="shared" si="460"/>
        <v>0</v>
      </c>
      <c r="R2264" s="53"/>
      <c r="S2264" s="53" t="str">
        <f t="shared" si="461"/>
        <v>Autos - Singles|Autographs Printing Plates Parallel|A-JR|Printing Plate</v>
      </c>
      <c r="T2264" s="57" t="str">
        <f>IF($S2264="","",IFERROR(VLOOKUP($S2264,'Pop Estimates (Non-#d)'!$N$2:$O$500,2,FALSE),""))</f>
        <v/>
      </c>
      <c r="U2264" s="57">
        <f t="shared" si="462"/>
        <v>4</v>
      </c>
      <c r="V2264" s="53" t="str">
        <f t="shared" si="463"/>
        <v>Cherie</v>
      </c>
      <c r="W2264" s="53" t="str">
        <f t="shared" si="464"/>
        <v>Cherie</v>
      </c>
      <c r="X2264" s="53" t="str">
        <f t="shared" si="465"/>
        <v>Cherie</v>
      </c>
      <c r="Y2264" s="57">
        <f>IF($X2264="","",IFERROR(VLOOKUP($X2264,'Char Popularity'!$A$2:$C$500,2,FALSE),""))</f>
        <v>3</v>
      </c>
      <c r="Z2264" s="56">
        <f>IF($X2264="",1,IFERROR(VLOOKUP($X2264,'Char Popularity'!$A$2:$C$500,3,FALSE),1))</f>
        <v>1</v>
      </c>
      <c r="AA2264" s="62">
        <f>IF($H2264&lt;&gt;"Y",0,(IF($F2264&lt;&gt;"",ROUND(Dashboard!$R$4/$F2264,1),IF(AND($I2264="Base",$E2264="Base"),Dashboard!$R$5,IF(AND($I2264="Base",$E2264="Red"),Dashboard!$R$6,IF(AND($I2264="Base",$E2264="Gold"),Dashboard!$R$7,VLOOKUP($I2264,Dashboard!$Q$16:$R$21,2,FALSE)))))*VLOOKUP($I2264,Dashboard!$Q$9:$R$13,2,FALSE)*IF(AND($I2264="Auto",$F2264="",OR($B2264="Autographs Duals",$B2264="Autographs Triples",$B2264="Autographs Quads",$B2264="Autographs Quads (Inscribed)")),IF($B2264="Autographs Duals",2,IF($B2264="Autographs Triples",3,4)),1)))</f>
        <v>0</v>
      </c>
      <c r="AB2264" s="62">
        <f t="shared" si="466"/>
        <v>0</v>
      </c>
      <c r="AC2264" s="62">
        <f t="shared" si="467"/>
        <v>0</v>
      </c>
    </row>
    <row r="2265" spans="1:29" ht="30" customHeight="1" x14ac:dyDescent="0.25">
      <c r="A2265" s="4" t="s">
        <v>37</v>
      </c>
      <c r="B2265" s="7" t="s">
        <v>794</v>
      </c>
      <c r="C2265" s="2" t="s">
        <v>266</v>
      </c>
      <c r="D2265" s="7" t="s">
        <v>267</v>
      </c>
      <c r="E2265" s="4" t="s">
        <v>829</v>
      </c>
      <c r="F2265" s="2">
        <v>4</v>
      </c>
      <c r="G2265" s="2" t="s">
        <v>1400</v>
      </c>
      <c r="H2265" s="2" t="s">
        <v>1399</v>
      </c>
      <c r="I2265" s="4" t="s">
        <v>68</v>
      </c>
      <c r="J2265" s="112">
        <f>IF($H2265&lt;&gt;"Y",0,ROUND(MIN(Dashboard!$R$24,IF(IFERROR(VLOOKUP($B2265,Dashboard!$Q$28:$S$60,2,FALSE),0)&gt;0,IFERROR(VLOOKUP($B2265,Dashboard!$Q$28:$S$60,2,FALSE),0),$Z2265*IF($U2265&lt;&gt;"",ROUND((Dashboard!$R$4/$U2265)*VLOOKUP($I2265,Dashboard!$Q$9:$R$13,2,FALSE)*IF(ISNUMBER(SEARCH("Duals",$B2265)),2,IF(ISNUMBER(SEARCH("Triples",$B2265)),3,IF(ISNUMBER(SEARCH("Quads",$B2265)),4,1))),2),ROUND(VLOOKUP($I2265,Dashboard!$Q$15:$R$20,2,FALSE)*IF($E2265="Red",Dashboard!$R$6,IF($E2265="Gold",Dashboard!$R$7,Dashboard!$R$5))*IF(ISNUMBER(SEARCH("Duals",$B2265)),2,IF(ISNUMBER(SEARCH("Triples",$B2265)),3,IF(ISNUMBER(SEARCH("Quads",$B2265)),4,1))),2))*IF(IFERROR(VLOOKUP($B2265,Dashboard!$Q$28:$S$60,3,FALSE),0)&gt;0,VLOOKUP($B2265,Dashboard!$Q$28:$S$60,3,FALSE),1))),0))</f>
        <v>0</v>
      </c>
      <c r="K2265" s="2" t="str">
        <f>IF('Autos - Singles'!I32="","",'Autos - Singles'!I32)</f>
        <v/>
      </c>
      <c r="L2265" s="2">
        <f t="shared" si="455"/>
        <v>0</v>
      </c>
      <c r="M2265" s="2">
        <f t="shared" si="456"/>
        <v>0</v>
      </c>
      <c r="N2265" s="2">
        <f t="shared" si="457"/>
        <v>0</v>
      </c>
      <c r="O2265" s="2">
        <f t="shared" si="458"/>
        <v>0</v>
      </c>
      <c r="P2265" s="112">
        <f t="shared" si="459"/>
        <v>0</v>
      </c>
      <c r="Q2265" s="112">
        <f t="shared" si="460"/>
        <v>0</v>
      </c>
      <c r="R2265" s="53"/>
      <c r="S2265" s="53" t="str">
        <f t="shared" si="461"/>
        <v>Autos - Singles|Autographs Printing Plates Parallel|A-JT|Printing Plate</v>
      </c>
      <c r="T2265" s="57" t="str">
        <f>IF($S2265="","",IFERROR(VLOOKUP($S2265,'Pop Estimates (Non-#d)'!$N$2:$O$500,2,FALSE),""))</f>
        <v/>
      </c>
      <c r="U2265" s="57">
        <f t="shared" si="462"/>
        <v>4</v>
      </c>
      <c r="V2265" s="53" t="str">
        <f t="shared" si="463"/>
        <v>A-Train</v>
      </c>
      <c r="W2265" s="53" t="str">
        <f t="shared" si="464"/>
        <v>A-Train</v>
      </c>
      <c r="X2265" s="53" t="str">
        <f t="shared" si="465"/>
        <v>A-Train</v>
      </c>
      <c r="Y2265" s="57">
        <f>IF($X2265="","",IFERROR(VLOOKUP($X2265,'Char Popularity'!$A$2:$C$500,2,FALSE),""))</f>
        <v>4</v>
      </c>
      <c r="Z2265" s="56">
        <f>IF($X2265="",1,IFERROR(VLOOKUP($X2265,'Char Popularity'!$A$2:$C$500,3,FALSE),1))</f>
        <v>1.1000000000000001</v>
      </c>
      <c r="AA2265" s="62">
        <f>IF($H2265&lt;&gt;"Y",0,(IF($F2265&lt;&gt;"",ROUND(Dashboard!$R$4/$F2265,1),IF(AND($I2265="Base",$E2265="Base"),Dashboard!$R$5,IF(AND($I2265="Base",$E2265="Red"),Dashboard!$R$6,IF(AND($I2265="Base",$E2265="Gold"),Dashboard!$R$7,VLOOKUP($I2265,Dashboard!$Q$16:$R$21,2,FALSE)))))*VLOOKUP($I2265,Dashboard!$Q$9:$R$13,2,FALSE)*IF(AND($I2265="Auto",$F2265="",OR($B2265="Autographs Duals",$B2265="Autographs Triples",$B2265="Autographs Quads",$B2265="Autographs Quads (Inscribed)")),IF($B2265="Autographs Duals",2,IF($B2265="Autographs Triples",3,4)),1)))</f>
        <v>0</v>
      </c>
      <c r="AB2265" s="62">
        <f t="shared" si="466"/>
        <v>0</v>
      </c>
      <c r="AC2265" s="62">
        <f t="shared" si="467"/>
        <v>0</v>
      </c>
    </row>
    <row r="2266" spans="1:29" ht="30" customHeight="1" x14ac:dyDescent="0.25">
      <c r="A2266" s="4" t="s">
        <v>37</v>
      </c>
      <c r="B2266" s="7" t="s">
        <v>794</v>
      </c>
      <c r="C2266" s="2" t="s">
        <v>268</v>
      </c>
      <c r="D2266" s="7" t="s">
        <v>267</v>
      </c>
      <c r="E2266" s="4" t="s">
        <v>829</v>
      </c>
      <c r="F2266" s="2">
        <v>4</v>
      </c>
      <c r="G2266" s="2" t="s">
        <v>1400</v>
      </c>
      <c r="H2266" s="2" t="s">
        <v>1399</v>
      </c>
      <c r="I2266" s="4" t="s">
        <v>68</v>
      </c>
      <c r="J2266" s="112">
        <f>IF($H2266&lt;&gt;"Y",0,ROUND(MIN(Dashboard!$R$24,IF(IFERROR(VLOOKUP($B2266,Dashboard!$Q$28:$S$60,2,FALSE),0)&gt;0,IFERROR(VLOOKUP($B2266,Dashboard!$Q$28:$S$60,2,FALSE),0),$Z2266*IF($U2266&lt;&gt;"",ROUND((Dashboard!$R$4/$U2266)*VLOOKUP($I2266,Dashboard!$Q$9:$R$13,2,FALSE)*IF(ISNUMBER(SEARCH("Duals",$B2266)),2,IF(ISNUMBER(SEARCH("Triples",$B2266)),3,IF(ISNUMBER(SEARCH("Quads",$B2266)),4,1))),2),ROUND(VLOOKUP($I2266,Dashboard!$Q$15:$R$20,2,FALSE)*IF($E2266="Red",Dashboard!$R$6,IF($E2266="Gold",Dashboard!$R$7,Dashboard!$R$5))*IF(ISNUMBER(SEARCH("Duals",$B2266)),2,IF(ISNUMBER(SEARCH("Triples",$B2266)),3,IF(ISNUMBER(SEARCH("Quads",$B2266)),4,1))),2))*IF(IFERROR(VLOOKUP($B2266,Dashboard!$Q$28:$S$60,3,FALSE),0)&gt;0,VLOOKUP($B2266,Dashboard!$Q$28:$S$60,3,FALSE),1))),0))</f>
        <v>0</v>
      </c>
      <c r="K2266" s="2" t="str">
        <f>IF('Autos - Singles'!I33="","",'Autos - Singles'!I33)</f>
        <v/>
      </c>
      <c r="L2266" s="2">
        <f t="shared" si="455"/>
        <v>0</v>
      </c>
      <c r="M2266" s="2">
        <f t="shared" si="456"/>
        <v>0</v>
      </c>
      <c r="N2266" s="2">
        <f t="shared" si="457"/>
        <v>0</v>
      </c>
      <c r="O2266" s="2">
        <f t="shared" si="458"/>
        <v>0</v>
      </c>
      <c r="P2266" s="112">
        <f t="shared" si="459"/>
        <v>0</v>
      </c>
      <c r="Q2266" s="112">
        <f t="shared" si="460"/>
        <v>0</v>
      </c>
      <c r="R2266" s="53"/>
      <c r="S2266" s="53" t="str">
        <f t="shared" si="461"/>
        <v>Autos - Singles|Autographs Printing Plates Parallel|A-JU|Printing Plate</v>
      </c>
      <c r="T2266" s="57" t="str">
        <f>IF($S2266="","",IFERROR(VLOOKUP($S2266,'Pop Estimates (Non-#d)'!$N$2:$O$500,2,FALSE),""))</f>
        <v/>
      </c>
      <c r="U2266" s="57">
        <f t="shared" si="462"/>
        <v>4</v>
      </c>
      <c r="V2266" s="53" t="str">
        <f t="shared" si="463"/>
        <v>A-Train</v>
      </c>
      <c r="W2266" s="53" t="str">
        <f t="shared" si="464"/>
        <v>A-Train</v>
      </c>
      <c r="X2266" s="53" t="str">
        <f t="shared" si="465"/>
        <v>A-Train</v>
      </c>
      <c r="Y2266" s="57">
        <f>IF($X2266="","",IFERROR(VLOOKUP($X2266,'Char Popularity'!$A$2:$C$500,2,FALSE),""))</f>
        <v>4</v>
      </c>
      <c r="Z2266" s="56">
        <f>IF($X2266="",1,IFERROR(VLOOKUP($X2266,'Char Popularity'!$A$2:$C$500,3,FALSE),1))</f>
        <v>1.1000000000000001</v>
      </c>
      <c r="AA2266" s="62">
        <f>IF($H2266&lt;&gt;"Y",0,(IF($F2266&lt;&gt;"",ROUND(Dashboard!$R$4/$F2266,1),IF(AND($I2266="Base",$E2266="Base"),Dashboard!$R$5,IF(AND($I2266="Base",$E2266="Red"),Dashboard!$R$6,IF(AND($I2266="Base",$E2266="Gold"),Dashboard!$R$7,VLOOKUP($I2266,Dashboard!$Q$16:$R$21,2,FALSE)))))*VLOOKUP($I2266,Dashboard!$Q$9:$R$13,2,FALSE)*IF(AND($I2266="Auto",$F2266="",OR($B2266="Autographs Duals",$B2266="Autographs Triples",$B2266="Autographs Quads",$B2266="Autographs Quads (Inscribed)")),IF($B2266="Autographs Duals",2,IF($B2266="Autographs Triples",3,4)),1)))</f>
        <v>0</v>
      </c>
      <c r="AB2266" s="62">
        <f t="shared" si="466"/>
        <v>0</v>
      </c>
      <c r="AC2266" s="62">
        <f t="shared" si="467"/>
        <v>0</v>
      </c>
    </row>
    <row r="2267" spans="1:29" ht="30" customHeight="1" x14ac:dyDescent="0.25">
      <c r="A2267" s="4" t="s">
        <v>37</v>
      </c>
      <c r="B2267" s="7" t="s">
        <v>794</v>
      </c>
      <c r="C2267" s="2" t="s">
        <v>269</v>
      </c>
      <c r="D2267" s="7" t="s">
        <v>270</v>
      </c>
      <c r="E2267" s="4" t="s">
        <v>829</v>
      </c>
      <c r="F2267" s="2">
        <v>4</v>
      </c>
      <c r="G2267" s="2" t="s">
        <v>1400</v>
      </c>
      <c r="H2267" s="2" t="s">
        <v>1399</v>
      </c>
      <c r="I2267" s="4" t="s">
        <v>68</v>
      </c>
      <c r="J2267" s="112">
        <f>IF($H2267&lt;&gt;"Y",0,ROUND(MIN(Dashboard!$R$24,IF(IFERROR(VLOOKUP($B2267,Dashboard!$Q$28:$S$60,2,FALSE),0)&gt;0,IFERROR(VLOOKUP($B2267,Dashboard!$Q$28:$S$60,2,FALSE),0),$Z2267*IF($U2267&lt;&gt;"",ROUND((Dashboard!$R$4/$U2267)*VLOOKUP($I2267,Dashboard!$Q$9:$R$13,2,FALSE)*IF(ISNUMBER(SEARCH("Duals",$B2267)),2,IF(ISNUMBER(SEARCH("Triples",$B2267)),3,IF(ISNUMBER(SEARCH("Quads",$B2267)),4,1))),2),ROUND(VLOOKUP($I2267,Dashboard!$Q$15:$R$20,2,FALSE)*IF($E2267="Red",Dashboard!$R$6,IF($E2267="Gold",Dashboard!$R$7,Dashboard!$R$5))*IF(ISNUMBER(SEARCH("Duals",$B2267)),2,IF(ISNUMBER(SEARCH("Triples",$B2267)),3,IF(ISNUMBER(SEARCH("Quads",$B2267)),4,1))),2))*IF(IFERROR(VLOOKUP($B2267,Dashboard!$Q$28:$S$60,3,FALSE),0)&gt;0,VLOOKUP($B2267,Dashboard!$Q$28:$S$60,3,FALSE),1))),0))</f>
        <v>0</v>
      </c>
      <c r="K2267" s="2" t="str">
        <f>IF('Autos - Singles'!I34="","",'Autos - Singles'!I34)</f>
        <v/>
      </c>
      <c r="L2267" s="2">
        <f t="shared" si="455"/>
        <v>0</v>
      </c>
      <c r="M2267" s="2">
        <f t="shared" si="456"/>
        <v>0</v>
      </c>
      <c r="N2267" s="2">
        <f t="shared" si="457"/>
        <v>0</v>
      </c>
      <c r="O2267" s="2">
        <f t="shared" si="458"/>
        <v>0</v>
      </c>
      <c r="P2267" s="112">
        <f t="shared" si="459"/>
        <v>0</v>
      </c>
      <c r="Q2267" s="112">
        <f t="shared" si="460"/>
        <v>0</v>
      </c>
      <c r="R2267" s="53"/>
      <c r="S2267" s="53" t="str">
        <f t="shared" si="461"/>
        <v>Autos - Singles|Autographs Printing Plates Parallel|A-KF|Printing Plate</v>
      </c>
      <c r="T2267" s="57" t="str">
        <f>IF($S2267="","",IFERROR(VLOOKUP($S2267,'Pop Estimates (Non-#d)'!$N$2:$O$500,2,FALSE),""))</f>
        <v/>
      </c>
      <c r="U2267" s="57">
        <f t="shared" si="462"/>
        <v>4</v>
      </c>
      <c r="V2267" s="53" t="str">
        <f t="shared" si="463"/>
        <v>Kimiko</v>
      </c>
      <c r="W2267" s="53" t="str">
        <f t="shared" si="464"/>
        <v>Kimiko</v>
      </c>
      <c r="X2267" s="53" t="str">
        <f t="shared" si="465"/>
        <v>Kimiko</v>
      </c>
      <c r="Y2267" s="57">
        <f>IF($X2267="","",IFERROR(VLOOKUP($X2267,'Char Popularity'!$A$2:$C$500,2,FALSE),""))</f>
        <v>4</v>
      </c>
      <c r="Z2267" s="56">
        <f>IF($X2267="",1,IFERROR(VLOOKUP($X2267,'Char Popularity'!$A$2:$C$500,3,FALSE),1))</f>
        <v>1.1000000000000001</v>
      </c>
      <c r="AA2267" s="62">
        <f>IF($H2267&lt;&gt;"Y",0,(IF($F2267&lt;&gt;"",ROUND(Dashboard!$R$4/$F2267,1),IF(AND($I2267="Base",$E2267="Base"),Dashboard!$R$5,IF(AND($I2267="Base",$E2267="Red"),Dashboard!$R$6,IF(AND($I2267="Base",$E2267="Gold"),Dashboard!$R$7,VLOOKUP($I2267,Dashboard!$Q$16:$R$21,2,FALSE)))))*VLOOKUP($I2267,Dashboard!$Q$9:$R$13,2,FALSE)*IF(AND($I2267="Auto",$F2267="",OR($B2267="Autographs Duals",$B2267="Autographs Triples",$B2267="Autographs Quads",$B2267="Autographs Quads (Inscribed)")),IF($B2267="Autographs Duals",2,IF($B2267="Autographs Triples",3,4)),1)))</f>
        <v>0</v>
      </c>
      <c r="AB2267" s="62">
        <f t="shared" si="466"/>
        <v>0</v>
      </c>
      <c r="AC2267" s="62">
        <f t="shared" si="467"/>
        <v>0</v>
      </c>
    </row>
    <row r="2268" spans="1:29" ht="30" customHeight="1" x14ac:dyDescent="0.25">
      <c r="A2268" s="4" t="s">
        <v>37</v>
      </c>
      <c r="B2268" s="7" t="s">
        <v>794</v>
      </c>
      <c r="C2268" s="2" t="s">
        <v>271</v>
      </c>
      <c r="D2268" s="7" t="s">
        <v>270</v>
      </c>
      <c r="E2268" s="4" t="s">
        <v>829</v>
      </c>
      <c r="F2268" s="2">
        <v>4</v>
      </c>
      <c r="G2268" s="2" t="s">
        <v>1400</v>
      </c>
      <c r="H2268" s="2" t="s">
        <v>1399</v>
      </c>
      <c r="I2268" s="4" t="s">
        <v>68</v>
      </c>
      <c r="J2268" s="112">
        <f>IF($H2268&lt;&gt;"Y",0,ROUND(MIN(Dashboard!$R$24,IF(IFERROR(VLOOKUP($B2268,Dashboard!$Q$28:$S$60,2,FALSE),0)&gt;0,IFERROR(VLOOKUP($B2268,Dashboard!$Q$28:$S$60,2,FALSE),0),$Z2268*IF($U2268&lt;&gt;"",ROUND((Dashboard!$R$4/$U2268)*VLOOKUP($I2268,Dashboard!$Q$9:$R$13,2,FALSE)*IF(ISNUMBER(SEARCH("Duals",$B2268)),2,IF(ISNUMBER(SEARCH("Triples",$B2268)),3,IF(ISNUMBER(SEARCH("Quads",$B2268)),4,1))),2),ROUND(VLOOKUP($I2268,Dashboard!$Q$15:$R$20,2,FALSE)*IF($E2268="Red",Dashboard!$R$6,IF($E2268="Gold",Dashboard!$R$7,Dashboard!$R$5))*IF(ISNUMBER(SEARCH("Duals",$B2268)),2,IF(ISNUMBER(SEARCH("Triples",$B2268)),3,IF(ISNUMBER(SEARCH("Quads",$B2268)),4,1))),2))*IF(IFERROR(VLOOKUP($B2268,Dashboard!$Q$28:$S$60,3,FALSE),0)&gt;0,VLOOKUP($B2268,Dashboard!$Q$28:$S$60,3,FALSE),1))),0))</f>
        <v>0</v>
      </c>
      <c r="K2268" s="2" t="str">
        <f>IF('Autos - Singles'!I35="","",'Autos - Singles'!I35)</f>
        <v/>
      </c>
      <c r="L2268" s="2">
        <f t="shared" si="455"/>
        <v>0</v>
      </c>
      <c r="M2268" s="2">
        <f t="shared" si="456"/>
        <v>0</v>
      </c>
      <c r="N2268" s="2">
        <f t="shared" si="457"/>
        <v>0</v>
      </c>
      <c r="O2268" s="2">
        <f t="shared" si="458"/>
        <v>0</v>
      </c>
      <c r="P2268" s="112">
        <f t="shared" si="459"/>
        <v>0</v>
      </c>
      <c r="Q2268" s="112">
        <f t="shared" si="460"/>
        <v>0</v>
      </c>
      <c r="R2268" s="53"/>
      <c r="S2268" s="53" t="str">
        <f t="shared" si="461"/>
        <v>Autos - Singles|Autographs Printing Plates Parallel|A-KK|Printing Plate</v>
      </c>
      <c r="T2268" s="57" t="str">
        <f>IF($S2268="","",IFERROR(VLOOKUP($S2268,'Pop Estimates (Non-#d)'!$N$2:$O$500,2,FALSE),""))</f>
        <v/>
      </c>
      <c r="U2268" s="57">
        <f t="shared" si="462"/>
        <v>4</v>
      </c>
      <c r="V2268" s="53" t="str">
        <f t="shared" si="463"/>
        <v>Kimiko</v>
      </c>
      <c r="W2268" s="53" t="str">
        <f t="shared" si="464"/>
        <v>Kimiko</v>
      </c>
      <c r="X2268" s="53" t="str">
        <f t="shared" si="465"/>
        <v>Kimiko</v>
      </c>
      <c r="Y2268" s="57">
        <f>IF($X2268="","",IFERROR(VLOOKUP($X2268,'Char Popularity'!$A$2:$C$500,2,FALSE),""))</f>
        <v>4</v>
      </c>
      <c r="Z2268" s="56">
        <f>IF($X2268="",1,IFERROR(VLOOKUP($X2268,'Char Popularity'!$A$2:$C$500,3,FALSE),1))</f>
        <v>1.1000000000000001</v>
      </c>
      <c r="AA2268" s="62">
        <f>IF($H2268&lt;&gt;"Y",0,(IF($F2268&lt;&gt;"",ROUND(Dashboard!$R$4/$F2268,1),IF(AND($I2268="Base",$E2268="Base"),Dashboard!$R$5,IF(AND($I2268="Base",$E2268="Red"),Dashboard!$R$6,IF(AND($I2268="Base",$E2268="Gold"),Dashboard!$R$7,VLOOKUP($I2268,Dashboard!$Q$16:$R$21,2,FALSE)))))*VLOOKUP($I2268,Dashboard!$Q$9:$R$13,2,FALSE)*IF(AND($I2268="Auto",$F2268="",OR($B2268="Autographs Duals",$B2268="Autographs Triples",$B2268="Autographs Quads",$B2268="Autographs Quads (Inscribed)")),IF($B2268="Autographs Duals",2,IF($B2268="Autographs Triples",3,4)),1)))</f>
        <v>0</v>
      </c>
      <c r="AB2268" s="62">
        <f t="shared" si="466"/>
        <v>0</v>
      </c>
      <c r="AC2268" s="62">
        <f t="shared" si="467"/>
        <v>0</v>
      </c>
    </row>
    <row r="2269" spans="1:29" ht="30" customHeight="1" x14ac:dyDescent="0.25">
      <c r="A2269" s="4" t="s">
        <v>37</v>
      </c>
      <c r="B2269" s="7" t="s">
        <v>794</v>
      </c>
      <c r="C2269" s="2" t="s">
        <v>272</v>
      </c>
      <c r="D2269" s="7" t="s">
        <v>270</v>
      </c>
      <c r="E2269" s="4" t="s">
        <v>829</v>
      </c>
      <c r="F2269" s="2">
        <v>4</v>
      </c>
      <c r="G2269" s="2" t="s">
        <v>1400</v>
      </c>
      <c r="H2269" s="2" t="s">
        <v>1399</v>
      </c>
      <c r="I2269" s="4" t="s">
        <v>68</v>
      </c>
      <c r="J2269" s="112">
        <f>IF($H2269&lt;&gt;"Y",0,ROUND(MIN(Dashboard!$R$24,IF(IFERROR(VLOOKUP($B2269,Dashboard!$Q$28:$S$60,2,FALSE),0)&gt;0,IFERROR(VLOOKUP($B2269,Dashboard!$Q$28:$S$60,2,FALSE),0),$Z2269*IF($U2269&lt;&gt;"",ROUND((Dashboard!$R$4/$U2269)*VLOOKUP($I2269,Dashboard!$Q$9:$R$13,2,FALSE)*IF(ISNUMBER(SEARCH("Duals",$B2269)),2,IF(ISNUMBER(SEARCH("Triples",$B2269)),3,IF(ISNUMBER(SEARCH("Quads",$B2269)),4,1))),2),ROUND(VLOOKUP($I2269,Dashboard!$Q$15:$R$20,2,FALSE)*IF($E2269="Red",Dashboard!$R$6,IF($E2269="Gold",Dashboard!$R$7,Dashboard!$R$5))*IF(ISNUMBER(SEARCH("Duals",$B2269)),2,IF(ISNUMBER(SEARCH("Triples",$B2269)),3,IF(ISNUMBER(SEARCH("Quads",$B2269)),4,1))),2))*IF(IFERROR(VLOOKUP($B2269,Dashboard!$Q$28:$S$60,3,FALSE),0)&gt;0,VLOOKUP($B2269,Dashboard!$Q$28:$S$60,3,FALSE),1))),0))</f>
        <v>0</v>
      </c>
      <c r="K2269" s="2" t="str">
        <f>IF('Autos - Singles'!I36="","",'Autos - Singles'!I36)</f>
        <v/>
      </c>
      <c r="L2269" s="2">
        <f t="shared" si="455"/>
        <v>0</v>
      </c>
      <c r="M2269" s="2">
        <f t="shared" si="456"/>
        <v>0</v>
      </c>
      <c r="N2269" s="2">
        <f t="shared" si="457"/>
        <v>0</v>
      </c>
      <c r="O2269" s="2">
        <f t="shared" si="458"/>
        <v>0</v>
      </c>
      <c r="P2269" s="112">
        <f t="shared" si="459"/>
        <v>0</v>
      </c>
      <c r="Q2269" s="112">
        <f t="shared" si="460"/>
        <v>0</v>
      </c>
      <c r="R2269" s="53"/>
      <c r="S2269" s="53" t="str">
        <f t="shared" si="461"/>
        <v>Autos - Singles|Autographs Printing Plates Parallel|A-KR|Printing Plate</v>
      </c>
      <c r="T2269" s="57" t="str">
        <f>IF($S2269="","",IFERROR(VLOOKUP($S2269,'Pop Estimates (Non-#d)'!$N$2:$O$500,2,FALSE),""))</f>
        <v/>
      </c>
      <c r="U2269" s="57">
        <f t="shared" si="462"/>
        <v>4</v>
      </c>
      <c r="V2269" s="53" t="str">
        <f t="shared" si="463"/>
        <v>Kimiko</v>
      </c>
      <c r="W2269" s="53" t="str">
        <f t="shared" si="464"/>
        <v>Kimiko</v>
      </c>
      <c r="X2269" s="53" t="str">
        <f t="shared" si="465"/>
        <v>Kimiko</v>
      </c>
      <c r="Y2269" s="57">
        <f>IF($X2269="","",IFERROR(VLOOKUP($X2269,'Char Popularity'!$A$2:$C$500,2,FALSE),""))</f>
        <v>4</v>
      </c>
      <c r="Z2269" s="56">
        <f>IF($X2269="",1,IFERROR(VLOOKUP($X2269,'Char Popularity'!$A$2:$C$500,3,FALSE),1))</f>
        <v>1.1000000000000001</v>
      </c>
      <c r="AA2269" s="62">
        <f>IF($H2269&lt;&gt;"Y",0,(IF($F2269&lt;&gt;"",ROUND(Dashboard!$R$4/$F2269,1),IF(AND($I2269="Base",$E2269="Base"),Dashboard!$R$5,IF(AND($I2269="Base",$E2269="Red"),Dashboard!$R$6,IF(AND($I2269="Base",$E2269="Gold"),Dashboard!$R$7,VLOOKUP($I2269,Dashboard!$Q$16:$R$21,2,FALSE)))))*VLOOKUP($I2269,Dashboard!$Q$9:$R$13,2,FALSE)*IF(AND($I2269="Auto",$F2269="",OR($B2269="Autographs Duals",$B2269="Autographs Triples",$B2269="Autographs Quads",$B2269="Autographs Quads (Inscribed)")),IF($B2269="Autographs Duals",2,IF($B2269="Autographs Triples",3,4)),1)))</f>
        <v>0</v>
      </c>
      <c r="AB2269" s="62">
        <f t="shared" si="466"/>
        <v>0</v>
      </c>
      <c r="AC2269" s="62">
        <f t="shared" si="467"/>
        <v>0</v>
      </c>
    </row>
    <row r="2270" spans="1:29" ht="30" customHeight="1" x14ac:dyDescent="0.25">
      <c r="A2270" s="4" t="s">
        <v>37</v>
      </c>
      <c r="B2270" s="7" t="s">
        <v>794</v>
      </c>
      <c r="C2270" s="2" t="s">
        <v>275</v>
      </c>
      <c r="D2270" s="7" t="s">
        <v>276</v>
      </c>
      <c r="E2270" s="4" t="s">
        <v>829</v>
      </c>
      <c r="F2270" s="2">
        <v>4</v>
      </c>
      <c r="G2270" s="2" t="s">
        <v>1400</v>
      </c>
      <c r="H2270" s="2" t="s">
        <v>1399</v>
      </c>
      <c r="I2270" s="4" t="s">
        <v>68</v>
      </c>
      <c r="J2270" s="112">
        <f>IF($H2270&lt;&gt;"Y",0,ROUND(MIN(Dashboard!$R$24,IF(IFERROR(VLOOKUP($B2270,Dashboard!$Q$28:$S$60,2,FALSE),0)&gt;0,IFERROR(VLOOKUP($B2270,Dashboard!$Q$28:$S$60,2,FALSE),0),$Z2270*IF($U2270&lt;&gt;"",ROUND((Dashboard!$R$4/$U2270)*VLOOKUP($I2270,Dashboard!$Q$9:$R$13,2,FALSE)*IF(ISNUMBER(SEARCH("Duals",$B2270)),2,IF(ISNUMBER(SEARCH("Triples",$B2270)),3,IF(ISNUMBER(SEARCH("Quads",$B2270)),4,1))),2),ROUND(VLOOKUP($I2270,Dashboard!$Q$15:$R$20,2,FALSE)*IF($E2270="Red",Dashboard!$R$6,IF($E2270="Gold",Dashboard!$R$7,Dashboard!$R$5))*IF(ISNUMBER(SEARCH("Duals",$B2270)),2,IF(ISNUMBER(SEARCH("Triples",$B2270)),3,IF(ISNUMBER(SEARCH("Quads",$B2270)),4,1))),2))*IF(IFERROR(VLOOKUP($B2270,Dashboard!$Q$28:$S$60,3,FALSE),0)&gt;0,VLOOKUP($B2270,Dashboard!$Q$28:$S$60,3,FALSE),1))),0))</f>
        <v>0</v>
      </c>
      <c r="K2270" s="2" t="str">
        <f>IF('Autos - Singles'!I38="","",'Autos - Singles'!I38)</f>
        <v/>
      </c>
      <c r="L2270" s="2">
        <f t="shared" si="455"/>
        <v>0</v>
      </c>
      <c r="M2270" s="2">
        <f t="shared" si="456"/>
        <v>0</v>
      </c>
      <c r="N2270" s="2">
        <f t="shared" si="457"/>
        <v>0</v>
      </c>
      <c r="O2270" s="2">
        <f t="shared" si="458"/>
        <v>0</v>
      </c>
      <c r="P2270" s="112">
        <f t="shared" si="459"/>
        <v>0</v>
      </c>
      <c r="Q2270" s="112">
        <f t="shared" si="460"/>
        <v>0</v>
      </c>
      <c r="R2270" s="53"/>
      <c r="S2270" s="53" t="str">
        <f t="shared" si="461"/>
        <v>Autos - Singles|Autographs Printing Plates Parallel|A-LA|Printing Plate</v>
      </c>
      <c r="T2270" s="57" t="str">
        <f>IF($S2270="","",IFERROR(VLOOKUP($S2270,'Pop Estimates (Non-#d)'!$N$2:$O$500,2,FALSE),""))</f>
        <v/>
      </c>
      <c r="U2270" s="57">
        <f t="shared" si="462"/>
        <v>4</v>
      </c>
      <c r="V2270" s="53" t="str">
        <f t="shared" si="463"/>
        <v>Mother's Milk</v>
      </c>
      <c r="W2270" s="53" t="str">
        <f t="shared" si="464"/>
        <v>Mother's Milk</v>
      </c>
      <c r="X2270" s="53" t="str">
        <f t="shared" si="465"/>
        <v>Mother's Milk</v>
      </c>
      <c r="Y2270" s="57">
        <f>IF($X2270="","",IFERROR(VLOOKUP($X2270,'Char Popularity'!$A$2:$C$500,2,FALSE),""))</f>
        <v>4</v>
      </c>
      <c r="Z2270" s="56">
        <f>IF($X2270="",1,IFERROR(VLOOKUP($X2270,'Char Popularity'!$A$2:$C$500,3,FALSE),1))</f>
        <v>1.1000000000000001</v>
      </c>
      <c r="AA2270" s="62">
        <f>IF($H2270&lt;&gt;"Y",0,(IF($F2270&lt;&gt;"",ROUND(Dashboard!$R$4/$F2270,1),IF(AND($I2270="Base",$E2270="Base"),Dashboard!$R$5,IF(AND($I2270="Base",$E2270="Red"),Dashboard!$R$6,IF(AND($I2270="Base",$E2270="Gold"),Dashboard!$R$7,VLOOKUP($I2270,Dashboard!$Q$16:$R$21,2,FALSE)))))*VLOOKUP($I2270,Dashboard!$Q$9:$R$13,2,FALSE)*IF(AND($I2270="Auto",$F2270="",OR($B2270="Autographs Duals",$B2270="Autographs Triples",$B2270="Autographs Quads",$B2270="Autographs Quads (Inscribed)")),IF($B2270="Autographs Duals",2,IF($B2270="Autographs Triples",3,4)),1)))</f>
        <v>0</v>
      </c>
      <c r="AB2270" s="62">
        <f t="shared" si="466"/>
        <v>0</v>
      </c>
      <c r="AC2270" s="62">
        <f t="shared" si="467"/>
        <v>0</v>
      </c>
    </row>
    <row r="2271" spans="1:29" ht="30" customHeight="1" x14ac:dyDescent="0.25">
      <c r="A2271" s="4" t="s">
        <v>37</v>
      </c>
      <c r="B2271" s="7" t="s">
        <v>794</v>
      </c>
      <c r="C2271" s="2" t="s">
        <v>277</v>
      </c>
      <c r="D2271" s="7" t="s">
        <v>260</v>
      </c>
      <c r="E2271" s="4" t="s">
        <v>829</v>
      </c>
      <c r="F2271" s="2">
        <v>4</v>
      </c>
      <c r="G2271" s="2" t="s">
        <v>1400</v>
      </c>
      <c r="H2271" s="2" t="s">
        <v>1399</v>
      </c>
      <c r="I2271" s="4" t="s">
        <v>68</v>
      </c>
      <c r="J2271" s="112">
        <f>IF($H2271&lt;&gt;"Y",0,ROUND(MIN(Dashboard!$R$24,IF(IFERROR(VLOOKUP($B2271,Dashboard!$Q$28:$S$60,2,FALSE),0)&gt;0,IFERROR(VLOOKUP($B2271,Dashboard!$Q$28:$S$60,2,FALSE),0),$Z2271*IF($U2271&lt;&gt;"",ROUND((Dashboard!$R$4/$U2271)*VLOOKUP($I2271,Dashboard!$Q$9:$R$13,2,FALSE)*IF(ISNUMBER(SEARCH("Duals",$B2271)),2,IF(ISNUMBER(SEARCH("Triples",$B2271)),3,IF(ISNUMBER(SEARCH("Quads",$B2271)),4,1))),2),ROUND(VLOOKUP($I2271,Dashboard!$Q$15:$R$20,2,FALSE)*IF($E2271="Red",Dashboard!$R$6,IF($E2271="Gold",Dashboard!$R$7,Dashboard!$R$5))*IF(ISNUMBER(SEARCH("Duals",$B2271)),2,IF(ISNUMBER(SEARCH("Triples",$B2271)),3,IF(ISNUMBER(SEARCH("Quads",$B2271)),4,1))),2))*IF(IFERROR(VLOOKUP($B2271,Dashboard!$Q$28:$S$60,3,FALSE),0)&gt;0,VLOOKUP($B2271,Dashboard!$Q$28:$S$60,3,FALSE),1))),0))</f>
        <v>0</v>
      </c>
      <c r="K2271" s="2" t="str">
        <f>IF('Autos - Singles'!I39="","",'Autos - Singles'!I39)</f>
        <v/>
      </c>
      <c r="L2271" s="2">
        <f t="shared" si="455"/>
        <v>0</v>
      </c>
      <c r="M2271" s="2">
        <f t="shared" si="456"/>
        <v>0</v>
      </c>
      <c r="N2271" s="2">
        <f t="shared" si="457"/>
        <v>0</v>
      </c>
      <c r="O2271" s="2">
        <f t="shared" si="458"/>
        <v>0</v>
      </c>
      <c r="P2271" s="112">
        <f t="shared" si="459"/>
        <v>0</v>
      </c>
      <c r="Q2271" s="112">
        <f t="shared" si="460"/>
        <v>0</v>
      </c>
      <c r="R2271" s="53"/>
      <c r="S2271" s="53" t="str">
        <f t="shared" si="461"/>
        <v>Autos - Singles|Autographs Printing Plates Parallel|A-LJ|Printing Plate</v>
      </c>
      <c r="T2271" s="57" t="str">
        <f>IF($S2271="","",IFERROR(VLOOKUP($S2271,'Pop Estimates (Non-#d)'!$N$2:$O$500,2,FALSE),""))</f>
        <v/>
      </c>
      <c r="U2271" s="57">
        <f t="shared" si="462"/>
        <v>4</v>
      </c>
      <c r="V2271" s="53" t="str">
        <f t="shared" si="463"/>
        <v>Cherie</v>
      </c>
      <c r="W2271" s="53" t="str">
        <f t="shared" si="464"/>
        <v>Cherie</v>
      </c>
      <c r="X2271" s="53" t="str">
        <f t="shared" si="465"/>
        <v>Cherie</v>
      </c>
      <c r="Y2271" s="57">
        <f>IF($X2271="","",IFERROR(VLOOKUP($X2271,'Char Popularity'!$A$2:$C$500,2,FALSE),""))</f>
        <v>3</v>
      </c>
      <c r="Z2271" s="56">
        <f>IF($X2271="",1,IFERROR(VLOOKUP($X2271,'Char Popularity'!$A$2:$C$500,3,FALSE),1))</f>
        <v>1</v>
      </c>
      <c r="AA2271" s="62">
        <f>IF($H2271&lt;&gt;"Y",0,(IF($F2271&lt;&gt;"",ROUND(Dashboard!$R$4/$F2271,1),IF(AND($I2271="Base",$E2271="Base"),Dashboard!$R$5,IF(AND($I2271="Base",$E2271="Red"),Dashboard!$R$6,IF(AND($I2271="Base",$E2271="Gold"),Dashboard!$R$7,VLOOKUP($I2271,Dashboard!$Q$16:$R$21,2,FALSE)))))*VLOOKUP($I2271,Dashboard!$Q$9:$R$13,2,FALSE)*IF(AND($I2271="Auto",$F2271="",OR($B2271="Autographs Duals",$B2271="Autographs Triples",$B2271="Autographs Quads",$B2271="Autographs Quads (Inscribed)")),IF($B2271="Autographs Duals",2,IF($B2271="Autographs Triples",3,4)),1)))</f>
        <v>0</v>
      </c>
      <c r="AB2271" s="62">
        <f t="shared" si="466"/>
        <v>0</v>
      </c>
      <c r="AC2271" s="62">
        <f t="shared" si="467"/>
        <v>0</v>
      </c>
    </row>
    <row r="2272" spans="1:29" ht="30" customHeight="1" x14ac:dyDescent="0.25">
      <c r="A2272" s="4" t="s">
        <v>37</v>
      </c>
      <c r="B2272" s="7" t="s">
        <v>794</v>
      </c>
      <c r="C2272" s="2" t="s">
        <v>279</v>
      </c>
      <c r="D2272" s="7" t="s">
        <v>280</v>
      </c>
      <c r="E2272" s="4" t="s">
        <v>829</v>
      </c>
      <c r="F2272" s="2">
        <v>4</v>
      </c>
      <c r="G2272" s="2" t="s">
        <v>1400</v>
      </c>
      <c r="H2272" s="2" t="s">
        <v>1399</v>
      </c>
      <c r="I2272" s="4" t="s">
        <v>68</v>
      </c>
      <c r="J2272" s="112">
        <f>IF($H2272&lt;&gt;"Y",0,ROUND(MIN(Dashboard!$R$24,IF(IFERROR(VLOOKUP($B2272,Dashboard!$Q$28:$S$60,2,FALSE),0)&gt;0,IFERROR(VLOOKUP($B2272,Dashboard!$Q$28:$S$60,2,FALSE),0),$Z2272*IF($U2272&lt;&gt;"",ROUND((Dashboard!$R$4/$U2272)*VLOOKUP($I2272,Dashboard!$Q$9:$R$13,2,FALSE)*IF(ISNUMBER(SEARCH("Duals",$B2272)),2,IF(ISNUMBER(SEARCH("Triples",$B2272)),3,IF(ISNUMBER(SEARCH("Quads",$B2272)),4,1))),2),ROUND(VLOOKUP($I2272,Dashboard!$Q$15:$R$20,2,FALSE)*IF($E2272="Red",Dashboard!$R$6,IF($E2272="Gold",Dashboard!$R$7,Dashboard!$R$5))*IF(ISNUMBER(SEARCH("Duals",$B2272)),2,IF(ISNUMBER(SEARCH("Triples",$B2272)),3,IF(ISNUMBER(SEARCH("Quads",$B2272)),4,1))),2))*IF(IFERROR(VLOOKUP($B2272,Dashboard!$Q$28:$S$60,3,FALSE),0)&gt;0,VLOOKUP($B2272,Dashboard!$Q$28:$S$60,3,FALSE),1))),0))</f>
        <v>0</v>
      </c>
      <c r="K2272" s="2" t="str">
        <f>IF('Autos - Singles'!I41="","",'Autos - Singles'!I41)</f>
        <v/>
      </c>
      <c r="L2272" s="2">
        <f t="shared" si="455"/>
        <v>0</v>
      </c>
      <c r="M2272" s="2">
        <f t="shared" si="456"/>
        <v>0</v>
      </c>
      <c r="N2272" s="2">
        <f t="shared" si="457"/>
        <v>0</v>
      </c>
      <c r="O2272" s="2">
        <f t="shared" si="458"/>
        <v>0</v>
      </c>
      <c r="P2272" s="112">
        <f t="shared" si="459"/>
        <v>0</v>
      </c>
      <c r="Q2272" s="112">
        <f t="shared" si="460"/>
        <v>0</v>
      </c>
      <c r="R2272" s="53"/>
      <c r="S2272" s="53" t="str">
        <f t="shared" si="461"/>
        <v>Autos - Singles|Autographs Printing Plates Parallel|A-LR|Printing Plate</v>
      </c>
      <c r="T2272" s="57" t="str">
        <f>IF($S2272="","",IFERROR(VLOOKUP($S2272,'Pop Estimates (Non-#d)'!$N$2:$O$500,2,FALSE),""))</f>
        <v/>
      </c>
      <c r="U2272" s="57">
        <f t="shared" si="462"/>
        <v>4</v>
      </c>
      <c r="V2272" s="53" t="str">
        <f t="shared" si="463"/>
        <v>Grace Mallory</v>
      </c>
      <c r="W2272" s="53" t="str">
        <f t="shared" si="464"/>
        <v>Grace Mallory</v>
      </c>
      <c r="X2272" s="53" t="str">
        <f t="shared" si="465"/>
        <v>Grace Mallory</v>
      </c>
      <c r="Y2272" s="57">
        <f>IF($X2272="","",IFERROR(VLOOKUP($X2272,'Char Popularity'!$A$2:$C$500,2,FALSE),""))</f>
        <v>4</v>
      </c>
      <c r="Z2272" s="56">
        <f>IF($X2272="",1,IFERROR(VLOOKUP($X2272,'Char Popularity'!$A$2:$C$500,3,FALSE),1))</f>
        <v>1.1000000000000001</v>
      </c>
      <c r="AA2272" s="62">
        <f>IF($H2272&lt;&gt;"Y",0,(IF($F2272&lt;&gt;"",ROUND(Dashboard!$R$4/$F2272,1),IF(AND($I2272="Base",$E2272="Base"),Dashboard!$R$5,IF(AND($I2272="Base",$E2272="Red"),Dashboard!$R$6,IF(AND($I2272="Base",$E2272="Gold"),Dashboard!$R$7,VLOOKUP($I2272,Dashboard!$Q$16:$R$21,2,FALSE)))))*VLOOKUP($I2272,Dashboard!$Q$9:$R$13,2,FALSE)*IF(AND($I2272="Auto",$F2272="",OR($B2272="Autographs Duals",$B2272="Autographs Triples",$B2272="Autographs Quads",$B2272="Autographs Quads (Inscribed)")),IF($B2272="Autographs Duals",2,IF($B2272="Autographs Triples",3,4)),1)))</f>
        <v>0</v>
      </c>
      <c r="AB2272" s="62">
        <f t="shared" si="466"/>
        <v>0</v>
      </c>
      <c r="AC2272" s="62">
        <f t="shared" si="467"/>
        <v>0</v>
      </c>
    </row>
    <row r="2273" spans="1:29" ht="30" customHeight="1" x14ac:dyDescent="0.25">
      <c r="A2273" s="4" t="s">
        <v>37</v>
      </c>
      <c r="B2273" s="7" t="s">
        <v>794</v>
      </c>
      <c r="C2273" s="2" t="s">
        <v>281</v>
      </c>
      <c r="D2273" s="7" t="s">
        <v>276</v>
      </c>
      <c r="E2273" s="4" t="s">
        <v>829</v>
      </c>
      <c r="F2273" s="2">
        <v>4</v>
      </c>
      <c r="G2273" s="2" t="s">
        <v>1400</v>
      </c>
      <c r="H2273" s="2" t="s">
        <v>1399</v>
      </c>
      <c r="I2273" s="4" t="s">
        <v>68</v>
      </c>
      <c r="J2273" s="112">
        <f>IF($H2273&lt;&gt;"Y",0,ROUND(MIN(Dashboard!$R$24,IF(IFERROR(VLOOKUP($B2273,Dashboard!$Q$28:$S$60,2,FALSE),0)&gt;0,IFERROR(VLOOKUP($B2273,Dashboard!$Q$28:$S$60,2,FALSE),0),$Z2273*IF($U2273&lt;&gt;"",ROUND((Dashboard!$R$4/$U2273)*VLOOKUP($I2273,Dashboard!$Q$9:$R$13,2,FALSE)*IF(ISNUMBER(SEARCH("Duals",$B2273)),2,IF(ISNUMBER(SEARCH("Triples",$B2273)),3,IF(ISNUMBER(SEARCH("Quads",$B2273)),4,1))),2),ROUND(VLOOKUP($I2273,Dashboard!$Q$15:$R$20,2,FALSE)*IF($E2273="Red",Dashboard!$R$6,IF($E2273="Gold",Dashboard!$R$7,Dashboard!$R$5))*IF(ISNUMBER(SEARCH("Duals",$B2273)),2,IF(ISNUMBER(SEARCH("Triples",$B2273)),3,IF(ISNUMBER(SEARCH("Quads",$B2273)),4,1))),2))*IF(IFERROR(VLOOKUP($B2273,Dashboard!$Q$28:$S$60,3,FALSE),0)&gt;0,VLOOKUP($B2273,Dashboard!$Q$28:$S$60,3,FALSE),1))),0))</f>
        <v>0</v>
      </c>
      <c r="K2273" s="2" t="str">
        <f>IF('Autos - Singles'!I42="","",'Autos - Singles'!I42)</f>
        <v>d Black</v>
      </c>
      <c r="L2273" s="2">
        <f t="shared" si="455"/>
        <v>1</v>
      </c>
      <c r="M2273" s="2">
        <f t="shared" si="456"/>
        <v>0</v>
      </c>
      <c r="N2273" s="2">
        <f t="shared" si="457"/>
        <v>1</v>
      </c>
      <c r="O2273" s="2">
        <f t="shared" si="458"/>
        <v>0</v>
      </c>
      <c r="P2273" s="112">
        <f t="shared" si="459"/>
        <v>0</v>
      </c>
      <c r="Q2273" s="112">
        <f t="shared" si="460"/>
        <v>0</v>
      </c>
      <c r="R2273" s="53"/>
      <c r="S2273" s="53" t="str">
        <f t="shared" si="461"/>
        <v>Autos - Singles|Autographs Printing Plates Parallel|A-LZ|Printing Plate</v>
      </c>
      <c r="T2273" s="57" t="str">
        <f>IF($S2273="","",IFERROR(VLOOKUP($S2273,'Pop Estimates (Non-#d)'!$N$2:$O$500,2,FALSE),""))</f>
        <v/>
      </c>
      <c r="U2273" s="57">
        <f t="shared" si="462"/>
        <v>4</v>
      </c>
      <c r="V2273" s="53" t="str">
        <f t="shared" si="463"/>
        <v>Mother's Milk</v>
      </c>
      <c r="W2273" s="53" t="str">
        <f t="shared" si="464"/>
        <v>Mother's Milk</v>
      </c>
      <c r="X2273" s="53" t="str">
        <f t="shared" si="465"/>
        <v>Mother's Milk</v>
      </c>
      <c r="Y2273" s="57">
        <f>IF($X2273="","",IFERROR(VLOOKUP($X2273,'Char Popularity'!$A$2:$C$500,2,FALSE),""))</f>
        <v>4</v>
      </c>
      <c r="Z2273" s="56">
        <f>IF($X2273="",1,IFERROR(VLOOKUP($X2273,'Char Popularity'!$A$2:$C$500,3,FALSE),1))</f>
        <v>1.1000000000000001</v>
      </c>
      <c r="AA2273" s="62">
        <f>IF($H2273&lt;&gt;"Y",0,(IF($F2273&lt;&gt;"",ROUND(Dashboard!$R$4/$F2273,1),IF(AND($I2273="Base",$E2273="Base"),Dashboard!$R$5,IF(AND($I2273="Base",$E2273="Red"),Dashboard!$R$6,IF(AND($I2273="Base",$E2273="Gold"),Dashboard!$R$7,VLOOKUP($I2273,Dashboard!$Q$16:$R$21,2,FALSE)))))*VLOOKUP($I2273,Dashboard!$Q$9:$R$13,2,FALSE)*IF(AND($I2273="Auto",$F2273="",OR($B2273="Autographs Duals",$B2273="Autographs Triples",$B2273="Autographs Quads",$B2273="Autographs Quads (Inscribed)")),IF($B2273="Autographs Duals",2,IF($B2273="Autographs Triples",3,4)),1)))</f>
        <v>0</v>
      </c>
      <c r="AB2273" s="62">
        <f t="shared" si="466"/>
        <v>0</v>
      </c>
      <c r="AC2273" s="62">
        <f t="shared" si="467"/>
        <v>0</v>
      </c>
    </row>
    <row r="2274" spans="1:29" ht="30" customHeight="1" x14ac:dyDescent="0.25">
      <c r="A2274" s="4" t="s">
        <v>37</v>
      </c>
      <c r="B2274" s="7" t="s">
        <v>794</v>
      </c>
      <c r="C2274" s="2" t="s">
        <v>282</v>
      </c>
      <c r="D2274" s="7" t="s">
        <v>283</v>
      </c>
      <c r="E2274" s="4" t="s">
        <v>829</v>
      </c>
      <c r="F2274" s="2">
        <v>4</v>
      </c>
      <c r="G2274" s="2" t="s">
        <v>1400</v>
      </c>
      <c r="H2274" s="2" t="s">
        <v>1399</v>
      </c>
      <c r="I2274" s="4" t="s">
        <v>68</v>
      </c>
      <c r="J2274" s="112">
        <f>IF($H2274&lt;&gt;"Y",0,ROUND(MIN(Dashboard!$R$24,IF(IFERROR(VLOOKUP($B2274,Dashboard!$Q$28:$S$60,2,FALSE),0)&gt;0,IFERROR(VLOOKUP($B2274,Dashboard!$Q$28:$S$60,2,FALSE),0),$Z2274*IF($U2274&lt;&gt;"",ROUND((Dashboard!$R$4/$U2274)*VLOOKUP($I2274,Dashboard!$Q$9:$R$13,2,FALSE)*IF(ISNUMBER(SEARCH("Duals",$B2274)),2,IF(ISNUMBER(SEARCH("Triples",$B2274)),3,IF(ISNUMBER(SEARCH("Quads",$B2274)),4,1))),2),ROUND(VLOOKUP($I2274,Dashboard!$Q$15:$R$20,2,FALSE)*IF($E2274="Red",Dashboard!$R$6,IF($E2274="Gold",Dashboard!$R$7,Dashboard!$R$5))*IF(ISNUMBER(SEARCH("Duals",$B2274)),2,IF(ISNUMBER(SEARCH("Triples",$B2274)),3,IF(ISNUMBER(SEARCH("Quads",$B2274)),4,1))),2))*IF(IFERROR(VLOOKUP($B2274,Dashboard!$Q$28:$S$60,3,FALSE),0)&gt;0,VLOOKUP($B2274,Dashboard!$Q$28:$S$60,3,FALSE),1))),0))</f>
        <v>0</v>
      </c>
      <c r="K2274" s="2" t="str">
        <f>IF('Autos - Singles'!I43="","",'Autos - Singles'!I43)</f>
        <v/>
      </c>
      <c r="L2274" s="2">
        <f t="shared" si="455"/>
        <v>0</v>
      </c>
      <c r="M2274" s="2">
        <f t="shared" si="456"/>
        <v>0</v>
      </c>
      <c r="N2274" s="2">
        <f t="shared" si="457"/>
        <v>0</v>
      </c>
      <c r="O2274" s="2">
        <f t="shared" si="458"/>
        <v>0</v>
      </c>
      <c r="P2274" s="112">
        <f t="shared" si="459"/>
        <v>0</v>
      </c>
      <c r="Q2274" s="112">
        <f t="shared" si="460"/>
        <v>0</v>
      </c>
      <c r="R2274" s="53"/>
      <c r="S2274" s="53" t="str">
        <f t="shared" si="461"/>
        <v>Autos - Singles|Autographs Printing Plates Parallel|A-MB|Printing Plate</v>
      </c>
      <c r="T2274" s="57" t="str">
        <f>IF($S2274="","",IFERROR(VLOOKUP($S2274,'Pop Estimates (Non-#d)'!$N$2:$O$500,2,FALSE),""))</f>
        <v/>
      </c>
      <c r="U2274" s="57">
        <f t="shared" si="462"/>
        <v>4</v>
      </c>
      <c r="V2274" s="53" t="str">
        <f t="shared" si="463"/>
        <v>Black Noir</v>
      </c>
      <c r="W2274" s="53" t="str">
        <f t="shared" si="464"/>
        <v>Black Noir</v>
      </c>
      <c r="X2274" s="53" t="str">
        <f t="shared" si="465"/>
        <v>Black Noir</v>
      </c>
      <c r="Y2274" s="57">
        <f>IF($X2274="","",IFERROR(VLOOKUP($X2274,'Char Popularity'!$A$2:$C$500,2,FALSE),""))</f>
        <v>4</v>
      </c>
      <c r="Z2274" s="56">
        <f>IF($X2274="",1,IFERROR(VLOOKUP($X2274,'Char Popularity'!$A$2:$C$500,3,FALSE),1))</f>
        <v>1.1000000000000001</v>
      </c>
      <c r="AA2274" s="62">
        <f>IF($H2274&lt;&gt;"Y",0,(IF($F2274&lt;&gt;"",ROUND(Dashboard!$R$4/$F2274,1),IF(AND($I2274="Base",$E2274="Base"),Dashboard!$R$5,IF(AND($I2274="Base",$E2274="Red"),Dashboard!$R$6,IF(AND($I2274="Base",$E2274="Gold"),Dashboard!$R$7,VLOOKUP($I2274,Dashboard!$Q$16:$R$21,2,FALSE)))))*VLOOKUP($I2274,Dashboard!$Q$9:$R$13,2,FALSE)*IF(AND($I2274="Auto",$F2274="",OR($B2274="Autographs Duals",$B2274="Autographs Triples",$B2274="Autographs Quads",$B2274="Autographs Quads (Inscribed)")),IF($B2274="Autographs Duals",2,IF($B2274="Autographs Triples",3,4)),1)))</f>
        <v>0</v>
      </c>
      <c r="AB2274" s="62">
        <f t="shared" si="466"/>
        <v>0</v>
      </c>
      <c r="AC2274" s="62">
        <f t="shared" si="467"/>
        <v>0</v>
      </c>
    </row>
    <row r="2275" spans="1:29" ht="30" customHeight="1" x14ac:dyDescent="0.25">
      <c r="A2275" s="4" t="s">
        <v>37</v>
      </c>
      <c r="B2275" s="7" t="s">
        <v>794</v>
      </c>
      <c r="C2275" s="2" t="s">
        <v>284</v>
      </c>
      <c r="D2275" s="7" t="s">
        <v>244</v>
      </c>
      <c r="E2275" s="4" t="s">
        <v>829</v>
      </c>
      <c r="F2275" s="2">
        <v>4</v>
      </c>
      <c r="G2275" s="2" t="s">
        <v>1400</v>
      </c>
      <c r="H2275" s="2" t="s">
        <v>1399</v>
      </c>
      <c r="I2275" s="4" t="s">
        <v>68</v>
      </c>
      <c r="J2275" s="112">
        <f>IF($H2275&lt;&gt;"Y",0,ROUND(MIN(Dashboard!$R$24,IF(IFERROR(VLOOKUP($B2275,Dashboard!$Q$28:$S$60,2,FALSE),0)&gt;0,IFERROR(VLOOKUP($B2275,Dashboard!$Q$28:$S$60,2,FALSE),0),$Z2275*IF($U2275&lt;&gt;"",ROUND((Dashboard!$R$4/$U2275)*VLOOKUP($I2275,Dashboard!$Q$9:$R$13,2,FALSE)*IF(ISNUMBER(SEARCH("Duals",$B2275)),2,IF(ISNUMBER(SEARCH("Triples",$B2275)),3,IF(ISNUMBER(SEARCH("Quads",$B2275)),4,1))),2),ROUND(VLOOKUP($I2275,Dashboard!$Q$15:$R$20,2,FALSE)*IF($E2275="Red",Dashboard!$R$6,IF($E2275="Gold",Dashboard!$R$7,Dashboard!$R$5))*IF(ISNUMBER(SEARCH("Duals",$B2275)),2,IF(ISNUMBER(SEARCH("Triples",$B2275)),3,IF(ISNUMBER(SEARCH("Quads",$B2275)),4,1))),2))*IF(IFERROR(VLOOKUP($B2275,Dashboard!$Q$28:$S$60,3,FALSE),0)&gt;0,VLOOKUP($B2275,Dashboard!$Q$28:$S$60,3,FALSE),1))),0))</f>
        <v>0</v>
      </c>
      <c r="K2275" s="2" t="str">
        <f>IF('Autos - Singles'!I44="","",'Autos - Singles'!I44)</f>
        <v/>
      </c>
      <c r="L2275" s="2">
        <f t="shared" si="455"/>
        <v>0</v>
      </c>
      <c r="M2275" s="2">
        <f t="shared" si="456"/>
        <v>0</v>
      </c>
      <c r="N2275" s="2">
        <f t="shared" si="457"/>
        <v>0</v>
      </c>
      <c r="O2275" s="2">
        <f t="shared" si="458"/>
        <v>0</v>
      </c>
      <c r="P2275" s="112">
        <f t="shared" si="459"/>
        <v>0</v>
      </c>
      <c r="Q2275" s="112">
        <f t="shared" si="460"/>
        <v>0</v>
      </c>
      <c r="R2275" s="53"/>
      <c r="S2275" s="53" t="str">
        <f t="shared" si="461"/>
        <v>Autos - Singles|Autographs Printing Plates Parallel|A-MC|Printing Plate</v>
      </c>
      <c r="T2275" s="57" t="str">
        <f>IF($S2275="","",IFERROR(VLOOKUP($S2275,'Pop Estimates (Non-#d)'!$N$2:$O$500,2,FALSE),""))</f>
        <v/>
      </c>
      <c r="U2275" s="57">
        <f t="shared" si="462"/>
        <v>4</v>
      </c>
      <c r="V2275" s="53" t="str">
        <f t="shared" si="463"/>
        <v>Queen Maeve</v>
      </c>
      <c r="W2275" s="53" t="str">
        <f t="shared" si="464"/>
        <v>Queen Maeve</v>
      </c>
      <c r="X2275" s="53" t="str">
        <f t="shared" si="465"/>
        <v>Queen Maeve</v>
      </c>
      <c r="Y2275" s="57">
        <f>IF($X2275="","",IFERROR(VLOOKUP($X2275,'Char Popularity'!$A$2:$C$500,2,FALSE),""))</f>
        <v>4</v>
      </c>
      <c r="Z2275" s="56">
        <f>IF($X2275="",1,IFERROR(VLOOKUP($X2275,'Char Popularity'!$A$2:$C$500,3,FALSE),1))</f>
        <v>1.1000000000000001</v>
      </c>
      <c r="AA2275" s="62">
        <f>IF($H2275&lt;&gt;"Y",0,(IF($F2275&lt;&gt;"",ROUND(Dashboard!$R$4/$F2275,1),IF(AND($I2275="Base",$E2275="Base"),Dashboard!$R$5,IF(AND($I2275="Base",$E2275="Red"),Dashboard!$R$6,IF(AND($I2275="Base",$E2275="Gold"),Dashboard!$R$7,VLOOKUP($I2275,Dashboard!$Q$16:$R$21,2,FALSE)))))*VLOOKUP($I2275,Dashboard!$Q$9:$R$13,2,FALSE)*IF(AND($I2275="Auto",$F2275="",OR($B2275="Autographs Duals",$B2275="Autographs Triples",$B2275="Autographs Quads",$B2275="Autographs Quads (Inscribed)")),IF($B2275="Autographs Duals",2,IF($B2275="Autographs Triples",3,4)),1)))</f>
        <v>0</v>
      </c>
      <c r="AB2275" s="62">
        <f t="shared" si="466"/>
        <v>0</v>
      </c>
      <c r="AC2275" s="62">
        <f t="shared" si="467"/>
        <v>0</v>
      </c>
    </row>
    <row r="2276" spans="1:29" ht="30" customHeight="1" x14ac:dyDescent="0.25">
      <c r="A2276" s="4" t="s">
        <v>37</v>
      </c>
      <c r="B2276" s="7" t="s">
        <v>794</v>
      </c>
      <c r="C2276" s="2" t="s">
        <v>286</v>
      </c>
      <c r="D2276" s="7" t="s">
        <v>234</v>
      </c>
      <c r="E2276" s="4" t="s">
        <v>829</v>
      </c>
      <c r="F2276" s="2">
        <v>4</v>
      </c>
      <c r="G2276" s="2" t="s">
        <v>1400</v>
      </c>
      <c r="H2276" s="2" t="s">
        <v>1399</v>
      </c>
      <c r="I2276" s="4" t="s">
        <v>68</v>
      </c>
      <c r="J2276" s="112">
        <f>IF($H2276&lt;&gt;"Y",0,ROUND(MIN(Dashboard!$R$24,IF(IFERROR(VLOOKUP($B2276,Dashboard!$Q$28:$S$60,2,FALSE),0)&gt;0,IFERROR(VLOOKUP($B2276,Dashboard!$Q$28:$S$60,2,FALSE),0),$Z2276*IF($U2276&lt;&gt;"",ROUND((Dashboard!$R$4/$U2276)*VLOOKUP($I2276,Dashboard!$Q$9:$R$13,2,FALSE)*IF(ISNUMBER(SEARCH("Duals",$B2276)),2,IF(ISNUMBER(SEARCH("Triples",$B2276)),3,IF(ISNUMBER(SEARCH("Quads",$B2276)),4,1))),2),ROUND(VLOOKUP($I2276,Dashboard!$Q$15:$R$20,2,FALSE)*IF($E2276="Red",Dashboard!$R$6,IF($E2276="Gold",Dashboard!$R$7,Dashboard!$R$5))*IF(ISNUMBER(SEARCH("Duals",$B2276)),2,IF(ISNUMBER(SEARCH("Triples",$B2276)),3,IF(ISNUMBER(SEARCH("Quads",$B2276)),4,1))),2))*IF(IFERROR(VLOOKUP($B2276,Dashboard!$Q$28:$S$60,3,FALSE),0)&gt;0,VLOOKUP($B2276,Dashboard!$Q$28:$S$60,3,FALSE),1))),0))</f>
        <v>0</v>
      </c>
      <c r="K2276" s="2" t="str">
        <f>IF('Autos - Singles'!I45="","",'Autos - Singles'!I45)</f>
        <v/>
      </c>
      <c r="L2276" s="2">
        <f t="shared" si="455"/>
        <v>0</v>
      </c>
      <c r="M2276" s="2">
        <f t="shared" si="456"/>
        <v>0</v>
      </c>
      <c r="N2276" s="2">
        <f t="shared" si="457"/>
        <v>0</v>
      </c>
      <c r="O2276" s="2">
        <f t="shared" si="458"/>
        <v>0</v>
      </c>
      <c r="P2276" s="112">
        <f t="shared" si="459"/>
        <v>0</v>
      </c>
      <c r="Q2276" s="112">
        <f t="shared" si="460"/>
        <v>0</v>
      </c>
      <c r="R2276" s="53"/>
      <c r="S2276" s="53" t="str">
        <f t="shared" si="461"/>
        <v>Autos - Singles|Autographs Printing Plates Parallel|A-MI|Printing Plate</v>
      </c>
      <c r="T2276" s="57" t="str">
        <f>IF($S2276="","",IFERROR(VLOOKUP($S2276,'Pop Estimates (Non-#d)'!$N$2:$O$500,2,FALSE),""))</f>
        <v/>
      </c>
      <c r="U2276" s="57">
        <f t="shared" si="462"/>
        <v>4</v>
      </c>
      <c r="V2276" s="53" t="str">
        <f t="shared" si="463"/>
        <v>Ashley Barrett</v>
      </c>
      <c r="W2276" s="53" t="str">
        <f t="shared" si="464"/>
        <v>Ashley Barrett</v>
      </c>
      <c r="X2276" s="53" t="str">
        <f t="shared" si="465"/>
        <v>Ashley Barrett</v>
      </c>
      <c r="Y2276" s="57">
        <f>IF($X2276="","",IFERROR(VLOOKUP($X2276,'Char Popularity'!$A$2:$C$500,2,FALSE),""))</f>
        <v>3</v>
      </c>
      <c r="Z2276" s="56">
        <f>IF($X2276="",1,IFERROR(VLOOKUP($X2276,'Char Popularity'!$A$2:$C$500,3,FALSE),1))</f>
        <v>1</v>
      </c>
      <c r="AA2276" s="62">
        <f>IF($H2276&lt;&gt;"Y",0,(IF($F2276&lt;&gt;"",ROUND(Dashboard!$R$4/$F2276,1),IF(AND($I2276="Base",$E2276="Base"),Dashboard!$R$5,IF(AND($I2276="Base",$E2276="Red"),Dashboard!$R$6,IF(AND($I2276="Base",$E2276="Gold"),Dashboard!$R$7,VLOOKUP($I2276,Dashboard!$Q$16:$R$21,2,FALSE)))))*VLOOKUP($I2276,Dashboard!$Q$9:$R$13,2,FALSE)*IF(AND($I2276="Auto",$F2276="",OR($B2276="Autographs Duals",$B2276="Autographs Triples",$B2276="Autographs Quads",$B2276="Autographs Quads (Inscribed)")),IF($B2276="Autographs Duals",2,IF($B2276="Autographs Triples",3,4)),1)))</f>
        <v>0</v>
      </c>
      <c r="AB2276" s="62">
        <f t="shared" si="466"/>
        <v>0</v>
      </c>
      <c r="AC2276" s="62">
        <f t="shared" si="467"/>
        <v>0</v>
      </c>
    </row>
    <row r="2277" spans="1:29" ht="30" customHeight="1" x14ac:dyDescent="0.25">
      <c r="A2277" s="4" t="s">
        <v>37</v>
      </c>
      <c r="B2277" s="7" t="s">
        <v>794</v>
      </c>
      <c r="C2277" s="2" t="s">
        <v>287</v>
      </c>
      <c r="D2277" s="7" t="s">
        <v>288</v>
      </c>
      <c r="E2277" s="4" t="s">
        <v>829</v>
      </c>
      <c r="F2277" s="2">
        <v>4</v>
      </c>
      <c r="G2277" s="2" t="s">
        <v>1400</v>
      </c>
      <c r="H2277" s="2" t="s">
        <v>1399</v>
      </c>
      <c r="I2277" s="4" t="s">
        <v>68</v>
      </c>
      <c r="J2277" s="112">
        <f>IF($H2277&lt;&gt;"Y",0,ROUND(MIN(Dashboard!$R$24,IF(IFERROR(VLOOKUP($B2277,Dashboard!$Q$28:$S$60,2,FALSE),0)&gt;0,IFERROR(VLOOKUP($B2277,Dashboard!$Q$28:$S$60,2,FALSE),0),$Z2277*IF($U2277&lt;&gt;"",ROUND((Dashboard!$R$4/$U2277)*VLOOKUP($I2277,Dashboard!$Q$9:$R$13,2,FALSE)*IF(ISNUMBER(SEARCH("Duals",$B2277)),2,IF(ISNUMBER(SEARCH("Triples",$B2277)),3,IF(ISNUMBER(SEARCH("Quads",$B2277)),4,1))),2),ROUND(VLOOKUP($I2277,Dashboard!$Q$15:$R$20,2,FALSE)*IF($E2277="Red",Dashboard!$R$6,IF($E2277="Gold",Dashboard!$R$7,Dashboard!$R$5))*IF(ISNUMBER(SEARCH("Duals",$B2277)),2,IF(ISNUMBER(SEARCH("Triples",$B2277)),3,IF(ISNUMBER(SEARCH("Quads",$B2277)),4,1))),2))*IF(IFERROR(VLOOKUP($B2277,Dashboard!$Q$28:$S$60,3,FALSE),0)&gt;0,VLOOKUP($B2277,Dashboard!$Q$28:$S$60,3,FALSE),1))),0))</f>
        <v>0</v>
      </c>
      <c r="K2277" s="2" t="str">
        <f>IF('Autos - Singles'!I46="","",'Autos - Singles'!I46)</f>
        <v/>
      </c>
      <c r="L2277" s="2">
        <f t="shared" si="455"/>
        <v>0</v>
      </c>
      <c r="M2277" s="2">
        <f t="shared" si="456"/>
        <v>0</v>
      </c>
      <c r="N2277" s="2">
        <f t="shared" si="457"/>
        <v>0</v>
      </c>
      <c r="O2277" s="2">
        <f t="shared" si="458"/>
        <v>0</v>
      </c>
      <c r="P2277" s="112">
        <f t="shared" si="459"/>
        <v>0</v>
      </c>
      <c r="Q2277" s="112">
        <f t="shared" si="460"/>
        <v>0</v>
      </c>
      <c r="R2277" s="53"/>
      <c r="S2277" s="53" t="str">
        <f t="shared" si="461"/>
        <v>Autos - Singles|Autographs Printing Plates Parallel|A-MK|Printing Plate</v>
      </c>
      <c r="T2277" s="57" t="str">
        <f>IF($S2277="","",IFERROR(VLOOKUP($S2277,'Pop Estimates (Non-#d)'!$N$2:$O$500,2,FALSE),""))</f>
        <v/>
      </c>
      <c r="U2277" s="57">
        <f t="shared" si="462"/>
        <v>4</v>
      </c>
      <c r="V2277" s="53" t="str">
        <f t="shared" si="463"/>
        <v>Shockwave</v>
      </c>
      <c r="W2277" s="53" t="str">
        <f t="shared" si="464"/>
        <v>Shockwave</v>
      </c>
      <c r="X2277" s="53" t="str">
        <f t="shared" si="465"/>
        <v>Shockwave</v>
      </c>
      <c r="Y2277" s="57">
        <f>IF($X2277="","",IFERROR(VLOOKUP($X2277,'Char Popularity'!$A$2:$C$500,2,FALSE),""))</f>
        <v>2</v>
      </c>
      <c r="Z2277" s="56">
        <f>IF($X2277="",1,IFERROR(VLOOKUP($X2277,'Char Popularity'!$A$2:$C$500,3,FALSE),1))</f>
        <v>0.9</v>
      </c>
      <c r="AA2277" s="62">
        <f>IF($H2277&lt;&gt;"Y",0,(IF($F2277&lt;&gt;"",ROUND(Dashboard!$R$4/$F2277,1),IF(AND($I2277="Base",$E2277="Base"),Dashboard!$R$5,IF(AND($I2277="Base",$E2277="Red"),Dashboard!$R$6,IF(AND($I2277="Base",$E2277="Gold"),Dashboard!$R$7,VLOOKUP($I2277,Dashboard!$Q$16:$R$21,2,FALSE)))))*VLOOKUP($I2277,Dashboard!$Q$9:$R$13,2,FALSE)*IF(AND($I2277="Auto",$F2277="",OR($B2277="Autographs Duals",$B2277="Autographs Triples",$B2277="Autographs Quads",$B2277="Autographs Quads (Inscribed)")),IF($B2277="Autographs Duals",2,IF($B2277="Autographs Triples",3,4)),1)))</f>
        <v>0</v>
      </c>
      <c r="AB2277" s="62">
        <f t="shared" si="466"/>
        <v>0</v>
      </c>
      <c r="AC2277" s="62">
        <f t="shared" si="467"/>
        <v>0</v>
      </c>
    </row>
    <row r="2278" spans="1:29" ht="30" customHeight="1" x14ac:dyDescent="0.25">
      <c r="A2278" s="4" t="s">
        <v>37</v>
      </c>
      <c r="B2278" s="7" t="s">
        <v>794</v>
      </c>
      <c r="C2278" s="2" t="s">
        <v>289</v>
      </c>
      <c r="D2278" s="7" t="s">
        <v>248</v>
      </c>
      <c r="E2278" s="4" t="s">
        <v>829</v>
      </c>
      <c r="F2278" s="2">
        <v>4</v>
      </c>
      <c r="G2278" s="2" t="s">
        <v>1400</v>
      </c>
      <c r="H2278" s="2" t="s">
        <v>1399</v>
      </c>
      <c r="I2278" s="4" t="s">
        <v>68</v>
      </c>
      <c r="J2278" s="112">
        <f>IF($H2278&lt;&gt;"Y",0,ROUND(MIN(Dashboard!$R$24,IF(IFERROR(VLOOKUP($B2278,Dashboard!$Q$28:$S$60,2,FALSE),0)&gt;0,IFERROR(VLOOKUP($B2278,Dashboard!$Q$28:$S$60,2,FALSE),0),$Z2278*IF($U2278&lt;&gt;"",ROUND((Dashboard!$R$4/$U2278)*VLOOKUP($I2278,Dashboard!$Q$9:$R$13,2,FALSE)*IF(ISNUMBER(SEARCH("Duals",$B2278)),2,IF(ISNUMBER(SEARCH("Triples",$B2278)),3,IF(ISNUMBER(SEARCH("Quads",$B2278)),4,1))),2),ROUND(VLOOKUP($I2278,Dashboard!$Q$15:$R$20,2,FALSE)*IF($E2278="Red",Dashboard!$R$6,IF($E2278="Gold",Dashboard!$R$7,Dashboard!$R$5))*IF(ISNUMBER(SEARCH("Duals",$B2278)),2,IF(ISNUMBER(SEARCH("Triples",$B2278)),3,IF(ISNUMBER(SEARCH("Quads",$B2278)),4,1))),2))*IF(IFERROR(VLOOKUP($B2278,Dashboard!$Q$28:$S$60,3,FALSE),0)&gt;0,VLOOKUP($B2278,Dashboard!$Q$28:$S$60,3,FALSE),1))),0))</f>
        <v>0</v>
      </c>
      <c r="K2278" s="2" t="str">
        <f>IF('Autos - Singles'!I47="","",'Autos - Singles'!I47)</f>
        <v/>
      </c>
      <c r="L2278" s="2">
        <f t="shared" si="455"/>
        <v>0</v>
      </c>
      <c r="M2278" s="2">
        <f t="shared" si="456"/>
        <v>0</v>
      </c>
      <c r="N2278" s="2">
        <f t="shared" si="457"/>
        <v>0</v>
      </c>
      <c r="O2278" s="2">
        <f t="shared" si="458"/>
        <v>0</v>
      </c>
      <c r="P2278" s="112">
        <f t="shared" si="459"/>
        <v>0</v>
      </c>
      <c r="Q2278" s="112">
        <f t="shared" si="460"/>
        <v>0</v>
      </c>
      <c r="R2278" s="53"/>
      <c r="S2278" s="53" t="str">
        <f t="shared" si="461"/>
        <v>Autos - Singles|Autographs Printing Plates Parallel|A-MO|Printing Plate</v>
      </c>
      <c r="T2278" s="57" t="str">
        <f>IF($S2278="","",IFERROR(VLOOKUP($S2278,'Pop Estimates (Non-#d)'!$N$2:$O$500,2,FALSE),""))</f>
        <v/>
      </c>
      <c r="U2278" s="57">
        <f t="shared" si="462"/>
        <v>4</v>
      </c>
      <c r="V2278" s="53" t="str">
        <f t="shared" si="463"/>
        <v>Starlight</v>
      </c>
      <c r="W2278" s="53" t="str">
        <f t="shared" si="464"/>
        <v>Starlight</v>
      </c>
      <c r="X2278" s="53" t="str">
        <f t="shared" si="465"/>
        <v>Starlight</v>
      </c>
      <c r="Y2278" s="57">
        <f>IF($X2278="","",IFERROR(VLOOKUP($X2278,'Char Popularity'!$A$2:$C$500,2,FALSE),""))</f>
        <v>5</v>
      </c>
      <c r="Z2278" s="56">
        <f>IF($X2278="",1,IFERROR(VLOOKUP($X2278,'Char Popularity'!$A$2:$C$500,3,FALSE),1))</f>
        <v>1.2</v>
      </c>
      <c r="AA2278" s="62">
        <f>IF($H2278&lt;&gt;"Y",0,(IF($F2278&lt;&gt;"",ROUND(Dashboard!$R$4/$F2278,1),IF(AND($I2278="Base",$E2278="Base"),Dashboard!$R$5,IF(AND($I2278="Base",$E2278="Red"),Dashboard!$R$6,IF(AND($I2278="Base",$E2278="Gold"),Dashboard!$R$7,VLOOKUP($I2278,Dashboard!$Q$16:$R$21,2,FALSE)))))*VLOOKUP($I2278,Dashboard!$Q$9:$R$13,2,FALSE)*IF(AND($I2278="Auto",$F2278="",OR($B2278="Autographs Duals",$B2278="Autographs Triples",$B2278="Autographs Quads",$B2278="Autographs Quads (Inscribed)")),IF($B2278="Autographs Duals",2,IF($B2278="Autographs Triples",3,4)),1)))</f>
        <v>0</v>
      </c>
      <c r="AB2278" s="62">
        <f t="shared" si="466"/>
        <v>0</v>
      </c>
      <c r="AC2278" s="62">
        <f t="shared" si="467"/>
        <v>0</v>
      </c>
    </row>
    <row r="2279" spans="1:29" ht="30" customHeight="1" x14ac:dyDescent="0.25">
      <c r="A2279" s="4" t="s">
        <v>37</v>
      </c>
      <c r="B2279" s="7" t="s">
        <v>794</v>
      </c>
      <c r="C2279" s="2" t="s">
        <v>290</v>
      </c>
      <c r="D2279" s="7" t="s">
        <v>288</v>
      </c>
      <c r="E2279" s="4" t="s">
        <v>829</v>
      </c>
      <c r="F2279" s="2">
        <v>4</v>
      </c>
      <c r="G2279" s="2" t="s">
        <v>1400</v>
      </c>
      <c r="H2279" s="2" t="s">
        <v>1399</v>
      </c>
      <c r="I2279" s="4" t="s">
        <v>68</v>
      </c>
      <c r="J2279" s="112">
        <f>IF($H2279&lt;&gt;"Y",0,ROUND(MIN(Dashboard!$R$24,IF(IFERROR(VLOOKUP($B2279,Dashboard!$Q$28:$S$60,2,FALSE),0)&gt;0,IFERROR(VLOOKUP($B2279,Dashboard!$Q$28:$S$60,2,FALSE),0),$Z2279*IF($U2279&lt;&gt;"",ROUND((Dashboard!$R$4/$U2279)*VLOOKUP($I2279,Dashboard!$Q$9:$R$13,2,FALSE)*IF(ISNUMBER(SEARCH("Duals",$B2279)),2,IF(ISNUMBER(SEARCH("Triples",$B2279)),3,IF(ISNUMBER(SEARCH("Quads",$B2279)),4,1))),2),ROUND(VLOOKUP($I2279,Dashboard!$Q$15:$R$20,2,FALSE)*IF($E2279="Red",Dashboard!$R$6,IF($E2279="Gold",Dashboard!$R$7,Dashboard!$R$5))*IF(ISNUMBER(SEARCH("Duals",$B2279)),2,IF(ISNUMBER(SEARCH("Triples",$B2279)),3,IF(ISNUMBER(SEARCH("Quads",$B2279)),4,1))),2))*IF(IFERROR(VLOOKUP($B2279,Dashboard!$Q$28:$S$60,3,FALSE),0)&gt;0,VLOOKUP($B2279,Dashboard!$Q$28:$S$60,3,FALSE),1))),0))</f>
        <v>0</v>
      </c>
      <c r="K2279" s="2" t="str">
        <f>IF('Autos - Singles'!I48="","",'Autos - Singles'!I48)</f>
        <v>V Cyan</v>
      </c>
      <c r="L2279" s="2">
        <f t="shared" si="455"/>
        <v>1</v>
      </c>
      <c r="M2279" s="2">
        <f t="shared" si="456"/>
        <v>0</v>
      </c>
      <c r="N2279" s="2">
        <f t="shared" si="457"/>
        <v>1</v>
      </c>
      <c r="O2279" s="2">
        <f t="shared" si="458"/>
        <v>0</v>
      </c>
      <c r="P2279" s="112">
        <f t="shared" si="459"/>
        <v>0</v>
      </c>
      <c r="Q2279" s="112">
        <f t="shared" si="460"/>
        <v>0</v>
      </c>
      <c r="R2279" s="53"/>
      <c r="S2279" s="53" t="str">
        <f t="shared" si="461"/>
        <v>Autos - Singles|Autographs Printing Plates Parallel|A-MS|Printing Plate</v>
      </c>
      <c r="T2279" s="57" t="str">
        <f>IF($S2279="","",IFERROR(VLOOKUP($S2279,'Pop Estimates (Non-#d)'!$N$2:$O$500,2,FALSE),""))</f>
        <v/>
      </c>
      <c r="U2279" s="57">
        <f t="shared" si="462"/>
        <v>4</v>
      </c>
      <c r="V2279" s="53" t="str">
        <f t="shared" si="463"/>
        <v>Shockwave</v>
      </c>
      <c r="W2279" s="53" t="str">
        <f t="shared" si="464"/>
        <v>Shockwave</v>
      </c>
      <c r="X2279" s="53" t="str">
        <f t="shared" si="465"/>
        <v>Shockwave</v>
      </c>
      <c r="Y2279" s="57">
        <f>IF($X2279="","",IFERROR(VLOOKUP($X2279,'Char Popularity'!$A$2:$C$500,2,FALSE),""))</f>
        <v>2</v>
      </c>
      <c r="Z2279" s="56">
        <f>IF($X2279="",1,IFERROR(VLOOKUP($X2279,'Char Popularity'!$A$2:$C$500,3,FALSE),1))</f>
        <v>0.9</v>
      </c>
      <c r="AA2279" s="62">
        <f>IF($H2279&lt;&gt;"Y",0,(IF($F2279&lt;&gt;"",ROUND(Dashboard!$R$4/$F2279,1),IF(AND($I2279="Base",$E2279="Base"),Dashboard!$R$5,IF(AND($I2279="Base",$E2279="Red"),Dashboard!$R$6,IF(AND($I2279="Base",$E2279="Gold"),Dashboard!$R$7,VLOOKUP($I2279,Dashboard!$Q$16:$R$21,2,FALSE)))))*VLOOKUP($I2279,Dashboard!$Q$9:$R$13,2,FALSE)*IF(AND($I2279="Auto",$F2279="",OR($B2279="Autographs Duals",$B2279="Autographs Triples",$B2279="Autographs Quads",$B2279="Autographs Quads (Inscribed)")),IF($B2279="Autographs Duals",2,IF($B2279="Autographs Triples",3,4)),1)))</f>
        <v>0</v>
      </c>
      <c r="AB2279" s="62">
        <f t="shared" si="466"/>
        <v>0</v>
      </c>
      <c r="AC2279" s="62">
        <f t="shared" si="467"/>
        <v>0</v>
      </c>
    </row>
    <row r="2280" spans="1:29" ht="30" customHeight="1" x14ac:dyDescent="0.25">
      <c r="A2280" s="4" t="s">
        <v>37</v>
      </c>
      <c r="B2280" s="7" t="s">
        <v>794</v>
      </c>
      <c r="C2280" s="2" t="s">
        <v>291</v>
      </c>
      <c r="D2280" s="7" t="s">
        <v>288</v>
      </c>
      <c r="E2280" s="4" t="s">
        <v>829</v>
      </c>
      <c r="F2280" s="2">
        <v>4</v>
      </c>
      <c r="G2280" s="2" t="s">
        <v>1400</v>
      </c>
      <c r="H2280" s="2" t="s">
        <v>1399</v>
      </c>
      <c r="I2280" s="4" t="s">
        <v>68</v>
      </c>
      <c r="J2280" s="112">
        <f>IF($H2280&lt;&gt;"Y",0,ROUND(MIN(Dashboard!$R$24,IF(IFERROR(VLOOKUP($B2280,Dashboard!$Q$28:$S$60,2,FALSE),0)&gt;0,IFERROR(VLOOKUP($B2280,Dashboard!$Q$28:$S$60,2,FALSE),0),$Z2280*IF($U2280&lt;&gt;"",ROUND((Dashboard!$R$4/$U2280)*VLOOKUP($I2280,Dashboard!$Q$9:$R$13,2,FALSE)*IF(ISNUMBER(SEARCH("Duals",$B2280)),2,IF(ISNUMBER(SEARCH("Triples",$B2280)),3,IF(ISNUMBER(SEARCH("Quads",$B2280)),4,1))),2),ROUND(VLOOKUP($I2280,Dashboard!$Q$15:$R$20,2,FALSE)*IF($E2280="Red",Dashboard!$R$6,IF($E2280="Gold",Dashboard!$R$7,Dashboard!$R$5))*IF(ISNUMBER(SEARCH("Duals",$B2280)),2,IF(ISNUMBER(SEARCH("Triples",$B2280)),3,IF(ISNUMBER(SEARCH("Quads",$B2280)),4,1))),2))*IF(IFERROR(VLOOKUP($B2280,Dashboard!$Q$28:$S$60,3,FALSE),0)&gt;0,VLOOKUP($B2280,Dashboard!$Q$28:$S$60,3,FALSE),1))),0))</f>
        <v>0</v>
      </c>
      <c r="K2280" s="2" t="str">
        <f>IF('Autos - Singles'!I49="","",'Autos - Singles'!I49)</f>
        <v/>
      </c>
      <c r="L2280" s="2">
        <f t="shared" si="455"/>
        <v>0</v>
      </c>
      <c r="M2280" s="2">
        <f t="shared" si="456"/>
        <v>0</v>
      </c>
      <c r="N2280" s="2">
        <f t="shared" si="457"/>
        <v>0</v>
      </c>
      <c r="O2280" s="2">
        <f t="shared" si="458"/>
        <v>0</v>
      </c>
      <c r="P2280" s="112">
        <f t="shared" si="459"/>
        <v>0</v>
      </c>
      <c r="Q2280" s="112">
        <f t="shared" si="460"/>
        <v>0</v>
      </c>
      <c r="R2280" s="53"/>
      <c r="S2280" s="53" t="str">
        <f t="shared" si="461"/>
        <v>Autos - Singles|Autographs Printing Plates Parallel|A-MT|Printing Plate</v>
      </c>
      <c r="T2280" s="57" t="str">
        <f>IF($S2280="","",IFERROR(VLOOKUP($S2280,'Pop Estimates (Non-#d)'!$N$2:$O$500,2,FALSE),""))</f>
        <v/>
      </c>
      <c r="U2280" s="57">
        <f t="shared" si="462"/>
        <v>4</v>
      </c>
      <c r="V2280" s="53" t="str">
        <f t="shared" si="463"/>
        <v>Shockwave</v>
      </c>
      <c r="W2280" s="53" t="str">
        <f t="shared" si="464"/>
        <v>Shockwave</v>
      </c>
      <c r="X2280" s="53" t="str">
        <f t="shared" si="465"/>
        <v>Shockwave</v>
      </c>
      <c r="Y2280" s="57">
        <f>IF($X2280="","",IFERROR(VLOOKUP($X2280,'Char Popularity'!$A$2:$C$500,2,FALSE),""))</f>
        <v>2</v>
      </c>
      <c r="Z2280" s="56">
        <f>IF($X2280="",1,IFERROR(VLOOKUP($X2280,'Char Popularity'!$A$2:$C$500,3,FALSE),1))</f>
        <v>0.9</v>
      </c>
      <c r="AA2280" s="62">
        <f>IF($H2280&lt;&gt;"Y",0,(IF($F2280&lt;&gt;"",ROUND(Dashboard!$R$4/$F2280,1),IF(AND($I2280="Base",$E2280="Base"),Dashboard!$R$5,IF(AND($I2280="Base",$E2280="Red"),Dashboard!$R$6,IF(AND($I2280="Base",$E2280="Gold"),Dashboard!$R$7,VLOOKUP($I2280,Dashboard!$Q$16:$R$21,2,FALSE)))))*VLOOKUP($I2280,Dashboard!$Q$9:$R$13,2,FALSE)*IF(AND($I2280="Auto",$F2280="",OR($B2280="Autographs Duals",$B2280="Autographs Triples",$B2280="Autographs Quads",$B2280="Autographs Quads (Inscribed)")),IF($B2280="Autographs Duals",2,IF($B2280="Autographs Triples",3,4)),1)))</f>
        <v>0</v>
      </c>
      <c r="AB2280" s="62">
        <f t="shared" si="466"/>
        <v>0</v>
      </c>
      <c r="AC2280" s="62">
        <f t="shared" si="467"/>
        <v>0</v>
      </c>
    </row>
    <row r="2281" spans="1:29" ht="30" customHeight="1" x14ac:dyDescent="0.25">
      <c r="A2281" s="4" t="s">
        <v>37</v>
      </c>
      <c r="B2281" s="7" t="s">
        <v>794</v>
      </c>
      <c r="C2281" s="2" t="s">
        <v>292</v>
      </c>
      <c r="D2281" s="7" t="s">
        <v>283</v>
      </c>
      <c r="E2281" s="4" t="s">
        <v>829</v>
      </c>
      <c r="F2281" s="2">
        <v>4</v>
      </c>
      <c r="G2281" s="2" t="s">
        <v>1400</v>
      </c>
      <c r="H2281" s="2" t="s">
        <v>1399</v>
      </c>
      <c r="I2281" s="4" t="s">
        <v>68</v>
      </c>
      <c r="J2281" s="112">
        <f>IF($H2281&lt;&gt;"Y",0,ROUND(MIN(Dashboard!$R$24,IF(IFERROR(VLOOKUP($B2281,Dashboard!$Q$28:$S$60,2,FALSE),0)&gt;0,IFERROR(VLOOKUP($B2281,Dashboard!$Q$28:$S$60,2,FALSE),0),$Z2281*IF($U2281&lt;&gt;"",ROUND((Dashboard!$R$4/$U2281)*VLOOKUP($I2281,Dashboard!$Q$9:$R$13,2,FALSE)*IF(ISNUMBER(SEARCH("Duals",$B2281)),2,IF(ISNUMBER(SEARCH("Triples",$B2281)),3,IF(ISNUMBER(SEARCH("Quads",$B2281)),4,1))),2),ROUND(VLOOKUP($I2281,Dashboard!$Q$15:$R$20,2,FALSE)*IF($E2281="Red",Dashboard!$R$6,IF($E2281="Gold",Dashboard!$R$7,Dashboard!$R$5))*IF(ISNUMBER(SEARCH("Duals",$B2281)),2,IF(ISNUMBER(SEARCH("Triples",$B2281)),3,IF(ISNUMBER(SEARCH("Quads",$B2281)),4,1))),2))*IF(IFERROR(VLOOKUP($B2281,Dashboard!$Q$28:$S$60,3,FALSE),0)&gt;0,VLOOKUP($B2281,Dashboard!$Q$28:$S$60,3,FALSE),1))),0))</f>
        <v>0</v>
      </c>
      <c r="K2281" s="2" t="str">
        <f>IF('Autos - Singles'!I50="","",'Autos - Singles'!I50)</f>
        <v/>
      </c>
      <c r="L2281" s="2">
        <f t="shared" si="455"/>
        <v>0</v>
      </c>
      <c r="M2281" s="2">
        <f t="shared" si="456"/>
        <v>0</v>
      </c>
      <c r="N2281" s="2">
        <f t="shared" si="457"/>
        <v>0</v>
      </c>
      <c r="O2281" s="2">
        <f t="shared" si="458"/>
        <v>0</v>
      </c>
      <c r="P2281" s="112">
        <f t="shared" si="459"/>
        <v>0</v>
      </c>
      <c r="Q2281" s="112">
        <f t="shared" si="460"/>
        <v>0</v>
      </c>
      <c r="R2281" s="53"/>
      <c r="S2281" s="53" t="str">
        <f t="shared" si="461"/>
        <v>Autos - Singles|Autographs Printing Plates Parallel|A-NA|Printing Plate</v>
      </c>
      <c r="T2281" s="57" t="str">
        <f>IF($S2281="","",IFERROR(VLOOKUP($S2281,'Pop Estimates (Non-#d)'!$N$2:$O$500,2,FALSE),""))</f>
        <v/>
      </c>
      <c r="U2281" s="57">
        <f t="shared" si="462"/>
        <v>4</v>
      </c>
      <c r="V2281" s="53" t="str">
        <f t="shared" si="463"/>
        <v>Black Noir</v>
      </c>
      <c r="W2281" s="53" t="str">
        <f t="shared" si="464"/>
        <v>Black Noir</v>
      </c>
      <c r="X2281" s="53" t="str">
        <f t="shared" si="465"/>
        <v>Black Noir</v>
      </c>
      <c r="Y2281" s="57">
        <f>IF($X2281="","",IFERROR(VLOOKUP($X2281,'Char Popularity'!$A$2:$C$500,2,FALSE),""))</f>
        <v>4</v>
      </c>
      <c r="Z2281" s="56">
        <f>IF($X2281="",1,IFERROR(VLOOKUP($X2281,'Char Popularity'!$A$2:$C$500,3,FALSE),1))</f>
        <v>1.1000000000000001</v>
      </c>
      <c r="AA2281" s="62">
        <f>IF($H2281&lt;&gt;"Y",0,(IF($F2281&lt;&gt;"",ROUND(Dashboard!$R$4/$F2281,1),IF(AND($I2281="Base",$E2281="Base"),Dashboard!$R$5,IF(AND($I2281="Base",$E2281="Red"),Dashboard!$R$6,IF(AND($I2281="Base",$E2281="Gold"),Dashboard!$R$7,VLOOKUP($I2281,Dashboard!$Q$16:$R$21,2,FALSE)))))*VLOOKUP($I2281,Dashboard!$Q$9:$R$13,2,FALSE)*IF(AND($I2281="Auto",$F2281="",OR($B2281="Autographs Duals",$B2281="Autographs Triples",$B2281="Autographs Quads",$B2281="Autographs Quads (Inscribed)")),IF($B2281="Autographs Duals",2,IF($B2281="Autographs Triples",3,4)),1)))</f>
        <v>0</v>
      </c>
      <c r="AB2281" s="62">
        <f t="shared" si="466"/>
        <v>0</v>
      </c>
      <c r="AC2281" s="62">
        <f t="shared" si="467"/>
        <v>0</v>
      </c>
    </row>
    <row r="2282" spans="1:29" ht="30" customHeight="1" x14ac:dyDescent="0.25">
      <c r="A2282" s="4" t="s">
        <v>37</v>
      </c>
      <c r="B2282" s="7" t="s">
        <v>794</v>
      </c>
      <c r="C2282" s="2" t="s">
        <v>293</v>
      </c>
      <c r="D2282" s="7" t="s">
        <v>222</v>
      </c>
      <c r="E2282" s="4" t="s">
        <v>829</v>
      </c>
      <c r="F2282" s="2">
        <v>4</v>
      </c>
      <c r="G2282" s="2" t="s">
        <v>1400</v>
      </c>
      <c r="H2282" s="2" t="s">
        <v>1399</v>
      </c>
      <c r="I2282" s="4" t="s">
        <v>68</v>
      </c>
      <c r="J2282" s="112">
        <f>IF($H2282&lt;&gt;"Y",0,ROUND(MIN(Dashboard!$R$24,IF(IFERROR(VLOOKUP($B2282,Dashboard!$Q$28:$S$60,2,FALSE),0)&gt;0,IFERROR(VLOOKUP($B2282,Dashboard!$Q$28:$S$60,2,FALSE),0),$Z2282*IF($U2282&lt;&gt;"",ROUND((Dashboard!$R$4/$U2282)*VLOOKUP($I2282,Dashboard!$Q$9:$R$13,2,FALSE)*IF(ISNUMBER(SEARCH("Duals",$B2282)),2,IF(ISNUMBER(SEARCH("Triples",$B2282)),3,IF(ISNUMBER(SEARCH("Quads",$B2282)),4,1))),2),ROUND(VLOOKUP($I2282,Dashboard!$Q$15:$R$20,2,FALSE)*IF($E2282="Red",Dashboard!$R$6,IF($E2282="Gold",Dashboard!$R$7,Dashboard!$R$5))*IF(ISNUMBER(SEARCH("Duals",$B2282)),2,IF(ISNUMBER(SEARCH("Triples",$B2282)),3,IF(ISNUMBER(SEARCH("Quads",$B2282)),4,1))),2))*IF(IFERROR(VLOOKUP($B2282,Dashboard!$Q$28:$S$60,3,FALSE),0)&gt;0,VLOOKUP($B2282,Dashboard!$Q$28:$S$60,3,FALSE),1))),0))</f>
        <v>0</v>
      </c>
      <c r="K2282" s="2" t="str">
        <f>IF('Autos - Singles'!I51="","",'Autos - Singles'!I51)</f>
        <v/>
      </c>
      <c r="L2282" s="2">
        <f t="shared" si="455"/>
        <v>0</v>
      </c>
      <c r="M2282" s="2">
        <f t="shared" si="456"/>
        <v>0</v>
      </c>
      <c r="N2282" s="2">
        <f t="shared" si="457"/>
        <v>0</v>
      </c>
      <c r="O2282" s="2">
        <f t="shared" si="458"/>
        <v>0</v>
      </c>
      <c r="P2282" s="112">
        <f t="shared" si="459"/>
        <v>0</v>
      </c>
      <c r="Q2282" s="112">
        <f t="shared" si="460"/>
        <v>0</v>
      </c>
      <c r="R2282" s="53"/>
      <c r="S2282" s="53" t="str">
        <f t="shared" si="461"/>
        <v>Autos - Singles|Autographs Printing Plates Parallel|A-NE|Printing Plate</v>
      </c>
      <c r="T2282" s="57" t="str">
        <f>IF($S2282="","",IFERROR(VLOOKUP($S2282,'Pop Estimates (Non-#d)'!$N$2:$O$500,2,FALSE),""))</f>
        <v/>
      </c>
      <c r="U2282" s="57">
        <f t="shared" si="462"/>
        <v>4</v>
      </c>
      <c r="V2282" s="53" t="str">
        <f t="shared" si="463"/>
        <v>Homelander</v>
      </c>
      <c r="W2282" s="53" t="str">
        <f t="shared" si="464"/>
        <v>Homelander</v>
      </c>
      <c r="X2282" s="53" t="str">
        <f t="shared" si="465"/>
        <v>Homelander</v>
      </c>
      <c r="Y2282" s="57">
        <f>IF($X2282="","",IFERROR(VLOOKUP($X2282,'Char Popularity'!$A$2:$C$500,2,FALSE),""))</f>
        <v>5</v>
      </c>
      <c r="Z2282" s="56">
        <f>IF($X2282="",1,IFERROR(VLOOKUP($X2282,'Char Popularity'!$A$2:$C$500,3,FALSE),1))</f>
        <v>1.2</v>
      </c>
      <c r="AA2282" s="62">
        <f>IF($H2282&lt;&gt;"Y",0,(IF($F2282&lt;&gt;"",ROUND(Dashboard!$R$4/$F2282,1),IF(AND($I2282="Base",$E2282="Base"),Dashboard!$R$5,IF(AND($I2282="Base",$E2282="Red"),Dashboard!$R$6,IF(AND($I2282="Base",$E2282="Gold"),Dashboard!$R$7,VLOOKUP($I2282,Dashboard!$Q$16:$R$21,2,FALSE)))))*VLOOKUP($I2282,Dashboard!$Q$9:$R$13,2,FALSE)*IF(AND($I2282="Auto",$F2282="",OR($B2282="Autographs Duals",$B2282="Autographs Triples",$B2282="Autographs Quads",$B2282="Autographs Quads (Inscribed)")),IF($B2282="Autographs Duals",2,IF($B2282="Autographs Triples",3,4)),1)))</f>
        <v>0</v>
      </c>
      <c r="AB2282" s="62">
        <f t="shared" si="466"/>
        <v>0</v>
      </c>
      <c r="AC2282" s="62">
        <f t="shared" si="467"/>
        <v>0</v>
      </c>
    </row>
    <row r="2283" spans="1:29" ht="30" customHeight="1" x14ac:dyDescent="0.25">
      <c r="A2283" s="4" t="s">
        <v>37</v>
      </c>
      <c r="B2283" s="7" t="s">
        <v>794</v>
      </c>
      <c r="C2283" s="2" t="s">
        <v>294</v>
      </c>
      <c r="D2283" s="7" t="s">
        <v>283</v>
      </c>
      <c r="E2283" s="4" t="s">
        <v>829</v>
      </c>
      <c r="F2283" s="2">
        <v>4</v>
      </c>
      <c r="G2283" s="2" t="s">
        <v>1400</v>
      </c>
      <c r="H2283" s="2" t="s">
        <v>1399</v>
      </c>
      <c r="I2283" s="4" t="s">
        <v>68</v>
      </c>
      <c r="J2283" s="112">
        <f>IF($H2283&lt;&gt;"Y",0,ROUND(MIN(Dashboard!$R$24,IF(IFERROR(VLOOKUP($B2283,Dashboard!$Q$28:$S$60,2,FALSE),0)&gt;0,IFERROR(VLOOKUP($B2283,Dashboard!$Q$28:$S$60,2,FALSE),0),$Z2283*IF($U2283&lt;&gt;"",ROUND((Dashboard!$R$4/$U2283)*VLOOKUP($I2283,Dashboard!$Q$9:$R$13,2,FALSE)*IF(ISNUMBER(SEARCH("Duals",$B2283)),2,IF(ISNUMBER(SEARCH("Triples",$B2283)),3,IF(ISNUMBER(SEARCH("Quads",$B2283)),4,1))),2),ROUND(VLOOKUP($I2283,Dashboard!$Q$15:$R$20,2,FALSE)*IF($E2283="Red",Dashboard!$R$6,IF($E2283="Gold",Dashboard!$R$7,Dashboard!$R$5))*IF(ISNUMBER(SEARCH("Duals",$B2283)),2,IF(ISNUMBER(SEARCH("Triples",$B2283)),3,IF(ISNUMBER(SEARCH("Quads",$B2283)),4,1))),2))*IF(IFERROR(VLOOKUP($B2283,Dashboard!$Q$28:$S$60,3,FALSE),0)&gt;0,VLOOKUP($B2283,Dashboard!$Q$28:$S$60,3,FALSE),1))),0))</f>
        <v>0</v>
      </c>
      <c r="K2283" s="2" t="str">
        <f>IF('Autos - Singles'!I52="","",'Autos - Singles'!I52)</f>
        <v/>
      </c>
      <c r="L2283" s="2">
        <f t="shared" si="455"/>
        <v>0</v>
      </c>
      <c r="M2283" s="2">
        <f t="shared" si="456"/>
        <v>0</v>
      </c>
      <c r="N2283" s="2">
        <f t="shared" si="457"/>
        <v>0</v>
      </c>
      <c r="O2283" s="2">
        <f t="shared" si="458"/>
        <v>0</v>
      </c>
      <c r="P2283" s="112">
        <f t="shared" si="459"/>
        <v>0</v>
      </c>
      <c r="Q2283" s="112">
        <f t="shared" si="460"/>
        <v>0</v>
      </c>
      <c r="R2283" s="53"/>
      <c r="S2283" s="53" t="str">
        <f t="shared" si="461"/>
        <v>Autos - Singles|Autographs Printing Plates Parallel|A-NL|Printing Plate</v>
      </c>
      <c r="T2283" s="57" t="str">
        <f>IF($S2283="","",IFERROR(VLOOKUP($S2283,'Pop Estimates (Non-#d)'!$N$2:$O$500,2,FALSE),""))</f>
        <v/>
      </c>
      <c r="U2283" s="57">
        <f t="shared" si="462"/>
        <v>4</v>
      </c>
      <c r="V2283" s="53" t="str">
        <f t="shared" si="463"/>
        <v>Black Noir</v>
      </c>
      <c r="W2283" s="53" t="str">
        <f t="shared" si="464"/>
        <v>Black Noir</v>
      </c>
      <c r="X2283" s="53" t="str">
        <f t="shared" si="465"/>
        <v>Black Noir</v>
      </c>
      <c r="Y2283" s="57">
        <f>IF($X2283="","",IFERROR(VLOOKUP($X2283,'Char Popularity'!$A$2:$C$500,2,FALSE),""))</f>
        <v>4</v>
      </c>
      <c r="Z2283" s="56">
        <f>IF($X2283="",1,IFERROR(VLOOKUP($X2283,'Char Popularity'!$A$2:$C$500,3,FALSE),1))</f>
        <v>1.1000000000000001</v>
      </c>
      <c r="AA2283" s="62">
        <f>IF($H2283&lt;&gt;"Y",0,(IF($F2283&lt;&gt;"",ROUND(Dashboard!$R$4/$F2283,1),IF(AND($I2283="Base",$E2283="Base"),Dashboard!$R$5,IF(AND($I2283="Base",$E2283="Red"),Dashboard!$R$6,IF(AND($I2283="Base",$E2283="Gold"),Dashboard!$R$7,VLOOKUP($I2283,Dashboard!$Q$16:$R$21,2,FALSE)))))*VLOOKUP($I2283,Dashboard!$Q$9:$R$13,2,FALSE)*IF(AND($I2283="Auto",$F2283="",OR($B2283="Autographs Duals",$B2283="Autographs Triples",$B2283="Autographs Quads",$B2283="Autographs Quads (Inscribed)")),IF($B2283="Autographs Duals",2,IF($B2283="Autographs Triples",3,4)),1)))</f>
        <v>0</v>
      </c>
      <c r="AB2283" s="62">
        <f t="shared" si="466"/>
        <v>0</v>
      </c>
      <c r="AC2283" s="62">
        <f t="shared" si="467"/>
        <v>0</v>
      </c>
    </row>
    <row r="2284" spans="1:29" ht="30" customHeight="1" x14ac:dyDescent="0.25">
      <c r="A2284" s="4" t="s">
        <v>37</v>
      </c>
      <c r="B2284" s="7" t="s">
        <v>794</v>
      </c>
      <c r="C2284" s="2" t="s">
        <v>295</v>
      </c>
      <c r="D2284" s="7" t="s">
        <v>283</v>
      </c>
      <c r="E2284" s="4" t="s">
        <v>829</v>
      </c>
      <c r="F2284" s="2">
        <v>4</v>
      </c>
      <c r="G2284" s="2" t="s">
        <v>1400</v>
      </c>
      <c r="H2284" s="2" t="s">
        <v>1399</v>
      </c>
      <c r="I2284" s="4" t="s">
        <v>68</v>
      </c>
      <c r="J2284" s="112">
        <f>IF($H2284&lt;&gt;"Y",0,ROUND(MIN(Dashboard!$R$24,IF(IFERROR(VLOOKUP($B2284,Dashboard!$Q$28:$S$60,2,FALSE),0)&gt;0,IFERROR(VLOOKUP($B2284,Dashboard!$Q$28:$S$60,2,FALSE),0),$Z2284*IF($U2284&lt;&gt;"",ROUND((Dashboard!$R$4/$U2284)*VLOOKUP($I2284,Dashboard!$Q$9:$R$13,2,FALSE)*IF(ISNUMBER(SEARCH("Duals",$B2284)),2,IF(ISNUMBER(SEARCH("Triples",$B2284)),3,IF(ISNUMBER(SEARCH("Quads",$B2284)),4,1))),2),ROUND(VLOOKUP($I2284,Dashboard!$Q$15:$R$20,2,FALSE)*IF($E2284="Red",Dashboard!$R$6,IF($E2284="Gold",Dashboard!$R$7,Dashboard!$R$5))*IF(ISNUMBER(SEARCH("Duals",$B2284)),2,IF(ISNUMBER(SEARCH("Triples",$B2284)),3,IF(ISNUMBER(SEARCH("Quads",$B2284)),4,1))),2))*IF(IFERROR(VLOOKUP($B2284,Dashboard!$Q$28:$S$60,3,FALSE),0)&gt;0,VLOOKUP($B2284,Dashboard!$Q$28:$S$60,3,FALSE),1))),0))</f>
        <v>0</v>
      </c>
      <c r="K2284" s="2" t="str">
        <f>IF('Autos - Singles'!I53="","",'Autos - Singles'!I53)</f>
        <v/>
      </c>
      <c r="L2284" s="2">
        <f t="shared" si="455"/>
        <v>0</v>
      </c>
      <c r="M2284" s="2">
        <f t="shared" si="456"/>
        <v>0</v>
      </c>
      <c r="N2284" s="2">
        <f t="shared" si="457"/>
        <v>0</v>
      </c>
      <c r="O2284" s="2">
        <f t="shared" si="458"/>
        <v>0</v>
      </c>
      <c r="P2284" s="112">
        <f t="shared" si="459"/>
        <v>0</v>
      </c>
      <c r="Q2284" s="112">
        <f t="shared" si="460"/>
        <v>0</v>
      </c>
      <c r="R2284" s="53"/>
      <c r="S2284" s="53" t="str">
        <f t="shared" si="461"/>
        <v>Autos - Singles|Autographs Printing Plates Parallel|A-NM|Printing Plate</v>
      </c>
      <c r="T2284" s="57" t="str">
        <f>IF($S2284="","",IFERROR(VLOOKUP($S2284,'Pop Estimates (Non-#d)'!$N$2:$O$500,2,FALSE),""))</f>
        <v/>
      </c>
      <c r="U2284" s="57">
        <f t="shared" si="462"/>
        <v>4</v>
      </c>
      <c r="V2284" s="53" t="str">
        <f t="shared" si="463"/>
        <v>Black Noir</v>
      </c>
      <c r="W2284" s="53" t="str">
        <f t="shared" si="464"/>
        <v>Black Noir</v>
      </c>
      <c r="X2284" s="53" t="str">
        <f t="shared" si="465"/>
        <v>Black Noir</v>
      </c>
      <c r="Y2284" s="57">
        <f>IF($X2284="","",IFERROR(VLOOKUP($X2284,'Char Popularity'!$A$2:$C$500,2,FALSE),""))</f>
        <v>4</v>
      </c>
      <c r="Z2284" s="56">
        <f>IF($X2284="",1,IFERROR(VLOOKUP($X2284,'Char Popularity'!$A$2:$C$500,3,FALSE),1))</f>
        <v>1.1000000000000001</v>
      </c>
      <c r="AA2284" s="62">
        <f>IF($H2284&lt;&gt;"Y",0,(IF($F2284&lt;&gt;"",ROUND(Dashboard!$R$4/$F2284,1),IF(AND($I2284="Base",$E2284="Base"),Dashboard!$R$5,IF(AND($I2284="Base",$E2284="Red"),Dashboard!$R$6,IF(AND($I2284="Base",$E2284="Gold"),Dashboard!$R$7,VLOOKUP($I2284,Dashboard!$Q$16:$R$21,2,FALSE)))))*VLOOKUP($I2284,Dashboard!$Q$9:$R$13,2,FALSE)*IF(AND($I2284="Auto",$F2284="",OR($B2284="Autographs Duals",$B2284="Autographs Triples",$B2284="Autographs Quads",$B2284="Autographs Quads (Inscribed)")),IF($B2284="Autographs Duals",2,IF($B2284="Autographs Triples",3,4)),1)))</f>
        <v>0</v>
      </c>
      <c r="AB2284" s="62">
        <f t="shared" si="466"/>
        <v>0</v>
      </c>
      <c r="AC2284" s="62">
        <f t="shared" si="467"/>
        <v>0</v>
      </c>
    </row>
    <row r="2285" spans="1:29" ht="30" customHeight="1" x14ac:dyDescent="0.25">
      <c r="A2285" s="4" t="s">
        <v>37</v>
      </c>
      <c r="B2285" s="7" t="s">
        <v>794</v>
      </c>
      <c r="C2285" s="2" t="s">
        <v>296</v>
      </c>
      <c r="D2285" s="7" t="s">
        <v>263</v>
      </c>
      <c r="E2285" s="4" t="s">
        <v>829</v>
      </c>
      <c r="F2285" s="2">
        <v>4</v>
      </c>
      <c r="G2285" s="2" t="s">
        <v>1400</v>
      </c>
      <c r="H2285" s="2" t="s">
        <v>1399</v>
      </c>
      <c r="I2285" s="4" t="s">
        <v>68</v>
      </c>
      <c r="J2285" s="112">
        <f>IF($H2285&lt;&gt;"Y",0,ROUND(MIN(Dashboard!$R$24,IF(IFERROR(VLOOKUP($B2285,Dashboard!$Q$28:$S$60,2,FALSE),0)&gt;0,IFERROR(VLOOKUP($B2285,Dashboard!$Q$28:$S$60,2,FALSE),0),$Z2285*IF($U2285&lt;&gt;"",ROUND((Dashboard!$R$4/$U2285)*VLOOKUP($I2285,Dashboard!$Q$9:$R$13,2,FALSE)*IF(ISNUMBER(SEARCH("Duals",$B2285)),2,IF(ISNUMBER(SEARCH("Triples",$B2285)),3,IF(ISNUMBER(SEARCH("Quads",$B2285)),4,1))),2),ROUND(VLOOKUP($I2285,Dashboard!$Q$15:$R$20,2,FALSE)*IF($E2285="Red",Dashboard!$R$6,IF($E2285="Gold",Dashboard!$R$7,Dashboard!$R$5))*IF(ISNUMBER(SEARCH("Duals",$B2285)),2,IF(ISNUMBER(SEARCH("Triples",$B2285)),3,IF(ISNUMBER(SEARCH("Quads",$B2285)),4,1))),2))*IF(IFERROR(VLOOKUP($B2285,Dashboard!$Q$28:$S$60,3,FALSE),0)&gt;0,VLOOKUP($B2285,Dashboard!$Q$28:$S$60,3,FALSE),1))),0))</f>
        <v>0</v>
      </c>
      <c r="K2285" s="2" t="str">
        <f>IF('Autos - Singles'!I54="","",'Autos - Singles'!I54)</f>
        <v/>
      </c>
      <c r="L2285" s="2">
        <f t="shared" si="455"/>
        <v>0</v>
      </c>
      <c r="M2285" s="2">
        <f t="shared" si="456"/>
        <v>0</v>
      </c>
      <c r="N2285" s="2">
        <f t="shared" si="457"/>
        <v>0</v>
      </c>
      <c r="O2285" s="2">
        <f t="shared" si="458"/>
        <v>0</v>
      </c>
      <c r="P2285" s="112">
        <f t="shared" si="459"/>
        <v>0</v>
      </c>
      <c r="Q2285" s="112">
        <f t="shared" si="460"/>
        <v>0</v>
      </c>
      <c r="R2285" s="53"/>
      <c r="S2285" s="53" t="str">
        <f t="shared" si="461"/>
        <v>Autos - Singles|Autographs Printing Plates Parallel|A-QD|Printing Plate</v>
      </c>
      <c r="T2285" s="57" t="str">
        <f>IF($S2285="","",IFERROR(VLOOKUP($S2285,'Pop Estimates (Non-#d)'!$N$2:$O$500,2,FALSE),""))</f>
        <v/>
      </c>
      <c r="U2285" s="57">
        <f t="shared" si="462"/>
        <v>4</v>
      </c>
      <c r="V2285" s="53" t="str">
        <f t="shared" si="463"/>
        <v>Hughie Campbell</v>
      </c>
      <c r="W2285" s="53" t="str">
        <f t="shared" si="464"/>
        <v>Hughie Campbell</v>
      </c>
      <c r="X2285" s="53" t="str">
        <f t="shared" si="465"/>
        <v>Hughie Campbell</v>
      </c>
      <c r="Y2285" s="57">
        <f>IF($X2285="","",IFERROR(VLOOKUP($X2285,'Char Popularity'!$A$2:$C$500,2,FALSE),""))</f>
        <v>5</v>
      </c>
      <c r="Z2285" s="56">
        <f>IF($X2285="",1,IFERROR(VLOOKUP($X2285,'Char Popularity'!$A$2:$C$500,3,FALSE),1))</f>
        <v>1.2</v>
      </c>
      <c r="AA2285" s="62">
        <f>IF($H2285&lt;&gt;"Y",0,(IF($F2285&lt;&gt;"",ROUND(Dashboard!$R$4/$F2285,1),IF(AND($I2285="Base",$E2285="Base"),Dashboard!$R$5,IF(AND($I2285="Base",$E2285="Red"),Dashboard!$R$6,IF(AND($I2285="Base",$E2285="Gold"),Dashboard!$R$7,VLOOKUP($I2285,Dashboard!$Q$16:$R$21,2,FALSE)))))*VLOOKUP($I2285,Dashboard!$Q$9:$R$13,2,FALSE)*IF(AND($I2285="Auto",$F2285="",OR($B2285="Autographs Duals",$B2285="Autographs Triples",$B2285="Autographs Quads",$B2285="Autographs Quads (Inscribed)")),IF($B2285="Autographs Duals",2,IF($B2285="Autographs Triples",3,4)),1)))</f>
        <v>0</v>
      </c>
      <c r="AB2285" s="62">
        <f t="shared" si="466"/>
        <v>0</v>
      </c>
      <c r="AC2285" s="62">
        <f t="shared" si="467"/>
        <v>0</v>
      </c>
    </row>
    <row r="2286" spans="1:29" ht="30" customHeight="1" x14ac:dyDescent="0.25">
      <c r="A2286" s="4" t="s">
        <v>37</v>
      </c>
      <c r="B2286" s="7" t="s">
        <v>794</v>
      </c>
      <c r="C2286" s="2" t="s">
        <v>298</v>
      </c>
      <c r="D2286" s="7" t="s">
        <v>280</v>
      </c>
      <c r="E2286" s="4" t="s">
        <v>829</v>
      </c>
      <c r="F2286" s="2">
        <v>4</v>
      </c>
      <c r="G2286" s="2" t="s">
        <v>1400</v>
      </c>
      <c r="H2286" s="2" t="s">
        <v>1399</v>
      </c>
      <c r="I2286" s="4" t="s">
        <v>68</v>
      </c>
      <c r="J2286" s="112">
        <f>IF($H2286&lt;&gt;"Y",0,ROUND(MIN(Dashboard!$R$24,IF(IFERROR(VLOOKUP($B2286,Dashboard!$Q$28:$S$60,2,FALSE),0)&gt;0,IFERROR(VLOOKUP($B2286,Dashboard!$Q$28:$S$60,2,FALSE),0),$Z2286*IF($U2286&lt;&gt;"",ROUND((Dashboard!$R$4/$U2286)*VLOOKUP($I2286,Dashboard!$Q$9:$R$13,2,FALSE)*IF(ISNUMBER(SEARCH("Duals",$B2286)),2,IF(ISNUMBER(SEARCH("Triples",$B2286)),3,IF(ISNUMBER(SEARCH("Quads",$B2286)),4,1))),2),ROUND(VLOOKUP($I2286,Dashboard!$Q$15:$R$20,2,FALSE)*IF($E2286="Red",Dashboard!$R$6,IF($E2286="Gold",Dashboard!$R$7,Dashboard!$R$5))*IF(ISNUMBER(SEARCH("Duals",$B2286)),2,IF(ISNUMBER(SEARCH("Triples",$B2286)),3,IF(ISNUMBER(SEARCH("Quads",$B2286)),4,1))),2))*IF(IFERROR(VLOOKUP($B2286,Dashboard!$Q$28:$S$60,3,FALSE),0)&gt;0,VLOOKUP($B2286,Dashboard!$Q$28:$S$60,3,FALSE),1))),0))</f>
        <v>0</v>
      </c>
      <c r="K2286" s="2" t="str">
        <f>IF('Autos - Singles'!I55="","",'Autos - Singles'!I55)</f>
        <v/>
      </c>
      <c r="L2286" s="2">
        <f t="shared" si="455"/>
        <v>0</v>
      </c>
      <c r="M2286" s="2">
        <f t="shared" si="456"/>
        <v>0</v>
      </c>
      <c r="N2286" s="2">
        <f t="shared" si="457"/>
        <v>0</v>
      </c>
      <c r="O2286" s="2">
        <f t="shared" si="458"/>
        <v>0</v>
      </c>
      <c r="P2286" s="112">
        <f t="shared" si="459"/>
        <v>0</v>
      </c>
      <c r="Q2286" s="112">
        <f t="shared" si="460"/>
        <v>0</v>
      </c>
      <c r="R2286" s="53"/>
      <c r="S2286" s="53" t="str">
        <f t="shared" si="461"/>
        <v>Autos - Singles|Autographs Printing Plates Parallel|A-RO|Printing Plate</v>
      </c>
      <c r="T2286" s="57" t="str">
        <f>IF($S2286="","",IFERROR(VLOOKUP($S2286,'Pop Estimates (Non-#d)'!$N$2:$O$500,2,FALSE),""))</f>
        <v/>
      </c>
      <c r="U2286" s="57">
        <f t="shared" si="462"/>
        <v>4</v>
      </c>
      <c r="V2286" s="53" t="str">
        <f t="shared" si="463"/>
        <v>Grace Mallory</v>
      </c>
      <c r="W2286" s="53" t="str">
        <f t="shared" si="464"/>
        <v>Grace Mallory</v>
      </c>
      <c r="X2286" s="53" t="str">
        <f t="shared" si="465"/>
        <v>Grace Mallory</v>
      </c>
      <c r="Y2286" s="57">
        <f>IF($X2286="","",IFERROR(VLOOKUP($X2286,'Char Popularity'!$A$2:$C$500,2,FALSE),""))</f>
        <v>4</v>
      </c>
      <c r="Z2286" s="56">
        <f>IF($X2286="",1,IFERROR(VLOOKUP($X2286,'Char Popularity'!$A$2:$C$500,3,FALSE),1))</f>
        <v>1.1000000000000001</v>
      </c>
      <c r="AA2286" s="62">
        <f>IF($H2286&lt;&gt;"Y",0,(IF($F2286&lt;&gt;"",ROUND(Dashboard!$R$4/$F2286,1),IF(AND($I2286="Base",$E2286="Base"),Dashboard!$R$5,IF(AND($I2286="Base",$E2286="Red"),Dashboard!$R$6,IF(AND($I2286="Base",$E2286="Gold"),Dashboard!$R$7,VLOOKUP($I2286,Dashboard!$Q$16:$R$21,2,FALSE)))))*VLOOKUP($I2286,Dashboard!$Q$9:$R$13,2,FALSE)*IF(AND($I2286="Auto",$F2286="",OR($B2286="Autographs Duals",$B2286="Autographs Triples",$B2286="Autographs Quads",$B2286="Autographs Quads (Inscribed)")),IF($B2286="Autographs Duals",2,IF($B2286="Autographs Triples",3,4)),1)))</f>
        <v>0</v>
      </c>
      <c r="AB2286" s="62">
        <f t="shared" si="466"/>
        <v>0</v>
      </c>
      <c r="AC2286" s="62">
        <f t="shared" si="467"/>
        <v>0</v>
      </c>
    </row>
    <row r="2287" spans="1:29" ht="30" customHeight="1" x14ac:dyDescent="0.25">
      <c r="A2287" s="4" t="s">
        <v>37</v>
      </c>
      <c r="B2287" s="7" t="s">
        <v>794</v>
      </c>
      <c r="C2287" s="2" t="s">
        <v>300</v>
      </c>
      <c r="D2287" s="7" t="s">
        <v>301</v>
      </c>
      <c r="E2287" s="4" t="s">
        <v>829</v>
      </c>
      <c r="F2287" s="2">
        <v>4</v>
      </c>
      <c r="G2287" s="2" t="s">
        <v>1400</v>
      </c>
      <c r="H2287" s="2" t="s">
        <v>1399</v>
      </c>
      <c r="I2287" s="4" t="s">
        <v>68</v>
      </c>
      <c r="J2287" s="112">
        <f>IF($H2287&lt;&gt;"Y",0,ROUND(MIN(Dashboard!$R$24,IF(IFERROR(VLOOKUP($B2287,Dashboard!$Q$28:$S$60,2,FALSE),0)&gt;0,IFERROR(VLOOKUP($B2287,Dashboard!$Q$28:$S$60,2,FALSE),0),$Z2287*IF($U2287&lt;&gt;"",ROUND((Dashboard!$R$4/$U2287)*VLOOKUP($I2287,Dashboard!$Q$9:$R$13,2,FALSE)*IF(ISNUMBER(SEARCH("Duals",$B2287)),2,IF(ISNUMBER(SEARCH("Triples",$B2287)),3,IF(ISNUMBER(SEARCH("Quads",$B2287)),4,1))),2),ROUND(VLOOKUP($I2287,Dashboard!$Q$15:$R$20,2,FALSE)*IF($E2287="Red",Dashboard!$R$6,IF($E2287="Gold",Dashboard!$R$7,Dashboard!$R$5))*IF(ISNUMBER(SEARCH("Duals",$B2287)),2,IF(ISNUMBER(SEARCH("Triples",$B2287)),3,IF(ISNUMBER(SEARCH("Quads",$B2287)),4,1))),2))*IF(IFERROR(VLOOKUP($B2287,Dashboard!$Q$28:$S$60,3,FALSE),0)&gt;0,VLOOKUP($B2287,Dashboard!$Q$28:$S$60,3,FALSE),1))),0))</f>
        <v>0</v>
      </c>
      <c r="K2287" s="2" t="str">
        <f>IF('Autos - Singles'!I56="","",'Autos - Singles'!I56)</f>
        <v/>
      </c>
      <c r="L2287" s="2">
        <f t="shared" si="455"/>
        <v>0</v>
      </c>
      <c r="M2287" s="2">
        <f t="shared" si="456"/>
        <v>0</v>
      </c>
      <c r="N2287" s="2">
        <f t="shared" si="457"/>
        <v>0</v>
      </c>
      <c r="O2287" s="2">
        <f t="shared" si="458"/>
        <v>0</v>
      </c>
      <c r="P2287" s="112">
        <f t="shared" si="459"/>
        <v>0</v>
      </c>
      <c r="Q2287" s="112">
        <f t="shared" si="460"/>
        <v>0</v>
      </c>
      <c r="R2287" s="53"/>
      <c r="S2287" s="53" t="str">
        <f t="shared" si="461"/>
        <v>Autos - Singles|Autographs Printing Plates Parallel|A-SA|Printing Plate</v>
      </c>
      <c r="T2287" s="57" t="str">
        <f>IF($S2287="","",IFERROR(VLOOKUP($S2287,'Pop Estimates (Non-#d)'!$N$2:$O$500,2,FALSE),""))</f>
        <v/>
      </c>
      <c r="U2287" s="57">
        <f t="shared" si="462"/>
        <v>4</v>
      </c>
      <c r="V2287" s="53" t="str">
        <f t="shared" si="463"/>
        <v>Lamplighter</v>
      </c>
      <c r="W2287" s="53" t="str">
        <f t="shared" si="464"/>
        <v>Lamplighter</v>
      </c>
      <c r="X2287" s="53" t="str">
        <f t="shared" si="465"/>
        <v>Lamplighter</v>
      </c>
      <c r="Y2287" s="57">
        <f>IF($X2287="","",IFERROR(VLOOKUP($X2287,'Char Popularity'!$A$2:$C$500,2,FALSE),""))</f>
        <v>2</v>
      </c>
      <c r="Z2287" s="56">
        <f>IF($X2287="",1,IFERROR(VLOOKUP($X2287,'Char Popularity'!$A$2:$C$500,3,FALSE),1))</f>
        <v>0.9</v>
      </c>
      <c r="AA2287" s="62">
        <f>IF($H2287&lt;&gt;"Y",0,(IF($F2287&lt;&gt;"",ROUND(Dashboard!$R$4/$F2287,1),IF(AND($I2287="Base",$E2287="Base"),Dashboard!$R$5,IF(AND($I2287="Base",$E2287="Red"),Dashboard!$R$6,IF(AND($I2287="Base",$E2287="Gold"),Dashboard!$R$7,VLOOKUP($I2287,Dashboard!$Q$16:$R$21,2,FALSE)))))*VLOOKUP($I2287,Dashboard!$Q$9:$R$13,2,FALSE)*IF(AND($I2287="Auto",$F2287="",OR($B2287="Autographs Duals",$B2287="Autographs Triples",$B2287="Autographs Quads",$B2287="Autographs Quads (Inscribed)")),IF($B2287="Autographs Duals",2,IF($B2287="Autographs Triples",3,4)),1)))</f>
        <v>0</v>
      </c>
      <c r="AB2287" s="62">
        <f t="shared" si="466"/>
        <v>0</v>
      </c>
      <c r="AC2287" s="62">
        <f t="shared" si="467"/>
        <v>0</v>
      </c>
    </row>
    <row r="2288" spans="1:29" ht="30" customHeight="1" x14ac:dyDescent="0.25">
      <c r="A2288" s="4" t="s">
        <v>37</v>
      </c>
      <c r="B2288" s="7" t="s">
        <v>794</v>
      </c>
      <c r="C2288" s="2" t="s">
        <v>302</v>
      </c>
      <c r="D2288" s="7" t="s">
        <v>250</v>
      </c>
      <c r="E2288" s="4" t="s">
        <v>829</v>
      </c>
      <c r="F2288" s="2">
        <v>4</v>
      </c>
      <c r="G2288" s="2" t="s">
        <v>1400</v>
      </c>
      <c r="H2288" s="2" t="s">
        <v>1399</v>
      </c>
      <c r="I2288" s="4" t="s">
        <v>68</v>
      </c>
      <c r="J2288" s="112">
        <f>IF($H2288&lt;&gt;"Y",0,ROUND(MIN(Dashboard!$R$24,IF(IFERROR(VLOOKUP($B2288,Dashboard!$Q$28:$S$60,2,FALSE),0)&gt;0,IFERROR(VLOOKUP($B2288,Dashboard!$Q$28:$S$60,2,FALSE),0),$Z2288*IF($U2288&lt;&gt;"",ROUND((Dashboard!$R$4/$U2288)*VLOOKUP($I2288,Dashboard!$Q$9:$R$13,2,FALSE)*IF(ISNUMBER(SEARCH("Duals",$B2288)),2,IF(ISNUMBER(SEARCH("Triples",$B2288)),3,IF(ISNUMBER(SEARCH("Quads",$B2288)),4,1))),2),ROUND(VLOOKUP($I2288,Dashboard!$Q$15:$R$20,2,FALSE)*IF($E2288="Red",Dashboard!$R$6,IF($E2288="Gold",Dashboard!$R$7,Dashboard!$R$5))*IF(ISNUMBER(SEARCH("Duals",$B2288)),2,IF(ISNUMBER(SEARCH("Triples",$B2288)),3,IF(ISNUMBER(SEARCH("Quads",$B2288)),4,1))),2))*IF(IFERROR(VLOOKUP($B2288,Dashboard!$Q$28:$S$60,3,FALSE),0)&gt;0,VLOOKUP($B2288,Dashboard!$Q$28:$S$60,3,FALSE),1))),0))</f>
        <v>0</v>
      </c>
      <c r="K2288" s="2" t="str">
        <f>IF('Autos - Singles'!I57="","",'Autos - Singles'!I57)</f>
        <v/>
      </c>
      <c r="L2288" s="2">
        <f t="shared" si="455"/>
        <v>0</v>
      </c>
      <c r="M2288" s="2">
        <f t="shared" si="456"/>
        <v>0</v>
      </c>
      <c r="N2288" s="2">
        <f t="shared" si="457"/>
        <v>0</v>
      </c>
      <c r="O2288" s="2">
        <f t="shared" si="458"/>
        <v>0</v>
      </c>
      <c r="P2288" s="112">
        <f t="shared" si="459"/>
        <v>0</v>
      </c>
      <c r="Q2288" s="112">
        <f t="shared" si="460"/>
        <v>0</v>
      </c>
      <c r="R2288" s="53"/>
      <c r="S2288" s="53" t="str">
        <f t="shared" si="461"/>
        <v>Autos - Singles|Autographs Printing Plates Parallel|A-SH|Printing Plate</v>
      </c>
      <c r="T2288" s="57" t="str">
        <f>IF($S2288="","",IFERROR(VLOOKUP($S2288,'Pop Estimates (Non-#d)'!$N$2:$O$500,2,FALSE),""))</f>
        <v/>
      </c>
      <c r="U2288" s="57">
        <f t="shared" si="462"/>
        <v>4</v>
      </c>
      <c r="V2288" s="53" t="str">
        <f t="shared" si="463"/>
        <v>Madelyn Stillwell</v>
      </c>
      <c r="W2288" s="53" t="str">
        <f t="shared" si="464"/>
        <v>Madelyn Stillwell</v>
      </c>
      <c r="X2288" s="53" t="str">
        <f t="shared" si="465"/>
        <v>Madelyn Stillwell</v>
      </c>
      <c r="Y2288" s="57">
        <f>IF($X2288="","",IFERROR(VLOOKUP($X2288,'Char Popularity'!$A$2:$C$500,2,FALSE),""))</f>
        <v>3</v>
      </c>
      <c r="Z2288" s="56">
        <f>IF($X2288="",1,IFERROR(VLOOKUP($X2288,'Char Popularity'!$A$2:$C$500,3,FALSE),1))</f>
        <v>1</v>
      </c>
      <c r="AA2288" s="62">
        <f>IF($H2288&lt;&gt;"Y",0,(IF($F2288&lt;&gt;"",ROUND(Dashboard!$R$4/$F2288,1),IF(AND($I2288="Base",$E2288="Base"),Dashboard!$R$5,IF(AND($I2288="Base",$E2288="Red"),Dashboard!$R$6,IF(AND($I2288="Base",$E2288="Gold"),Dashboard!$R$7,VLOOKUP($I2288,Dashboard!$Q$16:$R$21,2,FALSE)))))*VLOOKUP($I2288,Dashboard!$Q$9:$R$13,2,FALSE)*IF(AND($I2288="Auto",$F2288="",OR($B2288="Autographs Duals",$B2288="Autographs Triples",$B2288="Autographs Quads",$B2288="Autographs Quads (Inscribed)")),IF($B2288="Autographs Duals",2,IF($B2288="Autographs Triples",3,4)),1)))</f>
        <v>0</v>
      </c>
      <c r="AB2288" s="62">
        <f t="shared" si="466"/>
        <v>0</v>
      </c>
      <c r="AC2288" s="62">
        <f t="shared" si="467"/>
        <v>0</v>
      </c>
    </row>
    <row r="2289" spans="1:29" ht="30" customHeight="1" x14ac:dyDescent="0.25">
      <c r="A2289" s="4" t="s">
        <v>37</v>
      </c>
      <c r="B2289" s="7" t="s">
        <v>794</v>
      </c>
      <c r="C2289" s="2" t="s">
        <v>304</v>
      </c>
      <c r="D2289" s="7" t="s">
        <v>301</v>
      </c>
      <c r="E2289" s="4" t="s">
        <v>829</v>
      </c>
      <c r="F2289" s="2">
        <v>4</v>
      </c>
      <c r="G2289" s="2" t="s">
        <v>1400</v>
      </c>
      <c r="H2289" s="2" t="s">
        <v>1399</v>
      </c>
      <c r="I2289" s="4" t="s">
        <v>68</v>
      </c>
      <c r="J2289" s="112">
        <f>IF($H2289&lt;&gt;"Y",0,ROUND(MIN(Dashboard!$R$24,IF(IFERROR(VLOOKUP($B2289,Dashboard!$Q$28:$S$60,2,FALSE),0)&gt;0,IFERROR(VLOOKUP($B2289,Dashboard!$Q$28:$S$60,2,FALSE),0),$Z2289*IF($U2289&lt;&gt;"",ROUND((Dashboard!$R$4/$U2289)*VLOOKUP($I2289,Dashboard!$Q$9:$R$13,2,FALSE)*IF(ISNUMBER(SEARCH("Duals",$B2289)),2,IF(ISNUMBER(SEARCH("Triples",$B2289)),3,IF(ISNUMBER(SEARCH("Quads",$B2289)),4,1))),2),ROUND(VLOOKUP($I2289,Dashboard!$Q$15:$R$20,2,FALSE)*IF($E2289="Red",Dashboard!$R$6,IF($E2289="Gold",Dashboard!$R$7,Dashboard!$R$5))*IF(ISNUMBER(SEARCH("Duals",$B2289)),2,IF(ISNUMBER(SEARCH("Triples",$B2289)),3,IF(ISNUMBER(SEARCH("Quads",$B2289)),4,1))),2))*IF(IFERROR(VLOOKUP($B2289,Dashboard!$Q$28:$S$60,3,FALSE),0)&gt;0,VLOOKUP($B2289,Dashboard!$Q$28:$S$60,3,FALSE),1))),0))</f>
        <v>0</v>
      </c>
      <c r="K2289" s="2" t="str">
        <f>IF('Autos - Singles'!I58="","",'Autos - Singles'!I58)</f>
        <v/>
      </c>
      <c r="L2289" s="2">
        <f t="shared" si="455"/>
        <v>0</v>
      </c>
      <c r="M2289" s="2">
        <f t="shared" si="456"/>
        <v>0</v>
      </c>
      <c r="N2289" s="2">
        <f t="shared" si="457"/>
        <v>0</v>
      </c>
      <c r="O2289" s="2">
        <f t="shared" si="458"/>
        <v>0</v>
      </c>
      <c r="P2289" s="112">
        <f t="shared" si="459"/>
        <v>0</v>
      </c>
      <c r="Q2289" s="112">
        <f t="shared" si="460"/>
        <v>0</v>
      </c>
      <c r="R2289" s="53"/>
      <c r="S2289" s="53" t="str">
        <f t="shared" si="461"/>
        <v>Autos - Singles|Autographs Printing Plates Parallel|A-SM|Printing Plate</v>
      </c>
      <c r="T2289" s="57" t="str">
        <f>IF($S2289="","",IFERROR(VLOOKUP($S2289,'Pop Estimates (Non-#d)'!$N$2:$O$500,2,FALSE),""))</f>
        <v/>
      </c>
      <c r="U2289" s="57">
        <f t="shared" si="462"/>
        <v>4</v>
      </c>
      <c r="V2289" s="53" t="str">
        <f t="shared" si="463"/>
        <v>Lamplighter</v>
      </c>
      <c r="W2289" s="53" t="str">
        <f t="shared" si="464"/>
        <v>Lamplighter</v>
      </c>
      <c r="X2289" s="53" t="str">
        <f t="shared" si="465"/>
        <v>Lamplighter</v>
      </c>
      <c r="Y2289" s="57">
        <f>IF($X2289="","",IFERROR(VLOOKUP($X2289,'Char Popularity'!$A$2:$C$500,2,FALSE),""))</f>
        <v>2</v>
      </c>
      <c r="Z2289" s="56">
        <f>IF($X2289="",1,IFERROR(VLOOKUP($X2289,'Char Popularity'!$A$2:$C$500,3,FALSE),1))</f>
        <v>0.9</v>
      </c>
      <c r="AA2289" s="62">
        <f>IF($H2289&lt;&gt;"Y",0,(IF($F2289&lt;&gt;"",ROUND(Dashboard!$R$4/$F2289,1),IF(AND($I2289="Base",$E2289="Base"),Dashboard!$R$5,IF(AND($I2289="Base",$E2289="Red"),Dashboard!$R$6,IF(AND($I2289="Base",$E2289="Gold"),Dashboard!$R$7,VLOOKUP($I2289,Dashboard!$Q$16:$R$21,2,FALSE)))))*VLOOKUP($I2289,Dashboard!$Q$9:$R$13,2,FALSE)*IF(AND($I2289="Auto",$F2289="",OR($B2289="Autographs Duals",$B2289="Autographs Triples",$B2289="Autographs Quads",$B2289="Autographs Quads (Inscribed)")),IF($B2289="Autographs Duals",2,IF($B2289="Autographs Triples",3,4)),1)))</f>
        <v>0</v>
      </c>
      <c r="AB2289" s="62">
        <f t="shared" si="466"/>
        <v>0</v>
      </c>
      <c r="AC2289" s="62">
        <f t="shared" si="467"/>
        <v>0</v>
      </c>
    </row>
    <row r="2290" spans="1:29" ht="30" customHeight="1" x14ac:dyDescent="0.25">
      <c r="A2290" s="4" t="s">
        <v>37</v>
      </c>
      <c r="B2290" s="7" t="s">
        <v>794</v>
      </c>
      <c r="C2290" s="2" t="s">
        <v>306</v>
      </c>
      <c r="D2290" s="7" t="s">
        <v>222</v>
      </c>
      <c r="E2290" s="4" t="s">
        <v>829</v>
      </c>
      <c r="F2290" s="2">
        <v>4</v>
      </c>
      <c r="G2290" s="2" t="s">
        <v>1400</v>
      </c>
      <c r="H2290" s="2" t="s">
        <v>1399</v>
      </c>
      <c r="I2290" s="4" t="s">
        <v>68</v>
      </c>
      <c r="J2290" s="112">
        <f>IF($H2290&lt;&gt;"Y",0,ROUND(MIN(Dashboard!$R$24,IF(IFERROR(VLOOKUP($B2290,Dashboard!$Q$28:$S$60,2,FALSE),0)&gt;0,IFERROR(VLOOKUP($B2290,Dashboard!$Q$28:$S$60,2,FALSE),0),$Z2290*IF($U2290&lt;&gt;"",ROUND((Dashboard!$R$4/$U2290)*VLOOKUP($I2290,Dashboard!$Q$9:$R$13,2,FALSE)*IF(ISNUMBER(SEARCH("Duals",$B2290)),2,IF(ISNUMBER(SEARCH("Triples",$B2290)),3,IF(ISNUMBER(SEARCH("Quads",$B2290)),4,1))),2),ROUND(VLOOKUP($I2290,Dashboard!$Q$15:$R$20,2,FALSE)*IF($E2290="Red",Dashboard!$R$6,IF($E2290="Gold",Dashboard!$R$7,Dashboard!$R$5))*IF(ISNUMBER(SEARCH("Duals",$B2290)),2,IF(ISNUMBER(SEARCH("Triples",$B2290)),3,IF(ISNUMBER(SEARCH("Quads",$B2290)),4,1))),2))*IF(IFERROR(VLOOKUP($B2290,Dashboard!$Q$28:$S$60,3,FALSE),0)&gt;0,VLOOKUP($B2290,Dashboard!$Q$28:$S$60,3,FALSE),1))),0))</f>
        <v>0</v>
      </c>
      <c r="K2290" s="2" t="str">
        <f>IF('Autos - Singles'!I59="","",'Autos - Singles'!I59)</f>
        <v/>
      </c>
      <c r="L2290" s="2">
        <f t="shared" si="455"/>
        <v>0</v>
      </c>
      <c r="M2290" s="2">
        <f t="shared" si="456"/>
        <v>0</v>
      </c>
      <c r="N2290" s="2">
        <f t="shared" si="457"/>
        <v>0</v>
      </c>
      <c r="O2290" s="2">
        <f t="shared" si="458"/>
        <v>0</v>
      </c>
      <c r="P2290" s="112">
        <f t="shared" si="459"/>
        <v>0</v>
      </c>
      <c r="Q2290" s="112">
        <f t="shared" si="460"/>
        <v>0</v>
      </c>
      <c r="R2290" s="53"/>
      <c r="S2290" s="53" t="str">
        <f t="shared" si="461"/>
        <v>Autos - Singles|Autographs Printing Plates Parallel|A-SR|Printing Plate</v>
      </c>
      <c r="T2290" s="57" t="str">
        <f>IF($S2290="","",IFERROR(VLOOKUP($S2290,'Pop Estimates (Non-#d)'!$N$2:$O$500,2,FALSE),""))</f>
        <v/>
      </c>
      <c r="U2290" s="57">
        <f t="shared" si="462"/>
        <v>4</v>
      </c>
      <c r="V2290" s="53" t="str">
        <f t="shared" si="463"/>
        <v>Homelander</v>
      </c>
      <c r="W2290" s="53" t="str">
        <f t="shared" si="464"/>
        <v>Homelander</v>
      </c>
      <c r="X2290" s="53" t="str">
        <f t="shared" si="465"/>
        <v>Homelander</v>
      </c>
      <c r="Y2290" s="57">
        <f>IF($X2290="","",IFERROR(VLOOKUP($X2290,'Char Popularity'!$A$2:$C$500,2,FALSE),""))</f>
        <v>5</v>
      </c>
      <c r="Z2290" s="56">
        <f>IF($X2290="",1,IFERROR(VLOOKUP($X2290,'Char Popularity'!$A$2:$C$500,3,FALSE),1))</f>
        <v>1.2</v>
      </c>
      <c r="AA2290" s="62">
        <f>IF($H2290&lt;&gt;"Y",0,(IF($F2290&lt;&gt;"",ROUND(Dashboard!$R$4/$F2290,1),IF(AND($I2290="Base",$E2290="Base"),Dashboard!$R$5,IF(AND($I2290="Base",$E2290="Red"),Dashboard!$R$6,IF(AND($I2290="Base",$E2290="Gold"),Dashboard!$R$7,VLOOKUP($I2290,Dashboard!$Q$16:$R$21,2,FALSE)))))*VLOOKUP($I2290,Dashboard!$Q$9:$R$13,2,FALSE)*IF(AND($I2290="Auto",$F2290="",OR($B2290="Autographs Duals",$B2290="Autographs Triples",$B2290="Autographs Quads",$B2290="Autographs Quads (Inscribed)")),IF($B2290="Autographs Duals",2,IF($B2290="Autographs Triples",3,4)),1)))</f>
        <v>0</v>
      </c>
      <c r="AB2290" s="62">
        <f t="shared" si="466"/>
        <v>0</v>
      </c>
      <c r="AC2290" s="62">
        <f t="shared" si="467"/>
        <v>0</v>
      </c>
    </row>
    <row r="2291" spans="1:29" ht="30" customHeight="1" x14ac:dyDescent="0.25">
      <c r="A2291" s="4" t="s">
        <v>37</v>
      </c>
      <c r="B2291" s="7" t="s">
        <v>794</v>
      </c>
      <c r="C2291" s="2" t="s">
        <v>307</v>
      </c>
      <c r="D2291" s="7" t="s">
        <v>308</v>
      </c>
      <c r="E2291" s="4" t="s">
        <v>829</v>
      </c>
      <c r="F2291" s="2">
        <v>4</v>
      </c>
      <c r="G2291" s="2" t="s">
        <v>1400</v>
      </c>
      <c r="H2291" s="2" t="s">
        <v>1399</v>
      </c>
      <c r="I2291" s="4" t="s">
        <v>68</v>
      </c>
      <c r="J2291" s="112">
        <f>IF($H2291&lt;&gt;"Y",0,ROUND(MIN(Dashboard!$R$24,IF(IFERROR(VLOOKUP($B2291,Dashboard!$Q$28:$S$60,2,FALSE),0)&gt;0,IFERROR(VLOOKUP($B2291,Dashboard!$Q$28:$S$60,2,FALSE),0),$Z2291*IF($U2291&lt;&gt;"",ROUND((Dashboard!$R$4/$U2291)*VLOOKUP($I2291,Dashboard!$Q$9:$R$13,2,FALSE)*IF(ISNUMBER(SEARCH("Duals",$B2291)),2,IF(ISNUMBER(SEARCH("Triples",$B2291)),3,IF(ISNUMBER(SEARCH("Quads",$B2291)),4,1))),2),ROUND(VLOOKUP($I2291,Dashboard!$Q$15:$R$20,2,FALSE)*IF($E2291="Red",Dashboard!$R$6,IF($E2291="Gold",Dashboard!$R$7,Dashboard!$R$5))*IF(ISNUMBER(SEARCH("Duals",$B2291)),2,IF(ISNUMBER(SEARCH("Triples",$B2291)),3,IF(ISNUMBER(SEARCH("Quads",$B2291)),4,1))),2))*IF(IFERROR(VLOOKUP($B2291,Dashboard!$Q$28:$S$60,3,FALSE),0)&gt;0,VLOOKUP($B2291,Dashboard!$Q$28:$S$60,3,FALSE),1))),0))</f>
        <v>0</v>
      </c>
      <c r="K2291" s="2" t="str">
        <f>IF('Autos - Singles'!I60="","",'Autos - Singles'!I60)</f>
        <v/>
      </c>
      <c r="L2291" s="2">
        <f t="shared" si="455"/>
        <v>0</v>
      </c>
      <c r="M2291" s="2">
        <f t="shared" si="456"/>
        <v>0</v>
      </c>
      <c r="N2291" s="2">
        <f t="shared" si="457"/>
        <v>0</v>
      </c>
      <c r="O2291" s="2">
        <f t="shared" si="458"/>
        <v>0</v>
      </c>
      <c r="P2291" s="112">
        <f t="shared" si="459"/>
        <v>0</v>
      </c>
      <c r="Q2291" s="112">
        <f t="shared" si="460"/>
        <v>0</v>
      </c>
      <c r="R2291" s="53"/>
      <c r="S2291" s="53" t="str">
        <f t="shared" si="461"/>
        <v>Autos - Singles|Autographs Printing Plates Parallel|A-SS|Printing Plate</v>
      </c>
      <c r="T2291" s="57" t="str">
        <f>IF($S2291="","",IFERROR(VLOOKUP($S2291,'Pop Estimates (Non-#d)'!$N$2:$O$500,2,FALSE),""))</f>
        <v/>
      </c>
      <c r="U2291" s="57">
        <f t="shared" si="462"/>
        <v>4</v>
      </c>
      <c r="V2291" s="53" t="str">
        <f t="shared" si="463"/>
        <v>Becca Butcher</v>
      </c>
      <c r="W2291" s="53" t="str">
        <f t="shared" si="464"/>
        <v>Becca Butcher</v>
      </c>
      <c r="X2291" s="53" t="str">
        <f t="shared" si="465"/>
        <v>Becca Butcher</v>
      </c>
      <c r="Y2291" s="57">
        <f>IF($X2291="","",IFERROR(VLOOKUP($X2291,'Char Popularity'!$A$2:$C$500,2,FALSE),""))</f>
        <v>3</v>
      </c>
      <c r="Z2291" s="56">
        <f>IF($X2291="",1,IFERROR(VLOOKUP($X2291,'Char Popularity'!$A$2:$C$500,3,FALSE),1))</f>
        <v>1</v>
      </c>
      <c r="AA2291" s="62">
        <f>IF($H2291&lt;&gt;"Y",0,(IF($F2291&lt;&gt;"",ROUND(Dashboard!$R$4/$F2291,1),IF(AND($I2291="Base",$E2291="Base"),Dashboard!$R$5,IF(AND($I2291="Base",$E2291="Red"),Dashboard!$R$6,IF(AND($I2291="Base",$E2291="Gold"),Dashboard!$R$7,VLOOKUP($I2291,Dashboard!$Q$16:$R$21,2,FALSE)))))*VLOOKUP($I2291,Dashboard!$Q$9:$R$13,2,FALSE)*IF(AND($I2291="Auto",$F2291="",OR($B2291="Autographs Duals",$B2291="Autographs Triples",$B2291="Autographs Quads",$B2291="Autographs Quads (Inscribed)")),IF($B2291="Autographs Duals",2,IF($B2291="Autographs Triples",3,4)),1)))</f>
        <v>0</v>
      </c>
      <c r="AB2291" s="62">
        <f t="shared" si="466"/>
        <v>0</v>
      </c>
      <c r="AC2291" s="62">
        <f t="shared" si="467"/>
        <v>0</v>
      </c>
    </row>
    <row r="2292" spans="1:29" ht="30" customHeight="1" x14ac:dyDescent="0.25">
      <c r="A2292" s="4" t="s">
        <v>37</v>
      </c>
      <c r="B2292" s="7" t="s">
        <v>794</v>
      </c>
      <c r="C2292" s="2" t="s">
        <v>309</v>
      </c>
      <c r="D2292" s="7" t="s">
        <v>222</v>
      </c>
      <c r="E2292" s="4" t="s">
        <v>829</v>
      </c>
      <c r="F2292" s="2">
        <v>4</v>
      </c>
      <c r="G2292" s="2" t="s">
        <v>1400</v>
      </c>
      <c r="H2292" s="2" t="s">
        <v>1399</v>
      </c>
      <c r="I2292" s="4" t="s">
        <v>68</v>
      </c>
      <c r="J2292" s="112">
        <f>IF($H2292&lt;&gt;"Y",0,ROUND(MIN(Dashboard!$R$24,IF(IFERROR(VLOOKUP($B2292,Dashboard!$Q$28:$S$60,2,FALSE),0)&gt;0,IFERROR(VLOOKUP($B2292,Dashboard!$Q$28:$S$60,2,FALSE),0),$Z2292*IF($U2292&lt;&gt;"",ROUND((Dashboard!$R$4/$U2292)*VLOOKUP($I2292,Dashboard!$Q$9:$R$13,2,FALSE)*IF(ISNUMBER(SEARCH("Duals",$B2292)),2,IF(ISNUMBER(SEARCH("Triples",$B2292)),3,IF(ISNUMBER(SEARCH("Quads",$B2292)),4,1))),2),ROUND(VLOOKUP($I2292,Dashboard!$Q$15:$R$20,2,FALSE)*IF($E2292="Red",Dashboard!$R$6,IF($E2292="Gold",Dashboard!$R$7,Dashboard!$R$5))*IF(ISNUMBER(SEARCH("Duals",$B2292)),2,IF(ISNUMBER(SEARCH("Triples",$B2292)),3,IF(ISNUMBER(SEARCH("Quads",$B2292)),4,1))),2))*IF(IFERROR(VLOOKUP($B2292,Dashboard!$Q$28:$S$60,3,FALSE),0)&gt;0,VLOOKUP($B2292,Dashboard!$Q$28:$S$60,3,FALSE),1))),0))</f>
        <v>0</v>
      </c>
      <c r="K2292" s="2" t="str">
        <f>IF('Autos - Singles'!I61="","",'Autos - Singles'!I61)</f>
        <v/>
      </c>
      <c r="L2292" s="2">
        <f t="shared" si="455"/>
        <v>0</v>
      </c>
      <c r="M2292" s="2">
        <f t="shared" si="456"/>
        <v>0</v>
      </c>
      <c r="N2292" s="2">
        <f t="shared" si="457"/>
        <v>0</v>
      </c>
      <c r="O2292" s="2">
        <f t="shared" si="458"/>
        <v>0</v>
      </c>
      <c r="P2292" s="112">
        <f t="shared" si="459"/>
        <v>0</v>
      </c>
      <c r="Q2292" s="112">
        <f t="shared" si="460"/>
        <v>0</v>
      </c>
      <c r="R2292" s="53"/>
      <c r="S2292" s="53" t="str">
        <f t="shared" si="461"/>
        <v>Autos - Singles|Autographs Printing Plates Parallel|A-ST|Printing Plate</v>
      </c>
      <c r="T2292" s="57" t="str">
        <f>IF($S2292="","",IFERROR(VLOOKUP($S2292,'Pop Estimates (Non-#d)'!$N$2:$O$500,2,FALSE),""))</f>
        <v/>
      </c>
      <c r="U2292" s="57">
        <f t="shared" si="462"/>
        <v>4</v>
      </c>
      <c r="V2292" s="53" t="str">
        <f t="shared" si="463"/>
        <v>Homelander</v>
      </c>
      <c r="W2292" s="53" t="str">
        <f t="shared" si="464"/>
        <v>Homelander</v>
      </c>
      <c r="X2292" s="53" t="str">
        <f t="shared" si="465"/>
        <v>Homelander</v>
      </c>
      <c r="Y2292" s="57">
        <f>IF($X2292="","",IFERROR(VLOOKUP($X2292,'Char Popularity'!$A$2:$C$500,2,FALSE),""))</f>
        <v>5</v>
      </c>
      <c r="Z2292" s="56">
        <f>IF($X2292="",1,IFERROR(VLOOKUP($X2292,'Char Popularity'!$A$2:$C$500,3,FALSE),1))</f>
        <v>1.2</v>
      </c>
      <c r="AA2292" s="62">
        <f>IF($H2292&lt;&gt;"Y",0,(IF($F2292&lt;&gt;"",ROUND(Dashboard!$R$4/$F2292,1),IF(AND($I2292="Base",$E2292="Base"),Dashboard!$R$5,IF(AND($I2292="Base",$E2292="Red"),Dashboard!$R$6,IF(AND($I2292="Base",$E2292="Gold"),Dashboard!$R$7,VLOOKUP($I2292,Dashboard!$Q$16:$R$21,2,FALSE)))))*VLOOKUP($I2292,Dashboard!$Q$9:$R$13,2,FALSE)*IF(AND($I2292="Auto",$F2292="",OR($B2292="Autographs Duals",$B2292="Autographs Triples",$B2292="Autographs Quads",$B2292="Autographs Quads (Inscribed)")),IF($B2292="Autographs Duals",2,IF($B2292="Autographs Triples",3,4)),1)))</f>
        <v>0</v>
      </c>
      <c r="AB2292" s="62">
        <f t="shared" si="466"/>
        <v>0</v>
      </c>
      <c r="AC2292" s="62">
        <f t="shared" si="467"/>
        <v>0</v>
      </c>
    </row>
    <row r="2293" spans="1:29" ht="30" customHeight="1" x14ac:dyDescent="0.25">
      <c r="A2293" s="4" t="s">
        <v>37</v>
      </c>
      <c r="B2293" s="7" t="s">
        <v>794</v>
      </c>
      <c r="C2293" s="2" t="s">
        <v>310</v>
      </c>
      <c r="D2293" s="7" t="s">
        <v>308</v>
      </c>
      <c r="E2293" s="4" t="s">
        <v>829</v>
      </c>
      <c r="F2293" s="2">
        <v>4</v>
      </c>
      <c r="G2293" s="2" t="s">
        <v>1400</v>
      </c>
      <c r="H2293" s="2" t="s">
        <v>1399</v>
      </c>
      <c r="I2293" s="4" t="s">
        <v>68</v>
      </c>
      <c r="J2293" s="112">
        <f>IF($H2293&lt;&gt;"Y",0,ROUND(MIN(Dashboard!$R$24,IF(IFERROR(VLOOKUP($B2293,Dashboard!$Q$28:$S$60,2,FALSE),0)&gt;0,IFERROR(VLOOKUP($B2293,Dashboard!$Q$28:$S$60,2,FALSE),0),$Z2293*IF($U2293&lt;&gt;"",ROUND((Dashboard!$R$4/$U2293)*VLOOKUP($I2293,Dashboard!$Q$9:$R$13,2,FALSE)*IF(ISNUMBER(SEARCH("Duals",$B2293)),2,IF(ISNUMBER(SEARCH("Triples",$B2293)),3,IF(ISNUMBER(SEARCH("Quads",$B2293)),4,1))),2),ROUND(VLOOKUP($I2293,Dashboard!$Q$15:$R$20,2,FALSE)*IF($E2293="Red",Dashboard!$R$6,IF($E2293="Gold",Dashboard!$R$7,Dashboard!$R$5))*IF(ISNUMBER(SEARCH("Duals",$B2293)),2,IF(ISNUMBER(SEARCH("Triples",$B2293)),3,IF(ISNUMBER(SEARCH("Quads",$B2293)),4,1))),2))*IF(IFERROR(VLOOKUP($B2293,Dashboard!$Q$28:$S$60,3,FALSE),0)&gt;0,VLOOKUP($B2293,Dashboard!$Q$28:$S$60,3,FALSE),1))),0))</f>
        <v>0</v>
      </c>
      <c r="K2293" s="2" t="str">
        <f>IF('Autos - Singles'!I62="","",'Autos - Singles'!I62)</f>
        <v/>
      </c>
      <c r="L2293" s="2">
        <f t="shared" si="455"/>
        <v>0</v>
      </c>
      <c r="M2293" s="2">
        <f t="shared" si="456"/>
        <v>0</v>
      </c>
      <c r="N2293" s="2">
        <f t="shared" si="457"/>
        <v>0</v>
      </c>
      <c r="O2293" s="2">
        <f t="shared" si="458"/>
        <v>0</v>
      </c>
      <c r="P2293" s="112">
        <f t="shared" si="459"/>
        <v>0</v>
      </c>
      <c r="Q2293" s="112">
        <f t="shared" si="460"/>
        <v>0</v>
      </c>
      <c r="R2293" s="53"/>
      <c r="S2293" s="53" t="str">
        <f t="shared" si="461"/>
        <v>Autos - Singles|Autographs Printing Plates Parallel|A-SV|Printing Plate</v>
      </c>
      <c r="T2293" s="57" t="str">
        <f>IF($S2293="","",IFERROR(VLOOKUP($S2293,'Pop Estimates (Non-#d)'!$N$2:$O$500,2,FALSE),""))</f>
        <v/>
      </c>
      <c r="U2293" s="57">
        <f t="shared" si="462"/>
        <v>4</v>
      </c>
      <c r="V2293" s="53" t="str">
        <f t="shared" si="463"/>
        <v>Becca Butcher</v>
      </c>
      <c r="W2293" s="53" t="str">
        <f t="shared" si="464"/>
        <v>Becca Butcher</v>
      </c>
      <c r="X2293" s="53" t="str">
        <f t="shared" si="465"/>
        <v>Becca Butcher</v>
      </c>
      <c r="Y2293" s="57">
        <f>IF($X2293="","",IFERROR(VLOOKUP($X2293,'Char Popularity'!$A$2:$C$500,2,FALSE),""))</f>
        <v>3</v>
      </c>
      <c r="Z2293" s="56">
        <f>IF($X2293="",1,IFERROR(VLOOKUP($X2293,'Char Popularity'!$A$2:$C$500,3,FALSE),1))</f>
        <v>1</v>
      </c>
      <c r="AA2293" s="62">
        <f>IF($H2293&lt;&gt;"Y",0,(IF($F2293&lt;&gt;"",ROUND(Dashboard!$R$4/$F2293,1),IF(AND($I2293="Base",$E2293="Base"),Dashboard!$R$5,IF(AND($I2293="Base",$E2293="Red"),Dashboard!$R$6,IF(AND($I2293="Base",$E2293="Gold"),Dashboard!$R$7,VLOOKUP($I2293,Dashboard!$Q$16:$R$21,2,FALSE)))))*VLOOKUP($I2293,Dashboard!$Q$9:$R$13,2,FALSE)*IF(AND($I2293="Auto",$F2293="",OR($B2293="Autographs Duals",$B2293="Autographs Triples",$B2293="Autographs Quads",$B2293="Autographs Quads (Inscribed)")),IF($B2293="Autographs Duals",2,IF($B2293="Autographs Triples",3,4)),1)))</f>
        <v>0</v>
      </c>
      <c r="AB2293" s="62">
        <f t="shared" si="466"/>
        <v>0</v>
      </c>
      <c r="AC2293" s="62">
        <f t="shared" si="467"/>
        <v>0</v>
      </c>
    </row>
    <row r="2294" spans="1:29" ht="30" customHeight="1" x14ac:dyDescent="0.25">
      <c r="A2294" s="4" t="s">
        <v>37</v>
      </c>
      <c r="B2294" s="7" t="s">
        <v>794</v>
      </c>
      <c r="C2294" s="2" t="s">
        <v>311</v>
      </c>
      <c r="D2294" s="7" t="s">
        <v>288</v>
      </c>
      <c r="E2294" s="4" t="s">
        <v>829</v>
      </c>
      <c r="F2294" s="2">
        <v>4</v>
      </c>
      <c r="G2294" s="2" t="s">
        <v>1400</v>
      </c>
      <c r="H2294" s="2" t="s">
        <v>1399</v>
      </c>
      <c r="I2294" s="4" t="s">
        <v>68</v>
      </c>
      <c r="J2294" s="112">
        <f>IF($H2294&lt;&gt;"Y",0,ROUND(MIN(Dashboard!$R$24,IF(IFERROR(VLOOKUP($B2294,Dashboard!$Q$28:$S$60,2,FALSE),0)&gt;0,IFERROR(VLOOKUP($B2294,Dashboard!$Q$28:$S$60,2,FALSE),0),$Z2294*IF($U2294&lt;&gt;"",ROUND((Dashboard!$R$4/$U2294)*VLOOKUP($I2294,Dashboard!$Q$9:$R$13,2,FALSE)*IF(ISNUMBER(SEARCH("Duals",$B2294)),2,IF(ISNUMBER(SEARCH("Triples",$B2294)),3,IF(ISNUMBER(SEARCH("Quads",$B2294)),4,1))),2),ROUND(VLOOKUP($I2294,Dashboard!$Q$15:$R$20,2,FALSE)*IF($E2294="Red",Dashboard!$R$6,IF($E2294="Gold",Dashboard!$R$7,Dashboard!$R$5))*IF(ISNUMBER(SEARCH("Duals",$B2294)),2,IF(ISNUMBER(SEARCH("Triples",$B2294)),3,IF(ISNUMBER(SEARCH("Quads",$B2294)),4,1))),2))*IF(IFERROR(VLOOKUP($B2294,Dashboard!$Q$28:$S$60,3,FALSE),0)&gt;0,VLOOKUP($B2294,Dashboard!$Q$28:$S$60,3,FALSE),1))),0))</f>
        <v>0</v>
      </c>
      <c r="K2294" s="2" t="str">
        <f>IF('Autos - Singles'!I63="","",'Autos - Singles'!I63)</f>
        <v/>
      </c>
      <c r="L2294" s="2">
        <f t="shared" si="455"/>
        <v>0</v>
      </c>
      <c r="M2294" s="2">
        <f t="shared" si="456"/>
        <v>0</v>
      </c>
      <c r="N2294" s="2">
        <f t="shared" si="457"/>
        <v>0</v>
      </c>
      <c r="O2294" s="2">
        <f t="shared" si="458"/>
        <v>0</v>
      </c>
      <c r="P2294" s="112">
        <f t="shared" si="459"/>
        <v>0</v>
      </c>
      <c r="Q2294" s="112">
        <f t="shared" si="460"/>
        <v>0</v>
      </c>
      <c r="R2294" s="53"/>
      <c r="S2294" s="53" t="str">
        <f t="shared" si="461"/>
        <v>Autos - Singles|Autographs Printing Plates Parallel|A-TB|Printing Plate</v>
      </c>
      <c r="T2294" s="57" t="str">
        <f>IF($S2294="","",IFERROR(VLOOKUP($S2294,'Pop Estimates (Non-#d)'!$N$2:$O$500,2,FALSE),""))</f>
        <v/>
      </c>
      <c r="U2294" s="57">
        <f t="shared" si="462"/>
        <v>4</v>
      </c>
      <c r="V2294" s="53" t="str">
        <f t="shared" si="463"/>
        <v>Shockwave</v>
      </c>
      <c r="W2294" s="53" t="str">
        <f t="shared" si="464"/>
        <v>Shockwave</v>
      </c>
      <c r="X2294" s="53" t="str">
        <f t="shared" si="465"/>
        <v>Shockwave</v>
      </c>
      <c r="Y2294" s="57">
        <f>IF($X2294="","",IFERROR(VLOOKUP($X2294,'Char Popularity'!$A$2:$C$500,2,FALSE),""))</f>
        <v>2</v>
      </c>
      <c r="Z2294" s="56">
        <f>IF($X2294="",1,IFERROR(VLOOKUP($X2294,'Char Popularity'!$A$2:$C$500,3,FALSE),1))</f>
        <v>0.9</v>
      </c>
      <c r="AA2294" s="62">
        <f>IF($H2294&lt;&gt;"Y",0,(IF($F2294&lt;&gt;"",ROUND(Dashboard!$R$4/$F2294,1),IF(AND($I2294="Base",$E2294="Base"),Dashboard!$R$5,IF(AND($I2294="Base",$E2294="Red"),Dashboard!$R$6,IF(AND($I2294="Base",$E2294="Gold"),Dashboard!$R$7,VLOOKUP($I2294,Dashboard!$Q$16:$R$21,2,FALSE)))))*VLOOKUP($I2294,Dashboard!$Q$9:$R$13,2,FALSE)*IF(AND($I2294="Auto",$F2294="",OR($B2294="Autographs Duals",$B2294="Autographs Triples",$B2294="Autographs Quads",$B2294="Autographs Quads (Inscribed)")),IF($B2294="Autographs Duals",2,IF($B2294="Autographs Triples",3,4)),1)))</f>
        <v>0</v>
      </c>
      <c r="AB2294" s="62">
        <f t="shared" si="466"/>
        <v>0</v>
      </c>
      <c r="AC2294" s="62">
        <f t="shared" si="467"/>
        <v>0</v>
      </c>
    </row>
    <row r="2295" spans="1:29" ht="30" customHeight="1" x14ac:dyDescent="0.25">
      <c r="A2295" s="4" t="s">
        <v>37</v>
      </c>
      <c r="B2295" s="7" t="s">
        <v>794</v>
      </c>
      <c r="C2295" s="2" t="s">
        <v>312</v>
      </c>
      <c r="D2295" s="7" t="s">
        <v>238</v>
      </c>
      <c r="E2295" s="4" t="s">
        <v>829</v>
      </c>
      <c r="F2295" s="2">
        <v>4</v>
      </c>
      <c r="G2295" s="2" t="s">
        <v>1400</v>
      </c>
      <c r="H2295" s="2" t="s">
        <v>1399</v>
      </c>
      <c r="I2295" s="4" t="s">
        <v>68</v>
      </c>
      <c r="J2295" s="112">
        <f>IF($H2295&lt;&gt;"Y",0,ROUND(MIN(Dashboard!$R$24,IF(IFERROR(VLOOKUP($B2295,Dashboard!$Q$28:$S$60,2,FALSE),0)&gt;0,IFERROR(VLOOKUP($B2295,Dashboard!$Q$28:$S$60,2,FALSE),0),$Z2295*IF($U2295&lt;&gt;"",ROUND((Dashboard!$R$4/$U2295)*VLOOKUP($I2295,Dashboard!$Q$9:$R$13,2,FALSE)*IF(ISNUMBER(SEARCH("Duals",$B2295)),2,IF(ISNUMBER(SEARCH("Triples",$B2295)),3,IF(ISNUMBER(SEARCH("Quads",$B2295)),4,1))),2),ROUND(VLOOKUP($I2295,Dashboard!$Q$15:$R$20,2,FALSE)*IF($E2295="Red",Dashboard!$R$6,IF($E2295="Gold",Dashboard!$R$7,Dashboard!$R$5))*IF(ISNUMBER(SEARCH("Duals",$B2295)),2,IF(ISNUMBER(SEARCH("Triples",$B2295)),3,IF(ISNUMBER(SEARCH("Quads",$B2295)),4,1))),2))*IF(IFERROR(VLOOKUP($B2295,Dashboard!$Q$28:$S$60,3,FALSE),0)&gt;0,VLOOKUP($B2295,Dashboard!$Q$28:$S$60,3,FALSE),1))),0))</f>
        <v>0</v>
      </c>
      <c r="K2295" s="2" t="str">
        <f>IF('Autos - Singles'!I64="","",'Autos - Singles'!I64)</f>
        <v/>
      </c>
      <c r="L2295" s="2">
        <f t="shared" si="455"/>
        <v>0</v>
      </c>
      <c r="M2295" s="2">
        <f t="shared" si="456"/>
        <v>0</v>
      </c>
      <c r="N2295" s="2">
        <f t="shared" si="457"/>
        <v>0</v>
      </c>
      <c r="O2295" s="2">
        <f t="shared" si="458"/>
        <v>0</v>
      </c>
      <c r="P2295" s="112">
        <f t="shared" si="459"/>
        <v>0</v>
      </c>
      <c r="Q2295" s="112">
        <f t="shared" si="460"/>
        <v>0</v>
      </c>
      <c r="R2295" s="53"/>
      <c r="S2295" s="53" t="str">
        <f t="shared" si="461"/>
        <v>Autos - Singles|Autographs Printing Plates Parallel|A-TC|Printing Plate</v>
      </c>
      <c r="T2295" s="57" t="str">
        <f>IF($S2295="","",IFERROR(VLOOKUP($S2295,'Pop Estimates (Non-#d)'!$N$2:$O$500,2,FALSE),""))</f>
        <v/>
      </c>
      <c r="U2295" s="57">
        <f t="shared" si="462"/>
        <v>4</v>
      </c>
      <c r="V2295" s="53" t="str">
        <f t="shared" si="463"/>
        <v>Frenchie</v>
      </c>
      <c r="W2295" s="53" t="str">
        <f t="shared" si="464"/>
        <v>Frenchie</v>
      </c>
      <c r="X2295" s="53" t="str">
        <f t="shared" si="465"/>
        <v>Frenchie</v>
      </c>
      <c r="Y2295" s="57">
        <f>IF($X2295="","",IFERROR(VLOOKUP($X2295,'Char Popularity'!$A$2:$C$500,2,FALSE),""))</f>
        <v>4</v>
      </c>
      <c r="Z2295" s="56">
        <f>IF($X2295="",1,IFERROR(VLOOKUP($X2295,'Char Popularity'!$A$2:$C$500,3,FALSE),1))</f>
        <v>1.1000000000000001</v>
      </c>
      <c r="AA2295" s="62">
        <f>IF($H2295&lt;&gt;"Y",0,(IF($F2295&lt;&gt;"",ROUND(Dashboard!$R$4/$F2295,1),IF(AND($I2295="Base",$E2295="Base"),Dashboard!$R$5,IF(AND($I2295="Base",$E2295="Red"),Dashboard!$R$6,IF(AND($I2295="Base",$E2295="Gold"),Dashboard!$R$7,VLOOKUP($I2295,Dashboard!$Q$16:$R$21,2,FALSE)))))*VLOOKUP($I2295,Dashboard!$Q$9:$R$13,2,FALSE)*IF(AND($I2295="Auto",$F2295="",OR($B2295="Autographs Duals",$B2295="Autographs Triples",$B2295="Autographs Quads",$B2295="Autographs Quads (Inscribed)")),IF($B2295="Autographs Duals",2,IF($B2295="Autographs Triples",3,4)),1)))</f>
        <v>0</v>
      </c>
      <c r="AB2295" s="62">
        <f t="shared" si="466"/>
        <v>0</v>
      </c>
      <c r="AC2295" s="62">
        <f t="shared" si="467"/>
        <v>0</v>
      </c>
    </row>
    <row r="2296" spans="1:29" ht="30" customHeight="1" x14ac:dyDescent="0.25">
      <c r="A2296" s="4" t="s">
        <v>37</v>
      </c>
      <c r="B2296" s="7" t="s">
        <v>794</v>
      </c>
      <c r="C2296" s="2" t="s">
        <v>314</v>
      </c>
      <c r="D2296" s="7" t="s">
        <v>276</v>
      </c>
      <c r="E2296" s="4" t="s">
        <v>829</v>
      </c>
      <c r="F2296" s="2">
        <v>4</v>
      </c>
      <c r="G2296" s="2" t="s">
        <v>1400</v>
      </c>
      <c r="H2296" s="2" t="s">
        <v>1399</v>
      </c>
      <c r="I2296" s="4" t="s">
        <v>68</v>
      </c>
      <c r="J2296" s="112">
        <f>IF($H2296&lt;&gt;"Y",0,ROUND(MIN(Dashboard!$R$24,IF(IFERROR(VLOOKUP($B2296,Dashboard!$Q$28:$S$60,2,FALSE),0)&gt;0,IFERROR(VLOOKUP($B2296,Dashboard!$Q$28:$S$60,2,FALSE),0),$Z2296*IF($U2296&lt;&gt;"",ROUND((Dashboard!$R$4/$U2296)*VLOOKUP($I2296,Dashboard!$Q$9:$R$13,2,FALSE)*IF(ISNUMBER(SEARCH("Duals",$B2296)),2,IF(ISNUMBER(SEARCH("Triples",$B2296)),3,IF(ISNUMBER(SEARCH("Quads",$B2296)),4,1))),2),ROUND(VLOOKUP($I2296,Dashboard!$Q$15:$R$20,2,FALSE)*IF($E2296="Red",Dashboard!$R$6,IF($E2296="Gold",Dashboard!$R$7,Dashboard!$R$5))*IF(ISNUMBER(SEARCH("Duals",$B2296)),2,IF(ISNUMBER(SEARCH("Triples",$B2296)),3,IF(ISNUMBER(SEARCH("Quads",$B2296)),4,1))),2))*IF(IFERROR(VLOOKUP($B2296,Dashboard!$Q$28:$S$60,3,FALSE),0)&gt;0,VLOOKUP($B2296,Dashboard!$Q$28:$S$60,3,FALSE),1))),0))</f>
        <v>0</v>
      </c>
      <c r="K2296" s="2" t="str">
        <f>IF('Autos - Singles'!I66="","",'Autos - Singles'!I66)</f>
        <v/>
      </c>
      <c r="L2296" s="2">
        <f t="shared" si="455"/>
        <v>0</v>
      </c>
      <c r="M2296" s="2">
        <f t="shared" si="456"/>
        <v>0</v>
      </c>
      <c r="N2296" s="2">
        <f t="shared" si="457"/>
        <v>0</v>
      </c>
      <c r="O2296" s="2">
        <f t="shared" si="458"/>
        <v>0</v>
      </c>
      <c r="P2296" s="112">
        <f t="shared" si="459"/>
        <v>0</v>
      </c>
      <c r="Q2296" s="112">
        <f t="shared" si="460"/>
        <v>0</v>
      </c>
      <c r="R2296" s="53"/>
      <c r="S2296" s="53" t="str">
        <f t="shared" si="461"/>
        <v>Autos - Singles|Autographs Printing Plates Parallel|A-ZA|Printing Plate</v>
      </c>
      <c r="T2296" s="57" t="str">
        <f>IF($S2296="","",IFERROR(VLOOKUP($S2296,'Pop Estimates (Non-#d)'!$N$2:$O$500,2,FALSE),""))</f>
        <v/>
      </c>
      <c r="U2296" s="57">
        <f t="shared" si="462"/>
        <v>4</v>
      </c>
      <c r="V2296" s="53" t="str">
        <f t="shared" si="463"/>
        <v>Mother's Milk</v>
      </c>
      <c r="W2296" s="53" t="str">
        <f t="shared" si="464"/>
        <v>Mother's Milk</v>
      </c>
      <c r="X2296" s="53" t="str">
        <f t="shared" si="465"/>
        <v>Mother's Milk</v>
      </c>
      <c r="Y2296" s="57">
        <f>IF($X2296="","",IFERROR(VLOOKUP($X2296,'Char Popularity'!$A$2:$C$500,2,FALSE),""))</f>
        <v>4</v>
      </c>
      <c r="Z2296" s="56">
        <f>IF($X2296="",1,IFERROR(VLOOKUP($X2296,'Char Popularity'!$A$2:$C$500,3,FALSE),1))</f>
        <v>1.1000000000000001</v>
      </c>
      <c r="AA2296" s="62">
        <f>IF($H2296&lt;&gt;"Y",0,(IF($F2296&lt;&gt;"",ROUND(Dashboard!$R$4/$F2296,1),IF(AND($I2296="Base",$E2296="Base"),Dashboard!$R$5,IF(AND($I2296="Base",$E2296="Red"),Dashboard!$R$6,IF(AND($I2296="Base",$E2296="Gold"),Dashboard!$R$7,VLOOKUP($I2296,Dashboard!$Q$16:$R$21,2,FALSE)))))*VLOOKUP($I2296,Dashboard!$Q$9:$R$13,2,FALSE)*IF(AND($I2296="Auto",$F2296="",OR($B2296="Autographs Duals",$B2296="Autographs Triples",$B2296="Autographs Quads",$B2296="Autographs Quads (Inscribed)")),IF($B2296="Autographs Duals",2,IF($B2296="Autographs Triples",3,4)),1)))</f>
        <v>0</v>
      </c>
      <c r="AB2296" s="62">
        <f t="shared" si="466"/>
        <v>0</v>
      </c>
      <c r="AC2296" s="62">
        <f t="shared" si="467"/>
        <v>0</v>
      </c>
    </row>
    <row r="2297" spans="1:29" ht="30" customHeight="1" x14ac:dyDescent="0.25">
      <c r="A2297" s="4" t="s">
        <v>37</v>
      </c>
      <c r="B2297" s="7" t="s">
        <v>794</v>
      </c>
      <c r="C2297" s="2" t="s">
        <v>315</v>
      </c>
      <c r="D2297" s="7" t="s">
        <v>276</v>
      </c>
      <c r="E2297" s="4" t="s">
        <v>829</v>
      </c>
      <c r="F2297" s="2">
        <v>4</v>
      </c>
      <c r="G2297" s="2" t="s">
        <v>1400</v>
      </c>
      <c r="H2297" s="2" t="s">
        <v>1399</v>
      </c>
      <c r="I2297" s="4" t="s">
        <v>68</v>
      </c>
      <c r="J2297" s="112">
        <f>IF($H2297&lt;&gt;"Y",0,ROUND(MIN(Dashboard!$R$24,IF(IFERROR(VLOOKUP($B2297,Dashboard!$Q$28:$S$60,2,FALSE),0)&gt;0,IFERROR(VLOOKUP($B2297,Dashboard!$Q$28:$S$60,2,FALSE),0),$Z2297*IF($U2297&lt;&gt;"",ROUND((Dashboard!$R$4/$U2297)*VLOOKUP($I2297,Dashboard!$Q$9:$R$13,2,FALSE)*IF(ISNUMBER(SEARCH("Duals",$B2297)),2,IF(ISNUMBER(SEARCH("Triples",$B2297)),3,IF(ISNUMBER(SEARCH("Quads",$B2297)),4,1))),2),ROUND(VLOOKUP($I2297,Dashboard!$Q$15:$R$20,2,FALSE)*IF($E2297="Red",Dashboard!$R$6,IF($E2297="Gold",Dashboard!$R$7,Dashboard!$R$5))*IF(ISNUMBER(SEARCH("Duals",$B2297)),2,IF(ISNUMBER(SEARCH("Triples",$B2297)),3,IF(ISNUMBER(SEARCH("Quads",$B2297)),4,1))),2))*IF(IFERROR(VLOOKUP($B2297,Dashboard!$Q$28:$S$60,3,FALSE),0)&gt;0,VLOOKUP($B2297,Dashboard!$Q$28:$S$60,3,FALSE),1))),0))</f>
        <v>0</v>
      </c>
      <c r="K2297" s="2" t="str">
        <f>IF('Autos - Singles'!I67="","",'Autos - Singles'!I67)</f>
        <v/>
      </c>
      <c r="L2297" s="2">
        <f t="shared" si="455"/>
        <v>0</v>
      </c>
      <c r="M2297" s="2">
        <f t="shared" si="456"/>
        <v>0</v>
      </c>
      <c r="N2297" s="2">
        <f t="shared" si="457"/>
        <v>0</v>
      </c>
      <c r="O2297" s="2">
        <f t="shared" si="458"/>
        <v>0</v>
      </c>
      <c r="P2297" s="112">
        <f t="shared" si="459"/>
        <v>0</v>
      </c>
      <c r="Q2297" s="112">
        <f t="shared" si="460"/>
        <v>0</v>
      </c>
      <c r="R2297" s="53"/>
      <c r="S2297" s="53" t="str">
        <f t="shared" si="461"/>
        <v>Autos - Singles|Autographs Printing Plates Parallel|A-ZZ|Printing Plate</v>
      </c>
      <c r="T2297" s="57" t="str">
        <f>IF($S2297="","",IFERROR(VLOOKUP($S2297,'Pop Estimates (Non-#d)'!$N$2:$O$500,2,FALSE),""))</f>
        <v/>
      </c>
      <c r="U2297" s="57">
        <f t="shared" si="462"/>
        <v>4</v>
      </c>
      <c r="V2297" s="53" t="str">
        <f t="shared" si="463"/>
        <v>Mother's Milk</v>
      </c>
      <c r="W2297" s="53" t="str">
        <f t="shared" si="464"/>
        <v>Mother's Milk</v>
      </c>
      <c r="X2297" s="53" t="str">
        <f t="shared" si="465"/>
        <v>Mother's Milk</v>
      </c>
      <c r="Y2297" s="57">
        <f>IF($X2297="","",IFERROR(VLOOKUP($X2297,'Char Popularity'!$A$2:$C$500,2,FALSE),""))</f>
        <v>4</v>
      </c>
      <c r="Z2297" s="56">
        <f>IF($X2297="",1,IFERROR(VLOOKUP($X2297,'Char Popularity'!$A$2:$C$500,3,FALSE),1))</f>
        <v>1.1000000000000001</v>
      </c>
      <c r="AA2297" s="62">
        <f>IF($H2297&lt;&gt;"Y",0,(IF($F2297&lt;&gt;"",ROUND(Dashboard!$R$4/$F2297,1),IF(AND($I2297="Base",$E2297="Base"),Dashboard!$R$5,IF(AND($I2297="Base",$E2297="Red"),Dashboard!$R$6,IF(AND($I2297="Base",$E2297="Gold"),Dashboard!$R$7,VLOOKUP($I2297,Dashboard!$Q$16:$R$21,2,FALSE)))))*VLOOKUP($I2297,Dashboard!$Q$9:$R$13,2,FALSE)*IF(AND($I2297="Auto",$F2297="",OR($B2297="Autographs Duals",$B2297="Autographs Triples",$B2297="Autographs Quads",$B2297="Autographs Quads (Inscribed)")),IF($B2297="Autographs Duals",2,IF($B2297="Autographs Triples",3,4)),1)))</f>
        <v>0</v>
      </c>
      <c r="AB2297" s="62">
        <f t="shared" si="466"/>
        <v>0</v>
      </c>
      <c r="AC2297" s="62">
        <f t="shared" si="467"/>
        <v>0</v>
      </c>
    </row>
    <row r="2298" spans="1:29" ht="30" customHeight="1" x14ac:dyDescent="0.25">
      <c r="A2298" s="4" t="s">
        <v>37</v>
      </c>
      <c r="B2298" s="7" t="s">
        <v>120</v>
      </c>
      <c r="C2298" s="2" t="s">
        <v>227</v>
      </c>
      <c r="D2298" s="7" t="s">
        <v>242</v>
      </c>
      <c r="E2298" s="4" t="s">
        <v>1627</v>
      </c>
      <c r="F2298" s="2">
        <v>4</v>
      </c>
      <c r="G2298" s="2" t="s">
        <v>1400</v>
      </c>
      <c r="H2298" s="2" t="s">
        <v>1399</v>
      </c>
      <c r="I2298" s="4" t="s">
        <v>68</v>
      </c>
      <c r="J2298" s="112">
        <f>IF($H2298&lt;&gt;"Y",0,ROUND(MIN(Dashboard!$R$24,IF(IFERROR(VLOOKUP($B2298,Dashboard!$Q$28:$S$60,2,FALSE),0)&gt;0,IFERROR(VLOOKUP($B2298,Dashboard!$Q$28:$S$60,2,FALSE),0),$Z2298*IF($U2298&lt;&gt;"",ROUND((Dashboard!$R$4/$U2298)*VLOOKUP($I2298,Dashboard!$Q$9:$R$13,2,FALSE)*IF(ISNUMBER(SEARCH("Duals",$B2298)),2,IF(ISNUMBER(SEARCH("Triples",$B2298)),3,IF(ISNUMBER(SEARCH("Quads",$B2298)),4,1))),2),ROUND(VLOOKUP($I2298,Dashboard!$Q$15:$R$20,2,FALSE)*IF($E2298="Red",Dashboard!$R$6,IF($E2298="Gold",Dashboard!$R$7,Dashboard!$R$5))*IF(ISNUMBER(SEARCH("Duals",$B2298)),2,IF(ISNUMBER(SEARCH("Triples",$B2298)),3,IF(ISNUMBER(SEARCH("Quads",$B2298)),4,1))),2))*IF(IFERROR(VLOOKUP($B2298,Dashboard!$Q$28:$S$60,3,FALSE),0)&gt;0,VLOOKUP($B2298,Dashboard!$Q$28:$S$60,3,FALSE),1))),0))</f>
        <v>0</v>
      </c>
      <c r="K2298" s="2" t="str">
        <f>IF('Autos - Singles'!J8="","",'Autos - Singles'!J8)</f>
        <v/>
      </c>
      <c r="L2298" s="2">
        <f t="shared" si="455"/>
        <v>0</v>
      </c>
      <c r="M2298" s="2">
        <f t="shared" si="456"/>
        <v>0</v>
      </c>
      <c r="N2298" s="2">
        <f t="shared" si="457"/>
        <v>0</v>
      </c>
      <c r="O2298" s="2">
        <f t="shared" si="458"/>
        <v>0</v>
      </c>
      <c r="P2298" s="112">
        <f t="shared" si="459"/>
        <v>0</v>
      </c>
      <c r="Q2298" s="112">
        <f t="shared" si="460"/>
        <v>0</v>
      </c>
      <c r="R2298" s="53" t="s">
        <v>1603</v>
      </c>
      <c r="S2298" s="53" t="str">
        <f t="shared" si="461"/>
        <v>Autos - Singles|Autographs Printing Plates Parallel (Inscribed)|A-CA|Printing Plate (Inscribed)</v>
      </c>
      <c r="T2298" s="57" t="str">
        <f>IF($S2298="","",IFERROR(VLOOKUP($S2298,'Pop Estimates (Non-#d)'!$N$2:$O$500,2,FALSE),""))</f>
        <v/>
      </c>
      <c r="U2298" s="57">
        <f t="shared" si="462"/>
        <v>4</v>
      </c>
      <c r="V2298" s="53" t="str">
        <f t="shared" si="463"/>
        <v>Ryan "Ryan Butcher"</v>
      </c>
      <c r="W2298" s="53" t="str">
        <f t="shared" si="464"/>
        <v>Ryan "Ryan Butcher"</v>
      </c>
      <c r="X2298" s="53" t="str">
        <f t="shared" si="465"/>
        <v>Ryan</v>
      </c>
      <c r="Y2298" s="57">
        <f>IF($X2298="","",IFERROR(VLOOKUP($X2298,'Char Popularity'!$A$2:$C$500,2,FALSE),""))</f>
        <v>4</v>
      </c>
      <c r="Z2298" s="56">
        <f>IF($X2298="",1,IFERROR(VLOOKUP($X2298,'Char Popularity'!$A$2:$C$500,3,FALSE),1))</f>
        <v>1.1000000000000001</v>
      </c>
      <c r="AA2298" s="62">
        <f>IF($H2298&lt;&gt;"Y",0,(IF($F2298&lt;&gt;"",ROUND(Dashboard!$R$4/$F2298,1),IF(AND($I2298="Base",$E2298="Base"),Dashboard!$R$5,IF(AND($I2298="Base",$E2298="Red"),Dashboard!$R$6,IF(AND($I2298="Base",$E2298="Gold"),Dashboard!$R$7,VLOOKUP($I2298,Dashboard!$Q$16:$R$21,2,FALSE)))))*VLOOKUP($I2298,Dashboard!$Q$9:$R$13,2,FALSE)*IF(AND($I2298="Auto",$F2298="",OR($B2298="Autographs Duals",$B2298="Autographs Triples",$B2298="Autographs Quads",$B2298="Autographs Quads (Inscribed)")),IF($B2298="Autographs Duals",2,IF($B2298="Autographs Triples",3,4)),1)))</f>
        <v>0</v>
      </c>
      <c r="AB2298" s="62">
        <f t="shared" si="466"/>
        <v>0</v>
      </c>
      <c r="AC2298" s="62">
        <f t="shared" si="467"/>
        <v>0</v>
      </c>
    </row>
    <row r="2299" spans="1:29" ht="30" customHeight="1" x14ac:dyDescent="0.25">
      <c r="A2299" s="4" t="s">
        <v>37</v>
      </c>
      <c r="B2299" s="7" t="s">
        <v>120</v>
      </c>
      <c r="C2299" s="2" t="s">
        <v>237</v>
      </c>
      <c r="D2299" s="7" t="s">
        <v>1628</v>
      </c>
      <c r="E2299" s="4" t="s">
        <v>1627</v>
      </c>
      <c r="F2299" s="2">
        <v>4</v>
      </c>
      <c r="G2299" s="2" t="s">
        <v>1400</v>
      </c>
      <c r="H2299" s="2" t="s">
        <v>1399</v>
      </c>
      <c r="I2299" s="4" t="s">
        <v>68</v>
      </c>
      <c r="J2299" s="112">
        <f>IF($H2299&lt;&gt;"Y",0,ROUND(MIN(Dashboard!$R$24,IF(IFERROR(VLOOKUP($B2299,Dashboard!$Q$28:$S$60,2,FALSE),0)&gt;0,IFERROR(VLOOKUP($B2299,Dashboard!$Q$28:$S$60,2,FALSE),0),$Z2299*IF($U2299&lt;&gt;"",ROUND((Dashboard!$R$4/$U2299)*VLOOKUP($I2299,Dashboard!$Q$9:$R$13,2,FALSE)*IF(ISNUMBER(SEARCH("Duals",$B2299)),2,IF(ISNUMBER(SEARCH("Triples",$B2299)),3,IF(ISNUMBER(SEARCH("Quads",$B2299)),4,1))),2),ROUND(VLOOKUP($I2299,Dashboard!$Q$15:$R$20,2,FALSE)*IF($E2299="Red",Dashboard!$R$6,IF($E2299="Gold",Dashboard!$R$7,Dashboard!$R$5))*IF(ISNUMBER(SEARCH("Duals",$B2299)),2,IF(ISNUMBER(SEARCH("Triples",$B2299)),3,IF(ISNUMBER(SEARCH("Quads",$B2299)),4,1))),2))*IF(IFERROR(VLOOKUP($B2299,Dashboard!$Q$28:$S$60,3,FALSE),0)&gt;0,VLOOKUP($B2299,Dashboard!$Q$28:$S$60,3,FALSE),1))),0))</f>
        <v>0</v>
      </c>
      <c r="K2299" s="2" t="str">
        <f>IF('Autos - Singles'!J14="","",'Autos - Singles'!J14)</f>
        <v/>
      </c>
      <c r="L2299" s="2">
        <f t="shared" si="455"/>
        <v>0</v>
      </c>
      <c r="M2299" s="2">
        <f t="shared" si="456"/>
        <v>0</v>
      </c>
      <c r="N2299" s="2">
        <f t="shared" si="457"/>
        <v>0</v>
      </c>
      <c r="O2299" s="2">
        <f t="shared" si="458"/>
        <v>0</v>
      </c>
      <c r="P2299" s="112">
        <f t="shared" si="459"/>
        <v>0</v>
      </c>
      <c r="Q2299" s="112">
        <f t="shared" si="460"/>
        <v>0</v>
      </c>
      <c r="R2299" s="53" t="s">
        <v>387</v>
      </c>
      <c r="S2299" s="53" t="str">
        <f t="shared" si="461"/>
        <v>Autos - Singles|Autographs Printing Plates Parallel (Inscribed)|A-CP|Printing Plate (Inscribed)</v>
      </c>
      <c r="T2299" s="57" t="str">
        <f>IF($S2299="","",IFERROR(VLOOKUP($S2299,'Pop Estimates (Non-#d)'!$N$2:$O$500,2,FALSE),""))</f>
        <v/>
      </c>
      <c r="U2299" s="57">
        <f t="shared" si="462"/>
        <v>4</v>
      </c>
      <c r="V2299" s="53" t="str">
        <f t="shared" si="463"/>
        <v>Frenchie "Frenchie"</v>
      </c>
      <c r="W2299" s="53" t="str">
        <f t="shared" si="464"/>
        <v>Frenchie "Frenchie"</v>
      </c>
      <c r="X2299" s="53" t="str">
        <f t="shared" si="465"/>
        <v>Frenchie</v>
      </c>
      <c r="Y2299" s="57">
        <f>IF($X2299="","",IFERROR(VLOOKUP($X2299,'Char Popularity'!$A$2:$C$500,2,FALSE),""))</f>
        <v>4</v>
      </c>
      <c r="Z2299" s="56">
        <f>IF($X2299="",1,IFERROR(VLOOKUP($X2299,'Char Popularity'!$A$2:$C$500,3,FALSE),1))</f>
        <v>1.1000000000000001</v>
      </c>
      <c r="AA2299" s="62">
        <f>IF($H2299&lt;&gt;"Y",0,(IF($F2299&lt;&gt;"",ROUND(Dashboard!$R$4/$F2299,1),IF(AND($I2299="Base",$E2299="Base"),Dashboard!$R$5,IF(AND($I2299="Base",$E2299="Red"),Dashboard!$R$6,IF(AND($I2299="Base",$E2299="Gold"),Dashboard!$R$7,VLOOKUP($I2299,Dashboard!$Q$16:$R$21,2,FALSE)))))*VLOOKUP($I2299,Dashboard!$Q$9:$R$13,2,FALSE)*IF(AND($I2299="Auto",$F2299="",OR($B2299="Autographs Duals",$B2299="Autographs Triples",$B2299="Autographs Quads",$B2299="Autographs Quads (Inscribed)")),IF($B2299="Autographs Duals",2,IF($B2299="Autographs Triples",3,4)),1)))</f>
        <v>0</v>
      </c>
      <c r="AB2299" s="62">
        <f t="shared" si="466"/>
        <v>0</v>
      </c>
      <c r="AC2299" s="62">
        <f t="shared" si="467"/>
        <v>0</v>
      </c>
    </row>
    <row r="2300" spans="1:29" ht="30" customHeight="1" x14ac:dyDescent="0.25">
      <c r="A2300" s="4" t="s">
        <v>37</v>
      </c>
      <c r="B2300" s="7" t="s">
        <v>120</v>
      </c>
      <c r="C2300" s="2" t="s">
        <v>239</v>
      </c>
      <c r="D2300" s="7" t="s">
        <v>242</v>
      </c>
      <c r="E2300" s="4" t="s">
        <v>1627</v>
      </c>
      <c r="F2300" s="2">
        <v>4</v>
      </c>
      <c r="G2300" s="2" t="s">
        <v>1400</v>
      </c>
      <c r="H2300" s="2" t="s">
        <v>1399</v>
      </c>
      <c r="I2300" s="4" t="s">
        <v>68</v>
      </c>
      <c r="J2300" s="112">
        <f>IF($H2300&lt;&gt;"Y",0,ROUND(MIN(Dashboard!$R$24,IF(IFERROR(VLOOKUP($B2300,Dashboard!$Q$28:$S$60,2,FALSE),0)&gt;0,IFERROR(VLOOKUP($B2300,Dashboard!$Q$28:$S$60,2,FALSE),0),$Z2300*IF($U2300&lt;&gt;"",ROUND((Dashboard!$R$4/$U2300)*VLOOKUP($I2300,Dashboard!$Q$9:$R$13,2,FALSE)*IF(ISNUMBER(SEARCH("Duals",$B2300)),2,IF(ISNUMBER(SEARCH("Triples",$B2300)),3,IF(ISNUMBER(SEARCH("Quads",$B2300)),4,1))),2),ROUND(VLOOKUP($I2300,Dashboard!$Q$15:$R$20,2,FALSE)*IF($E2300="Red",Dashboard!$R$6,IF($E2300="Gold",Dashboard!$R$7,Dashboard!$R$5))*IF(ISNUMBER(SEARCH("Duals",$B2300)),2,IF(ISNUMBER(SEARCH("Triples",$B2300)),3,IF(ISNUMBER(SEARCH("Quads",$B2300)),4,1))),2))*IF(IFERROR(VLOOKUP($B2300,Dashboard!$Q$28:$S$60,3,FALSE),0)&gt;0,VLOOKUP($B2300,Dashboard!$Q$28:$S$60,3,FALSE),1))),0))</f>
        <v>0</v>
      </c>
      <c r="K2300" s="2" t="str">
        <f>IF('Autos - Singles'!J15="","",'Autos - Singles'!J15)</f>
        <v/>
      </c>
      <c r="L2300" s="2">
        <f t="shared" si="455"/>
        <v>0</v>
      </c>
      <c r="M2300" s="2">
        <f t="shared" si="456"/>
        <v>0</v>
      </c>
      <c r="N2300" s="2">
        <f t="shared" si="457"/>
        <v>0</v>
      </c>
      <c r="O2300" s="2">
        <f t="shared" si="458"/>
        <v>0</v>
      </c>
      <c r="P2300" s="112">
        <f t="shared" si="459"/>
        <v>0</v>
      </c>
      <c r="Q2300" s="112">
        <f t="shared" si="460"/>
        <v>0</v>
      </c>
      <c r="R2300" s="53" t="s">
        <v>1603</v>
      </c>
      <c r="S2300" s="53" t="str">
        <f t="shared" si="461"/>
        <v>Autos - Singles|Autographs Printing Plates Parallel (Inscribed)|A-CR|Printing Plate (Inscribed)</v>
      </c>
      <c r="T2300" s="57" t="str">
        <f>IF($S2300="","",IFERROR(VLOOKUP($S2300,'Pop Estimates (Non-#d)'!$N$2:$O$500,2,FALSE),""))</f>
        <v/>
      </c>
      <c r="U2300" s="57">
        <f t="shared" si="462"/>
        <v>4</v>
      </c>
      <c r="V2300" s="53" t="str">
        <f t="shared" si="463"/>
        <v>Ryan "Ryan Butcher"</v>
      </c>
      <c r="W2300" s="53" t="str">
        <f t="shared" si="464"/>
        <v>Ryan "Ryan Butcher"</v>
      </c>
      <c r="X2300" s="53" t="str">
        <f t="shared" si="465"/>
        <v>Ryan</v>
      </c>
      <c r="Y2300" s="57">
        <f>IF($X2300="","",IFERROR(VLOOKUP($X2300,'Char Popularity'!$A$2:$C$500,2,FALSE),""))</f>
        <v>4</v>
      </c>
      <c r="Z2300" s="56">
        <f>IF($X2300="",1,IFERROR(VLOOKUP($X2300,'Char Popularity'!$A$2:$C$500,3,FALSE),1))</f>
        <v>1.1000000000000001</v>
      </c>
      <c r="AA2300" s="62">
        <f>IF($H2300&lt;&gt;"Y",0,(IF($F2300&lt;&gt;"",ROUND(Dashboard!$R$4/$F2300,1),IF(AND($I2300="Base",$E2300="Base"),Dashboard!$R$5,IF(AND($I2300="Base",$E2300="Red"),Dashboard!$R$6,IF(AND($I2300="Base",$E2300="Gold"),Dashboard!$R$7,VLOOKUP($I2300,Dashboard!$Q$16:$R$21,2,FALSE)))))*VLOOKUP($I2300,Dashboard!$Q$9:$R$13,2,FALSE)*IF(AND($I2300="Auto",$F2300="",OR($B2300="Autographs Duals",$B2300="Autographs Triples",$B2300="Autographs Quads",$B2300="Autographs Quads (Inscribed)")),IF($B2300="Autographs Duals",2,IF($B2300="Autographs Triples",3,4)),1)))</f>
        <v>0</v>
      </c>
      <c r="AB2300" s="62">
        <f t="shared" si="466"/>
        <v>0</v>
      </c>
      <c r="AC2300" s="62">
        <f t="shared" si="467"/>
        <v>0</v>
      </c>
    </row>
    <row r="2301" spans="1:29" ht="30" customHeight="1" x14ac:dyDescent="0.25">
      <c r="A2301" s="4" t="s">
        <v>37</v>
      </c>
      <c r="B2301" s="7" t="s">
        <v>120</v>
      </c>
      <c r="C2301" s="2" t="s">
        <v>240</v>
      </c>
      <c r="D2301" s="7" t="s">
        <v>242</v>
      </c>
      <c r="E2301" s="4" t="s">
        <v>1627</v>
      </c>
      <c r="F2301" s="2">
        <v>4</v>
      </c>
      <c r="G2301" s="2" t="s">
        <v>1400</v>
      </c>
      <c r="H2301" s="2" t="s">
        <v>1399</v>
      </c>
      <c r="I2301" s="4" t="s">
        <v>68</v>
      </c>
      <c r="J2301" s="112">
        <f>IF($H2301&lt;&gt;"Y",0,ROUND(MIN(Dashboard!$R$24,IF(IFERROR(VLOOKUP($B2301,Dashboard!$Q$28:$S$60,2,FALSE),0)&gt;0,IFERROR(VLOOKUP($B2301,Dashboard!$Q$28:$S$60,2,FALSE),0),$Z2301*IF($U2301&lt;&gt;"",ROUND((Dashboard!$R$4/$U2301)*VLOOKUP($I2301,Dashboard!$Q$9:$R$13,2,FALSE)*IF(ISNUMBER(SEARCH("Duals",$B2301)),2,IF(ISNUMBER(SEARCH("Triples",$B2301)),3,IF(ISNUMBER(SEARCH("Quads",$B2301)),4,1))),2),ROUND(VLOOKUP($I2301,Dashboard!$Q$15:$R$20,2,FALSE)*IF($E2301="Red",Dashboard!$R$6,IF($E2301="Gold",Dashboard!$R$7,Dashboard!$R$5))*IF(ISNUMBER(SEARCH("Duals",$B2301)),2,IF(ISNUMBER(SEARCH("Triples",$B2301)),3,IF(ISNUMBER(SEARCH("Quads",$B2301)),4,1))),2))*IF(IFERROR(VLOOKUP($B2301,Dashboard!$Q$28:$S$60,3,FALSE),0)&gt;0,VLOOKUP($B2301,Dashboard!$Q$28:$S$60,3,FALSE),1))),0))</f>
        <v>0</v>
      </c>
      <c r="K2301" s="2" t="str">
        <f>IF('Autos - Singles'!J16="","",'Autos - Singles'!J16)</f>
        <v/>
      </c>
      <c r="L2301" s="2">
        <f t="shared" si="455"/>
        <v>0</v>
      </c>
      <c r="M2301" s="2">
        <f t="shared" si="456"/>
        <v>0</v>
      </c>
      <c r="N2301" s="2">
        <f t="shared" si="457"/>
        <v>0</v>
      </c>
      <c r="O2301" s="2">
        <f t="shared" si="458"/>
        <v>0</v>
      </c>
      <c r="P2301" s="112">
        <f t="shared" si="459"/>
        <v>0</v>
      </c>
      <c r="Q2301" s="112">
        <f t="shared" si="460"/>
        <v>0</v>
      </c>
      <c r="R2301" s="53" t="s">
        <v>1603</v>
      </c>
      <c r="S2301" s="53" t="str">
        <f t="shared" si="461"/>
        <v>Autos - Singles|Autographs Printing Plates Parallel (Inscribed)|A-CT|Printing Plate (Inscribed)</v>
      </c>
      <c r="T2301" s="57" t="str">
        <f>IF($S2301="","",IFERROR(VLOOKUP($S2301,'Pop Estimates (Non-#d)'!$N$2:$O$500,2,FALSE),""))</f>
        <v/>
      </c>
      <c r="U2301" s="57">
        <f t="shared" si="462"/>
        <v>4</v>
      </c>
      <c r="V2301" s="53" t="str">
        <f t="shared" si="463"/>
        <v>Ryan "Ryan Butcher"</v>
      </c>
      <c r="W2301" s="53" t="str">
        <f t="shared" si="464"/>
        <v>Ryan "Ryan Butcher"</v>
      </c>
      <c r="X2301" s="53" t="str">
        <f t="shared" si="465"/>
        <v>Ryan</v>
      </c>
      <c r="Y2301" s="57">
        <f>IF($X2301="","",IFERROR(VLOOKUP($X2301,'Char Popularity'!$A$2:$C$500,2,FALSE),""))</f>
        <v>4</v>
      </c>
      <c r="Z2301" s="56">
        <f>IF($X2301="",1,IFERROR(VLOOKUP($X2301,'Char Popularity'!$A$2:$C$500,3,FALSE),1))</f>
        <v>1.1000000000000001</v>
      </c>
      <c r="AA2301" s="62">
        <f>IF($H2301&lt;&gt;"Y",0,(IF($F2301&lt;&gt;"",ROUND(Dashboard!$R$4/$F2301,1),IF(AND($I2301="Base",$E2301="Base"),Dashboard!$R$5,IF(AND($I2301="Base",$E2301="Red"),Dashboard!$R$6,IF(AND($I2301="Base",$E2301="Gold"),Dashboard!$R$7,VLOOKUP($I2301,Dashboard!$Q$16:$R$21,2,FALSE)))))*VLOOKUP($I2301,Dashboard!$Q$9:$R$13,2,FALSE)*IF(AND($I2301="Auto",$F2301="",OR($B2301="Autographs Duals",$B2301="Autographs Triples",$B2301="Autographs Quads",$B2301="Autographs Quads (Inscribed)")),IF($B2301="Autographs Duals",2,IF($B2301="Autographs Triples",3,4)),1)))</f>
        <v>0</v>
      </c>
      <c r="AB2301" s="62">
        <f t="shared" si="466"/>
        <v>0</v>
      </c>
      <c r="AC2301" s="62">
        <f t="shared" si="467"/>
        <v>0</v>
      </c>
    </row>
    <row r="2302" spans="1:29" ht="30" customHeight="1" x14ac:dyDescent="0.25">
      <c r="A2302" s="4" t="s">
        <v>37</v>
      </c>
      <c r="B2302" s="7" t="s">
        <v>120</v>
      </c>
      <c r="C2302" s="2" t="s">
        <v>241</v>
      </c>
      <c r="D2302" s="7" t="s">
        <v>242</v>
      </c>
      <c r="E2302" s="4" t="s">
        <v>1627</v>
      </c>
      <c r="F2302" s="2">
        <v>4</v>
      </c>
      <c r="G2302" s="2" t="s">
        <v>1400</v>
      </c>
      <c r="H2302" s="2" t="s">
        <v>1399</v>
      </c>
      <c r="I2302" s="4" t="s">
        <v>68</v>
      </c>
      <c r="J2302" s="112">
        <f>IF($H2302&lt;&gt;"Y",0,ROUND(MIN(Dashboard!$R$24,IF(IFERROR(VLOOKUP($B2302,Dashboard!$Q$28:$S$60,2,FALSE),0)&gt;0,IFERROR(VLOOKUP($B2302,Dashboard!$Q$28:$S$60,2,FALSE),0),$Z2302*IF($U2302&lt;&gt;"",ROUND((Dashboard!$R$4/$U2302)*VLOOKUP($I2302,Dashboard!$Q$9:$R$13,2,FALSE)*IF(ISNUMBER(SEARCH("Duals",$B2302)),2,IF(ISNUMBER(SEARCH("Triples",$B2302)),3,IF(ISNUMBER(SEARCH("Quads",$B2302)),4,1))),2),ROUND(VLOOKUP($I2302,Dashboard!$Q$15:$R$20,2,FALSE)*IF($E2302="Red",Dashboard!$R$6,IF($E2302="Gold",Dashboard!$R$7,Dashboard!$R$5))*IF(ISNUMBER(SEARCH("Duals",$B2302)),2,IF(ISNUMBER(SEARCH("Triples",$B2302)),3,IF(ISNUMBER(SEARCH("Quads",$B2302)),4,1))),2))*IF(IFERROR(VLOOKUP($B2302,Dashboard!$Q$28:$S$60,3,FALSE),0)&gt;0,VLOOKUP($B2302,Dashboard!$Q$28:$S$60,3,FALSE),1))),0))</f>
        <v>0</v>
      </c>
      <c r="K2302" s="2" t="str">
        <f>IF('Autos - Singles'!J17="","",'Autos - Singles'!J17)</f>
        <v/>
      </c>
      <c r="L2302" s="2">
        <f t="shared" si="455"/>
        <v>0</v>
      </c>
      <c r="M2302" s="2">
        <f t="shared" si="456"/>
        <v>0</v>
      </c>
      <c r="N2302" s="2">
        <f t="shared" si="457"/>
        <v>0</v>
      </c>
      <c r="O2302" s="2">
        <f t="shared" si="458"/>
        <v>0</v>
      </c>
      <c r="P2302" s="112">
        <f t="shared" si="459"/>
        <v>0</v>
      </c>
      <c r="Q2302" s="112">
        <f t="shared" si="460"/>
        <v>0</v>
      </c>
      <c r="R2302" s="53" t="s">
        <v>1603</v>
      </c>
      <c r="S2302" s="53" t="str">
        <f t="shared" si="461"/>
        <v>Autos - Singles|Autographs Printing Plates Parallel (Inscribed)|A-CV|Printing Plate (Inscribed)</v>
      </c>
      <c r="T2302" s="57" t="str">
        <f>IF($S2302="","",IFERROR(VLOOKUP($S2302,'Pop Estimates (Non-#d)'!$N$2:$O$500,2,FALSE),""))</f>
        <v/>
      </c>
      <c r="U2302" s="57">
        <f t="shared" si="462"/>
        <v>4</v>
      </c>
      <c r="V2302" s="53" t="str">
        <f t="shared" si="463"/>
        <v>Ryan "Ryan Butcher"</v>
      </c>
      <c r="W2302" s="53" t="str">
        <f t="shared" si="464"/>
        <v>Ryan "Ryan Butcher"</v>
      </c>
      <c r="X2302" s="53" t="str">
        <f t="shared" si="465"/>
        <v>Ryan</v>
      </c>
      <c r="Y2302" s="57">
        <f>IF($X2302="","",IFERROR(VLOOKUP($X2302,'Char Popularity'!$A$2:$C$500,2,FALSE),""))</f>
        <v>4</v>
      </c>
      <c r="Z2302" s="56">
        <f>IF($X2302="",1,IFERROR(VLOOKUP($X2302,'Char Popularity'!$A$2:$C$500,3,FALSE),1))</f>
        <v>1.1000000000000001</v>
      </c>
      <c r="AA2302" s="62">
        <f>IF($H2302&lt;&gt;"Y",0,(IF($F2302&lt;&gt;"",ROUND(Dashboard!$R$4/$F2302,1),IF(AND($I2302="Base",$E2302="Base"),Dashboard!$R$5,IF(AND($I2302="Base",$E2302="Red"),Dashboard!$R$6,IF(AND($I2302="Base",$E2302="Gold"),Dashboard!$R$7,VLOOKUP($I2302,Dashboard!$Q$16:$R$21,2,FALSE)))))*VLOOKUP($I2302,Dashboard!$Q$9:$R$13,2,FALSE)*IF(AND($I2302="Auto",$F2302="",OR($B2302="Autographs Duals",$B2302="Autographs Triples",$B2302="Autographs Quads",$B2302="Autographs Quads (Inscribed)")),IF($B2302="Autographs Duals",2,IF($B2302="Autographs Triples",3,4)),1)))</f>
        <v>0</v>
      </c>
      <c r="AB2302" s="62">
        <f t="shared" si="466"/>
        <v>0</v>
      </c>
      <c r="AC2302" s="62">
        <f t="shared" si="467"/>
        <v>0</v>
      </c>
    </row>
    <row r="2303" spans="1:29" ht="30" customHeight="1" x14ac:dyDescent="0.25">
      <c r="A2303" s="4" t="s">
        <v>37</v>
      </c>
      <c r="B2303" s="7" t="s">
        <v>120</v>
      </c>
      <c r="C2303" s="2" t="s">
        <v>257</v>
      </c>
      <c r="D2303" s="7" t="s">
        <v>1605</v>
      </c>
      <c r="E2303" s="4" t="s">
        <v>1627</v>
      </c>
      <c r="F2303" s="2">
        <v>4</v>
      </c>
      <c r="G2303" s="2" t="s">
        <v>1400</v>
      </c>
      <c r="H2303" s="2" t="s">
        <v>1399</v>
      </c>
      <c r="I2303" s="4" t="s">
        <v>68</v>
      </c>
      <c r="J2303" s="112">
        <f>IF($H2303&lt;&gt;"Y",0,ROUND(MIN(Dashboard!$R$24,IF(IFERROR(VLOOKUP($B2303,Dashboard!$Q$28:$S$60,2,FALSE),0)&gt;0,IFERROR(VLOOKUP($B2303,Dashboard!$Q$28:$S$60,2,FALSE),0),$Z2303*IF($U2303&lt;&gt;"",ROUND((Dashboard!$R$4/$U2303)*VLOOKUP($I2303,Dashboard!$Q$9:$R$13,2,FALSE)*IF(ISNUMBER(SEARCH("Duals",$B2303)),2,IF(ISNUMBER(SEARCH("Triples",$B2303)),3,IF(ISNUMBER(SEARCH("Quads",$B2303)),4,1))),2),ROUND(VLOOKUP($I2303,Dashboard!$Q$15:$R$20,2,FALSE)*IF($E2303="Red",Dashboard!$R$6,IF($E2303="Gold",Dashboard!$R$7,Dashboard!$R$5))*IF(ISNUMBER(SEARCH("Duals",$B2303)),2,IF(ISNUMBER(SEARCH("Triples",$B2303)),3,IF(ISNUMBER(SEARCH("Quads",$B2303)),4,1))),2))*IF(IFERROR(VLOOKUP($B2303,Dashboard!$Q$28:$S$60,3,FALSE),0)&gt;0,VLOOKUP($B2303,Dashboard!$Q$28:$S$60,3,FALSE),1))),0))</f>
        <v>0</v>
      </c>
      <c r="K2303" s="2" t="str">
        <f>IF('Autos - Singles'!J27="","",'Autos - Singles'!J27)</f>
        <v/>
      </c>
      <c r="L2303" s="2">
        <f t="shared" si="455"/>
        <v>0</v>
      </c>
      <c r="M2303" s="2">
        <f t="shared" si="456"/>
        <v>0</v>
      </c>
      <c r="N2303" s="2">
        <f t="shared" si="457"/>
        <v>0</v>
      </c>
      <c r="O2303" s="2">
        <f t="shared" si="458"/>
        <v>0</v>
      </c>
      <c r="P2303" s="112">
        <f t="shared" si="459"/>
        <v>0</v>
      </c>
      <c r="Q2303" s="112">
        <f t="shared" si="460"/>
        <v>0</v>
      </c>
      <c r="R2303" s="53" t="s">
        <v>446</v>
      </c>
      <c r="S2303" s="53" t="str">
        <f t="shared" si="461"/>
        <v>Autos - Singles|Autographs Printing Plates Parallel (Inscribed)|A-HS|Printing Plate (Inscribed)</v>
      </c>
      <c r="T2303" s="57" t="str">
        <f>IF($S2303="","",IFERROR(VLOOKUP($S2303,'Pop Estimates (Non-#d)'!$N$2:$O$500,2,FALSE),""))</f>
        <v/>
      </c>
      <c r="U2303" s="57">
        <f t="shared" si="462"/>
        <v>4</v>
      </c>
      <c r="V2303" s="53" t="str">
        <f t="shared" si="463"/>
        <v>Translucent "Translucent"</v>
      </c>
      <c r="W2303" s="53" t="str">
        <f t="shared" si="464"/>
        <v>Translucent "Translucent"</v>
      </c>
      <c r="X2303" s="53" t="str">
        <f t="shared" si="465"/>
        <v>Translucent</v>
      </c>
      <c r="Y2303" s="57">
        <f>IF($X2303="","",IFERROR(VLOOKUP($X2303,'Char Popularity'!$A$2:$C$500,2,FALSE),""))</f>
        <v>2</v>
      </c>
      <c r="Z2303" s="56">
        <f>IF($X2303="",1,IFERROR(VLOOKUP($X2303,'Char Popularity'!$A$2:$C$500,3,FALSE),1))</f>
        <v>0.9</v>
      </c>
      <c r="AA2303" s="62">
        <f>IF($H2303&lt;&gt;"Y",0,(IF($F2303&lt;&gt;"",ROUND(Dashboard!$R$4/$F2303,1),IF(AND($I2303="Base",$E2303="Base"),Dashboard!$R$5,IF(AND($I2303="Base",$E2303="Red"),Dashboard!$R$6,IF(AND($I2303="Base",$E2303="Gold"),Dashboard!$R$7,VLOOKUP($I2303,Dashboard!$Q$16:$R$21,2,FALSE)))))*VLOOKUP($I2303,Dashboard!$Q$9:$R$13,2,FALSE)*IF(AND($I2303="Auto",$F2303="",OR($B2303="Autographs Duals",$B2303="Autographs Triples",$B2303="Autographs Quads",$B2303="Autographs Quads (Inscribed)")),IF($B2303="Autographs Duals",2,IF($B2303="Autographs Triples",3,4)),1)))</f>
        <v>0</v>
      </c>
      <c r="AB2303" s="62">
        <f t="shared" si="466"/>
        <v>0</v>
      </c>
      <c r="AC2303" s="62">
        <f t="shared" si="467"/>
        <v>0</v>
      </c>
    </row>
    <row r="2304" spans="1:29" ht="30" customHeight="1" x14ac:dyDescent="0.25">
      <c r="A2304" s="4" t="s">
        <v>37</v>
      </c>
      <c r="B2304" s="7" t="s">
        <v>120</v>
      </c>
      <c r="C2304" s="2" t="s">
        <v>278</v>
      </c>
      <c r="D2304" s="7" t="s">
        <v>1605</v>
      </c>
      <c r="E2304" s="4" t="s">
        <v>1627</v>
      </c>
      <c r="F2304" s="2">
        <v>4</v>
      </c>
      <c r="G2304" s="2" t="s">
        <v>1400</v>
      </c>
      <c r="H2304" s="2" t="s">
        <v>1399</v>
      </c>
      <c r="I2304" s="4" t="s">
        <v>68</v>
      </c>
      <c r="J2304" s="112">
        <f>IF($H2304&lt;&gt;"Y",0,ROUND(MIN(Dashboard!$R$24,IF(IFERROR(VLOOKUP($B2304,Dashboard!$Q$28:$S$60,2,FALSE),0)&gt;0,IFERROR(VLOOKUP($B2304,Dashboard!$Q$28:$S$60,2,FALSE),0),$Z2304*IF($U2304&lt;&gt;"",ROUND((Dashboard!$R$4/$U2304)*VLOOKUP($I2304,Dashboard!$Q$9:$R$13,2,FALSE)*IF(ISNUMBER(SEARCH("Duals",$B2304)),2,IF(ISNUMBER(SEARCH("Triples",$B2304)),3,IF(ISNUMBER(SEARCH("Quads",$B2304)),4,1))),2),ROUND(VLOOKUP($I2304,Dashboard!$Q$15:$R$20,2,FALSE)*IF($E2304="Red",Dashboard!$R$6,IF($E2304="Gold",Dashboard!$R$7,Dashboard!$R$5))*IF(ISNUMBER(SEARCH("Duals",$B2304)),2,IF(ISNUMBER(SEARCH("Triples",$B2304)),3,IF(ISNUMBER(SEARCH("Quads",$B2304)),4,1))),2))*IF(IFERROR(VLOOKUP($B2304,Dashboard!$Q$28:$S$60,3,FALSE),0)&gt;0,VLOOKUP($B2304,Dashboard!$Q$28:$S$60,3,FALSE),1))),0))</f>
        <v>0</v>
      </c>
      <c r="K2304" s="2" t="str">
        <f>IF('Autos - Singles'!J40="","",'Autos - Singles'!J40)</f>
        <v/>
      </c>
      <c r="L2304" s="2">
        <f t="shared" si="455"/>
        <v>0</v>
      </c>
      <c r="M2304" s="2">
        <f t="shared" si="456"/>
        <v>0</v>
      </c>
      <c r="N2304" s="2">
        <f t="shared" si="457"/>
        <v>0</v>
      </c>
      <c r="O2304" s="2">
        <f t="shared" si="458"/>
        <v>0</v>
      </c>
      <c r="P2304" s="112">
        <f t="shared" si="459"/>
        <v>0</v>
      </c>
      <c r="Q2304" s="112">
        <f t="shared" si="460"/>
        <v>0</v>
      </c>
      <c r="R2304" s="53" t="s">
        <v>446</v>
      </c>
      <c r="S2304" s="53" t="str">
        <f t="shared" si="461"/>
        <v>Autos - Singles|Autographs Printing Plates Parallel (Inscribed)|A-LL|Printing Plate (Inscribed)</v>
      </c>
      <c r="T2304" s="57" t="str">
        <f>IF($S2304="","",IFERROR(VLOOKUP($S2304,'Pop Estimates (Non-#d)'!$N$2:$O$500,2,FALSE),""))</f>
        <v/>
      </c>
      <c r="U2304" s="57">
        <f t="shared" si="462"/>
        <v>4</v>
      </c>
      <c r="V2304" s="53" t="str">
        <f t="shared" si="463"/>
        <v>Translucent "Translucent"</v>
      </c>
      <c r="W2304" s="53" t="str">
        <f t="shared" si="464"/>
        <v>Translucent "Translucent"</v>
      </c>
      <c r="X2304" s="53" t="str">
        <f t="shared" si="465"/>
        <v>Translucent</v>
      </c>
      <c r="Y2304" s="57">
        <f>IF($X2304="","",IFERROR(VLOOKUP($X2304,'Char Popularity'!$A$2:$C$500,2,FALSE),""))</f>
        <v>2</v>
      </c>
      <c r="Z2304" s="56">
        <f>IF($X2304="",1,IFERROR(VLOOKUP($X2304,'Char Popularity'!$A$2:$C$500,3,FALSE),1))</f>
        <v>0.9</v>
      </c>
      <c r="AA2304" s="62">
        <f>IF($H2304&lt;&gt;"Y",0,(IF($F2304&lt;&gt;"",ROUND(Dashboard!$R$4/$F2304,1),IF(AND($I2304="Base",$E2304="Base"),Dashboard!$R$5,IF(AND($I2304="Base",$E2304="Red"),Dashboard!$R$6,IF(AND($I2304="Base",$E2304="Gold"),Dashboard!$R$7,VLOOKUP($I2304,Dashboard!$Q$16:$R$21,2,FALSE)))))*VLOOKUP($I2304,Dashboard!$Q$9:$R$13,2,FALSE)*IF(AND($I2304="Auto",$F2304="",OR($B2304="Autographs Duals",$B2304="Autographs Triples",$B2304="Autographs Quads",$B2304="Autographs Quads (Inscribed)")),IF($B2304="Autographs Duals",2,IF($B2304="Autographs Triples",3,4)),1)))</f>
        <v>0</v>
      </c>
      <c r="AB2304" s="62">
        <f t="shared" si="466"/>
        <v>0</v>
      </c>
      <c r="AC2304" s="62">
        <f t="shared" si="467"/>
        <v>0</v>
      </c>
    </row>
    <row r="2305" spans="1:29" ht="30" customHeight="1" x14ac:dyDescent="0.25">
      <c r="A2305" s="4" t="s">
        <v>37</v>
      </c>
      <c r="B2305" s="7" t="s">
        <v>136</v>
      </c>
      <c r="C2305" s="2" t="s">
        <v>215</v>
      </c>
      <c r="D2305" s="7" t="s">
        <v>216</v>
      </c>
      <c r="E2305" s="4" t="s">
        <v>823</v>
      </c>
      <c r="F2305" s="2">
        <v>49</v>
      </c>
      <c r="G2305" s="2" t="s">
        <v>1399</v>
      </c>
      <c r="H2305" s="2" t="s">
        <v>1400</v>
      </c>
      <c r="I2305" s="4" t="s">
        <v>68</v>
      </c>
      <c r="J2305" s="112">
        <f>IF($H2305&lt;&gt;"Y",0,ROUND(MIN(Dashboard!$R$24,IF(IFERROR(VLOOKUP($B2305,Dashboard!$Q$28:$S$60,2,FALSE),0)&gt;0,IFERROR(VLOOKUP($B2305,Dashboard!$Q$28:$S$60,2,FALSE),0),$Z2305*IF($U2305&lt;&gt;"",ROUND((Dashboard!$R$4/$U2305)*VLOOKUP($I2305,Dashboard!$Q$9:$R$13,2,FALSE)*IF(ISNUMBER(SEARCH("Duals",$B2305)),2,IF(ISNUMBER(SEARCH("Triples",$B2305)),3,IF(ISNUMBER(SEARCH("Quads",$B2305)),4,1))),2),ROUND(VLOOKUP($I2305,Dashboard!$Q$15:$R$20,2,FALSE)*IF($E2305="Red",Dashboard!$R$6,IF($E2305="Gold",Dashboard!$R$7,Dashboard!$R$5))*IF(ISNUMBER(SEARCH("Duals",$B2305)),2,IF(ISNUMBER(SEARCH("Triples",$B2305)),3,IF(ISNUMBER(SEARCH("Quads",$B2305)),4,1))),2))*IF(IFERROR(VLOOKUP($B2305,Dashboard!$Q$28:$S$60,3,FALSE),0)&gt;0,VLOOKUP($B2305,Dashboard!$Q$28:$S$60,3,FALSE),1))),0))</f>
        <v>37</v>
      </c>
      <c r="K2305" s="2" t="str">
        <f>IF('Autos - Singles'!E2="","",'Autos - Singles'!E2)</f>
        <v>V 22/49</v>
      </c>
      <c r="L2305" s="2">
        <f t="shared" si="455"/>
        <v>1</v>
      </c>
      <c r="M2305" s="2">
        <f t="shared" si="456"/>
        <v>0</v>
      </c>
      <c r="N2305" s="2">
        <f t="shared" si="457"/>
        <v>1</v>
      </c>
      <c r="O2305" s="2">
        <f t="shared" si="458"/>
        <v>0</v>
      </c>
      <c r="P2305" s="112">
        <f t="shared" si="459"/>
        <v>37</v>
      </c>
      <c r="Q2305" s="112">
        <f t="shared" si="460"/>
        <v>0</v>
      </c>
      <c r="R2305" s="53"/>
      <c r="S2305" s="53" t="str">
        <f t="shared" si="461"/>
        <v>Autos - Singles|Autographs Red Parallel|A-AH|Red</v>
      </c>
      <c r="T2305" s="57" t="str">
        <f>IF($S2305="","",IFERROR(VLOOKUP($S2305,'Pop Estimates (Non-#d)'!$N$2:$O$500,2,FALSE),""))</f>
        <v/>
      </c>
      <c r="U2305" s="57">
        <f t="shared" si="462"/>
        <v>49</v>
      </c>
      <c r="V2305" s="53" t="str">
        <f t="shared" si="463"/>
        <v>Translucent</v>
      </c>
      <c r="W2305" s="53" t="str">
        <f t="shared" si="464"/>
        <v>Translucent</v>
      </c>
      <c r="X2305" s="53" t="str">
        <f t="shared" si="465"/>
        <v>Translucent</v>
      </c>
      <c r="Y2305" s="57">
        <f>IF($X2305="","",IFERROR(VLOOKUP($X2305,'Char Popularity'!$A$2:$C$500,2,FALSE),""))</f>
        <v>2</v>
      </c>
      <c r="Z2305" s="56">
        <f>IF($X2305="",1,IFERROR(VLOOKUP($X2305,'Char Popularity'!$A$2:$C$500,3,FALSE),1))</f>
        <v>0.9</v>
      </c>
      <c r="AA2305" s="62">
        <f>IF($H2305&lt;&gt;"Y",0,(IF($F2305&lt;&gt;"",ROUND(Dashboard!$R$4/$F2305,1),IF(AND($I2305="Base",$E2305="Base"),Dashboard!$R$5,IF(AND($I2305="Base",$E2305="Red"),Dashboard!$R$6,IF(AND($I2305="Base",$E2305="Gold"),Dashboard!$R$7,VLOOKUP($I2305,Dashboard!$Q$16:$R$21,2,FALSE)))))*VLOOKUP($I2305,Dashboard!$Q$9:$R$13,2,FALSE)*IF(AND($I2305="Auto",$F2305="",OR($B2305="Autographs Duals",$B2305="Autographs Triples",$B2305="Autographs Quads",$B2305="Autographs Quads (Inscribed)")),IF($B2305="Autographs Duals",2,IF($B2305="Autographs Triples",3,4)),1)))</f>
        <v>40.799999999999997</v>
      </c>
      <c r="AB2305" s="62">
        <f t="shared" si="466"/>
        <v>40.799999999999997</v>
      </c>
      <c r="AC2305" s="62">
        <f t="shared" si="467"/>
        <v>0</v>
      </c>
    </row>
    <row r="2306" spans="1:29" ht="30" customHeight="1" x14ac:dyDescent="0.25">
      <c r="A2306" s="4" t="s">
        <v>37</v>
      </c>
      <c r="B2306" s="7" t="s">
        <v>136</v>
      </c>
      <c r="C2306" s="2" t="s">
        <v>219</v>
      </c>
      <c r="D2306" s="7" t="s">
        <v>224</v>
      </c>
      <c r="E2306" s="4" t="s">
        <v>823</v>
      </c>
      <c r="F2306" s="2">
        <v>25</v>
      </c>
      <c r="G2306" s="2" t="s">
        <v>1399</v>
      </c>
      <c r="H2306" s="2" t="s">
        <v>1400</v>
      </c>
      <c r="I2306" s="4" t="s">
        <v>68</v>
      </c>
      <c r="J2306" s="112">
        <f>IF($H2306&lt;&gt;"Y",0,ROUND(MIN(Dashboard!$R$24,IF(IFERROR(VLOOKUP($B2306,Dashboard!$Q$28:$S$60,2,FALSE),0)&gt;0,IFERROR(VLOOKUP($B2306,Dashboard!$Q$28:$S$60,2,FALSE),0),$Z2306*IF($U2306&lt;&gt;"",ROUND((Dashboard!$R$4/$U2306)*VLOOKUP($I2306,Dashboard!$Q$9:$R$13,2,FALSE)*IF(ISNUMBER(SEARCH("Duals",$B2306)),2,IF(ISNUMBER(SEARCH("Triples",$B2306)),3,IF(ISNUMBER(SEARCH("Quads",$B2306)),4,1))),2),ROUND(VLOOKUP($I2306,Dashboard!$Q$15:$R$20,2,FALSE)*IF($E2306="Red",Dashboard!$R$6,IF($E2306="Gold",Dashboard!$R$7,Dashboard!$R$5))*IF(ISNUMBER(SEARCH("Duals",$B2306)),2,IF(ISNUMBER(SEARCH("Triples",$B2306)),3,IF(ISNUMBER(SEARCH("Quads",$B2306)),4,1))),2))*IF(IFERROR(VLOOKUP($B2306,Dashboard!$Q$28:$S$60,3,FALSE),0)&gt;0,VLOOKUP($B2306,Dashboard!$Q$28:$S$60,3,FALSE),1))),0))</f>
        <v>72</v>
      </c>
      <c r="K2306" s="2" t="str">
        <f>IF('Autos - Singles'!E3="","",'Autos - Singles'!E3)</f>
        <v/>
      </c>
      <c r="L2306" s="2">
        <f t="shared" ref="L2306:L2369" si="468">IF(AND($K2306&lt;&gt;"",LEFT($K2306,1)&lt;&gt;"Y"),1,0)</f>
        <v>0</v>
      </c>
      <c r="M2306" s="2">
        <f t="shared" ref="M2306:M2369" si="469">IF(LEFT($K2306,1)="Y",1,0)</f>
        <v>0</v>
      </c>
      <c r="N2306" s="2">
        <f t="shared" ref="N2306:N2369" si="470">$L2306+$M2306</f>
        <v>0</v>
      </c>
      <c r="O2306" s="2">
        <f t="shared" ref="O2306:O2369" si="471">IF($H2306="Y",1-$N2306,0)</f>
        <v>1</v>
      </c>
      <c r="P2306" s="112">
        <f t="shared" ref="P2306:P2369" si="472">IF($L2306=1,$J2306,0)</f>
        <v>0</v>
      </c>
      <c r="Q2306" s="112">
        <f t="shared" ref="Q2306:Q2369" si="473">IF($M2306=1,$J2306,0)</f>
        <v>0</v>
      </c>
      <c r="R2306" s="53"/>
      <c r="S2306" s="53" t="str">
        <f t="shared" ref="S2306:S2369" si="474">IF($A2306="","",$A2306&amp;"|"&amp;$B2306&amp;"|"&amp;$C2306&amp;"|"&amp;$E2306)</f>
        <v>Autos - Singles|Autographs Red Parallel|A-AL|Red</v>
      </c>
      <c r="T2306" s="57" t="str">
        <f>IF($S2306="","",IFERROR(VLOOKUP($S2306,'Pop Estimates (Non-#d)'!$N$2:$O$500,2,FALSE),""))</f>
        <v/>
      </c>
      <c r="U2306" s="57">
        <f t="shared" ref="U2306:U2369" si="475">IF($A2306="","",IF($F2306&lt;&gt;"",$F2306,$T2306))</f>
        <v>25</v>
      </c>
      <c r="V2306" s="53" t="str">
        <f t="shared" ref="V2306:V2369" si="476">IF($A2306="","",IF(ISNUMBER(SEARCH(" as ",$D2306)),MID($D2306,SEARCH(" as ",$D2306)+4,255),IF(ISNUMBER(SEARCH("/",$D2306)),LEFT($D2306,FIND("/",$D2306&amp;"/")-1),"")))</f>
        <v>Popclaw</v>
      </c>
      <c r="W2306" s="53" t="str">
        <f t="shared" ref="W2306:W2369" si="477">IF($V2306="","",TRIM(IFERROR(MID($V2306,SEARCH("(", $V2306)+1,SEARCH(")",$V2306)-SEARCH("(", $V2306)-1),$V2306)))</f>
        <v>Popclaw</v>
      </c>
      <c r="X2306" s="53" t="str">
        <f t="shared" ref="X2306:X2369" si="478">IF($W2306="","",TRIM(LEFT($W2306&amp;"""",FIND("""",$W2306&amp;"""")-1)))</f>
        <v>Popclaw</v>
      </c>
      <c r="Y2306" s="57">
        <f>IF($X2306="","",IFERROR(VLOOKUP($X2306,'Char Popularity'!$A$2:$C$500,2,FALSE),""))</f>
        <v>2</v>
      </c>
      <c r="Z2306" s="56">
        <f>IF($X2306="",1,IFERROR(VLOOKUP($X2306,'Char Popularity'!$A$2:$C$500,3,FALSE),1))</f>
        <v>0.9</v>
      </c>
      <c r="AA2306" s="62">
        <f>IF($H2306&lt;&gt;"Y",0,(IF($F2306&lt;&gt;"",ROUND(Dashboard!$R$4/$F2306,1),IF(AND($I2306="Base",$E2306="Base"),Dashboard!$R$5,IF(AND($I2306="Base",$E2306="Red"),Dashboard!$R$6,IF(AND($I2306="Base",$E2306="Gold"),Dashboard!$R$7,VLOOKUP($I2306,Dashboard!$Q$16:$R$21,2,FALSE)))))*VLOOKUP($I2306,Dashboard!$Q$9:$R$13,2,FALSE)*IF(AND($I2306="Auto",$F2306="",OR($B2306="Autographs Duals",$B2306="Autographs Triples",$B2306="Autographs Quads",$B2306="Autographs Quads (Inscribed)")),IF($B2306="Autographs Duals",2,IF($B2306="Autographs Triples",3,4)),1)))</f>
        <v>80</v>
      </c>
      <c r="AB2306" s="62">
        <f t="shared" ref="AB2306:AB2369" si="479">IF($L2306=1,$AA2306,0)</f>
        <v>0</v>
      </c>
      <c r="AC2306" s="62">
        <f t="shared" ref="AC2306:AC2369" si="480">IF($M2306=1,$AA2306,0)</f>
        <v>0</v>
      </c>
    </row>
    <row r="2307" spans="1:29" ht="30" customHeight="1" x14ac:dyDescent="0.25">
      <c r="A2307" s="4" t="s">
        <v>37</v>
      </c>
      <c r="B2307" s="7" t="s">
        <v>136</v>
      </c>
      <c r="C2307" s="2" t="s">
        <v>221</v>
      </c>
      <c r="D2307" s="7" t="s">
        <v>222</v>
      </c>
      <c r="E2307" s="4" t="s">
        <v>823</v>
      </c>
      <c r="F2307" s="2">
        <v>49</v>
      </c>
      <c r="G2307" s="2" t="s">
        <v>1399</v>
      </c>
      <c r="H2307" s="2" t="s">
        <v>1400</v>
      </c>
      <c r="I2307" s="4" t="s">
        <v>68</v>
      </c>
      <c r="J2307" s="112">
        <f>IF($H2307&lt;&gt;"Y",0,ROUND(MIN(Dashboard!$R$24,IF(IFERROR(VLOOKUP($B2307,Dashboard!$Q$28:$S$60,2,FALSE),0)&gt;0,IFERROR(VLOOKUP($B2307,Dashboard!$Q$28:$S$60,2,FALSE),0),$Z2307*IF($U2307&lt;&gt;"",ROUND((Dashboard!$R$4/$U2307)*VLOOKUP($I2307,Dashboard!$Q$9:$R$13,2,FALSE)*IF(ISNUMBER(SEARCH("Duals",$B2307)),2,IF(ISNUMBER(SEARCH("Triples",$B2307)),3,IF(ISNUMBER(SEARCH("Quads",$B2307)),4,1))),2),ROUND(VLOOKUP($I2307,Dashboard!$Q$15:$R$20,2,FALSE)*IF($E2307="Red",Dashboard!$R$6,IF($E2307="Gold",Dashboard!$R$7,Dashboard!$R$5))*IF(ISNUMBER(SEARCH("Duals",$B2307)),2,IF(ISNUMBER(SEARCH("Triples",$B2307)),3,IF(ISNUMBER(SEARCH("Quads",$B2307)),4,1))),2))*IF(IFERROR(VLOOKUP($B2307,Dashboard!$Q$28:$S$60,3,FALSE),0)&gt;0,VLOOKUP($B2307,Dashboard!$Q$28:$S$60,3,FALSE),1))),0))</f>
        <v>49</v>
      </c>
      <c r="K2307" s="2" t="str">
        <f>IF('Autos - Singles'!E4="","",'Autos - Singles'!E4)</f>
        <v/>
      </c>
      <c r="L2307" s="2">
        <f t="shared" si="468"/>
        <v>0</v>
      </c>
      <c r="M2307" s="2">
        <f t="shared" si="469"/>
        <v>0</v>
      </c>
      <c r="N2307" s="2">
        <f t="shared" si="470"/>
        <v>0</v>
      </c>
      <c r="O2307" s="2">
        <f t="shared" si="471"/>
        <v>1</v>
      </c>
      <c r="P2307" s="112">
        <f t="shared" si="472"/>
        <v>0</v>
      </c>
      <c r="Q2307" s="112">
        <f t="shared" si="473"/>
        <v>0</v>
      </c>
      <c r="R2307" s="53"/>
      <c r="S2307" s="53" t="str">
        <f t="shared" si="474"/>
        <v>Autos - Singles|Autographs Red Parallel|A-AS|Red</v>
      </c>
      <c r="T2307" s="57" t="str">
        <f>IF($S2307="","",IFERROR(VLOOKUP($S2307,'Pop Estimates (Non-#d)'!$N$2:$O$500,2,FALSE),""))</f>
        <v/>
      </c>
      <c r="U2307" s="57">
        <f t="shared" si="475"/>
        <v>49</v>
      </c>
      <c r="V2307" s="53" t="str">
        <f t="shared" si="476"/>
        <v>Homelander</v>
      </c>
      <c r="W2307" s="53" t="str">
        <f t="shared" si="477"/>
        <v>Homelander</v>
      </c>
      <c r="X2307" s="53" t="str">
        <f t="shared" si="478"/>
        <v>Homelander</v>
      </c>
      <c r="Y2307" s="57">
        <f>IF($X2307="","",IFERROR(VLOOKUP($X2307,'Char Popularity'!$A$2:$C$500,2,FALSE),""))</f>
        <v>5</v>
      </c>
      <c r="Z2307" s="56">
        <f>IF($X2307="",1,IFERROR(VLOOKUP($X2307,'Char Popularity'!$A$2:$C$500,3,FALSE),1))</f>
        <v>1.2</v>
      </c>
      <c r="AA2307" s="62">
        <f>IF($H2307&lt;&gt;"Y",0,(IF($F2307&lt;&gt;"",ROUND(Dashboard!$R$4/$F2307,1),IF(AND($I2307="Base",$E2307="Base"),Dashboard!$R$5,IF(AND($I2307="Base",$E2307="Red"),Dashboard!$R$6,IF(AND($I2307="Base",$E2307="Gold"),Dashboard!$R$7,VLOOKUP($I2307,Dashboard!$Q$16:$R$21,2,FALSE)))))*VLOOKUP($I2307,Dashboard!$Q$9:$R$13,2,FALSE)*IF(AND($I2307="Auto",$F2307="",OR($B2307="Autographs Duals",$B2307="Autographs Triples",$B2307="Autographs Quads",$B2307="Autographs Quads (Inscribed)")),IF($B2307="Autographs Duals",2,IF($B2307="Autographs Triples",3,4)),1)))</f>
        <v>40.799999999999997</v>
      </c>
      <c r="AB2307" s="62">
        <f t="shared" si="479"/>
        <v>0</v>
      </c>
      <c r="AC2307" s="62">
        <f t="shared" si="480"/>
        <v>0</v>
      </c>
    </row>
    <row r="2308" spans="1:29" ht="30" customHeight="1" x14ac:dyDescent="0.25">
      <c r="A2308" s="4" t="s">
        <v>37</v>
      </c>
      <c r="B2308" s="7" t="s">
        <v>136</v>
      </c>
      <c r="C2308" s="2" t="s">
        <v>223</v>
      </c>
      <c r="D2308" s="7" t="s">
        <v>224</v>
      </c>
      <c r="E2308" s="4" t="s">
        <v>823</v>
      </c>
      <c r="F2308" s="2">
        <v>49</v>
      </c>
      <c r="G2308" s="2" t="s">
        <v>1399</v>
      </c>
      <c r="H2308" s="2" t="s">
        <v>1400</v>
      </c>
      <c r="I2308" s="4" t="s">
        <v>68</v>
      </c>
      <c r="J2308" s="112">
        <f>IF($H2308&lt;&gt;"Y",0,ROUND(MIN(Dashboard!$R$24,IF(IFERROR(VLOOKUP($B2308,Dashboard!$Q$28:$S$60,2,FALSE),0)&gt;0,IFERROR(VLOOKUP($B2308,Dashboard!$Q$28:$S$60,2,FALSE),0),$Z2308*IF($U2308&lt;&gt;"",ROUND((Dashboard!$R$4/$U2308)*VLOOKUP($I2308,Dashboard!$Q$9:$R$13,2,FALSE)*IF(ISNUMBER(SEARCH("Duals",$B2308)),2,IF(ISNUMBER(SEARCH("Triples",$B2308)),3,IF(ISNUMBER(SEARCH("Quads",$B2308)),4,1))),2),ROUND(VLOOKUP($I2308,Dashboard!$Q$15:$R$20,2,FALSE)*IF($E2308="Red",Dashboard!$R$6,IF($E2308="Gold",Dashboard!$R$7,Dashboard!$R$5))*IF(ISNUMBER(SEARCH("Duals",$B2308)),2,IF(ISNUMBER(SEARCH("Triples",$B2308)),3,IF(ISNUMBER(SEARCH("Quads",$B2308)),4,1))),2))*IF(IFERROR(VLOOKUP($B2308,Dashboard!$Q$28:$S$60,3,FALSE),0)&gt;0,VLOOKUP($B2308,Dashboard!$Q$28:$S$60,3,FALSE),1))),0))</f>
        <v>37</v>
      </c>
      <c r="K2308" s="2" t="str">
        <f>IF('Autos - Singles'!E5="","",'Autos - Singles'!E5)</f>
        <v/>
      </c>
      <c r="L2308" s="2">
        <f t="shared" si="468"/>
        <v>0</v>
      </c>
      <c r="M2308" s="2">
        <f t="shared" si="469"/>
        <v>0</v>
      </c>
      <c r="N2308" s="2">
        <f t="shared" si="470"/>
        <v>0</v>
      </c>
      <c r="O2308" s="2">
        <f t="shared" si="471"/>
        <v>1</v>
      </c>
      <c r="P2308" s="112">
        <f t="shared" si="472"/>
        <v>0</v>
      </c>
      <c r="Q2308" s="112">
        <f t="shared" si="473"/>
        <v>0</v>
      </c>
      <c r="R2308" s="53"/>
      <c r="S2308" s="53" t="str">
        <f t="shared" si="474"/>
        <v>Autos - Singles|Autographs Red Parallel|A-BA|Red</v>
      </c>
      <c r="T2308" s="57" t="str">
        <f>IF($S2308="","",IFERROR(VLOOKUP($S2308,'Pop Estimates (Non-#d)'!$N$2:$O$500,2,FALSE),""))</f>
        <v/>
      </c>
      <c r="U2308" s="57">
        <f t="shared" si="475"/>
        <v>49</v>
      </c>
      <c r="V2308" s="53" t="str">
        <f t="shared" si="476"/>
        <v>Popclaw</v>
      </c>
      <c r="W2308" s="53" t="str">
        <f t="shared" si="477"/>
        <v>Popclaw</v>
      </c>
      <c r="X2308" s="53" t="str">
        <f t="shared" si="478"/>
        <v>Popclaw</v>
      </c>
      <c r="Y2308" s="57">
        <f>IF($X2308="","",IFERROR(VLOOKUP($X2308,'Char Popularity'!$A$2:$C$500,2,FALSE),""))</f>
        <v>2</v>
      </c>
      <c r="Z2308" s="56">
        <f>IF($X2308="",1,IFERROR(VLOOKUP($X2308,'Char Popularity'!$A$2:$C$500,3,FALSE),1))</f>
        <v>0.9</v>
      </c>
      <c r="AA2308" s="62">
        <f>IF($H2308&lt;&gt;"Y",0,(IF($F2308&lt;&gt;"",ROUND(Dashboard!$R$4/$F2308,1),IF(AND($I2308="Base",$E2308="Base"),Dashboard!$R$5,IF(AND($I2308="Base",$E2308="Red"),Dashboard!$R$6,IF(AND($I2308="Base",$E2308="Gold"),Dashboard!$R$7,VLOOKUP($I2308,Dashboard!$Q$16:$R$21,2,FALSE)))))*VLOOKUP($I2308,Dashboard!$Q$9:$R$13,2,FALSE)*IF(AND($I2308="Auto",$F2308="",OR($B2308="Autographs Duals",$B2308="Autographs Triples",$B2308="Autographs Quads",$B2308="Autographs Quads (Inscribed)")),IF($B2308="Autographs Duals",2,IF($B2308="Autographs Triples",3,4)),1)))</f>
        <v>40.799999999999997</v>
      </c>
      <c r="AB2308" s="62">
        <f t="shared" si="479"/>
        <v>0</v>
      </c>
      <c r="AC2308" s="62">
        <f t="shared" si="480"/>
        <v>0</v>
      </c>
    </row>
    <row r="2309" spans="1:29" ht="30" customHeight="1" x14ac:dyDescent="0.25">
      <c r="A2309" s="4" t="s">
        <v>37</v>
      </c>
      <c r="B2309" s="7" t="s">
        <v>136</v>
      </c>
      <c r="C2309" s="2" t="s">
        <v>225</v>
      </c>
      <c r="D2309" s="7" t="s">
        <v>224</v>
      </c>
      <c r="E2309" s="4" t="s">
        <v>823</v>
      </c>
      <c r="F2309" s="2">
        <v>49</v>
      </c>
      <c r="G2309" s="2" t="s">
        <v>1399</v>
      </c>
      <c r="H2309" s="2" t="s">
        <v>1400</v>
      </c>
      <c r="I2309" s="4" t="s">
        <v>68</v>
      </c>
      <c r="J2309" s="112">
        <f>IF($H2309&lt;&gt;"Y",0,ROUND(MIN(Dashboard!$R$24,IF(IFERROR(VLOOKUP($B2309,Dashboard!$Q$28:$S$60,2,FALSE),0)&gt;0,IFERROR(VLOOKUP($B2309,Dashboard!$Q$28:$S$60,2,FALSE),0),$Z2309*IF($U2309&lt;&gt;"",ROUND((Dashboard!$R$4/$U2309)*VLOOKUP($I2309,Dashboard!$Q$9:$R$13,2,FALSE)*IF(ISNUMBER(SEARCH("Duals",$B2309)),2,IF(ISNUMBER(SEARCH("Triples",$B2309)),3,IF(ISNUMBER(SEARCH("Quads",$B2309)),4,1))),2),ROUND(VLOOKUP($I2309,Dashboard!$Q$15:$R$20,2,FALSE)*IF($E2309="Red",Dashboard!$R$6,IF($E2309="Gold",Dashboard!$R$7,Dashboard!$R$5))*IF(ISNUMBER(SEARCH("Duals",$B2309)),2,IF(ISNUMBER(SEARCH("Triples",$B2309)),3,IF(ISNUMBER(SEARCH("Quads",$B2309)),4,1))),2))*IF(IFERROR(VLOOKUP($B2309,Dashboard!$Q$28:$S$60,3,FALSE),0)&gt;0,VLOOKUP($B2309,Dashboard!$Q$28:$S$60,3,FALSE),1))),0))</f>
        <v>37</v>
      </c>
      <c r="K2309" s="2" t="str">
        <f>IF('Autos - Singles'!E6="","",'Autos - Singles'!E6)</f>
        <v/>
      </c>
      <c r="L2309" s="2">
        <f t="shared" si="468"/>
        <v>0</v>
      </c>
      <c r="M2309" s="2">
        <f t="shared" si="469"/>
        <v>0</v>
      </c>
      <c r="N2309" s="2">
        <f t="shared" si="470"/>
        <v>0</v>
      </c>
      <c r="O2309" s="2">
        <f t="shared" si="471"/>
        <v>1</v>
      </c>
      <c r="P2309" s="112">
        <f t="shared" si="472"/>
        <v>0</v>
      </c>
      <c r="Q2309" s="112">
        <f t="shared" si="473"/>
        <v>0</v>
      </c>
      <c r="R2309" s="53"/>
      <c r="S2309" s="53" t="str">
        <f t="shared" si="474"/>
        <v>Autos - Singles|Autographs Red Parallel|A-BI|Red</v>
      </c>
      <c r="T2309" s="57" t="str">
        <f>IF($S2309="","",IFERROR(VLOOKUP($S2309,'Pop Estimates (Non-#d)'!$N$2:$O$500,2,FALSE),""))</f>
        <v/>
      </c>
      <c r="U2309" s="57">
        <f t="shared" si="475"/>
        <v>49</v>
      </c>
      <c r="V2309" s="53" t="str">
        <f t="shared" si="476"/>
        <v>Popclaw</v>
      </c>
      <c r="W2309" s="53" t="str">
        <f t="shared" si="477"/>
        <v>Popclaw</v>
      </c>
      <c r="X2309" s="53" t="str">
        <f t="shared" si="478"/>
        <v>Popclaw</v>
      </c>
      <c r="Y2309" s="57">
        <f>IF($X2309="","",IFERROR(VLOOKUP($X2309,'Char Popularity'!$A$2:$C$500,2,FALSE),""))</f>
        <v>2</v>
      </c>
      <c r="Z2309" s="56">
        <f>IF($X2309="",1,IFERROR(VLOOKUP($X2309,'Char Popularity'!$A$2:$C$500,3,FALSE),1))</f>
        <v>0.9</v>
      </c>
      <c r="AA2309" s="62">
        <f>IF($H2309&lt;&gt;"Y",0,(IF($F2309&lt;&gt;"",ROUND(Dashboard!$R$4/$F2309,1),IF(AND($I2309="Base",$E2309="Base"),Dashboard!$R$5,IF(AND($I2309="Base",$E2309="Red"),Dashboard!$R$6,IF(AND($I2309="Base",$E2309="Gold"),Dashboard!$R$7,VLOOKUP($I2309,Dashboard!$Q$16:$R$21,2,FALSE)))))*VLOOKUP($I2309,Dashboard!$Q$9:$R$13,2,FALSE)*IF(AND($I2309="Auto",$F2309="",OR($B2309="Autographs Duals",$B2309="Autographs Triples",$B2309="Autographs Quads",$B2309="Autographs Quads (Inscribed)")),IF($B2309="Autographs Duals",2,IF($B2309="Autographs Triples",3,4)),1)))</f>
        <v>40.799999999999997</v>
      </c>
      <c r="AB2309" s="62">
        <f t="shared" si="479"/>
        <v>0</v>
      </c>
      <c r="AC2309" s="62">
        <f t="shared" si="480"/>
        <v>0</v>
      </c>
    </row>
    <row r="2310" spans="1:29" ht="30" customHeight="1" x14ac:dyDescent="0.25">
      <c r="A2310" s="4" t="s">
        <v>37</v>
      </c>
      <c r="B2310" s="7" t="s">
        <v>136</v>
      </c>
      <c r="C2310" s="2" t="s">
        <v>226</v>
      </c>
      <c r="D2310" s="7" t="s">
        <v>224</v>
      </c>
      <c r="E2310" s="4" t="s">
        <v>823</v>
      </c>
      <c r="F2310" s="2">
        <v>25</v>
      </c>
      <c r="G2310" s="2" t="s">
        <v>1399</v>
      </c>
      <c r="H2310" s="2" t="s">
        <v>1400</v>
      </c>
      <c r="I2310" s="4" t="s">
        <v>68</v>
      </c>
      <c r="J2310" s="112">
        <f>IF($H2310&lt;&gt;"Y",0,ROUND(MIN(Dashboard!$R$24,IF(IFERROR(VLOOKUP($B2310,Dashboard!$Q$28:$S$60,2,FALSE),0)&gt;0,IFERROR(VLOOKUP($B2310,Dashboard!$Q$28:$S$60,2,FALSE),0),$Z2310*IF($U2310&lt;&gt;"",ROUND((Dashboard!$R$4/$U2310)*VLOOKUP($I2310,Dashboard!$Q$9:$R$13,2,FALSE)*IF(ISNUMBER(SEARCH("Duals",$B2310)),2,IF(ISNUMBER(SEARCH("Triples",$B2310)),3,IF(ISNUMBER(SEARCH("Quads",$B2310)),4,1))),2),ROUND(VLOOKUP($I2310,Dashboard!$Q$15:$R$20,2,FALSE)*IF($E2310="Red",Dashboard!$R$6,IF($E2310="Gold",Dashboard!$R$7,Dashboard!$R$5))*IF(ISNUMBER(SEARCH("Duals",$B2310)),2,IF(ISNUMBER(SEARCH("Triples",$B2310)),3,IF(ISNUMBER(SEARCH("Quads",$B2310)),4,1))),2))*IF(IFERROR(VLOOKUP($B2310,Dashboard!$Q$28:$S$60,3,FALSE),0)&gt;0,VLOOKUP($B2310,Dashboard!$Q$28:$S$60,3,FALSE),1))),0))</f>
        <v>72</v>
      </c>
      <c r="K2310" s="2" t="str">
        <f>IF('Autos - Singles'!E7="","",'Autos - Singles'!E7)</f>
        <v>C</v>
      </c>
      <c r="L2310" s="2">
        <f t="shared" si="468"/>
        <v>1</v>
      </c>
      <c r="M2310" s="2">
        <f t="shared" si="469"/>
        <v>0</v>
      </c>
      <c r="N2310" s="2">
        <f t="shared" si="470"/>
        <v>1</v>
      </c>
      <c r="O2310" s="2">
        <f t="shared" si="471"/>
        <v>0</v>
      </c>
      <c r="P2310" s="112">
        <f t="shared" si="472"/>
        <v>72</v>
      </c>
      <c r="Q2310" s="112">
        <f t="shared" si="473"/>
        <v>0</v>
      </c>
      <c r="R2310" s="53"/>
      <c r="S2310" s="53" t="str">
        <f t="shared" si="474"/>
        <v>Autos - Singles|Autographs Red Parallel|A-BR|Red</v>
      </c>
      <c r="T2310" s="57" t="str">
        <f>IF($S2310="","",IFERROR(VLOOKUP($S2310,'Pop Estimates (Non-#d)'!$N$2:$O$500,2,FALSE),""))</f>
        <v/>
      </c>
      <c r="U2310" s="57">
        <f t="shared" si="475"/>
        <v>25</v>
      </c>
      <c r="V2310" s="53" t="str">
        <f t="shared" si="476"/>
        <v>Popclaw</v>
      </c>
      <c r="W2310" s="53" t="str">
        <f t="shared" si="477"/>
        <v>Popclaw</v>
      </c>
      <c r="X2310" s="53" t="str">
        <f t="shared" si="478"/>
        <v>Popclaw</v>
      </c>
      <c r="Y2310" s="57">
        <f>IF($X2310="","",IFERROR(VLOOKUP($X2310,'Char Popularity'!$A$2:$C$500,2,FALSE),""))</f>
        <v>2</v>
      </c>
      <c r="Z2310" s="56">
        <f>IF($X2310="",1,IFERROR(VLOOKUP($X2310,'Char Popularity'!$A$2:$C$500,3,FALSE),1))</f>
        <v>0.9</v>
      </c>
      <c r="AA2310" s="62">
        <f>IF($H2310&lt;&gt;"Y",0,(IF($F2310&lt;&gt;"",ROUND(Dashboard!$R$4/$F2310,1),IF(AND($I2310="Base",$E2310="Base"),Dashboard!$R$5,IF(AND($I2310="Base",$E2310="Red"),Dashboard!$R$6,IF(AND($I2310="Base",$E2310="Gold"),Dashboard!$R$7,VLOOKUP($I2310,Dashboard!$Q$16:$R$21,2,FALSE)))))*VLOOKUP($I2310,Dashboard!$Q$9:$R$13,2,FALSE)*IF(AND($I2310="Auto",$F2310="",OR($B2310="Autographs Duals",$B2310="Autographs Triples",$B2310="Autographs Quads",$B2310="Autographs Quads (Inscribed)")),IF($B2310="Autographs Duals",2,IF($B2310="Autographs Triples",3,4)),1)))</f>
        <v>80</v>
      </c>
      <c r="AB2310" s="62">
        <f t="shared" si="479"/>
        <v>80</v>
      </c>
      <c r="AC2310" s="62">
        <f t="shared" si="480"/>
        <v>0</v>
      </c>
    </row>
    <row r="2311" spans="1:29" ht="30" customHeight="1" x14ac:dyDescent="0.25">
      <c r="A2311" s="4" t="s">
        <v>37</v>
      </c>
      <c r="B2311" s="7" t="s">
        <v>136</v>
      </c>
      <c r="C2311" s="2" t="s">
        <v>227</v>
      </c>
      <c r="D2311" s="7" t="s">
        <v>228</v>
      </c>
      <c r="E2311" s="4" t="s">
        <v>823</v>
      </c>
      <c r="F2311" s="2">
        <v>49</v>
      </c>
      <c r="G2311" s="2" t="s">
        <v>1399</v>
      </c>
      <c r="H2311" s="2" t="s">
        <v>1400</v>
      </c>
      <c r="I2311" s="4" t="s">
        <v>68</v>
      </c>
      <c r="J2311" s="112">
        <f>IF($H2311&lt;&gt;"Y",0,ROUND(MIN(Dashboard!$R$24,IF(IFERROR(VLOOKUP($B2311,Dashboard!$Q$28:$S$60,2,FALSE),0)&gt;0,IFERROR(VLOOKUP($B2311,Dashboard!$Q$28:$S$60,2,FALSE),0),$Z2311*IF($U2311&lt;&gt;"",ROUND((Dashboard!$R$4/$U2311)*VLOOKUP($I2311,Dashboard!$Q$9:$R$13,2,FALSE)*IF(ISNUMBER(SEARCH("Duals",$B2311)),2,IF(ISNUMBER(SEARCH("Triples",$B2311)),3,IF(ISNUMBER(SEARCH("Quads",$B2311)),4,1))),2),ROUND(VLOOKUP($I2311,Dashboard!$Q$15:$R$20,2,FALSE)*IF($E2311="Red",Dashboard!$R$6,IF($E2311="Gold",Dashboard!$R$7,Dashboard!$R$5))*IF(ISNUMBER(SEARCH("Duals",$B2311)),2,IF(ISNUMBER(SEARCH("Triples",$B2311)),3,IF(ISNUMBER(SEARCH("Quads",$B2311)),4,1))),2))*IF(IFERROR(VLOOKUP($B2311,Dashboard!$Q$28:$S$60,3,FALSE),0)&gt;0,VLOOKUP($B2311,Dashboard!$Q$28:$S$60,3,FALSE),1))),0))</f>
        <v>45</v>
      </c>
      <c r="K2311" s="2" t="str">
        <f>IF('Autos - Singles'!E8="","",'Autos - Singles'!E8)</f>
        <v>C 12/25</v>
      </c>
      <c r="L2311" s="2">
        <f t="shared" si="468"/>
        <v>1</v>
      </c>
      <c r="M2311" s="2">
        <f t="shared" si="469"/>
        <v>0</v>
      </c>
      <c r="N2311" s="2">
        <f t="shared" si="470"/>
        <v>1</v>
      </c>
      <c r="O2311" s="2">
        <f t="shared" si="471"/>
        <v>0</v>
      </c>
      <c r="P2311" s="112">
        <f t="shared" si="472"/>
        <v>45</v>
      </c>
      <c r="Q2311" s="112">
        <f t="shared" si="473"/>
        <v>0</v>
      </c>
      <c r="R2311" s="53"/>
      <c r="S2311" s="53" t="str">
        <f t="shared" si="474"/>
        <v>Autos - Singles|Autographs Red Parallel|A-CA|Red</v>
      </c>
      <c r="T2311" s="57" t="str">
        <f>IF($S2311="","",IFERROR(VLOOKUP($S2311,'Pop Estimates (Non-#d)'!$N$2:$O$500,2,FALSE),""))</f>
        <v/>
      </c>
      <c r="U2311" s="57">
        <f t="shared" si="475"/>
        <v>49</v>
      </c>
      <c r="V2311" s="53" t="str">
        <f t="shared" si="476"/>
        <v>Ryan</v>
      </c>
      <c r="W2311" s="53" t="str">
        <f t="shared" si="477"/>
        <v>Ryan</v>
      </c>
      <c r="X2311" s="53" t="str">
        <f t="shared" si="478"/>
        <v>Ryan</v>
      </c>
      <c r="Y2311" s="57">
        <f>IF($X2311="","",IFERROR(VLOOKUP($X2311,'Char Popularity'!$A$2:$C$500,2,FALSE),""))</f>
        <v>4</v>
      </c>
      <c r="Z2311" s="56">
        <f>IF($X2311="",1,IFERROR(VLOOKUP($X2311,'Char Popularity'!$A$2:$C$500,3,FALSE),1))</f>
        <v>1.1000000000000001</v>
      </c>
      <c r="AA2311" s="62">
        <f>IF($H2311&lt;&gt;"Y",0,(IF($F2311&lt;&gt;"",ROUND(Dashboard!$R$4/$F2311,1),IF(AND($I2311="Base",$E2311="Base"),Dashboard!$R$5,IF(AND($I2311="Base",$E2311="Red"),Dashboard!$R$6,IF(AND($I2311="Base",$E2311="Gold"),Dashboard!$R$7,VLOOKUP($I2311,Dashboard!$Q$16:$R$21,2,FALSE)))))*VLOOKUP($I2311,Dashboard!$Q$9:$R$13,2,FALSE)*IF(AND($I2311="Auto",$F2311="",OR($B2311="Autographs Duals",$B2311="Autographs Triples",$B2311="Autographs Quads",$B2311="Autographs Quads (Inscribed)")),IF($B2311="Autographs Duals",2,IF($B2311="Autographs Triples",3,4)),1)))</f>
        <v>40.799999999999997</v>
      </c>
      <c r="AB2311" s="62">
        <f t="shared" si="479"/>
        <v>40.799999999999997</v>
      </c>
      <c r="AC2311" s="62">
        <f t="shared" si="480"/>
        <v>0</v>
      </c>
    </row>
    <row r="2312" spans="1:29" ht="30" customHeight="1" x14ac:dyDescent="0.25">
      <c r="A2312" s="4" t="s">
        <v>37</v>
      </c>
      <c r="B2312" s="7" t="s">
        <v>136</v>
      </c>
      <c r="C2312" s="2" t="s">
        <v>229</v>
      </c>
      <c r="D2312" s="7" t="s">
        <v>230</v>
      </c>
      <c r="E2312" s="4" t="s">
        <v>823</v>
      </c>
      <c r="F2312" s="2">
        <v>49</v>
      </c>
      <c r="G2312" s="2" t="s">
        <v>1399</v>
      </c>
      <c r="H2312" s="2" t="s">
        <v>1400</v>
      </c>
      <c r="I2312" s="4" t="s">
        <v>68</v>
      </c>
      <c r="J2312" s="112">
        <f>IF($H2312&lt;&gt;"Y",0,ROUND(MIN(Dashboard!$R$24,IF(IFERROR(VLOOKUP($B2312,Dashboard!$Q$28:$S$60,2,FALSE),0)&gt;0,IFERROR(VLOOKUP($B2312,Dashboard!$Q$28:$S$60,2,FALSE),0),$Z2312*IF($U2312&lt;&gt;"",ROUND((Dashboard!$R$4/$U2312)*VLOOKUP($I2312,Dashboard!$Q$9:$R$13,2,FALSE)*IF(ISNUMBER(SEARCH("Duals",$B2312)),2,IF(ISNUMBER(SEARCH("Triples",$B2312)),3,IF(ISNUMBER(SEARCH("Quads",$B2312)),4,1))),2),ROUND(VLOOKUP($I2312,Dashboard!$Q$15:$R$20,2,FALSE)*IF($E2312="Red",Dashboard!$R$6,IF($E2312="Gold",Dashboard!$R$7,Dashboard!$R$5))*IF(ISNUMBER(SEARCH("Duals",$B2312)),2,IF(ISNUMBER(SEARCH("Triples",$B2312)),3,IF(ISNUMBER(SEARCH("Quads",$B2312)),4,1))),2))*IF(IFERROR(VLOOKUP($B2312,Dashboard!$Q$28:$S$60,3,FALSE),0)&gt;0,VLOOKUP($B2312,Dashboard!$Q$28:$S$60,3,FALSE),1))),0))</f>
        <v>45</v>
      </c>
      <c r="K2312" s="2" t="str">
        <f>IF('Autos - Singles'!E9="","",'Autos - Singles'!E9)</f>
        <v/>
      </c>
      <c r="L2312" s="2">
        <f t="shared" si="468"/>
        <v>0</v>
      </c>
      <c r="M2312" s="2">
        <f t="shared" si="469"/>
        <v>0</v>
      </c>
      <c r="N2312" s="2">
        <f t="shared" si="470"/>
        <v>0</v>
      </c>
      <c r="O2312" s="2">
        <f t="shared" si="471"/>
        <v>1</v>
      </c>
      <c r="P2312" s="112">
        <f t="shared" si="472"/>
        <v>0</v>
      </c>
      <c r="Q2312" s="112">
        <f t="shared" si="473"/>
        <v>0</v>
      </c>
      <c r="R2312" s="53"/>
      <c r="S2312" s="53" t="str">
        <f t="shared" si="474"/>
        <v>Autos - Singles|Autographs Red Parallel|A-CC|Red</v>
      </c>
      <c r="T2312" s="57" t="str">
        <f>IF($S2312="","",IFERROR(VLOOKUP($S2312,'Pop Estimates (Non-#d)'!$N$2:$O$500,2,FALSE),""))</f>
        <v/>
      </c>
      <c r="U2312" s="57">
        <f t="shared" si="475"/>
        <v>49</v>
      </c>
      <c r="V2312" s="53" t="str">
        <f t="shared" si="476"/>
        <v>The Deep</v>
      </c>
      <c r="W2312" s="53" t="str">
        <f t="shared" si="477"/>
        <v>The Deep</v>
      </c>
      <c r="X2312" s="53" t="str">
        <f t="shared" si="478"/>
        <v>The Deep</v>
      </c>
      <c r="Y2312" s="57">
        <f>IF($X2312="","",IFERROR(VLOOKUP($X2312,'Char Popularity'!$A$2:$C$500,2,FALSE),""))</f>
        <v>4</v>
      </c>
      <c r="Z2312" s="56">
        <f>IF($X2312="",1,IFERROR(VLOOKUP($X2312,'Char Popularity'!$A$2:$C$500,3,FALSE),1))</f>
        <v>1.1000000000000001</v>
      </c>
      <c r="AA2312" s="62">
        <f>IF($H2312&lt;&gt;"Y",0,(IF($F2312&lt;&gt;"",ROUND(Dashboard!$R$4/$F2312,1),IF(AND($I2312="Base",$E2312="Base"),Dashboard!$R$5,IF(AND($I2312="Base",$E2312="Red"),Dashboard!$R$6,IF(AND($I2312="Base",$E2312="Gold"),Dashboard!$R$7,VLOOKUP($I2312,Dashboard!$Q$16:$R$21,2,FALSE)))))*VLOOKUP($I2312,Dashboard!$Q$9:$R$13,2,FALSE)*IF(AND($I2312="Auto",$F2312="",OR($B2312="Autographs Duals",$B2312="Autographs Triples",$B2312="Autographs Quads",$B2312="Autographs Quads (Inscribed)")),IF($B2312="Autographs Duals",2,IF($B2312="Autographs Triples",3,4)),1)))</f>
        <v>40.799999999999997</v>
      </c>
      <c r="AB2312" s="62">
        <f t="shared" si="479"/>
        <v>0</v>
      </c>
      <c r="AC2312" s="62">
        <f t="shared" si="480"/>
        <v>0</v>
      </c>
    </row>
    <row r="2313" spans="1:29" ht="30" customHeight="1" x14ac:dyDescent="0.25">
      <c r="A2313" s="4" t="s">
        <v>37</v>
      </c>
      <c r="B2313" s="7" t="s">
        <v>136</v>
      </c>
      <c r="C2313" s="2" t="s">
        <v>231</v>
      </c>
      <c r="D2313" s="7" t="s">
        <v>230</v>
      </c>
      <c r="E2313" s="4" t="s">
        <v>823</v>
      </c>
      <c r="F2313" s="2">
        <v>25</v>
      </c>
      <c r="G2313" s="2" t="s">
        <v>1399</v>
      </c>
      <c r="H2313" s="2" t="s">
        <v>1400</v>
      </c>
      <c r="I2313" s="4" t="s">
        <v>68</v>
      </c>
      <c r="J2313" s="112">
        <f>IF($H2313&lt;&gt;"Y",0,ROUND(MIN(Dashboard!$R$24,IF(IFERROR(VLOOKUP($B2313,Dashboard!$Q$28:$S$60,2,FALSE),0)&gt;0,IFERROR(VLOOKUP($B2313,Dashboard!$Q$28:$S$60,2,FALSE),0),$Z2313*IF($U2313&lt;&gt;"",ROUND((Dashboard!$R$4/$U2313)*VLOOKUP($I2313,Dashboard!$Q$9:$R$13,2,FALSE)*IF(ISNUMBER(SEARCH("Duals",$B2313)),2,IF(ISNUMBER(SEARCH("Triples",$B2313)),3,IF(ISNUMBER(SEARCH("Quads",$B2313)),4,1))),2),ROUND(VLOOKUP($I2313,Dashboard!$Q$15:$R$20,2,FALSE)*IF($E2313="Red",Dashboard!$R$6,IF($E2313="Gold",Dashboard!$R$7,Dashboard!$R$5))*IF(ISNUMBER(SEARCH("Duals",$B2313)),2,IF(ISNUMBER(SEARCH("Triples",$B2313)),3,IF(ISNUMBER(SEARCH("Quads",$B2313)),4,1))),2))*IF(IFERROR(VLOOKUP($B2313,Dashboard!$Q$28:$S$60,3,FALSE),0)&gt;0,VLOOKUP($B2313,Dashboard!$Q$28:$S$60,3,FALSE),1))),0))</f>
        <v>88</v>
      </c>
      <c r="K2313" s="2" t="str">
        <f>IF('Autos - Singles'!E10="","",'Autos - Singles'!E10)</f>
        <v/>
      </c>
      <c r="L2313" s="2">
        <f t="shared" si="468"/>
        <v>0</v>
      </c>
      <c r="M2313" s="2">
        <f t="shared" si="469"/>
        <v>0</v>
      </c>
      <c r="N2313" s="2">
        <f t="shared" si="470"/>
        <v>0</v>
      </c>
      <c r="O2313" s="2">
        <f t="shared" si="471"/>
        <v>1</v>
      </c>
      <c r="P2313" s="112">
        <f t="shared" si="472"/>
        <v>0</v>
      </c>
      <c r="Q2313" s="112">
        <f t="shared" si="473"/>
        <v>0</v>
      </c>
      <c r="R2313" s="53"/>
      <c r="S2313" s="53" t="str">
        <f t="shared" si="474"/>
        <v>Autos - Singles|Autographs Red Parallel|A-CH|Red</v>
      </c>
      <c r="T2313" s="57" t="str">
        <f>IF($S2313="","",IFERROR(VLOOKUP($S2313,'Pop Estimates (Non-#d)'!$N$2:$O$500,2,FALSE),""))</f>
        <v/>
      </c>
      <c r="U2313" s="57">
        <f t="shared" si="475"/>
        <v>25</v>
      </c>
      <c r="V2313" s="53" t="str">
        <f t="shared" si="476"/>
        <v>The Deep</v>
      </c>
      <c r="W2313" s="53" t="str">
        <f t="shared" si="477"/>
        <v>The Deep</v>
      </c>
      <c r="X2313" s="53" t="str">
        <f t="shared" si="478"/>
        <v>The Deep</v>
      </c>
      <c r="Y2313" s="57">
        <f>IF($X2313="","",IFERROR(VLOOKUP($X2313,'Char Popularity'!$A$2:$C$500,2,FALSE),""))</f>
        <v>4</v>
      </c>
      <c r="Z2313" s="56">
        <f>IF($X2313="",1,IFERROR(VLOOKUP($X2313,'Char Popularity'!$A$2:$C$500,3,FALSE),1))</f>
        <v>1.1000000000000001</v>
      </c>
      <c r="AA2313" s="62">
        <f>IF($H2313&lt;&gt;"Y",0,(IF($F2313&lt;&gt;"",ROUND(Dashboard!$R$4/$F2313,1),IF(AND($I2313="Base",$E2313="Base"),Dashboard!$R$5,IF(AND($I2313="Base",$E2313="Red"),Dashboard!$R$6,IF(AND($I2313="Base",$E2313="Gold"),Dashboard!$R$7,VLOOKUP($I2313,Dashboard!$Q$16:$R$21,2,FALSE)))))*VLOOKUP($I2313,Dashboard!$Q$9:$R$13,2,FALSE)*IF(AND($I2313="Auto",$F2313="",OR($B2313="Autographs Duals",$B2313="Autographs Triples",$B2313="Autographs Quads",$B2313="Autographs Quads (Inscribed)")),IF($B2313="Autographs Duals",2,IF($B2313="Autographs Triples",3,4)),1)))</f>
        <v>80</v>
      </c>
      <c r="AB2313" s="62">
        <f t="shared" si="479"/>
        <v>0</v>
      </c>
      <c r="AC2313" s="62">
        <f t="shared" si="480"/>
        <v>0</v>
      </c>
    </row>
    <row r="2314" spans="1:29" ht="30" customHeight="1" x14ac:dyDescent="0.25">
      <c r="A2314" s="4" t="s">
        <v>37</v>
      </c>
      <c r="B2314" s="7" t="s">
        <v>136</v>
      </c>
      <c r="C2314" s="2" t="s">
        <v>233</v>
      </c>
      <c r="D2314" s="7" t="s">
        <v>234</v>
      </c>
      <c r="E2314" s="4" t="s">
        <v>823</v>
      </c>
      <c r="F2314" s="2">
        <v>25</v>
      </c>
      <c r="G2314" s="2" t="s">
        <v>1399</v>
      </c>
      <c r="H2314" s="2" t="s">
        <v>1400</v>
      </c>
      <c r="I2314" s="4" t="s">
        <v>68</v>
      </c>
      <c r="J2314" s="112">
        <f>IF($H2314&lt;&gt;"Y",0,ROUND(MIN(Dashboard!$R$24,IF(IFERROR(VLOOKUP($B2314,Dashboard!$Q$28:$S$60,2,FALSE),0)&gt;0,IFERROR(VLOOKUP($B2314,Dashboard!$Q$28:$S$60,2,FALSE),0),$Z2314*IF($U2314&lt;&gt;"",ROUND((Dashboard!$R$4/$U2314)*VLOOKUP($I2314,Dashboard!$Q$9:$R$13,2,FALSE)*IF(ISNUMBER(SEARCH("Duals",$B2314)),2,IF(ISNUMBER(SEARCH("Triples",$B2314)),3,IF(ISNUMBER(SEARCH("Quads",$B2314)),4,1))),2),ROUND(VLOOKUP($I2314,Dashboard!$Q$15:$R$20,2,FALSE)*IF($E2314="Red",Dashboard!$R$6,IF($E2314="Gold",Dashboard!$R$7,Dashboard!$R$5))*IF(ISNUMBER(SEARCH("Duals",$B2314)),2,IF(ISNUMBER(SEARCH("Triples",$B2314)),3,IF(ISNUMBER(SEARCH("Quads",$B2314)),4,1))),2))*IF(IFERROR(VLOOKUP($B2314,Dashboard!$Q$28:$S$60,3,FALSE),0)&gt;0,VLOOKUP($B2314,Dashboard!$Q$28:$S$60,3,FALSE),1))),0))</f>
        <v>80</v>
      </c>
      <c r="K2314" s="2" t="str">
        <f>IF('Autos - Singles'!E11="","",'Autos - Singles'!E11)</f>
        <v/>
      </c>
      <c r="L2314" s="2">
        <f t="shared" si="468"/>
        <v>0</v>
      </c>
      <c r="M2314" s="2">
        <f t="shared" si="469"/>
        <v>0</v>
      </c>
      <c r="N2314" s="2">
        <f t="shared" si="470"/>
        <v>0</v>
      </c>
      <c r="O2314" s="2">
        <f t="shared" si="471"/>
        <v>1</v>
      </c>
      <c r="P2314" s="112">
        <f t="shared" si="472"/>
        <v>0</v>
      </c>
      <c r="Q2314" s="112">
        <f t="shared" si="473"/>
        <v>0</v>
      </c>
      <c r="R2314" s="53"/>
      <c r="S2314" s="53" t="str">
        <f t="shared" si="474"/>
        <v>Autos - Singles|Autographs Red Parallel|A-CL|Red</v>
      </c>
      <c r="T2314" s="57" t="str">
        <f>IF($S2314="","",IFERROR(VLOOKUP($S2314,'Pop Estimates (Non-#d)'!$N$2:$O$500,2,FALSE),""))</f>
        <v/>
      </c>
      <c r="U2314" s="57">
        <f t="shared" si="475"/>
        <v>25</v>
      </c>
      <c r="V2314" s="53" t="str">
        <f t="shared" si="476"/>
        <v>Ashley Barrett</v>
      </c>
      <c r="W2314" s="53" t="str">
        <f t="shared" si="477"/>
        <v>Ashley Barrett</v>
      </c>
      <c r="X2314" s="53" t="str">
        <f t="shared" si="478"/>
        <v>Ashley Barrett</v>
      </c>
      <c r="Y2314" s="57">
        <f>IF($X2314="","",IFERROR(VLOOKUP($X2314,'Char Popularity'!$A$2:$C$500,2,FALSE),""))</f>
        <v>3</v>
      </c>
      <c r="Z2314" s="56">
        <f>IF($X2314="",1,IFERROR(VLOOKUP($X2314,'Char Popularity'!$A$2:$C$500,3,FALSE),1))</f>
        <v>1</v>
      </c>
      <c r="AA2314" s="62">
        <f>IF($H2314&lt;&gt;"Y",0,(IF($F2314&lt;&gt;"",ROUND(Dashboard!$R$4/$F2314,1),IF(AND($I2314="Base",$E2314="Base"),Dashboard!$R$5,IF(AND($I2314="Base",$E2314="Red"),Dashboard!$R$6,IF(AND($I2314="Base",$E2314="Gold"),Dashboard!$R$7,VLOOKUP($I2314,Dashboard!$Q$16:$R$21,2,FALSE)))))*VLOOKUP($I2314,Dashboard!$Q$9:$R$13,2,FALSE)*IF(AND($I2314="Auto",$F2314="",OR($B2314="Autographs Duals",$B2314="Autographs Triples",$B2314="Autographs Quads",$B2314="Autographs Quads (Inscribed)")),IF($B2314="Autographs Duals",2,IF($B2314="Autographs Triples",3,4)),1)))</f>
        <v>80</v>
      </c>
      <c r="AB2314" s="62">
        <f t="shared" si="479"/>
        <v>0</v>
      </c>
      <c r="AC2314" s="62">
        <f t="shared" si="480"/>
        <v>0</v>
      </c>
    </row>
    <row r="2315" spans="1:29" ht="30" customHeight="1" x14ac:dyDescent="0.25">
      <c r="A2315" s="4" t="s">
        <v>37</v>
      </c>
      <c r="B2315" s="7" t="s">
        <v>136</v>
      </c>
      <c r="C2315" s="2" t="s">
        <v>235</v>
      </c>
      <c r="D2315" s="7" t="s">
        <v>234</v>
      </c>
      <c r="E2315" s="4" t="s">
        <v>823</v>
      </c>
      <c r="F2315" s="2">
        <v>49</v>
      </c>
      <c r="G2315" s="2" t="s">
        <v>1399</v>
      </c>
      <c r="H2315" s="2" t="s">
        <v>1400</v>
      </c>
      <c r="I2315" s="4" t="s">
        <v>68</v>
      </c>
      <c r="J2315" s="112">
        <f>IF($H2315&lt;&gt;"Y",0,ROUND(MIN(Dashboard!$R$24,IF(IFERROR(VLOOKUP($B2315,Dashboard!$Q$28:$S$60,2,FALSE),0)&gt;0,IFERROR(VLOOKUP($B2315,Dashboard!$Q$28:$S$60,2,FALSE),0),$Z2315*IF($U2315&lt;&gt;"",ROUND((Dashboard!$R$4/$U2315)*VLOOKUP($I2315,Dashboard!$Q$9:$R$13,2,FALSE)*IF(ISNUMBER(SEARCH("Duals",$B2315)),2,IF(ISNUMBER(SEARCH("Triples",$B2315)),3,IF(ISNUMBER(SEARCH("Quads",$B2315)),4,1))),2),ROUND(VLOOKUP($I2315,Dashboard!$Q$15:$R$20,2,FALSE)*IF($E2315="Red",Dashboard!$R$6,IF($E2315="Gold",Dashboard!$R$7,Dashboard!$R$5))*IF(ISNUMBER(SEARCH("Duals",$B2315)),2,IF(ISNUMBER(SEARCH("Triples",$B2315)),3,IF(ISNUMBER(SEARCH("Quads",$B2315)),4,1))),2))*IF(IFERROR(VLOOKUP($B2315,Dashboard!$Q$28:$S$60,3,FALSE),0)&gt;0,VLOOKUP($B2315,Dashboard!$Q$28:$S$60,3,FALSE),1))),0))</f>
        <v>41</v>
      </c>
      <c r="K2315" s="2" t="str">
        <f>IF('Autos - Singles'!E12="","",'Autos - Singles'!E12)</f>
        <v>V 39/49</v>
      </c>
      <c r="L2315" s="2">
        <f t="shared" si="468"/>
        <v>1</v>
      </c>
      <c r="M2315" s="2">
        <f t="shared" si="469"/>
        <v>0</v>
      </c>
      <c r="N2315" s="2">
        <f t="shared" si="470"/>
        <v>1</v>
      </c>
      <c r="O2315" s="2">
        <f t="shared" si="471"/>
        <v>0</v>
      </c>
      <c r="P2315" s="112">
        <f t="shared" si="472"/>
        <v>41</v>
      </c>
      <c r="Q2315" s="112">
        <f t="shared" si="473"/>
        <v>0</v>
      </c>
      <c r="R2315" s="53"/>
      <c r="S2315" s="53" t="str">
        <f t="shared" si="474"/>
        <v>Autos - Singles|Autographs Red Parallel|A-CM|Red</v>
      </c>
      <c r="T2315" s="57" t="str">
        <f>IF($S2315="","",IFERROR(VLOOKUP($S2315,'Pop Estimates (Non-#d)'!$N$2:$O$500,2,FALSE),""))</f>
        <v/>
      </c>
      <c r="U2315" s="57">
        <f t="shared" si="475"/>
        <v>49</v>
      </c>
      <c r="V2315" s="53" t="str">
        <f t="shared" si="476"/>
        <v>Ashley Barrett</v>
      </c>
      <c r="W2315" s="53" t="str">
        <f t="shared" si="477"/>
        <v>Ashley Barrett</v>
      </c>
      <c r="X2315" s="53" t="str">
        <f t="shared" si="478"/>
        <v>Ashley Barrett</v>
      </c>
      <c r="Y2315" s="57">
        <f>IF($X2315="","",IFERROR(VLOOKUP($X2315,'Char Popularity'!$A$2:$C$500,2,FALSE),""))</f>
        <v>3</v>
      </c>
      <c r="Z2315" s="56">
        <f>IF($X2315="",1,IFERROR(VLOOKUP($X2315,'Char Popularity'!$A$2:$C$500,3,FALSE),1))</f>
        <v>1</v>
      </c>
      <c r="AA2315" s="62">
        <f>IF($H2315&lt;&gt;"Y",0,(IF($F2315&lt;&gt;"",ROUND(Dashboard!$R$4/$F2315,1),IF(AND($I2315="Base",$E2315="Base"),Dashboard!$R$5,IF(AND($I2315="Base",$E2315="Red"),Dashboard!$R$6,IF(AND($I2315="Base",$E2315="Gold"),Dashboard!$R$7,VLOOKUP($I2315,Dashboard!$Q$16:$R$21,2,FALSE)))))*VLOOKUP($I2315,Dashboard!$Q$9:$R$13,2,FALSE)*IF(AND($I2315="Auto",$F2315="",OR($B2315="Autographs Duals",$B2315="Autographs Triples",$B2315="Autographs Quads",$B2315="Autographs Quads (Inscribed)")),IF($B2315="Autographs Duals",2,IF($B2315="Autographs Triples",3,4)),1)))</f>
        <v>40.799999999999997</v>
      </c>
      <c r="AB2315" s="62">
        <f t="shared" si="479"/>
        <v>40.799999999999997</v>
      </c>
      <c r="AC2315" s="62">
        <f t="shared" si="480"/>
        <v>0</v>
      </c>
    </row>
    <row r="2316" spans="1:29" ht="30" customHeight="1" x14ac:dyDescent="0.25">
      <c r="A2316" s="4" t="s">
        <v>37</v>
      </c>
      <c r="B2316" s="7" t="s">
        <v>136</v>
      </c>
      <c r="C2316" s="2" t="s">
        <v>236</v>
      </c>
      <c r="D2316" s="7" t="s">
        <v>234</v>
      </c>
      <c r="E2316" s="4" t="s">
        <v>823</v>
      </c>
      <c r="F2316" s="2">
        <v>25</v>
      </c>
      <c r="G2316" s="2" t="s">
        <v>1399</v>
      </c>
      <c r="H2316" s="2" t="s">
        <v>1400</v>
      </c>
      <c r="I2316" s="4" t="s">
        <v>68</v>
      </c>
      <c r="J2316" s="112">
        <f>IF($H2316&lt;&gt;"Y",0,ROUND(MIN(Dashboard!$R$24,IF(IFERROR(VLOOKUP($B2316,Dashboard!$Q$28:$S$60,2,FALSE),0)&gt;0,IFERROR(VLOOKUP($B2316,Dashboard!$Q$28:$S$60,2,FALSE),0),$Z2316*IF($U2316&lt;&gt;"",ROUND((Dashboard!$R$4/$U2316)*VLOOKUP($I2316,Dashboard!$Q$9:$R$13,2,FALSE)*IF(ISNUMBER(SEARCH("Duals",$B2316)),2,IF(ISNUMBER(SEARCH("Triples",$B2316)),3,IF(ISNUMBER(SEARCH("Quads",$B2316)),4,1))),2),ROUND(VLOOKUP($I2316,Dashboard!$Q$15:$R$20,2,FALSE)*IF($E2316="Red",Dashboard!$R$6,IF($E2316="Gold",Dashboard!$R$7,Dashboard!$R$5))*IF(ISNUMBER(SEARCH("Duals",$B2316)),2,IF(ISNUMBER(SEARCH("Triples",$B2316)),3,IF(ISNUMBER(SEARCH("Quads",$B2316)),4,1))),2))*IF(IFERROR(VLOOKUP($B2316,Dashboard!$Q$28:$S$60,3,FALSE),0)&gt;0,VLOOKUP($B2316,Dashboard!$Q$28:$S$60,3,FALSE),1))),0))</f>
        <v>80</v>
      </c>
      <c r="K2316" s="2" t="str">
        <f>IF('Autos - Singles'!E13="","",'Autos - Singles'!E13)</f>
        <v/>
      </c>
      <c r="L2316" s="2">
        <f t="shared" si="468"/>
        <v>0</v>
      </c>
      <c r="M2316" s="2">
        <f t="shared" si="469"/>
        <v>0</v>
      </c>
      <c r="N2316" s="2">
        <f t="shared" si="470"/>
        <v>0</v>
      </c>
      <c r="O2316" s="2">
        <f t="shared" si="471"/>
        <v>1</v>
      </c>
      <c r="P2316" s="112">
        <f t="shared" si="472"/>
        <v>0</v>
      </c>
      <c r="Q2316" s="112">
        <f t="shared" si="473"/>
        <v>0</v>
      </c>
      <c r="R2316" s="53"/>
      <c r="S2316" s="53" t="str">
        <f t="shared" si="474"/>
        <v>Autos - Singles|Autographs Red Parallel|A-CO|Red</v>
      </c>
      <c r="T2316" s="57" t="str">
        <f>IF($S2316="","",IFERROR(VLOOKUP($S2316,'Pop Estimates (Non-#d)'!$N$2:$O$500,2,FALSE),""))</f>
        <v/>
      </c>
      <c r="U2316" s="57">
        <f t="shared" si="475"/>
        <v>25</v>
      </c>
      <c r="V2316" s="53" t="str">
        <f t="shared" si="476"/>
        <v>Ashley Barrett</v>
      </c>
      <c r="W2316" s="53" t="str">
        <f t="shared" si="477"/>
        <v>Ashley Barrett</v>
      </c>
      <c r="X2316" s="53" t="str">
        <f t="shared" si="478"/>
        <v>Ashley Barrett</v>
      </c>
      <c r="Y2316" s="57">
        <f>IF($X2316="","",IFERROR(VLOOKUP($X2316,'Char Popularity'!$A$2:$C$500,2,FALSE),""))</f>
        <v>3</v>
      </c>
      <c r="Z2316" s="56">
        <f>IF($X2316="",1,IFERROR(VLOOKUP($X2316,'Char Popularity'!$A$2:$C$500,3,FALSE),1))</f>
        <v>1</v>
      </c>
      <c r="AA2316" s="62">
        <f>IF($H2316&lt;&gt;"Y",0,(IF($F2316&lt;&gt;"",ROUND(Dashboard!$R$4/$F2316,1),IF(AND($I2316="Base",$E2316="Base"),Dashboard!$R$5,IF(AND($I2316="Base",$E2316="Red"),Dashboard!$R$6,IF(AND($I2316="Base",$E2316="Gold"),Dashboard!$R$7,VLOOKUP($I2316,Dashboard!$Q$16:$R$21,2,FALSE)))))*VLOOKUP($I2316,Dashboard!$Q$9:$R$13,2,FALSE)*IF(AND($I2316="Auto",$F2316="",OR($B2316="Autographs Duals",$B2316="Autographs Triples",$B2316="Autographs Quads",$B2316="Autographs Quads (Inscribed)")),IF($B2316="Autographs Duals",2,IF($B2316="Autographs Triples",3,4)),1)))</f>
        <v>80</v>
      </c>
      <c r="AB2316" s="62">
        <f t="shared" si="479"/>
        <v>0</v>
      </c>
      <c r="AC2316" s="62">
        <f t="shared" si="480"/>
        <v>0</v>
      </c>
    </row>
    <row r="2317" spans="1:29" ht="30" customHeight="1" x14ac:dyDescent="0.25">
      <c r="A2317" s="4" t="s">
        <v>37</v>
      </c>
      <c r="B2317" s="7" t="s">
        <v>136</v>
      </c>
      <c r="C2317" s="2" t="s">
        <v>237</v>
      </c>
      <c r="D2317" s="7" t="s">
        <v>238</v>
      </c>
      <c r="E2317" s="4" t="s">
        <v>823</v>
      </c>
      <c r="F2317" s="2">
        <v>25</v>
      </c>
      <c r="G2317" s="2" t="s">
        <v>1399</v>
      </c>
      <c r="H2317" s="2" t="s">
        <v>1400</v>
      </c>
      <c r="I2317" s="4" t="s">
        <v>68</v>
      </c>
      <c r="J2317" s="112">
        <f>IF($H2317&lt;&gt;"Y",0,ROUND(MIN(Dashboard!$R$24,IF(IFERROR(VLOOKUP($B2317,Dashboard!$Q$28:$S$60,2,FALSE),0)&gt;0,IFERROR(VLOOKUP($B2317,Dashboard!$Q$28:$S$60,2,FALSE),0),$Z2317*IF($U2317&lt;&gt;"",ROUND((Dashboard!$R$4/$U2317)*VLOOKUP($I2317,Dashboard!$Q$9:$R$13,2,FALSE)*IF(ISNUMBER(SEARCH("Duals",$B2317)),2,IF(ISNUMBER(SEARCH("Triples",$B2317)),3,IF(ISNUMBER(SEARCH("Quads",$B2317)),4,1))),2),ROUND(VLOOKUP($I2317,Dashboard!$Q$15:$R$20,2,FALSE)*IF($E2317="Red",Dashboard!$R$6,IF($E2317="Gold",Dashboard!$R$7,Dashboard!$R$5))*IF(ISNUMBER(SEARCH("Duals",$B2317)),2,IF(ISNUMBER(SEARCH("Triples",$B2317)),3,IF(ISNUMBER(SEARCH("Quads",$B2317)),4,1))),2))*IF(IFERROR(VLOOKUP($B2317,Dashboard!$Q$28:$S$60,3,FALSE),0)&gt;0,VLOOKUP($B2317,Dashboard!$Q$28:$S$60,3,FALSE),1))),0))</f>
        <v>88</v>
      </c>
      <c r="K2317" s="2" t="str">
        <f>IF('Autos - Singles'!E14="","",'Autos - Singles'!E14)</f>
        <v>C 05/25</v>
      </c>
      <c r="L2317" s="2">
        <f t="shared" si="468"/>
        <v>1</v>
      </c>
      <c r="M2317" s="2">
        <f t="shared" si="469"/>
        <v>0</v>
      </c>
      <c r="N2317" s="2">
        <f t="shared" si="470"/>
        <v>1</v>
      </c>
      <c r="O2317" s="2">
        <f t="shared" si="471"/>
        <v>0</v>
      </c>
      <c r="P2317" s="112">
        <f t="shared" si="472"/>
        <v>88</v>
      </c>
      <c r="Q2317" s="112">
        <f t="shared" si="473"/>
        <v>0</v>
      </c>
      <c r="R2317" s="53"/>
      <c r="S2317" s="53" t="str">
        <f t="shared" si="474"/>
        <v>Autos - Singles|Autographs Red Parallel|A-CP|Red</v>
      </c>
      <c r="T2317" s="57" t="str">
        <f>IF($S2317="","",IFERROR(VLOOKUP($S2317,'Pop Estimates (Non-#d)'!$N$2:$O$500,2,FALSE),""))</f>
        <v/>
      </c>
      <c r="U2317" s="57">
        <f t="shared" si="475"/>
        <v>25</v>
      </c>
      <c r="V2317" s="53" t="str">
        <f t="shared" si="476"/>
        <v>Frenchie</v>
      </c>
      <c r="W2317" s="53" t="str">
        <f t="shared" si="477"/>
        <v>Frenchie</v>
      </c>
      <c r="X2317" s="53" t="str">
        <f t="shared" si="478"/>
        <v>Frenchie</v>
      </c>
      <c r="Y2317" s="57">
        <f>IF($X2317="","",IFERROR(VLOOKUP($X2317,'Char Popularity'!$A$2:$C$500,2,FALSE),""))</f>
        <v>4</v>
      </c>
      <c r="Z2317" s="56">
        <f>IF($X2317="",1,IFERROR(VLOOKUP($X2317,'Char Popularity'!$A$2:$C$500,3,FALSE),1))</f>
        <v>1.1000000000000001</v>
      </c>
      <c r="AA2317" s="62">
        <f>IF($H2317&lt;&gt;"Y",0,(IF($F2317&lt;&gt;"",ROUND(Dashboard!$R$4/$F2317,1),IF(AND($I2317="Base",$E2317="Base"),Dashboard!$R$5,IF(AND($I2317="Base",$E2317="Red"),Dashboard!$R$6,IF(AND($I2317="Base",$E2317="Gold"),Dashboard!$R$7,VLOOKUP($I2317,Dashboard!$Q$16:$R$21,2,FALSE)))))*VLOOKUP($I2317,Dashboard!$Q$9:$R$13,2,FALSE)*IF(AND($I2317="Auto",$F2317="",OR($B2317="Autographs Duals",$B2317="Autographs Triples",$B2317="Autographs Quads",$B2317="Autographs Quads (Inscribed)")),IF($B2317="Autographs Duals",2,IF($B2317="Autographs Triples",3,4)),1)))</f>
        <v>80</v>
      </c>
      <c r="AB2317" s="62">
        <f t="shared" si="479"/>
        <v>80</v>
      </c>
      <c r="AC2317" s="62">
        <f t="shared" si="480"/>
        <v>0</v>
      </c>
    </row>
    <row r="2318" spans="1:29" ht="30" customHeight="1" x14ac:dyDescent="0.25">
      <c r="A2318" s="4" t="s">
        <v>37</v>
      </c>
      <c r="B2318" s="7" t="s">
        <v>136</v>
      </c>
      <c r="C2318" s="2" t="s">
        <v>239</v>
      </c>
      <c r="D2318" s="7" t="s">
        <v>228</v>
      </c>
      <c r="E2318" s="4" t="s">
        <v>823</v>
      </c>
      <c r="F2318" s="2">
        <v>49</v>
      </c>
      <c r="G2318" s="2" t="s">
        <v>1399</v>
      </c>
      <c r="H2318" s="2" t="s">
        <v>1400</v>
      </c>
      <c r="I2318" s="4" t="s">
        <v>68</v>
      </c>
      <c r="J2318" s="112">
        <f>IF($H2318&lt;&gt;"Y",0,ROUND(MIN(Dashboard!$R$24,IF(IFERROR(VLOOKUP($B2318,Dashboard!$Q$28:$S$60,2,FALSE),0)&gt;0,IFERROR(VLOOKUP($B2318,Dashboard!$Q$28:$S$60,2,FALSE),0),$Z2318*IF($U2318&lt;&gt;"",ROUND((Dashboard!$R$4/$U2318)*VLOOKUP($I2318,Dashboard!$Q$9:$R$13,2,FALSE)*IF(ISNUMBER(SEARCH("Duals",$B2318)),2,IF(ISNUMBER(SEARCH("Triples",$B2318)),3,IF(ISNUMBER(SEARCH("Quads",$B2318)),4,1))),2),ROUND(VLOOKUP($I2318,Dashboard!$Q$15:$R$20,2,FALSE)*IF($E2318="Red",Dashboard!$R$6,IF($E2318="Gold",Dashboard!$R$7,Dashboard!$R$5))*IF(ISNUMBER(SEARCH("Duals",$B2318)),2,IF(ISNUMBER(SEARCH("Triples",$B2318)),3,IF(ISNUMBER(SEARCH("Quads",$B2318)),4,1))),2))*IF(IFERROR(VLOOKUP($B2318,Dashboard!$Q$28:$S$60,3,FALSE),0)&gt;0,VLOOKUP($B2318,Dashboard!$Q$28:$S$60,3,FALSE),1))),0))</f>
        <v>45</v>
      </c>
      <c r="K2318" s="2" t="str">
        <f>IF('Autos - Singles'!E15="","",'Autos - Singles'!E15)</f>
        <v>C 17/49</v>
      </c>
      <c r="L2318" s="2">
        <f t="shared" si="468"/>
        <v>1</v>
      </c>
      <c r="M2318" s="2">
        <f t="shared" si="469"/>
        <v>0</v>
      </c>
      <c r="N2318" s="2">
        <f t="shared" si="470"/>
        <v>1</v>
      </c>
      <c r="O2318" s="2">
        <f t="shared" si="471"/>
        <v>0</v>
      </c>
      <c r="P2318" s="112">
        <f t="shared" si="472"/>
        <v>45</v>
      </c>
      <c r="Q2318" s="112">
        <f t="shared" si="473"/>
        <v>0</v>
      </c>
      <c r="R2318" s="53"/>
      <c r="S2318" s="53" t="str">
        <f t="shared" si="474"/>
        <v>Autos - Singles|Autographs Red Parallel|A-CR|Red</v>
      </c>
      <c r="T2318" s="57" t="str">
        <f>IF($S2318="","",IFERROR(VLOOKUP($S2318,'Pop Estimates (Non-#d)'!$N$2:$O$500,2,FALSE),""))</f>
        <v/>
      </c>
      <c r="U2318" s="57">
        <f t="shared" si="475"/>
        <v>49</v>
      </c>
      <c r="V2318" s="53" t="str">
        <f t="shared" si="476"/>
        <v>Ryan</v>
      </c>
      <c r="W2318" s="53" t="str">
        <f t="shared" si="477"/>
        <v>Ryan</v>
      </c>
      <c r="X2318" s="53" t="str">
        <f t="shared" si="478"/>
        <v>Ryan</v>
      </c>
      <c r="Y2318" s="57">
        <f>IF($X2318="","",IFERROR(VLOOKUP($X2318,'Char Popularity'!$A$2:$C$500,2,FALSE),""))</f>
        <v>4</v>
      </c>
      <c r="Z2318" s="56">
        <f>IF($X2318="",1,IFERROR(VLOOKUP($X2318,'Char Popularity'!$A$2:$C$500,3,FALSE),1))</f>
        <v>1.1000000000000001</v>
      </c>
      <c r="AA2318" s="62">
        <f>IF($H2318&lt;&gt;"Y",0,(IF($F2318&lt;&gt;"",ROUND(Dashboard!$R$4/$F2318,1),IF(AND($I2318="Base",$E2318="Base"),Dashboard!$R$5,IF(AND($I2318="Base",$E2318="Red"),Dashboard!$R$6,IF(AND($I2318="Base",$E2318="Gold"),Dashboard!$R$7,VLOOKUP($I2318,Dashboard!$Q$16:$R$21,2,FALSE)))))*VLOOKUP($I2318,Dashboard!$Q$9:$R$13,2,FALSE)*IF(AND($I2318="Auto",$F2318="",OR($B2318="Autographs Duals",$B2318="Autographs Triples",$B2318="Autographs Quads",$B2318="Autographs Quads (Inscribed)")),IF($B2318="Autographs Duals",2,IF($B2318="Autographs Triples",3,4)),1)))</f>
        <v>40.799999999999997</v>
      </c>
      <c r="AB2318" s="62">
        <f t="shared" si="479"/>
        <v>40.799999999999997</v>
      </c>
      <c r="AC2318" s="62">
        <f t="shared" si="480"/>
        <v>0</v>
      </c>
    </row>
    <row r="2319" spans="1:29" ht="30" customHeight="1" x14ac:dyDescent="0.25">
      <c r="A2319" s="4" t="s">
        <v>37</v>
      </c>
      <c r="B2319" s="7" t="s">
        <v>136</v>
      </c>
      <c r="C2319" s="2" t="s">
        <v>240</v>
      </c>
      <c r="D2319" s="7" t="s">
        <v>228</v>
      </c>
      <c r="E2319" s="4" t="s">
        <v>823</v>
      </c>
      <c r="F2319" s="2">
        <v>25</v>
      </c>
      <c r="G2319" s="2" t="s">
        <v>1399</v>
      </c>
      <c r="H2319" s="2" t="s">
        <v>1400</v>
      </c>
      <c r="I2319" s="4" t="s">
        <v>68</v>
      </c>
      <c r="J2319" s="112">
        <f>IF($H2319&lt;&gt;"Y",0,ROUND(MIN(Dashboard!$R$24,IF(IFERROR(VLOOKUP($B2319,Dashboard!$Q$28:$S$60,2,FALSE),0)&gt;0,IFERROR(VLOOKUP($B2319,Dashboard!$Q$28:$S$60,2,FALSE),0),$Z2319*IF($U2319&lt;&gt;"",ROUND((Dashboard!$R$4/$U2319)*VLOOKUP($I2319,Dashboard!$Q$9:$R$13,2,FALSE)*IF(ISNUMBER(SEARCH("Duals",$B2319)),2,IF(ISNUMBER(SEARCH("Triples",$B2319)),3,IF(ISNUMBER(SEARCH("Quads",$B2319)),4,1))),2),ROUND(VLOOKUP($I2319,Dashboard!$Q$15:$R$20,2,FALSE)*IF($E2319="Red",Dashboard!$R$6,IF($E2319="Gold",Dashboard!$R$7,Dashboard!$R$5))*IF(ISNUMBER(SEARCH("Duals",$B2319)),2,IF(ISNUMBER(SEARCH("Triples",$B2319)),3,IF(ISNUMBER(SEARCH("Quads",$B2319)),4,1))),2))*IF(IFERROR(VLOOKUP($B2319,Dashboard!$Q$28:$S$60,3,FALSE),0)&gt;0,VLOOKUP($B2319,Dashboard!$Q$28:$S$60,3,FALSE),1))),0))</f>
        <v>88</v>
      </c>
      <c r="K2319" s="2" t="str">
        <f>IF('Autos - Singles'!E16="","",'Autos - Singles'!E16)</f>
        <v/>
      </c>
      <c r="L2319" s="2">
        <f t="shared" si="468"/>
        <v>0</v>
      </c>
      <c r="M2319" s="2">
        <f t="shared" si="469"/>
        <v>0</v>
      </c>
      <c r="N2319" s="2">
        <f t="shared" si="470"/>
        <v>0</v>
      </c>
      <c r="O2319" s="2">
        <f t="shared" si="471"/>
        <v>1</v>
      </c>
      <c r="P2319" s="112">
        <f t="shared" si="472"/>
        <v>0</v>
      </c>
      <c r="Q2319" s="112">
        <f t="shared" si="473"/>
        <v>0</v>
      </c>
      <c r="R2319" s="53"/>
      <c r="S2319" s="53" t="str">
        <f t="shared" si="474"/>
        <v>Autos - Singles|Autographs Red Parallel|A-CT|Red</v>
      </c>
      <c r="T2319" s="57" t="str">
        <f>IF($S2319="","",IFERROR(VLOOKUP($S2319,'Pop Estimates (Non-#d)'!$N$2:$O$500,2,FALSE),""))</f>
        <v/>
      </c>
      <c r="U2319" s="57">
        <f t="shared" si="475"/>
        <v>25</v>
      </c>
      <c r="V2319" s="53" t="str">
        <f t="shared" si="476"/>
        <v>Ryan</v>
      </c>
      <c r="W2319" s="53" t="str">
        <f t="shared" si="477"/>
        <v>Ryan</v>
      </c>
      <c r="X2319" s="53" t="str">
        <f t="shared" si="478"/>
        <v>Ryan</v>
      </c>
      <c r="Y2319" s="57">
        <f>IF($X2319="","",IFERROR(VLOOKUP($X2319,'Char Popularity'!$A$2:$C$500,2,FALSE),""))</f>
        <v>4</v>
      </c>
      <c r="Z2319" s="56">
        <f>IF($X2319="",1,IFERROR(VLOOKUP($X2319,'Char Popularity'!$A$2:$C$500,3,FALSE),1))</f>
        <v>1.1000000000000001</v>
      </c>
      <c r="AA2319" s="62">
        <f>IF($H2319&lt;&gt;"Y",0,(IF($F2319&lt;&gt;"",ROUND(Dashboard!$R$4/$F2319,1),IF(AND($I2319="Base",$E2319="Base"),Dashboard!$R$5,IF(AND($I2319="Base",$E2319="Red"),Dashboard!$R$6,IF(AND($I2319="Base",$E2319="Gold"),Dashboard!$R$7,VLOOKUP($I2319,Dashboard!$Q$16:$R$21,2,FALSE)))))*VLOOKUP($I2319,Dashboard!$Q$9:$R$13,2,FALSE)*IF(AND($I2319="Auto",$F2319="",OR($B2319="Autographs Duals",$B2319="Autographs Triples",$B2319="Autographs Quads",$B2319="Autographs Quads (Inscribed)")),IF($B2319="Autographs Duals",2,IF($B2319="Autographs Triples",3,4)),1)))</f>
        <v>80</v>
      </c>
      <c r="AB2319" s="62">
        <f t="shared" si="479"/>
        <v>0</v>
      </c>
      <c r="AC2319" s="62">
        <f t="shared" si="480"/>
        <v>0</v>
      </c>
    </row>
    <row r="2320" spans="1:29" ht="30" customHeight="1" x14ac:dyDescent="0.25">
      <c r="A2320" s="4" t="s">
        <v>37</v>
      </c>
      <c r="B2320" s="7" t="s">
        <v>136</v>
      </c>
      <c r="C2320" s="2" t="s">
        <v>241</v>
      </c>
      <c r="D2320" s="7" t="s">
        <v>228</v>
      </c>
      <c r="E2320" s="4" t="s">
        <v>823</v>
      </c>
      <c r="F2320" s="2">
        <v>25</v>
      </c>
      <c r="G2320" s="2" t="s">
        <v>1399</v>
      </c>
      <c r="H2320" s="2" t="s">
        <v>1400</v>
      </c>
      <c r="I2320" s="4" t="s">
        <v>68</v>
      </c>
      <c r="J2320" s="112">
        <f>IF($H2320&lt;&gt;"Y",0,ROUND(MIN(Dashboard!$R$24,IF(IFERROR(VLOOKUP($B2320,Dashboard!$Q$28:$S$60,2,FALSE),0)&gt;0,IFERROR(VLOOKUP($B2320,Dashboard!$Q$28:$S$60,2,FALSE),0),$Z2320*IF($U2320&lt;&gt;"",ROUND((Dashboard!$R$4/$U2320)*VLOOKUP($I2320,Dashboard!$Q$9:$R$13,2,FALSE)*IF(ISNUMBER(SEARCH("Duals",$B2320)),2,IF(ISNUMBER(SEARCH("Triples",$B2320)),3,IF(ISNUMBER(SEARCH("Quads",$B2320)),4,1))),2),ROUND(VLOOKUP($I2320,Dashboard!$Q$15:$R$20,2,FALSE)*IF($E2320="Red",Dashboard!$R$6,IF($E2320="Gold",Dashboard!$R$7,Dashboard!$R$5))*IF(ISNUMBER(SEARCH("Duals",$B2320)),2,IF(ISNUMBER(SEARCH("Triples",$B2320)),3,IF(ISNUMBER(SEARCH("Quads",$B2320)),4,1))),2))*IF(IFERROR(VLOOKUP($B2320,Dashboard!$Q$28:$S$60,3,FALSE),0)&gt;0,VLOOKUP($B2320,Dashboard!$Q$28:$S$60,3,FALSE),1))),0))</f>
        <v>88</v>
      </c>
      <c r="K2320" s="2" t="str">
        <f>IF('Autos - Singles'!E17="","",'Autos - Singles'!E17)</f>
        <v/>
      </c>
      <c r="L2320" s="2">
        <f t="shared" si="468"/>
        <v>0</v>
      </c>
      <c r="M2320" s="2">
        <f t="shared" si="469"/>
        <v>0</v>
      </c>
      <c r="N2320" s="2">
        <f t="shared" si="470"/>
        <v>0</v>
      </c>
      <c r="O2320" s="2">
        <f t="shared" si="471"/>
        <v>1</v>
      </c>
      <c r="P2320" s="112">
        <f t="shared" si="472"/>
        <v>0</v>
      </c>
      <c r="Q2320" s="112">
        <f t="shared" si="473"/>
        <v>0</v>
      </c>
      <c r="R2320" s="53"/>
      <c r="S2320" s="53" t="str">
        <f t="shared" si="474"/>
        <v>Autos - Singles|Autographs Red Parallel|A-CV|Red</v>
      </c>
      <c r="T2320" s="57" t="str">
        <f>IF($S2320="","",IFERROR(VLOOKUP($S2320,'Pop Estimates (Non-#d)'!$N$2:$O$500,2,FALSE),""))</f>
        <v/>
      </c>
      <c r="U2320" s="57">
        <f t="shared" si="475"/>
        <v>25</v>
      </c>
      <c r="V2320" s="53" t="str">
        <f t="shared" si="476"/>
        <v>Ryan</v>
      </c>
      <c r="W2320" s="53" t="str">
        <f t="shared" si="477"/>
        <v>Ryan</v>
      </c>
      <c r="X2320" s="53" t="str">
        <f t="shared" si="478"/>
        <v>Ryan</v>
      </c>
      <c r="Y2320" s="57">
        <f>IF($X2320="","",IFERROR(VLOOKUP($X2320,'Char Popularity'!$A$2:$C$500,2,FALSE),""))</f>
        <v>4</v>
      </c>
      <c r="Z2320" s="56">
        <f>IF($X2320="",1,IFERROR(VLOOKUP($X2320,'Char Popularity'!$A$2:$C$500,3,FALSE),1))</f>
        <v>1.1000000000000001</v>
      </c>
      <c r="AA2320" s="62">
        <f>IF($H2320&lt;&gt;"Y",0,(IF($F2320&lt;&gt;"",ROUND(Dashboard!$R$4/$F2320,1),IF(AND($I2320="Base",$E2320="Base"),Dashboard!$R$5,IF(AND($I2320="Base",$E2320="Red"),Dashboard!$R$6,IF(AND($I2320="Base",$E2320="Gold"),Dashboard!$R$7,VLOOKUP($I2320,Dashboard!$Q$16:$R$21,2,FALSE)))))*VLOOKUP($I2320,Dashboard!$Q$9:$R$13,2,FALSE)*IF(AND($I2320="Auto",$F2320="",OR($B2320="Autographs Duals",$B2320="Autographs Triples",$B2320="Autographs Quads",$B2320="Autographs Quads (Inscribed)")),IF($B2320="Autographs Duals",2,IF($B2320="Autographs Triples",3,4)),1)))</f>
        <v>80</v>
      </c>
      <c r="AB2320" s="62">
        <f t="shared" si="479"/>
        <v>0</v>
      </c>
      <c r="AC2320" s="62">
        <f t="shared" si="480"/>
        <v>0</v>
      </c>
    </row>
    <row r="2321" spans="1:29" ht="30" customHeight="1" x14ac:dyDescent="0.25">
      <c r="A2321" s="4" t="s">
        <v>37</v>
      </c>
      <c r="B2321" s="7" t="s">
        <v>136</v>
      </c>
      <c r="C2321" s="2" t="s">
        <v>243</v>
      </c>
      <c r="D2321" s="7" t="s">
        <v>244</v>
      </c>
      <c r="E2321" s="4" t="s">
        <v>823</v>
      </c>
      <c r="F2321" s="2">
        <v>49</v>
      </c>
      <c r="G2321" s="2" t="s">
        <v>1399</v>
      </c>
      <c r="H2321" s="2" t="s">
        <v>1400</v>
      </c>
      <c r="I2321" s="4" t="s">
        <v>68</v>
      </c>
      <c r="J2321" s="112">
        <f>IF($H2321&lt;&gt;"Y",0,ROUND(MIN(Dashboard!$R$24,IF(IFERROR(VLOOKUP($B2321,Dashboard!$Q$28:$S$60,2,FALSE),0)&gt;0,IFERROR(VLOOKUP($B2321,Dashboard!$Q$28:$S$60,2,FALSE),0),$Z2321*IF($U2321&lt;&gt;"",ROUND((Dashboard!$R$4/$U2321)*VLOOKUP($I2321,Dashboard!$Q$9:$R$13,2,FALSE)*IF(ISNUMBER(SEARCH("Duals",$B2321)),2,IF(ISNUMBER(SEARCH("Triples",$B2321)),3,IF(ISNUMBER(SEARCH("Quads",$B2321)),4,1))),2),ROUND(VLOOKUP($I2321,Dashboard!$Q$15:$R$20,2,FALSE)*IF($E2321="Red",Dashboard!$R$6,IF($E2321="Gold",Dashboard!$R$7,Dashboard!$R$5))*IF(ISNUMBER(SEARCH("Duals",$B2321)),2,IF(ISNUMBER(SEARCH("Triples",$B2321)),3,IF(ISNUMBER(SEARCH("Quads",$B2321)),4,1))),2))*IF(IFERROR(VLOOKUP($B2321,Dashboard!$Q$28:$S$60,3,FALSE),0)&gt;0,VLOOKUP($B2321,Dashboard!$Q$28:$S$60,3,FALSE),1))),0))</f>
        <v>45</v>
      </c>
      <c r="K2321" s="2" t="str">
        <f>IF('Autos - Singles'!E18="","",'Autos - Singles'!E18)</f>
        <v>C 11/49</v>
      </c>
      <c r="L2321" s="2">
        <f t="shared" si="468"/>
        <v>1</v>
      </c>
      <c r="M2321" s="2">
        <f t="shared" si="469"/>
        <v>0</v>
      </c>
      <c r="N2321" s="2">
        <f t="shared" si="470"/>
        <v>1</v>
      </c>
      <c r="O2321" s="2">
        <f t="shared" si="471"/>
        <v>0</v>
      </c>
      <c r="P2321" s="112">
        <f t="shared" si="472"/>
        <v>45</v>
      </c>
      <c r="Q2321" s="112">
        <f t="shared" si="473"/>
        <v>0</v>
      </c>
      <c r="R2321" s="53"/>
      <c r="S2321" s="53" t="str">
        <f t="shared" si="474"/>
        <v>Autos - Singles|Autographs Red Parallel|A-DM|Red</v>
      </c>
      <c r="T2321" s="57" t="str">
        <f>IF($S2321="","",IFERROR(VLOOKUP($S2321,'Pop Estimates (Non-#d)'!$N$2:$O$500,2,FALSE),""))</f>
        <v/>
      </c>
      <c r="U2321" s="57">
        <f t="shared" si="475"/>
        <v>49</v>
      </c>
      <c r="V2321" s="53" t="str">
        <f t="shared" si="476"/>
        <v>Queen Maeve</v>
      </c>
      <c r="W2321" s="53" t="str">
        <f t="shared" si="477"/>
        <v>Queen Maeve</v>
      </c>
      <c r="X2321" s="53" t="str">
        <f t="shared" si="478"/>
        <v>Queen Maeve</v>
      </c>
      <c r="Y2321" s="57">
        <f>IF($X2321="","",IFERROR(VLOOKUP($X2321,'Char Popularity'!$A$2:$C$500,2,FALSE),""))</f>
        <v>4</v>
      </c>
      <c r="Z2321" s="56">
        <f>IF($X2321="",1,IFERROR(VLOOKUP($X2321,'Char Popularity'!$A$2:$C$500,3,FALSE),1))</f>
        <v>1.1000000000000001</v>
      </c>
      <c r="AA2321" s="62">
        <f>IF($H2321&lt;&gt;"Y",0,(IF($F2321&lt;&gt;"",ROUND(Dashboard!$R$4/$F2321,1),IF(AND($I2321="Base",$E2321="Base"),Dashboard!$R$5,IF(AND($I2321="Base",$E2321="Red"),Dashboard!$R$6,IF(AND($I2321="Base",$E2321="Gold"),Dashboard!$R$7,VLOOKUP($I2321,Dashboard!$Q$16:$R$21,2,FALSE)))))*VLOOKUP($I2321,Dashboard!$Q$9:$R$13,2,FALSE)*IF(AND($I2321="Auto",$F2321="",OR($B2321="Autographs Duals",$B2321="Autographs Triples",$B2321="Autographs Quads",$B2321="Autographs Quads (Inscribed)")),IF($B2321="Autographs Duals",2,IF($B2321="Autographs Triples",3,4)),1)))</f>
        <v>40.799999999999997</v>
      </c>
      <c r="AB2321" s="62">
        <f t="shared" si="479"/>
        <v>40.799999999999997</v>
      </c>
      <c r="AC2321" s="62">
        <f t="shared" si="480"/>
        <v>0</v>
      </c>
    </row>
    <row r="2322" spans="1:29" ht="30" customHeight="1" x14ac:dyDescent="0.25">
      <c r="A2322" s="4" t="s">
        <v>37</v>
      </c>
      <c r="B2322" s="7" t="s">
        <v>136</v>
      </c>
      <c r="C2322" s="2" t="s">
        <v>245</v>
      </c>
      <c r="D2322" s="7" t="s">
        <v>244</v>
      </c>
      <c r="E2322" s="4" t="s">
        <v>823</v>
      </c>
      <c r="F2322" s="2">
        <v>49</v>
      </c>
      <c r="G2322" s="2" t="s">
        <v>1399</v>
      </c>
      <c r="H2322" s="2" t="s">
        <v>1400</v>
      </c>
      <c r="I2322" s="4" t="s">
        <v>68</v>
      </c>
      <c r="J2322" s="112">
        <f>IF($H2322&lt;&gt;"Y",0,ROUND(MIN(Dashboard!$R$24,IF(IFERROR(VLOOKUP($B2322,Dashboard!$Q$28:$S$60,2,FALSE),0)&gt;0,IFERROR(VLOOKUP($B2322,Dashboard!$Q$28:$S$60,2,FALSE),0),$Z2322*IF($U2322&lt;&gt;"",ROUND((Dashboard!$R$4/$U2322)*VLOOKUP($I2322,Dashboard!$Q$9:$R$13,2,FALSE)*IF(ISNUMBER(SEARCH("Duals",$B2322)),2,IF(ISNUMBER(SEARCH("Triples",$B2322)),3,IF(ISNUMBER(SEARCH("Quads",$B2322)),4,1))),2),ROUND(VLOOKUP($I2322,Dashboard!$Q$15:$R$20,2,FALSE)*IF($E2322="Red",Dashboard!$R$6,IF($E2322="Gold",Dashboard!$R$7,Dashboard!$R$5))*IF(ISNUMBER(SEARCH("Duals",$B2322)),2,IF(ISNUMBER(SEARCH("Triples",$B2322)),3,IF(ISNUMBER(SEARCH("Quads",$B2322)),4,1))),2))*IF(IFERROR(VLOOKUP($B2322,Dashboard!$Q$28:$S$60,3,FALSE),0)&gt;0,VLOOKUP($B2322,Dashboard!$Q$28:$S$60,3,FALSE),1))),0))</f>
        <v>45</v>
      </c>
      <c r="K2322" s="2" t="str">
        <f>IF('Autos - Singles'!E19="","",'Autos - Singles'!E19)</f>
        <v/>
      </c>
      <c r="L2322" s="2">
        <f t="shared" si="468"/>
        <v>0</v>
      </c>
      <c r="M2322" s="2">
        <f t="shared" si="469"/>
        <v>0</v>
      </c>
      <c r="N2322" s="2">
        <f t="shared" si="470"/>
        <v>0</v>
      </c>
      <c r="O2322" s="2">
        <f t="shared" si="471"/>
        <v>1</v>
      </c>
      <c r="P2322" s="112">
        <f t="shared" si="472"/>
        <v>0</v>
      </c>
      <c r="Q2322" s="112">
        <f t="shared" si="473"/>
        <v>0</v>
      </c>
      <c r="R2322" s="53"/>
      <c r="S2322" s="53" t="str">
        <f t="shared" si="474"/>
        <v>Autos - Singles|Autographs Red Parallel|A-DO|Red</v>
      </c>
      <c r="T2322" s="57" t="str">
        <f>IF($S2322="","",IFERROR(VLOOKUP($S2322,'Pop Estimates (Non-#d)'!$N$2:$O$500,2,FALSE),""))</f>
        <v/>
      </c>
      <c r="U2322" s="57">
        <f t="shared" si="475"/>
        <v>49</v>
      </c>
      <c r="V2322" s="53" t="str">
        <f t="shared" si="476"/>
        <v>Queen Maeve</v>
      </c>
      <c r="W2322" s="53" t="str">
        <f t="shared" si="477"/>
        <v>Queen Maeve</v>
      </c>
      <c r="X2322" s="53" t="str">
        <f t="shared" si="478"/>
        <v>Queen Maeve</v>
      </c>
      <c r="Y2322" s="57">
        <f>IF($X2322="","",IFERROR(VLOOKUP($X2322,'Char Popularity'!$A$2:$C$500,2,FALSE),""))</f>
        <v>4</v>
      </c>
      <c r="Z2322" s="56">
        <f>IF($X2322="",1,IFERROR(VLOOKUP($X2322,'Char Popularity'!$A$2:$C$500,3,FALSE),1))</f>
        <v>1.1000000000000001</v>
      </c>
      <c r="AA2322" s="62">
        <f>IF($H2322&lt;&gt;"Y",0,(IF($F2322&lt;&gt;"",ROUND(Dashboard!$R$4/$F2322,1),IF(AND($I2322="Base",$E2322="Base"),Dashboard!$R$5,IF(AND($I2322="Base",$E2322="Red"),Dashboard!$R$6,IF(AND($I2322="Base",$E2322="Gold"),Dashboard!$R$7,VLOOKUP($I2322,Dashboard!$Q$16:$R$21,2,FALSE)))))*VLOOKUP($I2322,Dashboard!$Q$9:$R$13,2,FALSE)*IF(AND($I2322="Auto",$F2322="",OR($B2322="Autographs Duals",$B2322="Autographs Triples",$B2322="Autographs Quads",$B2322="Autographs Quads (Inscribed)")),IF($B2322="Autographs Duals",2,IF($B2322="Autographs Triples",3,4)),1)))</f>
        <v>40.799999999999997</v>
      </c>
      <c r="AB2322" s="62">
        <f t="shared" si="479"/>
        <v>0</v>
      </c>
      <c r="AC2322" s="62">
        <f t="shared" si="480"/>
        <v>0</v>
      </c>
    </row>
    <row r="2323" spans="1:29" ht="30" customHeight="1" x14ac:dyDescent="0.25">
      <c r="A2323" s="4" t="s">
        <v>37</v>
      </c>
      <c r="B2323" s="7" t="s">
        <v>136</v>
      </c>
      <c r="C2323" s="2" t="s">
        <v>246</v>
      </c>
      <c r="D2323" s="7" t="s">
        <v>244</v>
      </c>
      <c r="E2323" s="4" t="s">
        <v>823</v>
      </c>
      <c r="F2323" s="2">
        <v>25</v>
      </c>
      <c r="G2323" s="2" t="s">
        <v>1399</v>
      </c>
      <c r="H2323" s="2" t="s">
        <v>1400</v>
      </c>
      <c r="I2323" s="4" t="s">
        <v>68</v>
      </c>
      <c r="J2323" s="112">
        <f>IF($H2323&lt;&gt;"Y",0,ROUND(MIN(Dashboard!$R$24,IF(IFERROR(VLOOKUP($B2323,Dashboard!$Q$28:$S$60,2,FALSE),0)&gt;0,IFERROR(VLOOKUP($B2323,Dashboard!$Q$28:$S$60,2,FALSE),0),$Z2323*IF($U2323&lt;&gt;"",ROUND((Dashboard!$R$4/$U2323)*VLOOKUP($I2323,Dashboard!$Q$9:$R$13,2,FALSE)*IF(ISNUMBER(SEARCH("Duals",$B2323)),2,IF(ISNUMBER(SEARCH("Triples",$B2323)),3,IF(ISNUMBER(SEARCH("Quads",$B2323)),4,1))),2),ROUND(VLOOKUP($I2323,Dashboard!$Q$15:$R$20,2,FALSE)*IF($E2323="Red",Dashboard!$R$6,IF($E2323="Gold",Dashboard!$R$7,Dashboard!$R$5))*IF(ISNUMBER(SEARCH("Duals",$B2323)),2,IF(ISNUMBER(SEARCH("Triples",$B2323)),3,IF(ISNUMBER(SEARCH("Quads",$B2323)),4,1))),2))*IF(IFERROR(VLOOKUP($B2323,Dashboard!$Q$28:$S$60,3,FALSE),0)&gt;0,VLOOKUP($B2323,Dashboard!$Q$28:$S$60,3,FALSE),1))),0))</f>
        <v>88</v>
      </c>
      <c r="K2323" s="2" t="str">
        <f>IF('Autos - Singles'!E20="","",'Autos - Singles'!E20)</f>
        <v/>
      </c>
      <c r="L2323" s="2">
        <f t="shared" si="468"/>
        <v>0</v>
      </c>
      <c r="M2323" s="2">
        <f t="shared" si="469"/>
        <v>0</v>
      </c>
      <c r="N2323" s="2">
        <f t="shared" si="470"/>
        <v>0</v>
      </c>
      <c r="O2323" s="2">
        <f t="shared" si="471"/>
        <v>1</v>
      </c>
      <c r="P2323" s="112">
        <f t="shared" si="472"/>
        <v>0</v>
      </c>
      <c r="Q2323" s="112">
        <f t="shared" si="473"/>
        <v>0</v>
      </c>
      <c r="R2323" s="53"/>
      <c r="S2323" s="53" t="str">
        <f t="shared" si="474"/>
        <v>Autos - Singles|Autographs Red Parallel|A-DQ|Red</v>
      </c>
      <c r="T2323" s="57" t="str">
        <f>IF($S2323="","",IFERROR(VLOOKUP($S2323,'Pop Estimates (Non-#d)'!$N$2:$O$500,2,FALSE),""))</f>
        <v/>
      </c>
      <c r="U2323" s="57">
        <f t="shared" si="475"/>
        <v>25</v>
      </c>
      <c r="V2323" s="53" t="str">
        <f t="shared" si="476"/>
        <v>Queen Maeve</v>
      </c>
      <c r="W2323" s="53" t="str">
        <f t="shared" si="477"/>
        <v>Queen Maeve</v>
      </c>
      <c r="X2323" s="53" t="str">
        <f t="shared" si="478"/>
        <v>Queen Maeve</v>
      </c>
      <c r="Y2323" s="57">
        <f>IF($X2323="","",IFERROR(VLOOKUP($X2323,'Char Popularity'!$A$2:$C$500,2,FALSE),""))</f>
        <v>4</v>
      </c>
      <c r="Z2323" s="56">
        <f>IF($X2323="",1,IFERROR(VLOOKUP($X2323,'Char Popularity'!$A$2:$C$500,3,FALSE),1))</f>
        <v>1.1000000000000001</v>
      </c>
      <c r="AA2323" s="62">
        <f>IF($H2323&lt;&gt;"Y",0,(IF($F2323&lt;&gt;"",ROUND(Dashboard!$R$4/$F2323,1),IF(AND($I2323="Base",$E2323="Base"),Dashboard!$R$5,IF(AND($I2323="Base",$E2323="Red"),Dashboard!$R$6,IF(AND($I2323="Base",$E2323="Gold"),Dashboard!$R$7,VLOOKUP($I2323,Dashboard!$Q$16:$R$21,2,FALSE)))))*VLOOKUP($I2323,Dashboard!$Q$9:$R$13,2,FALSE)*IF(AND($I2323="Auto",$F2323="",OR($B2323="Autographs Duals",$B2323="Autographs Triples",$B2323="Autographs Quads",$B2323="Autographs Quads (Inscribed)")),IF($B2323="Autographs Duals",2,IF($B2323="Autographs Triples",3,4)),1)))</f>
        <v>80</v>
      </c>
      <c r="AB2323" s="62">
        <f t="shared" si="479"/>
        <v>0</v>
      </c>
      <c r="AC2323" s="62">
        <f t="shared" si="480"/>
        <v>0</v>
      </c>
    </row>
    <row r="2324" spans="1:29" ht="30" customHeight="1" x14ac:dyDescent="0.25">
      <c r="A2324" s="4" t="s">
        <v>37</v>
      </c>
      <c r="B2324" s="7" t="s">
        <v>136</v>
      </c>
      <c r="C2324" s="2" t="s">
        <v>247</v>
      </c>
      <c r="D2324" s="7" t="s">
        <v>248</v>
      </c>
      <c r="E2324" s="4" t="s">
        <v>823</v>
      </c>
      <c r="F2324" s="2">
        <v>49</v>
      </c>
      <c r="G2324" s="2" t="s">
        <v>1399</v>
      </c>
      <c r="H2324" s="2" t="s">
        <v>1400</v>
      </c>
      <c r="I2324" s="4" t="s">
        <v>68</v>
      </c>
      <c r="J2324" s="112">
        <f>IF($H2324&lt;&gt;"Y",0,ROUND(MIN(Dashboard!$R$24,IF(IFERROR(VLOOKUP($B2324,Dashboard!$Q$28:$S$60,2,FALSE),0)&gt;0,IFERROR(VLOOKUP($B2324,Dashboard!$Q$28:$S$60,2,FALSE),0),$Z2324*IF($U2324&lt;&gt;"",ROUND((Dashboard!$R$4/$U2324)*VLOOKUP($I2324,Dashboard!$Q$9:$R$13,2,FALSE)*IF(ISNUMBER(SEARCH("Duals",$B2324)),2,IF(ISNUMBER(SEARCH("Triples",$B2324)),3,IF(ISNUMBER(SEARCH("Quads",$B2324)),4,1))),2),ROUND(VLOOKUP($I2324,Dashboard!$Q$15:$R$20,2,FALSE)*IF($E2324="Red",Dashboard!$R$6,IF($E2324="Gold",Dashboard!$R$7,Dashboard!$R$5))*IF(ISNUMBER(SEARCH("Duals",$B2324)),2,IF(ISNUMBER(SEARCH("Triples",$B2324)),3,IF(ISNUMBER(SEARCH("Quads",$B2324)),4,1))),2))*IF(IFERROR(VLOOKUP($B2324,Dashboard!$Q$28:$S$60,3,FALSE),0)&gt;0,VLOOKUP($B2324,Dashboard!$Q$28:$S$60,3,FALSE),1))),0))</f>
        <v>49</v>
      </c>
      <c r="K2324" s="2" t="str">
        <f>IF('Autos - Singles'!E21="","",'Autos - Singles'!E21)</f>
        <v/>
      </c>
      <c r="L2324" s="2">
        <f t="shared" si="468"/>
        <v>0</v>
      </c>
      <c r="M2324" s="2">
        <f t="shared" si="469"/>
        <v>0</v>
      </c>
      <c r="N2324" s="2">
        <f t="shared" si="470"/>
        <v>0</v>
      </c>
      <c r="O2324" s="2">
        <f t="shared" si="471"/>
        <v>1</v>
      </c>
      <c r="P2324" s="112">
        <f t="shared" si="472"/>
        <v>0</v>
      </c>
      <c r="Q2324" s="112">
        <f t="shared" si="473"/>
        <v>0</v>
      </c>
      <c r="R2324" s="53"/>
      <c r="S2324" s="53" t="str">
        <f t="shared" si="474"/>
        <v>Autos - Singles|Autographs Red Parallel|A-EM|Red</v>
      </c>
      <c r="T2324" s="57" t="str">
        <f>IF($S2324="","",IFERROR(VLOOKUP($S2324,'Pop Estimates (Non-#d)'!$N$2:$O$500,2,FALSE),""))</f>
        <v/>
      </c>
      <c r="U2324" s="57">
        <f t="shared" si="475"/>
        <v>49</v>
      </c>
      <c r="V2324" s="53" t="str">
        <f t="shared" si="476"/>
        <v>Starlight</v>
      </c>
      <c r="W2324" s="53" t="str">
        <f t="shared" si="477"/>
        <v>Starlight</v>
      </c>
      <c r="X2324" s="53" t="str">
        <f t="shared" si="478"/>
        <v>Starlight</v>
      </c>
      <c r="Y2324" s="57">
        <f>IF($X2324="","",IFERROR(VLOOKUP($X2324,'Char Popularity'!$A$2:$C$500,2,FALSE),""))</f>
        <v>5</v>
      </c>
      <c r="Z2324" s="56">
        <f>IF($X2324="",1,IFERROR(VLOOKUP($X2324,'Char Popularity'!$A$2:$C$500,3,FALSE),1))</f>
        <v>1.2</v>
      </c>
      <c r="AA2324" s="62">
        <f>IF($H2324&lt;&gt;"Y",0,(IF($F2324&lt;&gt;"",ROUND(Dashboard!$R$4/$F2324,1),IF(AND($I2324="Base",$E2324="Base"),Dashboard!$R$5,IF(AND($I2324="Base",$E2324="Red"),Dashboard!$R$6,IF(AND($I2324="Base",$E2324="Gold"),Dashboard!$R$7,VLOOKUP($I2324,Dashboard!$Q$16:$R$21,2,FALSE)))))*VLOOKUP($I2324,Dashboard!$Q$9:$R$13,2,FALSE)*IF(AND($I2324="Auto",$F2324="",OR($B2324="Autographs Duals",$B2324="Autographs Triples",$B2324="Autographs Quads",$B2324="Autographs Quads (Inscribed)")),IF($B2324="Autographs Duals",2,IF($B2324="Autographs Triples",3,4)),1)))</f>
        <v>40.799999999999997</v>
      </c>
      <c r="AB2324" s="62">
        <f t="shared" si="479"/>
        <v>0</v>
      </c>
      <c r="AC2324" s="62">
        <f t="shared" si="480"/>
        <v>0</v>
      </c>
    </row>
    <row r="2325" spans="1:29" ht="30" customHeight="1" x14ac:dyDescent="0.25">
      <c r="A2325" s="4" t="s">
        <v>37</v>
      </c>
      <c r="B2325" s="7" t="s">
        <v>136</v>
      </c>
      <c r="C2325" s="2" t="s">
        <v>249</v>
      </c>
      <c r="D2325" s="7" t="s">
        <v>250</v>
      </c>
      <c r="E2325" s="4" t="s">
        <v>823</v>
      </c>
      <c r="F2325" s="2">
        <v>49</v>
      </c>
      <c r="G2325" s="2" t="s">
        <v>1399</v>
      </c>
      <c r="H2325" s="2" t="s">
        <v>1400</v>
      </c>
      <c r="I2325" s="4" t="s">
        <v>68</v>
      </c>
      <c r="J2325" s="112">
        <f>IF($H2325&lt;&gt;"Y",0,ROUND(MIN(Dashboard!$R$24,IF(IFERROR(VLOOKUP($B2325,Dashboard!$Q$28:$S$60,2,FALSE),0)&gt;0,IFERROR(VLOOKUP($B2325,Dashboard!$Q$28:$S$60,2,FALSE),0),$Z2325*IF($U2325&lt;&gt;"",ROUND((Dashboard!$R$4/$U2325)*VLOOKUP($I2325,Dashboard!$Q$9:$R$13,2,FALSE)*IF(ISNUMBER(SEARCH("Duals",$B2325)),2,IF(ISNUMBER(SEARCH("Triples",$B2325)),3,IF(ISNUMBER(SEARCH("Quads",$B2325)),4,1))),2),ROUND(VLOOKUP($I2325,Dashboard!$Q$15:$R$20,2,FALSE)*IF($E2325="Red",Dashboard!$R$6,IF($E2325="Gold",Dashboard!$R$7,Dashboard!$R$5))*IF(ISNUMBER(SEARCH("Duals",$B2325)),2,IF(ISNUMBER(SEARCH("Triples",$B2325)),3,IF(ISNUMBER(SEARCH("Quads",$B2325)),4,1))),2))*IF(IFERROR(VLOOKUP($B2325,Dashboard!$Q$28:$S$60,3,FALSE),0)&gt;0,VLOOKUP($B2325,Dashboard!$Q$28:$S$60,3,FALSE),1))),0))</f>
        <v>41</v>
      </c>
      <c r="K2325" s="2" t="str">
        <f>IF('Autos - Singles'!E22="","",'Autos - Singles'!E22)</f>
        <v/>
      </c>
      <c r="L2325" s="2">
        <f t="shared" si="468"/>
        <v>0</v>
      </c>
      <c r="M2325" s="2">
        <f t="shared" si="469"/>
        <v>0</v>
      </c>
      <c r="N2325" s="2">
        <f t="shared" si="470"/>
        <v>0</v>
      </c>
      <c r="O2325" s="2">
        <f t="shared" si="471"/>
        <v>1</v>
      </c>
      <c r="P2325" s="112">
        <f t="shared" si="472"/>
        <v>0</v>
      </c>
      <c r="Q2325" s="112">
        <f t="shared" si="473"/>
        <v>0</v>
      </c>
      <c r="R2325" s="53"/>
      <c r="S2325" s="53" t="str">
        <f t="shared" si="474"/>
        <v>Autos - Singles|Autographs Red Parallel|A-ES|Red</v>
      </c>
      <c r="T2325" s="57" t="str">
        <f>IF($S2325="","",IFERROR(VLOOKUP($S2325,'Pop Estimates (Non-#d)'!$N$2:$O$500,2,FALSE),""))</f>
        <v/>
      </c>
      <c r="U2325" s="57">
        <f t="shared" si="475"/>
        <v>49</v>
      </c>
      <c r="V2325" s="53" t="str">
        <f t="shared" si="476"/>
        <v>Madelyn Stillwell</v>
      </c>
      <c r="W2325" s="53" t="str">
        <f t="shared" si="477"/>
        <v>Madelyn Stillwell</v>
      </c>
      <c r="X2325" s="53" t="str">
        <f t="shared" si="478"/>
        <v>Madelyn Stillwell</v>
      </c>
      <c r="Y2325" s="57">
        <f>IF($X2325="","",IFERROR(VLOOKUP($X2325,'Char Popularity'!$A$2:$C$500,2,FALSE),""))</f>
        <v>3</v>
      </c>
      <c r="Z2325" s="56">
        <f>IF($X2325="",1,IFERROR(VLOOKUP($X2325,'Char Popularity'!$A$2:$C$500,3,FALSE),1))</f>
        <v>1</v>
      </c>
      <c r="AA2325" s="62">
        <f>IF($H2325&lt;&gt;"Y",0,(IF($F2325&lt;&gt;"",ROUND(Dashboard!$R$4/$F2325,1),IF(AND($I2325="Base",$E2325="Base"),Dashboard!$R$5,IF(AND($I2325="Base",$E2325="Red"),Dashboard!$R$6,IF(AND($I2325="Base",$E2325="Gold"),Dashboard!$R$7,VLOOKUP($I2325,Dashboard!$Q$16:$R$21,2,FALSE)))))*VLOOKUP($I2325,Dashboard!$Q$9:$R$13,2,FALSE)*IF(AND($I2325="Auto",$F2325="",OR($B2325="Autographs Duals",$B2325="Autographs Triples",$B2325="Autographs Quads",$B2325="Autographs Quads (Inscribed)")),IF($B2325="Autographs Duals",2,IF($B2325="Autographs Triples",3,4)),1)))</f>
        <v>40.799999999999997</v>
      </c>
      <c r="AB2325" s="62">
        <f t="shared" si="479"/>
        <v>0</v>
      </c>
      <c r="AC2325" s="62">
        <f t="shared" si="480"/>
        <v>0</v>
      </c>
    </row>
    <row r="2326" spans="1:29" ht="30" customHeight="1" x14ac:dyDescent="0.25">
      <c r="A2326" s="4" t="s">
        <v>37</v>
      </c>
      <c r="B2326" s="7" t="s">
        <v>136</v>
      </c>
      <c r="C2326" s="2" t="s">
        <v>251</v>
      </c>
      <c r="D2326" s="7" t="s">
        <v>270</v>
      </c>
      <c r="E2326" s="4" t="s">
        <v>823</v>
      </c>
      <c r="F2326" s="2">
        <v>25</v>
      </c>
      <c r="G2326" s="2" t="s">
        <v>1399</v>
      </c>
      <c r="H2326" s="2" t="s">
        <v>1400</v>
      </c>
      <c r="I2326" s="4" t="s">
        <v>68</v>
      </c>
      <c r="J2326" s="112">
        <f>IF($H2326&lt;&gt;"Y",0,ROUND(MIN(Dashboard!$R$24,IF(IFERROR(VLOOKUP($B2326,Dashboard!$Q$28:$S$60,2,FALSE),0)&gt;0,IFERROR(VLOOKUP($B2326,Dashboard!$Q$28:$S$60,2,FALSE),0),$Z2326*IF($U2326&lt;&gt;"",ROUND((Dashboard!$R$4/$U2326)*VLOOKUP($I2326,Dashboard!$Q$9:$R$13,2,FALSE)*IF(ISNUMBER(SEARCH("Duals",$B2326)),2,IF(ISNUMBER(SEARCH("Triples",$B2326)),3,IF(ISNUMBER(SEARCH("Quads",$B2326)),4,1))),2),ROUND(VLOOKUP($I2326,Dashboard!$Q$15:$R$20,2,FALSE)*IF($E2326="Red",Dashboard!$R$6,IF($E2326="Gold",Dashboard!$R$7,Dashboard!$R$5))*IF(ISNUMBER(SEARCH("Duals",$B2326)),2,IF(ISNUMBER(SEARCH("Triples",$B2326)),3,IF(ISNUMBER(SEARCH("Quads",$B2326)),4,1))),2))*IF(IFERROR(VLOOKUP($B2326,Dashboard!$Q$28:$S$60,3,FALSE),0)&gt;0,VLOOKUP($B2326,Dashboard!$Q$28:$S$60,3,FALSE),1))),0))</f>
        <v>88</v>
      </c>
      <c r="K2326" s="2" t="str">
        <f>IF('Autos - Singles'!E23="","",'Autos - Singles'!E23)</f>
        <v/>
      </c>
      <c r="L2326" s="2">
        <f t="shared" si="468"/>
        <v>0</v>
      </c>
      <c r="M2326" s="2">
        <f t="shared" si="469"/>
        <v>0</v>
      </c>
      <c r="N2326" s="2">
        <f t="shared" si="470"/>
        <v>0</v>
      </c>
      <c r="O2326" s="2">
        <f t="shared" si="471"/>
        <v>1</v>
      </c>
      <c r="P2326" s="112">
        <f t="shared" si="472"/>
        <v>0</v>
      </c>
      <c r="Q2326" s="112">
        <f t="shared" si="473"/>
        <v>0</v>
      </c>
      <c r="R2326" s="53"/>
      <c r="S2326" s="53" t="str">
        <f t="shared" si="474"/>
        <v>Autos - Singles|Autographs Red Parallel|A-FH|Red</v>
      </c>
      <c r="T2326" s="57" t="str">
        <f>IF($S2326="","",IFERROR(VLOOKUP($S2326,'Pop Estimates (Non-#d)'!$N$2:$O$500,2,FALSE),""))</f>
        <v/>
      </c>
      <c r="U2326" s="57">
        <f t="shared" si="475"/>
        <v>25</v>
      </c>
      <c r="V2326" s="53" t="str">
        <f t="shared" si="476"/>
        <v>Kimiko</v>
      </c>
      <c r="W2326" s="53" t="str">
        <f t="shared" si="477"/>
        <v>Kimiko</v>
      </c>
      <c r="X2326" s="53" t="str">
        <f t="shared" si="478"/>
        <v>Kimiko</v>
      </c>
      <c r="Y2326" s="57">
        <f>IF($X2326="","",IFERROR(VLOOKUP($X2326,'Char Popularity'!$A$2:$C$500,2,FALSE),""))</f>
        <v>4</v>
      </c>
      <c r="Z2326" s="56">
        <f>IF($X2326="",1,IFERROR(VLOOKUP($X2326,'Char Popularity'!$A$2:$C$500,3,FALSE),1))</f>
        <v>1.1000000000000001</v>
      </c>
      <c r="AA2326" s="62">
        <f>IF($H2326&lt;&gt;"Y",0,(IF($F2326&lt;&gt;"",ROUND(Dashboard!$R$4/$F2326,1),IF(AND($I2326="Base",$E2326="Base"),Dashboard!$R$5,IF(AND($I2326="Base",$E2326="Red"),Dashboard!$R$6,IF(AND($I2326="Base",$E2326="Gold"),Dashboard!$R$7,VLOOKUP($I2326,Dashboard!$Q$16:$R$21,2,FALSE)))))*VLOOKUP($I2326,Dashboard!$Q$9:$R$13,2,FALSE)*IF(AND($I2326="Auto",$F2326="",OR($B2326="Autographs Duals",$B2326="Autographs Triples",$B2326="Autographs Quads",$B2326="Autographs Quads (Inscribed)")),IF($B2326="Autographs Duals",2,IF($B2326="Autographs Triples",3,4)),1)))</f>
        <v>80</v>
      </c>
      <c r="AB2326" s="62">
        <f t="shared" si="479"/>
        <v>0</v>
      </c>
      <c r="AC2326" s="62">
        <f t="shared" si="480"/>
        <v>0</v>
      </c>
    </row>
    <row r="2327" spans="1:29" ht="30" customHeight="1" x14ac:dyDescent="0.25">
      <c r="A2327" s="4" t="s">
        <v>37</v>
      </c>
      <c r="B2327" s="7" t="s">
        <v>136</v>
      </c>
      <c r="C2327" s="2" t="s">
        <v>253</v>
      </c>
      <c r="D2327" s="7" t="s">
        <v>254</v>
      </c>
      <c r="E2327" s="4" t="s">
        <v>823</v>
      </c>
      <c r="F2327" s="2">
        <v>25</v>
      </c>
      <c r="G2327" s="2" t="s">
        <v>1399</v>
      </c>
      <c r="H2327" s="2" t="s">
        <v>1400</v>
      </c>
      <c r="I2327" s="4" t="s">
        <v>68</v>
      </c>
      <c r="J2327" s="112">
        <f>IF($H2327&lt;&gt;"Y",0,ROUND(MIN(Dashboard!$R$24,IF(IFERROR(VLOOKUP($B2327,Dashboard!$Q$28:$S$60,2,FALSE),0)&gt;0,IFERROR(VLOOKUP($B2327,Dashboard!$Q$28:$S$60,2,FALSE),0),$Z2327*IF($U2327&lt;&gt;"",ROUND((Dashboard!$R$4/$U2327)*VLOOKUP($I2327,Dashboard!$Q$9:$R$13,2,FALSE)*IF(ISNUMBER(SEARCH("Duals",$B2327)),2,IF(ISNUMBER(SEARCH("Triples",$B2327)),3,IF(ISNUMBER(SEARCH("Quads",$B2327)),4,1))),2),ROUND(VLOOKUP($I2327,Dashboard!$Q$15:$R$20,2,FALSE)*IF($E2327="Red",Dashboard!$R$6,IF($E2327="Gold",Dashboard!$R$7,Dashboard!$R$5))*IF(ISNUMBER(SEARCH("Duals",$B2327)),2,IF(ISNUMBER(SEARCH("Triples",$B2327)),3,IF(ISNUMBER(SEARCH("Quads",$B2327)),4,1))),2))*IF(IFERROR(VLOOKUP($B2327,Dashboard!$Q$28:$S$60,3,FALSE),0)&gt;0,VLOOKUP($B2327,Dashboard!$Q$28:$S$60,3,FALSE),1))),0))</f>
        <v>88</v>
      </c>
      <c r="K2327" s="2" t="str">
        <f>IF('Autos - Singles'!E24="","",'Autos - Singles'!E24)</f>
        <v/>
      </c>
      <c r="L2327" s="2">
        <f t="shared" si="468"/>
        <v>0</v>
      </c>
      <c r="M2327" s="2">
        <f t="shared" si="469"/>
        <v>0</v>
      </c>
      <c r="N2327" s="2">
        <f t="shared" si="470"/>
        <v>0</v>
      </c>
      <c r="O2327" s="2">
        <f t="shared" si="471"/>
        <v>1</v>
      </c>
      <c r="P2327" s="112">
        <f t="shared" si="472"/>
        <v>0</v>
      </c>
      <c r="Q2327" s="112">
        <f t="shared" si="473"/>
        <v>0</v>
      </c>
      <c r="R2327" s="53"/>
      <c r="S2327" s="53" t="str">
        <f t="shared" si="474"/>
        <v>Autos - Singles|Autographs Red Parallel|A-GC|Red</v>
      </c>
      <c r="T2327" s="57" t="str">
        <f>IF($S2327="","",IFERROR(VLOOKUP($S2327,'Pop Estimates (Non-#d)'!$N$2:$O$500,2,FALSE),""))</f>
        <v/>
      </c>
      <c r="U2327" s="57">
        <f t="shared" si="475"/>
        <v>25</v>
      </c>
      <c r="V2327" s="53" t="str">
        <f t="shared" si="476"/>
        <v>Stan Edgar</v>
      </c>
      <c r="W2327" s="53" t="str">
        <f t="shared" si="477"/>
        <v>Stan Edgar</v>
      </c>
      <c r="X2327" s="53" t="str">
        <f t="shared" si="478"/>
        <v>Stan Edgar</v>
      </c>
      <c r="Y2327" s="57">
        <f>IF($X2327="","",IFERROR(VLOOKUP($X2327,'Char Popularity'!$A$2:$C$500,2,FALSE),""))</f>
        <v>4</v>
      </c>
      <c r="Z2327" s="56">
        <f>IF($X2327="",1,IFERROR(VLOOKUP($X2327,'Char Popularity'!$A$2:$C$500,3,FALSE),1))</f>
        <v>1.1000000000000001</v>
      </c>
      <c r="AA2327" s="62">
        <f>IF($H2327&lt;&gt;"Y",0,(IF($F2327&lt;&gt;"",ROUND(Dashboard!$R$4/$F2327,1),IF(AND($I2327="Base",$E2327="Base"),Dashboard!$R$5,IF(AND($I2327="Base",$E2327="Red"),Dashboard!$R$6,IF(AND($I2327="Base",$E2327="Gold"),Dashboard!$R$7,VLOOKUP($I2327,Dashboard!$Q$16:$R$21,2,FALSE)))))*VLOOKUP($I2327,Dashboard!$Q$9:$R$13,2,FALSE)*IF(AND($I2327="Auto",$F2327="",OR($B2327="Autographs Duals",$B2327="Autographs Triples",$B2327="Autographs Quads",$B2327="Autographs Quads (Inscribed)")),IF($B2327="Autographs Duals",2,IF($B2327="Autographs Triples",3,4)),1)))</f>
        <v>80</v>
      </c>
      <c r="AB2327" s="62">
        <f t="shared" si="479"/>
        <v>0</v>
      </c>
      <c r="AC2327" s="62">
        <f t="shared" si="480"/>
        <v>0</v>
      </c>
    </row>
    <row r="2328" spans="1:29" ht="30" customHeight="1" x14ac:dyDescent="0.25">
      <c r="A2328" s="4" t="s">
        <v>37</v>
      </c>
      <c r="B2328" s="7" t="s">
        <v>136</v>
      </c>
      <c r="C2328" s="2" t="s">
        <v>255</v>
      </c>
      <c r="D2328" s="7" t="s">
        <v>254</v>
      </c>
      <c r="E2328" s="4" t="s">
        <v>823</v>
      </c>
      <c r="F2328" s="2">
        <v>49</v>
      </c>
      <c r="G2328" s="2" t="s">
        <v>1399</v>
      </c>
      <c r="H2328" s="2" t="s">
        <v>1400</v>
      </c>
      <c r="I2328" s="4" t="s">
        <v>68</v>
      </c>
      <c r="J2328" s="112">
        <f>IF($H2328&lt;&gt;"Y",0,ROUND(MIN(Dashboard!$R$24,IF(IFERROR(VLOOKUP($B2328,Dashboard!$Q$28:$S$60,2,FALSE),0)&gt;0,IFERROR(VLOOKUP($B2328,Dashboard!$Q$28:$S$60,2,FALSE),0),$Z2328*IF($U2328&lt;&gt;"",ROUND((Dashboard!$R$4/$U2328)*VLOOKUP($I2328,Dashboard!$Q$9:$R$13,2,FALSE)*IF(ISNUMBER(SEARCH("Duals",$B2328)),2,IF(ISNUMBER(SEARCH("Triples",$B2328)),3,IF(ISNUMBER(SEARCH("Quads",$B2328)),4,1))),2),ROUND(VLOOKUP($I2328,Dashboard!$Q$15:$R$20,2,FALSE)*IF($E2328="Red",Dashboard!$R$6,IF($E2328="Gold",Dashboard!$R$7,Dashboard!$R$5))*IF(ISNUMBER(SEARCH("Duals",$B2328)),2,IF(ISNUMBER(SEARCH("Triples",$B2328)),3,IF(ISNUMBER(SEARCH("Quads",$B2328)),4,1))),2))*IF(IFERROR(VLOOKUP($B2328,Dashboard!$Q$28:$S$60,3,FALSE),0)&gt;0,VLOOKUP($B2328,Dashboard!$Q$28:$S$60,3,FALSE),1))),0))</f>
        <v>45</v>
      </c>
      <c r="K2328" s="2" t="str">
        <f>IF('Autos - Singles'!E25="","",'Autos - Singles'!E25)</f>
        <v/>
      </c>
      <c r="L2328" s="2">
        <f t="shared" si="468"/>
        <v>0</v>
      </c>
      <c r="M2328" s="2">
        <f t="shared" si="469"/>
        <v>0</v>
      </c>
      <c r="N2328" s="2">
        <f t="shared" si="470"/>
        <v>0</v>
      </c>
      <c r="O2328" s="2">
        <f t="shared" si="471"/>
        <v>1</v>
      </c>
      <c r="P2328" s="112">
        <f t="shared" si="472"/>
        <v>0</v>
      </c>
      <c r="Q2328" s="112">
        <f t="shared" si="473"/>
        <v>0</v>
      </c>
      <c r="R2328" s="53"/>
      <c r="S2328" s="53" t="str">
        <f t="shared" si="474"/>
        <v>Autos - Singles|Autographs Red Parallel|A-GE|Red</v>
      </c>
      <c r="T2328" s="57" t="str">
        <f>IF($S2328="","",IFERROR(VLOOKUP($S2328,'Pop Estimates (Non-#d)'!$N$2:$O$500,2,FALSE),""))</f>
        <v/>
      </c>
      <c r="U2328" s="57">
        <f t="shared" si="475"/>
        <v>49</v>
      </c>
      <c r="V2328" s="53" t="str">
        <f t="shared" si="476"/>
        <v>Stan Edgar</v>
      </c>
      <c r="W2328" s="53" t="str">
        <f t="shared" si="477"/>
        <v>Stan Edgar</v>
      </c>
      <c r="X2328" s="53" t="str">
        <f t="shared" si="478"/>
        <v>Stan Edgar</v>
      </c>
      <c r="Y2328" s="57">
        <f>IF($X2328="","",IFERROR(VLOOKUP($X2328,'Char Popularity'!$A$2:$C$500,2,FALSE),""))</f>
        <v>4</v>
      </c>
      <c r="Z2328" s="56">
        <f>IF($X2328="",1,IFERROR(VLOOKUP($X2328,'Char Popularity'!$A$2:$C$500,3,FALSE),1))</f>
        <v>1.1000000000000001</v>
      </c>
      <c r="AA2328" s="62">
        <f>IF($H2328&lt;&gt;"Y",0,(IF($F2328&lt;&gt;"",ROUND(Dashboard!$R$4/$F2328,1),IF(AND($I2328="Base",$E2328="Base"),Dashboard!$R$5,IF(AND($I2328="Base",$E2328="Red"),Dashboard!$R$6,IF(AND($I2328="Base",$E2328="Gold"),Dashboard!$R$7,VLOOKUP($I2328,Dashboard!$Q$16:$R$21,2,FALSE)))))*VLOOKUP($I2328,Dashboard!$Q$9:$R$13,2,FALSE)*IF(AND($I2328="Auto",$F2328="",OR($B2328="Autographs Duals",$B2328="Autographs Triples",$B2328="Autographs Quads",$B2328="Autographs Quads (Inscribed)")),IF($B2328="Autographs Duals",2,IF($B2328="Autographs Triples",3,4)),1)))</f>
        <v>40.799999999999997</v>
      </c>
      <c r="AB2328" s="62">
        <f t="shared" si="479"/>
        <v>0</v>
      </c>
      <c r="AC2328" s="62">
        <f t="shared" si="480"/>
        <v>0</v>
      </c>
    </row>
    <row r="2329" spans="1:29" ht="30" customHeight="1" x14ac:dyDescent="0.25">
      <c r="A2329" s="4" t="s">
        <v>37</v>
      </c>
      <c r="B2329" s="7" t="s">
        <v>136</v>
      </c>
      <c r="C2329" s="2" t="s">
        <v>256</v>
      </c>
      <c r="D2329" s="7" t="s">
        <v>216</v>
      </c>
      <c r="E2329" s="4" t="s">
        <v>823</v>
      </c>
      <c r="F2329" s="2">
        <v>49</v>
      </c>
      <c r="G2329" s="2" t="s">
        <v>1399</v>
      </c>
      <c r="H2329" s="2" t="s">
        <v>1400</v>
      </c>
      <c r="I2329" s="4" t="s">
        <v>68</v>
      </c>
      <c r="J2329" s="112">
        <f>IF($H2329&lt;&gt;"Y",0,ROUND(MIN(Dashboard!$R$24,IF(IFERROR(VLOOKUP($B2329,Dashboard!$Q$28:$S$60,2,FALSE),0)&gt;0,IFERROR(VLOOKUP($B2329,Dashboard!$Q$28:$S$60,2,FALSE),0),$Z2329*IF($U2329&lt;&gt;"",ROUND((Dashboard!$R$4/$U2329)*VLOOKUP($I2329,Dashboard!$Q$9:$R$13,2,FALSE)*IF(ISNUMBER(SEARCH("Duals",$B2329)),2,IF(ISNUMBER(SEARCH("Triples",$B2329)),3,IF(ISNUMBER(SEARCH("Quads",$B2329)),4,1))),2),ROUND(VLOOKUP($I2329,Dashboard!$Q$15:$R$20,2,FALSE)*IF($E2329="Red",Dashboard!$R$6,IF($E2329="Gold",Dashboard!$R$7,Dashboard!$R$5))*IF(ISNUMBER(SEARCH("Duals",$B2329)),2,IF(ISNUMBER(SEARCH("Triples",$B2329)),3,IF(ISNUMBER(SEARCH("Quads",$B2329)),4,1))),2))*IF(IFERROR(VLOOKUP($B2329,Dashboard!$Q$28:$S$60,3,FALSE),0)&gt;0,VLOOKUP($B2329,Dashboard!$Q$28:$S$60,3,FALSE),1))),0))</f>
        <v>37</v>
      </c>
      <c r="K2329" s="2" t="str">
        <f>IF('Autos - Singles'!E26="","",'Autos - Singles'!E26)</f>
        <v>d</v>
      </c>
      <c r="L2329" s="2">
        <f t="shared" si="468"/>
        <v>1</v>
      </c>
      <c r="M2329" s="2">
        <f t="shared" si="469"/>
        <v>0</v>
      </c>
      <c r="N2329" s="2">
        <f t="shared" si="470"/>
        <v>1</v>
      </c>
      <c r="O2329" s="2">
        <f t="shared" si="471"/>
        <v>0</v>
      </c>
      <c r="P2329" s="112">
        <f t="shared" si="472"/>
        <v>37</v>
      </c>
      <c r="Q2329" s="112">
        <f t="shared" si="473"/>
        <v>0</v>
      </c>
      <c r="R2329" s="53"/>
      <c r="S2329" s="53" t="str">
        <f t="shared" si="474"/>
        <v>Autos - Singles|Autographs Red Parallel|A-HA|Red</v>
      </c>
      <c r="T2329" s="57" t="str">
        <f>IF($S2329="","",IFERROR(VLOOKUP($S2329,'Pop Estimates (Non-#d)'!$N$2:$O$500,2,FALSE),""))</f>
        <v/>
      </c>
      <c r="U2329" s="57">
        <f t="shared" si="475"/>
        <v>49</v>
      </c>
      <c r="V2329" s="53" t="str">
        <f t="shared" si="476"/>
        <v>Translucent</v>
      </c>
      <c r="W2329" s="53" t="str">
        <f t="shared" si="477"/>
        <v>Translucent</v>
      </c>
      <c r="X2329" s="53" t="str">
        <f t="shared" si="478"/>
        <v>Translucent</v>
      </c>
      <c r="Y2329" s="57">
        <f>IF($X2329="","",IFERROR(VLOOKUP($X2329,'Char Popularity'!$A$2:$C$500,2,FALSE),""))</f>
        <v>2</v>
      </c>
      <c r="Z2329" s="56">
        <f>IF($X2329="",1,IFERROR(VLOOKUP($X2329,'Char Popularity'!$A$2:$C$500,3,FALSE),1))</f>
        <v>0.9</v>
      </c>
      <c r="AA2329" s="62">
        <f>IF($H2329&lt;&gt;"Y",0,(IF($F2329&lt;&gt;"",ROUND(Dashboard!$R$4/$F2329,1),IF(AND($I2329="Base",$E2329="Base"),Dashboard!$R$5,IF(AND($I2329="Base",$E2329="Red"),Dashboard!$R$6,IF(AND($I2329="Base",$E2329="Gold"),Dashboard!$R$7,VLOOKUP($I2329,Dashboard!$Q$16:$R$21,2,FALSE)))))*VLOOKUP($I2329,Dashboard!$Q$9:$R$13,2,FALSE)*IF(AND($I2329="Auto",$F2329="",OR($B2329="Autographs Duals",$B2329="Autographs Triples",$B2329="Autographs Quads",$B2329="Autographs Quads (Inscribed)")),IF($B2329="Autographs Duals",2,IF($B2329="Autographs Triples",3,4)),1)))</f>
        <v>40.799999999999997</v>
      </c>
      <c r="AB2329" s="62">
        <f t="shared" si="479"/>
        <v>40.799999999999997</v>
      </c>
      <c r="AC2329" s="62">
        <f t="shared" si="480"/>
        <v>0</v>
      </c>
    </row>
    <row r="2330" spans="1:29" ht="30" customHeight="1" x14ac:dyDescent="0.25">
      <c r="A2330" s="4" t="s">
        <v>37</v>
      </c>
      <c r="B2330" s="7" t="s">
        <v>136</v>
      </c>
      <c r="C2330" s="2" t="s">
        <v>257</v>
      </c>
      <c r="D2330" s="7" t="s">
        <v>216</v>
      </c>
      <c r="E2330" s="4" t="s">
        <v>823</v>
      </c>
      <c r="F2330" s="2">
        <v>25</v>
      </c>
      <c r="G2330" s="2" t="s">
        <v>1399</v>
      </c>
      <c r="H2330" s="2" t="s">
        <v>1400</v>
      </c>
      <c r="I2330" s="4" t="s">
        <v>68</v>
      </c>
      <c r="J2330" s="112">
        <f>IF($H2330&lt;&gt;"Y",0,ROUND(MIN(Dashboard!$R$24,IF(IFERROR(VLOOKUP($B2330,Dashboard!$Q$28:$S$60,2,FALSE),0)&gt;0,IFERROR(VLOOKUP($B2330,Dashboard!$Q$28:$S$60,2,FALSE),0),$Z2330*IF($U2330&lt;&gt;"",ROUND((Dashboard!$R$4/$U2330)*VLOOKUP($I2330,Dashboard!$Q$9:$R$13,2,FALSE)*IF(ISNUMBER(SEARCH("Duals",$B2330)),2,IF(ISNUMBER(SEARCH("Triples",$B2330)),3,IF(ISNUMBER(SEARCH("Quads",$B2330)),4,1))),2),ROUND(VLOOKUP($I2330,Dashboard!$Q$15:$R$20,2,FALSE)*IF($E2330="Red",Dashboard!$R$6,IF($E2330="Gold",Dashboard!$R$7,Dashboard!$R$5))*IF(ISNUMBER(SEARCH("Duals",$B2330)),2,IF(ISNUMBER(SEARCH("Triples",$B2330)),3,IF(ISNUMBER(SEARCH("Quads",$B2330)),4,1))),2))*IF(IFERROR(VLOOKUP($B2330,Dashboard!$Q$28:$S$60,3,FALSE),0)&gt;0,VLOOKUP($B2330,Dashboard!$Q$28:$S$60,3,FALSE),1))),0))</f>
        <v>72</v>
      </c>
      <c r="K2330" s="2" t="str">
        <f>IF('Autos - Singles'!E27="","",'Autos - Singles'!E27)</f>
        <v/>
      </c>
      <c r="L2330" s="2">
        <f t="shared" si="468"/>
        <v>0</v>
      </c>
      <c r="M2330" s="2">
        <f t="shared" si="469"/>
        <v>0</v>
      </c>
      <c r="N2330" s="2">
        <f t="shared" si="470"/>
        <v>0</v>
      </c>
      <c r="O2330" s="2">
        <f t="shared" si="471"/>
        <v>1</v>
      </c>
      <c r="P2330" s="112">
        <f t="shared" si="472"/>
        <v>0</v>
      </c>
      <c r="Q2330" s="112">
        <f t="shared" si="473"/>
        <v>0</v>
      </c>
      <c r="R2330" s="53"/>
      <c r="S2330" s="53" t="str">
        <f t="shared" si="474"/>
        <v>Autos - Singles|Autographs Red Parallel|A-HS|Red</v>
      </c>
      <c r="T2330" s="57" t="str">
        <f>IF($S2330="","",IFERROR(VLOOKUP($S2330,'Pop Estimates (Non-#d)'!$N$2:$O$500,2,FALSE),""))</f>
        <v/>
      </c>
      <c r="U2330" s="57">
        <f t="shared" si="475"/>
        <v>25</v>
      </c>
      <c r="V2330" s="53" t="str">
        <f t="shared" si="476"/>
        <v>Translucent</v>
      </c>
      <c r="W2330" s="53" t="str">
        <f t="shared" si="477"/>
        <v>Translucent</v>
      </c>
      <c r="X2330" s="53" t="str">
        <f t="shared" si="478"/>
        <v>Translucent</v>
      </c>
      <c r="Y2330" s="57">
        <f>IF($X2330="","",IFERROR(VLOOKUP($X2330,'Char Popularity'!$A$2:$C$500,2,FALSE),""))</f>
        <v>2</v>
      </c>
      <c r="Z2330" s="56">
        <f>IF($X2330="",1,IFERROR(VLOOKUP($X2330,'Char Popularity'!$A$2:$C$500,3,FALSE),1))</f>
        <v>0.9</v>
      </c>
      <c r="AA2330" s="62">
        <f>IF($H2330&lt;&gt;"Y",0,(IF($F2330&lt;&gt;"",ROUND(Dashboard!$R$4/$F2330,1),IF(AND($I2330="Base",$E2330="Base"),Dashboard!$R$5,IF(AND($I2330="Base",$E2330="Red"),Dashboard!$R$6,IF(AND($I2330="Base",$E2330="Gold"),Dashboard!$R$7,VLOOKUP($I2330,Dashboard!$Q$16:$R$21,2,FALSE)))))*VLOOKUP($I2330,Dashboard!$Q$9:$R$13,2,FALSE)*IF(AND($I2330="Auto",$F2330="",OR($B2330="Autographs Duals",$B2330="Autographs Triples",$B2330="Autographs Quads",$B2330="Autographs Quads (Inscribed)")),IF($B2330="Autographs Duals",2,IF($B2330="Autographs Triples",3,4)),1)))</f>
        <v>80</v>
      </c>
      <c r="AB2330" s="62">
        <f t="shared" si="479"/>
        <v>0</v>
      </c>
      <c r="AC2330" s="62">
        <f t="shared" si="480"/>
        <v>0</v>
      </c>
    </row>
    <row r="2331" spans="1:29" ht="30" customHeight="1" x14ac:dyDescent="0.25">
      <c r="A2331" s="4" t="s">
        <v>37</v>
      </c>
      <c r="B2331" s="7" t="s">
        <v>136</v>
      </c>
      <c r="C2331" s="2" t="s">
        <v>259</v>
      </c>
      <c r="D2331" s="7" t="s">
        <v>260</v>
      </c>
      <c r="E2331" s="4" t="s">
        <v>823</v>
      </c>
      <c r="F2331" s="2">
        <v>49</v>
      </c>
      <c r="G2331" s="2" t="s">
        <v>1399</v>
      </c>
      <c r="H2331" s="2" t="s">
        <v>1400</v>
      </c>
      <c r="I2331" s="4" t="s">
        <v>68</v>
      </c>
      <c r="J2331" s="112">
        <f>IF($H2331&lt;&gt;"Y",0,ROUND(MIN(Dashboard!$R$24,IF(IFERROR(VLOOKUP($B2331,Dashboard!$Q$28:$S$60,2,FALSE),0)&gt;0,IFERROR(VLOOKUP($B2331,Dashboard!$Q$28:$S$60,2,FALSE),0),$Z2331*IF($U2331&lt;&gt;"",ROUND((Dashboard!$R$4/$U2331)*VLOOKUP($I2331,Dashboard!$Q$9:$R$13,2,FALSE)*IF(ISNUMBER(SEARCH("Duals",$B2331)),2,IF(ISNUMBER(SEARCH("Triples",$B2331)),3,IF(ISNUMBER(SEARCH("Quads",$B2331)),4,1))),2),ROUND(VLOOKUP($I2331,Dashboard!$Q$15:$R$20,2,FALSE)*IF($E2331="Red",Dashboard!$R$6,IF($E2331="Gold",Dashboard!$R$7,Dashboard!$R$5))*IF(ISNUMBER(SEARCH("Duals",$B2331)),2,IF(ISNUMBER(SEARCH("Triples",$B2331)),3,IF(ISNUMBER(SEARCH("Quads",$B2331)),4,1))),2))*IF(IFERROR(VLOOKUP($B2331,Dashboard!$Q$28:$S$60,3,FALSE),0)&gt;0,VLOOKUP($B2331,Dashboard!$Q$28:$S$60,3,FALSE),1))),0))</f>
        <v>41</v>
      </c>
      <c r="K2331" s="2" t="str">
        <f>IF('Autos - Singles'!E28="","",'Autos - Singles'!E28)</f>
        <v>d</v>
      </c>
      <c r="L2331" s="2">
        <f t="shared" si="468"/>
        <v>1</v>
      </c>
      <c r="M2331" s="2">
        <f t="shared" si="469"/>
        <v>0</v>
      </c>
      <c r="N2331" s="2">
        <f t="shared" si="470"/>
        <v>1</v>
      </c>
      <c r="O2331" s="2">
        <f t="shared" si="471"/>
        <v>0</v>
      </c>
      <c r="P2331" s="112">
        <f t="shared" si="472"/>
        <v>41</v>
      </c>
      <c r="Q2331" s="112">
        <f t="shared" si="473"/>
        <v>0</v>
      </c>
      <c r="R2331" s="53"/>
      <c r="S2331" s="53" t="str">
        <f t="shared" si="474"/>
        <v>Autos - Singles|Autographs Red Parallel|A-JL|Red</v>
      </c>
      <c r="T2331" s="57" t="str">
        <f>IF($S2331="","",IFERROR(VLOOKUP($S2331,'Pop Estimates (Non-#d)'!$N$2:$O$500,2,FALSE),""))</f>
        <v/>
      </c>
      <c r="U2331" s="57">
        <f t="shared" si="475"/>
        <v>49</v>
      </c>
      <c r="V2331" s="53" t="str">
        <f t="shared" si="476"/>
        <v>Cherie</v>
      </c>
      <c r="W2331" s="53" t="str">
        <f t="shared" si="477"/>
        <v>Cherie</v>
      </c>
      <c r="X2331" s="53" t="str">
        <f t="shared" si="478"/>
        <v>Cherie</v>
      </c>
      <c r="Y2331" s="57">
        <f>IF($X2331="","",IFERROR(VLOOKUP($X2331,'Char Popularity'!$A$2:$C$500,2,FALSE),""))</f>
        <v>3</v>
      </c>
      <c r="Z2331" s="56">
        <f>IF($X2331="",1,IFERROR(VLOOKUP($X2331,'Char Popularity'!$A$2:$C$500,3,FALSE),1))</f>
        <v>1</v>
      </c>
      <c r="AA2331" s="62">
        <f>IF($H2331&lt;&gt;"Y",0,(IF($F2331&lt;&gt;"",ROUND(Dashboard!$R$4/$F2331,1),IF(AND($I2331="Base",$E2331="Base"),Dashboard!$R$5,IF(AND($I2331="Base",$E2331="Red"),Dashboard!$R$6,IF(AND($I2331="Base",$E2331="Gold"),Dashboard!$R$7,VLOOKUP($I2331,Dashboard!$Q$16:$R$21,2,FALSE)))))*VLOOKUP($I2331,Dashboard!$Q$9:$R$13,2,FALSE)*IF(AND($I2331="Auto",$F2331="",OR($B2331="Autographs Duals",$B2331="Autographs Triples",$B2331="Autographs Quads",$B2331="Autographs Quads (Inscribed)")),IF($B2331="Autographs Duals",2,IF($B2331="Autographs Triples",3,4)),1)))</f>
        <v>40.799999999999997</v>
      </c>
      <c r="AB2331" s="62">
        <f t="shared" si="479"/>
        <v>40.799999999999997</v>
      </c>
      <c r="AC2331" s="62">
        <f t="shared" si="480"/>
        <v>0</v>
      </c>
    </row>
    <row r="2332" spans="1:29" ht="30" customHeight="1" x14ac:dyDescent="0.25">
      <c r="A2332" s="4" t="s">
        <v>37</v>
      </c>
      <c r="B2332" s="7" t="s">
        <v>136</v>
      </c>
      <c r="C2332" s="2" t="s">
        <v>261</v>
      </c>
      <c r="D2332" s="7" t="s">
        <v>260</v>
      </c>
      <c r="E2332" s="4" t="s">
        <v>823</v>
      </c>
      <c r="F2332" s="2">
        <v>49</v>
      </c>
      <c r="G2332" s="2" t="s">
        <v>1399</v>
      </c>
      <c r="H2332" s="2" t="s">
        <v>1400</v>
      </c>
      <c r="I2332" s="4" t="s">
        <v>68</v>
      </c>
      <c r="J2332" s="112">
        <f>IF($H2332&lt;&gt;"Y",0,ROUND(MIN(Dashboard!$R$24,IF(IFERROR(VLOOKUP($B2332,Dashboard!$Q$28:$S$60,2,FALSE),0)&gt;0,IFERROR(VLOOKUP($B2332,Dashboard!$Q$28:$S$60,2,FALSE),0),$Z2332*IF($U2332&lt;&gt;"",ROUND((Dashboard!$R$4/$U2332)*VLOOKUP($I2332,Dashboard!$Q$9:$R$13,2,FALSE)*IF(ISNUMBER(SEARCH("Duals",$B2332)),2,IF(ISNUMBER(SEARCH("Triples",$B2332)),3,IF(ISNUMBER(SEARCH("Quads",$B2332)),4,1))),2),ROUND(VLOOKUP($I2332,Dashboard!$Q$15:$R$20,2,FALSE)*IF($E2332="Red",Dashboard!$R$6,IF($E2332="Gold",Dashboard!$R$7,Dashboard!$R$5))*IF(ISNUMBER(SEARCH("Duals",$B2332)),2,IF(ISNUMBER(SEARCH("Triples",$B2332)),3,IF(ISNUMBER(SEARCH("Quads",$B2332)),4,1))),2))*IF(IFERROR(VLOOKUP($B2332,Dashboard!$Q$28:$S$60,3,FALSE),0)&gt;0,VLOOKUP($B2332,Dashboard!$Q$28:$S$60,3,FALSE),1))),0))</f>
        <v>41</v>
      </c>
      <c r="K2332" s="2" t="str">
        <f>IF('Autos - Singles'!E29="","",'Autos - Singles'!E29)</f>
        <v>V 08/49</v>
      </c>
      <c r="L2332" s="2">
        <f t="shared" si="468"/>
        <v>1</v>
      </c>
      <c r="M2332" s="2">
        <f t="shared" si="469"/>
        <v>0</v>
      </c>
      <c r="N2332" s="2">
        <f t="shared" si="470"/>
        <v>1</v>
      </c>
      <c r="O2332" s="2">
        <f t="shared" si="471"/>
        <v>0</v>
      </c>
      <c r="P2332" s="112">
        <f t="shared" si="472"/>
        <v>41</v>
      </c>
      <c r="Q2332" s="112">
        <f t="shared" si="473"/>
        <v>0</v>
      </c>
      <c r="R2332" s="53"/>
      <c r="S2332" s="53" t="str">
        <f t="shared" si="474"/>
        <v>Autos - Singles|Autographs Red Parallel|A-JO|Red</v>
      </c>
      <c r="T2332" s="57" t="str">
        <f>IF($S2332="","",IFERROR(VLOOKUP($S2332,'Pop Estimates (Non-#d)'!$N$2:$O$500,2,FALSE),""))</f>
        <v/>
      </c>
      <c r="U2332" s="57">
        <f t="shared" si="475"/>
        <v>49</v>
      </c>
      <c r="V2332" s="53" t="str">
        <f t="shared" si="476"/>
        <v>Cherie</v>
      </c>
      <c r="W2332" s="53" t="str">
        <f t="shared" si="477"/>
        <v>Cherie</v>
      </c>
      <c r="X2332" s="53" t="str">
        <f t="shared" si="478"/>
        <v>Cherie</v>
      </c>
      <c r="Y2332" s="57">
        <f>IF($X2332="","",IFERROR(VLOOKUP($X2332,'Char Popularity'!$A$2:$C$500,2,FALSE),""))</f>
        <v>3</v>
      </c>
      <c r="Z2332" s="56">
        <f>IF($X2332="",1,IFERROR(VLOOKUP($X2332,'Char Popularity'!$A$2:$C$500,3,FALSE),1))</f>
        <v>1</v>
      </c>
      <c r="AA2332" s="62">
        <f>IF($H2332&lt;&gt;"Y",0,(IF($F2332&lt;&gt;"",ROUND(Dashboard!$R$4/$F2332,1),IF(AND($I2332="Base",$E2332="Base"),Dashboard!$R$5,IF(AND($I2332="Base",$E2332="Red"),Dashboard!$R$6,IF(AND($I2332="Base",$E2332="Gold"),Dashboard!$R$7,VLOOKUP($I2332,Dashboard!$Q$16:$R$21,2,FALSE)))))*VLOOKUP($I2332,Dashboard!$Q$9:$R$13,2,FALSE)*IF(AND($I2332="Auto",$F2332="",OR($B2332="Autographs Duals",$B2332="Autographs Triples",$B2332="Autographs Quads",$B2332="Autographs Quads (Inscribed)")),IF($B2332="Autographs Duals",2,IF($B2332="Autographs Triples",3,4)),1)))</f>
        <v>40.799999999999997</v>
      </c>
      <c r="AB2332" s="62">
        <f t="shared" si="479"/>
        <v>40.799999999999997</v>
      </c>
      <c r="AC2332" s="62">
        <f t="shared" si="480"/>
        <v>0</v>
      </c>
    </row>
    <row r="2333" spans="1:29" ht="30" customHeight="1" x14ac:dyDescent="0.25">
      <c r="A2333" s="4" t="s">
        <v>37</v>
      </c>
      <c r="B2333" s="7" t="s">
        <v>136</v>
      </c>
      <c r="C2333" s="2" t="s">
        <v>262</v>
      </c>
      <c r="D2333" s="7" t="s">
        <v>263</v>
      </c>
      <c r="E2333" s="4" t="s">
        <v>823</v>
      </c>
      <c r="F2333" s="2">
        <v>49</v>
      </c>
      <c r="G2333" s="2" t="s">
        <v>1399</v>
      </c>
      <c r="H2333" s="2" t="s">
        <v>1400</v>
      </c>
      <c r="I2333" s="4" t="s">
        <v>68</v>
      </c>
      <c r="J2333" s="112">
        <f>IF($H2333&lt;&gt;"Y",0,ROUND(MIN(Dashboard!$R$24,IF(IFERROR(VLOOKUP($B2333,Dashboard!$Q$28:$S$60,2,FALSE),0)&gt;0,IFERROR(VLOOKUP($B2333,Dashboard!$Q$28:$S$60,2,FALSE),0),$Z2333*IF($U2333&lt;&gt;"",ROUND((Dashboard!$R$4/$U2333)*VLOOKUP($I2333,Dashboard!$Q$9:$R$13,2,FALSE)*IF(ISNUMBER(SEARCH("Duals",$B2333)),2,IF(ISNUMBER(SEARCH("Triples",$B2333)),3,IF(ISNUMBER(SEARCH("Quads",$B2333)),4,1))),2),ROUND(VLOOKUP($I2333,Dashboard!$Q$15:$R$20,2,FALSE)*IF($E2333="Red",Dashboard!$R$6,IF($E2333="Gold",Dashboard!$R$7,Dashboard!$R$5))*IF(ISNUMBER(SEARCH("Duals",$B2333)),2,IF(ISNUMBER(SEARCH("Triples",$B2333)),3,IF(ISNUMBER(SEARCH("Quads",$B2333)),4,1))),2))*IF(IFERROR(VLOOKUP($B2333,Dashboard!$Q$28:$S$60,3,FALSE),0)&gt;0,VLOOKUP($B2333,Dashboard!$Q$28:$S$60,3,FALSE),1))),0))</f>
        <v>49</v>
      </c>
      <c r="K2333" s="2" t="str">
        <f>IF('Autos - Singles'!E30="","",'Autos - Singles'!E30)</f>
        <v/>
      </c>
      <c r="L2333" s="2">
        <f t="shared" si="468"/>
        <v>0</v>
      </c>
      <c r="M2333" s="2">
        <f t="shared" si="469"/>
        <v>0</v>
      </c>
      <c r="N2333" s="2">
        <f t="shared" si="470"/>
        <v>0</v>
      </c>
      <c r="O2333" s="2">
        <f t="shared" si="471"/>
        <v>1</v>
      </c>
      <c r="P2333" s="112">
        <f t="shared" si="472"/>
        <v>0</v>
      </c>
      <c r="Q2333" s="112">
        <f t="shared" si="473"/>
        <v>0</v>
      </c>
      <c r="R2333" s="53"/>
      <c r="S2333" s="53" t="str">
        <f t="shared" si="474"/>
        <v>Autos - Singles|Autographs Red Parallel|A-JQ|Red</v>
      </c>
      <c r="T2333" s="57" t="str">
        <f>IF($S2333="","",IFERROR(VLOOKUP($S2333,'Pop Estimates (Non-#d)'!$N$2:$O$500,2,FALSE),""))</f>
        <v/>
      </c>
      <c r="U2333" s="57">
        <f t="shared" si="475"/>
        <v>49</v>
      </c>
      <c r="V2333" s="53" t="str">
        <f t="shared" si="476"/>
        <v>Hughie Campbell</v>
      </c>
      <c r="W2333" s="53" t="str">
        <f t="shared" si="477"/>
        <v>Hughie Campbell</v>
      </c>
      <c r="X2333" s="53" t="str">
        <f t="shared" si="478"/>
        <v>Hughie Campbell</v>
      </c>
      <c r="Y2333" s="57">
        <f>IF($X2333="","",IFERROR(VLOOKUP($X2333,'Char Popularity'!$A$2:$C$500,2,FALSE),""))</f>
        <v>5</v>
      </c>
      <c r="Z2333" s="56">
        <f>IF($X2333="",1,IFERROR(VLOOKUP($X2333,'Char Popularity'!$A$2:$C$500,3,FALSE),1))</f>
        <v>1.2</v>
      </c>
      <c r="AA2333" s="62">
        <f>IF($H2333&lt;&gt;"Y",0,(IF($F2333&lt;&gt;"",ROUND(Dashboard!$R$4/$F2333,1),IF(AND($I2333="Base",$E2333="Base"),Dashboard!$R$5,IF(AND($I2333="Base",$E2333="Red"),Dashboard!$R$6,IF(AND($I2333="Base",$E2333="Gold"),Dashboard!$R$7,VLOOKUP($I2333,Dashboard!$Q$16:$R$21,2,FALSE)))))*VLOOKUP($I2333,Dashboard!$Q$9:$R$13,2,FALSE)*IF(AND($I2333="Auto",$F2333="",OR($B2333="Autographs Duals",$B2333="Autographs Triples",$B2333="Autographs Quads",$B2333="Autographs Quads (Inscribed)")),IF($B2333="Autographs Duals",2,IF($B2333="Autographs Triples",3,4)),1)))</f>
        <v>40.799999999999997</v>
      </c>
      <c r="AB2333" s="62">
        <f t="shared" si="479"/>
        <v>0</v>
      </c>
      <c r="AC2333" s="62">
        <f t="shared" si="480"/>
        <v>0</v>
      </c>
    </row>
    <row r="2334" spans="1:29" ht="30" customHeight="1" x14ac:dyDescent="0.25">
      <c r="A2334" s="4" t="s">
        <v>37</v>
      </c>
      <c r="B2334" s="7" t="s">
        <v>136</v>
      </c>
      <c r="C2334" s="2" t="s">
        <v>264</v>
      </c>
      <c r="D2334" s="7" t="s">
        <v>260</v>
      </c>
      <c r="E2334" s="4" t="s">
        <v>823</v>
      </c>
      <c r="F2334" s="2">
        <v>25</v>
      </c>
      <c r="G2334" s="2" t="s">
        <v>1399</v>
      </c>
      <c r="H2334" s="2" t="s">
        <v>1400</v>
      </c>
      <c r="I2334" s="4" t="s">
        <v>68</v>
      </c>
      <c r="J2334" s="112">
        <f>IF($H2334&lt;&gt;"Y",0,ROUND(MIN(Dashboard!$R$24,IF(IFERROR(VLOOKUP($B2334,Dashboard!$Q$28:$S$60,2,FALSE),0)&gt;0,IFERROR(VLOOKUP($B2334,Dashboard!$Q$28:$S$60,2,FALSE),0),$Z2334*IF($U2334&lt;&gt;"",ROUND((Dashboard!$R$4/$U2334)*VLOOKUP($I2334,Dashboard!$Q$9:$R$13,2,FALSE)*IF(ISNUMBER(SEARCH("Duals",$B2334)),2,IF(ISNUMBER(SEARCH("Triples",$B2334)),3,IF(ISNUMBER(SEARCH("Quads",$B2334)),4,1))),2),ROUND(VLOOKUP($I2334,Dashboard!$Q$15:$R$20,2,FALSE)*IF($E2334="Red",Dashboard!$R$6,IF($E2334="Gold",Dashboard!$R$7,Dashboard!$R$5))*IF(ISNUMBER(SEARCH("Duals",$B2334)),2,IF(ISNUMBER(SEARCH("Triples",$B2334)),3,IF(ISNUMBER(SEARCH("Quads",$B2334)),4,1))),2))*IF(IFERROR(VLOOKUP($B2334,Dashboard!$Q$28:$S$60,3,FALSE),0)&gt;0,VLOOKUP($B2334,Dashboard!$Q$28:$S$60,3,FALSE),1))),0))</f>
        <v>80</v>
      </c>
      <c r="K2334" s="2" t="str">
        <f>IF('Autos - Singles'!E31="","",'Autos - Singles'!E31)</f>
        <v/>
      </c>
      <c r="L2334" s="2">
        <f t="shared" si="468"/>
        <v>0</v>
      </c>
      <c r="M2334" s="2">
        <f t="shared" si="469"/>
        <v>0</v>
      </c>
      <c r="N2334" s="2">
        <f t="shared" si="470"/>
        <v>0</v>
      </c>
      <c r="O2334" s="2">
        <f t="shared" si="471"/>
        <v>1</v>
      </c>
      <c r="P2334" s="112">
        <f t="shared" si="472"/>
        <v>0</v>
      </c>
      <c r="Q2334" s="112">
        <f t="shared" si="473"/>
        <v>0</v>
      </c>
      <c r="R2334" s="53"/>
      <c r="S2334" s="53" t="str">
        <f t="shared" si="474"/>
        <v>Autos - Singles|Autographs Red Parallel|A-JR|Red</v>
      </c>
      <c r="T2334" s="57" t="str">
        <f>IF($S2334="","",IFERROR(VLOOKUP($S2334,'Pop Estimates (Non-#d)'!$N$2:$O$500,2,FALSE),""))</f>
        <v/>
      </c>
      <c r="U2334" s="57">
        <f t="shared" si="475"/>
        <v>25</v>
      </c>
      <c r="V2334" s="53" t="str">
        <f t="shared" si="476"/>
        <v>Cherie</v>
      </c>
      <c r="W2334" s="53" t="str">
        <f t="shared" si="477"/>
        <v>Cherie</v>
      </c>
      <c r="X2334" s="53" t="str">
        <f t="shared" si="478"/>
        <v>Cherie</v>
      </c>
      <c r="Y2334" s="57">
        <f>IF($X2334="","",IFERROR(VLOOKUP($X2334,'Char Popularity'!$A$2:$C$500,2,FALSE),""))</f>
        <v>3</v>
      </c>
      <c r="Z2334" s="56">
        <f>IF($X2334="",1,IFERROR(VLOOKUP($X2334,'Char Popularity'!$A$2:$C$500,3,FALSE),1))</f>
        <v>1</v>
      </c>
      <c r="AA2334" s="62">
        <f>IF($H2334&lt;&gt;"Y",0,(IF($F2334&lt;&gt;"",ROUND(Dashboard!$R$4/$F2334,1),IF(AND($I2334="Base",$E2334="Base"),Dashboard!$R$5,IF(AND($I2334="Base",$E2334="Red"),Dashboard!$R$6,IF(AND($I2334="Base",$E2334="Gold"),Dashboard!$R$7,VLOOKUP($I2334,Dashboard!$Q$16:$R$21,2,FALSE)))))*VLOOKUP($I2334,Dashboard!$Q$9:$R$13,2,FALSE)*IF(AND($I2334="Auto",$F2334="",OR($B2334="Autographs Duals",$B2334="Autographs Triples",$B2334="Autographs Quads",$B2334="Autographs Quads (Inscribed)")),IF($B2334="Autographs Duals",2,IF($B2334="Autographs Triples",3,4)),1)))</f>
        <v>80</v>
      </c>
      <c r="AB2334" s="62">
        <f t="shared" si="479"/>
        <v>0</v>
      </c>
      <c r="AC2334" s="62">
        <f t="shared" si="480"/>
        <v>0</v>
      </c>
    </row>
    <row r="2335" spans="1:29" ht="30" customHeight="1" x14ac:dyDescent="0.25">
      <c r="A2335" s="4" t="s">
        <v>37</v>
      </c>
      <c r="B2335" s="7" t="s">
        <v>136</v>
      </c>
      <c r="C2335" s="2" t="s">
        <v>266</v>
      </c>
      <c r="D2335" s="7" t="s">
        <v>267</v>
      </c>
      <c r="E2335" s="4" t="s">
        <v>823</v>
      </c>
      <c r="F2335" s="2">
        <v>25</v>
      </c>
      <c r="G2335" s="2" t="s">
        <v>1399</v>
      </c>
      <c r="H2335" s="2" t="s">
        <v>1400</v>
      </c>
      <c r="I2335" s="4" t="s">
        <v>68</v>
      </c>
      <c r="J2335" s="112">
        <f>IF($H2335&lt;&gt;"Y",0,ROUND(MIN(Dashboard!$R$24,IF(IFERROR(VLOOKUP($B2335,Dashboard!$Q$28:$S$60,2,FALSE),0)&gt;0,IFERROR(VLOOKUP($B2335,Dashboard!$Q$28:$S$60,2,FALSE),0),$Z2335*IF($U2335&lt;&gt;"",ROUND((Dashboard!$R$4/$U2335)*VLOOKUP($I2335,Dashboard!$Q$9:$R$13,2,FALSE)*IF(ISNUMBER(SEARCH("Duals",$B2335)),2,IF(ISNUMBER(SEARCH("Triples",$B2335)),3,IF(ISNUMBER(SEARCH("Quads",$B2335)),4,1))),2),ROUND(VLOOKUP($I2335,Dashboard!$Q$15:$R$20,2,FALSE)*IF($E2335="Red",Dashboard!$R$6,IF($E2335="Gold",Dashboard!$R$7,Dashboard!$R$5))*IF(ISNUMBER(SEARCH("Duals",$B2335)),2,IF(ISNUMBER(SEARCH("Triples",$B2335)),3,IF(ISNUMBER(SEARCH("Quads",$B2335)),4,1))),2))*IF(IFERROR(VLOOKUP($B2335,Dashboard!$Q$28:$S$60,3,FALSE),0)&gt;0,VLOOKUP($B2335,Dashboard!$Q$28:$S$60,3,FALSE),1))),0))</f>
        <v>88</v>
      </c>
      <c r="K2335" s="2" t="str">
        <f>IF('Autos - Singles'!E32="","",'Autos - Singles'!E32)</f>
        <v/>
      </c>
      <c r="L2335" s="2">
        <f t="shared" si="468"/>
        <v>0</v>
      </c>
      <c r="M2335" s="2">
        <f t="shared" si="469"/>
        <v>0</v>
      </c>
      <c r="N2335" s="2">
        <f t="shared" si="470"/>
        <v>0</v>
      </c>
      <c r="O2335" s="2">
        <f t="shared" si="471"/>
        <v>1</v>
      </c>
      <c r="P2335" s="112">
        <f t="shared" si="472"/>
        <v>0</v>
      </c>
      <c r="Q2335" s="112">
        <f t="shared" si="473"/>
        <v>0</v>
      </c>
      <c r="R2335" s="53"/>
      <c r="S2335" s="53" t="str">
        <f t="shared" si="474"/>
        <v>Autos - Singles|Autographs Red Parallel|A-JT|Red</v>
      </c>
      <c r="T2335" s="57" t="str">
        <f>IF($S2335="","",IFERROR(VLOOKUP($S2335,'Pop Estimates (Non-#d)'!$N$2:$O$500,2,FALSE),""))</f>
        <v/>
      </c>
      <c r="U2335" s="57">
        <f t="shared" si="475"/>
        <v>25</v>
      </c>
      <c r="V2335" s="53" t="str">
        <f t="shared" si="476"/>
        <v>A-Train</v>
      </c>
      <c r="W2335" s="53" t="str">
        <f t="shared" si="477"/>
        <v>A-Train</v>
      </c>
      <c r="X2335" s="53" t="str">
        <f t="shared" si="478"/>
        <v>A-Train</v>
      </c>
      <c r="Y2335" s="57">
        <f>IF($X2335="","",IFERROR(VLOOKUP($X2335,'Char Popularity'!$A$2:$C$500,2,FALSE),""))</f>
        <v>4</v>
      </c>
      <c r="Z2335" s="56">
        <f>IF($X2335="",1,IFERROR(VLOOKUP($X2335,'Char Popularity'!$A$2:$C$500,3,FALSE),1))</f>
        <v>1.1000000000000001</v>
      </c>
      <c r="AA2335" s="62">
        <f>IF($H2335&lt;&gt;"Y",0,(IF($F2335&lt;&gt;"",ROUND(Dashboard!$R$4/$F2335,1),IF(AND($I2335="Base",$E2335="Base"),Dashboard!$R$5,IF(AND($I2335="Base",$E2335="Red"),Dashboard!$R$6,IF(AND($I2335="Base",$E2335="Gold"),Dashboard!$R$7,VLOOKUP($I2335,Dashboard!$Q$16:$R$21,2,FALSE)))))*VLOOKUP($I2335,Dashboard!$Q$9:$R$13,2,FALSE)*IF(AND($I2335="Auto",$F2335="",OR($B2335="Autographs Duals",$B2335="Autographs Triples",$B2335="Autographs Quads",$B2335="Autographs Quads (Inscribed)")),IF($B2335="Autographs Duals",2,IF($B2335="Autographs Triples",3,4)),1)))</f>
        <v>80</v>
      </c>
      <c r="AB2335" s="62">
        <f t="shared" si="479"/>
        <v>0</v>
      </c>
      <c r="AC2335" s="62">
        <f t="shared" si="480"/>
        <v>0</v>
      </c>
    </row>
    <row r="2336" spans="1:29" ht="30" customHeight="1" x14ac:dyDescent="0.25">
      <c r="A2336" s="4" t="s">
        <v>37</v>
      </c>
      <c r="B2336" s="7" t="s">
        <v>136</v>
      </c>
      <c r="C2336" s="2" t="s">
        <v>268</v>
      </c>
      <c r="D2336" s="7" t="s">
        <v>267</v>
      </c>
      <c r="E2336" s="4" t="s">
        <v>823</v>
      </c>
      <c r="F2336" s="2">
        <v>49</v>
      </c>
      <c r="G2336" s="2" t="s">
        <v>1399</v>
      </c>
      <c r="H2336" s="2" t="s">
        <v>1400</v>
      </c>
      <c r="I2336" s="4" t="s">
        <v>68</v>
      </c>
      <c r="J2336" s="112">
        <f>IF($H2336&lt;&gt;"Y",0,ROUND(MIN(Dashboard!$R$24,IF(IFERROR(VLOOKUP($B2336,Dashboard!$Q$28:$S$60,2,FALSE),0)&gt;0,IFERROR(VLOOKUP($B2336,Dashboard!$Q$28:$S$60,2,FALSE),0),$Z2336*IF($U2336&lt;&gt;"",ROUND((Dashboard!$R$4/$U2336)*VLOOKUP($I2336,Dashboard!$Q$9:$R$13,2,FALSE)*IF(ISNUMBER(SEARCH("Duals",$B2336)),2,IF(ISNUMBER(SEARCH("Triples",$B2336)),3,IF(ISNUMBER(SEARCH("Quads",$B2336)),4,1))),2),ROUND(VLOOKUP($I2336,Dashboard!$Q$15:$R$20,2,FALSE)*IF($E2336="Red",Dashboard!$R$6,IF($E2336="Gold",Dashboard!$R$7,Dashboard!$R$5))*IF(ISNUMBER(SEARCH("Duals",$B2336)),2,IF(ISNUMBER(SEARCH("Triples",$B2336)),3,IF(ISNUMBER(SEARCH("Quads",$B2336)),4,1))),2))*IF(IFERROR(VLOOKUP($B2336,Dashboard!$Q$28:$S$60,3,FALSE),0)&gt;0,VLOOKUP($B2336,Dashboard!$Q$28:$S$60,3,FALSE),1))),0))</f>
        <v>45</v>
      </c>
      <c r="K2336" s="2" t="str">
        <f>IF('Autos - Singles'!E33="","",'Autos - Singles'!E33)</f>
        <v/>
      </c>
      <c r="L2336" s="2">
        <f t="shared" si="468"/>
        <v>0</v>
      </c>
      <c r="M2336" s="2">
        <f t="shared" si="469"/>
        <v>0</v>
      </c>
      <c r="N2336" s="2">
        <f t="shared" si="470"/>
        <v>0</v>
      </c>
      <c r="O2336" s="2">
        <f t="shared" si="471"/>
        <v>1</v>
      </c>
      <c r="P2336" s="112">
        <f t="shared" si="472"/>
        <v>0</v>
      </c>
      <c r="Q2336" s="112">
        <f t="shared" si="473"/>
        <v>0</v>
      </c>
      <c r="R2336" s="53"/>
      <c r="S2336" s="53" t="str">
        <f t="shared" si="474"/>
        <v>Autos - Singles|Autographs Red Parallel|A-JU|Red</v>
      </c>
      <c r="T2336" s="57" t="str">
        <f>IF($S2336="","",IFERROR(VLOOKUP($S2336,'Pop Estimates (Non-#d)'!$N$2:$O$500,2,FALSE),""))</f>
        <v/>
      </c>
      <c r="U2336" s="57">
        <f t="shared" si="475"/>
        <v>49</v>
      </c>
      <c r="V2336" s="53" t="str">
        <f t="shared" si="476"/>
        <v>A-Train</v>
      </c>
      <c r="W2336" s="53" t="str">
        <f t="shared" si="477"/>
        <v>A-Train</v>
      </c>
      <c r="X2336" s="53" t="str">
        <f t="shared" si="478"/>
        <v>A-Train</v>
      </c>
      <c r="Y2336" s="57">
        <f>IF($X2336="","",IFERROR(VLOOKUP($X2336,'Char Popularity'!$A$2:$C$500,2,FALSE),""))</f>
        <v>4</v>
      </c>
      <c r="Z2336" s="56">
        <f>IF($X2336="",1,IFERROR(VLOOKUP($X2336,'Char Popularity'!$A$2:$C$500,3,FALSE),1))</f>
        <v>1.1000000000000001</v>
      </c>
      <c r="AA2336" s="62">
        <f>IF($H2336&lt;&gt;"Y",0,(IF($F2336&lt;&gt;"",ROUND(Dashboard!$R$4/$F2336,1),IF(AND($I2336="Base",$E2336="Base"),Dashboard!$R$5,IF(AND($I2336="Base",$E2336="Red"),Dashboard!$R$6,IF(AND($I2336="Base",$E2336="Gold"),Dashboard!$R$7,VLOOKUP($I2336,Dashboard!$Q$16:$R$21,2,FALSE)))))*VLOOKUP($I2336,Dashboard!$Q$9:$R$13,2,FALSE)*IF(AND($I2336="Auto",$F2336="",OR($B2336="Autographs Duals",$B2336="Autographs Triples",$B2336="Autographs Quads",$B2336="Autographs Quads (Inscribed)")),IF($B2336="Autographs Duals",2,IF($B2336="Autographs Triples",3,4)),1)))</f>
        <v>40.799999999999997</v>
      </c>
      <c r="AB2336" s="62">
        <f t="shared" si="479"/>
        <v>0</v>
      </c>
      <c r="AC2336" s="62">
        <f t="shared" si="480"/>
        <v>0</v>
      </c>
    </row>
    <row r="2337" spans="1:29" ht="30" customHeight="1" x14ac:dyDescent="0.25">
      <c r="A2337" s="4" t="s">
        <v>37</v>
      </c>
      <c r="B2337" s="7" t="s">
        <v>136</v>
      </c>
      <c r="C2337" s="2" t="s">
        <v>269</v>
      </c>
      <c r="D2337" s="7" t="s">
        <v>270</v>
      </c>
      <c r="E2337" s="4" t="s">
        <v>823</v>
      </c>
      <c r="F2337" s="2">
        <v>49</v>
      </c>
      <c r="G2337" s="2" t="s">
        <v>1399</v>
      </c>
      <c r="H2337" s="2" t="s">
        <v>1400</v>
      </c>
      <c r="I2337" s="4" t="s">
        <v>68</v>
      </c>
      <c r="J2337" s="112">
        <f>IF($H2337&lt;&gt;"Y",0,ROUND(MIN(Dashboard!$R$24,IF(IFERROR(VLOOKUP($B2337,Dashboard!$Q$28:$S$60,2,FALSE),0)&gt;0,IFERROR(VLOOKUP($B2337,Dashboard!$Q$28:$S$60,2,FALSE),0),$Z2337*IF($U2337&lt;&gt;"",ROUND((Dashboard!$R$4/$U2337)*VLOOKUP($I2337,Dashboard!$Q$9:$R$13,2,FALSE)*IF(ISNUMBER(SEARCH("Duals",$B2337)),2,IF(ISNUMBER(SEARCH("Triples",$B2337)),3,IF(ISNUMBER(SEARCH("Quads",$B2337)),4,1))),2),ROUND(VLOOKUP($I2337,Dashboard!$Q$15:$R$20,2,FALSE)*IF($E2337="Red",Dashboard!$R$6,IF($E2337="Gold",Dashboard!$R$7,Dashboard!$R$5))*IF(ISNUMBER(SEARCH("Duals",$B2337)),2,IF(ISNUMBER(SEARCH("Triples",$B2337)),3,IF(ISNUMBER(SEARCH("Quads",$B2337)),4,1))),2))*IF(IFERROR(VLOOKUP($B2337,Dashboard!$Q$28:$S$60,3,FALSE),0)&gt;0,VLOOKUP($B2337,Dashboard!$Q$28:$S$60,3,FALSE),1))),0))</f>
        <v>45</v>
      </c>
      <c r="K2337" s="2" t="str">
        <f>IF('Autos - Singles'!E34="","",'Autos - Singles'!E34)</f>
        <v>d</v>
      </c>
      <c r="L2337" s="2">
        <f t="shared" si="468"/>
        <v>1</v>
      </c>
      <c r="M2337" s="2">
        <f t="shared" si="469"/>
        <v>0</v>
      </c>
      <c r="N2337" s="2">
        <f t="shared" si="470"/>
        <v>1</v>
      </c>
      <c r="O2337" s="2">
        <f t="shared" si="471"/>
        <v>0</v>
      </c>
      <c r="P2337" s="112">
        <f t="shared" si="472"/>
        <v>45</v>
      </c>
      <c r="Q2337" s="112">
        <f t="shared" si="473"/>
        <v>0</v>
      </c>
      <c r="R2337" s="53"/>
      <c r="S2337" s="53" t="str">
        <f t="shared" si="474"/>
        <v>Autos - Singles|Autographs Red Parallel|A-KF|Red</v>
      </c>
      <c r="T2337" s="57" t="str">
        <f>IF($S2337="","",IFERROR(VLOOKUP($S2337,'Pop Estimates (Non-#d)'!$N$2:$O$500,2,FALSE),""))</f>
        <v/>
      </c>
      <c r="U2337" s="57">
        <f t="shared" si="475"/>
        <v>49</v>
      </c>
      <c r="V2337" s="53" t="str">
        <f t="shared" si="476"/>
        <v>Kimiko</v>
      </c>
      <c r="W2337" s="53" t="str">
        <f t="shared" si="477"/>
        <v>Kimiko</v>
      </c>
      <c r="X2337" s="53" t="str">
        <f t="shared" si="478"/>
        <v>Kimiko</v>
      </c>
      <c r="Y2337" s="57">
        <f>IF($X2337="","",IFERROR(VLOOKUP($X2337,'Char Popularity'!$A$2:$C$500,2,FALSE),""))</f>
        <v>4</v>
      </c>
      <c r="Z2337" s="56">
        <f>IF($X2337="",1,IFERROR(VLOOKUP($X2337,'Char Popularity'!$A$2:$C$500,3,FALSE),1))</f>
        <v>1.1000000000000001</v>
      </c>
      <c r="AA2337" s="62">
        <f>IF($H2337&lt;&gt;"Y",0,(IF($F2337&lt;&gt;"",ROUND(Dashboard!$R$4/$F2337,1),IF(AND($I2337="Base",$E2337="Base"),Dashboard!$R$5,IF(AND($I2337="Base",$E2337="Red"),Dashboard!$R$6,IF(AND($I2337="Base",$E2337="Gold"),Dashboard!$R$7,VLOOKUP($I2337,Dashboard!$Q$16:$R$21,2,FALSE)))))*VLOOKUP($I2337,Dashboard!$Q$9:$R$13,2,FALSE)*IF(AND($I2337="Auto",$F2337="",OR($B2337="Autographs Duals",$B2337="Autographs Triples",$B2337="Autographs Quads",$B2337="Autographs Quads (Inscribed)")),IF($B2337="Autographs Duals",2,IF($B2337="Autographs Triples",3,4)),1)))</f>
        <v>40.799999999999997</v>
      </c>
      <c r="AB2337" s="62">
        <f t="shared" si="479"/>
        <v>40.799999999999997</v>
      </c>
      <c r="AC2337" s="62">
        <f t="shared" si="480"/>
        <v>0</v>
      </c>
    </row>
    <row r="2338" spans="1:29" ht="30" customHeight="1" x14ac:dyDescent="0.25">
      <c r="A2338" s="4" t="s">
        <v>37</v>
      </c>
      <c r="B2338" s="7" t="s">
        <v>136</v>
      </c>
      <c r="C2338" s="2" t="s">
        <v>271</v>
      </c>
      <c r="D2338" s="7" t="s">
        <v>270</v>
      </c>
      <c r="E2338" s="4" t="s">
        <v>823</v>
      </c>
      <c r="F2338" s="2">
        <v>49</v>
      </c>
      <c r="G2338" s="2" t="s">
        <v>1399</v>
      </c>
      <c r="H2338" s="2" t="s">
        <v>1400</v>
      </c>
      <c r="I2338" s="4" t="s">
        <v>68</v>
      </c>
      <c r="J2338" s="112">
        <f>IF($H2338&lt;&gt;"Y",0,ROUND(MIN(Dashboard!$R$24,IF(IFERROR(VLOOKUP($B2338,Dashboard!$Q$28:$S$60,2,FALSE),0)&gt;0,IFERROR(VLOOKUP($B2338,Dashboard!$Q$28:$S$60,2,FALSE),0),$Z2338*IF($U2338&lt;&gt;"",ROUND((Dashboard!$R$4/$U2338)*VLOOKUP($I2338,Dashboard!$Q$9:$R$13,2,FALSE)*IF(ISNUMBER(SEARCH("Duals",$B2338)),2,IF(ISNUMBER(SEARCH("Triples",$B2338)),3,IF(ISNUMBER(SEARCH("Quads",$B2338)),4,1))),2),ROUND(VLOOKUP($I2338,Dashboard!$Q$15:$R$20,2,FALSE)*IF($E2338="Red",Dashboard!$R$6,IF($E2338="Gold",Dashboard!$R$7,Dashboard!$R$5))*IF(ISNUMBER(SEARCH("Duals",$B2338)),2,IF(ISNUMBER(SEARCH("Triples",$B2338)),3,IF(ISNUMBER(SEARCH("Quads",$B2338)),4,1))),2))*IF(IFERROR(VLOOKUP($B2338,Dashboard!$Q$28:$S$60,3,FALSE),0)&gt;0,VLOOKUP($B2338,Dashboard!$Q$28:$S$60,3,FALSE),1))),0))</f>
        <v>45</v>
      </c>
      <c r="K2338" s="2" t="str">
        <f>IF('Autos - Singles'!E35="","",'Autos - Singles'!E35)</f>
        <v/>
      </c>
      <c r="L2338" s="2">
        <f t="shared" si="468"/>
        <v>0</v>
      </c>
      <c r="M2338" s="2">
        <f t="shared" si="469"/>
        <v>0</v>
      </c>
      <c r="N2338" s="2">
        <f t="shared" si="470"/>
        <v>0</v>
      </c>
      <c r="O2338" s="2">
        <f t="shared" si="471"/>
        <v>1</v>
      </c>
      <c r="P2338" s="112">
        <f t="shared" si="472"/>
        <v>0</v>
      </c>
      <c r="Q2338" s="112">
        <f t="shared" si="473"/>
        <v>0</v>
      </c>
      <c r="R2338" s="53"/>
      <c r="S2338" s="53" t="str">
        <f t="shared" si="474"/>
        <v>Autos - Singles|Autographs Red Parallel|A-KK|Red</v>
      </c>
      <c r="T2338" s="57" t="str">
        <f>IF($S2338="","",IFERROR(VLOOKUP($S2338,'Pop Estimates (Non-#d)'!$N$2:$O$500,2,FALSE),""))</f>
        <v/>
      </c>
      <c r="U2338" s="57">
        <f t="shared" si="475"/>
        <v>49</v>
      </c>
      <c r="V2338" s="53" t="str">
        <f t="shared" si="476"/>
        <v>Kimiko</v>
      </c>
      <c r="W2338" s="53" t="str">
        <f t="shared" si="477"/>
        <v>Kimiko</v>
      </c>
      <c r="X2338" s="53" t="str">
        <f t="shared" si="478"/>
        <v>Kimiko</v>
      </c>
      <c r="Y2338" s="57">
        <f>IF($X2338="","",IFERROR(VLOOKUP($X2338,'Char Popularity'!$A$2:$C$500,2,FALSE),""))</f>
        <v>4</v>
      </c>
      <c r="Z2338" s="56">
        <f>IF($X2338="",1,IFERROR(VLOOKUP($X2338,'Char Popularity'!$A$2:$C$500,3,FALSE),1))</f>
        <v>1.1000000000000001</v>
      </c>
      <c r="AA2338" s="62">
        <f>IF($H2338&lt;&gt;"Y",0,(IF($F2338&lt;&gt;"",ROUND(Dashboard!$R$4/$F2338,1),IF(AND($I2338="Base",$E2338="Base"),Dashboard!$R$5,IF(AND($I2338="Base",$E2338="Red"),Dashboard!$R$6,IF(AND($I2338="Base",$E2338="Gold"),Dashboard!$R$7,VLOOKUP($I2338,Dashboard!$Q$16:$R$21,2,FALSE)))))*VLOOKUP($I2338,Dashboard!$Q$9:$R$13,2,FALSE)*IF(AND($I2338="Auto",$F2338="",OR($B2338="Autographs Duals",$B2338="Autographs Triples",$B2338="Autographs Quads",$B2338="Autographs Quads (Inscribed)")),IF($B2338="Autographs Duals",2,IF($B2338="Autographs Triples",3,4)),1)))</f>
        <v>40.799999999999997</v>
      </c>
      <c r="AB2338" s="62">
        <f t="shared" si="479"/>
        <v>0</v>
      </c>
      <c r="AC2338" s="62">
        <f t="shared" si="480"/>
        <v>0</v>
      </c>
    </row>
    <row r="2339" spans="1:29" ht="30" customHeight="1" x14ac:dyDescent="0.25">
      <c r="A2339" s="4" t="s">
        <v>37</v>
      </c>
      <c r="B2339" s="7" t="s">
        <v>136</v>
      </c>
      <c r="C2339" s="2" t="s">
        <v>272</v>
      </c>
      <c r="D2339" s="7" t="s">
        <v>270</v>
      </c>
      <c r="E2339" s="4" t="s">
        <v>823</v>
      </c>
      <c r="F2339" s="2">
        <v>25</v>
      </c>
      <c r="G2339" s="2" t="s">
        <v>1399</v>
      </c>
      <c r="H2339" s="2" t="s">
        <v>1400</v>
      </c>
      <c r="I2339" s="4" t="s">
        <v>68</v>
      </c>
      <c r="J2339" s="112">
        <f>IF($H2339&lt;&gt;"Y",0,ROUND(MIN(Dashboard!$R$24,IF(IFERROR(VLOOKUP($B2339,Dashboard!$Q$28:$S$60,2,FALSE),0)&gt;0,IFERROR(VLOOKUP($B2339,Dashboard!$Q$28:$S$60,2,FALSE),0),$Z2339*IF($U2339&lt;&gt;"",ROUND((Dashboard!$R$4/$U2339)*VLOOKUP($I2339,Dashboard!$Q$9:$R$13,2,FALSE)*IF(ISNUMBER(SEARCH("Duals",$B2339)),2,IF(ISNUMBER(SEARCH("Triples",$B2339)),3,IF(ISNUMBER(SEARCH("Quads",$B2339)),4,1))),2),ROUND(VLOOKUP($I2339,Dashboard!$Q$15:$R$20,2,FALSE)*IF($E2339="Red",Dashboard!$R$6,IF($E2339="Gold",Dashboard!$R$7,Dashboard!$R$5))*IF(ISNUMBER(SEARCH("Duals",$B2339)),2,IF(ISNUMBER(SEARCH("Triples",$B2339)),3,IF(ISNUMBER(SEARCH("Quads",$B2339)),4,1))),2))*IF(IFERROR(VLOOKUP($B2339,Dashboard!$Q$28:$S$60,3,FALSE),0)&gt;0,VLOOKUP($B2339,Dashboard!$Q$28:$S$60,3,FALSE),1))),0))</f>
        <v>88</v>
      </c>
      <c r="K2339" s="2" t="str">
        <f>IF('Autos - Singles'!E36="","",'Autos - Singles'!E36)</f>
        <v/>
      </c>
      <c r="L2339" s="2">
        <f t="shared" si="468"/>
        <v>0</v>
      </c>
      <c r="M2339" s="2">
        <f t="shared" si="469"/>
        <v>0</v>
      </c>
      <c r="N2339" s="2">
        <f t="shared" si="470"/>
        <v>0</v>
      </c>
      <c r="O2339" s="2">
        <f t="shared" si="471"/>
        <v>1</v>
      </c>
      <c r="P2339" s="112">
        <f t="shared" si="472"/>
        <v>0</v>
      </c>
      <c r="Q2339" s="112">
        <f t="shared" si="473"/>
        <v>0</v>
      </c>
      <c r="R2339" s="53"/>
      <c r="S2339" s="53" t="str">
        <f t="shared" si="474"/>
        <v>Autos - Singles|Autographs Red Parallel|A-KR|Red</v>
      </c>
      <c r="T2339" s="57" t="str">
        <f>IF($S2339="","",IFERROR(VLOOKUP($S2339,'Pop Estimates (Non-#d)'!$N$2:$O$500,2,FALSE),""))</f>
        <v/>
      </c>
      <c r="U2339" s="57">
        <f t="shared" si="475"/>
        <v>25</v>
      </c>
      <c r="V2339" s="53" t="str">
        <f t="shared" si="476"/>
        <v>Kimiko</v>
      </c>
      <c r="W2339" s="53" t="str">
        <f t="shared" si="477"/>
        <v>Kimiko</v>
      </c>
      <c r="X2339" s="53" t="str">
        <f t="shared" si="478"/>
        <v>Kimiko</v>
      </c>
      <c r="Y2339" s="57">
        <f>IF($X2339="","",IFERROR(VLOOKUP($X2339,'Char Popularity'!$A$2:$C$500,2,FALSE),""))</f>
        <v>4</v>
      </c>
      <c r="Z2339" s="56">
        <f>IF($X2339="",1,IFERROR(VLOOKUP($X2339,'Char Popularity'!$A$2:$C$500,3,FALSE),1))</f>
        <v>1.1000000000000001</v>
      </c>
      <c r="AA2339" s="62">
        <f>IF($H2339&lt;&gt;"Y",0,(IF($F2339&lt;&gt;"",ROUND(Dashboard!$R$4/$F2339,1),IF(AND($I2339="Base",$E2339="Base"),Dashboard!$R$5,IF(AND($I2339="Base",$E2339="Red"),Dashboard!$R$6,IF(AND($I2339="Base",$E2339="Gold"),Dashboard!$R$7,VLOOKUP($I2339,Dashboard!$Q$16:$R$21,2,FALSE)))))*VLOOKUP($I2339,Dashboard!$Q$9:$R$13,2,FALSE)*IF(AND($I2339="Auto",$F2339="",OR($B2339="Autographs Duals",$B2339="Autographs Triples",$B2339="Autographs Quads",$B2339="Autographs Quads (Inscribed)")),IF($B2339="Autographs Duals",2,IF($B2339="Autographs Triples",3,4)),1)))</f>
        <v>80</v>
      </c>
      <c r="AB2339" s="62">
        <f t="shared" si="479"/>
        <v>0</v>
      </c>
      <c r="AC2339" s="62">
        <f t="shared" si="480"/>
        <v>0</v>
      </c>
    </row>
    <row r="2340" spans="1:29" ht="30" customHeight="1" x14ac:dyDescent="0.25">
      <c r="A2340" s="4" t="s">
        <v>37</v>
      </c>
      <c r="B2340" s="7" t="s">
        <v>136</v>
      </c>
      <c r="C2340" s="2" t="s">
        <v>275</v>
      </c>
      <c r="D2340" s="7" t="s">
        <v>276</v>
      </c>
      <c r="E2340" s="4" t="s">
        <v>823</v>
      </c>
      <c r="F2340" s="2">
        <v>49</v>
      </c>
      <c r="G2340" s="2" t="s">
        <v>1399</v>
      </c>
      <c r="H2340" s="2" t="s">
        <v>1400</v>
      </c>
      <c r="I2340" s="4" t="s">
        <v>68</v>
      </c>
      <c r="J2340" s="112">
        <f>IF($H2340&lt;&gt;"Y",0,ROUND(MIN(Dashboard!$R$24,IF(IFERROR(VLOOKUP($B2340,Dashboard!$Q$28:$S$60,2,FALSE),0)&gt;0,IFERROR(VLOOKUP($B2340,Dashboard!$Q$28:$S$60,2,FALSE),0),$Z2340*IF($U2340&lt;&gt;"",ROUND((Dashboard!$R$4/$U2340)*VLOOKUP($I2340,Dashboard!$Q$9:$R$13,2,FALSE)*IF(ISNUMBER(SEARCH("Duals",$B2340)),2,IF(ISNUMBER(SEARCH("Triples",$B2340)),3,IF(ISNUMBER(SEARCH("Quads",$B2340)),4,1))),2),ROUND(VLOOKUP($I2340,Dashboard!$Q$15:$R$20,2,FALSE)*IF($E2340="Red",Dashboard!$R$6,IF($E2340="Gold",Dashboard!$R$7,Dashboard!$R$5))*IF(ISNUMBER(SEARCH("Duals",$B2340)),2,IF(ISNUMBER(SEARCH("Triples",$B2340)),3,IF(ISNUMBER(SEARCH("Quads",$B2340)),4,1))),2))*IF(IFERROR(VLOOKUP($B2340,Dashboard!$Q$28:$S$60,3,FALSE),0)&gt;0,VLOOKUP($B2340,Dashboard!$Q$28:$S$60,3,FALSE),1))),0))</f>
        <v>45</v>
      </c>
      <c r="K2340" s="2" t="str">
        <f>IF('Autos - Singles'!E38="","",'Autos - Singles'!E38)</f>
        <v/>
      </c>
      <c r="L2340" s="2">
        <f t="shared" si="468"/>
        <v>0</v>
      </c>
      <c r="M2340" s="2">
        <f t="shared" si="469"/>
        <v>0</v>
      </c>
      <c r="N2340" s="2">
        <f t="shared" si="470"/>
        <v>0</v>
      </c>
      <c r="O2340" s="2">
        <f t="shared" si="471"/>
        <v>1</v>
      </c>
      <c r="P2340" s="112">
        <f t="shared" si="472"/>
        <v>0</v>
      </c>
      <c r="Q2340" s="112">
        <f t="shared" si="473"/>
        <v>0</v>
      </c>
      <c r="R2340" s="53"/>
      <c r="S2340" s="53" t="str">
        <f t="shared" si="474"/>
        <v>Autos - Singles|Autographs Red Parallel|A-LA|Red</v>
      </c>
      <c r="T2340" s="57" t="str">
        <f>IF($S2340="","",IFERROR(VLOOKUP($S2340,'Pop Estimates (Non-#d)'!$N$2:$O$500,2,FALSE),""))</f>
        <v/>
      </c>
      <c r="U2340" s="57">
        <f t="shared" si="475"/>
        <v>49</v>
      </c>
      <c r="V2340" s="53" t="str">
        <f t="shared" si="476"/>
        <v>Mother's Milk</v>
      </c>
      <c r="W2340" s="53" t="str">
        <f t="shared" si="477"/>
        <v>Mother's Milk</v>
      </c>
      <c r="X2340" s="53" t="str">
        <f t="shared" si="478"/>
        <v>Mother's Milk</v>
      </c>
      <c r="Y2340" s="57">
        <f>IF($X2340="","",IFERROR(VLOOKUP($X2340,'Char Popularity'!$A$2:$C$500,2,FALSE),""))</f>
        <v>4</v>
      </c>
      <c r="Z2340" s="56">
        <f>IF($X2340="",1,IFERROR(VLOOKUP($X2340,'Char Popularity'!$A$2:$C$500,3,FALSE),1))</f>
        <v>1.1000000000000001</v>
      </c>
      <c r="AA2340" s="62">
        <f>IF($H2340&lt;&gt;"Y",0,(IF($F2340&lt;&gt;"",ROUND(Dashboard!$R$4/$F2340,1),IF(AND($I2340="Base",$E2340="Base"),Dashboard!$R$5,IF(AND($I2340="Base",$E2340="Red"),Dashboard!$R$6,IF(AND($I2340="Base",$E2340="Gold"),Dashboard!$R$7,VLOOKUP($I2340,Dashboard!$Q$16:$R$21,2,FALSE)))))*VLOOKUP($I2340,Dashboard!$Q$9:$R$13,2,FALSE)*IF(AND($I2340="Auto",$F2340="",OR($B2340="Autographs Duals",$B2340="Autographs Triples",$B2340="Autographs Quads",$B2340="Autographs Quads (Inscribed)")),IF($B2340="Autographs Duals",2,IF($B2340="Autographs Triples",3,4)),1)))</f>
        <v>40.799999999999997</v>
      </c>
      <c r="AB2340" s="62">
        <f t="shared" si="479"/>
        <v>0</v>
      </c>
      <c r="AC2340" s="62">
        <f t="shared" si="480"/>
        <v>0</v>
      </c>
    </row>
    <row r="2341" spans="1:29" ht="30" customHeight="1" x14ac:dyDescent="0.25">
      <c r="A2341" s="4" t="s">
        <v>37</v>
      </c>
      <c r="B2341" s="7" t="s">
        <v>136</v>
      </c>
      <c r="C2341" s="2" t="s">
        <v>277</v>
      </c>
      <c r="D2341" s="7" t="s">
        <v>260</v>
      </c>
      <c r="E2341" s="4" t="s">
        <v>823</v>
      </c>
      <c r="F2341" s="2">
        <v>25</v>
      </c>
      <c r="G2341" s="2" t="s">
        <v>1399</v>
      </c>
      <c r="H2341" s="2" t="s">
        <v>1400</v>
      </c>
      <c r="I2341" s="4" t="s">
        <v>68</v>
      </c>
      <c r="J2341" s="112">
        <f>IF($H2341&lt;&gt;"Y",0,ROUND(MIN(Dashboard!$R$24,IF(IFERROR(VLOOKUP($B2341,Dashboard!$Q$28:$S$60,2,FALSE),0)&gt;0,IFERROR(VLOOKUP($B2341,Dashboard!$Q$28:$S$60,2,FALSE),0),$Z2341*IF($U2341&lt;&gt;"",ROUND((Dashboard!$R$4/$U2341)*VLOOKUP($I2341,Dashboard!$Q$9:$R$13,2,FALSE)*IF(ISNUMBER(SEARCH("Duals",$B2341)),2,IF(ISNUMBER(SEARCH("Triples",$B2341)),3,IF(ISNUMBER(SEARCH("Quads",$B2341)),4,1))),2),ROUND(VLOOKUP($I2341,Dashboard!$Q$15:$R$20,2,FALSE)*IF($E2341="Red",Dashboard!$R$6,IF($E2341="Gold",Dashboard!$R$7,Dashboard!$R$5))*IF(ISNUMBER(SEARCH("Duals",$B2341)),2,IF(ISNUMBER(SEARCH("Triples",$B2341)),3,IF(ISNUMBER(SEARCH("Quads",$B2341)),4,1))),2))*IF(IFERROR(VLOOKUP($B2341,Dashboard!$Q$28:$S$60,3,FALSE),0)&gt;0,VLOOKUP($B2341,Dashboard!$Q$28:$S$60,3,FALSE),1))),0))</f>
        <v>80</v>
      </c>
      <c r="K2341" s="2" t="str">
        <f>IF('Autos - Singles'!E39="","",'Autos - Singles'!E39)</f>
        <v>V 05/25</v>
      </c>
      <c r="L2341" s="2">
        <f t="shared" si="468"/>
        <v>1</v>
      </c>
      <c r="M2341" s="2">
        <f t="shared" si="469"/>
        <v>0</v>
      </c>
      <c r="N2341" s="2">
        <f t="shared" si="470"/>
        <v>1</v>
      </c>
      <c r="O2341" s="2">
        <f t="shared" si="471"/>
        <v>0</v>
      </c>
      <c r="P2341" s="112">
        <f t="shared" si="472"/>
        <v>80</v>
      </c>
      <c r="Q2341" s="112">
        <f t="shared" si="473"/>
        <v>0</v>
      </c>
      <c r="R2341" s="53"/>
      <c r="S2341" s="53" t="str">
        <f t="shared" si="474"/>
        <v>Autos - Singles|Autographs Red Parallel|A-LJ|Red</v>
      </c>
      <c r="T2341" s="57" t="str">
        <f>IF($S2341="","",IFERROR(VLOOKUP($S2341,'Pop Estimates (Non-#d)'!$N$2:$O$500,2,FALSE),""))</f>
        <v/>
      </c>
      <c r="U2341" s="57">
        <f t="shared" si="475"/>
        <v>25</v>
      </c>
      <c r="V2341" s="53" t="str">
        <f t="shared" si="476"/>
        <v>Cherie</v>
      </c>
      <c r="W2341" s="53" t="str">
        <f t="shared" si="477"/>
        <v>Cherie</v>
      </c>
      <c r="X2341" s="53" t="str">
        <f t="shared" si="478"/>
        <v>Cherie</v>
      </c>
      <c r="Y2341" s="57">
        <f>IF($X2341="","",IFERROR(VLOOKUP($X2341,'Char Popularity'!$A$2:$C$500,2,FALSE),""))</f>
        <v>3</v>
      </c>
      <c r="Z2341" s="56">
        <f>IF($X2341="",1,IFERROR(VLOOKUP($X2341,'Char Popularity'!$A$2:$C$500,3,FALSE),1))</f>
        <v>1</v>
      </c>
      <c r="AA2341" s="62">
        <f>IF($H2341&lt;&gt;"Y",0,(IF($F2341&lt;&gt;"",ROUND(Dashboard!$R$4/$F2341,1),IF(AND($I2341="Base",$E2341="Base"),Dashboard!$R$5,IF(AND($I2341="Base",$E2341="Red"),Dashboard!$R$6,IF(AND($I2341="Base",$E2341="Gold"),Dashboard!$R$7,VLOOKUP($I2341,Dashboard!$Q$16:$R$21,2,FALSE)))))*VLOOKUP($I2341,Dashboard!$Q$9:$R$13,2,FALSE)*IF(AND($I2341="Auto",$F2341="",OR($B2341="Autographs Duals",$B2341="Autographs Triples",$B2341="Autographs Quads",$B2341="Autographs Quads (Inscribed)")),IF($B2341="Autographs Duals",2,IF($B2341="Autographs Triples",3,4)),1)))</f>
        <v>80</v>
      </c>
      <c r="AB2341" s="62">
        <f t="shared" si="479"/>
        <v>80</v>
      </c>
      <c r="AC2341" s="62">
        <f t="shared" si="480"/>
        <v>0</v>
      </c>
    </row>
    <row r="2342" spans="1:29" ht="30" customHeight="1" x14ac:dyDescent="0.25">
      <c r="A2342" s="4" t="s">
        <v>37</v>
      </c>
      <c r="B2342" s="7" t="s">
        <v>136</v>
      </c>
      <c r="C2342" s="2" t="s">
        <v>278</v>
      </c>
      <c r="D2342" s="7" t="s">
        <v>216</v>
      </c>
      <c r="E2342" s="4" t="s">
        <v>823</v>
      </c>
      <c r="F2342" s="2">
        <v>25</v>
      </c>
      <c r="G2342" s="2" t="s">
        <v>1399</v>
      </c>
      <c r="H2342" s="2" t="s">
        <v>1400</v>
      </c>
      <c r="I2342" s="4" t="s">
        <v>68</v>
      </c>
      <c r="J2342" s="112">
        <f>IF($H2342&lt;&gt;"Y",0,ROUND(MIN(Dashboard!$R$24,IF(IFERROR(VLOOKUP($B2342,Dashboard!$Q$28:$S$60,2,FALSE),0)&gt;0,IFERROR(VLOOKUP($B2342,Dashboard!$Q$28:$S$60,2,FALSE),0),$Z2342*IF($U2342&lt;&gt;"",ROUND((Dashboard!$R$4/$U2342)*VLOOKUP($I2342,Dashboard!$Q$9:$R$13,2,FALSE)*IF(ISNUMBER(SEARCH("Duals",$B2342)),2,IF(ISNUMBER(SEARCH("Triples",$B2342)),3,IF(ISNUMBER(SEARCH("Quads",$B2342)),4,1))),2),ROUND(VLOOKUP($I2342,Dashboard!$Q$15:$R$20,2,FALSE)*IF($E2342="Red",Dashboard!$R$6,IF($E2342="Gold",Dashboard!$R$7,Dashboard!$R$5))*IF(ISNUMBER(SEARCH("Duals",$B2342)),2,IF(ISNUMBER(SEARCH("Triples",$B2342)),3,IF(ISNUMBER(SEARCH("Quads",$B2342)),4,1))),2))*IF(IFERROR(VLOOKUP($B2342,Dashboard!$Q$28:$S$60,3,FALSE),0)&gt;0,VLOOKUP($B2342,Dashboard!$Q$28:$S$60,3,FALSE),1))),0))</f>
        <v>72</v>
      </c>
      <c r="K2342" s="2" t="str">
        <f>IF('Autos - Singles'!E40="","",'Autos - Singles'!E40)</f>
        <v/>
      </c>
      <c r="L2342" s="2">
        <f t="shared" si="468"/>
        <v>0</v>
      </c>
      <c r="M2342" s="2">
        <f t="shared" si="469"/>
        <v>0</v>
      </c>
      <c r="N2342" s="2">
        <f t="shared" si="470"/>
        <v>0</v>
      </c>
      <c r="O2342" s="2">
        <f t="shared" si="471"/>
        <v>1</v>
      </c>
      <c r="P2342" s="112">
        <f t="shared" si="472"/>
        <v>0</v>
      </c>
      <c r="Q2342" s="112">
        <f t="shared" si="473"/>
        <v>0</v>
      </c>
      <c r="R2342" s="53"/>
      <c r="S2342" s="53" t="str">
        <f t="shared" si="474"/>
        <v>Autos - Singles|Autographs Red Parallel|A-LL|Red</v>
      </c>
      <c r="T2342" s="57" t="str">
        <f>IF($S2342="","",IFERROR(VLOOKUP($S2342,'Pop Estimates (Non-#d)'!$N$2:$O$500,2,FALSE),""))</f>
        <v/>
      </c>
      <c r="U2342" s="57">
        <f t="shared" si="475"/>
        <v>25</v>
      </c>
      <c r="V2342" s="53" t="str">
        <f t="shared" si="476"/>
        <v>Translucent</v>
      </c>
      <c r="W2342" s="53" t="str">
        <f t="shared" si="477"/>
        <v>Translucent</v>
      </c>
      <c r="X2342" s="53" t="str">
        <f t="shared" si="478"/>
        <v>Translucent</v>
      </c>
      <c r="Y2342" s="57">
        <f>IF($X2342="","",IFERROR(VLOOKUP($X2342,'Char Popularity'!$A$2:$C$500,2,FALSE),""))</f>
        <v>2</v>
      </c>
      <c r="Z2342" s="56">
        <f>IF($X2342="",1,IFERROR(VLOOKUP($X2342,'Char Popularity'!$A$2:$C$500,3,FALSE),1))</f>
        <v>0.9</v>
      </c>
      <c r="AA2342" s="62">
        <f>IF($H2342&lt;&gt;"Y",0,(IF($F2342&lt;&gt;"",ROUND(Dashboard!$R$4/$F2342,1),IF(AND($I2342="Base",$E2342="Base"),Dashboard!$R$5,IF(AND($I2342="Base",$E2342="Red"),Dashboard!$R$6,IF(AND($I2342="Base",$E2342="Gold"),Dashboard!$R$7,VLOOKUP($I2342,Dashboard!$Q$16:$R$21,2,FALSE)))))*VLOOKUP($I2342,Dashboard!$Q$9:$R$13,2,FALSE)*IF(AND($I2342="Auto",$F2342="",OR($B2342="Autographs Duals",$B2342="Autographs Triples",$B2342="Autographs Quads",$B2342="Autographs Quads (Inscribed)")),IF($B2342="Autographs Duals",2,IF($B2342="Autographs Triples",3,4)),1)))</f>
        <v>80</v>
      </c>
      <c r="AB2342" s="62">
        <f t="shared" si="479"/>
        <v>0</v>
      </c>
      <c r="AC2342" s="62">
        <f t="shared" si="480"/>
        <v>0</v>
      </c>
    </row>
    <row r="2343" spans="1:29" ht="30" customHeight="1" x14ac:dyDescent="0.25">
      <c r="A2343" s="4" t="s">
        <v>37</v>
      </c>
      <c r="B2343" s="7" t="s">
        <v>136</v>
      </c>
      <c r="C2343" s="2" t="s">
        <v>279</v>
      </c>
      <c r="D2343" s="7" t="s">
        <v>280</v>
      </c>
      <c r="E2343" s="4" t="s">
        <v>823</v>
      </c>
      <c r="F2343" s="2">
        <v>49</v>
      </c>
      <c r="G2343" s="2" t="s">
        <v>1399</v>
      </c>
      <c r="H2343" s="2" t="s">
        <v>1400</v>
      </c>
      <c r="I2343" s="4" t="s">
        <v>68</v>
      </c>
      <c r="J2343" s="112">
        <f>IF($H2343&lt;&gt;"Y",0,ROUND(MIN(Dashboard!$R$24,IF(IFERROR(VLOOKUP($B2343,Dashboard!$Q$28:$S$60,2,FALSE),0)&gt;0,IFERROR(VLOOKUP($B2343,Dashboard!$Q$28:$S$60,2,FALSE),0),$Z2343*IF($U2343&lt;&gt;"",ROUND((Dashboard!$R$4/$U2343)*VLOOKUP($I2343,Dashboard!$Q$9:$R$13,2,FALSE)*IF(ISNUMBER(SEARCH("Duals",$B2343)),2,IF(ISNUMBER(SEARCH("Triples",$B2343)),3,IF(ISNUMBER(SEARCH("Quads",$B2343)),4,1))),2),ROUND(VLOOKUP($I2343,Dashboard!$Q$15:$R$20,2,FALSE)*IF($E2343="Red",Dashboard!$R$6,IF($E2343="Gold",Dashboard!$R$7,Dashboard!$R$5))*IF(ISNUMBER(SEARCH("Duals",$B2343)),2,IF(ISNUMBER(SEARCH("Triples",$B2343)),3,IF(ISNUMBER(SEARCH("Quads",$B2343)),4,1))),2))*IF(IFERROR(VLOOKUP($B2343,Dashboard!$Q$28:$S$60,3,FALSE),0)&gt;0,VLOOKUP($B2343,Dashboard!$Q$28:$S$60,3,FALSE),1))),0))</f>
        <v>45</v>
      </c>
      <c r="K2343" s="2" t="str">
        <f>IF('Autos - Singles'!E41="","",'Autos - Singles'!E41)</f>
        <v/>
      </c>
      <c r="L2343" s="2">
        <f t="shared" si="468"/>
        <v>0</v>
      </c>
      <c r="M2343" s="2">
        <f t="shared" si="469"/>
        <v>0</v>
      </c>
      <c r="N2343" s="2">
        <f t="shared" si="470"/>
        <v>0</v>
      </c>
      <c r="O2343" s="2">
        <f t="shared" si="471"/>
        <v>1</v>
      </c>
      <c r="P2343" s="112">
        <f t="shared" si="472"/>
        <v>0</v>
      </c>
      <c r="Q2343" s="112">
        <f t="shared" si="473"/>
        <v>0</v>
      </c>
      <c r="R2343" s="53"/>
      <c r="S2343" s="53" t="str">
        <f t="shared" si="474"/>
        <v>Autos - Singles|Autographs Red Parallel|A-LR|Red</v>
      </c>
      <c r="T2343" s="57" t="str">
        <f>IF($S2343="","",IFERROR(VLOOKUP($S2343,'Pop Estimates (Non-#d)'!$N$2:$O$500,2,FALSE),""))</f>
        <v/>
      </c>
      <c r="U2343" s="57">
        <f t="shared" si="475"/>
        <v>49</v>
      </c>
      <c r="V2343" s="53" t="str">
        <f t="shared" si="476"/>
        <v>Grace Mallory</v>
      </c>
      <c r="W2343" s="53" t="str">
        <f t="shared" si="477"/>
        <v>Grace Mallory</v>
      </c>
      <c r="X2343" s="53" t="str">
        <f t="shared" si="478"/>
        <v>Grace Mallory</v>
      </c>
      <c r="Y2343" s="57">
        <f>IF($X2343="","",IFERROR(VLOOKUP($X2343,'Char Popularity'!$A$2:$C$500,2,FALSE),""))</f>
        <v>4</v>
      </c>
      <c r="Z2343" s="56">
        <f>IF($X2343="",1,IFERROR(VLOOKUP($X2343,'Char Popularity'!$A$2:$C$500,3,FALSE),1))</f>
        <v>1.1000000000000001</v>
      </c>
      <c r="AA2343" s="62">
        <f>IF($H2343&lt;&gt;"Y",0,(IF($F2343&lt;&gt;"",ROUND(Dashboard!$R$4/$F2343,1),IF(AND($I2343="Base",$E2343="Base"),Dashboard!$R$5,IF(AND($I2343="Base",$E2343="Red"),Dashboard!$R$6,IF(AND($I2343="Base",$E2343="Gold"),Dashboard!$R$7,VLOOKUP($I2343,Dashboard!$Q$16:$R$21,2,FALSE)))))*VLOOKUP($I2343,Dashboard!$Q$9:$R$13,2,FALSE)*IF(AND($I2343="Auto",$F2343="",OR($B2343="Autographs Duals",$B2343="Autographs Triples",$B2343="Autographs Quads",$B2343="Autographs Quads (Inscribed)")),IF($B2343="Autographs Duals",2,IF($B2343="Autographs Triples",3,4)),1)))</f>
        <v>40.799999999999997</v>
      </c>
      <c r="AB2343" s="62">
        <f t="shared" si="479"/>
        <v>0</v>
      </c>
      <c r="AC2343" s="62">
        <f t="shared" si="480"/>
        <v>0</v>
      </c>
    </row>
    <row r="2344" spans="1:29" ht="30" customHeight="1" x14ac:dyDescent="0.25">
      <c r="A2344" s="4" t="s">
        <v>37</v>
      </c>
      <c r="B2344" s="7" t="s">
        <v>136</v>
      </c>
      <c r="C2344" s="2" t="s">
        <v>281</v>
      </c>
      <c r="D2344" s="7" t="s">
        <v>276</v>
      </c>
      <c r="E2344" s="4" t="s">
        <v>823</v>
      </c>
      <c r="F2344" s="2">
        <v>49</v>
      </c>
      <c r="G2344" s="2" t="s">
        <v>1399</v>
      </c>
      <c r="H2344" s="2" t="s">
        <v>1400</v>
      </c>
      <c r="I2344" s="4" t="s">
        <v>68</v>
      </c>
      <c r="J2344" s="112">
        <f>IF($H2344&lt;&gt;"Y",0,ROUND(MIN(Dashboard!$R$24,IF(IFERROR(VLOOKUP($B2344,Dashboard!$Q$28:$S$60,2,FALSE),0)&gt;0,IFERROR(VLOOKUP($B2344,Dashboard!$Q$28:$S$60,2,FALSE),0),$Z2344*IF($U2344&lt;&gt;"",ROUND((Dashboard!$R$4/$U2344)*VLOOKUP($I2344,Dashboard!$Q$9:$R$13,2,FALSE)*IF(ISNUMBER(SEARCH("Duals",$B2344)),2,IF(ISNUMBER(SEARCH("Triples",$B2344)),3,IF(ISNUMBER(SEARCH("Quads",$B2344)),4,1))),2),ROUND(VLOOKUP($I2344,Dashboard!$Q$15:$R$20,2,FALSE)*IF($E2344="Red",Dashboard!$R$6,IF($E2344="Gold",Dashboard!$R$7,Dashboard!$R$5))*IF(ISNUMBER(SEARCH("Duals",$B2344)),2,IF(ISNUMBER(SEARCH("Triples",$B2344)),3,IF(ISNUMBER(SEARCH("Quads",$B2344)),4,1))),2))*IF(IFERROR(VLOOKUP($B2344,Dashboard!$Q$28:$S$60,3,FALSE),0)&gt;0,VLOOKUP($B2344,Dashboard!$Q$28:$S$60,3,FALSE),1))),0))</f>
        <v>45</v>
      </c>
      <c r="K2344" s="2" t="str">
        <f>IF('Autos - Singles'!E42="","",'Autos - Singles'!E42)</f>
        <v>V 13/49</v>
      </c>
      <c r="L2344" s="2">
        <f t="shared" si="468"/>
        <v>1</v>
      </c>
      <c r="M2344" s="2">
        <f t="shared" si="469"/>
        <v>0</v>
      </c>
      <c r="N2344" s="2">
        <f t="shared" si="470"/>
        <v>1</v>
      </c>
      <c r="O2344" s="2">
        <f t="shared" si="471"/>
        <v>0</v>
      </c>
      <c r="P2344" s="112">
        <f t="shared" si="472"/>
        <v>45</v>
      </c>
      <c r="Q2344" s="112">
        <f t="shared" si="473"/>
        <v>0</v>
      </c>
      <c r="R2344" s="53"/>
      <c r="S2344" s="53" t="str">
        <f t="shared" si="474"/>
        <v>Autos - Singles|Autographs Red Parallel|A-LZ|Red</v>
      </c>
      <c r="T2344" s="57" t="str">
        <f>IF($S2344="","",IFERROR(VLOOKUP($S2344,'Pop Estimates (Non-#d)'!$N$2:$O$500,2,FALSE),""))</f>
        <v/>
      </c>
      <c r="U2344" s="57">
        <f t="shared" si="475"/>
        <v>49</v>
      </c>
      <c r="V2344" s="53" t="str">
        <f t="shared" si="476"/>
        <v>Mother's Milk</v>
      </c>
      <c r="W2344" s="53" t="str">
        <f t="shared" si="477"/>
        <v>Mother's Milk</v>
      </c>
      <c r="X2344" s="53" t="str">
        <f t="shared" si="478"/>
        <v>Mother's Milk</v>
      </c>
      <c r="Y2344" s="57">
        <f>IF($X2344="","",IFERROR(VLOOKUP($X2344,'Char Popularity'!$A$2:$C$500,2,FALSE),""))</f>
        <v>4</v>
      </c>
      <c r="Z2344" s="56">
        <f>IF($X2344="",1,IFERROR(VLOOKUP($X2344,'Char Popularity'!$A$2:$C$500,3,FALSE),1))</f>
        <v>1.1000000000000001</v>
      </c>
      <c r="AA2344" s="62">
        <f>IF($H2344&lt;&gt;"Y",0,(IF($F2344&lt;&gt;"",ROUND(Dashboard!$R$4/$F2344,1),IF(AND($I2344="Base",$E2344="Base"),Dashboard!$R$5,IF(AND($I2344="Base",$E2344="Red"),Dashboard!$R$6,IF(AND($I2344="Base",$E2344="Gold"),Dashboard!$R$7,VLOOKUP($I2344,Dashboard!$Q$16:$R$21,2,FALSE)))))*VLOOKUP($I2344,Dashboard!$Q$9:$R$13,2,FALSE)*IF(AND($I2344="Auto",$F2344="",OR($B2344="Autographs Duals",$B2344="Autographs Triples",$B2344="Autographs Quads",$B2344="Autographs Quads (Inscribed)")),IF($B2344="Autographs Duals",2,IF($B2344="Autographs Triples",3,4)),1)))</f>
        <v>40.799999999999997</v>
      </c>
      <c r="AB2344" s="62">
        <f t="shared" si="479"/>
        <v>40.799999999999997</v>
      </c>
      <c r="AC2344" s="62">
        <f t="shared" si="480"/>
        <v>0</v>
      </c>
    </row>
    <row r="2345" spans="1:29" ht="30" customHeight="1" x14ac:dyDescent="0.25">
      <c r="A2345" s="4" t="s">
        <v>37</v>
      </c>
      <c r="B2345" s="7" t="s">
        <v>136</v>
      </c>
      <c r="C2345" s="2" t="s">
        <v>282</v>
      </c>
      <c r="D2345" s="7" t="s">
        <v>283</v>
      </c>
      <c r="E2345" s="4" t="s">
        <v>823</v>
      </c>
      <c r="F2345" s="2">
        <v>49</v>
      </c>
      <c r="G2345" s="2" t="s">
        <v>1399</v>
      </c>
      <c r="H2345" s="2" t="s">
        <v>1400</v>
      </c>
      <c r="I2345" s="4" t="s">
        <v>68</v>
      </c>
      <c r="J2345" s="112">
        <f>IF($H2345&lt;&gt;"Y",0,ROUND(MIN(Dashboard!$R$24,IF(IFERROR(VLOOKUP($B2345,Dashboard!$Q$28:$S$60,2,FALSE),0)&gt;0,IFERROR(VLOOKUP($B2345,Dashboard!$Q$28:$S$60,2,FALSE),0),$Z2345*IF($U2345&lt;&gt;"",ROUND((Dashboard!$R$4/$U2345)*VLOOKUP($I2345,Dashboard!$Q$9:$R$13,2,FALSE)*IF(ISNUMBER(SEARCH("Duals",$B2345)),2,IF(ISNUMBER(SEARCH("Triples",$B2345)),3,IF(ISNUMBER(SEARCH("Quads",$B2345)),4,1))),2),ROUND(VLOOKUP($I2345,Dashboard!$Q$15:$R$20,2,FALSE)*IF($E2345="Red",Dashboard!$R$6,IF($E2345="Gold",Dashboard!$R$7,Dashboard!$R$5))*IF(ISNUMBER(SEARCH("Duals",$B2345)),2,IF(ISNUMBER(SEARCH("Triples",$B2345)),3,IF(ISNUMBER(SEARCH("Quads",$B2345)),4,1))),2))*IF(IFERROR(VLOOKUP($B2345,Dashboard!$Q$28:$S$60,3,FALSE),0)&gt;0,VLOOKUP($B2345,Dashboard!$Q$28:$S$60,3,FALSE),1))),0))</f>
        <v>45</v>
      </c>
      <c r="K2345" s="2" t="str">
        <f>IF('Autos - Singles'!E43="","",'Autos - Singles'!E43)</f>
        <v/>
      </c>
      <c r="L2345" s="2">
        <f t="shared" si="468"/>
        <v>0</v>
      </c>
      <c r="M2345" s="2">
        <f t="shared" si="469"/>
        <v>0</v>
      </c>
      <c r="N2345" s="2">
        <f t="shared" si="470"/>
        <v>0</v>
      </c>
      <c r="O2345" s="2">
        <f t="shared" si="471"/>
        <v>1</v>
      </c>
      <c r="P2345" s="112">
        <f t="shared" si="472"/>
        <v>0</v>
      </c>
      <c r="Q2345" s="112">
        <f t="shared" si="473"/>
        <v>0</v>
      </c>
      <c r="R2345" s="53"/>
      <c r="S2345" s="53" t="str">
        <f t="shared" si="474"/>
        <v>Autos - Singles|Autographs Red Parallel|A-MB|Red</v>
      </c>
      <c r="T2345" s="57" t="str">
        <f>IF($S2345="","",IFERROR(VLOOKUP($S2345,'Pop Estimates (Non-#d)'!$N$2:$O$500,2,FALSE),""))</f>
        <v/>
      </c>
      <c r="U2345" s="57">
        <f t="shared" si="475"/>
        <v>49</v>
      </c>
      <c r="V2345" s="53" t="str">
        <f t="shared" si="476"/>
        <v>Black Noir</v>
      </c>
      <c r="W2345" s="53" t="str">
        <f t="shared" si="477"/>
        <v>Black Noir</v>
      </c>
      <c r="X2345" s="53" t="str">
        <f t="shared" si="478"/>
        <v>Black Noir</v>
      </c>
      <c r="Y2345" s="57">
        <f>IF($X2345="","",IFERROR(VLOOKUP($X2345,'Char Popularity'!$A$2:$C$500,2,FALSE),""))</f>
        <v>4</v>
      </c>
      <c r="Z2345" s="56">
        <f>IF($X2345="",1,IFERROR(VLOOKUP($X2345,'Char Popularity'!$A$2:$C$500,3,FALSE),1))</f>
        <v>1.1000000000000001</v>
      </c>
      <c r="AA2345" s="62">
        <f>IF($H2345&lt;&gt;"Y",0,(IF($F2345&lt;&gt;"",ROUND(Dashboard!$R$4/$F2345,1),IF(AND($I2345="Base",$E2345="Base"),Dashboard!$R$5,IF(AND($I2345="Base",$E2345="Red"),Dashboard!$R$6,IF(AND($I2345="Base",$E2345="Gold"),Dashboard!$R$7,VLOOKUP($I2345,Dashboard!$Q$16:$R$21,2,FALSE)))))*VLOOKUP($I2345,Dashboard!$Q$9:$R$13,2,FALSE)*IF(AND($I2345="Auto",$F2345="",OR($B2345="Autographs Duals",$B2345="Autographs Triples",$B2345="Autographs Quads",$B2345="Autographs Quads (Inscribed)")),IF($B2345="Autographs Duals",2,IF($B2345="Autographs Triples",3,4)),1)))</f>
        <v>40.799999999999997</v>
      </c>
      <c r="AB2345" s="62">
        <f t="shared" si="479"/>
        <v>0</v>
      </c>
      <c r="AC2345" s="62">
        <f t="shared" si="480"/>
        <v>0</v>
      </c>
    </row>
    <row r="2346" spans="1:29" ht="30" customHeight="1" x14ac:dyDescent="0.25">
      <c r="A2346" s="4" t="s">
        <v>37</v>
      </c>
      <c r="B2346" s="7" t="s">
        <v>136</v>
      </c>
      <c r="C2346" s="2" t="s">
        <v>284</v>
      </c>
      <c r="D2346" s="7" t="s">
        <v>244</v>
      </c>
      <c r="E2346" s="4" t="s">
        <v>823</v>
      </c>
      <c r="F2346" s="2">
        <v>25</v>
      </c>
      <c r="G2346" s="2" t="s">
        <v>1399</v>
      </c>
      <c r="H2346" s="2" t="s">
        <v>1400</v>
      </c>
      <c r="I2346" s="4" t="s">
        <v>68</v>
      </c>
      <c r="J2346" s="112">
        <f>IF($H2346&lt;&gt;"Y",0,ROUND(MIN(Dashboard!$R$24,IF(IFERROR(VLOOKUP($B2346,Dashboard!$Q$28:$S$60,2,FALSE),0)&gt;0,IFERROR(VLOOKUP($B2346,Dashboard!$Q$28:$S$60,2,FALSE),0),$Z2346*IF($U2346&lt;&gt;"",ROUND((Dashboard!$R$4/$U2346)*VLOOKUP($I2346,Dashboard!$Q$9:$R$13,2,FALSE)*IF(ISNUMBER(SEARCH("Duals",$B2346)),2,IF(ISNUMBER(SEARCH("Triples",$B2346)),3,IF(ISNUMBER(SEARCH("Quads",$B2346)),4,1))),2),ROUND(VLOOKUP($I2346,Dashboard!$Q$15:$R$20,2,FALSE)*IF($E2346="Red",Dashboard!$R$6,IF($E2346="Gold",Dashboard!$R$7,Dashboard!$R$5))*IF(ISNUMBER(SEARCH("Duals",$B2346)),2,IF(ISNUMBER(SEARCH("Triples",$B2346)),3,IF(ISNUMBER(SEARCH("Quads",$B2346)),4,1))),2))*IF(IFERROR(VLOOKUP($B2346,Dashboard!$Q$28:$S$60,3,FALSE),0)&gt;0,VLOOKUP($B2346,Dashboard!$Q$28:$S$60,3,FALSE),1))),0))</f>
        <v>88</v>
      </c>
      <c r="K2346" s="2" t="str">
        <f>IF('Autos - Singles'!E44="","",'Autos - Singles'!E44)</f>
        <v/>
      </c>
      <c r="L2346" s="2">
        <f t="shared" si="468"/>
        <v>0</v>
      </c>
      <c r="M2346" s="2">
        <f t="shared" si="469"/>
        <v>0</v>
      </c>
      <c r="N2346" s="2">
        <f t="shared" si="470"/>
        <v>0</v>
      </c>
      <c r="O2346" s="2">
        <f t="shared" si="471"/>
        <v>1</v>
      </c>
      <c r="P2346" s="112">
        <f t="shared" si="472"/>
        <v>0</v>
      </c>
      <c r="Q2346" s="112">
        <f t="shared" si="473"/>
        <v>0</v>
      </c>
      <c r="R2346" s="53"/>
      <c r="S2346" s="53" t="str">
        <f t="shared" si="474"/>
        <v>Autos - Singles|Autographs Red Parallel|A-MC|Red</v>
      </c>
      <c r="T2346" s="57" t="str">
        <f>IF($S2346="","",IFERROR(VLOOKUP($S2346,'Pop Estimates (Non-#d)'!$N$2:$O$500,2,FALSE),""))</f>
        <v/>
      </c>
      <c r="U2346" s="57">
        <f t="shared" si="475"/>
        <v>25</v>
      </c>
      <c r="V2346" s="53" t="str">
        <f t="shared" si="476"/>
        <v>Queen Maeve</v>
      </c>
      <c r="W2346" s="53" t="str">
        <f t="shared" si="477"/>
        <v>Queen Maeve</v>
      </c>
      <c r="X2346" s="53" t="str">
        <f t="shared" si="478"/>
        <v>Queen Maeve</v>
      </c>
      <c r="Y2346" s="57">
        <f>IF($X2346="","",IFERROR(VLOOKUP($X2346,'Char Popularity'!$A$2:$C$500,2,FALSE),""))</f>
        <v>4</v>
      </c>
      <c r="Z2346" s="56">
        <f>IF($X2346="",1,IFERROR(VLOOKUP($X2346,'Char Popularity'!$A$2:$C$500,3,FALSE),1))</f>
        <v>1.1000000000000001</v>
      </c>
      <c r="AA2346" s="62">
        <f>IF($H2346&lt;&gt;"Y",0,(IF($F2346&lt;&gt;"",ROUND(Dashboard!$R$4/$F2346,1),IF(AND($I2346="Base",$E2346="Base"),Dashboard!$R$5,IF(AND($I2346="Base",$E2346="Red"),Dashboard!$R$6,IF(AND($I2346="Base",$E2346="Gold"),Dashboard!$R$7,VLOOKUP($I2346,Dashboard!$Q$16:$R$21,2,FALSE)))))*VLOOKUP($I2346,Dashboard!$Q$9:$R$13,2,FALSE)*IF(AND($I2346="Auto",$F2346="",OR($B2346="Autographs Duals",$B2346="Autographs Triples",$B2346="Autographs Quads",$B2346="Autographs Quads (Inscribed)")),IF($B2346="Autographs Duals",2,IF($B2346="Autographs Triples",3,4)),1)))</f>
        <v>80</v>
      </c>
      <c r="AB2346" s="62">
        <f t="shared" si="479"/>
        <v>0</v>
      </c>
      <c r="AC2346" s="62">
        <f t="shared" si="480"/>
        <v>0</v>
      </c>
    </row>
    <row r="2347" spans="1:29" ht="30" customHeight="1" x14ac:dyDescent="0.25">
      <c r="A2347" s="4" t="s">
        <v>37</v>
      </c>
      <c r="B2347" s="7" t="s">
        <v>136</v>
      </c>
      <c r="C2347" s="2" t="s">
        <v>286</v>
      </c>
      <c r="D2347" s="7" t="s">
        <v>234</v>
      </c>
      <c r="E2347" s="4" t="s">
        <v>823</v>
      </c>
      <c r="F2347" s="2">
        <v>49</v>
      </c>
      <c r="G2347" s="2" t="s">
        <v>1399</v>
      </c>
      <c r="H2347" s="2" t="s">
        <v>1400</v>
      </c>
      <c r="I2347" s="4" t="s">
        <v>68</v>
      </c>
      <c r="J2347" s="112">
        <f>IF($H2347&lt;&gt;"Y",0,ROUND(MIN(Dashboard!$R$24,IF(IFERROR(VLOOKUP($B2347,Dashboard!$Q$28:$S$60,2,FALSE),0)&gt;0,IFERROR(VLOOKUP($B2347,Dashboard!$Q$28:$S$60,2,FALSE),0),$Z2347*IF($U2347&lt;&gt;"",ROUND((Dashboard!$R$4/$U2347)*VLOOKUP($I2347,Dashboard!$Q$9:$R$13,2,FALSE)*IF(ISNUMBER(SEARCH("Duals",$B2347)),2,IF(ISNUMBER(SEARCH("Triples",$B2347)),3,IF(ISNUMBER(SEARCH("Quads",$B2347)),4,1))),2),ROUND(VLOOKUP($I2347,Dashboard!$Q$15:$R$20,2,FALSE)*IF($E2347="Red",Dashboard!$R$6,IF($E2347="Gold",Dashboard!$R$7,Dashboard!$R$5))*IF(ISNUMBER(SEARCH("Duals",$B2347)),2,IF(ISNUMBER(SEARCH("Triples",$B2347)),3,IF(ISNUMBER(SEARCH("Quads",$B2347)),4,1))),2))*IF(IFERROR(VLOOKUP($B2347,Dashboard!$Q$28:$S$60,3,FALSE),0)&gt;0,VLOOKUP($B2347,Dashboard!$Q$28:$S$60,3,FALSE),1))),0))</f>
        <v>41</v>
      </c>
      <c r="K2347" s="2" t="str">
        <f>IF('Autos - Singles'!E45="","",'Autos - Singles'!E45)</f>
        <v/>
      </c>
      <c r="L2347" s="2">
        <f t="shared" si="468"/>
        <v>0</v>
      </c>
      <c r="M2347" s="2">
        <f t="shared" si="469"/>
        <v>0</v>
      </c>
      <c r="N2347" s="2">
        <f t="shared" si="470"/>
        <v>0</v>
      </c>
      <c r="O2347" s="2">
        <f t="shared" si="471"/>
        <v>1</v>
      </c>
      <c r="P2347" s="112">
        <f t="shared" si="472"/>
        <v>0</v>
      </c>
      <c r="Q2347" s="112">
        <f t="shared" si="473"/>
        <v>0</v>
      </c>
      <c r="R2347" s="53"/>
      <c r="S2347" s="53" t="str">
        <f t="shared" si="474"/>
        <v>Autos - Singles|Autographs Red Parallel|A-MI|Red</v>
      </c>
      <c r="T2347" s="57" t="str">
        <f>IF($S2347="","",IFERROR(VLOOKUP($S2347,'Pop Estimates (Non-#d)'!$N$2:$O$500,2,FALSE),""))</f>
        <v/>
      </c>
      <c r="U2347" s="57">
        <f t="shared" si="475"/>
        <v>49</v>
      </c>
      <c r="V2347" s="53" t="str">
        <f t="shared" si="476"/>
        <v>Ashley Barrett</v>
      </c>
      <c r="W2347" s="53" t="str">
        <f t="shared" si="477"/>
        <v>Ashley Barrett</v>
      </c>
      <c r="X2347" s="53" t="str">
        <f t="shared" si="478"/>
        <v>Ashley Barrett</v>
      </c>
      <c r="Y2347" s="57">
        <f>IF($X2347="","",IFERROR(VLOOKUP($X2347,'Char Popularity'!$A$2:$C$500,2,FALSE),""))</f>
        <v>3</v>
      </c>
      <c r="Z2347" s="56">
        <f>IF($X2347="",1,IFERROR(VLOOKUP($X2347,'Char Popularity'!$A$2:$C$500,3,FALSE),1))</f>
        <v>1</v>
      </c>
      <c r="AA2347" s="62">
        <f>IF($H2347&lt;&gt;"Y",0,(IF($F2347&lt;&gt;"",ROUND(Dashboard!$R$4/$F2347,1),IF(AND($I2347="Base",$E2347="Base"),Dashboard!$R$5,IF(AND($I2347="Base",$E2347="Red"),Dashboard!$R$6,IF(AND($I2347="Base",$E2347="Gold"),Dashboard!$R$7,VLOOKUP($I2347,Dashboard!$Q$16:$R$21,2,FALSE)))))*VLOOKUP($I2347,Dashboard!$Q$9:$R$13,2,FALSE)*IF(AND($I2347="Auto",$F2347="",OR($B2347="Autographs Duals",$B2347="Autographs Triples",$B2347="Autographs Quads",$B2347="Autographs Quads (Inscribed)")),IF($B2347="Autographs Duals",2,IF($B2347="Autographs Triples",3,4)),1)))</f>
        <v>40.799999999999997</v>
      </c>
      <c r="AB2347" s="62">
        <f t="shared" si="479"/>
        <v>0</v>
      </c>
      <c r="AC2347" s="62">
        <f t="shared" si="480"/>
        <v>0</v>
      </c>
    </row>
    <row r="2348" spans="1:29" ht="30" customHeight="1" x14ac:dyDescent="0.25">
      <c r="A2348" s="4" t="s">
        <v>37</v>
      </c>
      <c r="B2348" s="7" t="s">
        <v>136</v>
      </c>
      <c r="C2348" s="2" t="s">
        <v>287</v>
      </c>
      <c r="D2348" s="7" t="s">
        <v>288</v>
      </c>
      <c r="E2348" s="4" t="s">
        <v>823</v>
      </c>
      <c r="F2348" s="2">
        <v>49</v>
      </c>
      <c r="G2348" s="2" t="s">
        <v>1399</v>
      </c>
      <c r="H2348" s="2" t="s">
        <v>1400</v>
      </c>
      <c r="I2348" s="4" t="s">
        <v>68</v>
      </c>
      <c r="J2348" s="112">
        <f>IF($H2348&lt;&gt;"Y",0,ROUND(MIN(Dashboard!$R$24,IF(IFERROR(VLOOKUP($B2348,Dashboard!$Q$28:$S$60,2,FALSE),0)&gt;0,IFERROR(VLOOKUP($B2348,Dashboard!$Q$28:$S$60,2,FALSE),0),$Z2348*IF($U2348&lt;&gt;"",ROUND((Dashboard!$R$4/$U2348)*VLOOKUP($I2348,Dashboard!$Q$9:$R$13,2,FALSE)*IF(ISNUMBER(SEARCH("Duals",$B2348)),2,IF(ISNUMBER(SEARCH("Triples",$B2348)),3,IF(ISNUMBER(SEARCH("Quads",$B2348)),4,1))),2),ROUND(VLOOKUP($I2348,Dashboard!$Q$15:$R$20,2,FALSE)*IF($E2348="Red",Dashboard!$R$6,IF($E2348="Gold",Dashboard!$R$7,Dashboard!$R$5))*IF(ISNUMBER(SEARCH("Duals",$B2348)),2,IF(ISNUMBER(SEARCH("Triples",$B2348)),3,IF(ISNUMBER(SEARCH("Quads",$B2348)),4,1))),2))*IF(IFERROR(VLOOKUP($B2348,Dashboard!$Q$28:$S$60,3,FALSE),0)&gt;0,VLOOKUP($B2348,Dashboard!$Q$28:$S$60,3,FALSE),1))),0))</f>
        <v>37</v>
      </c>
      <c r="K2348" s="2" t="str">
        <f>IF('Autos - Singles'!E46="","",'Autos - Singles'!E46)</f>
        <v>V 40/49</v>
      </c>
      <c r="L2348" s="2">
        <f t="shared" si="468"/>
        <v>1</v>
      </c>
      <c r="M2348" s="2">
        <f t="shared" si="469"/>
        <v>0</v>
      </c>
      <c r="N2348" s="2">
        <f t="shared" si="470"/>
        <v>1</v>
      </c>
      <c r="O2348" s="2">
        <f t="shared" si="471"/>
        <v>0</v>
      </c>
      <c r="P2348" s="112">
        <f t="shared" si="472"/>
        <v>37</v>
      </c>
      <c r="Q2348" s="112">
        <f t="shared" si="473"/>
        <v>0</v>
      </c>
      <c r="R2348" s="53"/>
      <c r="S2348" s="53" t="str">
        <f t="shared" si="474"/>
        <v>Autos - Singles|Autographs Red Parallel|A-MK|Red</v>
      </c>
      <c r="T2348" s="57" t="str">
        <f>IF($S2348="","",IFERROR(VLOOKUP($S2348,'Pop Estimates (Non-#d)'!$N$2:$O$500,2,FALSE),""))</f>
        <v/>
      </c>
      <c r="U2348" s="57">
        <f t="shared" si="475"/>
        <v>49</v>
      </c>
      <c r="V2348" s="53" t="str">
        <f t="shared" si="476"/>
        <v>Shockwave</v>
      </c>
      <c r="W2348" s="53" t="str">
        <f t="shared" si="477"/>
        <v>Shockwave</v>
      </c>
      <c r="X2348" s="53" t="str">
        <f t="shared" si="478"/>
        <v>Shockwave</v>
      </c>
      <c r="Y2348" s="57">
        <f>IF($X2348="","",IFERROR(VLOOKUP($X2348,'Char Popularity'!$A$2:$C$500,2,FALSE),""))</f>
        <v>2</v>
      </c>
      <c r="Z2348" s="56">
        <f>IF($X2348="",1,IFERROR(VLOOKUP($X2348,'Char Popularity'!$A$2:$C$500,3,FALSE),1))</f>
        <v>0.9</v>
      </c>
      <c r="AA2348" s="62">
        <f>IF($H2348&lt;&gt;"Y",0,(IF($F2348&lt;&gt;"",ROUND(Dashboard!$R$4/$F2348,1),IF(AND($I2348="Base",$E2348="Base"),Dashboard!$R$5,IF(AND($I2348="Base",$E2348="Red"),Dashboard!$R$6,IF(AND($I2348="Base",$E2348="Gold"),Dashboard!$R$7,VLOOKUP($I2348,Dashboard!$Q$16:$R$21,2,FALSE)))))*VLOOKUP($I2348,Dashboard!$Q$9:$R$13,2,FALSE)*IF(AND($I2348="Auto",$F2348="",OR($B2348="Autographs Duals",$B2348="Autographs Triples",$B2348="Autographs Quads",$B2348="Autographs Quads (Inscribed)")),IF($B2348="Autographs Duals",2,IF($B2348="Autographs Triples",3,4)),1)))</f>
        <v>40.799999999999997</v>
      </c>
      <c r="AB2348" s="62">
        <f t="shared" si="479"/>
        <v>40.799999999999997</v>
      </c>
      <c r="AC2348" s="62">
        <f t="shared" si="480"/>
        <v>0</v>
      </c>
    </row>
    <row r="2349" spans="1:29" ht="30" customHeight="1" x14ac:dyDescent="0.25">
      <c r="A2349" s="4" t="s">
        <v>37</v>
      </c>
      <c r="B2349" s="7" t="s">
        <v>136</v>
      </c>
      <c r="C2349" s="2" t="s">
        <v>289</v>
      </c>
      <c r="D2349" s="7" t="s">
        <v>248</v>
      </c>
      <c r="E2349" s="4" t="s">
        <v>823</v>
      </c>
      <c r="F2349" s="2">
        <v>25</v>
      </c>
      <c r="G2349" s="2" t="s">
        <v>1399</v>
      </c>
      <c r="H2349" s="2" t="s">
        <v>1400</v>
      </c>
      <c r="I2349" s="4" t="s">
        <v>68</v>
      </c>
      <c r="J2349" s="112">
        <f>IF($H2349&lt;&gt;"Y",0,ROUND(MIN(Dashboard!$R$24,IF(IFERROR(VLOOKUP($B2349,Dashboard!$Q$28:$S$60,2,FALSE),0)&gt;0,IFERROR(VLOOKUP($B2349,Dashboard!$Q$28:$S$60,2,FALSE),0),$Z2349*IF($U2349&lt;&gt;"",ROUND((Dashboard!$R$4/$U2349)*VLOOKUP($I2349,Dashboard!$Q$9:$R$13,2,FALSE)*IF(ISNUMBER(SEARCH("Duals",$B2349)),2,IF(ISNUMBER(SEARCH("Triples",$B2349)),3,IF(ISNUMBER(SEARCH("Quads",$B2349)),4,1))),2),ROUND(VLOOKUP($I2349,Dashboard!$Q$15:$R$20,2,FALSE)*IF($E2349="Red",Dashboard!$R$6,IF($E2349="Gold",Dashboard!$R$7,Dashboard!$R$5))*IF(ISNUMBER(SEARCH("Duals",$B2349)),2,IF(ISNUMBER(SEARCH("Triples",$B2349)),3,IF(ISNUMBER(SEARCH("Quads",$B2349)),4,1))),2))*IF(IFERROR(VLOOKUP($B2349,Dashboard!$Q$28:$S$60,3,FALSE),0)&gt;0,VLOOKUP($B2349,Dashboard!$Q$28:$S$60,3,FALSE),1))),0))</f>
        <v>96</v>
      </c>
      <c r="K2349" s="2" t="str">
        <f>IF('Autos - Singles'!E47="","",'Autos - Singles'!E47)</f>
        <v>Y 25/25</v>
      </c>
      <c r="L2349" s="2">
        <f t="shared" si="468"/>
        <v>0</v>
      </c>
      <c r="M2349" s="2">
        <f t="shared" si="469"/>
        <v>1</v>
      </c>
      <c r="N2349" s="2">
        <f t="shared" si="470"/>
        <v>1</v>
      </c>
      <c r="O2349" s="2">
        <f t="shared" si="471"/>
        <v>0</v>
      </c>
      <c r="P2349" s="112">
        <f t="shared" si="472"/>
        <v>0</v>
      </c>
      <c r="Q2349" s="112">
        <f t="shared" si="473"/>
        <v>96</v>
      </c>
      <c r="R2349" s="53"/>
      <c r="S2349" s="53" t="str">
        <f t="shared" si="474"/>
        <v>Autos - Singles|Autographs Red Parallel|A-MO|Red</v>
      </c>
      <c r="T2349" s="57" t="str">
        <f>IF($S2349="","",IFERROR(VLOOKUP($S2349,'Pop Estimates (Non-#d)'!$N$2:$O$500,2,FALSE),""))</f>
        <v/>
      </c>
      <c r="U2349" s="57">
        <f t="shared" si="475"/>
        <v>25</v>
      </c>
      <c r="V2349" s="53" t="str">
        <f t="shared" si="476"/>
        <v>Starlight</v>
      </c>
      <c r="W2349" s="53" t="str">
        <f t="shared" si="477"/>
        <v>Starlight</v>
      </c>
      <c r="X2349" s="53" t="str">
        <f t="shared" si="478"/>
        <v>Starlight</v>
      </c>
      <c r="Y2349" s="57">
        <f>IF($X2349="","",IFERROR(VLOOKUP($X2349,'Char Popularity'!$A$2:$C$500,2,FALSE),""))</f>
        <v>5</v>
      </c>
      <c r="Z2349" s="56">
        <f>IF($X2349="",1,IFERROR(VLOOKUP($X2349,'Char Popularity'!$A$2:$C$500,3,FALSE),1))</f>
        <v>1.2</v>
      </c>
      <c r="AA2349" s="62">
        <f>IF($H2349&lt;&gt;"Y",0,(IF($F2349&lt;&gt;"",ROUND(Dashboard!$R$4/$F2349,1),IF(AND($I2349="Base",$E2349="Base"),Dashboard!$R$5,IF(AND($I2349="Base",$E2349="Red"),Dashboard!$R$6,IF(AND($I2349="Base",$E2349="Gold"),Dashboard!$R$7,VLOOKUP($I2349,Dashboard!$Q$16:$R$21,2,FALSE)))))*VLOOKUP($I2349,Dashboard!$Q$9:$R$13,2,FALSE)*IF(AND($I2349="Auto",$F2349="",OR($B2349="Autographs Duals",$B2349="Autographs Triples",$B2349="Autographs Quads",$B2349="Autographs Quads (Inscribed)")),IF($B2349="Autographs Duals",2,IF($B2349="Autographs Triples",3,4)),1)))</f>
        <v>80</v>
      </c>
      <c r="AB2349" s="62">
        <f t="shared" si="479"/>
        <v>0</v>
      </c>
      <c r="AC2349" s="62">
        <f t="shared" si="480"/>
        <v>80</v>
      </c>
    </row>
    <row r="2350" spans="1:29" ht="30" customHeight="1" x14ac:dyDescent="0.25">
      <c r="A2350" s="4" t="s">
        <v>37</v>
      </c>
      <c r="B2350" s="7" t="s">
        <v>136</v>
      </c>
      <c r="C2350" s="2" t="s">
        <v>290</v>
      </c>
      <c r="D2350" s="7" t="s">
        <v>288</v>
      </c>
      <c r="E2350" s="4" t="s">
        <v>823</v>
      </c>
      <c r="F2350" s="2">
        <v>25</v>
      </c>
      <c r="G2350" s="2" t="s">
        <v>1399</v>
      </c>
      <c r="H2350" s="2" t="s">
        <v>1400</v>
      </c>
      <c r="I2350" s="4" t="s">
        <v>68</v>
      </c>
      <c r="J2350" s="112">
        <f>IF($H2350&lt;&gt;"Y",0,ROUND(MIN(Dashboard!$R$24,IF(IFERROR(VLOOKUP($B2350,Dashboard!$Q$28:$S$60,2,FALSE),0)&gt;0,IFERROR(VLOOKUP($B2350,Dashboard!$Q$28:$S$60,2,FALSE),0),$Z2350*IF($U2350&lt;&gt;"",ROUND((Dashboard!$R$4/$U2350)*VLOOKUP($I2350,Dashboard!$Q$9:$R$13,2,FALSE)*IF(ISNUMBER(SEARCH("Duals",$B2350)),2,IF(ISNUMBER(SEARCH("Triples",$B2350)),3,IF(ISNUMBER(SEARCH("Quads",$B2350)),4,1))),2),ROUND(VLOOKUP($I2350,Dashboard!$Q$15:$R$20,2,FALSE)*IF($E2350="Red",Dashboard!$R$6,IF($E2350="Gold",Dashboard!$R$7,Dashboard!$R$5))*IF(ISNUMBER(SEARCH("Duals",$B2350)),2,IF(ISNUMBER(SEARCH("Triples",$B2350)),3,IF(ISNUMBER(SEARCH("Quads",$B2350)),4,1))),2))*IF(IFERROR(VLOOKUP($B2350,Dashboard!$Q$28:$S$60,3,FALSE),0)&gt;0,VLOOKUP($B2350,Dashboard!$Q$28:$S$60,3,FALSE),1))),0))</f>
        <v>72</v>
      </c>
      <c r="K2350" s="2" t="str">
        <f>IF('Autos - Singles'!E48="","",'Autos - Singles'!E48)</f>
        <v>V 01/25</v>
      </c>
      <c r="L2350" s="2">
        <f t="shared" si="468"/>
        <v>1</v>
      </c>
      <c r="M2350" s="2">
        <f t="shared" si="469"/>
        <v>0</v>
      </c>
      <c r="N2350" s="2">
        <f t="shared" si="470"/>
        <v>1</v>
      </c>
      <c r="O2350" s="2">
        <f t="shared" si="471"/>
        <v>0</v>
      </c>
      <c r="P2350" s="112">
        <f t="shared" si="472"/>
        <v>72</v>
      </c>
      <c r="Q2350" s="112">
        <f t="shared" si="473"/>
        <v>0</v>
      </c>
      <c r="R2350" s="53"/>
      <c r="S2350" s="53" t="str">
        <f t="shared" si="474"/>
        <v>Autos - Singles|Autographs Red Parallel|A-MS|Red</v>
      </c>
      <c r="T2350" s="57" t="str">
        <f>IF($S2350="","",IFERROR(VLOOKUP($S2350,'Pop Estimates (Non-#d)'!$N$2:$O$500,2,FALSE),""))</f>
        <v/>
      </c>
      <c r="U2350" s="57">
        <f t="shared" si="475"/>
        <v>25</v>
      </c>
      <c r="V2350" s="53" t="str">
        <f t="shared" si="476"/>
        <v>Shockwave</v>
      </c>
      <c r="W2350" s="53" t="str">
        <f t="shared" si="477"/>
        <v>Shockwave</v>
      </c>
      <c r="X2350" s="53" t="str">
        <f t="shared" si="478"/>
        <v>Shockwave</v>
      </c>
      <c r="Y2350" s="57">
        <f>IF($X2350="","",IFERROR(VLOOKUP($X2350,'Char Popularity'!$A$2:$C$500,2,FALSE),""))</f>
        <v>2</v>
      </c>
      <c r="Z2350" s="56">
        <f>IF($X2350="",1,IFERROR(VLOOKUP($X2350,'Char Popularity'!$A$2:$C$500,3,FALSE),1))</f>
        <v>0.9</v>
      </c>
      <c r="AA2350" s="62">
        <f>IF($H2350&lt;&gt;"Y",0,(IF($F2350&lt;&gt;"",ROUND(Dashboard!$R$4/$F2350,1),IF(AND($I2350="Base",$E2350="Base"),Dashboard!$R$5,IF(AND($I2350="Base",$E2350="Red"),Dashboard!$R$6,IF(AND($I2350="Base",$E2350="Gold"),Dashboard!$R$7,VLOOKUP($I2350,Dashboard!$Q$16:$R$21,2,FALSE)))))*VLOOKUP($I2350,Dashboard!$Q$9:$R$13,2,FALSE)*IF(AND($I2350="Auto",$F2350="",OR($B2350="Autographs Duals",$B2350="Autographs Triples",$B2350="Autographs Quads",$B2350="Autographs Quads (Inscribed)")),IF($B2350="Autographs Duals",2,IF($B2350="Autographs Triples",3,4)),1)))</f>
        <v>80</v>
      </c>
      <c r="AB2350" s="62">
        <f t="shared" si="479"/>
        <v>80</v>
      </c>
      <c r="AC2350" s="62">
        <f t="shared" si="480"/>
        <v>0</v>
      </c>
    </row>
    <row r="2351" spans="1:29" ht="30" customHeight="1" x14ac:dyDescent="0.25">
      <c r="A2351" s="4" t="s">
        <v>37</v>
      </c>
      <c r="B2351" s="7" t="s">
        <v>136</v>
      </c>
      <c r="C2351" s="2" t="s">
        <v>291</v>
      </c>
      <c r="D2351" s="7" t="s">
        <v>288</v>
      </c>
      <c r="E2351" s="4" t="s">
        <v>823</v>
      </c>
      <c r="F2351" s="2">
        <v>49</v>
      </c>
      <c r="G2351" s="2" t="s">
        <v>1399</v>
      </c>
      <c r="H2351" s="2" t="s">
        <v>1400</v>
      </c>
      <c r="I2351" s="4" t="s">
        <v>68</v>
      </c>
      <c r="J2351" s="112">
        <f>IF($H2351&lt;&gt;"Y",0,ROUND(MIN(Dashboard!$R$24,IF(IFERROR(VLOOKUP($B2351,Dashboard!$Q$28:$S$60,2,FALSE),0)&gt;0,IFERROR(VLOOKUP($B2351,Dashboard!$Q$28:$S$60,2,FALSE),0),$Z2351*IF($U2351&lt;&gt;"",ROUND((Dashboard!$R$4/$U2351)*VLOOKUP($I2351,Dashboard!$Q$9:$R$13,2,FALSE)*IF(ISNUMBER(SEARCH("Duals",$B2351)),2,IF(ISNUMBER(SEARCH("Triples",$B2351)),3,IF(ISNUMBER(SEARCH("Quads",$B2351)),4,1))),2),ROUND(VLOOKUP($I2351,Dashboard!$Q$15:$R$20,2,FALSE)*IF($E2351="Red",Dashboard!$R$6,IF($E2351="Gold",Dashboard!$R$7,Dashboard!$R$5))*IF(ISNUMBER(SEARCH("Duals",$B2351)),2,IF(ISNUMBER(SEARCH("Triples",$B2351)),3,IF(ISNUMBER(SEARCH("Quads",$B2351)),4,1))),2))*IF(IFERROR(VLOOKUP($B2351,Dashboard!$Q$28:$S$60,3,FALSE),0)&gt;0,VLOOKUP($B2351,Dashboard!$Q$28:$S$60,3,FALSE),1))),0))</f>
        <v>37</v>
      </c>
      <c r="K2351" s="2" t="str">
        <f>IF('Autos - Singles'!E49="","",'Autos - Singles'!E49)</f>
        <v/>
      </c>
      <c r="L2351" s="2">
        <f t="shared" si="468"/>
        <v>0</v>
      </c>
      <c r="M2351" s="2">
        <f t="shared" si="469"/>
        <v>0</v>
      </c>
      <c r="N2351" s="2">
        <f t="shared" si="470"/>
        <v>0</v>
      </c>
      <c r="O2351" s="2">
        <f t="shared" si="471"/>
        <v>1</v>
      </c>
      <c r="P2351" s="112">
        <f t="shared" si="472"/>
        <v>0</v>
      </c>
      <c r="Q2351" s="112">
        <f t="shared" si="473"/>
        <v>0</v>
      </c>
      <c r="R2351" s="53"/>
      <c r="S2351" s="53" t="str">
        <f t="shared" si="474"/>
        <v>Autos - Singles|Autographs Red Parallel|A-MT|Red</v>
      </c>
      <c r="T2351" s="57" t="str">
        <f>IF($S2351="","",IFERROR(VLOOKUP($S2351,'Pop Estimates (Non-#d)'!$N$2:$O$500,2,FALSE),""))</f>
        <v/>
      </c>
      <c r="U2351" s="57">
        <f t="shared" si="475"/>
        <v>49</v>
      </c>
      <c r="V2351" s="53" t="str">
        <f t="shared" si="476"/>
        <v>Shockwave</v>
      </c>
      <c r="W2351" s="53" t="str">
        <f t="shared" si="477"/>
        <v>Shockwave</v>
      </c>
      <c r="X2351" s="53" t="str">
        <f t="shared" si="478"/>
        <v>Shockwave</v>
      </c>
      <c r="Y2351" s="57">
        <f>IF($X2351="","",IFERROR(VLOOKUP($X2351,'Char Popularity'!$A$2:$C$500,2,FALSE),""))</f>
        <v>2</v>
      </c>
      <c r="Z2351" s="56">
        <f>IF($X2351="",1,IFERROR(VLOOKUP($X2351,'Char Popularity'!$A$2:$C$500,3,FALSE),1))</f>
        <v>0.9</v>
      </c>
      <c r="AA2351" s="62">
        <f>IF($H2351&lt;&gt;"Y",0,(IF($F2351&lt;&gt;"",ROUND(Dashboard!$R$4/$F2351,1),IF(AND($I2351="Base",$E2351="Base"),Dashboard!$R$5,IF(AND($I2351="Base",$E2351="Red"),Dashboard!$R$6,IF(AND($I2351="Base",$E2351="Gold"),Dashboard!$R$7,VLOOKUP($I2351,Dashboard!$Q$16:$R$21,2,FALSE)))))*VLOOKUP($I2351,Dashboard!$Q$9:$R$13,2,FALSE)*IF(AND($I2351="Auto",$F2351="",OR($B2351="Autographs Duals",$B2351="Autographs Triples",$B2351="Autographs Quads",$B2351="Autographs Quads (Inscribed)")),IF($B2351="Autographs Duals",2,IF($B2351="Autographs Triples",3,4)),1)))</f>
        <v>40.799999999999997</v>
      </c>
      <c r="AB2351" s="62">
        <f t="shared" si="479"/>
        <v>0</v>
      </c>
      <c r="AC2351" s="62">
        <f t="shared" si="480"/>
        <v>0</v>
      </c>
    </row>
    <row r="2352" spans="1:29" ht="30" customHeight="1" x14ac:dyDescent="0.25">
      <c r="A2352" s="4" t="s">
        <v>37</v>
      </c>
      <c r="B2352" s="7" t="s">
        <v>136</v>
      </c>
      <c r="C2352" s="2" t="s">
        <v>292</v>
      </c>
      <c r="D2352" s="7" t="s">
        <v>283</v>
      </c>
      <c r="E2352" s="4" t="s">
        <v>823</v>
      </c>
      <c r="F2352" s="2">
        <v>25</v>
      </c>
      <c r="G2352" s="2" t="s">
        <v>1399</v>
      </c>
      <c r="H2352" s="2" t="s">
        <v>1400</v>
      </c>
      <c r="I2352" s="4" t="s">
        <v>68</v>
      </c>
      <c r="J2352" s="112">
        <f>IF($H2352&lt;&gt;"Y",0,ROUND(MIN(Dashboard!$R$24,IF(IFERROR(VLOOKUP($B2352,Dashboard!$Q$28:$S$60,2,FALSE),0)&gt;0,IFERROR(VLOOKUP($B2352,Dashboard!$Q$28:$S$60,2,FALSE),0),$Z2352*IF($U2352&lt;&gt;"",ROUND((Dashboard!$R$4/$U2352)*VLOOKUP($I2352,Dashboard!$Q$9:$R$13,2,FALSE)*IF(ISNUMBER(SEARCH("Duals",$B2352)),2,IF(ISNUMBER(SEARCH("Triples",$B2352)),3,IF(ISNUMBER(SEARCH("Quads",$B2352)),4,1))),2),ROUND(VLOOKUP($I2352,Dashboard!$Q$15:$R$20,2,FALSE)*IF($E2352="Red",Dashboard!$R$6,IF($E2352="Gold",Dashboard!$R$7,Dashboard!$R$5))*IF(ISNUMBER(SEARCH("Duals",$B2352)),2,IF(ISNUMBER(SEARCH("Triples",$B2352)),3,IF(ISNUMBER(SEARCH("Quads",$B2352)),4,1))),2))*IF(IFERROR(VLOOKUP($B2352,Dashboard!$Q$28:$S$60,3,FALSE),0)&gt;0,VLOOKUP($B2352,Dashboard!$Q$28:$S$60,3,FALSE),1))),0))</f>
        <v>88</v>
      </c>
      <c r="K2352" s="2" t="str">
        <f>IF('Autos - Singles'!E50="","",'Autos - Singles'!E50)</f>
        <v/>
      </c>
      <c r="L2352" s="2">
        <f t="shared" si="468"/>
        <v>0</v>
      </c>
      <c r="M2352" s="2">
        <f t="shared" si="469"/>
        <v>0</v>
      </c>
      <c r="N2352" s="2">
        <f t="shared" si="470"/>
        <v>0</v>
      </c>
      <c r="O2352" s="2">
        <f t="shared" si="471"/>
        <v>1</v>
      </c>
      <c r="P2352" s="112">
        <f t="shared" si="472"/>
        <v>0</v>
      </c>
      <c r="Q2352" s="112">
        <f t="shared" si="473"/>
        <v>0</v>
      </c>
      <c r="R2352" s="53"/>
      <c r="S2352" s="53" t="str">
        <f t="shared" si="474"/>
        <v>Autos - Singles|Autographs Red Parallel|A-NA|Red</v>
      </c>
      <c r="T2352" s="57" t="str">
        <f>IF($S2352="","",IFERROR(VLOOKUP($S2352,'Pop Estimates (Non-#d)'!$N$2:$O$500,2,FALSE),""))</f>
        <v/>
      </c>
      <c r="U2352" s="57">
        <f t="shared" si="475"/>
        <v>25</v>
      </c>
      <c r="V2352" s="53" t="str">
        <f t="shared" si="476"/>
        <v>Black Noir</v>
      </c>
      <c r="W2352" s="53" t="str">
        <f t="shared" si="477"/>
        <v>Black Noir</v>
      </c>
      <c r="X2352" s="53" t="str">
        <f t="shared" si="478"/>
        <v>Black Noir</v>
      </c>
      <c r="Y2352" s="57">
        <f>IF($X2352="","",IFERROR(VLOOKUP($X2352,'Char Popularity'!$A$2:$C$500,2,FALSE),""))</f>
        <v>4</v>
      </c>
      <c r="Z2352" s="56">
        <f>IF($X2352="",1,IFERROR(VLOOKUP($X2352,'Char Popularity'!$A$2:$C$500,3,FALSE),1))</f>
        <v>1.1000000000000001</v>
      </c>
      <c r="AA2352" s="62">
        <f>IF($H2352&lt;&gt;"Y",0,(IF($F2352&lt;&gt;"",ROUND(Dashboard!$R$4/$F2352,1),IF(AND($I2352="Base",$E2352="Base"),Dashboard!$R$5,IF(AND($I2352="Base",$E2352="Red"),Dashboard!$R$6,IF(AND($I2352="Base",$E2352="Gold"),Dashboard!$R$7,VLOOKUP($I2352,Dashboard!$Q$16:$R$21,2,FALSE)))))*VLOOKUP($I2352,Dashboard!$Q$9:$R$13,2,FALSE)*IF(AND($I2352="Auto",$F2352="",OR($B2352="Autographs Duals",$B2352="Autographs Triples",$B2352="Autographs Quads",$B2352="Autographs Quads (Inscribed)")),IF($B2352="Autographs Duals",2,IF($B2352="Autographs Triples",3,4)),1)))</f>
        <v>80</v>
      </c>
      <c r="AB2352" s="62">
        <f t="shared" si="479"/>
        <v>0</v>
      </c>
      <c r="AC2352" s="62">
        <f t="shared" si="480"/>
        <v>0</v>
      </c>
    </row>
    <row r="2353" spans="1:29" ht="30" customHeight="1" x14ac:dyDescent="0.25">
      <c r="A2353" s="4" t="s">
        <v>37</v>
      </c>
      <c r="B2353" s="7" t="s">
        <v>136</v>
      </c>
      <c r="C2353" s="2" t="s">
        <v>293</v>
      </c>
      <c r="D2353" s="7" t="s">
        <v>222</v>
      </c>
      <c r="E2353" s="4" t="s">
        <v>823</v>
      </c>
      <c r="F2353" s="2">
        <v>49</v>
      </c>
      <c r="G2353" s="2" t="s">
        <v>1399</v>
      </c>
      <c r="H2353" s="2" t="s">
        <v>1400</v>
      </c>
      <c r="I2353" s="4" t="s">
        <v>68</v>
      </c>
      <c r="J2353" s="112">
        <f>IF($H2353&lt;&gt;"Y",0,ROUND(MIN(Dashboard!$R$24,IF(IFERROR(VLOOKUP($B2353,Dashboard!$Q$28:$S$60,2,FALSE),0)&gt;0,IFERROR(VLOOKUP($B2353,Dashboard!$Q$28:$S$60,2,FALSE),0),$Z2353*IF($U2353&lt;&gt;"",ROUND((Dashboard!$R$4/$U2353)*VLOOKUP($I2353,Dashboard!$Q$9:$R$13,2,FALSE)*IF(ISNUMBER(SEARCH("Duals",$B2353)),2,IF(ISNUMBER(SEARCH("Triples",$B2353)),3,IF(ISNUMBER(SEARCH("Quads",$B2353)),4,1))),2),ROUND(VLOOKUP($I2353,Dashboard!$Q$15:$R$20,2,FALSE)*IF($E2353="Red",Dashboard!$R$6,IF($E2353="Gold",Dashboard!$R$7,Dashboard!$R$5))*IF(ISNUMBER(SEARCH("Duals",$B2353)),2,IF(ISNUMBER(SEARCH("Triples",$B2353)),3,IF(ISNUMBER(SEARCH("Quads",$B2353)),4,1))),2))*IF(IFERROR(VLOOKUP($B2353,Dashboard!$Q$28:$S$60,3,FALSE),0)&gt;0,VLOOKUP($B2353,Dashboard!$Q$28:$S$60,3,FALSE),1))),0))</f>
        <v>49</v>
      </c>
      <c r="K2353" s="2" t="str">
        <f>IF('Autos - Singles'!E51="","",'Autos - Singles'!E51)</f>
        <v/>
      </c>
      <c r="L2353" s="2">
        <f t="shared" si="468"/>
        <v>0</v>
      </c>
      <c r="M2353" s="2">
        <f t="shared" si="469"/>
        <v>0</v>
      </c>
      <c r="N2353" s="2">
        <f t="shared" si="470"/>
        <v>0</v>
      </c>
      <c r="O2353" s="2">
        <f t="shared" si="471"/>
        <v>1</v>
      </c>
      <c r="P2353" s="112">
        <f t="shared" si="472"/>
        <v>0</v>
      </c>
      <c r="Q2353" s="112">
        <f t="shared" si="473"/>
        <v>0</v>
      </c>
      <c r="R2353" s="53"/>
      <c r="S2353" s="53" t="str">
        <f t="shared" si="474"/>
        <v>Autos - Singles|Autographs Red Parallel|A-NE|Red</v>
      </c>
      <c r="T2353" s="57" t="str">
        <f>IF($S2353="","",IFERROR(VLOOKUP($S2353,'Pop Estimates (Non-#d)'!$N$2:$O$500,2,FALSE),""))</f>
        <v/>
      </c>
      <c r="U2353" s="57">
        <f t="shared" si="475"/>
        <v>49</v>
      </c>
      <c r="V2353" s="53" t="str">
        <f t="shared" si="476"/>
        <v>Homelander</v>
      </c>
      <c r="W2353" s="53" t="str">
        <f t="shared" si="477"/>
        <v>Homelander</v>
      </c>
      <c r="X2353" s="53" t="str">
        <f t="shared" si="478"/>
        <v>Homelander</v>
      </c>
      <c r="Y2353" s="57">
        <f>IF($X2353="","",IFERROR(VLOOKUP($X2353,'Char Popularity'!$A$2:$C$500,2,FALSE),""))</f>
        <v>5</v>
      </c>
      <c r="Z2353" s="56">
        <f>IF($X2353="",1,IFERROR(VLOOKUP($X2353,'Char Popularity'!$A$2:$C$500,3,FALSE),1))</f>
        <v>1.2</v>
      </c>
      <c r="AA2353" s="62">
        <f>IF($H2353&lt;&gt;"Y",0,(IF($F2353&lt;&gt;"",ROUND(Dashboard!$R$4/$F2353,1),IF(AND($I2353="Base",$E2353="Base"),Dashboard!$R$5,IF(AND($I2353="Base",$E2353="Red"),Dashboard!$R$6,IF(AND($I2353="Base",$E2353="Gold"),Dashboard!$R$7,VLOOKUP($I2353,Dashboard!$Q$16:$R$21,2,FALSE)))))*VLOOKUP($I2353,Dashboard!$Q$9:$R$13,2,FALSE)*IF(AND($I2353="Auto",$F2353="",OR($B2353="Autographs Duals",$B2353="Autographs Triples",$B2353="Autographs Quads",$B2353="Autographs Quads (Inscribed)")),IF($B2353="Autographs Duals",2,IF($B2353="Autographs Triples",3,4)),1)))</f>
        <v>40.799999999999997</v>
      </c>
      <c r="AB2353" s="62">
        <f t="shared" si="479"/>
        <v>0</v>
      </c>
      <c r="AC2353" s="62">
        <f t="shared" si="480"/>
        <v>0</v>
      </c>
    </row>
    <row r="2354" spans="1:29" ht="30" customHeight="1" x14ac:dyDescent="0.25">
      <c r="A2354" s="4" t="s">
        <v>37</v>
      </c>
      <c r="B2354" s="7" t="s">
        <v>136</v>
      </c>
      <c r="C2354" s="2" t="s">
        <v>294</v>
      </c>
      <c r="D2354" s="7" t="s">
        <v>283</v>
      </c>
      <c r="E2354" s="4" t="s">
        <v>823</v>
      </c>
      <c r="F2354" s="2">
        <v>25</v>
      </c>
      <c r="G2354" s="2" t="s">
        <v>1399</v>
      </c>
      <c r="H2354" s="2" t="s">
        <v>1400</v>
      </c>
      <c r="I2354" s="4" t="s">
        <v>68</v>
      </c>
      <c r="J2354" s="112">
        <f>IF($H2354&lt;&gt;"Y",0,ROUND(MIN(Dashboard!$R$24,IF(IFERROR(VLOOKUP($B2354,Dashboard!$Q$28:$S$60,2,FALSE),0)&gt;0,IFERROR(VLOOKUP($B2354,Dashboard!$Q$28:$S$60,2,FALSE),0),$Z2354*IF($U2354&lt;&gt;"",ROUND((Dashboard!$R$4/$U2354)*VLOOKUP($I2354,Dashboard!$Q$9:$R$13,2,FALSE)*IF(ISNUMBER(SEARCH("Duals",$B2354)),2,IF(ISNUMBER(SEARCH("Triples",$B2354)),3,IF(ISNUMBER(SEARCH("Quads",$B2354)),4,1))),2),ROUND(VLOOKUP($I2354,Dashboard!$Q$15:$R$20,2,FALSE)*IF($E2354="Red",Dashboard!$R$6,IF($E2354="Gold",Dashboard!$R$7,Dashboard!$R$5))*IF(ISNUMBER(SEARCH("Duals",$B2354)),2,IF(ISNUMBER(SEARCH("Triples",$B2354)),3,IF(ISNUMBER(SEARCH("Quads",$B2354)),4,1))),2))*IF(IFERROR(VLOOKUP($B2354,Dashboard!$Q$28:$S$60,3,FALSE),0)&gt;0,VLOOKUP($B2354,Dashboard!$Q$28:$S$60,3,FALSE),1))),0))</f>
        <v>88</v>
      </c>
      <c r="K2354" s="2" t="str">
        <f>IF('Autos - Singles'!E52="","",'Autos - Singles'!E52)</f>
        <v/>
      </c>
      <c r="L2354" s="2">
        <f t="shared" si="468"/>
        <v>0</v>
      </c>
      <c r="M2354" s="2">
        <f t="shared" si="469"/>
        <v>0</v>
      </c>
      <c r="N2354" s="2">
        <f t="shared" si="470"/>
        <v>0</v>
      </c>
      <c r="O2354" s="2">
        <f t="shared" si="471"/>
        <v>1</v>
      </c>
      <c r="P2354" s="112">
        <f t="shared" si="472"/>
        <v>0</v>
      </c>
      <c r="Q2354" s="112">
        <f t="shared" si="473"/>
        <v>0</v>
      </c>
      <c r="R2354" s="53"/>
      <c r="S2354" s="53" t="str">
        <f t="shared" si="474"/>
        <v>Autos - Singles|Autographs Red Parallel|A-NL|Red</v>
      </c>
      <c r="T2354" s="57" t="str">
        <f>IF($S2354="","",IFERROR(VLOOKUP($S2354,'Pop Estimates (Non-#d)'!$N$2:$O$500,2,FALSE),""))</f>
        <v/>
      </c>
      <c r="U2354" s="57">
        <f t="shared" si="475"/>
        <v>25</v>
      </c>
      <c r="V2354" s="53" t="str">
        <f t="shared" si="476"/>
        <v>Black Noir</v>
      </c>
      <c r="W2354" s="53" t="str">
        <f t="shared" si="477"/>
        <v>Black Noir</v>
      </c>
      <c r="X2354" s="53" t="str">
        <f t="shared" si="478"/>
        <v>Black Noir</v>
      </c>
      <c r="Y2354" s="57">
        <f>IF($X2354="","",IFERROR(VLOOKUP($X2354,'Char Popularity'!$A$2:$C$500,2,FALSE),""))</f>
        <v>4</v>
      </c>
      <c r="Z2354" s="56">
        <f>IF($X2354="",1,IFERROR(VLOOKUP($X2354,'Char Popularity'!$A$2:$C$500,3,FALSE),1))</f>
        <v>1.1000000000000001</v>
      </c>
      <c r="AA2354" s="62">
        <f>IF($H2354&lt;&gt;"Y",0,(IF($F2354&lt;&gt;"",ROUND(Dashboard!$R$4/$F2354,1),IF(AND($I2354="Base",$E2354="Base"),Dashboard!$R$5,IF(AND($I2354="Base",$E2354="Red"),Dashboard!$R$6,IF(AND($I2354="Base",$E2354="Gold"),Dashboard!$R$7,VLOOKUP($I2354,Dashboard!$Q$16:$R$21,2,FALSE)))))*VLOOKUP($I2354,Dashboard!$Q$9:$R$13,2,FALSE)*IF(AND($I2354="Auto",$F2354="",OR($B2354="Autographs Duals",$B2354="Autographs Triples",$B2354="Autographs Quads",$B2354="Autographs Quads (Inscribed)")),IF($B2354="Autographs Duals",2,IF($B2354="Autographs Triples",3,4)),1)))</f>
        <v>80</v>
      </c>
      <c r="AB2354" s="62">
        <f t="shared" si="479"/>
        <v>0</v>
      </c>
      <c r="AC2354" s="62">
        <f t="shared" si="480"/>
        <v>0</v>
      </c>
    </row>
    <row r="2355" spans="1:29" ht="30" customHeight="1" x14ac:dyDescent="0.25">
      <c r="A2355" s="4" t="s">
        <v>37</v>
      </c>
      <c r="B2355" s="7" t="s">
        <v>136</v>
      </c>
      <c r="C2355" s="2" t="s">
        <v>295</v>
      </c>
      <c r="D2355" s="7" t="s">
        <v>283</v>
      </c>
      <c r="E2355" s="4" t="s">
        <v>823</v>
      </c>
      <c r="F2355" s="2">
        <v>49</v>
      </c>
      <c r="G2355" s="2" t="s">
        <v>1399</v>
      </c>
      <c r="H2355" s="2" t="s">
        <v>1400</v>
      </c>
      <c r="I2355" s="4" t="s">
        <v>68</v>
      </c>
      <c r="J2355" s="112">
        <f>IF($H2355&lt;&gt;"Y",0,ROUND(MIN(Dashboard!$R$24,IF(IFERROR(VLOOKUP($B2355,Dashboard!$Q$28:$S$60,2,FALSE),0)&gt;0,IFERROR(VLOOKUP($B2355,Dashboard!$Q$28:$S$60,2,FALSE),0),$Z2355*IF($U2355&lt;&gt;"",ROUND((Dashboard!$R$4/$U2355)*VLOOKUP($I2355,Dashboard!$Q$9:$R$13,2,FALSE)*IF(ISNUMBER(SEARCH("Duals",$B2355)),2,IF(ISNUMBER(SEARCH("Triples",$B2355)),3,IF(ISNUMBER(SEARCH("Quads",$B2355)),4,1))),2),ROUND(VLOOKUP($I2355,Dashboard!$Q$15:$R$20,2,FALSE)*IF($E2355="Red",Dashboard!$R$6,IF($E2355="Gold",Dashboard!$R$7,Dashboard!$R$5))*IF(ISNUMBER(SEARCH("Duals",$B2355)),2,IF(ISNUMBER(SEARCH("Triples",$B2355)),3,IF(ISNUMBER(SEARCH("Quads",$B2355)),4,1))),2))*IF(IFERROR(VLOOKUP($B2355,Dashboard!$Q$28:$S$60,3,FALSE),0)&gt;0,VLOOKUP($B2355,Dashboard!$Q$28:$S$60,3,FALSE),1))),0))</f>
        <v>45</v>
      </c>
      <c r="K2355" s="2" t="str">
        <f>IF('Autos - Singles'!E53="","",'Autos - Singles'!E53)</f>
        <v/>
      </c>
      <c r="L2355" s="2">
        <f t="shared" si="468"/>
        <v>0</v>
      </c>
      <c r="M2355" s="2">
        <f t="shared" si="469"/>
        <v>0</v>
      </c>
      <c r="N2355" s="2">
        <f t="shared" si="470"/>
        <v>0</v>
      </c>
      <c r="O2355" s="2">
        <f t="shared" si="471"/>
        <v>1</v>
      </c>
      <c r="P2355" s="112">
        <f t="shared" si="472"/>
        <v>0</v>
      </c>
      <c r="Q2355" s="112">
        <f t="shared" si="473"/>
        <v>0</v>
      </c>
      <c r="R2355" s="53"/>
      <c r="S2355" s="53" t="str">
        <f t="shared" si="474"/>
        <v>Autos - Singles|Autographs Red Parallel|A-NM|Red</v>
      </c>
      <c r="T2355" s="57" t="str">
        <f>IF($S2355="","",IFERROR(VLOOKUP($S2355,'Pop Estimates (Non-#d)'!$N$2:$O$500,2,FALSE),""))</f>
        <v/>
      </c>
      <c r="U2355" s="57">
        <f t="shared" si="475"/>
        <v>49</v>
      </c>
      <c r="V2355" s="53" t="str">
        <f t="shared" si="476"/>
        <v>Black Noir</v>
      </c>
      <c r="W2355" s="53" t="str">
        <f t="shared" si="477"/>
        <v>Black Noir</v>
      </c>
      <c r="X2355" s="53" t="str">
        <f t="shared" si="478"/>
        <v>Black Noir</v>
      </c>
      <c r="Y2355" s="57">
        <f>IF($X2355="","",IFERROR(VLOOKUP($X2355,'Char Popularity'!$A$2:$C$500,2,FALSE),""))</f>
        <v>4</v>
      </c>
      <c r="Z2355" s="56">
        <f>IF($X2355="",1,IFERROR(VLOOKUP($X2355,'Char Popularity'!$A$2:$C$500,3,FALSE),1))</f>
        <v>1.1000000000000001</v>
      </c>
      <c r="AA2355" s="62">
        <f>IF($H2355&lt;&gt;"Y",0,(IF($F2355&lt;&gt;"",ROUND(Dashboard!$R$4/$F2355,1),IF(AND($I2355="Base",$E2355="Base"),Dashboard!$R$5,IF(AND($I2355="Base",$E2355="Red"),Dashboard!$R$6,IF(AND($I2355="Base",$E2355="Gold"),Dashboard!$R$7,VLOOKUP($I2355,Dashboard!$Q$16:$R$21,2,FALSE)))))*VLOOKUP($I2355,Dashboard!$Q$9:$R$13,2,FALSE)*IF(AND($I2355="Auto",$F2355="",OR($B2355="Autographs Duals",$B2355="Autographs Triples",$B2355="Autographs Quads",$B2355="Autographs Quads (Inscribed)")),IF($B2355="Autographs Duals",2,IF($B2355="Autographs Triples",3,4)),1)))</f>
        <v>40.799999999999997</v>
      </c>
      <c r="AB2355" s="62">
        <f t="shared" si="479"/>
        <v>0</v>
      </c>
      <c r="AC2355" s="62">
        <f t="shared" si="480"/>
        <v>0</v>
      </c>
    </row>
    <row r="2356" spans="1:29" ht="30" customHeight="1" x14ac:dyDescent="0.25">
      <c r="A2356" s="4" t="s">
        <v>37</v>
      </c>
      <c r="B2356" s="7" t="s">
        <v>136</v>
      </c>
      <c r="C2356" s="2" t="s">
        <v>296</v>
      </c>
      <c r="D2356" s="7" t="s">
        <v>263</v>
      </c>
      <c r="E2356" s="4" t="s">
        <v>823</v>
      </c>
      <c r="F2356" s="2">
        <v>25</v>
      </c>
      <c r="G2356" s="2" t="s">
        <v>1399</v>
      </c>
      <c r="H2356" s="2" t="s">
        <v>1400</v>
      </c>
      <c r="I2356" s="4" t="s">
        <v>68</v>
      </c>
      <c r="J2356" s="112">
        <f>IF($H2356&lt;&gt;"Y",0,ROUND(MIN(Dashboard!$R$24,IF(IFERROR(VLOOKUP($B2356,Dashboard!$Q$28:$S$60,2,FALSE),0)&gt;0,IFERROR(VLOOKUP($B2356,Dashboard!$Q$28:$S$60,2,FALSE),0),$Z2356*IF($U2356&lt;&gt;"",ROUND((Dashboard!$R$4/$U2356)*VLOOKUP($I2356,Dashboard!$Q$9:$R$13,2,FALSE)*IF(ISNUMBER(SEARCH("Duals",$B2356)),2,IF(ISNUMBER(SEARCH("Triples",$B2356)),3,IF(ISNUMBER(SEARCH("Quads",$B2356)),4,1))),2),ROUND(VLOOKUP($I2356,Dashboard!$Q$15:$R$20,2,FALSE)*IF($E2356="Red",Dashboard!$R$6,IF($E2356="Gold",Dashboard!$R$7,Dashboard!$R$5))*IF(ISNUMBER(SEARCH("Duals",$B2356)),2,IF(ISNUMBER(SEARCH("Triples",$B2356)),3,IF(ISNUMBER(SEARCH("Quads",$B2356)),4,1))),2))*IF(IFERROR(VLOOKUP($B2356,Dashboard!$Q$28:$S$60,3,FALSE),0)&gt;0,VLOOKUP($B2356,Dashboard!$Q$28:$S$60,3,FALSE),1))),0))</f>
        <v>96</v>
      </c>
      <c r="K2356" s="2" t="str">
        <f>IF('Autos - Singles'!E54="","",'Autos - Singles'!E54)</f>
        <v/>
      </c>
      <c r="L2356" s="2">
        <f t="shared" si="468"/>
        <v>0</v>
      </c>
      <c r="M2356" s="2">
        <f t="shared" si="469"/>
        <v>0</v>
      </c>
      <c r="N2356" s="2">
        <f t="shared" si="470"/>
        <v>0</v>
      </c>
      <c r="O2356" s="2">
        <f t="shared" si="471"/>
        <v>1</v>
      </c>
      <c r="P2356" s="112">
        <f t="shared" si="472"/>
        <v>0</v>
      </c>
      <c r="Q2356" s="112">
        <f t="shared" si="473"/>
        <v>0</v>
      </c>
      <c r="R2356" s="53"/>
      <c r="S2356" s="53" t="str">
        <f t="shared" si="474"/>
        <v>Autos - Singles|Autographs Red Parallel|A-QD|Red</v>
      </c>
      <c r="T2356" s="57" t="str">
        <f>IF($S2356="","",IFERROR(VLOOKUP($S2356,'Pop Estimates (Non-#d)'!$N$2:$O$500,2,FALSE),""))</f>
        <v/>
      </c>
      <c r="U2356" s="57">
        <f t="shared" si="475"/>
        <v>25</v>
      </c>
      <c r="V2356" s="53" t="str">
        <f t="shared" si="476"/>
        <v>Hughie Campbell</v>
      </c>
      <c r="W2356" s="53" t="str">
        <f t="shared" si="477"/>
        <v>Hughie Campbell</v>
      </c>
      <c r="X2356" s="53" t="str">
        <f t="shared" si="478"/>
        <v>Hughie Campbell</v>
      </c>
      <c r="Y2356" s="57">
        <f>IF($X2356="","",IFERROR(VLOOKUP($X2356,'Char Popularity'!$A$2:$C$500,2,FALSE),""))</f>
        <v>5</v>
      </c>
      <c r="Z2356" s="56">
        <f>IF($X2356="",1,IFERROR(VLOOKUP($X2356,'Char Popularity'!$A$2:$C$500,3,FALSE),1))</f>
        <v>1.2</v>
      </c>
      <c r="AA2356" s="62">
        <f>IF($H2356&lt;&gt;"Y",0,(IF($F2356&lt;&gt;"",ROUND(Dashboard!$R$4/$F2356,1),IF(AND($I2356="Base",$E2356="Base"),Dashboard!$R$5,IF(AND($I2356="Base",$E2356="Red"),Dashboard!$R$6,IF(AND($I2356="Base",$E2356="Gold"),Dashboard!$R$7,VLOOKUP($I2356,Dashboard!$Q$16:$R$21,2,FALSE)))))*VLOOKUP($I2356,Dashboard!$Q$9:$R$13,2,FALSE)*IF(AND($I2356="Auto",$F2356="",OR($B2356="Autographs Duals",$B2356="Autographs Triples",$B2356="Autographs Quads",$B2356="Autographs Quads (Inscribed)")),IF($B2356="Autographs Duals",2,IF($B2356="Autographs Triples",3,4)),1)))</f>
        <v>80</v>
      </c>
      <c r="AB2356" s="62">
        <f t="shared" si="479"/>
        <v>0</v>
      </c>
      <c r="AC2356" s="62">
        <f t="shared" si="480"/>
        <v>0</v>
      </c>
    </row>
    <row r="2357" spans="1:29" ht="30" customHeight="1" x14ac:dyDescent="0.25">
      <c r="A2357" s="4" t="s">
        <v>37</v>
      </c>
      <c r="B2357" s="7" t="s">
        <v>136</v>
      </c>
      <c r="C2357" s="2" t="s">
        <v>298</v>
      </c>
      <c r="D2357" s="7" t="s">
        <v>280</v>
      </c>
      <c r="E2357" s="4" t="s">
        <v>823</v>
      </c>
      <c r="F2357" s="2">
        <v>25</v>
      </c>
      <c r="G2357" s="2" t="s">
        <v>1399</v>
      </c>
      <c r="H2357" s="2" t="s">
        <v>1400</v>
      </c>
      <c r="I2357" s="4" t="s">
        <v>68</v>
      </c>
      <c r="J2357" s="112">
        <f>IF($H2357&lt;&gt;"Y",0,ROUND(MIN(Dashboard!$R$24,IF(IFERROR(VLOOKUP($B2357,Dashboard!$Q$28:$S$60,2,FALSE),0)&gt;0,IFERROR(VLOOKUP($B2357,Dashboard!$Q$28:$S$60,2,FALSE),0),$Z2357*IF($U2357&lt;&gt;"",ROUND((Dashboard!$R$4/$U2357)*VLOOKUP($I2357,Dashboard!$Q$9:$R$13,2,FALSE)*IF(ISNUMBER(SEARCH("Duals",$B2357)),2,IF(ISNUMBER(SEARCH("Triples",$B2357)),3,IF(ISNUMBER(SEARCH("Quads",$B2357)),4,1))),2),ROUND(VLOOKUP($I2357,Dashboard!$Q$15:$R$20,2,FALSE)*IF($E2357="Red",Dashboard!$R$6,IF($E2357="Gold",Dashboard!$R$7,Dashboard!$R$5))*IF(ISNUMBER(SEARCH("Duals",$B2357)),2,IF(ISNUMBER(SEARCH("Triples",$B2357)),3,IF(ISNUMBER(SEARCH("Quads",$B2357)),4,1))),2))*IF(IFERROR(VLOOKUP($B2357,Dashboard!$Q$28:$S$60,3,FALSE),0)&gt;0,VLOOKUP($B2357,Dashboard!$Q$28:$S$60,3,FALSE),1))),0))</f>
        <v>88</v>
      </c>
      <c r="K2357" s="2" t="str">
        <f>IF('Autos - Singles'!E55="","",'Autos - Singles'!E55)</f>
        <v/>
      </c>
      <c r="L2357" s="2">
        <f t="shared" si="468"/>
        <v>0</v>
      </c>
      <c r="M2357" s="2">
        <f t="shared" si="469"/>
        <v>0</v>
      </c>
      <c r="N2357" s="2">
        <f t="shared" si="470"/>
        <v>0</v>
      </c>
      <c r="O2357" s="2">
        <f t="shared" si="471"/>
        <v>1</v>
      </c>
      <c r="P2357" s="112">
        <f t="shared" si="472"/>
        <v>0</v>
      </c>
      <c r="Q2357" s="112">
        <f t="shared" si="473"/>
        <v>0</v>
      </c>
      <c r="R2357" s="53"/>
      <c r="S2357" s="53" t="str">
        <f t="shared" si="474"/>
        <v>Autos - Singles|Autographs Red Parallel|A-RO|Red</v>
      </c>
      <c r="T2357" s="57" t="str">
        <f>IF($S2357="","",IFERROR(VLOOKUP($S2357,'Pop Estimates (Non-#d)'!$N$2:$O$500,2,FALSE),""))</f>
        <v/>
      </c>
      <c r="U2357" s="57">
        <f t="shared" si="475"/>
        <v>25</v>
      </c>
      <c r="V2357" s="53" t="str">
        <f t="shared" si="476"/>
        <v>Grace Mallory</v>
      </c>
      <c r="W2357" s="53" t="str">
        <f t="shared" si="477"/>
        <v>Grace Mallory</v>
      </c>
      <c r="X2357" s="53" t="str">
        <f t="shared" si="478"/>
        <v>Grace Mallory</v>
      </c>
      <c r="Y2357" s="57">
        <f>IF($X2357="","",IFERROR(VLOOKUP($X2357,'Char Popularity'!$A$2:$C$500,2,FALSE),""))</f>
        <v>4</v>
      </c>
      <c r="Z2357" s="56">
        <f>IF($X2357="",1,IFERROR(VLOOKUP($X2357,'Char Popularity'!$A$2:$C$500,3,FALSE),1))</f>
        <v>1.1000000000000001</v>
      </c>
      <c r="AA2357" s="62">
        <f>IF($H2357&lt;&gt;"Y",0,(IF($F2357&lt;&gt;"",ROUND(Dashboard!$R$4/$F2357,1),IF(AND($I2357="Base",$E2357="Base"),Dashboard!$R$5,IF(AND($I2357="Base",$E2357="Red"),Dashboard!$R$6,IF(AND($I2357="Base",$E2357="Gold"),Dashboard!$R$7,VLOOKUP($I2357,Dashboard!$Q$16:$R$21,2,FALSE)))))*VLOOKUP($I2357,Dashboard!$Q$9:$R$13,2,FALSE)*IF(AND($I2357="Auto",$F2357="",OR($B2357="Autographs Duals",$B2357="Autographs Triples",$B2357="Autographs Quads",$B2357="Autographs Quads (Inscribed)")),IF($B2357="Autographs Duals",2,IF($B2357="Autographs Triples",3,4)),1)))</f>
        <v>80</v>
      </c>
      <c r="AB2357" s="62">
        <f t="shared" si="479"/>
        <v>0</v>
      </c>
      <c r="AC2357" s="62">
        <f t="shared" si="480"/>
        <v>0</v>
      </c>
    </row>
    <row r="2358" spans="1:29" ht="30" customHeight="1" x14ac:dyDescent="0.25">
      <c r="A2358" s="4" t="s">
        <v>37</v>
      </c>
      <c r="B2358" s="7" t="s">
        <v>136</v>
      </c>
      <c r="C2358" s="2" t="s">
        <v>300</v>
      </c>
      <c r="D2358" s="7" t="s">
        <v>301</v>
      </c>
      <c r="E2358" s="4" t="s">
        <v>823</v>
      </c>
      <c r="F2358" s="2">
        <v>49</v>
      </c>
      <c r="G2358" s="2" t="s">
        <v>1399</v>
      </c>
      <c r="H2358" s="2" t="s">
        <v>1400</v>
      </c>
      <c r="I2358" s="4" t="s">
        <v>68</v>
      </c>
      <c r="J2358" s="112">
        <f>IF($H2358&lt;&gt;"Y",0,ROUND(MIN(Dashboard!$R$24,IF(IFERROR(VLOOKUP($B2358,Dashboard!$Q$28:$S$60,2,FALSE),0)&gt;0,IFERROR(VLOOKUP($B2358,Dashboard!$Q$28:$S$60,2,FALSE),0),$Z2358*IF($U2358&lt;&gt;"",ROUND((Dashboard!$R$4/$U2358)*VLOOKUP($I2358,Dashboard!$Q$9:$R$13,2,FALSE)*IF(ISNUMBER(SEARCH("Duals",$B2358)),2,IF(ISNUMBER(SEARCH("Triples",$B2358)),3,IF(ISNUMBER(SEARCH("Quads",$B2358)),4,1))),2),ROUND(VLOOKUP($I2358,Dashboard!$Q$15:$R$20,2,FALSE)*IF($E2358="Red",Dashboard!$R$6,IF($E2358="Gold",Dashboard!$R$7,Dashboard!$R$5))*IF(ISNUMBER(SEARCH("Duals",$B2358)),2,IF(ISNUMBER(SEARCH("Triples",$B2358)),3,IF(ISNUMBER(SEARCH("Quads",$B2358)),4,1))),2))*IF(IFERROR(VLOOKUP($B2358,Dashboard!$Q$28:$S$60,3,FALSE),0)&gt;0,VLOOKUP($B2358,Dashboard!$Q$28:$S$60,3,FALSE),1))),0))</f>
        <v>37</v>
      </c>
      <c r="K2358" s="2" t="str">
        <f>IF('Autos - Singles'!E56="","",'Autos - Singles'!E56)</f>
        <v/>
      </c>
      <c r="L2358" s="2">
        <f t="shared" si="468"/>
        <v>0</v>
      </c>
      <c r="M2358" s="2">
        <f t="shared" si="469"/>
        <v>0</v>
      </c>
      <c r="N2358" s="2">
        <f t="shared" si="470"/>
        <v>0</v>
      </c>
      <c r="O2358" s="2">
        <f t="shared" si="471"/>
        <v>1</v>
      </c>
      <c r="P2358" s="112">
        <f t="shared" si="472"/>
        <v>0</v>
      </c>
      <c r="Q2358" s="112">
        <f t="shared" si="473"/>
        <v>0</v>
      </c>
      <c r="R2358" s="53"/>
      <c r="S2358" s="53" t="str">
        <f t="shared" si="474"/>
        <v>Autos - Singles|Autographs Red Parallel|A-SA|Red</v>
      </c>
      <c r="T2358" s="57" t="str">
        <f>IF($S2358="","",IFERROR(VLOOKUP($S2358,'Pop Estimates (Non-#d)'!$N$2:$O$500,2,FALSE),""))</f>
        <v/>
      </c>
      <c r="U2358" s="57">
        <f t="shared" si="475"/>
        <v>49</v>
      </c>
      <c r="V2358" s="53" t="str">
        <f t="shared" si="476"/>
        <v>Lamplighter</v>
      </c>
      <c r="W2358" s="53" t="str">
        <f t="shared" si="477"/>
        <v>Lamplighter</v>
      </c>
      <c r="X2358" s="53" t="str">
        <f t="shared" si="478"/>
        <v>Lamplighter</v>
      </c>
      <c r="Y2358" s="57">
        <f>IF($X2358="","",IFERROR(VLOOKUP($X2358,'Char Popularity'!$A$2:$C$500,2,FALSE),""))</f>
        <v>2</v>
      </c>
      <c r="Z2358" s="56">
        <f>IF($X2358="",1,IFERROR(VLOOKUP($X2358,'Char Popularity'!$A$2:$C$500,3,FALSE),1))</f>
        <v>0.9</v>
      </c>
      <c r="AA2358" s="62">
        <f>IF($H2358&lt;&gt;"Y",0,(IF($F2358&lt;&gt;"",ROUND(Dashboard!$R$4/$F2358,1),IF(AND($I2358="Base",$E2358="Base"),Dashboard!$R$5,IF(AND($I2358="Base",$E2358="Red"),Dashboard!$R$6,IF(AND($I2358="Base",$E2358="Gold"),Dashboard!$R$7,VLOOKUP($I2358,Dashboard!$Q$16:$R$21,2,FALSE)))))*VLOOKUP($I2358,Dashboard!$Q$9:$R$13,2,FALSE)*IF(AND($I2358="Auto",$F2358="",OR($B2358="Autographs Duals",$B2358="Autographs Triples",$B2358="Autographs Quads",$B2358="Autographs Quads (Inscribed)")),IF($B2358="Autographs Duals",2,IF($B2358="Autographs Triples",3,4)),1)))</f>
        <v>40.799999999999997</v>
      </c>
      <c r="AB2358" s="62">
        <f t="shared" si="479"/>
        <v>0</v>
      </c>
      <c r="AC2358" s="62">
        <f t="shared" si="480"/>
        <v>0</v>
      </c>
    </row>
    <row r="2359" spans="1:29" ht="30" customHeight="1" x14ac:dyDescent="0.25">
      <c r="A2359" s="4" t="s">
        <v>37</v>
      </c>
      <c r="B2359" s="7" t="s">
        <v>136</v>
      </c>
      <c r="C2359" s="2" t="s">
        <v>302</v>
      </c>
      <c r="D2359" s="7" t="s">
        <v>250</v>
      </c>
      <c r="E2359" s="4" t="s">
        <v>823</v>
      </c>
      <c r="F2359" s="2">
        <v>25</v>
      </c>
      <c r="G2359" s="2" t="s">
        <v>1399</v>
      </c>
      <c r="H2359" s="2" t="s">
        <v>1400</v>
      </c>
      <c r="I2359" s="4" t="s">
        <v>68</v>
      </c>
      <c r="J2359" s="112">
        <f>IF($H2359&lt;&gt;"Y",0,ROUND(MIN(Dashboard!$R$24,IF(IFERROR(VLOOKUP($B2359,Dashboard!$Q$28:$S$60,2,FALSE),0)&gt;0,IFERROR(VLOOKUP($B2359,Dashboard!$Q$28:$S$60,2,FALSE),0),$Z2359*IF($U2359&lt;&gt;"",ROUND((Dashboard!$R$4/$U2359)*VLOOKUP($I2359,Dashboard!$Q$9:$R$13,2,FALSE)*IF(ISNUMBER(SEARCH("Duals",$B2359)),2,IF(ISNUMBER(SEARCH("Triples",$B2359)),3,IF(ISNUMBER(SEARCH("Quads",$B2359)),4,1))),2),ROUND(VLOOKUP($I2359,Dashboard!$Q$15:$R$20,2,FALSE)*IF($E2359="Red",Dashboard!$R$6,IF($E2359="Gold",Dashboard!$R$7,Dashboard!$R$5))*IF(ISNUMBER(SEARCH("Duals",$B2359)),2,IF(ISNUMBER(SEARCH("Triples",$B2359)),3,IF(ISNUMBER(SEARCH("Quads",$B2359)),4,1))),2))*IF(IFERROR(VLOOKUP($B2359,Dashboard!$Q$28:$S$60,3,FALSE),0)&gt;0,VLOOKUP($B2359,Dashboard!$Q$28:$S$60,3,FALSE),1))),0))</f>
        <v>80</v>
      </c>
      <c r="K2359" s="2" t="str">
        <f>IF('Autos - Singles'!E57="","",'Autos - Singles'!E57)</f>
        <v/>
      </c>
      <c r="L2359" s="2">
        <f t="shared" si="468"/>
        <v>0</v>
      </c>
      <c r="M2359" s="2">
        <f t="shared" si="469"/>
        <v>0</v>
      </c>
      <c r="N2359" s="2">
        <f t="shared" si="470"/>
        <v>0</v>
      </c>
      <c r="O2359" s="2">
        <f t="shared" si="471"/>
        <v>1</v>
      </c>
      <c r="P2359" s="112">
        <f t="shared" si="472"/>
        <v>0</v>
      </c>
      <c r="Q2359" s="112">
        <f t="shared" si="473"/>
        <v>0</v>
      </c>
      <c r="R2359" s="53"/>
      <c r="S2359" s="53" t="str">
        <f t="shared" si="474"/>
        <v>Autos - Singles|Autographs Red Parallel|A-SH|Red</v>
      </c>
      <c r="T2359" s="57" t="str">
        <f>IF($S2359="","",IFERROR(VLOOKUP($S2359,'Pop Estimates (Non-#d)'!$N$2:$O$500,2,FALSE),""))</f>
        <v/>
      </c>
      <c r="U2359" s="57">
        <f t="shared" si="475"/>
        <v>25</v>
      </c>
      <c r="V2359" s="53" t="str">
        <f t="shared" si="476"/>
        <v>Madelyn Stillwell</v>
      </c>
      <c r="W2359" s="53" t="str">
        <f t="shared" si="477"/>
        <v>Madelyn Stillwell</v>
      </c>
      <c r="X2359" s="53" t="str">
        <f t="shared" si="478"/>
        <v>Madelyn Stillwell</v>
      </c>
      <c r="Y2359" s="57">
        <f>IF($X2359="","",IFERROR(VLOOKUP($X2359,'Char Popularity'!$A$2:$C$500,2,FALSE),""))</f>
        <v>3</v>
      </c>
      <c r="Z2359" s="56">
        <f>IF($X2359="",1,IFERROR(VLOOKUP($X2359,'Char Popularity'!$A$2:$C$500,3,FALSE),1))</f>
        <v>1</v>
      </c>
      <c r="AA2359" s="62">
        <f>IF($H2359&lt;&gt;"Y",0,(IF($F2359&lt;&gt;"",ROUND(Dashboard!$R$4/$F2359,1),IF(AND($I2359="Base",$E2359="Base"),Dashboard!$R$5,IF(AND($I2359="Base",$E2359="Red"),Dashboard!$R$6,IF(AND($I2359="Base",$E2359="Gold"),Dashboard!$R$7,VLOOKUP($I2359,Dashboard!$Q$16:$R$21,2,FALSE)))))*VLOOKUP($I2359,Dashboard!$Q$9:$R$13,2,FALSE)*IF(AND($I2359="Auto",$F2359="",OR($B2359="Autographs Duals",$B2359="Autographs Triples",$B2359="Autographs Quads",$B2359="Autographs Quads (Inscribed)")),IF($B2359="Autographs Duals",2,IF($B2359="Autographs Triples",3,4)),1)))</f>
        <v>80</v>
      </c>
      <c r="AB2359" s="62">
        <f t="shared" si="479"/>
        <v>0</v>
      </c>
      <c r="AC2359" s="62">
        <f t="shared" si="480"/>
        <v>0</v>
      </c>
    </row>
    <row r="2360" spans="1:29" ht="30" customHeight="1" x14ac:dyDescent="0.25">
      <c r="A2360" s="4" t="s">
        <v>37</v>
      </c>
      <c r="B2360" s="7" t="s">
        <v>136</v>
      </c>
      <c r="C2360" s="2" t="s">
        <v>304</v>
      </c>
      <c r="D2360" s="7" t="s">
        <v>301</v>
      </c>
      <c r="E2360" s="4" t="s">
        <v>823</v>
      </c>
      <c r="F2360" s="2">
        <v>25</v>
      </c>
      <c r="G2360" s="2" t="s">
        <v>1399</v>
      </c>
      <c r="H2360" s="2" t="s">
        <v>1400</v>
      </c>
      <c r="I2360" s="4" t="s">
        <v>68</v>
      </c>
      <c r="J2360" s="112">
        <f>IF($H2360&lt;&gt;"Y",0,ROUND(MIN(Dashboard!$R$24,IF(IFERROR(VLOOKUP($B2360,Dashboard!$Q$28:$S$60,2,FALSE),0)&gt;0,IFERROR(VLOOKUP($B2360,Dashboard!$Q$28:$S$60,2,FALSE),0),$Z2360*IF($U2360&lt;&gt;"",ROUND((Dashboard!$R$4/$U2360)*VLOOKUP($I2360,Dashboard!$Q$9:$R$13,2,FALSE)*IF(ISNUMBER(SEARCH("Duals",$B2360)),2,IF(ISNUMBER(SEARCH("Triples",$B2360)),3,IF(ISNUMBER(SEARCH("Quads",$B2360)),4,1))),2),ROUND(VLOOKUP($I2360,Dashboard!$Q$15:$R$20,2,FALSE)*IF($E2360="Red",Dashboard!$R$6,IF($E2360="Gold",Dashboard!$R$7,Dashboard!$R$5))*IF(ISNUMBER(SEARCH("Duals",$B2360)),2,IF(ISNUMBER(SEARCH("Triples",$B2360)),3,IF(ISNUMBER(SEARCH("Quads",$B2360)),4,1))),2))*IF(IFERROR(VLOOKUP($B2360,Dashboard!$Q$28:$S$60,3,FALSE),0)&gt;0,VLOOKUP($B2360,Dashboard!$Q$28:$S$60,3,FALSE),1))),0))</f>
        <v>72</v>
      </c>
      <c r="K2360" s="2" t="str">
        <f>IF('Autos - Singles'!E58="","",'Autos - Singles'!E58)</f>
        <v/>
      </c>
      <c r="L2360" s="2">
        <f t="shared" si="468"/>
        <v>0</v>
      </c>
      <c r="M2360" s="2">
        <f t="shared" si="469"/>
        <v>0</v>
      </c>
      <c r="N2360" s="2">
        <f t="shared" si="470"/>
        <v>0</v>
      </c>
      <c r="O2360" s="2">
        <f t="shared" si="471"/>
        <v>1</v>
      </c>
      <c r="P2360" s="112">
        <f t="shared" si="472"/>
        <v>0</v>
      </c>
      <c r="Q2360" s="112">
        <f t="shared" si="473"/>
        <v>0</v>
      </c>
      <c r="R2360" s="53"/>
      <c r="S2360" s="53" t="str">
        <f t="shared" si="474"/>
        <v>Autos - Singles|Autographs Red Parallel|A-SM|Red</v>
      </c>
      <c r="T2360" s="57" t="str">
        <f>IF($S2360="","",IFERROR(VLOOKUP($S2360,'Pop Estimates (Non-#d)'!$N$2:$O$500,2,FALSE),""))</f>
        <v/>
      </c>
      <c r="U2360" s="57">
        <f t="shared" si="475"/>
        <v>25</v>
      </c>
      <c r="V2360" s="53" t="str">
        <f t="shared" si="476"/>
        <v>Lamplighter</v>
      </c>
      <c r="W2360" s="53" t="str">
        <f t="shared" si="477"/>
        <v>Lamplighter</v>
      </c>
      <c r="X2360" s="53" t="str">
        <f t="shared" si="478"/>
        <v>Lamplighter</v>
      </c>
      <c r="Y2360" s="57">
        <f>IF($X2360="","",IFERROR(VLOOKUP($X2360,'Char Popularity'!$A$2:$C$500,2,FALSE),""))</f>
        <v>2</v>
      </c>
      <c r="Z2360" s="56">
        <f>IF($X2360="",1,IFERROR(VLOOKUP($X2360,'Char Popularity'!$A$2:$C$500,3,FALSE),1))</f>
        <v>0.9</v>
      </c>
      <c r="AA2360" s="62">
        <f>IF($H2360&lt;&gt;"Y",0,(IF($F2360&lt;&gt;"",ROUND(Dashboard!$R$4/$F2360,1),IF(AND($I2360="Base",$E2360="Base"),Dashboard!$R$5,IF(AND($I2360="Base",$E2360="Red"),Dashboard!$R$6,IF(AND($I2360="Base",$E2360="Gold"),Dashboard!$R$7,VLOOKUP($I2360,Dashboard!$Q$16:$R$21,2,FALSE)))))*VLOOKUP($I2360,Dashboard!$Q$9:$R$13,2,FALSE)*IF(AND($I2360="Auto",$F2360="",OR($B2360="Autographs Duals",$B2360="Autographs Triples",$B2360="Autographs Quads",$B2360="Autographs Quads (Inscribed)")),IF($B2360="Autographs Duals",2,IF($B2360="Autographs Triples",3,4)),1)))</f>
        <v>80</v>
      </c>
      <c r="AB2360" s="62">
        <f t="shared" si="479"/>
        <v>0</v>
      </c>
      <c r="AC2360" s="62">
        <f t="shared" si="480"/>
        <v>0</v>
      </c>
    </row>
    <row r="2361" spans="1:29" ht="30" customHeight="1" x14ac:dyDescent="0.25">
      <c r="A2361" s="4" t="s">
        <v>37</v>
      </c>
      <c r="B2361" s="7" t="s">
        <v>136</v>
      </c>
      <c r="C2361" s="2" t="s">
        <v>306</v>
      </c>
      <c r="D2361" s="7" t="s">
        <v>222</v>
      </c>
      <c r="E2361" s="4" t="s">
        <v>823</v>
      </c>
      <c r="F2361" s="2">
        <v>25</v>
      </c>
      <c r="G2361" s="2" t="s">
        <v>1399</v>
      </c>
      <c r="H2361" s="2" t="s">
        <v>1400</v>
      </c>
      <c r="I2361" s="4" t="s">
        <v>68</v>
      </c>
      <c r="J2361" s="112">
        <f>IF($H2361&lt;&gt;"Y",0,ROUND(MIN(Dashboard!$R$24,IF(IFERROR(VLOOKUP($B2361,Dashboard!$Q$28:$S$60,2,FALSE),0)&gt;0,IFERROR(VLOOKUP($B2361,Dashboard!$Q$28:$S$60,2,FALSE),0),$Z2361*IF($U2361&lt;&gt;"",ROUND((Dashboard!$R$4/$U2361)*VLOOKUP($I2361,Dashboard!$Q$9:$R$13,2,FALSE)*IF(ISNUMBER(SEARCH("Duals",$B2361)),2,IF(ISNUMBER(SEARCH("Triples",$B2361)),3,IF(ISNUMBER(SEARCH("Quads",$B2361)),4,1))),2),ROUND(VLOOKUP($I2361,Dashboard!$Q$15:$R$20,2,FALSE)*IF($E2361="Red",Dashboard!$R$6,IF($E2361="Gold",Dashboard!$R$7,Dashboard!$R$5))*IF(ISNUMBER(SEARCH("Duals",$B2361)),2,IF(ISNUMBER(SEARCH("Triples",$B2361)),3,IF(ISNUMBER(SEARCH("Quads",$B2361)),4,1))),2))*IF(IFERROR(VLOOKUP($B2361,Dashboard!$Q$28:$S$60,3,FALSE),0)&gt;0,VLOOKUP($B2361,Dashboard!$Q$28:$S$60,3,FALSE),1))),0))</f>
        <v>96</v>
      </c>
      <c r="K2361" s="2" t="str">
        <f>IF('Autos - Singles'!E59="","",'Autos - Singles'!E59)</f>
        <v/>
      </c>
      <c r="L2361" s="2">
        <f t="shared" si="468"/>
        <v>0</v>
      </c>
      <c r="M2361" s="2">
        <f t="shared" si="469"/>
        <v>0</v>
      </c>
      <c r="N2361" s="2">
        <f t="shared" si="470"/>
        <v>0</v>
      </c>
      <c r="O2361" s="2">
        <f t="shared" si="471"/>
        <v>1</v>
      </c>
      <c r="P2361" s="112">
        <f t="shared" si="472"/>
        <v>0</v>
      </c>
      <c r="Q2361" s="112">
        <f t="shared" si="473"/>
        <v>0</v>
      </c>
      <c r="R2361" s="53"/>
      <c r="S2361" s="53" t="str">
        <f t="shared" si="474"/>
        <v>Autos - Singles|Autographs Red Parallel|A-SR|Red</v>
      </c>
      <c r="T2361" s="57" t="str">
        <f>IF($S2361="","",IFERROR(VLOOKUP($S2361,'Pop Estimates (Non-#d)'!$N$2:$O$500,2,FALSE),""))</f>
        <v/>
      </c>
      <c r="U2361" s="57">
        <f t="shared" si="475"/>
        <v>25</v>
      </c>
      <c r="V2361" s="53" t="str">
        <f t="shared" si="476"/>
        <v>Homelander</v>
      </c>
      <c r="W2361" s="53" t="str">
        <f t="shared" si="477"/>
        <v>Homelander</v>
      </c>
      <c r="X2361" s="53" t="str">
        <f t="shared" si="478"/>
        <v>Homelander</v>
      </c>
      <c r="Y2361" s="57">
        <f>IF($X2361="","",IFERROR(VLOOKUP($X2361,'Char Popularity'!$A$2:$C$500,2,FALSE),""))</f>
        <v>5</v>
      </c>
      <c r="Z2361" s="56">
        <f>IF($X2361="",1,IFERROR(VLOOKUP($X2361,'Char Popularity'!$A$2:$C$500,3,FALSE),1))</f>
        <v>1.2</v>
      </c>
      <c r="AA2361" s="62">
        <f>IF($H2361&lt;&gt;"Y",0,(IF($F2361&lt;&gt;"",ROUND(Dashboard!$R$4/$F2361,1),IF(AND($I2361="Base",$E2361="Base"),Dashboard!$R$5,IF(AND($I2361="Base",$E2361="Red"),Dashboard!$R$6,IF(AND($I2361="Base",$E2361="Gold"),Dashboard!$R$7,VLOOKUP($I2361,Dashboard!$Q$16:$R$21,2,FALSE)))))*VLOOKUP($I2361,Dashboard!$Q$9:$R$13,2,FALSE)*IF(AND($I2361="Auto",$F2361="",OR($B2361="Autographs Duals",$B2361="Autographs Triples",$B2361="Autographs Quads",$B2361="Autographs Quads (Inscribed)")),IF($B2361="Autographs Duals",2,IF($B2361="Autographs Triples",3,4)),1)))</f>
        <v>80</v>
      </c>
      <c r="AB2361" s="62">
        <f t="shared" si="479"/>
        <v>0</v>
      </c>
      <c r="AC2361" s="62">
        <f t="shared" si="480"/>
        <v>0</v>
      </c>
    </row>
    <row r="2362" spans="1:29" ht="30" customHeight="1" x14ac:dyDescent="0.25">
      <c r="A2362" s="4" t="s">
        <v>37</v>
      </c>
      <c r="B2362" s="7" t="s">
        <v>136</v>
      </c>
      <c r="C2362" s="2" t="s">
        <v>307</v>
      </c>
      <c r="D2362" s="7" t="s">
        <v>308</v>
      </c>
      <c r="E2362" s="4" t="s">
        <v>823</v>
      </c>
      <c r="F2362" s="2">
        <v>25</v>
      </c>
      <c r="G2362" s="2" t="s">
        <v>1399</v>
      </c>
      <c r="H2362" s="2" t="s">
        <v>1400</v>
      </c>
      <c r="I2362" s="4" t="s">
        <v>68</v>
      </c>
      <c r="J2362" s="112">
        <f>IF($H2362&lt;&gt;"Y",0,ROUND(MIN(Dashboard!$R$24,IF(IFERROR(VLOOKUP($B2362,Dashboard!$Q$28:$S$60,2,FALSE),0)&gt;0,IFERROR(VLOOKUP($B2362,Dashboard!$Q$28:$S$60,2,FALSE),0),$Z2362*IF($U2362&lt;&gt;"",ROUND((Dashboard!$R$4/$U2362)*VLOOKUP($I2362,Dashboard!$Q$9:$R$13,2,FALSE)*IF(ISNUMBER(SEARCH("Duals",$B2362)),2,IF(ISNUMBER(SEARCH("Triples",$B2362)),3,IF(ISNUMBER(SEARCH("Quads",$B2362)),4,1))),2),ROUND(VLOOKUP($I2362,Dashboard!$Q$15:$R$20,2,FALSE)*IF($E2362="Red",Dashboard!$R$6,IF($E2362="Gold",Dashboard!$R$7,Dashboard!$R$5))*IF(ISNUMBER(SEARCH("Duals",$B2362)),2,IF(ISNUMBER(SEARCH("Triples",$B2362)),3,IF(ISNUMBER(SEARCH("Quads",$B2362)),4,1))),2))*IF(IFERROR(VLOOKUP($B2362,Dashboard!$Q$28:$S$60,3,FALSE),0)&gt;0,VLOOKUP($B2362,Dashboard!$Q$28:$S$60,3,FALSE),1))),0))</f>
        <v>80</v>
      </c>
      <c r="K2362" s="2" t="str">
        <f>IF('Autos - Singles'!E60="","",'Autos - Singles'!E60)</f>
        <v/>
      </c>
      <c r="L2362" s="2">
        <f t="shared" si="468"/>
        <v>0</v>
      </c>
      <c r="M2362" s="2">
        <f t="shared" si="469"/>
        <v>0</v>
      </c>
      <c r="N2362" s="2">
        <f t="shared" si="470"/>
        <v>0</v>
      </c>
      <c r="O2362" s="2">
        <f t="shared" si="471"/>
        <v>1</v>
      </c>
      <c r="P2362" s="112">
        <f t="shared" si="472"/>
        <v>0</v>
      </c>
      <c r="Q2362" s="112">
        <f t="shared" si="473"/>
        <v>0</v>
      </c>
      <c r="R2362" s="53"/>
      <c r="S2362" s="53" t="str">
        <f t="shared" si="474"/>
        <v>Autos - Singles|Autographs Red Parallel|A-SS|Red</v>
      </c>
      <c r="T2362" s="57" t="str">
        <f>IF($S2362="","",IFERROR(VLOOKUP($S2362,'Pop Estimates (Non-#d)'!$N$2:$O$500,2,FALSE),""))</f>
        <v/>
      </c>
      <c r="U2362" s="57">
        <f t="shared" si="475"/>
        <v>25</v>
      </c>
      <c r="V2362" s="53" t="str">
        <f t="shared" si="476"/>
        <v>Becca Butcher</v>
      </c>
      <c r="W2362" s="53" t="str">
        <f t="shared" si="477"/>
        <v>Becca Butcher</v>
      </c>
      <c r="X2362" s="53" t="str">
        <f t="shared" si="478"/>
        <v>Becca Butcher</v>
      </c>
      <c r="Y2362" s="57">
        <f>IF($X2362="","",IFERROR(VLOOKUP($X2362,'Char Popularity'!$A$2:$C$500,2,FALSE),""))</f>
        <v>3</v>
      </c>
      <c r="Z2362" s="56">
        <f>IF($X2362="",1,IFERROR(VLOOKUP($X2362,'Char Popularity'!$A$2:$C$500,3,FALSE),1))</f>
        <v>1</v>
      </c>
      <c r="AA2362" s="62">
        <f>IF($H2362&lt;&gt;"Y",0,(IF($F2362&lt;&gt;"",ROUND(Dashboard!$R$4/$F2362,1),IF(AND($I2362="Base",$E2362="Base"),Dashboard!$R$5,IF(AND($I2362="Base",$E2362="Red"),Dashboard!$R$6,IF(AND($I2362="Base",$E2362="Gold"),Dashboard!$R$7,VLOOKUP($I2362,Dashboard!$Q$16:$R$21,2,FALSE)))))*VLOOKUP($I2362,Dashboard!$Q$9:$R$13,2,FALSE)*IF(AND($I2362="Auto",$F2362="",OR($B2362="Autographs Duals",$B2362="Autographs Triples",$B2362="Autographs Quads",$B2362="Autographs Quads (Inscribed)")),IF($B2362="Autographs Duals",2,IF($B2362="Autographs Triples",3,4)),1)))</f>
        <v>80</v>
      </c>
      <c r="AB2362" s="62">
        <f t="shared" si="479"/>
        <v>0</v>
      </c>
      <c r="AC2362" s="62">
        <f t="shared" si="480"/>
        <v>0</v>
      </c>
    </row>
    <row r="2363" spans="1:29" ht="30" customHeight="1" x14ac:dyDescent="0.25">
      <c r="A2363" s="4" t="s">
        <v>37</v>
      </c>
      <c r="B2363" s="7" t="s">
        <v>136</v>
      </c>
      <c r="C2363" s="2" t="s">
        <v>309</v>
      </c>
      <c r="D2363" s="7" t="s">
        <v>222</v>
      </c>
      <c r="E2363" s="4" t="s">
        <v>823</v>
      </c>
      <c r="F2363" s="2">
        <v>25</v>
      </c>
      <c r="G2363" s="2" t="s">
        <v>1399</v>
      </c>
      <c r="H2363" s="2" t="s">
        <v>1400</v>
      </c>
      <c r="I2363" s="4" t="s">
        <v>68</v>
      </c>
      <c r="J2363" s="112">
        <f>IF($H2363&lt;&gt;"Y",0,ROUND(MIN(Dashboard!$R$24,IF(IFERROR(VLOOKUP($B2363,Dashboard!$Q$28:$S$60,2,FALSE),0)&gt;0,IFERROR(VLOOKUP($B2363,Dashboard!$Q$28:$S$60,2,FALSE),0),$Z2363*IF($U2363&lt;&gt;"",ROUND((Dashboard!$R$4/$U2363)*VLOOKUP($I2363,Dashboard!$Q$9:$R$13,2,FALSE)*IF(ISNUMBER(SEARCH("Duals",$B2363)),2,IF(ISNUMBER(SEARCH("Triples",$B2363)),3,IF(ISNUMBER(SEARCH("Quads",$B2363)),4,1))),2),ROUND(VLOOKUP($I2363,Dashboard!$Q$15:$R$20,2,FALSE)*IF($E2363="Red",Dashboard!$R$6,IF($E2363="Gold",Dashboard!$R$7,Dashboard!$R$5))*IF(ISNUMBER(SEARCH("Duals",$B2363)),2,IF(ISNUMBER(SEARCH("Triples",$B2363)),3,IF(ISNUMBER(SEARCH("Quads",$B2363)),4,1))),2))*IF(IFERROR(VLOOKUP($B2363,Dashboard!$Q$28:$S$60,3,FALSE),0)&gt;0,VLOOKUP($B2363,Dashboard!$Q$28:$S$60,3,FALSE),1))),0))</f>
        <v>96</v>
      </c>
      <c r="K2363" s="2" t="str">
        <f>IF('Autos - Singles'!E61="","",'Autos - Singles'!E61)</f>
        <v/>
      </c>
      <c r="L2363" s="2">
        <f t="shared" si="468"/>
        <v>0</v>
      </c>
      <c r="M2363" s="2">
        <f t="shared" si="469"/>
        <v>0</v>
      </c>
      <c r="N2363" s="2">
        <f t="shared" si="470"/>
        <v>0</v>
      </c>
      <c r="O2363" s="2">
        <f t="shared" si="471"/>
        <v>1</v>
      </c>
      <c r="P2363" s="112">
        <f t="shared" si="472"/>
        <v>0</v>
      </c>
      <c r="Q2363" s="112">
        <f t="shared" si="473"/>
        <v>0</v>
      </c>
      <c r="R2363" s="53"/>
      <c r="S2363" s="53" t="str">
        <f t="shared" si="474"/>
        <v>Autos - Singles|Autographs Red Parallel|A-ST|Red</v>
      </c>
      <c r="T2363" s="57" t="str">
        <f>IF($S2363="","",IFERROR(VLOOKUP($S2363,'Pop Estimates (Non-#d)'!$N$2:$O$500,2,FALSE),""))</f>
        <v/>
      </c>
      <c r="U2363" s="57">
        <f t="shared" si="475"/>
        <v>25</v>
      </c>
      <c r="V2363" s="53" t="str">
        <f t="shared" si="476"/>
        <v>Homelander</v>
      </c>
      <c r="W2363" s="53" t="str">
        <f t="shared" si="477"/>
        <v>Homelander</v>
      </c>
      <c r="X2363" s="53" t="str">
        <f t="shared" si="478"/>
        <v>Homelander</v>
      </c>
      <c r="Y2363" s="57">
        <f>IF($X2363="","",IFERROR(VLOOKUP($X2363,'Char Popularity'!$A$2:$C$500,2,FALSE),""))</f>
        <v>5</v>
      </c>
      <c r="Z2363" s="56">
        <f>IF($X2363="",1,IFERROR(VLOOKUP($X2363,'Char Popularity'!$A$2:$C$500,3,FALSE),1))</f>
        <v>1.2</v>
      </c>
      <c r="AA2363" s="62">
        <f>IF($H2363&lt;&gt;"Y",0,(IF($F2363&lt;&gt;"",ROUND(Dashboard!$R$4/$F2363,1),IF(AND($I2363="Base",$E2363="Base"),Dashboard!$R$5,IF(AND($I2363="Base",$E2363="Red"),Dashboard!$R$6,IF(AND($I2363="Base",$E2363="Gold"),Dashboard!$R$7,VLOOKUP($I2363,Dashboard!$Q$16:$R$21,2,FALSE)))))*VLOOKUP($I2363,Dashboard!$Q$9:$R$13,2,FALSE)*IF(AND($I2363="Auto",$F2363="",OR($B2363="Autographs Duals",$B2363="Autographs Triples",$B2363="Autographs Quads",$B2363="Autographs Quads (Inscribed)")),IF($B2363="Autographs Duals",2,IF($B2363="Autographs Triples",3,4)),1)))</f>
        <v>80</v>
      </c>
      <c r="AB2363" s="62">
        <f t="shared" si="479"/>
        <v>0</v>
      </c>
      <c r="AC2363" s="62">
        <f t="shared" si="480"/>
        <v>0</v>
      </c>
    </row>
    <row r="2364" spans="1:29" ht="30" customHeight="1" x14ac:dyDescent="0.25">
      <c r="A2364" s="4" t="s">
        <v>37</v>
      </c>
      <c r="B2364" s="7" t="s">
        <v>136</v>
      </c>
      <c r="C2364" s="2" t="s">
        <v>310</v>
      </c>
      <c r="D2364" s="7" t="s">
        <v>308</v>
      </c>
      <c r="E2364" s="4" t="s">
        <v>823</v>
      </c>
      <c r="F2364" s="2">
        <v>49</v>
      </c>
      <c r="G2364" s="2" t="s">
        <v>1399</v>
      </c>
      <c r="H2364" s="2" t="s">
        <v>1400</v>
      </c>
      <c r="I2364" s="4" t="s">
        <v>68</v>
      </c>
      <c r="J2364" s="112">
        <f>IF($H2364&lt;&gt;"Y",0,ROUND(MIN(Dashboard!$R$24,IF(IFERROR(VLOOKUP($B2364,Dashboard!$Q$28:$S$60,2,FALSE),0)&gt;0,IFERROR(VLOOKUP($B2364,Dashboard!$Q$28:$S$60,2,FALSE),0),$Z2364*IF($U2364&lt;&gt;"",ROUND((Dashboard!$R$4/$U2364)*VLOOKUP($I2364,Dashboard!$Q$9:$R$13,2,FALSE)*IF(ISNUMBER(SEARCH("Duals",$B2364)),2,IF(ISNUMBER(SEARCH("Triples",$B2364)),3,IF(ISNUMBER(SEARCH("Quads",$B2364)),4,1))),2),ROUND(VLOOKUP($I2364,Dashboard!$Q$15:$R$20,2,FALSE)*IF($E2364="Red",Dashboard!$R$6,IF($E2364="Gold",Dashboard!$R$7,Dashboard!$R$5))*IF(ISNUMBER(SEARCH("Duals",$B2364)),2,IF(ISNUMBER(SEARCH("Triples",$B2364)),3,IF(ISNUMBER(SEARCH("Quads",$B2364)),4,1))),2))*IF(IFERROR(VLOOKUP($B2364,Dashboard!$Q$28:$S$60,3,FALSE),0)&gt;0,VLOOKUP($B2364,Dashboard!$Q$28:$S$60,3,FALSE),1))),0))</f>
        <v>41</v>
      </c>
      <c r="K2364" s="2" t="str">
        <f>IF('Autos - Singles'!E62="","",'Autos - Singles'!E62)</f>
        <v>C 17/49</v>
      </c>
      <c r="L2364" s="2">
        <f t="shared" si="468"/>
        <v>1</v>
      </c>
      <c r="M2364" s="2">
        <f t="shared" si="469"/>
        <v>0</v>
      </c>
      <c r="N2364" s="2">
        <f t="shared" si="470"/>
        <v>1</v>
      </c>
      <c r="O2364" s="2">
        <f t="shared" si="471"/>
        <v>0</v>
      </c>
      <c r="P2364" s="112">
        <f t="shared" si="472"/>
        <v>41</v>
      </c>
      <c r="Q2364" s="112">
        <f t="shared" si="473"/>
        <v>0</v>
      </c>
      <c r="R2364" s="53"/>
      <c r="S2364" s="53" t="str">
        <f t="shared" si="474"/>
        <v>Autos - Singles|Autographs Red Parallel|A-SV|Red</v>
      </c>
      <c r="T2364" s="57" t="str">
        <f>IF($S2364="","",IFERROR(VLOOKUP($S2364,'Pop Estimates (Non-#d)'!$N$2:$O$500,2,FALSE),""))</f>
        <v/>
      </c>
      <c r="U2364" s="57">
        <f t="shared" si="475"/>
        <v>49</v>
      </c>
      <c r="V2364" s="53" t="str">
        <f t="shared" si="476"/>
        <v>Becca Butcher</v>
      </c>
      <c r="W2364" s="53" t="str">
        <f t="shared" si="477"/>
        <v>Becca Butcher</v>
      </c>
      <c r="X2364" s="53" t="str">
        <f t="shared" si="478"/>
        <v>Becca Butcher</v>
      </c>
      <c r="Y2364" s="57">
        <f>IF($X2364="","",IFERROR(VLOOKUP($X2364,'Char Popularity'!$A$2:$C$500,2,FALSE),""))</f>
        <v>3</v>
      </c>
      <c r="Z2364" s="56">
        <f>IF($X2364="",1,IFERROR(VLOOKUP($X2364,'Char Popularity'!$A$2:$C$500,3,FALSE),1))</f>
        <v>1</v>
      </c>
      <c r="AA2364" s="62">
        <f>IF($H2364&lt;&gt;"Y",0,(IF($F2364&lt;&gt;"",ROUND(Dashboard!$R$4/$F2364,1),IF(AND($I2364="Base",$E2364="Base"),Dashboard!$R$5,IF(AND($I2364="Base",$E2364="Red"),Dashboard!$R$6,IF(AND($I2364="Base",$E2364="Gold"),Dashboard!$R$7,VLOOKUP($I2364,Dashboard!$Q$16:$R$21,2,FALSE)))))*VLOOKUP($I2364,Dashboard!$Q$9:$R$13,2,FALSE)*IF(AND($I2364="Auto",$F2364="",OR($B2364="Autographs Duals",$B2364="Autographs Triples",$B2364="Autographs Quads",$B2364="Autographs Quads (Inscribed)")),IF($B2364="Autographs Duals",2,IF($B2364="Autographs Triples",3,4)),1)))</f>
        <v>40.799999999999997</v>
      </c>
      <c r="AB2364" s="62">
        <f t="shared" si="479"/>
        <v>40.799999999999997</v>
      </c>
      <c r="AC2364" s="62">
        <f t="shared" si="480"/>
        <v>0</v>
      </c>
    </row>
    <row r="2365" spans="1:29" ht="30" customHeight="1" x14ac:dyDescent="0.25">
      <c r="A2365" s="4" t="s">
        <v>37</v>
      </c>
      <c r="B2365" s="7" t="s">
        <v>136</v>
      </c>
      <c r="C2365" s="2" t="s">
        <v>311</v>
      </c>
      <c r="D2365" s="7" t="s">
        <v>288</v>
      </c>
      <c r="E2365" s="4" t="s">
        <v>823</v>
      </c>
      <c r="F2365" s="2">
        <v>25</v>
      </c>
      <c r="G2365" s="2" t="s">
        <v>1399</v>
      </c>
      <c r="H2365" s="2" t="s">
        <v>1400</v>
      </c>
      <c r="I2365" s="4" t="s">
        <v>68</v>
      </c>
      <c r="J2365" s="112">
        <f>IF($H2365&lt;&gt;"Y",0,ROUND(MIN(Dashboard!$R$24,IF(IFERROR(VLOOKUP($B2365,Dashboard!$Q$28:$S$60,2,FALSE),0)&gt;0,IFERROR(VLOOKUP($B2365,Dashboard!$Q$28:$S$60,2,FALSE),0),$Z2365*IF($U2365&lt;&gt;"",ROUND((Dashboard!$R$4/$U2365)*VLOOKUP($I2365,Dashboard!$Q$9:$R$13,2,FALSE)*IF(ISNUMBER(SEARCH("Duals",$B2365)),2,IF(ISNUMBER(SEARCH("Triples",$B2365)),3,IF(ISNUMBER(SEARCH("Quads",$B2365)),4,1))),2),ROUND(VLOOKUP($I2365,Dashboard!$Q$15:$R$20,2,FALSE)*IF($E2365="Red",Dashboard!$R$6,IF($E2365="Gold",Dashboard!$R$7,Dashboard!$R$5))*IF(ISNUMBER(SEARCH("Duals",$B2365)),2,IF(ISNUMBER(SEARCH("Triples",$B2365)),3,IF(ISNUMBER(SEARCH("Quads",$B2365)),4,1))),2))*IF(IFERROR(VLOOKUP($B2365,Dashboard!$Q$28:$S$60,3,FALSE),0)&gt;0,VLOOKUP($B2365,Dashboard!$Q$28:$S$60,3,FALSE),1))),0))</f>
        <v>72</v>
      </c>
      <c r="K2365" s="2" t="str">
        <f>IF('Autos - Singles'!E63="","",'Autos - Singles'!E63)</f>
        <v/>
      </c>
      <c r="L2365" s="2">
        <f t="shared" si="468"/>
        <v>0</v>
      </c>
      <c r="M2365" s="2">
        <f t="shared" si="469"/>
        <v>0</v>
      </c>
      <c r="N2365" s="2">
        <f t="shared" si="470"/>
        <v>0</v>
      </c>
      <c r="O2365" s="2">
        <f t="shared" si="471"/>
        <v>1</v>
      </c>
      <c r="P2365" s="112">
        <f t="shared" si="472"/>
        <v>0</v>
      </c>
      <c r="Q2365" s="112">
        <f t="shared" si="473"/>
        <v>0</v>
      </c>
      <c r="R2365" s="53"/>
      <c r="S2365" s="53" t="str">
        <f t="shared" si="474"/>
        <v>Autos - Singles|Autographs Red Parallel|A-TB|Red</v>
      </c>
      <c r="T2365" s="57" t="str">
        <f>IF($S2365="","",IFERROR(VLOOKUP($S2365,'Pop Estimates (Non-#d)'!$N$2:$O$500,2,FALSE),""))</f>
        <v/>
      </c>
      <c r="U2365" s="57">
        <f t="shared" si="475"/>
        <v>25</v>
      </c>
      <c r="V2365" s="53" t="str">
        <f t="shared" si="476"/>
        <v>Shockwave</v>
      </c>
      <c r="W2365" s="53" t="str">
        <f t="shared" si="477"/>
        <v>Shockwave</v>
      </c>
      <c r="X2365" s="53" t="str">
        <f t="shared" si="478"/>
        <v>Shockwave</v>
      </c>
      <c r="Y2365" s="57">
        <f>IF($X2365="","",IFERROR(VLOOKUP($X2365,'Char Popularity'!$A$2:$C$500,2,FALSE),""))</f>
        <v>2</v>
      </c>
      <c r="Z2365" s="56">
        <f>IF($X2365="",1,IFERROR(VLOOKUP($X2365,'Char Popularity'!$A$2:$C$500,3,FALSE),1))</f>
        <v>0.9</v>
      </c>
      <c r="AA2365" s="62">
        <f>IF($H2365&lt;&gt;"Y",0,(IF($F2365&lt;&gt;"",ROUND(Dashboard!$R$4/$F2365,1),IF(AND($I2365="Base",$E2365="Base"),Dashboard!$R$5,IF(AND($I2365="Base",$E2365="Red"),Dashboard!$R$6,IF(AND($I2365="Base",$E2365="Gold"),Dashboard!$R$7,VLOOKUP($I2365,Dashboard!$Q$16:$R$21,2,FALSE)))))*VLOOKUP($I2365,Dashboard!$Q$9:$R$13,2,FALSE)*IF(AND($I2365="Auto",$F2365="",OR($B2365="Autographs Duals",$B2365="Autographs Triples",$B2365="Autographs Quads",$B2365="Autographs Quads (Inscribed)")),IF($B2365="Autographs Duals",2,IF($B2365="Autographs Triples",3,4)),1)))</f>
        <v>80</v>
      </c>
      <c r="AB2365" s="62">
        <f t="shared" si="479"/>
        <v>0</v>
      </c>
      <c r="AC2365" s="62">
        <f t="shared" si="480"/>
        <v>0</v>
      </c>
    </row>
    <row r="2366" spans="1:29" ht="30" customHeight="1" x14ac:dyDescent="0.25">
      <c r="A2366" s="4" t="s">
        <v>37</v>
      </c>
      <c r="B2366" s="7" t="s">
        <v>136</v>
      </c>
      <c r="C2366" s="2" t="s">
        <v>312</v>
      </c>
      <c r="D2366" s="7" t="s">
        <v>238</v>
      </c>
      <c r="E2366" s="4" t="s">
        <v>823</v>
      </c>
      <c r="F2366" s="2">
        <v>49</v>
      </c>
      <c r="G2366" s="2" t="s">
        <v>1399</v>
      </c>
      <c r="H2366" s="2" t="s">
        <v>1400</v>
      </c>
      <c r="I2366" s="4" t="s">
        <v>68</v>
      </c>
      <c r="J2366" s="112">
        <f>IF($H2366&lt;&gt;"Y",0,ROUND(MIN(Dashboard!$R$24,IF(IFERROR(VLOOKUP($B2366,Dashboard!$Q$28:$S$60,2,FALSE),0)&gt;0,IFERROR(VLOOKUP($B2366,Dashboard!$Q$28:$S$60,2,FALSE),0),$Z2366*IF($U2366&lt;&gt;"",ROUND((Dashboard!$R$4/$U2366)*VLOOKUP($I2366,Dashboard!$Q$9:$R$13,2,FALSE)*IF(ISNUMBER(SEARCH("Duals",$B2366)),2,IF(ISNUMBER(SEARCH("Triples",$B2366)),3,IF(ISNUMBER(SEARCH("Quads",$B2366)),4,1))),2),ROUND(VLOOKUP($I2366,Dashboard!$Q$15:$R$20,2,FALSE)*IF($E2366="Red",Dashboard!$R$6,IF($E2366="Gold",Dashboard!$R$7,Dashboard!$R$5))*IF(ISNUMBER(SEARCH("Duals",$B2366)),2,IF(ISNUMBER(SEARCH("Triples",$B2366)),3,IF(ISNUMBER(SEARCH("Quads",$B2366)),4,1))),2))*IF(IFERROR(VLOOKUP($B2366,Dashboard!$Q$28:$S$60,3,FALSE),0)&gt;0,VLOOKUP($B2366,Dashboard!$Q$28:$S$60,3,FALSE),1))),0))</f>
        <v>45</v>
      </c>
      <c r="K2366" s="2" t="str">
        <f>IF('Autos - Singles'!E64="","",'Autos - Singles'!E64)</f>
        <v>C 39/49</v>
      </c>
      <c r="L2366" s="2">
        <f t="shared" si="468"/>
        <v>1</v>
      </c>
      <c r="M2366" s="2">
        <f t="shared" si="469"/>
        <v>0</v>
      </c>
      <c r="N2366" s="2">
        <f t="shared" si="470"/>
        <v>1</v>
      </c>
      <c r="O2366" s="2">
        <f t="shared" si="471"/>
        <v>0</v>
      </c>
      <c r="P2366" s="112">
        <f t="shared" si="472"/>
        <v>45</v>
      </c>
      <c r="Q2366" s="112">
        <f t="shared" si="473"/>
        <v>0</v>
      </c>
      <c r="R2366" s="53"/>
      <c r="S2366" s="53" t="str">
        <f t="shared" si="474"/>
        <v>Autos - Singles|Autographs Red Parallel|A-TC|Red</v>
      </c>
      <c r="T2366" s="57" t="str">
        <f>IF($S2366="","",IFERROR(VLOOKUP($S2366,'Pop Estimates (Non-#d)'!$N$2:$O$500,2,FALSE),""))</f>
        <v/>
      </c>
      <c r="U2366" s="57">
        <f t="shared" si="475"/>
        <v>49</v>
      </c>
      <c r="V2366" s="53" t="str">
        <f t="shared" si="476"/>
        <v>Frenchie</v>
      </c>
      <c r="W2366" s="53" t="str">
        <f t="shared" si="477"/>
        <v>Frenchie</v>
      </c>
      <c r="X2366" s="53" t="str">
        <f t="shared" si="478"/>
        <v>Frenchie</v>
      </c>
      <c r="Y2366" s="57">
        <f>IF($X2366="","",IFERROR(VLOOKUP($X2366,'Char Popularity'!$A$2:$C$500,2,FALSE),""))</f>
        <v>4</v>
      </c>
      <c r="Z2366" s="56">
        <f>IF($X2366="",1,IFERROR(VLOOKUP($X2366,'Char Popularity'!$A$2:$C$500,3,FALSE),1))</f>
        <v>1.1000000000000001</v>
      </c>
      <c r="AA2366" s="62">
        <f>IF($H2366&lt;&gt;"Y",0,(IF($F2366&lt;&gt;"",ROUND(Dashboard!$R$4/$F2366,1),IF(AND($I2366="Base",$E2366="Base"),Dashboard!$R$5,IF(AND($I2366="Base",$E2366="Red"),Dashboard!$R$6,IF(AND($I2366="Base",$E2366="Gold"),Dashboard!$R$7,VLOOKUP($I2366,Dashboard!$Q$16:$R$21,2,FALSE)))))*VLOOKUP($I2366,Dashboard!$Q$9:$R$13,2,FALSE)*IF(AND($I2366="Auto",$F2366="",OR($B2366="Autographs Duals",$B2366="Autographs Triples",$B2366="Autographs Quads",$B2366="Autographs Quads (Inscribed)")),IF($B2366="Autographs Duals",2,IF($B2366="Autographs Triples",3,4)),1)))</f>
        <v>40.799999999999997</v>
      </c>
      <c r="AB2366" s="62">
        <f t="shared" si="479"/>
        <v>40.799999999999997</v>
      </c>
      <c r="AC2366" s="62">
        <f t="shared" si="480"/>
        <v>0</v>
      </c>
    </row>
    <row r="2367" spans="1:29" ht="30" customHeight="1" x14ac:dyDescent="0.25">
      <c r="A2367" s="4" t="s">
        <v>37</v>
      </c>
      <c r="B2367" s="7" t="s">
        <v>136</v>
      </c>
      <c r="C2367" s="2" t="s">
        <v>314</v>
      </c>
      <c r="D2367" s="7" t="s">
        <v>276</v>
      </c>
      <c r="E2367" s="4" t="s">
        <v>823</v>
      </c>
      <c r="F2367" s="2">
        <v>25</v>
      </c>
      <c r="G2367" s="2" t="s">
        <v>1399</v>
      </c>
      <c r="H2367" s="2" t="s">
        <v>1400</v>
      </c>
      <c r="I2367" s="4" t="s">
        <v>68</v>
      </c>
      <c r="J2367" s="112">
        <f>IF($H2367&lt;&gt;"Y",0,ROUND(MIN(Dashboard!$R$24,IF(IFERROR(VLOOKUP($B2367,Dashboard!$Q$28:$S$60,2,FALSE),0)&gt;0,IFERROR(VLOOKUP($B2367,Dashboard!$Q$28:$S$60,2,FALSE),0),$Z2367*IF($U2367&lt;&gt;"",ROUND((Dashboard!$R$4/$U2367)*VLOOKUP($I2367,Dashboard!$Q$9:$R$13,2,FALSE)*IF(ISNUMBER(SEARCH("Duals",$B2367)),2,IF(ISNUMBER(SEARCH("Triples",$B2367)),3,IF(ISNUMBER(SEARCH("Quads",$B2367)),4,1))),2),ROUND(VLOOKUP($I2367,Dashboard!$Q$15:$R$20,2,FALSE)*IF($E2367="Red",Dashboard!$R$6,IF($E2367="Gold",Dashboard!$R$7,Dashboard!$R$5))*IF(ISNUMBER(SEARCH("Duals",$B2367)),2,IF(ISNUMBER(SEARCH("Triples",$B2367)),3,IF(ISNUMBER(SEARCH("Quads",$B2367)),4,1))),2))*IF(IFERROR(VLOOKUP($B2367,Dashboard!$Q$28:$S$60,3,FALSE),0)&gt;0,VLOOKUP($B2367,Dashboard!$Q$28:$S$60,3,FALSE),1))),0))</f>
        <v>88</v>
      </c>
      <c r="K2367" s="2" t="str">
        <f>IF('Autos - Singles'!E66="","",'Autos - Singles'!E66)</f>
        <v>C 15/25</v>
      </c>
      <c r="L2367" s="2">
        <f t="shared" si="468"/>
        <v>1</v>
      </c>
      <c r="M2367" s="2">
        <f t="shared" si="469"/>
        <v>0</v>
      </c>
      <c r="N2367" s="2">
        <f t="shared" si="470"/>
        <v>1</v>
      </c>
      <c r="O2367" s="2">
        <f t="shared" si="471"/>
        <v>0</v>
      </c>
      <c r="P2367" s="112">
        <f t="shared" si="472"/>
        <v>88</v>
      </c>
      <c r="Q2367" s="112">
        <f t="shared" si="473"/>
        <v>0</v>
      </c>
      <c r="R2367" s="53"/>
      <c r="S2367" s="53" t="str">
        <f t="shared" si="474"/>
        <v>Autos - Singles|Autographs Red Parallel|A-ZA|Red</v>
      </c>
      <c r="T2367" s="57" t="str">
        <f>IF($S2367="","",IFERROR(VLOOKUP($S2367,'Pop Estimates (Non-#d)'!$N$2:$O$500,2,FALSE),""))</f>
        <v/>
      </c>
      <c r="U2367" s="57">
        <f t="shared" si="475"/>
        <v>25</v>
      </c>
      <c r="V2367" s="53" t="str">
        <f t="shared" si="476"/>
        <v>Mother's Milk</v>
      </c>
      <c r="W2367" s="53" t="str">
        <f t="shared" si="477"/>
        <v>Mother's Milk</v>
      </c>
      <c r="X2367" s="53" t="str">
        <f t="shared" si="478"/>
        <v>Mother's Milk</v>
      </c>
      <c r="Y2367" s="57">
        <f>IF($X2367="","",IFERROR(VLOOKUP($X2367,'Char Popularity'!$A$2:$C$500,2,FALSE),""))</f>
        <v>4</v>
      </c>
      <c r="Z2367" s="56">
        <f>IF($X2367="",1,IFERROR(VLOOKUP($X2367,'Char Popularity'!$A$2:$C$500,3,FALSE),1))</f>
        <v>1.1000000000000001</v>
      </c>
      <c r="AA2367" s="62">
        <f>IF($H2367&lt;&gt;"Y",0,(IF($F2367&lt;&gt;"",ROUND(Dashboard!$R$4/$F2367,1),IF(AND($I2367="Base",$E2367="Base"),Dashboard!$R$5,IF(AND($I2367="Base",$E2367="Red"),Dashboard!$R$6,IF(AND($I2367="Base",$E2367="Gold"),Dashboard!$R$7,VLOOKUP($I2367,Dashboard!$Q$16:$R$21,2,FALSE)))))*VLOOKUP($I2367,Dashboard!$Q$9:$R$13,2,FALSE)*IF(AND($I2367="Auto",$F2367="",OR($B2367="Autographs Duals",$B2367="Autographs Triples",$B2367="Autographs Quads",$B2367="Autographs Quads (Inscribed)")),IF($B2367="Autographs Duals",2,IF($B2367="Autographs Triples",3,4)),1)))</f>
        <v>80</v>
      </c>
      <c r="AB2367" s="62">
        <f t="shared" si="479"/>
        <v>80</v>
      </c>
      <c r="AC2367" s="62">
        <f t="shared" si="480"/>
        <v>0</v>
      </c>
    </row>
    <row r="2368" spans="1:29" ht="30" customHeight="1" x14ac:dyDescent="0.25">
      <c r="A2368" s="4" t="s">
        <v>37</v>
      </c>
      <c r="B2368" s="7" t="s">
        <v>136</v>
      </c>
      <c r="C2368" s="2" t="s">
        <v>315</v>
      </c>
      <c r="D2368" s="7" t="s">
        <v>276</v>
      </c>
      <c r="E2368" s="4" t="s">
        <v>823</v>
      </c>
      <c r="F2368" s="2">
        <v>25</v>
      </c>
      <c r="G2368" s="2" t="s">
        <v>1399</v>
      </c>
      <c r="H2368" s="2" t="s">
        <v>1400</v>
      </c>
      <c r="I2368" s="4" t="s">
        <v>68</v>
      </c>
      <c r="J2368" s="112">
        <f>IF($H2368&lt;&gt;"Y",0,ROUND(MIN(Dashboard!$R$24,IF(IFERROR(VLOOKUP($B2368,Dashboard!$Q$28:$S$60,2,FALSE),0)&gt;0,IFERROR(VLOOKUP($B2368,Dashboard!$Q$28:$S$60,2,FALSE),0),$Z2368*IF($U2368&lt;&gt;"",ROUND((Dashboard!$R$4/$U2368)*VLOOKUP($I2368,Dashboard!$Q$9:$R$13,2,FALSE)*IF(ISNUMBER(SEARCH("Duals",$B2368)),2,IF(ISNUMBER(SEARCH("Triples",$B2368)),3,IF(ISNUMBER(SEARCH("Quads",$B2368)),4,1))),2),ROUND(VLOOKUP($I2368,Dashboard!$Q$15:$R$20,2,FALSE)*IF($E2368="Red",Dashboard!$R$6,IF($E2368="Gold",Dashboard!$R$7,Dashboard!$R$5))*IF(ISNUMBER(SEARCH("Duals",$B2368)),2,IF(ISNUMBER(SEARCH("Triples",$B2368)),3,IF(ISNUMBER(SEARCH("Quads",$B2368)),4,1))),2))*IF(IFERROR(VLOOKUP($B2368,Dashboard!$Q$28:$S$60,3,FALSE),0)&gt;0,VLOOKUP($B2368,Dashboard!$Q$28:$S$60,3,FALSE),1))),0))</f>
        <v>88</v>
      </c>
      <c r="K2368" s="2" t="str">
        <f>IF('Autos - Singles'!E67="","",'Autos - Singles'!E67)</f>
        <v/>
      </c>
      <c r="L2368" s="2">
        <f t="shared" si="468"/>
        <v>0</v>
      </c>
      <c r="M2368" s="2">
        <f t="shared" si="469"/>
        <v>0</v>
      </c>
      <c r="N2368" s="2">
        <f t="shared" si="470"/>
        <v>0</v>
      </c>
      <c r="O2368" s="2">
        <f t="shared" si="471"/>
        <v>1</v>
      </c>
      <c r="P2368" s="112">
        <f t="shared" si="472"/>
        <v>0</v>
      </c>
      <c r="Q2368" s="112">
        <f t="shared" si="473"/>
        <v>0</v>
      </c>
      <c r="R2368" s="53"/>
      <c r="S2368" s="53" t="str">
        <f t="shared" si="474"/>
        <v>Autos - Singles|Autographs Red Parallel|A-ZZ|Red</v>
      </c>
      <c r="T2368" s="57" t="str">
        <f>IF($S2368="","",IFERROR(VLOOKUP($S2368,'Pop Estimates (Non-#d)'!$N$2:$O$500,2,FALSE),""))</f>
        <v/>
      </c>
      <c r="U2368" s="57">
        <f t="shared" si="475"/>
        <v>25</v>
      </c>
      <c r="V2368" s="53" t="str">
        <f t="shared" si="476"/>
        <v>Mother's Milk</v>
      </c>
      <c r="W2368" s="53" t="str">
        <f t="shared" si="477"/>
        <v>Mother's Milk</v>
      </c>
      <c r="X2368" s="53" t="str">
        <f t="shared" si="478"/>
        <v>Mother's Milk</v>
      </c>
      <c r="Y2368" s="57">
        <f>IF($X2368="","",IFERROR(VLOOKUP($X2368,'Char Popularity'!$A$2:$C$500,2,FALSE),""))</f>
        <v>4</v>
      </c>
      <c r="Z2368" s="56">
        <f>IF($X2368="",1,IFERROR(VLOOKUP($X2368,'Char Popularity'!$A$2:$C$500,3,FALSE),1))</f>
        <v>1.1000000000000001</v>
      </c>
      <c r="AA2368" s="62">
        <f>IF($H2368&lt;&gt;"Y",0,(IF($F2368&lt;&gt;"",ROUND(Dashboard!$R$4/$F2368,1),IF(AND($I2368="Base",$E2368="Base"),Dashboard!$R$5,IF(AND($I2368="Base",$E2368="Red"),Dashboard!$R$6,IF(AND($I2368="Base",$E2368="Gold"),Dashboard!$R$7,VLOOKUP($I2368,Dashboard!$Q$16:$R$21,2,FALSE)))))*VLOOKUP($I2368,Dashboard!$Q$9:$R$13,2,FALSE)*IF(AND($I2368="Auto",$F2368="",OR($B2368="Autographs Duals",$B2368="Autographs Triples",$B2368="Autographs Quads",$B2368="Autographs Quads (Inscribed)")),IF($B2368="Autographs Duals",2,IF($B2368="Autographs Triples",3,4)),1)))</f>
        <v>80</v>
      </c>
      <c r="AB2368" s="62">
        <f t="shared" si="479"/>
        <v>0</v>
      </c>
      <c r="AC2368" s="62">
        <f t="shared" si="480"/>
        <v>0</v>
      </c>
    </row>
    <row r="2369" spans="1:29" ht="30" customHeight="1" x14ac:dyDescent="0.25">
      <c r="A2369" s="4" t="s">
        <v>37</v>
      </c>
      <c r="B2369" s="7" t="s">
        <v>139</v>
      </c>
      <c r="C2369" s="2" t="s">
        <v>409</v>
      </c>
      <c r="D2369" s="7" t="s">
        <v>263</v>
      </c>
      <c r="E2369" s="4" t="s">
        <v>778</v>
      </c>
      <c r="F2369" s="2">
        <v>49</v>
      </c>
      <c r="G2369" s="2" t="s">
        <v>1399</v>
      </c>
      <c r="H2369" s="2" t="s">
        <v>1400</v>
      </c>
      <c r="I2369" s="4" t="s">
        <v>68</v>
      </c>
      <c r="J2369" s="112">
        <f>IF($H2369&lt;&gt;"Y",0,ROUND(MIN(Dashboard!$R$24,IF(IFERROR(VLOOKUP($B2369,Dashboard!$Q$28:$S$60,2,FALSE),0)&gt;0,IFERROR(VLOOKUP($B2369,Dashboard!$Q$28:$S$60,2,FALSE),0),$Z2369*IF($U2369&lt;&gt;"",ROUND((Dashboard!$R$4/$U2369)*VLOOKUP($I2369,Dashboard!$Q$9:$R$13,2,FALSE)*IF(ISNUMBER(SEARCH("Duals",$B2369)),2,IF(ISNUMBER(SEARCH("Triples",$B2369)),3,IF(ISNUMBER(SEARCH("Quads",$B2369)),4,1))),2),ROUND(VLOOKUP($I2369,Dashboard!$Q$15:$R$20,2,FALSE)*IF($E2369="Red",Dashboard!$R$6,IF($E2369="Gold",Dashboard!$R$7,Dashboard!$R$5))*IF(ISNUMBER(SEARCH("Duals",$B2369)),2,IF(ISNUMBER(SEARCH("Triples",$B2369)),3,IF(ISNUMBER(SEARCH("Quads",$B2369)),4,1))),2))*IF(IFERROR(VLOOKUP($B2369,Dashboard!$Q$28:$S$60,3,FALSE),0)&gt;0,VLOOKUP($B2369,Dashboard!$Q$28:$S$60,3,FALSE),1))),0))</f>
        <v>49</v>
      </c>
      <c r="K2369" s="2" t="str">
        <f>IF(Characters!L2="","",Characters!L2)</f>
        <v/>
      </c>
      <c r="L2369" s="2">
        <f t="shared" si="468"/>
        <v>0</v>
      </c>
      <c r="M2369" s="2">
        <f t="shared" si="469"/>
        <v>0</v>
      </c>
      <c r="N2369" s="2">
        <f t="shared" si="470"/>
        <v>0</v>
      </c>
      <c r="O2369" s="2">
        <f t="shared" si="471"/>
        <v>1</v>
      </c>
      <c r="P2369" s="112">
        <f t="shared" si="472"/>
        <v>0</v>
      </c>
      <c r="Q2369" s="112">
        <f t="shared" si="473"/>
        <v>0</v>
      </c>
      <c r="R2369" s="53"/>
      <c r="S2369" s="53" t="str">
        <f t="shared" si="474"/>
        <v>Autos - Singles|Characters Auto Compound V Parallel|C-1|Compound V</v>
      </c>
      <c r="T2369" s="57" t="str">
        <f>IF($S2369="","",IFERROR(VLOOKUP($S2369,'Pop Estimates (Non-#d)'!$N$2:$O$500,2,FALSE),""))</f>
        <v/>
      </c>
      <c r="U2369" s="57">
        <f t="shared" si="475"/>
        <v>49</v>
      </c>
      <c r="V2369" s="53" t="str">
        <f t="shared" si="476"/>
        <v>Hughie Campbell</v>
      </c>
      <c r="W2369" s="53" t="str">
        <f t="shared" si="477"/>
        <v>Hughie Campbell</v>
      </c>
      <c r="X2369" s="53" t="str">
        <f t="shared" si="478"/>
        <v>Hughie Campbell</v>
      </c>
      <c r="Y2369" s="57">
        <f>IF($X2369="","",IFERROR(VLOOKUP($X2369,'Char Popularity'!$A$2:$C$500,2,FALSE),""))</f>
        <v>5</v>
      </c>
      <c r="Z2369" s="56">
        <f>IF($X2369="",1,IFERROR(VLOOKUP($X2369,'Char Popularity'!$A$2:$C$500,3,FALSE),1))</f>
        <v>1.2</v>
      </c>
      <c r="AA2369" s="62">
        <f>IF($H2369&lt;&gt;"Y",0,(IF($F2369&lt;&gt;"",ROUND(Dashboard!$R$4/$F2369,1),IF(AND($I2369="Base",$E2369="Base"),Dashboard!$R$5,IF(AND($I2369="Base",$E2369="Red"),Dashboard!$R$6,IF(AND($I2369="Base",$E2369="Gold"),Dashboard!$R$7,VLOOKUP($I2369,Dashboard!$Q$16:$R$21,2,FALSE)))))*VLOOKUP($I2369,Dashboard!$Q$9:$R$13,2,FALSE)*IF(AND($I2369="Auto",$F2369="",OR($B2369="Autographs Duals",$B2369="Autographs Triples",$B2369="Autographs Quads",$B2369="Autographs Quads (Inscribed)")),IF($B2369="Autographs Duals",2,IF($B2369="Autographs Triples",3,4)),1)))</f>
        <v>40.799999999999997</v>
      </c>
      <c r="AB2369" s="62">
        <f t="shared" si="479"/>
        <v>0</v>
      </c>
      <c r="AC2369" s="62">
        <f t="shared" si="480"/>
        <v>0</v>
      </c>
    </row>
    <row r="2370" spans="1:29" ht="30" customHeight="1" x14ac:dyDescent="0.25">
      <c r="A2370" s="4" t="s">
        <v>37</v>
      </c>
      <c r="B2370" s="7" t="s">
        <v>139</v>
      </c>
      <c r="C2370" s="2" t="s">
        <v>419</v>
      </c>
      <c r="D2370" s="7" t="s">
        <v>222</v>
      </c>
      <c r="E2370" s="4" t="s">
        <v>778</v>
      </c>
      <c r="F2370" s="2">
        <v>49</v>
      </c>
      <c r="G2370" s="2" t="s">
        <v>1399</v>
      </c>
      <c r="H2370" s="2" t="s">
        <v>1400</v>
      </c>
      <c r="I2370" s="4" t="s">
        <v>68</v>
      </c>
      <c r="J2370" s="112">
        <f>IF($H2370&lt;&gt;"Y",0,ROUND(MIN(Dashboard!$R$24,IF(IFERROR(VLOOKUP($B2370,Dashboard!$Q$28:$S$60,2,FALSE),0)&gt;0,IFERROR(VLOOKUP($B2370,Dashboard!$Q$28:$S$60,2,FALSE),0),$Z2370*IF($U2370&lt;&gt;"",ROUND((Dashboard!$R$4/$U2370)*VLOOKUP($I2370,Dashboard!$Q$9:$R$13,2,FALSE)*IF(ISNUMBER(SEARCH("Duals",$B2370)),2,IF(ISNUMBER(SEARCH("Triples",$B2370)),3,IF(ISNUMBER(SEARCH("Quads",$B2370)),4,1))),2),ROUND(VLOOKUP($I2370,Dashboard!$Q$15:$R$20,2,FALSE)*IF($E2370="Red",Dashboard!$R$6,IF($E2370="Gold",Dashboard!$R$7,Dashboard!$R$5))*IF(ISNUMBER(SEARCH("Duals",$B2370)),2,IF(ISNUMBER(SEARCH("Triples",$B2370)),3,IF(ISNUMBER(SEARCH("Quads",$B2370)),4,1))),2))*IF(IFERROR(VLOOKUP($B2370,Dashboard!$Q$28:$S$60,3,FALSE),0)&gt;0,VLOOKUP($B2370,Dashboard!$Q$28:$S$60,3,FALSE),1))),0))</f>
        <v>49</v>
      </c>
      <c r="K2370" s="2" t="str">
        <f>IF(Characters!L3="","",Characters!L3)</f>
        <v/>
      </c>
      <c r="L2370" s="2">
        <f t="shared" ref="L2370:L2433" si="481">IF(AND($K2370&lt;&gt;"",LEFT($K2370,1)&lt;&gt;"Y"),1,0)</f>
        <v>0</v>
      </c>
      <c r="M2370" s="2">
        <f t="shared" ref="M2370:M2433" si="482">IF(LEFT($K2370,1)="Y",1,0)</f>
        <v>0</v>
      </c>
      <c r="N2370" s="2">
        <f t="shared" ref="N2370:N2433" si="483">$L2370+$M2370</f>
        <v>0</v>
      </c>
      <c r="O2370" s="2">
        <f t="shared" ref="O2370:O2433" si="484">IF($H2370="Y",1-$N2370,0)</f>
        <v>1</v>
      </c>
      <c r="P2370" s="112">
        <f t="shared" ref="P2370:P2433" si="485">IF($L2370=1,$J2370,0)</f>
        <v>0</v>
      </c>
      <c r="Q2370" s="112">
        <f t="shared" ref="Q2370:Q2433" si="486">IF($M2370=1,$J2370,0)</f>
        <v>0</v>
      </c>
      <c r="R2370" s="53"/>
      <c r="S2370" s="53" t="str">
        <f t="shared" ref="S2370:S2433" si="487">IF($A2370="","",$A2370&amp;"|"&amp;$B2370&amp;"|"&amp;$C2370&amp;"|"&amp;$E2370)</f>
        <v>Autos - Singles|Characters Auto Compound V Parallel|C-2|Compound V</v>
      </c>
      <c r="T2370" s="57" t="str">
        <f>IF($S2370="","",IFERROR(VLOOKUP($S2370,'Pop Estimates (Non-#d)'!$N$2:$O$500,2,FALSE),""))</f>
        <v/>
      </c>
      <c r="U2370" s="57">
        <f t="shared" ref="U2370:U2433" si="488">IF($A2370="","",IF($F2370&lt;&gt;"",$F2370,$T2370))</f>
        <v>49</v>
      </c>
      <c r="V2370" s="53" t="str">
        <f t="shared" ref="V2370:V2433" si="489">IF($A2370="","",IF(ISNUMBER(SEARCH(" as ",$D2370)),MID($D2370,SEARCH(" as ",$D2370)+4,255),IF(ISNUMBER(SEARCH("/",$D2370)),LEFT($D2370,FIND("/",$D2370&amp;"/")-1),"")))</f>
        <v>Homelander</v>
      </c>
      <c r="W2370" s="53" t="str">
        <f t="shared" ref="W2370:W2433" si="490">IF($V2370="","",TRIM(IFERROR(MID($V2370,SEARCH("(", $V2370)+1,SEARCH(")",$V2370)-SEARCH("(", $V2370)-1),$V2370)))</f>
        <v>Homelander</v>
      </c>
      <c r="X2370" s="53" t="str">
        <f t="shared" ref="X2370:X2433" si="491">IF($W2370="","",TRIM(LEFT($W2370&amp;"""",FIND("""",$W2370&amp;"""")-1)))</f>
        <v>Homelander</v>
      </c>
      <c r="Y2370" s="57">
        <f>IF($X2370="","",IFERROR(VLOOKUP($X2370,'Char Popularity'!$A$2:$C$500,2,FALSE),""))</f>
        <v>5</v>
      </c>
      <c r="Z2370" s="56">
        <f>IF($X2370="",1,IFERROR(VLOOKUP($X2370,'Char Popularity'!$A$2:$C$500,3,FALSE),1))</f>
        <v>1.2</v>
      </c>
      <c r="AA2370" s="62">
        <f>IF($H2370&lt;&gt;"Y",0,(IF($F2370&lt;&gt;"",ROUND(Dashboard!$R$4/$F2370,1),IF(AND($I2370="Base",$E2370="Base"),Dashboard!$R$5,IF(AND($I2370="Base",$E2370="Red"),Dashboard!$R$6,IF(AND($I2370="Base",$E2370="Gold"),Dashboard!$R$7,VLOOKUP($I2370,Dashboard!$Q$16:$R$21,2,FALSE)))))*VLOOKUP($I2370,Dashboard!$Q$9:$R$13,2,FALSE)*IF(AND($I2370="Auto",$F2370="",OR($B2370="Autographs Duals",$B2370="Autographs Triples",$B2370="Autographs Quads",$B2370="Autographs Quads (Inscribed)")),IF($B2370="Autographs Duals",2,IF($B2370="Autographs Triples",3,4)),1)))</f>
        <v>40.799999999999997</v>
      </c>
      <c r="AB2370" s="62">
        <f t="shared" ref="AB2370:AB2433" si="492">IF($L2370=1,$AA2370,0)</f>
        <v>0</v>
      </c>
      <c r="AC2370" s="62">
        <f t="shared" ref="AC2370:AC2433" si="493">IF($M2370=1,$AA2370,0)</f>
        <v>0</v>
      </c>
    </row>
    <row r="2371" spans="1:29" ht="30" customHeight="1" x14ac:dyDescent="0.25">
      <c r="A2371" s="4" t="s">
        <v>37</v>
      </c>
      <c r="B2371" s="7" t="s">
        <v>139</v>
      </c>
      <c r="C2371" s="2" t="s">
        <v>428</v>
      </c>
      <c r="D2371" s="7" t="s">
        <v>248</v>
      </c>
      <c r="E2371" s="4" t="s">
        <v>778</v>
      </c>
      <c r="F2371" s="2">
        <v>49</v>
      </c>
      <c r="G2371" s="2" t="s">
        <v>1399</v>
      </c>
      <c r="H2371" s="2" t="s">
        <v>1400</v>
      </c>
      <c r="I2371" s="4" t="s">
        <v>68</v>
      </c>
      <c r="J2371" s="112">
        <f>IF($H2371&lt;&gt;"Y",0,ROUND(MIN(Dashboard!$R$24,IF(IFERROR(VLOOKUP($B2371,Dashboard!$Q$28:$S$60,2,FALSE),0)&gt;0,IFERROR(VLOOKUP($B2371,Dashboard!$Q$28:$S$60,2,FALSE),0),$Z2371*IF($U2371&lt;&gt;"",ROUND((Dashboard!$R$4/$U2371)*VLOOKUP($I2371,Dashboard!$Q$9:$R$13,2,FALSE)*IF(ISNUMBER(SEARCH("Duals",$B2371)),2,IF(ISNUMBER(SEARCH("Triples",$B2371)),3,IF(ISNUMBER(SEARCH("Quads",$B2371)),4,1))),2),ROUND(VLOOKUP($I2371,Dashboard!$Q$15:$R$20,2,FALSE)*IF($E2371="Red",Dashboard!$R$6,IF($E2371="Gold",Dashboard!$R$7,Dashboard!$R$5))*IF(ISNUMBER(SEARCH("Duals",$B2371)),2,IF(ISNUMBER(SEARCH("Triples",$B2371)),3,IF(ISNUMBER(SEARCH("Quads",$B2371)),4,1))),2))*IF(IFERROR(VLOOKUP($B2371,Dashboard!$Q$28:$S$60,3,FALSE),0)&gt;0,VLOOKUP($B2371,Dashboard!$Q$28:$S$60,3,FALSE),1))),0))</f>
        <v>49</v>
      </c>
      <c r="K2371" s="2" t="str">
        <f>IF(Characters!L5="","",Characters!L5)</f>
        <v/>
      </c>
      <c r="L2371" s="2">
        <f t="shared" si="481"/>
        <v>0</v>
      </c>
      <c r="M2371" s="2">
        <f t="shared" si="482"/>
        <v>0</v>
      </c>
      <c r="N2371" s="2">
        <f t="shared" si="483"/>
        <v>0</v>
      </c>
      <c r="O2371" s="2">
        <f t="shared" si="484"/>
        <v>1</v>
      </c>
      <c r="P2371" s="112">
        <f t="shared" si="485"/>
        <v>0</v>
      </c>
      <c r="Q2371" s="112">
        <f t="shared" si="486"/>
        <v>0</v>
      </c>
      <c r="R2371" s="53"/>
      <c r="S2371" s="53" t="str">
        <f t="shared" si="487"/>
        <v>Autos - Singles|Characters Auto Compound V Parallel|C-4|Compound V</v>
      </c>
      <c r="T2371" s="57" t="str">
        <f>IF($S2371="","",IFERROR(VLOOKUP($S2371,'Pop Estimates (Non-#d)'!$N$2:$O$500,2,FALSE),""))</f>
        <v/>
      </c>
      <c r="U2371" s="57">
        <f t="shared" si="488"/>
        <v>49</v>
      </c>
      <c r="V2371" s="53" t="str">
        <f t="shared" si="489"/>
        <v>Starlight</v>
      </c>
      <c r="W2371" s="53" t="str">
        <f t="shared" si="490"/>
        <v>Starlight</v>
      </c>
      <c r="X2371" s="53" t="str">
        <f t="shared" si="491"/>
        <v>Starlight</v>
      </c>
      <c r="Y2371" s="57">
        <f>IF($X2371="","",IFERROR(VLOOKUP($X2371,'Char Popularity'!$A$2:$C$500,2,FALSE),""))</f>
        <v>5</v>
      </c>
      <c r="Z2371" s="56">
        <f>IF($X2371="",1,IFERROR(VLOOKUP($X2371,'Char Popularity'!$A$2:$C$500,3,FALSE),1))</f>
        <v>1.2</v>
      </c>
      <c r="AA2371" s="62">
        <f>IF($H2371&lt;&gt;"Y",0,(IF($F2371&lt;&gt;"",ROUND(Dashboard!$R$4/$F2371,1),IF(AND($I2371="Base",$E2371="Base"),Dashboard!$R$5,IF(AND($I2371="Base",$E2371="Red"),Dashboard!$R$6,IF(AND($I2371="Base",$E2371="Gold"),Dashboard!$R$7,VLOOKUP($I2371,Dashboard!$Q$16:$R$21,2,FALSE)))))*VLOOKUP($I2371,Dashboard!$Q$9:$R$13,2,FALSE)*IF(AND($I2371="Auto",$F2371="",OR($B2371="Autographs Duals",$B2371="Autographs Triples",$B2371="Autographs Quads",$B2371="Autographs Quads (Inscribed)")),IF($B2371="Autographs Duals",2,IF($B2371="Autographs Triples",3,4)),1)))</f>
        <v>40.799999999999997</v>
      </c>
      <c r="AB2371" s="62">
        <f t="shared" si="492"/>
        <v>0</v>
      </c>
      <c r="AC2371" s="62">
        <f t="shared" si="493"/>
        <v>0</v>
      </c>
    </row>
    <row r="2372" spans="1:29" ht="30" customHeight="1" x14ac:dyDescent="0.25">
      <c r="A2372" s="4" t="s">
        <v>37</v>
      </c>
      <c r="B2372" s="7" t="s">
        <v>139</v>
      </c>
      <c r="C2372" s="2" t="s">
        <v>434</v>
      </c>
      <c r="D2372" s="7" t="s">
        <v>267</v>
      </c>
      <c r="E2372" s="4" t="s">
        <v>778</v>
      </c>
      <c r="F2372" s="2">
        <v>49</v>
      </c>
      <c r="G2372" s="2" t="s">
        <v>1399</v>
      </c>
      <c r="H2372" s="2" t="s">
        <v>1400</v>
      </c>
      <c r="I2372" s="4" t="s">
        <v>68</v>
      </c>
      <c r="J2372" s="112">
        <f>IF($H2372&lt;&gt;"Y",0,ROUND(MIN(Dashboard!$R$24,IF(IFERROR(VLOOKUP($B2372,Dashboard!$Q$28:$S$60,2,FALSE),0)&gt;0,IFERROR(VLOOKUP($B2372,Dashboard!$Q$28:$S$60,2,FALSE),0),$Z2372*IF($U2372&lt;&gt;"",ROUND((Dashboard!$R$4/$U2372)*VLOOKUP($I2372,Dashboard!$Q$9:$R$13,2,FALSE)*IF(ISNUMBER(SEARCH("Duals",$B2372)),2,IF(ISNUMBER(SEARCH("Triples",$B2372)),3,IF(ISNUMBER(SEARCH("Quads",$B2372)),4,1))),2),ROUND(VLOOKUP($I2372,Dashboard!$Q$15:$R$20,2,FALSE)*IF($E2372="Red",Dashboard!$R$6,IF($E2372="Gold",Dashboard!$R$7,Dashboard!$R$5))*IF(ISNUMBER(SEARCH("Duals",$B2372)),2,IF(ISNUMBER(SEARCH("Triples",$B2372)),3,IF(ISNUMBER(SEARCH("Quads",$B2372)),4,1))),2))*IF(IFERROR(VLOOKUP($B2372,Dashboard!$Q$28:$S$60,3,FALSE),0)&gt;0,VLOOKUP($B2372,Dashboard!$Q$28:$S$60,3,FALSE),1))),0))</f>
        <v>45</v>
      </c>
      <c r="K2372" s="2" t="str">
        <f>IF(Characters!L6="","",Characters!L6)</f>
        <v/>
      </c>
      <c r="L2372" s="2">
        <f t="shared" si="481"/>
        <v>0</v>
      </c>
      <c r="M2372" s="2">
        <f t="shared" si="482"/>
        <v>0</v>
      </c>
      <c r="N2372" s="2">
        <f t="shared" si="483"/>
        <v>0</v>
      </c>
      <c r="O2372" s="2">
        <f t="shared" si="484"/>
        <v>1</v>
      </c>
      <c r="P2372" s="112">
        <f t="shared" si="485"/>
        <v>0</v>
      </c>
      <c r="Q2372" s="112">
        <f t="shared" si="486"/>
        <v>0</v>
      </c>
      <c r="R2372" s="53"/>
      <c r="S2372" s="53" t="str">
        <f t="shared" si="487"/>
        <v>Autos - Singles|Characters Auto Compound V Parallel|C-5|Compound V</v>
      </c>
      <c r="T2372" s="57" t="str">
        <f>IF($S2372="","",IFERROR(VLOOKUP($S2372,'Pop Estimates (Non-#d)'!$N$2:$O$500,2,FALSE),""))</f>
        <v/>
      </c>
      <c r="U2372" s="57">
        <f t="shared" si="488"/>
        <v>49</v>
      </c>
      <c r="V2372" s="53" t="str">
        <f t="shared" si="489"/>
        <v>A-Train</v>
      </c>
      <c r="W2372" s="53" t="str">
        <f t="shared" si="490"/>
        <v>A-Train</v>
      </c>
      <c r="X2372" s="53" t="str">
        <f t="shared" si="491"/>
        <v>A-Train</v>
      </c>
      <c r="Y2372" s="57">
        <f>IF($X2372="","",IFERROR(VLOOKUP($X2372,'Char Popularity'!$A$2:$C$500,2,FALSE),""))</f>
        <v>4</v>
      </c>
      <c r="Z2372" s="56">
        <f>IF($X2372="",1,IFERROR(VLOOKUP($X2372,'Char Popularity'!$A$2:$C$500,3,FALSE),1))</f>
        <v>1.1000000000000001</v>
      </c>
      <c r="AA2372" s="62">
        <f>IF($H2372&lt;&gt;"Y",0,(IF($F2372&lt;&gt;"",ROUND(Dashboard!$R$4/$F2372,1),IF(AND($I2372="Base",$E2372="Base"),Dashboard!$R$5,IF(AND($I2372="Base",$E2372="Red"),Dashboard!$R$6,IF(AND($I2372="Base",$E2372="Gold"),Dashboard!$R$7,VLOOKUP($I2372,Dashboard!$Q$16:$R$21,2,FALSE)))))*VLOOKUP($I2372,Dashboard!$Q$9:$R$13,2,FALSE)*IF(AND($I2372="Auto",$F2372="",OR($B2372="Autographs Duals",$B2372="Autographs Triples",$B2372="Autographs Quads",$B2372="Autographs Quads (Inscribed)")),IF($B2372="Autographs Duals",2,IF($B2372="Autographs Triples",3,4)),1)))</f>
        <v>40.799999999999997</v>
      </c>
      <c r="AB2372" s="62">
        <f t="shared" si="492"/>
        <v>0</v>
      </c>
      <c r="AC2372" s="62">
        <f t="shared" si="493"/>
        <v>0</v>
      </c>
    </row>
    <row r="2373" spans="1:29" ht="30" customHeight="1" x14ac:dyDescent="0.25">
      <c r="A2373" s="4" t="s">
        <v>37</v>
      </c>
      <c r="B2373" s="7" t="s">
        <v>139</v>
      </c>
      <c r="C2373" s="2" t="s">
        <v>435</v>
      </c>
      <c r="D2373" s="7" t="s">
        <v>250</v>
      </c>
      <c r="E2373" s="4" t="s">
        <v>778</v>
      </c>
      <c r="F2373" s="2">
        <v>49</v>
      </c>
      <c r="G2373" s="2" t="s">
        <v>1399</v>
      </c>
      <c r="H2373" s="2" t="s">
        <v>1400</v>
      </c>
      <c r="I2373" s="4" t="s">
        <v>68</v>
      </c>
      <c r="J2373" s="112">
        <f>IF($H2373&lt;&gt;"Y",0,ROUND(MIN(Dashboard!$R$24,IF(IFERROR(VLOOKUP($B2373,Dashboard!$Q$28:$S$60,2,FALSE),0)&gt;0,IFERROR(VLOOKUP($B2373,Dashboard!$Q$28:$S$60,2,FALSE),0),$Z2373*IF($U2373&lt;&gt;"",ROUND((Dashboard!$R$4/$U2373)*VLOOKUP($I2373,Dashboard!$Q$9:$R$13,2,FALSE)*IF(ISNUMBER(SEARCH("Duals",$B2373)),2,IF(ISNUMBER(SEARCH("Triples",$B2373)),3,IF(ISNUMBER(SEARCH("Quads",$B2373)),4,1))),2),ROUND(VLOOKUP($I2373,Dashboard!$Q$15:$R$20,2,FALSE)*IF($E2373="Red",Dashboard!$R$6,IF($E2373="Gold",Dashboard!$R$7,Dashboard!$R$5))*IF(ISNUMBER(SEARCH("Duals",$B2373)),2,IF(ISNUMBER(SEARCH("Triples",$B2373)),3,IF(ISNUMBER(SEARCH("Quads",$B2373)),4,1))),2))*IF(IFERROR(VLOOKUP($B2373,Dashboard!$Q$28:$S$60,3,FALSE),0)&gt;0,VLOOKUP($B2373,Dashboard!$Q$28:$S$60,3,FALSE),1))),0))</f>
        <v>41</v>
      </c>
      <c r="K2373" s="2" t="str">
        <f>IF(Characters!L7="","",Characters!L7)</f>
        <v>V 18/49</v>
      </c>
      <c r="L2373" s="2">
        <f t="shared" si="481"/>
        <v>1</v>
      </c>
      <c r="M2373" s="2">
        <f t="shared" si="482"/>
        <v>0</v>
      </c>
      <c r="N2373" s="2">
        <f t="shared" si="483"/>
        <v>1</v>
      </c>
      <c r="O2373" s="2">
        <f t="shared" si="484"/>
        <v>0</v>
      </c>
      <c r="P2373" s="112">
        <f t="shared" si="485"/>
        <v>41</v>
      </c>
      <c r="Q2373" s="112">
        <f t="shared" si="486"/>
        <v>0</v>
      </c>
      <c r="R2373" s="53"/>
      <c r="S2373" s="53" t="str">
        <f t="shared" si="487"/>
        <v>Autos - Singles|Characters Auto Compound V Parallel|C-6|Compound V</v>
      </c>
      <c r="T2373" s="57" t="str">
        <f>IF($S2373="","",IFERROR(VLOOKUP($S2373,'Pop Estimates (Non-#d)'!$N$2:$O$500,2,FALSE),""))</f>
        <v/>
      </c>
      <c r="U2373" s="57">
        <f t="shared" si="488"/>
        <v>49</v>
      </c>
      <c r="V2373" s="53" t="str">
        <f t="shared" si="489"/>
        <v>Madelyn Stillwell</v>
      </c>
      <c r="W2373" s="53" t="str">
        <f t="shared" si="490"/>
        <v>Madelyn Stillwell</v>
      </c>
      <c r="X2373" s="53" t="str">
        <f t="shared" si="491"/>
        <v>Madelyn Stillwell</v>
      </c>
      <c r="Y2373" s="57">
        <f>IF($X2373="","",IFERROR(VLOOKUP($X2373,'Char Popularity'!$A$2:$C$500,2,FALSE),""))</f>
        <v>3</v>
      </c>
      <c r="Z2373" s="56">
        <f>IF($X2373="",1,IFERROR(VLOOKUP($X2373,'Char Popularity'!$A$2:$C$500,3,FALSE),1))</f>
        <v>1</v>
      </c>
      <c r="AA2373" s="62">
        <f>IF($H2373&lt;&gt;"Y",0,(IF($F2373&lt;&gt;"",ROUND(Dashboard!$R$4/$F2373,1),IF(AND($I2373="Base",$E2373="Base"),Dashboard!$R$5,IF(AND($I2373="Base",$E2373="Red"),Dashboard!$R$6,IF(AND($I2373="Base",$E2373="Gold"),Dashboard!$R$7,VLOOKUP($I2373,Dashboard!$Q$16:$R$21,2,FALSE)))))*VLOOKUP($I2373,Dashboard!$Q$9:$R$13,2,FALSE)*IF(AND($I2373="Auto",$F2373="",OR($B2373="Autographs Duals",$B2373="Autographs Triples",$B2373="Autographs Quads",$B2373="Autographs Quads (Inscribed)")),IF($B2373="Autographs Duals",2,IF($B2373="Autographs Triples",3,4)),1)))</f>
        <v>40.799999999999997</v>
      </c>
      <c r="AB2373" s="62">
        <f t="shared" si="492"/>
        <v>40.799999999999997</v>
      </c>
      <c r="AC2373" s="62">
        <f t="shared" si="493"/>
        <v>0</v>
      </c>
    </row>
    <row r="2374" spans="1:29" ht="30" customHeight="1" x14ac:dyDescent="0.25">
      <c r="A2374" s="4" t="s">
        <v>37</v>
      </c>
      <c r="B2374" s="7" t="s">
        <v>139</v>
      </c>
      <c r="C2374" s="2" t="s">
        <v>436</v>
      </c>
      <c r="D2374" s="7" t="s">
        <v>230</v>
      </c>
      <c r="E2374" s="4" t="s">
        <v>778</v>
      </c>
      <c r="F2374" s="2">
        <v>49</v>
      </c>
      <c r="G2374" s="2" t="s">
        <v>1399</v>
      </c>
      <c r="H2374" s="2" t="s">
        <v>1400</v>
      </c>
      <c r="I2374" s="4" t="s">
        <v>68</v>
      </c>
      <c r="J2374" s="112">
        <f>IF($H2374&lt;&gt;"Y",0,ROUND(MIN(Dashboard!$R$24,IF(IFERROR(VLOOKUP($B2374,Dashboard!$Q$28:$S$60,2,FALSE),0)&gt;0,IFERROR(VLOOKUP($B2374,Dashboard!$Q$28:$S$60,2,FALSE),0),$Z2374*IF($U2374&lt;&gt;"",ROUND((Dashboard!$R$4/$U2374)*VLOOKUP($I2374,Dashboard!$Q$9:$R$13,2,FALSE)*IF(ISNUMBER(SEARCH("Duals",$B2374)),2,IF(ISNUMBER(SEARCH("Triples",$B2374)),3,IF(ISNUMBER(SEARCH("Quads",$B2374)),4,1))),2),ROUND(VLOOKUP($I2374,Dashboard!$Q$15:$R$20,2,FALSE)*IF($E2374="Red",Dashboard!$R$6,IF($E2374="Gold",Dashboard!$R$7,Dashboard!$R$5))*IF(ISNUMBER(SEARCH("Duals",$B2374)),2,IF(ISNUMBER(SEARCH("Triples",$B2374)),3,IF(ISNUMBER(SEARCH("Quads",$B2374)),4,1))),2))*IF(IFERROR(VLOOKUP($B2374,Dashboard!$Q$28:$S$60,3,FALSE),0)&gt;0,VLOOKUP($B2374,Dashboard!$Q$28:$S$60,3,FALSE),1))),0))</f>
        <v>45</v>
      </c>
      <c r="K2374" s="2" t="str">
        <f>IF(Characters!L8="","",Characters!L8)</f>
        <v/>
      </c>
      <c r="L2374" s="2">
        <f t="shared" si="481"/>
        <v>0</v>
      </c>
      <c r="M2374" s="2">
        <f t="shared" si="482"/>
        <v>0</v>
      </c>
      <c r="N2374" s="2">
        <f t="shared" si="483"/>
        <v>0</v>
      </c>
      <c r="O2374" s="2">
        <f t="shared" si="484"/>
        <v>1</v>
      </c>
      <c r="P2374" s="112">
        <f t="shared" si="485"/>
        <v>0</v>
      </c>
      <c r="Q2374" s="112">
        <f t="shared" si="486"/>
        <v>0</v>
      </c>
      <c r="R2374" s="53"/>
      <c r="S2374" s="53" t="str">
        <f t="shared" si="487"/>
        <v>Autos - Singles|Characters Auto Compound V Parallel|C-7|Compound V</v>
      </c>
      <c r="T2374" s="57" t="str">
        <f>IF($S2374="","",IFERROR(VLOOKUP($S2374,'Pop Estimates (Non-#d)'!$N$2:$O$500,2,FALSE),""))</f>
        <v/>
      </c>
      <c r="U2374" s="57">
        <f t="shared" si="488"/>
        <v>49</v>
      </c>
      <c r="V2374" s="53" t="str">
        <f t="shared" si="489"/>
        <v>The Deep</v>
      </c>
      <c r="W2374" s="53" t="str">
        <f t="shared" si="490"/>
        <v>The Deep</v>
      </c>
      <c r="X2374" s="53" t="str">
        <f t="shared" si="491"/>
        <v>The Deep</v>
      </c>
      <c r="Y2374" s="57">
        <f>IF($X2374="","",IFERROR(VLOOKUP($X2374,'Char Popularity'!$A$2:$C$500,2,FALSE),""))</f>
        <v>4</v>
      </c>
      <c r="Z2374" s="56">
        <f>IF($X2374="",1,IFERROR(VLOOKUP($X2374,'Char Popularity'!$A$2:$C$500,3,FALSE),1))</f>
        <v>1.1000000000000001</v>
      </c>
      <c r="AA2374" s="62">
        <f>IF($H2374&lt;&gt;"Y",0,(IF($F2374&lt;&gt;"",ROUND(Dashboard!$R$4/$F2374,1),IF(AND($I2374="Base",$E2374="Base"),Dashboard!$R$5,IF(AND($I2374="Base",$E2374="Red"),Dashboard!$R$6,IF(AND($I2374="Base",$E2374="Gold"),Dashboard!$R$7,VLOOKUP($I2374,Dashboard!$Q$16:$R$21,2,FALSE)))))*VLOOKUP($I2374,Dashboard!$Q$9:$R$13,2,FALSE)*IF(AND($I2374="Auto",$F2374="",OR($B2374="Autographs Duals",$B2374="Autographs Triples",$B2374="Autographs Quads",$B2374="Autographs Quads (Inscribed)")),IF($B2374="Autographs Duals",2,IF($B2374="Autographs Triples",3,4)),1)))</f>
        <v>40.799999999999997</v>
      </c>
      <c r="AB2374" s="62">
        <f t="shared" si="492"/>
        <v>0</v>
      </c>
      <c r="AC2374" s="62">
        <f t="shared" si="493"/>
        <v>0</v>
      </c>
    </row>
    <row r="2375" spans="1:29" ht="30" customHeight="1" x14ac:dyDescent="0.25">
      <c r="A2375" s="4" t="s">
        <v>37</v>
      </c>
      <c r="B2375" s="7" t="s">
        <v>139</v>
      </c>
      <c r="C2375" s="2" t="s">
        <v>437</v>
      </c>
      <c r="D2375" s="7" t="s">
        <v>276</v>
      </c>
      <c r="E2375" s="4" t="s">
        <v>778</v>
      </c>
      <c r="F2375" s="2">
        <v>49</v>
      </c>
      <c r="G2375" s="2" t="s">
        <v>1399</v>
      </c>
      <c r="H2375" s="2" t="s">
        <v>1400</v>
      </c>
      <c r="I2375" s="4" t="s">
        <v>68</v>
      </c>
      <c r="J2375" s="112">
        <f>IF($H2375&lt;&gt;"Y",0,ROUND(MIN(Dashboard!$R$24,IF(IFERROR(VLOOKUP($B2375,Dashboard!$Q$28:$S$60,2,FALSE),0)&gt;0,IFERROR(VLOOKUP($B2375,Dashboard!$Q$28:$S$60,2,FALSE),0),$Z2375*IF($U2375&lt;&gt;"",ROUND((Dashboard!$R$4/$U2375)*VLOOKUP($I2375,Dashboard!$Q$9:$R$13,2,FALSE)*IF(ISNUMBER(SEARCH("Duals",$B2375)),2,IF(ISNUMBER(SEARCH("Triples",$B2375)),3,IF(ISNUMBER(SEARCH("Quads",$B2375)),4,1))),2),ROUND(VLOOKUP($I2375,Dashboard!$Q$15:$R$20,2,FALSE)*IF($E2375="Red",Dashboard!$R$6,IF($E2375="Gold",Dashboard!$R$7,Dashboard!$R$5))*IF(ISNUMBER(SEARCH("Duals",$B2375)),2,IF(ISNUMBER(SEARCH("Triples",$B2375)),3,IF(ISNUMBER(SEARCH("Quads",$B2375)),4,1))),2))*IF(IFERROR(VLOOKUP($B2375,Dashboard!$Q$28:$S$60,3,FALSE),0)&gt;0,VLOOKUP($B2375,Dashboard!$Q$28:$S$60,3,FALSE),1))),0))</f>
        <v>45</v>
      </c>
      <c r="K2375" s="2" t="str">
        <f>IF(Characters!L9="","",Characters!L9)</f>
        <v>V 14/49</v>
      </c>
      <c r="L2375" s="2">
        <f t="shared" si="481"/>
        <v>1</v>
      </c>
      <c r="M2375" s="2">
        <f t="shared" si="482"/>
        <v>0</v>
      </c>
      <c r="N2375" s="2">
        <f t="shared" si="483"/>
        <v>1</v>
      </c>
      <c r="O2375" s="2">
        <f t="shared" si="484"/>
        <v>0</v>
      </c>
      <c r="P2375" s="112">
        <f t="shared" si="485"/>
        <v>45</v>
      </c>
      <c r="Q2375" s="112">
        <f t="shared" si="486"/>
        <v>0</v>
      </c>
      <c r="R2375" s="53"/>
      <c r="S2375" s="53" t="str">
        <f t="shared" si="487"/>
        <v>Autos - Singles|Characters Auto Compound V Parallel|C-8|Compound V</v>
      </c>
      <c r="T2375" s="57" t="str">
        <f>IF($S2375="","",IFERROR(VLOOKUP($S2375,'Pop Estimates (Non-#d)'!$N$2:$O$500,2,FALSE),""))</f>
        <v/>
      </c>
      <c r="U2375" s="57">
        <f t="shared" si="488"/>
        <v>49</v>
      </c>
      <c r="V2375" s="53" t="str">
        <f t="shared" si="489"/>
        <v>Mother's Milk</v>
      </c>
      <c r="W2375" s="53" t="str">
        <f t="shared" si="490"/>
        <v>Mother's Milk</v>
      </c>
      <c r="X2375" s="53" t="str">
        <f t="shared" si="491"/>
        <v>Mother's Milk</v>
      </c>
      <c r="Y2375" s="57">
        <f>IF($X2375="","",IFERROR(VLOOKUP($X2375,'Char Popularity'!$A$2:$C$500,2,FALSE),""))</f>
        <v>4</v>
      </c>
      <c r="Z2375" s="56">
        <f>IF($X2375="",1,IFERROR(VLOOKUP($X2375,'Char Popularity'!$A$2:$C$500,3,FALSE),1))</f>
        <v>1.1000000000000001</v>
      </c>
      <c r="AA2375" s="62">
        <f>IF($H2375&lt;&gt;"Y",0,(IF($F2375&lt;&gt;"",ROUND(Dashboard!$R$4/$F2375,1),IF(AND($I2375="Base",$E2375="Base"),Dashboard!$R$5,IF(AND($I2375="Base",$E2375="Red"),Dashboard!$R$6,IF(AND($I2375="Base",$E2375="Gold"),Dashboard!$R$7,VLOOKUP($I2375,Dashboard!$Q$16:$R$21,2,FALSE)))))*VLOOKUP($I2375,Dashboard!$Q$9:$R$13,2,FALSE)*IF(AND($I2375="Auto",$F2375="",OR($B2375="Autographs Duals",$B2375="Autographs Triples",$B2375="Autographs Quads",$B2375="Autographs Quads (Inscribed)")),IF($B2375="Autographs Duals",2,IF($B2375="Autographs Triples",3,4)),1)))</f>
        <v>40.799999999999997</v>
      </c>
      <c r="AB2375" s="62">
        <f t="shared" si="492"/>
        <v>40.799999999999997</v>
      </c>
      <c r="AC2375" s="62">
        <f t="shared" si="493"/>
        <v>0</v>
      </c>
    </row>
    <row r="2376" spans="1:29" ht="30" customHeight="1" x14ac:dyDescent="0.25">
      <c r="A2376" s="4" t="s">
        <v>37</v>
      </c>
      <c r="B2376" s="7" t="s">
        <v>139</v>
      </c>
      <c r="C2376" s="2" t="s">
        <v>438</v>
      </c>
      <c r="D2376" s="7" t="s">
        <v>244</v>
      </c>
      <c r="E2376" s="4" t="s">
        <v>778</v>
      </c>
      <c r="F2376" s="2">
        <v>49</v>
      </c>
      <c r="G2376" s="2" t="s">
        <v>1399</v>
      </c>
      <c r="H2376" s="2" t="s">
        <v>1400</v>
      </c>
      <c r="I2376" s="4" t="s">
        <v>68</v>
      </c>
      <c r="J2376" s="112">
        <f>IF($H2376&lt;&gt;"Y",0,ROUND(MIN(Dashboard!$R$24,IF(IFERROR(VLOOKUP($B2376,Dashboard!$Q$28:$S$60,2,FALSE),0)&gt;0,IFERROR(VLOOKUP($B2376,Dashboard!$Q$28:$S$60,2,FALSE),0),$Z2376*IF($U2376&lt;&gt;"",ROUND((Dashboard!$R$4/$U2376)*VLOOKUP($I2376,Dashboard!$Q$9:$R$13,2,FALSE)*IF(ISNUMBER(SEARCH("Duals",$B2376)),2,IF(ISNUMBER(SEARCH("Triples",$B2376)),3,IF(ISNUMBER(SEARCH("Quads",$B2376)),4,1))),2),ROUND(VLOOKUP($I2376,Dashboard!$Q$15:$R$20,2,FALSE)*IF($E2376="Red",Dashboard!$R$6,IF($E2376="Gold",Dashboard!$R$7,Dashboard!$R$5))*IF(ISNUMBER(SEARCH("Duals",$B2376)),2,IF(ISNUMBER(SEARCH("Triples",$B2376)),3,IF(ISNUMBER(SEARCH("Quads",$B2376)),4,1))),2))*IF(IFERROR(VLOOKUP($B2376,Dashboard!$Q$28:$S$60,3,FALSE),0)&gt;0,VLOOKUP($B2376,Dashboard!$Q$28:$S$60,3,FALSE),1))),0))</f>
        <v>45</v>
      </c>
      <c r="K2376" s="2" t="str">
        <f>IF(Characters!L10="","",Characters!L10)</f>
        <v/>
      </c>
      <c r="L2376" s="2">
        <f t="shared" si="481"/>
        <v>0</v>
      </c>
      <c r="M2376" s="2">
        <f t="shared" si="482"/>
        <v>0</v>
      </c>
      <c r="N2376" s="2">
        <f t="shared" si="483"/>
        <v>0</v>
      </c>
      <c r="O2376" s="2">
        <f t="shared" si="484"/>
        <v>1</v>
      </c>
      <c r="P2376" s="112">
        <f t="shared" si="485"/>
        <v>0</v>
      </c>
      <c r="Q2376" s="112">
        <f t="shared" si="486"/>
        <v>0</v>
      </c>
      <c r="R2376" s="53"/>
      <c r="S2376" s="53" t="str">
        <f t="shared" si="487"/>
        <v>Autos - Singles|Characters Auto Compound V Parallel|C-9|Compound V</v>
      </c>
      <c r="T2376" s="57" t="str">
        <f>IF($S2376="","",IFERROR(VLOOKUP($S2376,'Pop Estimates (Non-#d)'!$N$2:$O$500,2,FALSE),""))</f>
        <v/>
      </c>
      <c r="U2376" s="57">
        <f t="shared" si="488"/>
        <v>49</v>
      </c>
      <c r="V2376" s="53" t="str">
        <f t="shared" si="489"/>
        <v>Queen Maeve</v>
      </c>
      <c r="W2376" s="53" t="str">
        <f t="shared" si="490"/>
        <v>Queen Maeve</v>
      </c>
      <c r="X2376" s="53" t="str">
        <f t="shared" si="491"/>
        <v>Queen Maeve</v>
      </c>
      <c r="Y2376" s="57">
        <f>IF($X2376="","",IFERROR(VLOOKUP($X2376,'Char Popularity'!$A$2:$C$500,2,FALSE),""))</f>
        <v>4</v>
      </c>
      <c r="Z2376" s="56">
        <f>IF($X2376="",1,IFERROR(VLOOKUP($X2376,'Char Popularity'!$A$2:$C$500,3,FALSE),1))</f>
        <v>1.1000000000000001</v>
      </c>
      <c r="AA2376" s="62">
        <f>IF($H2376&lt;&gt;"Y",0,(IF($F2376&lt;&gt;"",ROUND(Dashboard!$R$4/$F2376,1),IF(AND($I2376="Base",$E2376="Base"),Dashboard!$R$5,IF(AND($I2376="Base",$E2376="Red"),Dashboard!$R$6,IF(AND($I2376="Base",$E2376="Gold"),Dashboard!$R$7,VLOOKUP($I2376,Dashboard!$Q$16:$R$21,2,FALSE)))))*VLOOKUP($I2376,Dashboard!$Q$9:$R$13,2,FALSE)*IF(AND($I2376="Auto",$F2376="",OR($B2376="Autographs Duals",$B2376="Autographs Triples",$B2376="Autographs Quads",$B2376="Autographs Quads (Inscribed)")),IF($B2376="Autographs Duals",2,IF($B2376="Autographs Triples",3,4)),1)))</f>
        <v>40.799999999999997</v>
      </c>
      <c r="AB2376" s="62">
        <f t="shared" si="492"/>
        <v>0</v>
      </c>
      <c r="AC2376" s="62">
        <f t="shared" si="493"/>
        <v>0</v>
      </c>
    </row>
    <row r="2377" spans="1:29" ht="30" customHeight="1" x14ac:dyDescent="0.25">
      <c r="A2377" s="4" t="s">
        <v>37</v>
      </c>
      <c r="B2377" s="7" t="s">
        <v>139</v>
      </c>
      <c r="C2377" s="2" t="s">
        <v>410</v>
      </c>
      <c r="D2377" s="7" t="s">
        <v>270</v>
      </c>
      <c r="E2377" s="4" t="s">
        <v>778</v>
      </c>
      <c r="F2377" s="2">
        <v>49</v>
      </c>
      <c r="G2377" s="2" t="s">
        <v>1399</v>
      </c>
      <c r="H2377" s="2" t="s">
        <v>1400</v>
      </c>
      <c r="I2377" s="4" t="s">
        <v>68</v>
      </c>
      <c r="J2377" s="112">
        <f>IF($H2377&lt;&gt;"Y",0,ROUND(MIN(Dashboard!$R$24,IF(IFERROR(VLOOKUP($B2377,Dashboard!$Q$28:$S$60,2,FALSE),0)&gt;0,IFERROR(VLOOKUP($B2377,Dashboard!$Q$28:$S$60,2,FALSE),0),$Z2377*IF($U2377&lt;&gt;"",ROUND((Dashboard!$R$4/$U2377)*VLOOKUP($I2377,Dashboard!$Q$9:$R$13,2,FALSE)*IF(ISNUMBER(SEARCH("Duals",$B2377)),2,IF(ISNUMBER(SEARCH("Triples",$B2377)),3,IF(ISNUMBER(SEARCH("Quads",$B2377)),4,1))),2),ROUND(VLOOKUP($I2377,Dashboard!$Q$15:$R$20,2,FALSE)*IF($E2377="Red",Dashboard!$R$6,IF($E2377="Gold",Dashboard!$R$7,Dashboard!$R$5))*IF(ISNUMBER(SEARCH("Duals",$B2377)),2,IF(ISNUMBER(SEARCH("Triples",$B2377)),3,IF(ISNUMBER(SEARCH("Quads",$B2377)),4,1))),2))*IF(IFERROR(VLOOKUP($B2377,Dashboard!$Q$28:$S$60,3,FALSE),0)&gt;0,VLOOKUP($B2377,Dashboard!$Q$28:$S$60,3,FALSE),1))),0))</f>
        <v>45</v>
      </c>
      <c r="K2377" s="2" t="str">
        <f>IF(Characters!L11="","",Characters!L11)</f>
        <v/>
      </c>
      <c r="L2377" s="2">
        <f t="shared" si="481"/>
        <v>0</v>
      </c>
      <c r="M2377" s="2">
        <f t="shared" si="482"/>
        <v>0</v>
      </c>
      <c r="N2377" s="2">
        <f t="shared" si="483"/>
        <v>0</v>
      </c>
      <c r="O2377" s="2">
        <f t="shared" si="484"/>
        <v>1</v>
      </c>
      <c r="P2377" s="112">
        <f t="shared" si="485"/>
        <v>0</v>
      </c>
      <c r="Q2377" s="112">
        <f t="shared" si="486"/>
        <v>0</v>
      </c>
      <c r="R2377" s="53"/>
      <c r="S2377" s="53" t="str">
        <f t="shared" si="487"/>
        <v>Autos - Singles|Characters Auto Compound V Parallel|C-10|Compound V</v>
      </c>
      <c r="T2377" s="57" t="str">
        <f>IF($S2377="","",IFERROR(VLOOKUP($S2377,'Pop Estimates (Non-#d)'!$N$2:$O$500,2,FALSE),""))</f>
        <v/>
      </c>
      <c r="U2377" s="57">
        <f t="shared" si="488"/>
        <v>49</v>
      </c>
      <c r="V2377" s="53" t="str">
        <f t="shared" si="489"/>
        <v>Kimiko</v>
      </c>
      <c r="W2377" s="53" t="str">
        <f t="shared" si="490"/>
        <v>Kimiko</v>
      </c>
      <c r="X2377" s="53" t="str">
        <f t="shared" si="491"/>
        <v>Kimiko</v>
      </c>
      <c r="Y2377" s="57">
        <f>IF($X2377="","",IFERROR(VLOOKUP($X2377,'Char Popularity'!$A$2:$C$500,2,FALSE),""))</f>
        <v>4</v>
      </c>
      <c r="Z2377" s="56">
        <f>IF($X2377="",1,IFERROR(VLOOKUP($X2377,'Char Popularity'!$A$2:$C$500,3,FALSE),1))</f>
        <v>1.1000000000000001</v>
      </c>
      <c r="AA2377" s="62">
        <f>IF($H2377&lt;&gt;"Y",0,(IF($F2377&lt;&gt;"",ROUND(Dashboard!$R$4/$F2377,1),IF(AND($I2377="Base",$E2377="Base"),Dashboard!$R$5,IF(AND($I2377="Base",$E2377="Red"),Dashboard!$R$6,IF(AND($I2377="Base",$E2377="Gold"),Dashboard!$R$7,VLOOKUP($I2377,Dashboard!$Q$16:$R$21,2,FALSE)))))*VLOOKUP($I2377,Dashboard!$Q$9:$R$13,2,FALSE)*IF(AND($I2377="Auto",$F2377="",OR($B2377="Autographs Duals",$B2377="Autographs Triples",$B2377="Autographs Quads",$B2377="Autographs Quads (Inscribed)")),IF($B2377="Autographs Duals",2,IF($B2377="Autographs Triples",3,4)),1)))</f>
        <v>40.799999999999997</v>
      </c>
      <c r="AB2377" s="62">
        <f t="shared" si="492"/>
        <v>0</v>
      </c>
      <c r="AC2377" s="62">
        <f t="shared" si="493"/>
        <v>0</v>
      </c>
    </row>
    <row r="2378" spans="1:29" ht="30" customHeight="1" x14ac:dyDescent="0.25">
      <c r="A2378" s="4" t="s">
        <v>37</v>
      </c>
      <c r="B2378" s="7" t="s">
        <v>139</v>
      </c>
      <c r="C2378" s="2" t="s">
        <v>411</v>
      </c>
      <c r="D2378" s="7" t="s">
        <v>238</v>
      </c>
      <c r="E2378" s="4" t="s">
        <v>778</v>
      </c>
      <c r="F2378" s="2">
        <v>49</v>
      </c>
      <c r="G2378" s="2" t="s">
        <v>1399</v>
      </c>
      <c r="H2378" s="2" t="s">
        <v>1400</v>
      </c>
      <c r="I2378" s="4" t="s">
        <v>68</v>
      </c>
      <c r="J2378" s="112">
        <f>IF($H2378&lt;&gt;"Y",0,ROUND(MIN(Dashboard!$R$24,IF(IFERROR(VLOOKUP($B2378,Dashboard!$Q$28:$S$60,2,FALSE),0)&gt;0,IFERROR(VLOOKUP($B2378,Dashboard!$Q$28:$S$60,2,FALSE),0),$Z2378*IF($U2378&lt;&gt;"",ROUND((Dashboard!$R$4/$U2378)*VLOOKUP($I2378,Dashboard!$Q$9:$R$13,2,FALSE)*IF(ISNUMBER(SEARCH("Duals",$B2378)),2,IF(ISNUMBER(SEARCH("Triples",$B2378)),3,IF(ISNUMBER(SEARCH("Quads",$B2378)),4,1))),2),ROUND(VLOOKUP($I2378,Dashboard!$Q$15:$R$20,2,FALSE)*IF($E2378="Red",Dashboard!$R$6,IF($E2378="Gold",Dashboard!$R$7,Dashboard!$R$5))*IF(ISNUMBER(SEARCH("Duals",$B2378)),2,IF(ISNUMBER(SEARCH("Triples",$B2378)),3,IF(ISNUMBER(SEARCH("Quads",$B2378)),4,1))),2))*IF(IFERROR(VLOOKUP($B2378,Dashboard!$Q$28:$S$60,3,FALSE),0)&gt;0,VLOOKUP($B2378,Dashboard!$Q$28:$S$60,3,FALSE),1))),0))</f>
        <v>45</v>
      </c>
      <c r="K2378" s="2" t="str">
        <f>IF(Characters!L12="","",Characters!L12)</f>
        <v/>
      </c>
      <c r="L2378" s="2">
        <f t="shared" si="481"/>
        <v>0</v>
      </c>
      <c r="M2378" s="2">
        <f t="shared" si="482"/>
        <v>0</v>
      </c>
      <c r="N2378" s="2">
        <f t="shared" si="483"/>
        <v>0</v>
      </c>
      <c r="O2378" s="2">
        <f t="shared" si="484"/>
        <v>1</v>
      </c>
      <c r="P2378" s="112">
        <f t="shared" si="485"/>
        <v>0</v>
      </c>
      <c r="Q2378" s="112">
        <f t="shared" si="486"/>
        <v>0</v>
      </c>
      <c r="R2378" s="53"/>
      <c r="S2378" s="53" t="str">
        <f t="shared" si="487"/>
        <v>Autos - Singles|Characters Auto Compound V Parallel|C-11|Compound V</v>
      </c>
      <c r="T2378" s="57" t="str">
        <f>IF($S2378="","",IFERROR(VLOOKUP($S2378,'Pop Estimates (Non-#d)'!$N$2:$O$500,2,FALSE),""))</f>
        <v/>
      </c>
      <c r="U2378" s="57">
        <f t="shared" si="488"/>
        <v>49</v>
      </c>
      <c r="V2378" s="53" t="str">
        <f t="shared" si="489"/>
        <v>Frenchie</v>
      </c>
      <c r="W2378" s="53" t="str">
        <f t="shared" si="490"/>
        <v>Frenchie</v>
      </c>
      <c r="X2378" s="53" t="str">
        <f t="shared" si="491"/>
        <v>Frenchie</v>
      </c>
      <c r="Y2378" s="57">
        <f>IF($X2378="","",IFERROR(VLOOKUP($X2378,'Char Popularity'!$A$2:$C$500,2,FALSE),""))</f>
        <v>4</v>
      </c>
      <c r="Z2378" s="56">
        <f>IF($X2378="",1,IFERROR(VLOOKUP($X2378,'Char Popularity'!$A$2:$C$500,3,FALSE),1))</f>
        <v>1.1000000000000001</v>
      </c>
      <c r="AA2378" s="62">
        <f>IF($H2378&lt;&gt;"Y",0,(IF($F2378&lt;&gt;"",ROUND(Dashboard!$R$4/$F2378,1),IF(AND($I2378="Base",$E2378="Base"),Dashboard!$R$5,IF(AND($I2378="Base",$E2378="Red"),Dashboard!$R$6,IF(AND($I2378="Base",$E2378="Gold"),Dashboard!$R$7,VLOOKUP($I2378,Dashboard!$Q$16:$R$21,2,FALSE)))))*VLOOKUP($I2378,Dashboard!$Q$9:$R$13,2,FALSE)*IF(AND($I2378="Auto",$F2378="",OR($B2378="Autographs Duals",$B2378="Autographs Triples",$B2378="Autographs Quads",$B2378="Autographs Quads (Inscribed)")),IF($B2378="Autographs Duals",2,IF($B2378="Autographs Triples",3,4)),1)))</f>
        <v>40.799999999999997</v>
      </c>
      <c r="AB2378" s="62">
        <f t="shared" si="492"/>
        <v>0</v>
      </c>
      <c r="AC2378" s="62">
        <f t="shared" si="493"/>
        <v>0</v>
      </c>
    </row>
    <row r="2379" spans="1:29" ht="30" customHeight="1" x14ac:dyDescent="0.25">
      <c r="A2379" s="4" t="s">
        <v>37</v>
      </c>
      <c r="B2379" s="7" t="s">
        <v>139</v>
      </c>
      <c r="C2379" s="2" t="s">
        <v>412</v>
      </c>
      <c r="D2379" s="7" t="s">
        <v>283</v>
      </c>
      <c r="E2379" s="4" t="s">
        <v>778</v>
      </c>
      <c r="F2379" s="2">
        <v>49</v>
      </c>
      <c r="G2379" s="2" t="s">
        <v>1399</v>
      </c>
      <c r="H2379" s="2" t="s">
        <v>1400</v>
      </c>
      <c r="I2379" s="4" t="s">
        <v>68</v>
      </c>
      <c r="J2379" s="112">
        <f>IF($H2379&lt;&gt;"Y",0,ROUND(MIN(Dashboard!$R$24,IF(IFERROR(VLOOKUP($B2379,Dashboard!$Q$28:$S$60,2,FALSE),0)&gt;0,IFERROR(VLOOKUP($B2379,Dashboard!$Q$28:$S$60,2,FALSE),0),$Z2379*IF($U2379&lt;&gt;"",ROUND((Dashboard!$R$4/$U2379)*VLOOKUP($I2379,Dashboard!$Q$9:$R$13,2,FALSE)*IF(ISNUMBER(SEARCH("Duals",$B2379)),2,IF(ISNUMBER(SEARCH("Triples",$B2379)),3,IF(ISNUMBER(SEARCH("Quads",$B2379)),4,1))),2),ROUND(VLOOKUP($I2379,Dashboard!$Q$15:$R$20,2,FALSE)*IF($E2379="Red",Dashboard!$R$6,IF($E2379="Gold",Dashboard!$R$7,Dashboard!$R$5))*IF(ISNUMBER(SEARCH("Duals",$B2379)),2,IF(ISNUMBER(SEARCH("Triples",$B2379)),3,IF(ISNUMBER(SEARCH("Quads",$B2379)),4,1))),2))*IF(IFERROR(VLOOKUP($B2379,Dashboard!$Q$28:$S$60,3,FALSE),0)&gt;0,VLOOKUP($B2379,Dashboard!$Q$28:$S$60,3,FALSE),1))),0))</f>
        <v>45</v>
      </c>
      <c r="K2379" s="2" t="str">
        <f>IF(Characters!L13="","",Characters!L13)</f>
        <v/>
      </c>
      <c r="L2379" s="2">
        <f t="shared" si="481"/>
        <v>0</v>
      </c>
      <c r="M2379" s="2">
        <f t="shared" si="482"/>
        <v>0</v>
      </c>
      <c r="N2379" s="2">
        <f t="shared" si="483"/>
        <v>0</v>
      </c>
      <c r="O2379" s="2">
        <f t="shared" si="484"/>
        <v>1</v>
      </c>
      <c r="P2379" s="112">
        <f t="shared" si="485"/>
        <v>0</v>
      </c>
      <c r="Q2379" s="112">
        <f t="shared" si="486"/>
        <v>0</v>
      </c>
      <c r="R2379" s="53"/>
      <c r="S2379" s="53" t="str">
        <f t="shared" si="487"/>
        <v>Autos - Singles|Characters Auto Compound V Parallel|C-12|Compound V</v>
      </c>
      <c r="T2379" s="57" t="str">
        <f>IF($S2379="","",IFERROR(VLOOKUP($S2379,'Pop Estimates (Non-#d)'!$N$2:$O$500,2,FALSE),""))</f>
        <v/>
      </c>
      <c r="U2379" s="57">
        <f t="shared" si="488"/>
        <v>49</v>
      </c>
      <c r="V2379" s="53" t="str">
        <f t="shared" si="489"/>
        <v>Black Noir</v>
      </c>
      <c r="W2379" s="53" t="str">
        <f t="shared" si="490"/>
        <v>Black Noir</v>
      </c>
      <c r="X2379" s="53" t="str">
        <f t="shared" si="491"/>
        <v>Black Noir</v>
      </c>
      <c r="Y2379" s="57">
        <f>IF($X2379="","",IFERROR(VLOOKUP($X2379,'Char Popularity'!$A$2:$C$500,2,FALSE),""))</f>
        <v>4</v>
      </c>
      <c r="Z2379" s="56">
        <f>IF($X2379="",1,IFERROR(VLOOKUP($X2379,'Char Popularity'!$A$2:$C$500,3,FALSE),1))</f>
        <v>1.1000000000000001</v>
      </c>
      <c r="AA2379" s="62">
        <f>IF($H2379&lt;&gt;"Y",0,(IF($F2379&lt;&gt;"",ROUND(Dashboard!$R$4/$F2379,1),IF(AND($I2379="Base",$E2379="Base"),Dashboard!$R$5,IF(AND($I2379="Base",$E2379="Red"),Dashboard!$R$6,IF(AND($I2379="Base",$E2379="Gold"),Dashboard!$R$7,VLOOKUP($I2379,Dashboard!$Q$16:$R$21,2,FALSE)))))*VLOOKUP($I2379,Dashboard!$Q$9:$R$13,2,FALSE)*IF(AND($I2379="Auto",$F2379="",OR($B2379="Autographs Duals",$B2379="Autographs Triples",$B2379="Autographs Quads",$B2379="Autographs Quads (Inscribed)")),IF($B2379="Autographs Duals",2,IF($B2379="Autographs Triples",3,4)),1)))</f>
        <v>40.799999999999997</v>
      </c>
      <c r="AB2379" s="62">
        <f t="shared" si="492"/>
        <v>0</v>
      </c>
      <c r="AC2379" s="62">
        <f t="shared" si="493"/>
        <v>0</v>
      </c>
    </row>
    <row r="2380" spans="1:29" ht="30" customHeight="1" x14ac:dyDescent="0.25">
      <c r="A2380" s="4" t="s">
        <v>37</v>
      </c>
      <c r="B2380" s="7" t="s">
        <v>139</v>
      </c>
      <c r="C2380" s="2" t="s">
        <v>413</v>
      </c>
      <c r="D2380" s="7" t="s">
        <v>216</v>
      </c>
      <c r="E2380" s="4" t="s">
        <v>778</v>
      </c>
      <c r="F2380" s="2">
        <v>49</v>
      </c>
      <c r="G2380" s="2" t="s">
        <v>1399</v>
      </c>
      <c r="H2380" s="2" t="s">
        <v>1400</v>
      </c>
      <c r="I2380" s="4" t="s">
        <v>68</v>
      </c>
      <c r="J2380" s="112">
        <f>IF($H2380&lt;&gt;"Y",0,ROUND(MIN(Dashboard!$R$24,IF(IFERROR(VLOOKUP($B2380,Dashboard!$Q$28:$S$60,2,FALSE),0)&gt;0,IFERROR(VLOOKUP($B2380,Dashboard!$Q$28:$S$60,2,FALSE),0),$Z2380*IF($U2380&lt;&gt;"",ROUND((Dashboard!$R$4/$U2380)*VLOOKUP($I2380,Dashboard!$Q$9:$R$13,2,FALSE)*IF(ISNUMBER(SEARCH("Duals",$B2380)),2,IF(ISNUMBER(SEARCH("Triples",$B2380)),3,IF(ISNUMBER(SEARCH("Quads",$B2380)),4,1))),2),ROUND(VLOOKUP($I2380,Dashboard!$Q$15:$R$20,2,FALSE)*IF($E2380="Red",Dashboard!$R$6,IF($E2380="Gold",Dashboard!$R$7,Dashboard!$R$5))*IF(ISNUMBER(SEARCH("Duals",$B2380)),2,IF(ISNUMBER(SEARCH("Triples",$B2380)),3,IF(ISNUMBER(SEARCH("Quads",$B2380)),4,1))),2))*IF(IFERROR(VLOOKUP($B2380,Dashboard!$Q$28:$S$60,3,FALSE),0)&gt;0,VLOOKUP($B2380,Dashboard!$Q$28:$S$60,3,FALSE),1))),0))</f>
        <v>37</v>
      </c>
      <c r="K2380" s="2" t="str">
        <f>IF(Characters!L14="","",Characters!L14)</f>
        <v>C 26/49</v>
      </c>
      <c r="L2380" s="2">
        <f t="shared" si="481"/>
        <v>1</v>
      </c>
      <c r="M2380" s="2">
        <f t="shared" si="482"/>
        <v>0</v>
      </c>
      <c r="N2380" s="2">
        <f t="shared" si="483"/>
        <v>1</v>
      </c>
      <c r="O2380" s="2">
        <f t="shared" si="484"/>
        <v>0</v>
      </c>
      <c r="P2380" s="112">
        <f t="shared" si="485"/>
        <v>37</v>
      </c>
      <c r="Q2380" s="112">
        <f t="shared" si="486"/>
        <v>0</v>
      </c>
      <c r="R2380" s="53"/>
      <c r="S2380" s="53" t="str">
        <f t="shared" si="487"/>
        <v>Autos - Singles|Characters Auto Compound V Parallel|C-13|Compound V</v>
      </c>
      <c r="T2380" s="57" t="str">
        <f>IF($S2380="","",IFERROR(VLOOKUP($S2380,'Pop Estimates (Non-#d)'!$N$2:$O$500,2,FALSE),""))</f>
        <v/>
      </c>
      <c r="U2380" s="57">
        <f t="shared" si="488"/>
        <v>49</v>
      </c>
      <c r="V2380" s="53" t="str">
        <f t="shared" si="489"/>
        <v>Translucent</v>
      </c>
      <c r="W2380" s="53" t="str">
        <f t="shared" si="490"/>
        <v>Translucent</v>
      </c>
      <c r="X2380" s="53" t="str">
        <f t="shared" si="491"/>
        <v>Translucent</v>
      </c>
      <c r="Y2380" s="57">
        <f>IF($X2380="","",IFERROR(VLOOKUP($X2380,'Char Popularity'!$A$2:$C$500,2,FALSE),""))</f>
        <v>2</v>
      </c>
      <c r="Z2380" s="56">
        <f>IF($X2380="",1,IFERROR(VLOOKUP($X2380,'Char Popularity'!$A$2:$C$500,3,FALSE),1))</f>
        <v>0.9</v>
      </c>
      <c r="AA2380" s="62">
        <f>IF($H2380&lt;&gt;"Y",0,(IF($F2380&lt;&gt;"",ROUND(Dashboard!$R$4/$F2380,1),IF(AND($I2380="Base",$E2380="Base"),Dashboard!$R$5,IF(AND($I2380="Base",$E2380="Red"),Dashboard!$R$6,IF(AND($I2380="Base",$E2380="Gold"),Dashboard!$R$7,VLOOKUP($I2380,Dashboard!$Q$16:$R$21,2,FALSE)))))*VLOOKUP($I2380,Dashboard!$Q$9:$R$13,2,FALSE)*IF(AND($I2380="Auto",$F2380="",OR($B2380="Autographs Duals",$B2380="Autographs Triples",$B2380="Autographs Quads",$B2380="Autographs Quads (Inscribed)")),IF($B2380="Autographs Duals",2,IF($B2380="Autographs Triples",3,4)),1)))</f>
        <v>40.799999999999997</v>
      </c>
      <c r="AB2380" s="62">
        <f t="shared" si="492"/>
        <v>40.799999999999997</v>
      </c>
      <c r="AC2380" s="62">
        <f t="shared" si="493"/>
        <v>0</v>
      </c>
    </row>
    <row r="2381" spans="1:29" ht="30" customHeight="1" x14ac:dyDescent="0.25">
      <c r="A2381" s="4" t="s">
        <v>37</v>
      </c>
      <c r="B2381" s="7" t="s">
        <v>139</v>
      </c>
      <c r="C2381" s="2" t="s">
        <v>414</v>
      </c>
      <c r="D2381" s="7" t="s">
        <v>254</v>
      </c>
      <c r="E2381" s="4" t="s">
        <v>778</v>
      </c>
      <c r="F2381" s="2">
        <v>49</v>
      </c>
      <c r="G2381" s="2" t="s">
        <v>1399</v>
      </c>
      <c r="H2381" s="2" t="s">
        <v>1400</v>
      </c>
      <c r="I2381" s="4" t="s">
        <v>68</v>
      </c>
      <c r="J2381" s="112">
        <f>IF($H2381&lt;&gt;"Y",0,ROUND(MIN(Dashboard!$R$24,IF(IFERROR(VLOOKUP($B2381,Dashboard!$Q$28:$S$60,2,FALSE),0)&gt;0,IFERROR(VLOOKUP($B2381,Dashboard!$Q$28:$S$60,2,FALSE),0),$Z2381*IF($U2381&lt;&gt;"",ROUND((Dashboard!$R$4/$U2381)*VLOOKUP($I2381,Dashboard!$Q$9:$R$13,2,FALSE)*IF(ISNUMBER(SEARCH("Duals",$B2381)),2,IF(ISNUMBER(SEARCH("Triples",$B2381)),3,IF(ISNUMBER(SEARCH("Quads",$B2381)),4,1))),2),ROUND(VLOOKUP($I2381,Dashboard!$Q$15:$R$20,2,FALSE)*IF($E2381="Red",Dashboard!$R$6,IF($E2381="Gold",Dashboard!$R$7,Dashboard!$R$5))*IF(ISNUMBER(SEARCH("Duals",$B2381)),2,IF(ISNUMBER(SEARCH("Triples",$B2381)),3,IF(ISNUMBER(SEARCH("Quads",$B2381)),4,1))),2))*IF(IFERROR(VLOOKUP($B2381,Dashboard!$Q$28:$S$60,3,FALSE),0)&gt;0,VLOOKUP($B2381,Dashboard!$Q$28:$S$60,3,FALSE),1))),0))</f>
        <v>45</v>
      </c>
      <c r="K2381" s="2" t="str">
        <f>IF(Characters!L15="","",Characters!L15)</f>
        <v/>
      </c>
      <c r="L2381" s="2">
        <f t="shared" si="481"/>
        <v>0</v>
      </c>
      <c r="M2381" s="2">
        <f t="shared" si="482"/>
        <v>0</v>
      </c>
      <c r="N2381" s="2">
        <f t="shared" si="483"/>
        <v>0</v>
      </c>
      <c r="O2381" s="2">
        <f t="shared" si="484"/>
        <v>1</v>
      </c>
      <c r="P2381" s="112">
        <f t="shared" si="485"/>
        <v>0</v>
      </c>
      <c r="Q2381" s="112">
        <f t="shared" si="486"/>
        <v>0</v>
      </c>
      <c r="R2381" s="53"/>
      <c r="S2381" s="53" t="str">
        <f t="shared" si="487"/>
        <v>Autos - Singles|Characters Auto Compound V Parallel|C-14|Compound V</v>
      </c>
      <c r="T2381" s="57" t="str">
        <f>IF($S2381="","",IFERROR(VLOOKUP($S2381,'Pop Estimates (Non-#d)'!$N$2:$O$500,2,FALSE),""))</f>
        <v/>
      </c>
      <c r="U2381" s="57">
        <f t="shared" si="488"/>
        <v>49</v>
      </c>
      <c r="V2381" s="53" t="str">
        <f t="shared" si="489"/>
        <v>Stan Edgar</v>
      </c>
      <c r="W2381" s="53" t="str">
        <f t="shared" si="490"/>
        <v>Stan Edgar</v>
      </c>
      <c r="X2381" s="53" t="str">
        <f t="shared" si="491"/>
        <v>Stan Edgar</v>
      </c>
      <c r="Y2381" s="57">
        <f>IF($X2381="","",IFERROR(VLOOKUP($X2381,'Char Popularity'!$A$2:$C$500,2,FALSE),""))</f>
        <v>4</v>
      </c>
      <c r="Z2381" s="56">
        <f>IF($X2381="",1,IFERROR(VLOOKUP($X2381,'Char Popularity'!$A$2:$C$500,3,FALSE),1))</f>
        <v>1.1000000000000001</v>
      </c>
      <c r="AA2381" s="62">
        <f>IF($H2381&lt;&gt;"Y",0,(IF($F2381&lt;&gt;"",ROUND(Dashboard!$R$4/$F2381,1),IF(AND($I2381="Base",$E2381="Base"),Dashboard!$R$5,IF(AND($I2381="Base",$E2381="Red"),Dashboard!$R$6,IF(AND($I2381="Base",$E2381="Gold"),Dashboard!$R$7,VLOOKUP($I2381,Dashboard!$Q$16:$R$21,2,FALSE)))))*VLOOKUP($I2381,Dashboard!$Q$9:$R$13,2,FALSE)*IF(AND($I2381="Auto",$F2381="",OR($B2381="Autographs Duals",$B2381="Autographs Triples",$B2381="Autographs Quads",$B2381="Autographs Quads (Inscribed)")),IF($B2381="Autographs Duals",2,IF($B2381="Autographs Triples",3,4)),1)))</f>
        <v>40.799999999999997</v>
      </c>
      <c r="AB2381" s="62">
        <f t="shared" si="492"/>
        <v>0</v>
      </c>
      <c r="AC2381" s="62">
        <f t="shared" si="493"/>
        <v>0</v>
      </c>
    </row>
    <row r="2382" spans="1:29" ht="30" customHeight="1" x14ac:dyDescent="0.25">
      <c r="A2382" s="4" t="s">
        <v>37</v>
      </c>
      <c r="B2382" s="7" t="s">
        <v>139</v>
      </c>
      <c r="C2382" s="2" t="s">
        <v>415</v>
      </c>
      <c r="D2382" s="7" t="s">
        <v>224</v>
      </c>
      <c r="E2382" s="4" t="s">
        <v>778</v>
      </c>
      <c r="F2382" s="2">
        <v>49</v>
      </c>
      <c r="G2382" s="2" t="s">
        <v>1399</v>
      </c>
      <c r="H2382" s="2" t="s">
        <v>1400</v>
      </c>
      <c r="I2382" s="4" t="s">
        <v>68</v>
      </c>
      <c r="J2382" s="112">
        <f>IF($H2382&lt;&gt;"Y",0,ROUND(MIN(Dashboard!$R$24,IF(IFERROR(VLOOKUP($B2382,Dashboard!$Q$28:$S$60,2,FALSE),0)&gt;0,IFERROR(VLOOKUP($B2382,Dashboard!$Q$28:$S$60,2,FALSE),0),$Z2382*IF($U2382&lt;&gt;"",ROUND((Dashboard!$R$4/$U2382)*VLOOKUP($I2382,Dashboard!$Q$9:$R$13,2,FALSE)*IF(ISNUMBER(SEARCH("Duals",$B2382)),2,IF(ISNUMBER(SEARCH("Triples",$B2382)),3,IF(ISNUMBER(SEARCH("Quads",$B2382)),4,1))),2),ROUND(VLOOKUP($I2382,Dashboard!$Q$15:$R$20,2,FALSE)*IF($E2382="Red",Dashboard!$R$6,IF($E2382="Gold",Dashboard!$R$7,Dashboard!$R$5))*IF(ISNUMBER(SEARCH("Duals",$B2382)),2,IF(ISNUMBER(SEARCH("Triples",$B2382)),3,IF(ISNUMBER(SEARCH("Quads",$B2382)),4,1))),2))*IF(IFERROR(VLOOKUP($B2382,Dashboard!$Q$28:$S$60,3,FALSE),0)&gt;0,VLOOKUP($B2382,Dashboard!$Q$28:$S$60,3,FALSE),1))),0))</f>
        <v>37</v>
      </c>
      <c r="K2382" s="2" t="str">
        <f>IF(Characters!L16="","",Characters!L16)</f>
        <v/>
      </c>
      <c r="L2382" s="2">
        <f t="shared" si="481"/>
        <v>0</v>
      </c>
      <c r="M2382" s="2">
        <f t="shared" si="482"/>
        <v>0</v>
      </c>
      <c r="N2382" s="2">
        <f t="shared" si="483"/>
        <v>0</v>
      </c>
      <c r="O2382" s="2">
        <f t="shared" si="484"/>
        <v>1</v>
      </c>
      <c r="P2382" s="112">
        <f t="shared" si="485"/>
        <v>0</v>
      </c>
      <c r="Q2382" s="112">
        <f t="shared" si="486"/>
        <v>0</v>
      </c>
      <c r="R2382" s="53"/>
      <c r="S2382" s="53" t="str">
        <f t="shared" si="487"/>
        <v>Autos - Singles|Characters Auto Compound V Parallel|C-15|Compound V</v>
      </c>
      <c r="T2382" s="57" t="str">
        <f>IF($S2382="","",IFERROR(VLOOKUP($S2382,'Pop Estimates (Non-#d)'!$N$2:$O$500,2,FALSE),""))</f>
        <v/>
      </c>
      <c r="U2382" s="57">
        <f t="shared" si="488"/>
        <v>49</v>
      </c>
      <c r="V2382" s="53" t="str">
        <f t="shared" si="489"/>
        <v>Popclaw</v>
      </c>
      <c r="W2382" s="53" t="str">
        <f t="shared" si="490"/>
        <v>Popclaw</v>
      </c>
      <c r="X2382" s="53" t="str">
        <f t="shared" si="491"/>
        <v>Popclaw</v>
      </c>
      <c r="Y2382" s="57">
        <f>IF($X2382="","",IFERROR(VLOOKUP($X2382,'Char Popularity'!$A$2:$C$500,2,FALSE),""))</f>
        <v>2</v>
      </c>
      <c r="Z2382" s="56">
        <f>IF($X2382="",1,IFERROR(VLOOKUP($X2382,'Char Popularity'!$A$2:$C$500,3,FALSE),1))</f>
        <v>0.9</v>
      </c>
      <c r="AA2382" s="62">
        <f>IF($H2382&lt;&gt;"Y",0,(IF($F2382&lt;&gt;"",ROUND(Dashboard!$R$4/$F2382,1),IF(AND($I2382="Base",$E2382="Base"),Dashboard!$R$5,IF(AND($I2382="Base",$E2382="Red"),Dashboard!$R$6,IF(AND($I2382="Base",$E2382="Gold"),Dashboard!$R$7,VLOOKUP($I2382,Dashboard!$Q$16:$R$21,2,FALSE)))))*VLOOKUP($I2382,Dashboard!$Q$9:$R$13,2,FALSE)*IF(AND($I2382="Auto",$F2382="",OR($B2382="Autographs Duals",$B2382="Autographs Triples",$B2382="Autographs Quads",$B2382="Autographs Quads (Inscribed)")),IF($B2382="Autographs Duals",2,IF($B2382="Autographs Triples",3,4)),1)))</f>
        <v>40.799999999999997</v>
      </c>
      <c r="AB2382" s="62">
        <f t="shared" si="492"/>
        <v>0</v>
      </c>
      <c r="AC2382" s="62">
        <f t="shared" si="493"/>
        <v>0</v>
      </c>
    </row>
    <row r="2383" spans="1:29" ht="30" customHeight="1" x14ac:dyDescent="0.25">
      <c r="A2383" s="4" t="s">
        <v>37</v>
      </c>
      <c r="B2383" s="7" t="s">
        <v>139</v>
      </c>
      <c r="C2383" s="2" t="s">
        <v>416</v>
      </c>
      <c r="D2383" s="7" t="s">
        <v>234</v>
      </c>
      <c r="E2383" s="4" t="s">
        <v>778</v>
      </c>
      <c r="F2383" s="2">
        <v>49</v>
      </c>
      <c r="G2383" s="2" t="s">
        <v>1399</v>
      </c>
      <c r="H2383" s="2" t="s">
        <v>1400</v>
      </c>
      <c r="I2383" s="4" t="s">
        <v>68</v>
      </c>
      <c r="J2383" s="112">
        <f>IF($H2383&lt;&gt;"Y",0,ROUND(MIN(Dashboard!$R$24,IF(IFERROR(VLOOKUP($B2383,Dashboard!$Q$28:$S$60,2,FALSE),0)&gt;0,IFERROR(VLOOKUP($B2383,Dashboard!$Q$28:$S$60,2,FALSE),0),$Z2383*IF($U2383&lt;&gt;"",ROUND((Dashboard!$R$4/$U2383)*VLOOKUP($I2383,Dashboard!$Q$9:$R$13,2,FALSE)*IF(ISNUMBER(SEARCH("Duals",$B2383)),2,IF(ISNUMBER(SEARCH("Triples",$B2383)),3,IF(ISNUMBER(SEARCH("Quads",$B2383)),4,1))),2),ROUND(VLOOKUP($I2383,Dashboard!$Q$15:$R$20,2,FALSE)*IF($E2383="Red",Dashboard!$R$6,IF($E2383="Gold",Dashboard!$R$7,Dashboard!$R$5))*IF(ISNUMBER(SEARCH("Duals",$B2383)),2,IF(ISNUMBER(SEARCH("Triples",$B2383)),3,IF(ISNUMBER(SEARCH("Quads",$B2383)),4,1))),2))*IF(IFERROR(VLOOKUP($B2383,Dashboard!$Q$28:$S$60,3,FALSE),0)&gt;0,VLOOKUP($B2383,Dashboard!$Q$28:$S$60,3,FALSE),1))),0))</f>
        <v>41</v>
      </c>
      <c r="K2383" s="2" t="str">
        <f>IF(Characters!L18="","",Characters!L18)</f>
        <v/>
      </c>
      <c r="L2383" s="2">
        <f t="shared" si="481"/>
        <v>0</v>
      </c>
      <c r="M2383" s="2">
        <f t="shared" si="482"/>
        <v>0</v>
      </c>
      <c r="N2383" s="2">
        <f t="shared" si="483"/>
        <v>0</v>
      </c>
      <c r="O2383" s="2">
        <f t="shared" si="484"/>
        <v>1</v>
      </c>
      <c r="P2383" s="112">
        <f t="shared" si="485"/>
        <v>0</v>
      </c>
      <c r="Q2383" s="112">
        <f t="shared" si="486"/>
        <v>0</v>
      </c>
      <c r="R2383" s="53"/>
      <c r="S2383" s="53" t="str">
        <f t="shared" si="487"/>
        <v>Autos - Singles|Characters Auto Compound V Parallel|C-17|Compound V</v>
      </c>
      <c r="T2383" s="57" t="str">
        <f>IF($S2383="","",IFERROR(VLOOKUP($S2383,'Pop Estimates (Non-#d)'!$N$2:$O$500,2,FALSE),""))</f>
        <v/>
      </c>
      <c r="U2383" s="57">
        <f t="shared" si="488"/>
        <v>49</v>
      </c>
      <c r="V2383" s="53" t="str">
        <f t="shared" si="489"/>
        <v>Ashley Barrett</v>
      </c>
      <c r="W2383" s="53" t="str">
        <f t="shared" si="490"/>
        <v>Ashley Barrett</v>
      </c>
      <c r="X2383" s="53" t="str">
        <f t="shared" si="491"/>
        <v>Ashley Barrett</v>
      </c>
      <c r="Y2383" s="57">
        <f>IF($X2383="","",IFERROR(VLOOKUP($X2383,'Char Popularity'!$A$2:$C$500,2,FALSE),""))</f>
        <v>3</v>
      </c>
      <c r="Z2383" s="56">
        <f>IF($X2383="",1,IFERROR(VLOOKUP($X2383,'Char Popularity'!$A$2:$C$500,3,FALSE),1))</f>
        <v>1</v>
      </c>
      <c r="AA2383" s="62">
        <f>IF($H2383&lt;&gt;"Y",0,(IF($F2383&lt;&gt;"",ROUND(Dashboard!$R$4/$F2383,1),IF(AND($I2383="Base",$E2383="Base"),Dashboard!$R$5,IF(AND($I2383="Base",$E2383="Red"),Dashboard!$R$6,IF(AND($I2383="Base",$E2383="Gold"),Dashboard!$R$7,VLOOKUP($I2383,Dashboard!$Q$16:$R$21,2,FALSE)))))*VLOOKUP($I2383,Dashboard!$Q$9:$R$13,2,FALSE)*IF(AND($I2383="Auto",$F2383="",OR($B2383="Autographs Duals",$B2383="Autographs Triples",$B2383="Autographs Quads",$B2383="Autographs Quads (Inscribed)")),IF($B2383="Autographs Duals",2,IF($B2383="Autographs Triples",3,4)),1)))</f>
        <v>40.799999999999997</v>
      </c>
      <c r="AB2383" s="62">
        <f t="shared" si="492"/>
        <v>0</v>
      </c>
      <c r="AC2383" s="62">
        <f t="shared" si="493"/>
        <v>0</v>
      </c>
    </row>
    <row r="2384" spans="1:29" ht="30" customHeight="1" x14ac:dyDescent="0.25">
      <c r="A2384" s="4" t="s">
        <v>37</v>
      </c>
      <c r="B2384" s="7" t="s">
        <v>139</v>
      </c>
      <c r="C2384" s="2" t="s">
        <v>417</v>
      </c>
      <c r="D2384" s="7" t="s">
        <v>308</v>
      </c>
      <c r="E2384" s="4" t="s">
        <v>778</v>
      </c>
      <c r="F2384" s="2">
        <v>49</v>
      </c>
      <c r="G2384" s="2" t="s">
        <v>1399</v>
      </c>
      <c r="H2384" s="2" t="s">
        <v>1400</v>
      </c>
      <c r="I2384" s="4" t="s">
        <v>68</v>
      </c>
      <c r="J2384" s="112">
        <f>IF($H2384&lt;&gt;"Y",0,ROUND(MIN(Dashboard!$R$24,IF(IFERROR(VLOOKUP($B2384,Dashboard!$Q$28:$S$60,2,FALSE),0)&gt;0,IFERROR(VLOOKUP($B2384,Dashboard!$Q$28:$S$60,2,FALSE),0),$Z2384*IF($U2384&lt;&gt;"",ROUND((Dashboard!$R$4/$U2384)*VLOOKUP($I2384,Dashboard!$Q$9:$R$13,2,FALSE)*IF(ISNUMBER(SEARCH("Duals",$B2384)),2,IF(ISNUMBER(SEARCH("Triples",$B2384)),3,IF(ISNUMBER(SEARCH("Quads",$B2384)),4,1))),2),ROUND(VLOOKUP($I2384,Dashboard!$Q$15:$R$20,2,FALSE)*IF($E2384="Red",Dashboard!$R$6,IF($E2384="Gold",Dashboard!$R$7,Dashboard!$R$5))*IF(ISNUMBER(SEARCH("Duals",$B2384)),2,IF(ISNUMBER(SEARCH("Triples",$B2384)),3,IF(ISNUMBER(SEARCH("Quads",$B2384)),4,1))),2))*IF(IFERROR(VLOOKUP($B2384,Dashboard!$Q$28:$S$60,3,FALSE),0)&gt;0,VLOOKUP($B2384,Dashboard!$Q$28:$S$60,3,FALSE),1))),0))</f>
        <v>41</v>
      </c>
      <c r="K2384" s="2" t="str">
        <f>IF(Characters!L19="","",Characters!L19)</f>
        <v>V '06/49</v>
      </c>
      <c r="L2384" s="2">
        <f t="shared" si="481"/>
        <v>1</v>
      </c>
      <c r="M2384" s="2">
        <f t="shared" si="482"/>
        <v>0</v>
      </c>
      <c r="N2384" s="2">
        <f t="shared" si="483"/>
        <v>1</v>
      </c>
      <c r="O2384" s="2">
        <f t="shared" si="484"/>
        <v>0</v>
      </c>
      <c r="P2384" s="112">
        <f t="shared" si="485"/>
        <v>41</v>
      </c>
      <c r="Q2384" s="112">
        <f t="shared" si="486"/>
        <v>0</v>
      </c>
      <c r="R2384" s="53"/>
      <c r="S2384" s="53" t="str">
        <f t="shared" si="487"/>
        <v>Autos - Singles|Characters Auto Compound V Parallel|C-18|Compound V</v>
      </c>
      <c r="T2384" s="57" t="str">
        <f>IF($S2384="","",IFERROR(VLOOKUP($S2384,'Pop Estimates (Non-#d)'!$N$2:$O$500,2,FALSE),""))</f>
        <v/>
      </c>
      <c r="U2384" s="57">
        <f t="shared" si="488"/>
        <v>49</v>
      </c>
      <c r="V2384" s="53" t="str">
        <f t="shared" si="489"/>
        <v>Becca Butcher</v>
      </c>
      <c r="W2384" s="53" t="str">
        <f t="shared" si="490"/>
        <v>Becca Butcher</v>
      </c>
      <c r="X2384" s="53" t="str">
        <f t="shared" si="491"/>
        <v>Becca Butcher</v>
      </c>
      <c r="Y2384" s="57">
        <f>IF($X2384="","",IFERROR(VLOOKUP($X2384,'Char Popularity'!$A$2:$C$500,2,FALSE),""))</f>
        <v>3</v>
      </c>
      <c r="Z2384" s="56">
        <f>IF($X2384="",1,IFERROR(VLOOKUP($X2384,'Char Popularity'!$A$2:$C$500,3,FALSE),1))</f>
        <v>1</v>
      </c>
      <c r="AA2384" s="62">
        <f>IF($H2384&lt;&gt;"Y",0,(IF($F2384&lt;&gt;"",ROUND(Dashboard!$R$4/$F2384,1),IF(AND($I2384="Base",$E2384="Base"),Dashboard!$R$5,IF(AND($I2384="Base",$E2384="Red"),Dashboard!$R$6,IF(AND($I2384="Base",$E2384="Gold"),Dashboard!$R$7,VLOOKUP($I2384,Dashboard!$Q$16:$R$21,2,FALSE)))))*VLOOKUP($I2384,Dashboard!$Q$9:$R$13,2,FALSE)*IF(AND($I2384="Auto",$F2384="",OR($B2384="Autographs Duals",$B2384="Autographs Triples",$B2384="Autographs Quads",$B2384="Autographs Quads (Inscribed)")),IF($B2384="Autographs Duals",2,IF($B2384="Autographs Triples",3,4)),1)))</f>
        <v>40.799999999999997</v>
      </c>
      <c r="AB2384" s="62">
        <f t="shared" si="492"/>
        <v>40.799999999999997</v>
      </c>
      <c r="AC2384" s="62">
        <f t="shared" si="493"/>
        <v>0</v>
      </c>
    </row>
    <row r="2385" spans="1:29" ht="30" customHeight="1" x14ac:dyDescent="0.25">
      <c r="A2385" s="4" t="s">
        <v>37</v>
      </c>
      <c r="B2385" s="7" t="s">
        <v>139</v>
      </c>
      <c r="C2385" s="2" t="s">
        <v>418</v>
      </c>
      <c r="D2385" s="7" t="s">
        <v>301</v>
      </c>
      <c r="E2385" s="4" t="s">
        <v>778</v>
      </c>
      <c r="F2385" s="2">
        <v>49</v>
      </c>
      <c r="G2385" s="2" t="s">
        <v>1399</v>
      </c>
      <c r="H2385" s="2" t="s">
        <v>1400</v>
      </c>
      <c r="I2385" s="4" t="s">
        <v>68</v>
      </c>
      <c r="J2385" s="112">
        <f>IF($H2385&lt;&gt;"Y",0,ROUND(MIN(Dashboard!$R$24,IF(IFERROR(VLOOKUP($B2385,Dashboard!$Q$28:$S$60,2,FALSE),0)&gt;0,IFERROR(VLOOKUP($B2385,Dashboard!$Q$28:$S$60,2,FALSE),0),$Z2385*IF($U2385&lt;&gt;"",ROUND((Dashboard!$R$4/$U2385)*VLOOKUP($I2385,Dashboard!$Q$9:$R$13,2,FALSE)*IF(ISNUMBER(SEARCH("Duals",$B2385)),2,IF(ISNUMBER(SEARCH("Triples",$B2385)),3,IF(ISNUMBER(SEARCH("Quads",$B2385)),4,1))),2),ROUND(VLOOKUP($I2385,Dashboard!$Q$15:$R$20,2,FALSE)*IF($E2385="Red",Dashboard!$R$6,IF($E2385="Gold",Dashboard!$R$7,Dashboard!$R$5))*IF(ISNUMBER(SEARCH("Duals",$B2385)),2,IF(ISNUMBER(SEARCH("Triples",$B2385)),3,IF(ISNUMBER(SEARCH("Quads",$B2385)),4,1))),2))*IF(IFERROR(VLOOKUP($B2385,Dashboard!$Q$28:$S$60,3,FALSE),0)&gt;0,VLOOKUP($B2385,Dashboard!$Q$28:$S$60,3,FALSE),1))),0))</f>
        <v>37</v>
      </c>
      <c r="K2385" s="2" t="str">
        <f>IF(Characters!L20="","",Characters!L20)</f>
        <v/>
      </c>
      <c r="L2385" s="2">
        <f t="shared" si="481"/>
        <v>0</v>
      </c>
      <c r="M2385" s="2">
        <f t="shared" si="482"/>
        <v>0</v>
      </c>
      <c r="N2385" s="2">
        <f t="shared" si="483"/>
        <v>0</v>
      </c>
      <c r="O2385" s="2">
        <f t="shared" si="484"/>
        <v>1</v>
      </c>
      <c r="P2385" s="112">
        <f t="shared" si="485"/>
        <v>0</v>
      </c>
      <c r="Q2385" s="112">
        <f t="shared" si="486"/>
        <v>0</v>
      </c>
      <c r="R2385" s="53"/>
      <c r="S2385" s="53" t="str">
        <f t="shared" si="487"/>
        <v>Autos - Singles|Characters Auto Compound V Parallel|C-19|Compound V</v>
      </c>
      <c r="T2385" s="57" t="str">
        <f>IF($S2385="","",IFERROR(VLOOKUP($S2385,'Pop Estimates (Non-#d)'!$N$2:$O$500,2,FALSE),""))</f>
        <v/>
      </c>
      <c r="U2385" s="57">
        <f t="shared" si="488"/>
        <v>49</v>
      </c>
      <c r="V2385" s="53" t="str">
        <f t="shared" si="489"/>
        <v>Lamplighter</v>
      </c>
      <c r="W2385" s="53" t="str">
        <f t="shared" si="490"/>
        <v>Lamplighter</v>
      </c>
      <c r="X2385" s="53" t="str">
        <f t="shared" si="491"/>
        <v>Lamplighter</v>
      </c>
      <c r="Y2385" s="57">
        <f>IF($X2385="","",IFERROR(VLOOKUP($X2385,'Char Popularity'!$A$2:$C$500,2,FALSE),""))</f>
        <v>2</v>
      </c>
      <c r="Z2385" s="56">
        <f>IF($X2385="",1,IFERROR(VLOOKUP($X2385,'Char Popularity'!$A$2:$C$500,3,FALSE),1))</f>
        <v>0.9</v>
      </c>
      <c r="AA2385" s="62">
        <f>IF($H2385&lt;&gt;"Y",0,(IF($F2385&lt;&gt;"",ROUND(Dashboard!$R$4/$F2385,1),IF(AND($I2385="Base",$E2385="Base"),Dashboard!$R$5,IF(AND($I2385="Base",$E2385="Red"),Dashboard!$R$6,IF(AND($I2385="Base",$E2385="Gold"),Dashboard!$R$7,VLOOKUP($I2385,Dashboard!$Q$16:$R$21,2,FALSE)))))*VLOOKUP($I2385,Dashboard!$Q$9:$R$13,2,FALSE)*IF(AND($I2385="Auto",$F2385="",OR($B2385="Autographs Duals",$B2385="Autographs Triples",$B2385="Autographs Quads",$B2385="Autographs Quads (Inscribed)")),IF($B2385="Autographs Duals",2,IF($B2385="Autographs Triples",3,4)),1)))</f>
        <v>40.799999999999997</v>
      </c>
      <c r="AB2385" s="62">
        <f t="shared" si="492"/>
        <v>0</v>
      </c>
      <c r="AC2385" s="62">
        <f t="shared" si="493"/>
        <v>0</v>
      </c>
    </row>
    <row r="2386" spans="1:29" ht="30" customHeight="1" x14ac:dyDescent="0.25">
      <c r="A2386" s="4" t="s">
        <v>37</v>
      </c>
      <c r="B2386" s="7" t="s">
        <v>139</v>
      </c>
      <c r="C2386" s="2" t="s">
        <v>420</v>
      </c>
      <c r="D2386" s="7" t="s">
        <v>260</v>
      </c>
      <c r="E2386" s="4" t="s">
        <v>778</v>
      </c>
      <c r="F2386" s="2">
        <v>49</v>
      </c>
      <c r="G2386" s="2" t="s">
        <v>1399</v>
      </c>
      <c r="H2386" s="2" t="s">
        <v>1400</v>
      </c>
      <c r="I2386" s="4" t="s">
        <v>68</v>
      </c>
      <c r="J2386" s="112">
        <f>IF($H2386&lt;&gt;"Y",0,ROUND(MIN(Dashboard!$R$24,IF(IFERROR(VLOOKUP($B2386,Dashboard!$Q$28:$S$60,2,FALSE),0)&gt;0,IFERROR(VLOOKUP($B2386,Dashboard!$Q$28:$S$60,2,FALSE),0),$Z2386*IF($U2386&lt;&gt;"",ROUND((Dashboard!$R$4/$U2386)*VLOOKUP($I2386,Dashboard!$Q$9:$R$13,2,FALSE)*IF(ISNUMBER(SEARCH("Duals",$B2386)),2,IF(ISNUMBER(SEARCH("Triples",$B2386)),3,IF(ISNUMBER(SEARCH("Quads",$B2386)),4,1))),2),ROUND(VLOOKUP($I2386,Dashboard!$Q$15:$R$20,2,FALSE)*IF($E2386="Red",Dashboard!$R$6,IF($E2386="Gold",Dashboard!$R$7,Dashboard!$R$5))*IF(ISNUMBER(SEARCH("Duals",$B2386)),2,IF(ISNUMBER(SEARCH("Triples",$B2386)),3,IF(ISNUMBER(SEARCH("Quads",$B2386)),4,1))),2))*IF(IFERROR(VLOOKUP($B2386,Dashboard!$Q$28:$S$60,3,FALSE),0)&gt;0,VLOOKUP($B2386,Dashboard!$Q$28:$S$60,3,FALSE),1))),0))</f>
        <v>41</v>
      </c>
      <c r="K2386" s="2" t="str">
        <f>IF(Characters!L21="","",Characters!L21)</f>
        <v/>
      </c>
      <c r="L2386" s="2">
        <f t="shared" si="481"/>
        <v>0</v>
      </c>
      <c r="M2386" s="2">
        <f t="shared" si="482"/>
        <v>0</v>
      </c>
      <c r="N2386" s="2">
        <f t="shared" si="483"/>
        <v>0</v>
      </c>
      <c r="O2386" s="2">
        <f t="shared" si="484"/>
        <v>1</v>
      </c>
      <c r="P2386" s="112">
        <f t="shared" si="485"/>
        <v>0</v>
      </c>
      <c r="Q2386" s="112">
        <f t="shared" si="486"/>
        <v>0</v>
      </c>
      <c r="R2386" s="53"/>
      <c r="S2386" s="53" t="str">
        <f t="shared" si="487"/>
        <v>Autos - Singles|Characters Auto Compound V Parallel|C-20|Compound V</v>
      </c>
      <c r="T2386" s="57" t="str">
        <f>IF($S2386="","",IFERROR(VLOOKUP($S2386,'Pop Estimates (Non-#d)'!$N$2:$O$500,2,FALSE),""))</f>
        <v/>
      </c>
      <c r="U2386" s="57">
        <f t="shared" si="488"/>
        <v>49</v>
      </c>
      <c r="V2386" s="53" t="str">
        <f t="shared" si="489"/>
        <v>Cherie</v>
      </c>
      <c r="W2386" s="53" t="str">
        <f t="shared" si="490"/>
        <v>Cherie</v>
      </c>
      <c r="X2386" s="53" t="str">
        <f t="shared" si="491"/>
        <v>Cherie</v>
      </c>
      <c r="Y2386" s="57">
        <f>IF($X2386="","",IFERROR(VLOOKUP($X2386,'Char Popularity'!$A$2:$C$500,2,FALSE),""))</f>
        <v>3</v>
      </c>
      <c r="Z2386" s="56">
        <f>IF($X2386="",1,IFERROR(VLOOKUP($X2386,'Char Popularity'!$A$2:$C$500,3,FALSE),1))</f>
        <v>1</v>
      </c>
      <c r="AA2386" s="62">
        <f>IF($H2386&lt;&gt;"Y",0,(IF($F2386&lt;&gt;"",ROUND(Dashboard!$R$4/$F2386,1),IF(AND($I2386="Base",$E2386="Base"),Dashboard!$R$5,IF(AND($I2386="Base",$E2386="Red"),Dashboard!$R$6,IF(AND($I2386="Base",$E2386="Gold"),Dashboard!$R$7,VLOOKUP($I2386,Dashboard!$Q$16:$R$21,2,FALSE)))))*VLOOKUP($I2386,Dashboard!$Q$9:$R$13,2,FALSE)*IF(AND($I2386="Auto",$F2386="",OR($B2386="Autographs Duals",$B2386="Autographs Triples",$B2386="Autographs Quads",$B2386="Autographs Quads (Inscribed)")),IF($B2386="Autographs Duals",2,IF($B2386="Autographs Triples",3,4)),1)))</f>
        <v>40.799999999999997</v>
      </c>
      <c r="AB2386" s="62">
        <f t="shared" si="492"/>
        <v>0</v>
      </c>
      <c r="AC2386" s="62">
        <f t="shared" si="493"/>
        <v>0</v>
      </c>
    </row>
    <row r="2387" spans="1:29" ht="30" customHeight="1" x14ac:dyDescent="0.25">
      <c r="A2387" s="4" t="s">
        <v>37</v>
      </c>
      <c r="B2387" s="7" t="s">
        <v>139</v>
      </c>
      <c r="C2387" s="2" t="s">
        <v>421</v>
      </c>
      <c r="D2387" s="7" t="s">
        <v>288</v>
      </c>
      <c r="E2387" s="4" t="s">
        <v>778</v>
      </c>
      <c r="F2387" s="2">
        <v>49</v>
      </c>
      <c r="G2387" s="2" t="s">
        <v>1399</v>
      </c>
      <c r="H2387" s="2" t="s">
        <v>1400</v>
      </c>
      <c r="I2387" s="4" t="s">
        <v>68</v>
      </c>
      <c r="J2387" s="112">
        <f>IF($H2387&lt;&gt;"Y",0,ROUND(MIN(Dashboard!$R$24,IF(IFERROR(VLOOKUP($B2387,Dashboard!$Q$28:$S$60,2,FALSE),0)&gt;0,IFERROR(VLOOKUP($B2387,Dashboard!$Q$28:$S$60,2,FALSE),0),$Z2387*IF($U2387&lt;&gt;"",ROUND((Dashboard!$R$4/$U2387)*VLOOKUP($I2387,Dashboard!$Q$9:$R$13,2,FALSE)*IF(ISNUMBER(SEARCH("Duals",$B2387)),2,IF(ISNUMBER(SEARCH("Triples",$B2387)),3,IF(ISNUMBER(SEARCH("Quads",$B2387)),4,1))),2),ROUND(VLOOKUP($I2387,Dashboard!$Q$15:$R$20,2,FALSE)*IF($E2387="Red",Dashboard!$R$6,IF($E2387="Gold",Dashboard!$R$7,Dashboard!$R$5))*IF(ISNUMBER(SEARCH("Duals",$B2387)),2,IF(ISNUMBER(SEARCH("Triples",$B2387)),3,IF(ISNUMBER(SEARCH("Quads",$B2387)),4,1))),2))*IF(IFERROR(VLOOKUP($B2387,Dashboard!$Q$28:$S$60,3,FALSE),0)&gt;0,VLOOKUP($B2387,Dashboard!$Q$28:$S$60,3,FALSE),1))),0))</f>
        <v>37</v>
      </c>
      <c r="K2387" s="2" t="str">
        <f>IF(Characters!L22="","",Characters!L22)</f>
        <v/>
      </c>
      <c r="L2387" s="2">
        <f t="shared" si="481"/>
        <v>0</v>
      </c>
      <c r="M2387" s="2">
        <f t="shared" si="482"/>
        <v>0</v>
      </c>
      <c r="N2387" s="2">
        <f t="shared" si="483"/>
        <v>0</v>
      </c>
      <c r="O2387" s="2">
        <f t="shared" si="484"/>
        <v>1</v>
      </c>
      <c r="P2387" s="112">
        <f t="shared" si="485"/>
        <v>0</v>
      </c>
      <c r="Q2387" s="112">
        <f t="shared" si="486"/>
        <v>0</v>
      </c>
      <c r="R2387" s="53"/>
      <c r="S2387" s="53" t="str">
        <f t="shared" si="487"/>
        <v>Autos - Singles|Characters Auto Compound V Parallel|C-21|Compound V</v>
      </c>
      <c r="T2387" s="57" t="str">
        <f>IF($S2387="","",IFERROR(VLOOKUP($S2387,'Pop Estimates (Non-#d)'!$N$2:$O$500,2,FALSE),""))</f>
        <v/>
      </c>
      <c r="U2387" s="57">
        <f t="shared" si="488"/>
        <v>49</v>
      </c>
      <c r="V2387" s="53" t="str">
        <f t="shared" si="489"/>
        <v>Shockwave</v>
      </c>
      <c r="W2387" s="53" t="str">
        <f t="shared" si="490"/>
        <v>Shockwave</v>
      </c>
      <c r="X2387" s="53" t="str">
        <f t="shared" si="491"/>
        <v>Shockwave</v>
      </c>
      <c r="Y2387" s="57">
        <f>IF($X2387="","",IFERROR(VLOOKUP($X2387,'Char Popularity'!$A$2:$C$500,2,FALSE),""))</f>
        <v>2</v>
      </c>
      <c r="Z2387" s="56">
        <f>IF($X2387="",1,IFERROR(VLOOKUP($X2387,'Char Popularity'!$A$2:$C$500,3,FALSE),1))</f>
        <v>0.9</v>
      </c>
      <c r="AA2387" s="62">
        <f>IF($H2387&lt;&gt;"Y",0,(IF($F2387&lt;&gt;"",ROUND(Dashboard!$R$4/$F2387,1),IF(AND($I2387="Base",$E2387="Base"),Dashboard!$R$5,IF(AND($I2387="Base",$E2387="Red"),Dashboard!$R$6,IF(AND($I2387="Base",$E2387="Gold"),Dashboard!$R$7,VLOOKUP($I2387,Dashboard!$Q$16:$R$21,2,FALSE)))))*VLOOKUP($I2387,Dashboard!$Q$9:$R$13,2,FALSE)*IF(AND($I2387="Auto",$F2387="",OR($B2387="Autographs Duals",$B2387="Autographs Triples",$B2387="Autographs Quads",$B2387="Autographs Quads (Inscribed)")),IF($B2387="Autographs Duals",2,IF($B2387="Autographs Triples",3,4)),1)))</f>
        <v>40.799999999999997</v>
      </c>
      <c r="AB2387" s="62">
        <f t="shared" si="492"/>
        <v>0</v>
      </c>
      <c r="AC2387" s="62">
        <f t="shared" si="493"/>
        <v>0</v>
      </c>
    </row>
    <row r="2388" spans="1:29" ht="30" customHeight="1" x14ac:dyDescent="0.25">
      <c r="A2388" s="4" t="s">
        <v>37</v>
      </c>
      <c r="B2388" s="7" t="s">
        <v>139</v>
      </c>
      <c r="C2388" s="2" t="s">
        <v>422</v>
      </c>
      <c r="D2388" s="7" t="s">
        <v>228</v>
      </c>
      <c r="E2388" s="4" t="s">
        <v>778</v>
      </c>
      <c r="F2388" s="2">
        <v>49</v>
      </c>
      <c r="G2388" s="2" t="s">
        <v>1399</v>
      </c>
      <c r="H2388" s="2" t="s">
        <v>1400</v>
      </c>
      <c r="I2388" s="4" t="s">
        <v>68</v>
      </c>
      <c r="J2388" s="112">
        <f>IF($H2388&lt;&gt;"Y",0,ROUND(MIN(Dashboard!$R$24,IF(IFERROR(VLOOKUP($B2388,Dashboard!$Q$28:$S$60,2,FALSE),0)&gt;0,IFERROR(VLOOKUP($B2388,Dashboard!$Q$28:$S$60,2,FALSE),0),$Z2388*IF($U2388&lt;&gt;"",ROUND((Dashboard!$R$4/$U2388)*VLOOKUP($I2388,Dashboard!$Q$9:$R$13,2,FALSE)*IF(ISNUMBER(SEARCH("Duals",$B2388)),2,IF(ISNUMBER(SEARCH("Triples",$B2388)),3,IF(ISNUMBER(SEARCH("Quads",$B2388)),4,1))),2),ROUND(VLOOKUP($I2388,Dashboard!$Q$15:$R$20,2,FALSE)*IF($E2388="Red",Dashboard!$R$6,IF($E2388="Gold",Dashboard!$R$7,Dashboard!$R$5))*IF(ISNUMBER(SEARCH("Duals",$B2388)),2,IF(ISNUMBER(SEARCH("Triples",$B2388)),3,IF(ISNUMBER(SEARCH("Quads",$B2388)),4,1))),2))*IF(IFERROR(VLOOKUP($B2388,Dashboard!$Q$28:$S$60,3,FALSE),0)&gt;0,VLOOKUP($B2388,Dashboard!$Q$28:$S$60,3,FALSE),1))),0))</f>
        <v>45</v>
      </c>
      <c r="K2388" s="2" t="str">
        <f>IF(Characters!L23="","",Characters!L23)</f>
        <v/>
      </c>
      <c r="L2388" s="2">
        <f t="shared" si="481"/>
        <v>0</v>
      </c>
      <c r="M2388" s="2">
        <f t="shared" si="482"/>
        <v>0</v>
      </c>
      <c r="N2388" s="2">
        <f t="shared" si="483"/>
        <v>0</v>
      </c>
      <c r="O2388" s="2">
        <f t="shared" si="484"/>
        <v>1</v>
      </c>
      <c r="P2388" s="112">
        <f t="shared" si="485"/>
        <v>0</v>
      </c>
      <c r="Q2388" s="112">
        <f t="shared" si="486"/>
        <v>0</v>
      </c>
      <c r="R2388" s="53"/>
      <c r="S2388" s="53" t="str">
        <f t="shared" si="487"/>
        <v>Autos - Singles|Characters Auto Compound V Parallel|C-22|Compound V</v>
      </c>
      <c r="T2388" s="57" t="str">
        <f>IF($S2388="","",IFERROR(VLOOKUP($S2388,'Pop Estimates (Non-#d)'!$N$2:$O$500,2,FALSE),""))</f>
        <v/>
      </c>
      <c r="U2388" s="57">
        <f t="shared" si="488"/>
        <v>49</v>
      </c>
      <c r="V2388" s="53" t="str">
        <f t="shared" si="489"/>
        <v>Ryan</v>
      </c>
      <c r="W2388" s="53" t="str">
        <f t="shared" si="490"/>
        <v>Ryan</v>
      </c>
      <c r="X2388" s="53" t="str">
        <f t="shared" si="491"/>
        <v>Ryan</v>
      </c>
      <c r="Y2388" s="57">
        <f>IF($X2388="","",IFERROR(VLOOKUP($X2388,'Char Popularity'!$A$2:$C$500,2,FALSE),""))</f>
        <v>4</v>
      </c>
      <c r="Z2388" s="56">
        <f>IF($X2388="",1,IFERROR(VLOOKUP($X2388,'Char Popularity'!$A$2:$C$500,3,FALSE),1))</f>
        <v>1.1000000000000001</v>
      </c>
      <c r="AA2388" s="62">
        <f>IF($H2388&lt;&gt;"Y",0,(IF($F2388&lt;&gt;"",ROUND(Dashboard!$R$4/$F2388,1),IF(AND($I2388="Base",$E2388="Base"),Dashboard!$R$5,IF(AND($I2388="Base",$E2388="Red"),Dashboard!$R$6,IF(AND($I2388="Base",$E2388="Gold"),Dashboard!$R$7,VLOOKUP($I2388,Dashboard!$Q$16:$R$21,2,FALSE)))))*VLOOKUP($I2388,Dashboard!$Q$9:$R$13,2,FALSE)*IF(AND($I2388="Auto",$F2388="",OR($B2388="Autographs Duals",$B2388="Autographs Triples",$B2388="Autographs Quads",$B2388="Autographs Quads (Inscribed)")),IF($B2388="Autographs Duals",2,IF($B2388="Autographs Triples",3,4)),1)))</f>
        <v>40.799999999999997</v>
      </c>
      <c r="AB2388" s="62">
        <f t="shared" si="492"/>
        <v>0</v>
      </c>
      <c r="AC2388" s="62">
        <f t="shared" si="493"/>
        <v>0</v>
      </c>
    </row>
    <row r="2389" spans="1:29" ht="30" customHeight="1" x14ac:dyDescent="0.25">
      <c r="A2389" s="4" t="s">
        <v>37</v>
      </c>
      <c r="B2389" s="7" t="s">
        <v>139</v>
      </c>
      <c r="C2389" s="2" t="s">
        <v>423</v>
      </c>
      <c r="D2389" s="7" t="s">
        <v>301</v>
      </c>
      <c r="E2389" s="4" t="s">
        <v>778</v>
      </c>
      <c r="F2389" s="2">
        <v>49</v>
      </c>
      <c r="G2389" s="2" t="s">
        <v>1399</v>
      </c>
      <c r="H2389" s="2" t="s">
        <v>1400</v>
      </c>
      <c r="I2389" s="4" t="s">
        <v>68</v>
      </c>
      <c r="J2389" s="112">
        <f>IF($H2389&lt;&gt;"Y",0,ROUND(MIN(Dashboard!$R$24,IF(IFERROR(VLOOKUP($B2389,Dashboard!$Q$28:$S$60,2,FALSE),0)&gt;0,IFERROR(VLOOKUP($B2389,Dashboard!$Q$28:$S$60,2,FALSE),0),$Z2389*IF($U2389&lt;&gt;"",ROUND((Dashboard!$R$4/$U2389)*VLOOKUP($I2389,Dashboard!$Q$9:$R$13,2,FALSE)*IF(ISNUMBER(SEARCH("Duals",$B2389)),2,IF(ISNUMBER(SEARCH("Triples",$B2389)),3,IF(ISNUMBER(SEARCH("Quads",$B2389)),4,1))),2),ROUND(VLOOKUP($I2389,Dashboard!$Q$15:$R$20,2,FALSE)*IF($E2389="Red",Dashboard!$R$6,IF($E2389="Gold",Dashboard!$R$7,Dashboard!$R$5))*IF(ISNUMBER(SEARCH("Duals",$B2389)),2,IF(ISNUMBER(SEARCH("Triples",$B2389)),3,IF(ISNUMBER(SEARCH("Quads",$B2389)),4,1))),2))*IF(IFERROR(VLOOKUP($B2389,Dashboard!$Q$28:$S$60,3,FALSE),0)&gt;0,VLOOKUP($B2389,Dashboard!$Q$28:$S$60,3,FALSE),1))),0))</f>
        <v>37</v>
      </c>
      <c r="K2389" s="2" t="str">
        <f>IF(Characters!L24="","",Characters!L24)</f>
        <v>C 30/49</v>
      </c>
      <c r="L2389" s="2">
        <f t="shared" si="481"/>
        <v>1</v>
      </c>
      <c r="M2389" s="2">
        <f t="shared" si="482"/>
        <v>0</v>
      </c>
      <c r="N2389" s="2">
        <f t="shared" si="483"/>
        <v>1</v>
      </c>
      <c r="O2389" s="2">
        <f t="shared" si="484"/>
        <v>0</v>
      </c>
      <c r="P2389" s="112">
        <f t="shared" si="485"/>
        <v>37</v>
      </c>
      <c r="Q2389" s="112">
        <f t="shared" si="486"/>
        <v>0</v>
      </c>
      <c r="R2389" s="53"/>
      <c r="S2389" s="53" t="str">
        <f t="shared" si="487"/>
        <v>Autos - Singles|Characters Auto Compound V Parallel|C-23|Compound V</v>
      </c>
      <c r="T2389" s="57" t="str">
        <f>IF($S2389="","",IFERROR(VLOOKUP($S2389,'Pop Estimates (Non-#d)'!$N$2:$O$500,2,FALSE),""))</f>
        <v/>
      </c>
      <c r="U2389" s="57">
        <f t="shared" si="488"/>
        <v>49</v>
      </c>
      <c r="V2389" s="53" t="str">
        <f t="shared" si="489"/>
        <v>Lamplighter</v>
      </c>
      <c r="W2389" s="53" t="str">
        <f t="shared" si="490"/>
        <v>Lamplighter</v>
      </c>
      <c r="X2389" s="53" t="str">
        <f t="shared" si="491"/>
        <v>Lamplighter</v>
      </c>
      <c r="Y2389" s="57">
        <f>IF($X2389="","",IFERROR(VLOOKUP($X2389,'Char Popularity'!$A$2:$C$500,2,FALSE),""))</f>
        <v>2</v>
      </c>
      <c r="Z2389" s="56">
        <f>IF($X2389="",1,IFERROR(VLOOKUP($X2389,'Char Popularity'!$A$2:$C$500,3,FALSE),1))</f>
        <v>0.9</v>
      </c>
      <c r="AA2389" s="62">
        <f>IF($H2389&lt;&gt;"Y",0,(IF($F2389&lt;&gt;"",ROUND(Dashboard!$R$4/$F2389,1),IF(AND($I2389="Base",$E2389="Base"),Dashboard!$R$5,IF(AND($I2389="Base",$E2389="Red"),Dashboard!$R$6,IF(AND($I2389="Base",$E2389="Gold"),Dashboard!$R$7,VLOOKUP($I2389,Dashboard!$Q$16:$R$21,2,FALSE)))))*VLOOKUP($I2389,Dashboard!$Q$9:$R$13,2,FALSE)*IF(AND($I2389="Auto",$F2389="",OR($B2389="Autographs Duals",$B2389="Autographs Triples",$B2389="Autographs Quads",$B2389="Autographs Quads (Inscribed)")),IF($B2389="Autographs Duals",2,IF($B2389="Autographs Triples",3,4)),1)))</f>
        <v>40.799999999999997</v>
      </c>
      <c r="AB2389" s="62">
        <f t="shared" si="492"/>
        <v>40.799999999999997</v>
      </c>
      <c r="AC2389" s="62">
        <f t="shared" si="493"/>
        <v>0</v>
      </c>
    </row>
    <row r="2390" spans="1:29" ht="30" customHeight="1" x14ac:dyDescent="0.25">
      <c r="A2390" s="4" t="s">
        <v>37</v>
      </c>
      <c r="B2390" s="7" t="s">
        <v>139</v>
      </c>
      <c r="C2390" s="2" t="s">
        <v>424</v>
      </c>
      <c r="D2390" s="7" t="s">
        <v>280</v>
      </c>
      <c r="E2390" s="4" t="s">
        <v>778</v>
      </c>
      <c r="F2390" s="2">
        <v>49</v>
      </c>
      <c r="G2390" s="2" t="s">
        <v>1399</v>
      </c>
      <c r="H2390" s="2" t="s">
        <v>1400</v>
      </c>
      <c r="I2390" s="4" t="s">
        <v>68</v>
      </c>
      <c r="J2390" s="112">
        <f>IF($H2390&lt;&gt;"Y",0,ROUND(MIN(Dashboard!$R$24,IF(IFERROR(VLOOKUP($B2390,Dashboard!$Q$28:$S$60,2,FALSE),0)&gt;0,IFERROR(VLOOKUP($B2390,Dashboard!$Q$28:$S$60,2,FALSE),0),$Z2390*IF($U2390&lt;&gt;"",ROUND((Dashboard!$R$4/$U2390)*VLOOKUP($I2390,Dashboard!$Q$9:$R$13,2,FALSE)*IF(ISNUMBER(SEARCH("Duals",$B2390)),2,IF(ISNUMBER(SEARCH("Triples",$B2390)),3,IF(ISNUMBER(SEARCH("Quads",$B2390)),4,1))),2),ROUND(VLOOKUP($I2390,Dashboard!$Q$15:$R$20,2,FALSE)*IF($E2390="Red",Dashboard!$R$6,IF($E2390="Gold",Dashboard!$R$7,Dashboard!$R$5))*IF(ISNUMBER(SEARCH("Duals",$B2390)),2,IF(ISNUMBER(SEARCH("Triples",$B2390)),3,IF(ISNUMBER(SEARCH("Quads",$B2390)),4,1))),2))*IF(IFERROR(VLOOKUP($B2390,Dashboard!$Q$28:$S$60,3,FALSE),0)&gt;0,VLOOKUP($B2390,Dashboard!$Q$28:$S$60,3,FALSE),1))),0))</f>
        <v>45</v>
      </c>
      <c r="K2390" s="2" t="str">
        <f>IF(Characters!L30="","",Characters!L30)</f>
        <v>V '08/49</v>
      </c>
      <c r="L2390" s="2">
        <f t="shared" si="481"/>
        <v>1</v>
      </c>
      <c r="M2390" s="2">
        <f t="shared" si="482"/>
        <v>0</v>
      </c>
      <c r="N2390" s="2">
        <f t="shared" si="483"/>
        <v>1</v>
      </c>
      <c r="O2390" s="2">
        <f t="shared" si="484"/>
        <v>0</v>
      </c>
      <c r="P2390" s="112">
        <f t="shared" si="485"/>
        <v>45</v>
      </c>
      <c r="Q2390" s="112">
        <f t="shared" si="486"/>
        <v>0</v>
      </c>
      <c r="R2390" s="53"/>
      <c r="S2390" s="53" t="str">
        <f t="shared" si="487"/>
        <v>Autos - Singles|Characters Auto Compound V Parallel|C-29|Compound V</v>
      </c>
      <c r="T2390" s="57" t="str">
        <f>IF($S2390="","",IFERROR(VLOOKUP($S2390,'Pop Estimates (Non-#d)'!$N$2:$O$500,2,FALSE),""))</f>
        <v/>
      </c>
      <c r="U2390" s="57">
        <f t="shared" si="488"/>
        <v>49</v>
      </c>
      <c r="V2390" s="53" t="str">
        <f t="shared" si="489"/>
        <v>Grace Mallory</v>
      </c>
      <c r="W2390" s="53" t="str">
        <f t="shared" si="490"/>
        <v>Grace Mallory</v>
      </c>
      <c r="X2390" s="53" t="str">
        <f t="shared" si="491"/>
        <v>Grace Mallory</v>
      </c>
      <c r="Y2390" s="57">
        <f>IF($X2390="","",IFERROR(VLOOKUP($X2390,'Char Popularity'!$A$2:$C$500,2,FALSE),""))</f>
        <v>4</v>
      </c>
      <c r="Z2390" s="56">
        <f>IF($X2390="",1,IFERROR(VLOOKUP($X2390,'Char Popularity'!$A$2:$C$500,3,FALSE),1))</f>
        <v>1.1000000000000001</v>
      </c>
      <c r="AA2390" s="62">
        <f>IF($H2390&lt;&gt;"Y",0,(IF($F2390&lt;&gt;"",ROUND(Dashboard!$R$4/$F2390,1),IF(AND($I2390="Base",$E2390="Base"),Dashboard!$R$5,IF(AND($I2390="Base",$E2390="Red"),Dashboard!$R$6,IF(AND($I2390="Base",$E2390="Gold"),Dashboard!$R$7,VLOOKUP($I2390,Dashboard!$Q$16:$R$21,2,FALSE)))))*VLOOKUP($I2390,Dashboard!$Q$9:$R$13,2,FALSE)*IF(AND($I2390="Auto",$F2390="",OR($B2390="Autographs Duals",$B2390="Autographs Triples",$B2390="Autographs Quads",$B2390="Autographs Quads (Inscribed)")),IF($B2390="Autographs Duals",2,IF($B2390="Autographs Triples",3,4)),1)))</f>
        <v>40.799999999999997</v>
      </c>
      <c r="AB2390" s="62">
        <f t="shared" si="492"/>
        <v>40.799999999999997</v>
      </c>
      <c r="AC2390" s="62">
        <f t="shared" si="493"/>
        <v>0</v>
      </c>
    </row>
    <row r="2391" spans="1:29" ht="30" customHeight="1" x14ac:dyDescent="0.25">
      <c r="A2391" s="4" t="s">
        <v>37</v>
      </c>
      <c r="B2391" s="7" t="s">
        <v>139</v>
      </c>
      <c r="C2391" s="2" t="s">
        <v>426</v>
      </c>
      <c r="D2391" s="7" t="s">
        <v>250</v>
      </c>
      <c r="E2391" s="4" t="s">
        <v>778</v>
      </c>
      <c r="F2391" s="2">
        <v>49</v>
      </c>
      <c r="G2391" s="2" t="s">
        <v>1399</v>
      </c>
      <c r="H2391" s="2" t="s">
        <v>1400</v>
      </c>
      <c r="I2391" s="4" t="s">
        <v>68</v>
      </c>
      <c r="J2391" s="112">
        <f>IF($H2391&lt;&gt;"Y",0,ROUND(MIN(Dashboard!$R$24,IF(IFERROR(VLOOKUP($B2391,Dashboard!$Q$28:$S$60,2,FALSE),0)&gt;0,IFERROR(VLOOKUP($B2391,Dashboard!$Q$28:$S$60,2,FALSE),0),$Z2391*IF($U2391&lt;&gt;"",ROUND((Dashboard!$R$4/$U2391)*VLOOKUP($I2391,Dashboard!$Q$9:$R$13,2,FALSE)*IF(ISNUMBER(SEARCH("Duals",$B2391)),2,IF(ISNUMBER(SEARCH("Triples",$B2391)),3,IF(ISNUMBER(SEARCH("Quads",$B2391)),4,1))),2),ROUND(VLOOKUP($I2391,Dashboard!$Q$15:$R$20,2,FALSE)*IF($E2391="Red",Dashboard!$R$6,IF($E2391="Gold",Dashboard!$R$7,Dashboard!$R$5))*IF(ISNUMBER(SEARCH("Duals",$B2391)),2,IF(ISNUMBER(SEARCH("Triples",$B2391)),3,IF(ISNUMBER(SEARCH("Quads",$B2391)),4,1))),2))*IF(IFERROR(VLOOKUP($B2391,Dashboard!$Q$28:$S$60,3,FALSE),0)&gt;0,VLOOKUP($B2391,Dashboard!$Q$28:$S$60,3,FALSE),1))),0))</f>
        <v>41</v>
      </c>
      <c r="K2391" s="2" t="str">
        <f>IF(Characters!L32="","",Characters!L32)</f>
        <v/>
      </c>
      <c r="L2391" s="2">
        <f t="shared" si="481"/>
        <v>0</v>
      </c>
      <c r="M2391" s="2">
        <f t="shared" si="482"/>
        <v>0</v>
      </c>
      <c r="N2391" s="2">
        <f t="shared" si="483"/>
        <v>0</v>
      </c>
      <c r="O2391" s="2">
        <f t="shared" si="484"/>
        <v>1</v>
      </c>
      <c r="P2391" s="112">
        <f t="shared" si="485"/>
        <v>0</v>
      </c>
      <c r="Q2391" s="112">
        <f t="shared" si="486"/>
        <v>0</v>
      </c>
      <c r="R2391" s="53"/>
      <c r="S2391" s="53" t="str">
        <f t="shared" si="487"/>
        <v>Autos - Singles|Characters Auto Compound V Parallel|C-31|Compound V</v>
      </c>
      <c r="T2391" s="57" t="str">
        <f>IF($S2391="","",IFERROR(VLOOKUP($S2391,'Pop Estimates (Non-#d)'!$N$2:$O$500,2,FALSE),""))</f>
        <v/>
      </c>
      <c r="U2391" s="57">
        <f t="shared" si="488"/>
        <v>49</v>
      </c>
      <c r="V2391" s="53" t="str">
        <f t="shared" si="489"/>
        <v>Madelyn Stillwell</v>
      </c>
      <c r="W2391" s="53" t="str">
        <f t="shared" si="490"/>
        <v>Madelyn Stillwell</v>
      </c>
      <c r="X2391" s="53" t="str">
        <f t="shared" si="491"/>
        <v>Madelyn Stillwell</v>
      </c>
      <c r="Y2391" s="57">
        <f>IF($X2391="","",IFERROR(VLOOKUP($X2391,'Char Popularity'!$A$2:$C$500,2,FALSE),""))</f>
        <v>3</v>
      </c>
      <c r="Z2391" s="56">
        <f>IF($X2391="",1,IFERROR(VLOOKUP($X2391,'Char Popularity'!$A$2:$C$500,3,FALSE),1))</f>
        <v>1</v>
      </c>
      <c r="AA2391" s="62">
        <f>IF($H2391&lt;&gt;"Y",0,(IF($F2391&lt;&gt;"",ROUND(Dashboard!$R$4/$F2391,1),IF(AND($I2391="Base",$E2391="Base"),Dashboard!$R$5,IF(AND($I2391="Base",$E2391="Red"),Dashboard!$R$6,IF(AND($I2391="Base",$E2391="Gold"),Dashboard!$R$7,VLOOKUP($I2391,Dashboard!$Q$16:$R$21,2,FALSE)))))*VLOOKUP($I2391,Dashboard!$Q$9:$R$13,2,FALSE)*IF(AND($I2391="Auto",$F2391="",OR($B2391="Autographs Duals",$B2391="Autographs Triples",$B2391="Autographs Quads",$B2391="Autographs Quads (Inscribed)")),IF($B2391="Autographs Duals",2,IF($B2391="Autographs Triples",3,4)),1)))</f>
        <v>40.799999999999997</v>
      </c>
      <c r="AB2391" s="62">
        <f t="shared" si="492"/>
        <v>0</v>
      </c>
      <c r="AC2391" s="62">
        <f t="shared" si="493"/>
        <v>0</v>
      </c>
    </row>
    <row r="2392" spans="1:29" ht="30" customHeight="1" x14ac:dyDescent="0.25">
      <c r="A2392" s="4" t="s">
        <v>37</v>
      </c>
      <c r="B2392" s="7" t="s">
        <v>139</v>
      </c>
      <c r="C2392" s="2" t="s">
        <v>427</v>
      </c>
      <c r="D2392" s="7" t="s">
        <v>283</v>
      </c>
      <c r="E2392" s="4" t="s">
        <v>778</v>
      </c>
      <c r="F2392" s="2">
        <v>49</v>
      </c>
      <c r="G2392" s="2" t="s">
        <v>1399</v>
      </c>
      <c r="H2392" s="2" t="s">
        <v>1400</v>
      </c>
      <c r="I2392" s="4" t="s">
        <v>68</v>
      </c>
      <c r="J2392" s="112">
        <f>IF($H2392&lt;&gt;"Y",0,ROUND(MIN(Dashboard!$R$24,IF(IFERROR(VLOOKUP($B2392,Dashboard!$Q$28:$S$60,2,FALSE),0)&gt;0,IFERROR(VLOOKUP($B2392,Dashboard!$Q$28:$S$60,2,FALSE),0),$Z2392*IF($U2392&lt;&gt;"",ROUND((Dashboard!$R$4/$U2392)*VLOOKUP($I2392,Dashboard!$Q$9:$R$13,2,FALSE)*IF(ISNUMBER(SEARCH("Duals",$B2392)),2,IF(ISNUMBER(SEARCH("Triples",$B2392)),3,IF(ISNUMBER(SEARCH("Quads",$B2392)),4,1))),2),ROUND(VLOOKUP($I2392,Dashboard!$Q$15:$R$20,2,FALSE)*IF($E2392="Red",Dashboard!$R$6,IF($E2392="Gold",Dashboard!$R$7,Dashboard!$R$5))*IF(ISNUMBER(SEARCH("Duals",$B2392)),2,IF(ISNUMBER(SEARCH("Triples",$B2392)),3,IF(ISNUMBER(SEARCH("Quads",$B2392)),4,1))),2))*IF(IFERROR(VLOOKUP($B2392,Dashboard!$Q$28:$S$60,3,FALSE),0)&gt;0,VLOOKUP($B2392,Dashboard!$Q$28:$S$60,3,FALSE),1))),0))</f>
        <v>45</v>
      </c>
      <c r="K2392" s="2" t="str">
        <f>IF(Characters!L40="","",Characters!L40)</f>
        <v/>
      </c>
      <c r="L2392" s="2">
        <f t="shared" si="481"/>
        <v>0</v>
      </c>
      <c r="M2392" s="2">
        <f t="shared" si="482"/>
        <v>0</v>
      </c>
      <c r="N2392" s="2">
        <f t="shared" si="483"/>
        <v>0</v>
      </c>
      <c r="O2392" s="2">
        <f t="shared" si="484"/>
        <v>1</v>
      </c>
      <c r="P2392" s="112">
        <f t="shared" si="485"/>
        <v>0</v>
      </c>
      <c r="Q2392" s="112">
        <f t="shared" si="486"/>
        <v>0</v>
      </c>
      <c r="R2392" s="53"/>
      <c r="S2392" s="53" t="str">
        <f t="shared" si="487"/>
        <v>Autos - Singles|Characters Auto Compound V Parallel|C-39|Compound V</v>
      </c>
      <c r="T2392" s="57" t="str">
        <f>IF($S2392="","",IFERROR(VLOOKUP($S2392,'Pop Estimates (Non-#d)'!$N$2:$O$500,2,FALSE),""))</f>
        <v/>
      </c>
      <c r="U2392" s="57">
        <f t="shared" si="488"/>
        <v>49</v>
      </c>
      <c r="V2392" s="53" t="str">
        <f t="shared" si="489"/>
        <v>Black Noir</v>
      </c>
      <c r="W2392" s="53" t="str">
        <f t="shared" si="490"/>
        <v>Black Noir</v>
      </c>
      <c r="X2392" s="53" t="str">
        <f t="shared" si="491"/>
        <v>Black Noir</v>
      </c>
      <c r="Y2392" s="57">
        <f>IF($X2392="","",IFERROR(VLOOKUP($X2392,'Char Popularity'!$A$2:$C$500,2,FALSE),""))</f>
        <v>4</v>
      </c>
      <c r="Z2392" s="56">
        <f>IF($X2392="",1,IFERROR(VLOOKUP($X2392,'Char Popularity'!$A$2:$C$500,3,FALSE),1))</f>
        <v>1.1000000000000001</v>
      </c>
      <c r="AA2392" s="62">
        <f>IF($H2392&lt;&gt;"Y",0,(IF($F2392&lt;&gt;"",ROUND(Dashboard!$R$4/$F2392,1),IF(AND($I2392="Base",$E2392="Base"),Dashboard!$R$5,IF(AND($I2392="Base",$E2392="Red"),Dashboard!$R$6,IF(AND($I2392="Base",$E2392="Gold"),Dashboard!$R$7,VLOOKUP($I2392,Dashboard!$Q$16:$R$21,2,FALSE)))))*VLOOKUP($I2392,Dashboard!$Q$9:$R$13,2,FALSE)*IF(AND($I2392="Auto",$F2392="",OR($B2392="Autographs Duals",$B2392="Autographs Triples",$B2392="Autographs Quads",$B2392="Autographs Quads (Inscribed)")),IF($B2392="Autographs Duals",2,IF($B2392="Autographs Triples",3,4)),1)))</f>
        <v>40.799999999999997</v>
      </c>
      <c r="AB2392" s="62">
        <f t="shared" si="492"/>
        <v>0</v>
      </c>
      <c r="AC2392" s="62">
        <f t="shared" si="493"/>
        <v>0</v>
      </c>
    </row>
    <row r="2393" spans="1:29" ht="30" customHeight="1" x14ac:dyDescent="0.25">
      <c r="A2393" s="4" t="s">
        <v>37</v>
      </c>
      <c r="B2393" s="7" t="s">
        <v>139</v>
      </c>
      <c r="C2393" s="2" t="s">
        <v>429</v>
      </c>
      <c r="D2393" s="7" t="s">
        <v>238</v>
      </c>
      <c r="E2393" s="4" t="s">
        <v>778</v>
      </c>
      <c r="F2393" s="2">
        <v>49</v>
      </c>
      <c r="G2393" s="2" t="s">
        <v>1399</v>
      </c>
      <c r="H2393" s="2" t="s">
        <v>1400</v>
      </c>
      <c r="I2393" s="4" t="s">
        <v>68</v>
      </c>
      <c r="J2393" s="112">
        <f>IF($H2393&lt;&gt;"Y",0,ROUND(MIN(Dashboard!$R$24,IF(IFERROR(VLOOKUP($B2393,Dashboard!$Q$28:$S$60,2,FALSE),0)&gt;0,IFERROR(VLOOKUP($B2393,Dashboard!$Q$28:$S$60,2,FALSE),0),$Z2393*IF($U2393&lt;&gt;"",ROUND((Dashboard!$R$4/$U2393)*VLOOKUP($I2393,Dashboard!$Q$9:$R$13,2,FALSE)*IF(ISNUMBER(SEARCH("Duals",$B2393)),2,IF(ISNUMBER(SEARCH("Triples",$B2393)),3,IF(ISNUMBER(SEARCH("Quads",$B2393)),4,1))),2),ROUND(VLOOKUP($I2393,Dashboard!$Q$15:$R$20,2,FALSE)*IF($E2393="Red",Dashboard!$R$6,IF($E2393="Gold",Dashboard!$R$7,Dashboard!$R$5))*IF(ISNUMBER(SEARCH("Duals",$B2393)),2,IF(ISNUMBER(SEARCH("Triples",$B2393)),3,IF(ISNUMBER(SEARCH("Quads",$B2393)),4,1))),2))*IF(IFERROR(VLOOKUP($B2393,Dashboard!$Q$28:$S$60,3,FALSE),0)&gt;0,VLOOKUP($B2393,Dashboard!$Q$28:$S$60,3,FALSE),1))),0))</f>
        <v>45</v>
      </c>
      <c r="K2393" s="2" t="str">
        <f>IF(Characters!L41="","",Characters!L41)</f>
        <v/>
      </c>
      <c r="L2393" s="2">
        <f t="shared" si="481"/>
        <v>0</v>
      </c>
      <c r="M2393" s="2">
        <f t="shared" si="482"/>
        <v>0</v>
      </c>
      <c r="N2393" s="2">
        <f t="shared" si="483"/>
        <v>0</v>
      </c>
      <c r="O2393" s="2">
        <f t="shared" si="484"/>
        <v>1</v>
      </c>
      <c r="P2393" s="112">
        <f t="shared" si="485"/>
        <v>0</v>
      </c>
      <c r="Q2393" s="112">
        <f t="shared" si="486"/>
        <v>0</v>
      </c>
      <c r="R2393" s="53"/>
      <c r="S2393" s="53" t="str">
        <f t="shared" si="487"/>
        <v>Autos - Singles|Characters Auto Compound V Parallel|C-40|Compound V</v>
      </c>
      <c r="T2393" s="57" t="str">
        <f>IF($S2393="","",IFERROR(VLOOKUP($S2393,'Pop Estimates (Non-#d)'!$N$2:$O$500,2,FALSE),""))</f>
        <v/>
      </c>
      <c r="U2393" s="57">
        <f t="shared" si="488"/>
        <v>49</v>
      </c>
      <c r="V2393" s="53" t="str">
        <f t="shared" si="489"/>
        <v>Frenchie</v>
      </c>
      <c r="W2393" s="53" t="str">
        <f t="shared" si="490"/>
        <v>Frenchie</v>
      </c>
      <c r="X2393" s="53" t="str">
        <f t="shared" si="491"/>
        <v>Frenchie</v>
      </c>
      <c r="Y2393" s="57">
        <f>IF($X2393="","",IFERROR(VLOOKUP($X2393,'Char Popularity'!$A$2:$C$500,2,FALSE),""))</f>
        <v>4</v>
      </c>
      <c r="Z2393" s="56">
        <f>IF($X2393="",1,IFERROR(VLOOKUP($X2393,'Char Popularity'!$A$2:$C$500,3,FALSE),1))</f>
        <v>1.1000000000000001</v>
      </c>
      <c r="AA2393" s="62">
        <f>IF($H2393&lt;&gt;"Y",0,(IF($F2393&lt;&gt;"",ROUND(Dashboard!$R$4/$F2393,1),IF(AND($I2393="Base",$E2393="Base"),Dashboard!$R$5,IF(AND($I2393="Base",$E2393="Red"),Dashboard!$R$6,IF(AND($I2393="Base",$E2393="Gold"),Dashboard!$R$7,VLOOKUP($I2393,Dashboard!$Q$16:$R$21,2,FALSE)))))*VLOOKUP($I2393,Dashboard!$Q$9:$R$13,2,FALSE)*IF(AND($I2393="Auto",$F2393="",OR($B2393="Autographs Duals",$B2393="Autographs Triples",$B2393="Autographs Quads",$B2393="Autographs Quads (Inscribed)")),IF($B2393="Autographs Duals",2,IF($B2393="Autographs Triples",3,4)),1)))</f>
        <v>40.799999999999997</v>
      </c>
      <c r="AB2393" s="62">
        <f t="shared" si="492"/>
        <v>0</v>
      </c>
      <c r="AC2393" s="62">
        <f t="shared" si="493"/>
        <v>0</v>
      </c>
    </row>
    <row r="2394" spans="1:29" ht="30" customHeight="1" x14ac:dyDescent="0.25">
      <c r="A2394" s="4" t="s">
        <v>37</v>
      </c>
      <c r="B2394" s="7" t="s">
        <v>139</v>
      </c>
      <c r="C2394" s="2" t="s">
        <v>430</v>
      </c>
      <c r="D2394" s="7" t="s">
        <v>288</v>
      </c>
      <c r="E2394" s="4" t="s">
        <v>778</v>
      </c>
      <c r="F2394" s="2">
        <v>49</v>
      </c>
      <c r="G2394" s="2" t="s">
        <v>1399</v>
      </c>
      <c r="H2394" s="2" t="s">
        <v>1400</v>
      </c>
      <c r="I2394" s="4" t="s">
        <v>68</v>
      </c>
      <c r="J2394" s="112">
        <f>IF($H2394&lt;&gt;"Y",0,ROUND(MIN(Dashboard!$R$24,IF(IFERROR(VLOOKUP($B2394,Dashboard!$Q$28:$S$60,2,FALSE),0)&gt;0,IFERROR(VLOOKUP($B2394,Dashboard!$Q$28:$S$60,2,FALSE),0),$Z2394*IF($U2394&lt;&gt;"",ROUND((Dashboard!$R$4/$U2394)*VLOOKUP($I2394,Dashboard!$Q$9:$R$13,2,FALSE)*IF(ISNUMBER(SEARCH("Duals",$B2394)),2,IF(ISNUMBER(SEARCH("Triples",$B2394)),3,IF(ISNUMBER(SEARCH("Quads",$B2394)),4,1))),2),ROUND(VLOOKUP($I2394,Dashboard!$Q$15:$R$20,2,FALSE)*IF($E2394="Red",Dashboard!$R$6,IF($E2394="Gold",Dashboard!$R$7,Dashboard!$R$5))*IF(ISNUMBER(SEARCH("Duals",$B2394)),2,IF(ISNUMBER(SEARCH("Triples",$B2394)),3,IF(ISNUMBER(SEARCH("Quads",$B2394)),4,1))),2))*IF(IFERROR(VLOOKUP($B2394,Dashboard!$Q$28:$S$60,3,FALSE),0)&gt;0,VLOOKUP($B2394,Dashboard!$Q$28:$S$60,3,FALSE),1))),0))</f>
        <v>37</v>
      </c>
      <c r="K2394" s="2" t="str">
        <f>IF(Characters!L43="","",Characters!L43)</f>
        <v>C 29/49</v>
      </c>
      <c r="L2394" s="2">
        <f t="shared" si="481"/>
        <v>1</v>
      </c>
      <c r="M2394" s="2">
        <f t="shared" si="482"/>
        <v>0</v>
      </c>
      <c r="N2394" s="2">
        <f t="shared" si="483"/>
        <v>1</v>
      </c>
      <c r="O2394" s="2">
        <f t="shared" si="484"/>
        <v>0</v>
      </c>
      <c r="P2394" s="112">
        <f t="shared" si="485"/>
        <v>37</v>
      </c>
      <c r="Q2394" s="112">
        <f t="shared" si="486"/>
        <v>0</v>
      </c>
      <c r="R2394" s="53"/>
      <c r="S2394" s="53" t="str">
        <f t="shared" si="487"/>
        <v>Autos - Singles|Characters Auto Compound V Parallel|C-42|Compound V</v>
      </c>
      <c r="T2394" s="57" t="str">
        <f>IF($S2394="","",IFERROR(VLOOKUP($S2394,'Pop Estimates (Non-#d)'!$N$2:$O$500,2,FALSE),""))</f>
        <v/>
      </c>
      <c r="U2394" s="57">
        <f t="shared" si="488"/>
        <v>49</v>
      </c>
      <c r="V2394" s="53" t="str">
        <f t="shared" si="489"/>
        <v>Shockwave</v>
      </c>
      <c r="W2394" s="53" t="str">
        <f t="shared" si="490"/>
        <v>Shockwave</v>
      </c>
      <c r="X2394" s="53" t="str">
        <f t="shared" si="491"/>
        <v>Shockwave</v>
      </c>
      <c r="Y2394" s="57">
        <f>IF($X2394="","",IFERROR(VLOOKUP($X2394,'Char Popularity'!$A$2:$C$500,2,FALSE),""))</f>
        <v>2</v>
      </c>
      <c r="Z2394" s="56">
        <f>IF($X2394="",1,IFERROR(VLOOKUP($X2394,'Char Popularity'!$A$2:$C$500,3,FALSE),1))</f>
        <v>0.9</v>
      </c>
      <c r="AA2394" s="62">
        <f>IF($H2394&lt;&gt;"Y",0,(IF($F2394&lt;&gt;"",ROUND(Dashboard!$R$4/$F2394,1),IF(AND($I2394="Base",$E2394="Base"),Dashboard!$R$5,IF(AND($I2394="Base",$E2394="Red"),Dashboard!$R$6,IF(AND($I2394="Base",$E2394="Gold"),Dashboard!$R$7,VLOOKUP($I2394,Dashboard!$Q$16:$R$21,2,FALSE)))))*VLOOKUP($I2394,Dashboard!$Q$9:$R$13,2,FALSE)*IF(AND($I2394="Auto",$F2394="",OR($B2394="Autographs Duals",$B2394="Autographs Triples",$B2394="Autographs Quads",$B2394="Autographs Quads (Inscribed)")),IF($B2394="Autographs Duals",2,IF($B2394="Autographs Triples",3,4)),1)))</f>
        <v>40.799999999999997</v>
      </c>
      <c r="AB2394" s="62">
        <f t="shared" si="492"/>
        <v>40.799999999999997</v>
      </c>
      <c r="AC2394" s="62">
        <f t="shared" si="493"/>
        <v>0</v>
      </c>
    </row>
    <row r="2395" spans="1:29" ht="30" customHeight="1" x14ac:dyDescent="0.25">
      <c r="A2395" s="4" t="s">
        <v>37</v>
      </c>
      <c r="B2395" s="7" t="s">
        <v>139</v>
      </c>
      <c r="C2395" s="2" t="s">
        <v>431</v>
      </c>
      <c r="D2395" s="7" t="s">
        <v>234</v>
      </c>
      <c r="E2395" s="4" t="s">
        <v>778</v>
      </c>
      <c r="F2395" s="2">
        <v>49</v>
      </c>
      <c r="G2395" s="2" t="s">
        <v>1399</v>
      </c>
      <c r="H2395" s="2" t="s">
        <v>1400</v>
      </c>
      <c r="I2395" s="4" t="s">
        <v>68</v>
      </c>
      <c r="J2395" s="112">
        <f>IF($H2395&lt;&gt;"Y",0,ROUND(MIN(Dashboard!$R$24,IF(IFERROR(VLOOKUP($B2395,Dashboard!$Q$28:$S$60,2,FALSE),0)&gt;0,IFERROR(VLOOKUP($B2395,Dashboard!$Q$28:$S$60,2,FALSE),0),$Z2395*IF($U2395&lt;&gt;"",ROUND((Dashboard!$R$4/$U2395)*VLOOKUP($I2395,Dashboard!$Q$9:$R$13,2,FALSE)*IF(ISNUMBER(SEARCH("Duals",$B2395)),2,IF(ISNUMBER(SEARCH("Triples",$B2395)),3,IF(ISNUMBER(SEARCH("Quads",$B2395)),4,1))),2),ROUND(VLOOKUP($I2395,Dashboard!$Q$15:$R$20,2,FALSE)*IF($E2395="Red",Dashboard!$R$6,IF($E2395="Gold",Dashboard!$R$7,Dashboard!$R$5))*IF(ISNUMBER(SEARCH("Duals",$B2395)),2,IF(ISNUMBER(SEARCH("Triples",$B2395)),3,IF(ISNUMBER(SEARCH("Quads",$B2395)),4,1))),2))*IF(IFERROR(VLOOKUP($B2395,Dashboard!$Q$28:$S$60,3,FALSE),0)&gt;0,VLOOKUP($B2395,Dashboard!$Q$28:$S$60,3,FALSE),1))),0))</f>
        <v>41</v>
      </c>
      <c r="K2395" s="2" t="str">
        <f>IF(Characters!L46="","",Characters!L46)</f>
        <v>V 45/49</v>
      </c>
      <c r="L2395" s="2">
        <f t="shared" si="481"/>
        <v>1</v>
      </c>
      <c r="M2395" s="2">
        <f t="shared" si="482"/>
        <v>0</v>
      </c>
      <c r="N2395" s="2">
        <f t="shared" si="483"/>
        <v>1</v>
      </c>
      <c r="O2395" s="2">
        <f t="shared" si="484"/>
        <v>0</v>
      </c>
      <c r="P2395" s="112">
        <f t="shared" si="485"/>
        <v>41</v>
      </c>
      <c r="Q2395" s="112">
        <f t="shared" si="486"/>
        <v>0</v>
      </c>
      <c r="R2395" s="53"/>
      <c r="S2395" s="53" t="str">
        <f t="shared" si="487"/>
        <v>Autos - Singles|Characters Auto Compound V Parallel|C-45|Compound V</v>
      </c>
      <c r="T2395" s="57" t="str">
        <f>IF($S2395="","",IFERROR(VLOOKUP($S2395,'Pop Estimates (Non-#d)'!$N$2:$O$500,2,FALSE),""))</f>
        <v/>
      </c>
      <c r="U2395" s="57">
        <f t="shared" si="488"/>
        <v>49</v>
      </c>
      <c r="V2395" s="53" t="str">
        <f t="shared" si="489"/>
        <v>Ashley Barrett</v>
      </c>
      <c r="W2395" s="53" t="str">
        <f t="shared" si="490"/>
        <v>Ashley Barrett</v>
      </c>
      <c r="X2395" s="53" t="str">
        <f t="shared" si="491"/>
        <v>Ashley Barrett</v>
      </c>
      <c r="Y2395" s="57">
        <f>IF($X2395="","",IFERROR(VLOOKUP($X2395,'Char Popularity'!$A$2:$C$500,2,FALSE),""))</f>
        <v>3</v>
      </c>
      <c r="Z2395" s="56">
        <f>IF($X2395="",1,IFERROR(VLOOKUP($X2395,'Char Popularity'!$A$2:$C$500,3,FALSE),1))</f>
        <v>1</v>
      </c>
      <c r="AA2395" s="62">
        <f>IF($H2395&lt;&gt;"Y",0,(IF($F2395&lt;&gt;"",ROUND(Dashboard!$R$4/$F2395,1),IF(AND($I2395="Base",$E2395="Base"),Dashboard!$R$5,IF(AND($I2395="Base",$E2395="Red"),Dashboard!$R$6,IF(AND($I2395="Base",$E2395="Gold"),Dashboard!$R$7,VLOOKUP($I2395,Dashboard!$Q$16:$R$21,2,FALSE)))))*VLOOKUP($I2395,Dashboard!$Q$9:$R$13,2,FALSE)*IF(AND($I2395="Auto",$F2395="",OR($B2395="Autographs Duals",$B2395="Autographs Triples",$B2395="Autographs Quads",$B2395="Autographs Quads (Inscribed)")),IF($B2395="Autographs Duals",2,IF($B2395="Autographs Triples",3,4)),1)))</f>
        <v>40.799999999999997</v>
      </c>
      <c r="AB2395" s="62">
        <f t="shared" si="492"/>
        <v>40.799999999999997</v>
      </c>
      <c r="AC2395" s="62">
        <f t="shared" si="493"/>
        <v>0</v>
      </c>
    </row>
    <row r="2396" spans="1:29" ht="30" customHeight="1" x14ac:dyDescent="0.25">
      <c r="A2396" s="4" t="s">
        <v>37</v>
      </c>
      <c r="B2396" s="7" t="s">
        <v>139</v>
      </c>
      <c r="C2396" s="2" t="s">
        <v>432</v>
      </c>
      <c r="D2396" s="7" t="s">
        <v>248</v>
      </c>
      <c r="E2396" s="4" t="s">
        <v>778</v>
      </c>
      <c r="F2396" s="2">
        <v>49</v>
      </c>
      <c r="G2396" s="2" t="s">
        <v>1399</v>
      </c>
      <c r="H2396" s="2" t="s">
        <v>1400</v>
      </c>
      <c r="I2396" s="4" t="s">
        <v>68</v>
      </c>
      <c r="J2396" s="112">
        <f>IF($H2396&lt;&gt;"Y",0,ROUND(MIN(Dashboard!$R$24,IF(IFERROR(VLOOKUP($B2396,Dashboard!$Q$28:$S$60,2,FALSE),0)&gt;0,IFERROR(VLOOKUP($B2396,Dashboard!$Q$28:$S$60,2,FALSE),0),$Z2396*IF($U2396&lt;&gt;"",ROUND((Dashboard!$R$4/$U2396)*VLOOKUP($I2396,Dashboard!$Q$9:$R$13,2,FALSE)*IF(ISNUMBER(SEARCH("Duals",$B2396)),2,IF(ISNUMBER(SEARCH("Triples",$B2396)),3,IF(ISNUMBER(SEARCH("Quads",$B2396)),4,1))),2),ROUND(VLOOKUP($I2396,Dashboard!$Q$15:$R$20,2,FALSE)*IF($E2396="Red",Dashboard!$R$6,IF($E2396="Gold",Dashboard!$R$7,Dashboard!$R$5))*IF(ISNUMBER(SEARCH("Duals",$B2396)),2,IF(ISNUMBER(SEARCH("Triples",$B2396)),3,IF(ISNUMBER(SEARCH("Quads",$B2396)),4,1))),2))*IF(IFERROR(VLOOKUP($B2396,Dashboard!$Q$28:$S$60,3,FALSE),0)&gt;0,VLOOKUP($B2396,Dashboard!$Q$28:$S$60,3,FALSE),1))),0))</f>
        <v>49</v>
      </c>
      <c r="K2396" s="2" t="str">
        <f>IF(Characters!L47="","",Characters!L47)</f>
        <v/>
      </c>
      <c r="L2396" s="2">
        <f t="shared" si="481"/>
        <v>0</v>
      </c>
      <c r="M2396" s="2">
        <f t="shared" si="482"/>
        <v>0</v>
      </c>
      <c r="N2396" s="2">
        <f t="shared" si="483"/>
        <v>0</v>
      </c>
      <c r="O2396" s="2">
        <f t="shared" si="484"/>
        <v>1</v>
      </c>
      <c r="P2396" s="112">
        <f t="shared" si="485"/>
        <v>0</v>
      </c>
      <c r="Q2396" s="112">
        <f t="shared" si="486"/>
        <v>0</v>
      </c>
      <c r="R2396" s="53"/>
      <c r="S2396" s="53" t="str">
        <f t="shared" si="487"/>
        <v>Autos - Singles|Characters Auto Compound V Parallel|C-46|Compound V</v>
      </c>
      <c r="T2396" s="57" t="str">
        <f>IF($S2396="","",IFERROR(VLOOKUP($S2396,'Pop Estimates (Non-#d)'!$N$2:$O$500,2,FALSE),""))</f>
        <v/>
      </c>
      <c r="U2396" s="57">
        <f t="shared" si="488"/>
        <v>49</v>
      </c>
      <c r="V2396" s="53" t="str">
        <f t="shared" si="489"/>
        <v>Starlight</v>
      </c>
      <c r="W2396" s="53" t="str">
        <f t="shared" si="490"/>
        <v>Starlight</v>
      </c>
      <c r="X2396" s="53" t="str">
        <f t="shared" si="491"/>
        <v>Starlight</v>
      </c>
      <c r="Y2396" s="57">
        <f>IF($X2396="","",IFERROR(VLOOKUP($X2396,'Char Popularity'!$A$2:$C$500,2,FALSE),""))</f>
        <v>5</v>
      </c>
      <c r="Z2396" s="56">
        <f>IF($X2396="",1,IFERROR(VLOOKUP($X2396,'Char Popularity'!$A$2:$C$500,3,FALSE),1))</f>
        <v>1.2</v>
      </c>
      <c r="AA2396" s="62">
        <f>IF($H2396&lt;&gt;"Y",0,(IF($F2396&lt;&gt;"",ROUND(Dashboard!$R$4/$F2396,1),IF(AND($I2396="Base",$E2396="Base"),Dashboard!$R$5,IF(AND($I2396="Base",$E2396="Red"),Dashboard!$R$6,IF(AND($I2396="Base",$E2396="Gold"),Dashboard!$R$7,VLOOKUP($I2396,Dashboard!$Q$16:$R$21,2,FALSE)))))*VLOOKUP($I2396,Dashboard!$Q$9:$R$13,2,FALSE)*IF(AND($I2396="Auto",$F2396="",OR($B2396="Autographs Duals",$B2396="Autographs Triples",$B2396="Autographs Quads",$B2396="Autographs Quads (Inscribed)")),IF($B2396="Autographs Duals",2,IF($B2396="Autographs Triples",3,4)),1)))</f>
        <v>40.799999999999997</v>
      </c>
      <c r="AB2396" s="62">
        <f t="shared" si="492"/>
        <v>0</v>
      </c>
      <c r="AC2396" s="62">
        <f t="shared" si="493"/>
        <v>0</v>
      </c>
    </row>
    <row r="2397" spans="1:29" ht="30" customHeight="1" x14ac:dyDescent="0.25">
      <c r="A2397" s="4" t="s">
        <v>37</v>
      </c>
      <c r="B2397" s="7" t="s">
        <v>139</v>
      </c>
      <c r="C2397" s="2" t="s">
        <v>433</v>
      </c>
      <c r="D2397" s="7" t="s">
        <v>222</v>
      </c>
      <c r="E2397" s="4" t="s">
        <v>778</v>
      </c>
      <c r="F2397" s="2">
        <v>49</v>
      </c>
      <c r="G2397" s="2" t="s">
        <v>1399</v>
      </c>
      <c r="H2397" s="2" t="s">
        <v>1400</v>
      </c>
      <c r="I2397" s="4" t="s">
        <v>68</v>
      </c>
      <c r="J2397" s="112">
        <f>IF($H2397&lt;&gt;"Y",0,ROUND(MIN(Dashboard!$R$24,IF(IFERROR(VLOOKUP($B2397,Dashboard!$Q$28:$S$60,2,FALSE),0)&gt;0,IFERROR(VLOOKUP($B2397,Dashboard!$Q$28:$S$60,2,FALSE),0),$Z2397*IF($U2397&lt;&gt;"",ROUND((Dashboard!$R$4/$U2397)*VLOOKUP($I2397,Dashboard!$Q$9:$R$13,2,FALSE)*IF(ISNUMBER(SEARCH("Duals",$B2397)),2,IF(ISNUMBER(SEARCH("Triples",$B2397)),3,IF(ISNUMBER(SEARCH("Quads",$B2397)),4,1))),2),ROUND(VLOOKUP($I2397,Dashboard!$Q$15:$R$20,2,FALSE)*IF($E2397="Red",Dashboard!$R$6,IF($E2397="Gold",Dashboard!$R$7,Dashboard!$R$5))*IF(ISNUMBER(SEARCH("Duals",$B2397)),2,IF(ISNUMBER(SEARCH("Triples",$B2397)),3,IF(ISNUMBER(SEARCH("Quads",$B2397)),4,1))),2))*IF(IFERROR(VLOOKUP($B2397,Dashboard!$Q$28:$S$60,3,FALSE),0)&gt;0,VLOOKUP($B2397,Dashboard!$Q$28:$S$60,3,FALSE),1))),0))</f>
        <v>49</v>
      </c>
      <c r="K2397" s="2" t="str">
        <f>IF(Characters!L48="","",Characters!L48)</f>
        <v/>
      </c>
      <c r="L2397" s="2">
        <f t="shared" si="481"/>
        <v>0</v>
      </c>
      <c r="M2397" s="2">
        <f t="shared" si="482"/>
        <v>0</v>
      </c>
      <c r="N2397" s="2">
        <f t="shared" si="483"/>
        <v>0</v>
      </c>
      <c r="O2397" s="2">
        <f t="shared" si="484"/>
        <v>1</v>
      </c>
      <c r="P2397" s="112">
        <f t="shared" si="485"/>
        <v>0</v>
      </c>
      <c r="Q2397" s="112">
        <f t="shared" si="486"/>
        <v>0</v>
      </c>
      <c r="R2397" s="53"/>
      <c r="S2397" s="53" t="str">
        <f t="shared" si="487"/>
        <v>Autos - Singles|Characters Auto Compound V Parallel|C-47|Compound V</v>
      </c>
      <c r="T2397" s="57" t="str">
        <f>IF($S2397="","",IFERROR(VLOOKUP($S2397,'Pop Estimates (Non-#d)'!$N$2:$O$500,2,FALSE),""))</f>
        <v/>
      </c>
      <c r="U2397" s="57">
        <f t="shared" si="488"/>
        <v>49</v>
      </c>
      <c r="V2397" s="53" t="str">
        <f t="shared" si="489"/>
        <v>Homelander</v>
      </c>
      <c r="W2397" s="53" t="str">
        <f t="shared" si="490"/>
        <v>Homelander</v>
      </c>
      <c r="X2397" s="53" t="str">
        <f t="shared" si="491"/>
        <v>Homelander</v>
      </c>
      <c r="Y2397" s="57">
        <f>IF($X2397="","",IFERROR(VLOOKUP($X2397,'Char Popularity'!$A$2:$C$500,2,FALSE),""))</f>
        <v>5</v>
      </c>
      <c r="Z2397" s="56">
        <f>IF($X2397="",1,IFERROR(VLOOKUP($X2397,'Char Popularity'!$A$2:$C$500,3,FALSE),1))</f>
        <v>1.2</v>
      </c>
      <c r="AA2397" s="62">
        <f>IF($H2397&lt;&gt;"Y",0,(IF($F2397&lt;&gt;"",ROUND(Dashboard!$R$4/$F2397,1),IF(AND($I2397="Base",$E2397="Base"),Dashboard!$R$5,IF(AND($I2397="Base",$E2397="Red"),Dashboard!$R$6,IF(AND($I2397="Base",$E2397="Gold"),Dashboard!$R$7,VLOOKUP($I2397,Dashboard!$Q$16:$R$21,2,FALSE)))))*VLOOKUP($I2397,Dashboard!$Q$9:$R$13,2,FALSE)*IF(AND($I2397="Auto",$F2397="",OR($B2397="Autographs Duals",$B2397="Autographs Triples",$B2397="Autographs Quads",$B2397="Autographs Quads (Inscribed)")),IF($B2397="Autographs Duals",2,IF($B2397="Autographs Triples",3,4)),1)))</f>
        <v>40.799999999999997</v>
      </c>
      <c r="AB2397" s="62">
        <f t="shared" si="492"/>
        <v>0</v>
      </c>
      <c r="AC2397" s="62">
        <f t="shared" si="493"/>
        <v>0</v>
      </c>
    </row>
    <row r="2398" spans="1:29" ht="30" customHeight="1" x14ac:dyDescent="0.25">
      <c r="A2398" s="4" t="s">
        <v>37</v>
      </c>
      <c r="B2398" s="7" t="s">
        <v>138</v>
      </c>
      <c r="C2398" s="2" t="s">
        <v>409</v>
      </c>
      <c r="D2398" s="7" t="s">
        <v>263</v>
      </c>
      <c r="E2398" s="4" t="s">
        <v>60</v>
      </c>
      <c r="F2398" s="2"/>
      <c r="G2398" s="2" t="s">
        <v>1399</v>
      </c>
      <c r="H2398" s="2" t="s">
        <v>1400</v>
      </c>
      <c r="I2398" s="4" t="s">
        <v>68</v>
      </c>
      <c r="J2398" s="112">
        <f>IF($H2398&lt;&gt;"Y",0,ROUND(MIN(Dashboard!$R$24,IF(IFERROR(VLOOKUP($B2398,Dashboard!$Q$28:$S$60,2,FALSE),0)&gt;0,IFERROR(VLOOKUP($B2398,Dashboard!$Q$28:$S$60,2,FALSE),0),$Z2398*IF($U2398&lt;&gt;"",ROUND((Dashboard!$R$4/$U2398)*VLOOKUP($I2398,Dashboard!$Q$9:$R$13,2,FALSE)*IF(ISNUMBER(SEARCH("Duals",$B2398)),2,IF(ISNUMBER(SEARCH("Triples",$B2398)),3,IF(ISNUMBER(SEARCH("Quads",$B2398)),4,1))),2),ROUND(VLOOKUP($I2398,Dashboard!$Q$15:$R$20,2,FALSE)*IF($E2398="Red",Dashboard!$R$6,IF($E2398="Gold",Dashboard!$R$7,Dashboard!$R$5))*IF(ISNUMBER(SEARCH("Duals",$B2398)),2,IF(ISNUMBER(SEARCH("Triples",$B2398)),3,IF(ISNUMBER(SEARCH("Quads",$B2398)),4,1))),2))*IF(IFERROR(VLOOKUP($B2398,Dashboard!$Q$28:$S$60,3,FALSE),0)&gt;0,VLOOKUP($B2398,Dashboard!$Q$28:$S$60,3,FALSE),1))),0))</f>
        <v>7</v>
      </c>
      <c r="K2398" s="2" t="str">
        <f>IF(Characters!K2="","",Characters!K2)</f>
        <v>V</v>
      </c>
      <c r="L2398" s="2">
        <f t="shared" si="481"/>
        <v>1</v>
      </c>
      <c r="M2398" s="2">
        <f t="shared" si="482"/>
        <v>0</v>
      </c>
      <c r="N2398" s="2">
        <f t="shared" si="483"/>
        <v>1</v>
      </c>
      <c r="O2398" s="2">
        <f t="shared" si="484"/>
        <v>0</v>
      </c>
      <c r="P2398" s="112">
        <f t="shared" si="485"/>
        <v>7</v>
      </c>
      <c r="Q2398" s="112">
        <f t="shared" si="486"/>
        <v>0</v>
      </c>
      <c r="R2398" s="53"/>
      <c r="S2398" s="53" t="str">
        <f t="shared" si="487"/>
        <v>Autos - Singles|Characters Auto Parallel|C-1|Base</v>
      </c>
      <c r="T2398" s="57">
        <f>IF($S2398="","",IFERROR(VLOOKUP($S2398,'Pop Estimates (Non-#d)'!$N$2:$O$500,2,FALSE),""))</f>
        <v>326</v>
      </c>
      <c r="U2398" s="57">
        <f t="shared" si="488"/>
        <v>326</v>
      </c>
      <c r="V2398" s="53" t="str">
        <f t="shared" si="489"/>
        <v>Hughie Campbell</v>
      </c>
      <c r="W2398" s="53" t="str">
        <f t="shared" si="490"/>
        <v>Hughie Campbell</v>
      </c>
      <c r="X2398" s="53" t="str">
        <f t="shared" si="491"/>
        <v>Hughie Campbell</v>
      </c>
      <c r="Y2398" s="57">
        <f>IF($X2398="","",IFERROR(VLOOKUP($X2398,'Char Popularity'!$A$2:$C$500,2,FALSE),""))</f>
        <v>5</v>
      </c>
      <c r="Z2398" s="56">
        <f>IF($X2398="",1,IFERROR(VLOOKUP($X2398,'Char Popularity'!$A$2:$C$500,3,FALSE),1))</f>
        <v>1.2</v>
      </c>
      <c r="AA2398" s="62">
        <f>IF($H2398&lt;&gt;"Y",0,(IF($F2398&lt;&gt;"",ROUND(Dashboard!$R$4/$F2398,1),IF(AND($I2398="Base",$E2398="Base"),Dashboard!$R$5,IF(AND($I2398="Base",$E2398="Red"),Dashboard!$R$6,IF(AND($I2398="Base",$E2398="Gold"),Dashboard!$R$7,VLOOKUP($I2398,Dashboard!$Q$16:$R$21,2,FALSE)))))*VLOOKUP($I2398,Dashboard!$Q$9:$R$13,2,FALSE)*IF(AND($I2398="Auto",$F2398="",OR($B2398="Autographs Duals",$B2398="Autographs Triples",$B2398="Autographs Quads",$B2398="Autographs Quads (Inscribed)")),IF($B2398="Autographs Duals",2,IF($B2398="Autographs Triples",3,4)),1)))</f>
        <v>50</v>
      </c>
      <c r="AB2398" s="62">
        <f t="shared" si="492"/>
        <v>50</v>
      </c>
      <c r="AC2398" s="62">
        <f t="shared" si="493"/>
        <v>0</v>
      </c>
    </row>
    <row r="2399" spans="1:29" ht="30" customHeight="1" x14ac:dyDescent="0.25">
      <c r="A2399" s="4" t="s">
        <v>37</v>
      </c>
      <c r="B2399" s="7" t="s">
        <v>138</v>
      </c>
      <c r="C2399" s="2" t="s">
        <v>419</v>
      </c>
      <c r="D2399" s="7" t="s">
        <v>222</v>
      </c>
      <c r="E2399" s="4" t="s">
        <v>60</v>
      </c>
      <c r="F2399" s="2"/>
      <c r="G2399" s="2" t="s">
        <v>1399</v>
      </c>
      <c r="H2399" s="2" t="s">
        <v>1400</v>
      </c>
      <c r="I2399" s="4" t="s">
        <v>68</v>
      </c>
      <c r="J2399" s="112">
        <f>IF($H2399&lt;&gt;"Y",0,ROUND(MIN(Dashboard!$R$24,IF(IFERROR(VLOOKUP($B2399,Dashboard!$Q$28:$S$60,2,FALSE),0)&gt;0,IFERROR(VLOOKUP($B2399,Dashboard!$Q$28:$S$60,2,FALSE),0),$Z2399*IF($U2399&lt;&gt;"",ROUND((Dashboard!$R$4/$U2399)*VLOOKUP($I2399,Dashboard!$Q$9:$R$13,2,FALSE)*IF(ISNUMBER(SEARCH("Duals",$B2399)),2,IF(ISNUMBER(SEARCH("Triples",$B2399)),3,IF(ISNUMBER(SEARCH("Quads",$B2399)),4,1))),2),ROUND(VLOOKUP($I2399,Dashboard!$Q$15:$R$20,2,FALSE)*IF($E2399="Red",Dashboard!$R$6,IF($E2399="Gold",Dashboard!$R$7,Dashboard!$R$5))*IF(ISNUMBER(SEARCH("Duals",$B2399)),2,IF(ISNUMBER(SEARCH("Triples",$B2399)),3,IF(ISNUMBER(SEARCH("Quads",$B2399)),4,1))),2))*IF(IFERROR(VLOOKUP($B2399,Dashboard!$Q$28:$S$60,3,FALSE),0)&gt;0,VLOOKUP($B2399,Dashboard!$Q$28:$S$60,3,FALSE),1))),0))</f>
        <v>7</v>
      </c>
      <c r="K2399" s="2" t="str">
        <f>IF(Characters!K3="","",Characters!K3)</f>
        <v/>
      </c>
      <c r="L2399" s="2">
        <f t="shared" si="481"/>
        <v>0</v>
      </c>
      <c r="M2399" s="2">
        <f t="shared" si="482"/>
        <v>0</v>
      </c>
      <c r="N2399" s="2">
        <f t="shared" si="483"/>
        <v>0</v>
      </c>
      <c r="O2399" s="2">
        <f t="shared" si="484"/>
        <v>1</v>
      </c>
      <c r="P2399" s="112">
        <f t="shared" si="485"/>
        <v>0</v>
      </c>
      <c r="Q2399" s="112">
        <f t="shared" si="486"/>
        <v>0</v>
      </c>
      <c r="R2399" s="53"/>
      <c r="S2399" s="53" t="str">
        <f t="shared" si="487"/>
        <v>Autos - Singles|Characters Auto Parallel|C-2|Base</v>
      </c>
      <c r="T2399" s="57">
        <f>IF($S2399="","",IFERROR(VLOOKUP($S2399,'Pop Estimates (Non-#d)'!$N$2:$O$500,2,FALSE),""))</f>
        <v>326</v>
      </c>
      <c r="U2399" s="57">
        <f t="shared" si="488"/>
        <v>326</v>
      </c>
      <c r="V2399" s="53" t="str">
        <f t="shared" si="489"/>
        <v>Homelander</v>
      </c>
      <c r="W2399" s="53" t="str">
        <f t="shared" si="490"/>
        <v>Homelander</v>
      </c>
      <c r="X2399" s="53" t="str">
        <f t="shared" si="491"/>
        <v>Homelander</v>
      </c>
      <c r="Y2399" s="57">
        <f>IF($X2399="","",IFERROR(VLOOKUP($X2399,'Char Popularity'!$A$2:$C$500,2,FALSE),""))</f>
        <v>5</v>
      </c>
      <c r="Z2399" s="56">
        <f>IF($X2399="",1,IFERROR(VLOOKUP($X2399,'Char Popularity'!$A$2:$C$500,3,FALSE),1))</f>
        <v>1.2</v>
      </c>
      <c r="AA2399" s="62">
        <f>IF($H2399&lt;&gt;"Y",0,(IF($F2399&lt;&gt;"",ROUND(Dashboard!$R$4/$F2399,1),IF(AND($I2399="Base",$E2399="Base"),Dashboard!$R$5,IF(AND($I2399="Base",$E2399="Red"),Dashboard!$R$6,IF(AND($I2399="Base",$E2399="Gold"),Dashboard!$R$7,VLOOKUP($I2399,Dashboard!$Q$16:$R$21,2,FALSE)))))*VLOOKUP($I2399,Dashboard!$Q$9:$R$13,2,FALSE)*IF(AND($I2399="Auto",$F2399="",OR($B2399="Autographs Duals",$B2399="Autographs Triples",$B2399="Autographs Quads",$B2399="Autographs Quads (Inscribed)")),IF($B2399="Autographs Duals",2,IF($B2399="Autographs Triples",3,4)),1)))</f>
        <v>50</v>
      </c>
      <c r="AB2399" s="62">
        <f t="shared" si="492"/>
        <v>0</v>
      </c>
      <c r="AC2399" s="62">
        <f t="shared" si="493"/>
        <v>0</v>
      </c>
    </row>
    <row r="2400" spans="1:29" ht="30" customHeight="1" x14ac:dyDescent="0.25">
      <c r="A2400" s="4" t="s">
        <v>37</v>
      </c>
      <c r="B2400" s="7" t="s">
        <v>138</v>
      </c>
      <c r="C2400" s="2" t="s">
        <v>425</v>
      </c>
      <c r="D2400" s="7" t="s">
        <v>274</v>
      </c>
      <c r="E2400" s="4" t="s">
        <v>60</v>
      </c>
      <c r="F2400" s="2"/>
      <c r="G2400" s="2" t="s">
        <v>1399</v>
      </c>
      <c r="H2400" s="2" t="s">
        <v>1400</v>
      </c>
      <c r="I2400" s="4" t="s">
        <v>68</v>
      </c>
      <c r="J2400" s="112">
        <f>IF($H2400&lt;&gt;"Y",0,ROUND(MIN(Dashboard!$R$24,IF(IFERROR(VLOOKUP($B2400,Dashboard!$Q$28:$S$60,2,FALSE),0)&gt;0,IFERROR(VLOOKUP($B2400,Dashboard!$Q$28:$S$60,2,FALSE),0),$Z2400*IF($U2400&lt;&gt;"",ROUND((Dashboard!$R$4/$U2400)*VLOOKUP($I2400,Dashboard!$Q$9:$R$13,2,FALSE)*IF(ISNUMBER(SEARCH("Duals",$B2400)),2,IF(ISNUMBER(SEARCH("Triples",$B2400)),3,IF(ISNUMBER(SEARCH("Quads",$B2400)),4,1))),2),ROUND(VLOOKUP($I2400,Dashboard!$Q$15:$R$20,2,FALSE)*IF($E2400="Red",Dashboard!$R$6,IF($E2400="Gold",Dashboard!$R$7,Dashboard!$R$5))*IF(ISNUMBER(SEARCH("Duals",$B2400)),2,IF(ISNUMBER(SEARCH("Triples",$B2400)),3,IF(ISNUMBER(SEARCH("Quads",$B2400)),4,1))),2))*IF(IFERROR(VLOOKUP($B2400,Dashboard!$Q$28:$S$60,3,FALSE),0)&gt;0,VLOOKUP($B2400,Dashboard!$Q$28:$S$60,3,FALSE),1))),0))</f>
        <v>7</v>
      </c>
      <c r="K2400" s="2" t="str">
        <f>IF(Characters!K4="","",Characters!K4)</f>
        <v>V</v>
      </c>
      <c r="L2400" s="2">
        <f t="shared" si="481"/>
        <v>1</v>
      </c>
      <c r="M2400" s="2">
        <f t="shared" si="482"/>
        <v>0</v>
      </c>
      <c r="N2400" s="2">
        <f t="shared" si="483"/>
        <v>1</v>
      </c>
      <c r="O2400" s="2">
        <f t="shared" si="484"/>
        <v>0</v>
      </c>
      <c r="P2400" s="112">
        <f t="shared" si="485"/>
        <v>7</v>
      </c>
      <c r="Q2400" s="112">
        <f t="shared" si="486"/>
        <v>0</v>
      </c>
      <c r="R2400" s="53"/>
      <c r="S2400" s="53" t="str">
        <f t="shared" si="487"/>
        <v>Autos - Singles|Characters Auto Parallel|C-3|Base</v>
      </c>
      <c r="T2400" s="57">
        <f>IF($S2400="","",IFERROR(VLOOKUP($S2400,'Pop Estimates (Non-#d)'!$N$2:$O$500,2,FALSE),""))</f>
        <v>326</v>
      </c>
      <c r="U2400" s="57">
        <f t="shared" si="488"/>
        <v>326</v>
      </c>
      <c r="V2400" s="53" t="str">
        <f t="shared" si="489"/>
        <v>Billy Butcher</v>
      </c>
      <c r="W2400" s="53" t="str">
        <f t="shared" si="490"/>
        <v>Billy Butcher</v>
      </c>
      <c r="X2400" s="53" t="str">
        <f t="shared" si="491"/>
        <v>Billy Butcher</v>
      </c>
      <c r="Y2400" s="57">
        <f>IF($X2400="","",IFERROR(VLOOKUP($X2400,'Char Popularity'!$A$2:$C$500,2,FALSE),""))</f>
        <v>5</v>
      </c>
      <c r="Z2400" s="56">
        <f>IF($X2400="",1,IFERROR(VLOOKUP($X2400,'Char Popularity'!$A$2:$C$500,3,FALSE),1))</f>
        <v>1.2</v>
      </c>
      <c r="AA2400" s="62">
        <f>IF($H2400&lt;&gt;"Y",0,(IF($F2400&lt;&gt;"",ROUND(Dashboard!$R$4/$F2400,1),IF(AND($I2400="Base",$E2400="Base"),Dashboard!$R$5,IF(AND($I2400="Base",$E2400="Red"),Dashboard!$R$6,IF(AND($I2400="Base",$E2400="Gold"),Dashboard!$R$7,VLOOKUP($I2400,Dashboard!$Q$16:$R$21,2,FALSE)))))*VLOOKUP($I2400,Dashboard!$Q$9:$R$13,2,FALSE)*IF(AND($I2400="Auto",$F2400="",OR($B2400="Autographs Duals",$B2400="Autographs Triples",$B2400="Autographs Quads",$B2400="Autographs Quads (Inscribed)")),IF($B2400="Autographs Duals",2,IF($B2400="Autographs Triples",3,4)),1)))</f>
        <v>50</v>
      </c>
      <c r="AB2400" s="62">
        <f t="shared" si="492"/>
        <v>50</v>
      </c>
      <c r="AC2400" s="62">
        <f t="shared" si="493"/>
        <v>0</v>
      </c>
    </row>
    <row r="2401" spans="1:29" ht="30" customHeight="1" x14ac:dyDescent="0.25">
      <c r="A2401" s="4" t="s">
        <v>37</v>
      </c>
      <c r="B2401" s="7" t="s">
        <v>138</v>
      </c>
      <c r="C2401" s="2" t="s">
        <v>428</v>
      </c>
      <c r="D2401" s="7" t="s">
        <v>248</v>
      </c>
      <c r="E2401" s="4" t="s">
        <v>60</v>
      </c>
      <c r="F2401" s="2"/>
      <c r="G2401" s="2" t="s">
        <v>1399</v>
      </c>
      <c r="H2401" s="2" t="s">
        <v>1400</v>
      </c>
      <c r="I2401" s="4" t="s">
        <v>68</v>
      </c>
      <c r="J2401" s="112">
        <f>IF($H2401&lt;&gt;"Y",0,ROUND(MIN(Dashboard!$R$24,IF(IFERROR(VLOOKUP($B2401,Dashboard!$Q$28:$S$60,2,FALSE),0)&gt;0,IFERROR(VLOOKUP($B2401,Dashboard!$Q$28:$S$60,2,FALSE),0),$Z2401*IF($U2401&lt;&gt;"",ROUND((Dashboard!$R$4/$U2401)*VLOOKUP($I2401,Dashboard!$Q$9:$R$13,2,FALSE)*IF(ISNUMBER(SEARCH("Duals",$B2401)),2,IF(ISNUMBER(SEARCH("Triples",$B2401)),3,IF(ISNUMBER(SEARCH("Quads",$B2401)),4,1))),2),ROUND(VLOOKUP($I2401,Dashboard!$Q$15:$R$20,2,FALSE)*IF($E2401="Red",Dashboard!$R$6,IF($E2401="Gold",Dashboard!$R$7,Dashboard!$R$5))*IF(ISNUMBER(SEARCH("Duals",$B2401)),2,IF(ISNUMBER(SEARCH("Triples",$B2401)),3,IF(ISNUMBER(SEARCH("Quads",$B2401)),4,1))),2))*IF(IFERROR(VLOOKUP($B2401,Dashboard!$Q$28:$S$60,3,FALSE),0)&gt;0,VLOOKUP($B2401,Dashboard!$Q$28:$S$60,3,FALSE),1))),0))</f>
        <v>7</v>
      </c>
      <c r="K2401" s="2" t="str">
        <f>IF(Characters!K5="","",Characters!K5)</f>
        <v/>
      </c>
      <c r="L2401" s="2">
        <f t="shared" si="481"/>
        <v>0</v>
      </c>
      <c r="M2401" s="2">
        <f t="shared" si="482"/>
        <v>0</v>
      </c>
      <c r="N2401" s="2">
        <f t="shared" si="483"/>
        <v>0</v>
      </c>
      <c r="O2401" s="2">
        <f t="shared" si="484"/>
        <v>1</v>
      </c>
      <c r="P2401" s="112">
        <f t="shared" si="485"/>
        <v>0</v>
      </c>
      <c r="Q2401" s="112">
        <f t="shared" si="486"/>
        <v>0</v>
      </c>
      <c r="R2401" s="53"/>
      <c r="S2401" s="53" t="str">
        <f t="shared" si="487"/>
        <v>Autos - Singles|Characters Auto Parallel|C-4|Base</v>
      </c>
      <c r="T2401" s="57">
        <f>IF($S2401="","",IFERROR(VLOOKUP($S2401,'Pop Estimates (Non-#d)'!$N$2:$O$500,2,FALSE),""))</f>
        <v>326</v>
      </c>
      <c r="U2401" s="57">
        <f t="shared" si="488"/>
        <v>326</v>
      </c>
      <c r="V2401" s="53" t="str">
        <f t="shared" si="489"/>
        <v>Starlight</v>
      </c>
      <c r="W2401" s="53" t="str">
        <f t="shared" si="490"/>
        <v>Starlight</v>
      </c>
      <c r="X2401" s="53" t="str">
        <f t="shared" si="491"/>
        <v>Starlight</v>
      </c>
      <c r="Y2401" s="57">
        <f>IF($X2401="","",IFERROR(VLOOKUP($X2401,'Char Popularity'!$A$2:$C$500,2,FALSE),""))</f>
        <v>5</v>
      </c>
      <c r="Z2401" s="56">
        <f>IF($X2401="",1,IFERROR(VLOOKUP($X2401,'Char Popularity'!$A$2:$C$500,3,FALSE),1))</f>
        <v>1.2</v>
      </c>
      <c r="AA2401" s="62">
        <f>IF($H2401&lt;&gt;"Y",0,(IF($F2401&lt;&gt;"",ROUND(Dashboard!$R$4/$F2401,1),IF(AND($I2401="Base",$E2401="Base"),Dashboard!$R$5,IF(AND($I2401="Base",$E2401="Red"),Dashboard!$R$6,IF(AND($I2401="Base",$E2401="Gold"),Dashboard!$R$7,VLOOKUP($I2401,Dashboard!$Q$16:$R$21,2,FALSE)))))*VLOOKUP($I2401,Dashboard!$Q$9:$R$13,2,FALSE)*IF(AND($I2401="Auto",$F2401="",OR($B2401="Autographs Duals",$B2401="Autographs Triples",$B2401="Autographs Quads",$B2401="Autographs Quads (Inscribed)")),IF($B2401="Autographs Duals",2,IF($B2401="Autographs Triples",3,4)),1)))</f>
        <v>50</v>
      </c>
      <c r="AB2401" s="62">
        <f t="shared" si="492"/>
        <v>0</v>
      </c>
      <c r="AC2401" s="62">
        <f t="shared" si="493"/>
        <v>0</v>
      </c>
    </row>
    <row r="2402" spans="1:29" ht="30" customHeight="1" x14ac:dyDescent="0.25">
      <c r="A2402" s="4" t="s">
        <v>37</v>
      </c>
      <c r="B2402" s="7" t="s">
        <v>138</v>
      </c>
      <c r="C2402" s="2" t="s">
        <v>434</v>
      </c>
      <c r="D2402" s="7" t="s">
        <v>267</v>
      </c>
      <c r="E2402" s="4" t="s">
        <v>60</v>
      </c>
      <c r="F2402" s="2"/>
      <c r="G2402" s="2" t="s">
        <v>1399</v>
      </c>
      <c r="H2402" s="2" t="s">
        <v>1400</v>
      </c>
      <c r="I2402" s="4" t="s">
        <v>68</v>
      </c>
      <c r="J2402" s="112">
        <f>IF($H2402&lt;&gt;"Y",0,ROUND(MIN(Dashboard!$R$24,IF(IFERROR(VLOOKUP($B2402,Dashboard!$Q$28:$S$60,2,FALSE),0)&gt;0,IFERROR(VLOOKUP($B2402,Dashboard!$Q$28:$S$60,2,FALSE),0),$Z2402*IF($U2402&lt;&gt;"",ROUND((Dashboard!$R$4/$U2402)*VLOOKUP($I2402,Dashboard!$Q$9:$R$13,2,FALSE)*IF(ISNUMBER(SEARCH("Duals",$B2402)),2,IF(ISNUMBER(SEARCH("Triples",$B2402)),3,IF(ISNUMBER(SEARCH("Quads",$B2402)),4,1))),2),ROUND(VLOOKUP($I2402,Dashboard!$Q$15:$R$20,2,FALSE)*IF($E2402="Red",Dashboard!$R$6,IF($E2402="Gold",Dashboard!$R$7,Dashboard!$R$5))*IF(ISNUMBER(SEARCH("Duals",$B2402)),2,IF(ISNUMBER(SEARCH("Triples",$B2402)),3,IF(ISNUMBER(SEARCH("Quads",$B2402)),4,1))),2))*IF(IFERROR(VLOOKUP($B2402,Dashboard!$Q$28:$S$60,3,FALSE),0)&gt;0,VLOOKUP($B2402,Dashboard!$Q$28:$S$60,3,FALSE),1))),0))</f>
        <v>7</v>
      </c>
      <c r="K2402" s="2" t="str">
        <f>IF(Characters!K6="","",Characters!K6)</f>
        <v/>
      </c>
      <c r="L2402" s="2">
        <f t="shared" si="481"/>
        <v>0</v>
      </c>
      <c r="M2402" s="2">
        <f t="shared" si="482"/>
        <v>0</v>
      </c>
      <c r="N2402" s="2">
        <f t="shared" si="483"/>
        <v>0</v>
      </c>
      <c r="O2402" s="2">
        <f t="shared" si="484"/>
        <v>1</v>
      </c>
      <c r="P2402" s="112">
        <f t="shared" si="485"/>
        <v>0</v>
      </c>
      <c r="Q2402" s="112">
        <f t="shared" si="486"/>
        <v>0</v>
      </c>
      <c r="R2402" s="53"/>
      <c r="S2402" s="53" t="str">
        <f t="shared" si="487"/>
        <v>Autos - Singles|Characters Auto Parallel|C-5|Base</v>
      </c>
      <c r="T2402" s="57">
        <f>IF($S2402="","",IFERROR(VLOOKUP($S2402,'Pop Estimates (Non-#d)'!$N$2:$O$500,2,FALSE),""))</f>
        <v>326</v>
      </c>
      <c r="U2402" s="57">
        <f t="shared" si="488"/>
        <v>326</v>
      </c>
      <c r="V2402" s="53" t="str">
        <f t="shared" si="489"/>
        <v>A-Train</v>
      </c>
      <c r="W2402" s="53" t="str">
        <f t="shared" si="490"/>
        <v>A-Train</v>
      </c>
      <c r="X2402" s="53" t="str">
        <f t="shared" si="491"/>
        <v>A-Train</v>
      </c>
      <c r="Y2402" s="57">
        <f>IF($X2402="","",IFERROR(VLOOKUP($X2402,'Char Popularity'!$A$2:$C$500,2,FALSE),""))</f>
        <v>4</v>
      </c>
      <c r="Z2402" s="56">
        <f>IF($X2402="",1,IFERROR(VLOOKUP($X2402,'Char Popularity'!$A$2:$C$500,3,FALSE),1))</f>
        <v>1.1000000000000001</v>
      </c>
      <c r="AA2402" s="62">
        <f>IF($H2402&lt;&gt;"Y",0,(IF($F2402&lt;&gt;"",ROUND(Dashboard!$R$4/$F2402,1),IF(AND($I2402="Base",$E2402="Base"),Dashboard!$R$5,IF(AND($I2402="Base",$E2402="Red"),Dashboard!$R$6,IF(AND($I2402="Base",$E2402="Gold"),Dashboard!$R$7,VLOOKUP($I2402,Dashboard!$Q$16:$R$21,2,FALSE)))))*VLOOKUP($I2402,Dashboard!$Q$9:$R$13,2,FALSE)*IF(AND($I2402="Auto",$F2402="",OR($B2402="Autographs Duals",$B2402="Autographs Triples",$B2402="Autographs Quads",$B2402="Autographs Quads (Inscribed)")),IF($B2402="Autographs Duals",2,IF($B2402="Autographs Triples",3,4)),1)))</f>
        <v>50</v>
      </c>
      <c r="AB2402" s="62">
        <f t="shared" si="492"/>
        <v>0</v>
      </c>
      <c r="AC2402" s="62">
        <f t="shared" si="493"/>
        <v>0</v>
      </c>
    </row>
    <row r="2403" spans="1:29" ht="30" customHeight="1" x14ac:dyDescent="0.25">
      <c r="A2403" s="4" t="s">
        <v>37</v>
      </c>
      <c r="B2403" s="7" t="s">
        <v>138</v>
      </c>
      <c r="C2403" s="2" t="s">
        <v>435</v>
      </c>
      <c r="D2403" s="7" t="s">
        <v>250</v>
      </c>
      <c r="E2403" s="4" t="s">
        <v>60</v>
      </c>
      <c r="F2403" s="2"/>
      <c r="G2403" s="2" t="s">
        <v>1399</v>
      </c>
      <c r="H2403" s="2" t="s">
        <v>1400</v>
      </c>
      <c r="I2403" s="4" t="s">
        <v>68</v>
      </c>
      <c r="J2403" s="112">
        <f>IF($H2403&lt;&gt;"Y",0,ROUND(MIN(Dashboard!$R$24,IF(IFERROR(VLOOKUP($B2403,Dashboard!$Q$28:$S$60,2,FALSE),0)&gt;0,IFERROR(VLOOKUP($B2403,Dashboard!$Q$28:$S$60,2,FALSE),0),$Z2403*IF($U2403&lt;&gt;"",ROUND((Dashboard!$R$4/$U2403)*VLOOKUP($I2403,Dashboard!$Q$9:$R$13,2,FALSE)*IF(ISNUMBER(SEARCH("Duals",$B2403)),2,IF(ISNUMBER(SEARCH("Triples",$B2403)),3,IF(ISNUMBER(SEARCH("Quads",$B2403)),4,1))),2),ROUND(VLOOKUP($I2403,Dashboard!$Q$15:$R$20,2,FALSE)*IF($E2403="Red",Dashboard!$R$6,IF($E2403="Gold",Dashboard!$R$7,Dashboard!$R$5))*IF(ISNUMBER(SEARCH("Duals",$B2403)),2,IF(ISNUMBER(SEARCH("Triples",$B2403)),3,IF(ISNUMBER(SEARCH("Quads",$B2403)),4,1))),2))*IF(IFERROR(VLOOKUP($B2403,Dashboard!$Q$28:$S$60,3,FALSE),0)&gt;0,VLOOKUP($B2403,Dashboard!$Q$28:$S$60,3,FALSE),1))),0))</f>
        <v>6</v>
      </c>
      <c r="K2403" s="2" t="str">
        <f>IF(Characters!K7="","",Characters!K7)</f>
        <v/>
      </c>
      <c r="L2403" s="2">
        <f t="shared" si="481"/>
        <v>0</v>
      </c>
      <c r="M2403" s="2">
        <f t="shared" si="482"/>
        <v>0</v>
      </c>
      <c r="N2403" s="2">
        <f t="shared" si="483"/>
        <v>0</v>
      </c>
      <c r="O2403" s="2">
        <f t="shared" si="484"/>
        <v>1</v>
      </c>
      <c r="P2403" s="112">
        <f t="shared" si="485"/>
        <v>0</v>
      </c>
      <c r="Q2403" s="112">
        <f t="shared" si="486"/>
        <v>0</v>
      </c>
      <c r="R2403" s="53"/>
      <c r="S2403" s="53" t="str">
        <f t="shared" si="487"/>
        <v>Autos - Singles|Characters Auto Parallel|C-6|Base</v>
      </c>
      <c r="T2403" s="57">
        <f>IF($S2403="","",IFERROR(VLOOKUP($S2403,'Pop Estimates (Non-#d)'!$N$2:$O$500,2,FALSE),""))</f>
        <v>326</v>
      </c>
      <c r="U2403" s="57">
        <f t="shared" si="488"/>
        <v>326</v>
      </c>
      <c r="V2403" s="53" t="str">
        <f t="shared" si="489"/>
        <v>Madelyn Stillwell</v>
      </c>
      <c r="W2403" s="53" t="str">
        <f t="shared" si="490"/>
        <v>Madelyn Stillwell</v>
      </c>
      <c r="X2403" s="53" t="str">
        <f t="shared" si="491"/>
        <v>Madelyn Stillwell</v>
      </c>
      <c r="Y2403" s="57">
        <f>IF($X2403="","",IFERROR(VLOOKUP($X2403,'Char Popularity'!$A$2:$C$500,2,FALSE),""))</f>
        <v>3</v>
      </c>
      <c r="Z2403" s="56">
        <f>IF($X2403="",1,IFERROR(VLOOKUP($X2403,'Char Popularity'!$A$2:$C$500,3,FALSE),1))</f>
        <v>1</v>
      </c>
      <c r="AA2403" s="62">
        <f>IF($H2403&lt;&gt;"Y",0,(IF($F2403&lt;&gt;"",ROUND(Dashboard!$R$4/$F2403,1),IF(AND($I2403="Base",$E2403="Base"),Dashboard!$R$5,IF(AND($I2403="Base",$E2403="Red"),Dashboard!$R$6,IF(AND($I2403="Base",$E2403="Gold"),Dashboard!$R$7,VLOOKUP($I2403,Dashboard!$Q$16:$R$21,2,FALSE)))))*VLOOKUP($I2403,Dashboard!$Q$9:$R$13,2,FALSE)*IF(AND($I2403="Auto",$F2403="",OR($B2403="Autographs Duals",$B2403="Autographs Triples",$B2403="Autographs Quads",$B2403="Autographs Quads (Inscribed)")),IF($B2403="Autographs Duals",2,IF($B2403="Autographs Triples",3,4)),1)))</f>
        <v>50</v>
      </c>
      <c r="AB2403" s="62">
        <f t="shared" si="492"/>
        <v>0</v>
      </c>
      <c r="AC2403" s="62">
        <f t="shared" si="493"/>
        <v>0</v>
      </c>
    </row>
    <row r="2404" spans="1:29" ht="30" customHeight="1" x14ac:dyDescent="0.25">
      <c r="A2404" s="4" t="s">
        <v>37</v>
      </c>
      <c r="B2404" s="7" t="s">
        <v>138</v>
      </c>
      <c r="C2404" s="2" t="s">
        <v>436</v>
      </c>
      <c r="D2404" s="7" t="s">
        <v>230</v>
      </c>
      <c r="E2404" s="4" t="s">
        <v>60</v>
      </c>
      <c r="F2404" s="2"/>
      <c r="G2404" s="2" t="s">
        <v>1399</v>
      </c>
      <c r="H2404" s="2" t="s">
        <v>1400</v>
      </c>
      <c r="I2404" s="4" t="s">
        <v>68</v>
      </c>
      <c r="J2404" s="112">
        <f>IF($H2404&lt;&gt;"Y",0,ROUND(MIN(Dashboard!$R$24,IF(IFERROR(VLOOKUP($B2404,Dashboard!$Q$28:$S$60,2,FALSE),0)&gt;0,IFERROR(VLOOKUP($B2404,Dashboard!$Q$28:$S$60,2,FALSE),0),$Z2404*IF($U2404&lt;&gt;"",ROUND((Dashboard!$R$4/$U2404)*VLOOKUP($I2404,Dashboard!$Q$9:$R$13,2,FALSE)*IF(ISNUMBER(SEARCH("Duals",$B2404)),2,IF(ISNUMBER(SEARCH("Triples",$B2404)),3,IF(ISNUMBER(SEARCH("Quads",$B2404)),4,1))),2),ROUND(VLOOKUP($I2404,Dashboard!$Q$15:$R$20,2,FALSE)*IF($E2404="Red",Dashboard!$R$6,IF($E2404="Gold",Dashboard!$R$7,Dashboard!$R$5))*IF(ISNUMBER(SEARCH("Duals",$B2404)),2,IF(ISNUMBER(SEARCH("Triples",$B2404)),3,IF(ISNUMBER(SEARCH("Quads",$B2404)),4,1))),2))*IF(IFERROR(VLOOKUP($B2404,Dashboard!$Q$28:$S$60,3,FALSE),0)&gt;0,VLOOKUP($B2404,Dashboard!$Q$28:$S$60,3,FALSE),1))),0))</f>
        <v>7</v>
      </c>
      <c r="K2404" s="2" t="str">
        <f>IF(Characters!K8="","",Characters!K8)</f>
        <v/>
      </c>
      <c r="L2404" s="2">
        <f t="shared" si="481"/>
        <v>0</v>
      </c>
      <c r="M2404" s="2">
        <f t="shared" si="482"/>
        <v>0</v>
      </c>
      <c r="N2404" s="2">
        <f t="shared" si="483"/>
        <v>0</v>
      </c>
      <c r="O2404" s="2">
        <f t="shared" si="484"/>
        <v>1</v>
      </c>
      <c r="P2404" s="112">
        <f t="shared" si="485"/>
        <v>0</v>
      </c>
      <c r="Q2404" s="112">
        <f t="shared" si="486"/>
        <v>0</v>
      </c>
      <c r="R2404" s="53"/>
      <c r="S2404" s="53" t="str">
        <f t="shared" si="487"/>
        <v>Autos - Singles|Characters Auto Parallel|C-7|Base</v>
      </c>
      <c r="T2404" s="57">
        <f>IF($S2404="","",IFERROR(VLOOKUP($S2404,'Pop Estimates (Non-#d)'!$N$2:$O$500,2,FALSE),""))</f>
        <v>326</v>
      </c>
      <c r="U2404" s="57">
        <f t="shared" si="488"/>
        <v>326</v>
      </c>
      <c r="V2404" s="53" t="str">
        <f t="shared" si="489"/>
        <v>The Deep</v>
      </c>
      <c r="W2404" s="53" t="str">
        <f t="shared" si="490"/>
        <v>The Deep</v>
      </c>
      <c r="X2404" s="53" t="str">
        <f t="shared" si="491"/>
        <v>The Deep</v>
      </c>
      <c r="Y2404" s="57">
        <f>IF($X2404="","",IFERROR(VLOOKUP($X2404,'Char Popularity'!$A$2:$C$500,2,FALSE),""))</f>
        <v>4</v>
      </c>
      <c r="Z2404" s="56">
        <f>IF($X2404="",1,IFERROR(VLOOKUP($X2404,'Char Popularity'!$A$2:$C$500,3,FALSE),1))</f>
        <v>1.1000000000000001</v>
      </c>
      <c r="AA2404" s="62">
        <f>IF($H2404&lt;&gt;"Y",0,(IF($F2404&lt;&gt;"",ROUND(Dashboard!$R$4/$F2404,1),IF(AND($I2404="Base",$E2404="Base"),Dashboard!$R$5,IF(AND($I2404="Base",$E2404="Red"),Dashboard!$R$6,IF(AND($I2404="Base",$E2404="Gold"),Dashboard!$R$7,VLOOKUP($I2404,Dashboard!$Q$16:$R$21,2,FALSE)))))*VLOOKUP($I2404,Dashboard!$Q$9:$R$13,2,FALSE)*IF(AND($I2404="Auto",$F2404="",OR($B2404="Autographs Duals",$B2404="Autographs Triples",$B2404="Autographs Quads",$B2404="Autographs Quads (Inscribed)")),IF($B2404="Autographs Duals",2,IF($B2404="Autographs Triples",3,4)),1)))</f>
        <v>50</v>
      </c>
      <c r="AB2404" s="62">
        <f t="shared" si="492"/>
        <v>0</v>
      </c>
      <c r="AC2404" s="62">
        <f t="shared" si="493"/>
        <v>0</v>
      </c>
    </row>
    <row r="2405" spans="1:29" ht="30" customHeight="1" x14ac:dyDescent="0.25">
      <c r="A2405" s="4" t="s">
        <v>37</v>
      </c>
      <c r="B2405" s="7" t="s">
        <v>138</v>
      </c>
      <c r="C2405" s="2" t="s">
        <v>437</v>
      </c>
      <c r="D2405" s="7" t="s">
        <v>276</v>
      </c>
      <c r="E2405" s="4" t="s">
        <v>60</v>
      </c>
      <c r="F2405" s="2"/>
      <c r="G2405" s="2" t="s">
        <v>1399</v>
      </c>
      <c r="H2405" s="2" t="s">
        <v>1400</v>
      </c>
      <c r="I2405" s="4" t="s">
        <v>68</v>
      </c>
      <c r="J2405" s="112">
        <f>IF($H2405&lt;&gt;"Y",0,ROUND(MIN(Dashboard!$R$24,IF(IFERROR(VLOOKUP($B2405,Dashboard!$Q$28:$S$60,2,FALSE),0)&gt;0,IFERROR(VLOOKUP($B2405,Dashboard!$Q$28:$S$60,2,FALSE),0),$Z2405*IF($U2405&lt;&gt;"",ROUND((Dashboard!$R$4/$U2405)*VLOOKUP($I2405,Dashboard!$Q$9:$R$13,2,FALSE)*IF(ISNUMBER(SEARCH("Duals",$B2405)),2,IF(ISNUMBER(SEARCH("Triples",$B2405)),3,IF(ISNUMBER(SEARCH("Quads",$B2405)),4,1))),2),ROUND(VLOOKUP($I2405,Dashboard!$Q$15:$R$20,2,FALSE)*IF($E2405="Red",Dashboard!$R$6,IF($E2405="Gold",Dashboard!$R$7,Dashboard!$R$5))*IF(ISNUMBER(SEARCH("Duals",$B2405)),2,IF(ISNUMBER(SEARCH("Triples",$B2405)),3,IF(ISNUMBER(SEARCH("Quads",$B2405)),4,1))),2))*IF(IFERROR(VLOOKUP($B2405,Dashboard!$Q$28:$S$60,3,FALSE),0)&gt;0,VLOOKUP($B2405,Dashboard!$Q$28:$S$60,3,FALSE),1))),0))</f>
        <v>7</v>
      </c>
      <c r="K2405" s="2" t="str">
        <f>IF(Characters!K9="","",Characters!K9)</f>
        <v>V</v>
      </c>
      <c r="L2405" s="2">
        <f t="shared" si="481"/>
        <v>1</v>
      </c>
      <c r="M2405" s="2">
        <f t="shared" si="482"/>
        <v>0</v>
      </c>
      <c r="N2405" s="2">
        <f t="shared" si="483"/>
        <v>1</v>
      </c>
      <c r="O2405" s="2">
        <f t="shared" si="484"/>
        <v>0</v>
      </c>
      <c r="P2405" s="112">
        <f t="shared" si="485"/>
        <v>7</v>
      </c>
      <c r="Q2405" s="112">
        <f t="shared" si="486"/>
        <v>0</v>
      </c>
      <c r="R2405" s="53"/>
      <c r="S2405" s="53" t="str">
        <f t="shared" si="487"/>
        <v>Autos - Singles|Characters Auto Parallel|C-8|Base</v>
      </c>
      <c r="T2405" s="57">
        <f>IF($S2405="","",IFERROR(VLOOKUP($S2405,'Pop Estimates (Non-#d)'!$N$2:$O$500,2,FALSE),""))</f>
        <v>326</v>
      </c>
      <c r="U2405" s="57">
        <f t="shared" si="488"/>
        <v>326</v>
      </c>
      <c r="V2405" s="53" t="str">
        <f t="shared" si="489"/>
        <v>Mother's Milk</v>
      </c>
      <c r="W2405" s="53" t="str">
        <f t="shared" si="490"/>
        <v>Mother's Milk</v>
      </c>
      <c r="X2405" s="53" t="str">
        <f t="shared" si="491"/>
        <v>Mother's Milk</v>
      </c>
      <c r="Y2405" s="57">
        <f>IF($X2405="","",IFERROR(VLOOKUP($X2405,'Char Popularity'!$A$2:$C$500,2,FALSE),""))</f>
        <v>4</v>
      </c>
      <c r="Z2405" s="56">
        <f>IF($X2405="",1,IFERROR(VLOOKUP($X2405,'Char Popularity'!$A$2:$C$500,3,FALSE),1))</f>
        <v>1.1000000000000001</v>
      </c>
      <c r="AA2405" s="62">
        <f>IF($H2405&lt;&gt;"Y",0,(IF($F2405&lt;&gt;"",ROUND(Dashboard!$R$4/$F2405,1),IF(AND($I2405="Base",$E2405="Base"),Dashboard!$R$5,IF(AND($I2405="Base",$E2405="Red"),Dashboard!$R$6,IF(AND($I2405="Base",$E2405="Gold"),Dashboard!$R$7,VLOOKUP($I2405,Dashboard!$Q$16:$R$21,2,FALSE)))))*VLOOKUP($I2405,Dashboard!$Q$9:$R$13,2,FALSE)*IF(AND($I2405="Auto",$F2405="",OR($B2405="Autographs Duals",$B2405="Autographs Triples",$B2405="Autographs Quads",$B2405="Autographs Quads (Inscribed)")),IF($B2405="Autographs Duals",2,IF($B2405="Autographs Triples",3,4)),1)))</f>
        <v>50</v>
      </c>
      <c r="AB2405" s="62">
        <f t="shared" si="492"/>
        <v>50</v>
      </c>
      <c r="AC2405" s="62">
        <f t="shared" si="493"/>
        <v>0</v>
      </c>
    </row>
    <row r="2406" spans="1:29" ht="30" customHeight="1" x14ac:dyDescent="0.25">
      <c r="A2406" s="4" t="s">
        <v>37</v>
      </c>
      <c r="B2406" s="7" t="s">
        <v>138</v>
      </c>
      <c r="C2406" s="2" t="s">
        <v>438</v>
      </c>
      <c r="D2406" s="7" t="s">
        <v>244</v>
      </c>
      <c r="E2406" s="4" t="s">
        <v>60</v>
      </c>
      <c r="F2406" s="2"/>
      <c r="G2406" s="2" t="s">
        <v>1399</v>
      </c>
      <c r="H2406" s="2" t="s">
        <v>1400</v>
      </c>
      <c r="I2406" s="4" t="s">
        <v>68</v>
      </c>
      <c r="J2406" s="112">
        <f>IF($H2406&lt;&gt;"Y",0,ROUND(MIN(Dashboard!$R$24,IF(IFERROR(VLOOKUP($B2406,Dashboard!$Q$28:$S$60,2,FALSE),0)&gt;0,IFERROR(VLOOKUP($B2406,Dashboard!$Q$28:$S$60,2,FALSE),0),$Z2406*IF($U2406&lt;&gt;"",ROUND((Dashboard!$R$4/$U2406)*VLOOKUP($I2406,Dashboard!$Q$9:$R$13,2,FALSE)*IF(ISNUMBER(SEARCH("Duals",$B2406)),2,IF(ISNUMBER(SEARCH("Triples",$B2406)),3,IF(ISNUMBER(SEARCH("Quads",$B2406)),4,1))),2),ROUND(VLOOKUP($I2406,Dashboard!$Q$15:$R$20,2,FALSE)*IF($E2406="Red",Dashboard!$R$6,IF($E2406="Gold",Dashboard!$R$7,Dashboard!$R$5))*IF(ISNUMBER(SEARCH("Duals",$B2406)),2,IF(ISNUMBER(SEARCH("Triples",$B2406)),3,IF(ISNUMBER(SEARCH("Quads",$B2406)),4,1))),2))*IF(IFERROR(VLOOKUP($B2406,Dashboard!$Q$28:$S$60,3,FALSE),0)&gt;0,VLOOKUP($B2406,Dashboard!$Q$28:$S$60,3,FALSE),1))),0))</f>
        <v>7</v>
      </c>
      <c r="K2406" s="2" t="str">
        <f>IF(Characters!K10="","",Characters!K10)</f>
        <v>V</v>
      </c>
      <c r="L2406" s="2">
        <f t="shared" si="481"/>
        <v>1</v>
      </c>
      <c r="M2406" s="2">
        <f t="shared" si="482"/>
        <v>0</v>
      </c>
      <c r="N2406" s="2">
        <f t="shared" si="483"/>
        <v>1</v>
      </c>
      <c r="O2406" s="2">
        <f t="shared" si="484"/>
        <v>0</v>
      </c>
      <c r="P2406" s="112">
        <f t="shared" si="485"/>
        <v>7</v>
      </c>
      <c r="Q2406" s="112">
        <f t="shared" si="486"/>
        <v>0</v>
      </c>
      <c r="R2406" s="53"/>
      <c r="S2406" s="53" t="str">
        <f t="shared" si="487"/>
        <v>Autos - Singles|Characters Auto Parallel|C-9|Base</v>
      </c>
      <c r="T2406" s="57">
        <f>IF($S2406="","",IFERROR(VLOOKUP($S2406,'Pop Estimates (Non-#d)'!$N$2:$O$500,2,FALSE),""))</f>
        <v>326</v>
      </c>
      <c r="U2406" s="57">
        <f t="shared" si="488"/>
        <v>326</v>
      </c>
      <c r="V2406" s="53" t="str">
        <f t="shared" si="489"/>
        <v>Queen Maeve</v>
      </c>
      <c r="W2406" s="53" t="str">
        <f t="shared" si="490"/>
        <v>Queen Maeve</v>
      </c>
      <c r="X2406" s="53" t="str">
        <f t="shared" si="491"/>
        <v>Queen Maeve</v>
      </c>
      <c r="Y2406" s="57">
        <f>IF($X2406="","",IFERROR(VLOOKUP($X2406,'Char Popularity'!$A$2:$C$500,2,FALSE),""))</f>
        <v>4</v>
      </c>
      <c r="Z2406" s="56">
        <f>IF($X2406="",1,IFERROR(VLOOKUP($X2406,'Char Popularity'!$A$2:$C$500,3,FALSE),1))</f>
        <v>1.1000000000000001</v>
      </c>
      <c r="AA2406" s="62">
        <f>IF($H2406&lt;&gt;"Y",0,(IF($F2406&lt;&gt;"",ROUND(Dashboard!$R$4/$F2406,1),IF(AND($I2406="Base",$E2406="Base"),Dashboard!$R$5,IF(AND($I2406="Base",$E2406="Red"),Dashboard!$R$6,IF(AND($I2406="Base",$E2406="Gold"),Dashboard!$R$7,VLOOKUP($I2406,Dashboard!$Q$16:$R$21,2,FALSE)))))*VLOOKUP($I2406,Dashboard!$Q$9:$R$13,2,FALSE)*IF(AND($I2406="Auto",$F2406="",OR($B2406="Autographs Duals",$B2406="Autographs Triples",$B2406="Autographs Quads",$B2406="Autographs Quads (Inscribed)")),IF($B2406="Autographs Duals",2,IF($B2406="Autographs Triples",3,4)),1)))</f>
        <v>50</v>
      </c>
      <c r="AB2406" s="62">
        <f t="shared" si="492"/>
        <v>50</v>
      </c>
      <c r="AC2406" s="62">
        <f t="shared" si="493"/>
        <v>0</v>
      </c>
    </row>
    <row r="2407" spans="1:29" ht="30" customHeight="1" x14ac:dyDescent="0.25">
      <c r="A2407" s="4" t="s">
        <v>37</v>
      </c>
      <c r="B2407" s="7" t="s">
        <v>138</v>
      </c>
      <c r="C2407" s="2" t="s">
        <v>410</v>
      </c>
      <c r="D2407" s="7" t="s">
        <v>270</v>
      </c>
      <c r="E2407" s="4" t="s">
        <v>60</v>
      </c>
      <c r="F2407" s="2"/>
      <c r="G2407" s="2" t="s">
        <v>1399</v>
      </c>
      <c r="H2407" s="2" t="s">
        <v>1400</v>
      </c>
      <c r="I2407" s="4" t="s">
        <v>68</v>
      </c>
      <c r="J2407" s="112">
        <f>IF($H2407&lt;&gt;"Y",0,ROUND(MIN(Dashboard!$R$24,IF(IFERROR(VLOOKUP($B2407,Dashboard!$Q$28:$S$60,2,FALSE),0)&gt;0,IFERROR(VLOOKUP($B2407,Dashboard!$Q$28:$S$60,2,FALSE),0),$Z2407*IF($U2407&lt;&gt;"",ROUND((Dashboard!$R$4/$U2407)*VLOOKUP($I2407,Dashboard!$Q$9:$R$13,2,FALSE)*IF(ISNUMBER(SEARCH("Duals",$B2407)),2,IF(ISNUMBER(SEARCH("Triples",$B2407)),3,IF(ISNUMBER(SEARCH("Quads",$B2407)),4,1))),2),ROUND(VLOOKUP($I2407,Dashboard!$Q$15:$R$20,2,FALSE)*IF($E2407="Red",Dashboard!$R$6,IF($E2407="Gold",Dashboard!$R$7,Dashboard!$R$5))*IF(ISNUMBER(SEARCH("Duals",$B2407)),2,IF(ISNUMBER(SEARCH("Triples",$B2407)),3,IF(ISNUMBER(SEARCH("Quads",$B2407)),4,1))),2))*IF(IFERROR(VLOOKUP($B2407,Dashboard!$Q$28:$S$60,3,FALSE),0)&gt;0,VLOOKUP($B2407,Dashboard!$Q$28:$S$60,3,FALSE),1))),0))</f>
        <v>7</v>
      </c>
      <c r="K2407" s="2" t="str">
        <f>IF(Characters!K11="","",Characters!K11)</f>
        <v>V</v>
      </c>
      <c r="L2407" s="2">
        <f t="shared" si="481"/>
        <v>1</v>
      </c>
      <c r="M2407" s="2">
        <f t="shared" si="482"/>
        <v>0</v>
      </c>
      <c r="N2407" s="2">
        <f t="shared" si="483"/>
        <v>1</v>
      </c>
      <c r="O2407" s="2">
        <f t="shared" si="484"/>
        <v>0</v>
      </c>
      <c r="P2407" s="112">
        <f t="shared" si="485"/>
        <v>7</v>
      </c>
      <c r="Q2407" s="112">
        <f t="shared" si="486"/>
        <v>0</v>
      </c>
      <c r="R2407" s="53"/>
      <c r="S2407" s="53" t="str">
        <f t="shared" si="487"/>
        <v>Autos - Singles|Characters Auto Parallel|C-10|Base</v>
      </c>
      <c r="T2407" s="57">
        <f>IF($S2407="","",IFERROR(VLOOKUP($S2407,'Pop Estimates (Non-#d)'!$N$2:$O$500,2,FALSE),""))</f>
        <v>326</v>
      </c>
      <c r="U2407" s="57">
        <f t="shared" si="488"/>
        <v>326</v>
      </c>
      <c r="V2407" s="53" t="str">
        <f t="shared" si="489"/>
        <v>Kimiko</v>
      </c>
      <c r="W2407" s="53" t="str">
        <f t="shared" si="490"/>
        <v>Kimiko</v>
      </c>
      <c r="X2407" s="53" t="str">
        <f t="shared" si="491"/>
        <v>Kimiko</v>
      </c>
      <c r="Y2407" s="57">
        <f>IF($X2407="","",IFERROR(VLOOKUP($X2407,'Char Popularity'!$A$2:$C$500,2,FALSE),""))</f>
        <v>4</v>
      </c>
      <c r="Z2407" s="56">
        <f>IF($X2407="",1,IFERROR(VLOOKUP($X2407,'Char Popularity'!$A$2:$C$500,3,FALSE),1))</f>
        <v>1.1000000000000001</v>
      </c>
      <c r="AA2407" s="62">
        <f>IF($H2407&lt;&gt;"Y",0,(IF($F2407&lt;&gt;"",ROUND(Dashboard!$R$4/$F2407,1),IF(AND($I2407="Base",$E2407="Base"),Dashboard!$R$5,IF(AND($I2407="Base",$E2407="Red"),Dashboard!$R$6,IF(AND($I2407="Base",$E2407="Gold"),Dashboard!$R$7,VLOOKUP($I2407,Dashboard!$Q$16:$R$21,2,FALSE)))))*VLOOKUP($I2407,Dashboard!$Q$9:$R$13,2,FALSE)*IF(AND($I2407="Auto",$F2407="",OR($B2407="Autographs Duals",$B2407="Autographs Triples",$B2407="Autographs Quads",$B2407="Autographs Quads (Inscribed)")),IF($B2407="Autographs Duals",2,IF($B2407="Autographs Triples",3,4)),1)))</f>
        <v>50</v>
      </c>
      <c r="AB2407" s="62">
        <f t="shared" si="492"/>
        <v>50</v>
      </c>
      <c r="AC2407" s="62">
        <f t="shared" si="493"/>
        <v>0</v>
      </c>
    </row>
    <row r="2408" spans="1:29" ht="30" customHeight="1" x14ac:dyDescent="0.25">
      <c r="A2408" s="4" t="s">
        <v>37</v>
      </c>
      <c r="B2408" s="7" t="s">
        <v>138</v>
      </c>
      <c r="C2408" s="2" t="s">
        <v>411</v>
      </c>
      <c r="D2408" s="7" t="s">
        <v>238</v>
      </c>
      <c r="E2408" s="4" t="s">
        <v>60</v>
      </c>
      <c r="F2408" s="2"/>
      <c r="G2408" s="2" t="s">
        <v>1399</v>
      </c>
      <c r="H2408" s="2" t="s">
        <v>1400</v>
      </c>
      <c r="I2408" s="4" t="s">
        <v>68</v>
      </c>
      <c r="J2408" s="112">
        <f>IF($H2408&lt;&gt;"Y",0,ROUND(MIN(Dashboard!$R$24,IF(IFERROR(VLOOKUP($B2408,Dashboard!$Q$28:$S$60,2,FALSE),0)&gt;0,IFERROR(VLOOKUP($B2408,Dashboard!$Q$28:$S$60,2,FALSE),0),$Z2408*IF($U2408&lt;&gt;"",ROUND((Dashboard!$R$4/$U2408)*VLOOKUP($I2408,Dashboard!$Q$9:$R$13,2,FALSE)*IF(ISNUMBER(SEARCH("Duals",$B2408)),2,IF(ISNUMBER(SEARCH("Triples",$B2408)),3,IF(ISNUMBER(SEARCH("Quads",$B2408)),4,1))),2),ROUND(VLOOKUP($I2408,Dashboard!$Q$15:$R$20,2,FALSE)*IF($E2408="Red",Dashboard!$R$6,IF($E2408="Gold",Dashboard!$R$7,Dashboard!$R$5))*IF(ISNUMBER(SEARCH("Duals",$B2408)),2,IF(ISNUMBER(SEARCH("Triples",$B2408)),3,IF(ISNUMBER(SEARCH("Quads",$B2408)),4,1))),2))*IF(IFERROR(VLOOKUP($B2408,Dashboard!$Q$28:$S$60,3,FALSE),0)&gt;0,VLOOKUP($B2408,Dashboard!$Q$28:$S$60,3,FALSE),1))),0))</f>
        <v>7</v>
      </c>
      <c r="K2408" s="2" t="str">
        <f>IF(Characters!K12="","",Characters!K12)</f>
        <v/>
      </c>
      <c r="L2408" s="2">
        <f t="shared" si="481"/>
        <v>0</v>
      </c>
      <c r="M2408" s="2">
        <f t="shared" si="482"/>
        <v>0</v>
      </c>
      <c r="N2408" s="2">
        <f t="shared" si="483"/>
        <v>0</v>
      </c>
      <c r="O2408" s="2">
        <f t="shared" si="484"/>
        <v>1</v>
      </c>
      <c r="P2408" s="112">
        <f t="shared" si="485"/>
        <v>0</v>
      </c>
      <c r="Q2408" s="112">
        <f t="shared" si="486"/>
        <v>0</v>
      </c>
      <c r="R2408" s="53"/>
      <c r="S2408" s="53" t="str">
        <f t="shared" si="487"/>
        <v>Autos - Singles|Characters Auto Parallel|C-11|Base</v>
      </c>
      <c r="T2408" s="57">
        <f>IF($S2408="","",IFERROR(VLOOKUP($S2408,'Pop Estimates (Non-#d)'!$N$2:$O$500,2,FALSE),""))</f>
        <v>326</v>
      </c>
      <c r="U2408" s="57">
        <f t="shared" si="488"/>
        <v>326</v>
      </c>
      <c r="V2408" s="53" t="str">
        <f t="shared" si="489"/>
        <v>Frenchie</v>
      </c>
      <c r="W2408" s="53" t="str">
        <f t="shared" si="490"/>
        <v>Frenchie</v>
      </c>
      <c r="X2408" s="53" t="str">
        <f t="shared" si="491"/>
        <v>Frenchie</v>
      </c>
      <c r="Y2408" s="57">
        <f>IF($X2408="","",IFERROR(VLOOKUP($X2408,'Char Popularity'!$A$2:$C$500,2,FALSE),""))</f>
        <v>4</v>
      </c>
      <c r="Z2408" s="56">
        <f>IF($X2408="",1,IFERROR(VLOOKUP($X2408,'Char Popularity'!$A$2:$C$500,3,FALSE),1))</f>
        <v>1.1000000000000001</v>
      </c>
      <c r="AA2408" s="62">
        <f>IF($H2408&lt;&gt;"Y",0,(IF($F2408&lt;&gt;"",ROUND(Dashboard!$R$4/$F2408,1),IF(AND($I2408="Base",$E2408="Base"),Dashboard!$R$5,IF(AND($I2408="Base",$E2408="Red"),Dashboard!$R$6,IF(AND($I2408="Base",$E2408="Gold"),Dashboard!$R$7,VLOOKUP($I2408,Dashboard!$Q$16:$R$21,2,FALSE)))))*VLOOKUP($I2408,Dashboard!$Q$9:$R$13,2,FALSE)*IF(AND($I2408="Auto",$F2408="",OR($B2408="Autographs Duals",$B2408="Autographs Triples",$B2408="Autographs Quads",$B2408="Autographs Quads (Inscribed)")),IF($B2408="Autographs Duals",2,IF($B2408="Autographs Triples",3,4)),1)))</f>
        <v>50</v>
      </c>
      <c r="AB2408" s="62">
        <f t="shared" si="492"/>
        <v>0</v>
      </c>
      <c r="AC2408" s="62">
        <f t="shared" si="493"/>
        <v>0</v>
      </c>
    </row>
    <row r="2409" spans="1:29" ht="30" customHeight="1" x14ac:dyDescent="0.25">
      <c r="A2409" s="4" t="s">
        <v>37</v>
      </c>
      <c r="B2409" s="7" t="s">
        <v>138</v>
      </c>
      <c r="C2409" s="2" t="s">
        <v>412</v>
      </c>
      <c r="D2409" s="7" t="s">
        <v>283</v>
      </c>
      <c r="E2409" s="4" t="s">
        <v>60</v>
      </c>
      <c r="F2409" s="2"/>
      <c r="G2409" s="2" t="s">
        <v>1399</v>
      </c>
      <c r="H2409" s="2" t="s">
        <v>1400</v>
      </c>
      <c r="I2409" s="4" t="s">
        <v>68</v>
      </c>
      <c r="J2409" s="112">
        <f>IF($H2409&lt;&gt;"Y",0,ROUND(MIN(Dashboard!$R$24,IF(IFERROR(VLOOKUP($B2409,Dashboard!$Q$28:$S$60,2,FALSE),0)&gt;0,IFERROR(VLOOKUP($B2409,Dashboard!$Q$28:$S$60,2,FALSE),0),$Z2409*IF($U2409&lt;&gt;"",ROUND((Dashboard!$R$4/$U2409)*VLOOKUP($I2409,Dashboard!$Q$9:$R$13,2,FALSE)*IF(ISNUMBER(SEARCH("Duals",$B2409)),2,IF(ISNUMBER(SEARCH("Triples",$B2409)),3,IF(ISNUMBER(SEARCH("Quads",$B2409)),4,1))),2),ROUND(VLOOKUP($I2409,Dashboard!$Q$15:$R$20,2,FALSE)*IF($E2409="Red",Dashboard!$R$6,IF($E2409="Gold",Dashboard!$R$7,Dashboard!$R$5))*IF(ISNUMBER(SEARCH("Duals",$B2409)),2,IF(ISNUMBER(SEARCH("Triples",$B2409)),3,IF(ISNUMBER(SEARCH("Quads",$B2409)),4,1))),2))*IF(IFERROR(VLOOKUP($B2409,Dashboard!$Q$28:$S$60,3,FALSE),0)&gt;0,VLOOKUP($B2409,Dashboard!$Q$28:$S$60,3,FALSE),1))),0))</f>
        <v>7</v>
      </c>
      <c r="K2409" s="2" t="str">
        <f>IF(Characters!K13="","",Characters!K13)</f>
        <v/>
      </c>
      <c r="L2409" s="2">
        <f t="shared" si="481"/>
        <v>0</v>
      </c>
      <c r="M2409" s="2">
        <f t="shared" si="482"/>
        <v>0</v>
      </c>
      <c r="N2409" s="2">
        <f t="shared" si="483"/>
        <v>0</v>
      </c>
      <c r="O2409" s="2">
        <f t="shared" si="484"/>
        <v>1</v>
      </c>
      <c r="P2409" s="112">
        <f t="shared" si="485"/>
        <v>0</v>
      </c>
      <c r="Q2409" s="112">
        <f t="shared" si="486"/>
        <v>0</v>
      </c>
      <c r="R2409" s="53"/>
      <c r="S2409" s="53" t="str">
        <f t="shared" si="487"/>
        <v>Autos - Singles|Characters Auto Parallel|C-12|Base</v>
      </c>
      <c r="T2409" s="57">
        <f>IF($S2409="","",IFERROR(VLOOKUP($S2409,'Pop Estimates (Non-#d)'!$N$2:$O$500,2,FALSE),""))</f>
        <v>326</v>
      </c>
      <c r="U2409" s="57">
        <f t="shared" si="488"/>
        <v>326</v>
      </c>
      <c r="V2409" s="53" t="str">
        <f t="shared" si="489"/>
        <v>Black Noir</v>
      </c>
      <c r="W2409" s="53" t="str">
        <f t="shared" si="490"/>
        <v>Black Noir</v>
      </c>
      <c r="X2409" s="53" t="str">
        <f t="shared" si="491"/>
        <v>Black Noir</v>
      </c>
      <c r="Y2409" s="57">
        <f>IF($X2409="","",IFERROR(VLOOKUP($X2409,'Char Popularity'!$A$2:$C$500,2,FALSE),""))</f>
        <v>4</v>
      </c>
      <c r="Z2409" s="56">
        <f>IF($X2409="",1,IFERROR(VLOOKUP($X2409,'Char Popularity'!$A$2:$C$500,3,FALSE),1))</f>
        <v>1.1000000000000001</v>
      </c>
      <c r="AA2409" s="62">
        <f>IF($H2409&lt;&gt;"Y",0,(IF($F2409&lt;&gt;"",ROUND(Dashboard!$R$4/$F2409,1),IF(AND($I2409="Base",$E2409="Base"),Dashboard!$R$5,IF(AND($I2409="Base",$E2409="Red"),Dashboard!$R$6,IF(AND($I2409="Base",$E2409="Gold"),Dashboard!$R$7,VLOOKUP($I2409,Dashboard!$Q$16:$R$21,2,FALSE)))))*VLOOKUP($I2409,Dashboard!$Q$9:$R$13,2,FALSE)*IF(AND($I2409="Auto",$F2409="",OR($B2409="Autographs Duals",$B2409="Autographs Triples",$B2409="Autographs Quads",$B2409="Autographs Quads (Inscribed)")),IF($B2409="Autographs Duals",2,IF($B2409="Autographs Triples",3,4)),1)))</f>
        <v>50</v>
      </c>
      <c r="AB2409" s="62">
        <f t="shared" si="492"/>
        <v>0</v>
      </c>
      <c r="AC2409" s="62">
        <f t="shared" si="493"/>
        <v>0</v>
      </c>
    </row>
    <row r="2410" spans="1:29" ht="30" customHeight="1" x14ac:dyDescent="0.25">
      <c r="A2410" s="4" t="s">
        <v>37</v>
      </c>
      <c r="B2410" s="7" t="s">
        <v>138</v>
      </c>
      <c r="C2410" s="2" t="s">
        <v>413</v>
      </c>
      <c r="D2410" s="7" t="s">
        <v>216</v>
      </c>
      <c r="E2410" s="4" t="s">
        <v>60</v>
      </c>
      <c r="F2410" s="2"/>
      <c r="G2410" s="2" t="s">
        <v>1399</v>
      </c>
      <c r="H2410" s="2" t="s">
        <v>1400</v>
      </c>
      <c r="I2410" s="4" t="s">
        <v>68</v>
      </c>
      <c r="J2410" s="112">
        <f>IF($H2410&lt;&gt;"Y",0,ROUND(MIN(Dashboard!$R$24,IF(IFERROR(VLOOKUP($B2410,Dashboard!$Q$28:$S$60,2,FALSE),0)&gt;0,IFERROR(VLOOKUP($B2410,Dashboard!$Q$28:$S$60,2,FALSE),0),$Z2410*IF($U2410&lt;&gt;"",ROUND((Dashboard!$R$4/$U2410)*VLOOKUP($I2410,Dashboard!$Q$9:$R$13,2,FALSE)*IF(ISNUMBER(SEARCH("Duals",$B2410)),2,IF(ISNUMBER(SEARCH("Triples",$B2410)),3,IF(ISNUMBER(SEARCH("Quads",$B2410)),4,1))),2),ROUND(VLOOKUP($I2410,Dashboard!$Q$15:$R$20,2,FALSE)*IF($E2410="Red",Dashboard!$R$6,IF($E2410="Gold",Dashboard!$R$7,Dashboard!$R$5))*IF(ISNUMBER(SEARCH("Duals",$B2410)),2,IF(ISNUMBER(SEARCH("Triples",$B2410)),3,IF(ISNUMBER(SEARCH("Quads",$B2410)),4,1))),2))*IF(IFERROR(VLOOKUP($B2410,Dashboard!$Q$28:$S$60,3,FALSE),0)&gt;0,VLOOKUP($B2410,Dashboard!$Q$28:$S$60,3,FALSE),1))),0))</f>
        <v>6</v>
      </c>
      <c r="K2410" s="2" t="str">
        <f>IF(Characters!K14="","",Characters!K14)</f>
        <v>C</v>
      </c>
      <c r="L2410" s="2">
        <f t="shared" si="481"/>
        <v>1</v>
      </c>
      <c r="M2410" s="2">
        <f t="shared" si="482"/>
        <v>0</v>
      </c>
      <c r="N2410" s="2">
        <f t="shared" si="483"/>
        <v>1</v>
      </c>
      <c r="O2410" s="2">
        <f t="shared" si="484"/>
        <v>0</v>
      </c>
      <c r="P2410" s="112">
        <f t="shared" si="485"/>
        <v>6</v>
      </c>
      <c r="Q2410" s="112">
        <f t="shared" si="486"/>
        <v>0</v>
      </c>
      <c r="R2410" s="53"/>
      <c r="S2410" s="53" t="str">
        <f t="shared" si="487"/>
        <v>Autos - Singles|Characters Auto Parallel|C-13|Base</v>
      </c>
      <c r="T2410" s="57">
        <f>IF($S2410="","",IFERROR(VLOOKUP($S2410,'Pop Estimates (Non-#d)'!$N$2:$O$500,2,FALSE),""))</f>
        <v>326</v>
      </c>
      <c r="U2410" s="57">
        <f t="shared" si="488"/>
        <v>326</v>
      </c>
      <c r="V2410" s="53" t="str">
        <f t="shared" si="489"/>
        <v>Translucent</v>
      </c>
      <c r="W2410" s="53" t="str">
        <f t="shared" si="490"/>
        <v>Translucent</v>
      </c>
      <c r="X2410" s="53" t="str">
        <f t="shared" si="491"/>
        <v>Translucent</v>
      </c>
      <c r="Y2410" s="57">
        <f>IF($X2410="","",IFERROR(VLOOKUP($X2410,'Char Popularity'!$A$2:$C$500,2,FALSE),""))</f>
        <v>2</v>
      </c>
      <c r="Z2410" s="56">
        <f>IF($X2410="",1,IFERROR(VLOOKUP($X2410,'Char Popularity'!$A$2:$C$500,3,FALSE),1))</f>
        <v>0.9</v>
      </c>
      <c r="AA2410" s="62">
        <f>IF($H2410&lt;&gt;"Y",0,(IF($F2410&lt;&gt;"",ROUND(Dashboard!$R$4/$F2410,1),IF(AND($I2410="Base",$E2410="Base"),Dashboard!$R$5,IF(AND($I2410="Base",$E2410="Red"),Dashboard!$R$6,IF(AND($I2410="Base",$E2410="Gold"),Dashboard!$R$7,VLOOKUP($I2410,Dashboard!$Q$16:$R$21,2,FALSE)))))*VLOOKUP($I2410,Dashboard!$Q$9:$R$13,2,FALSE)*IF(AND($I2410="Auto",$F2410="",OR($B2410="Autographs Duals",$B2410="Autographs Triples",$B2410="Autographs Quads",$B2410="Autographs Quads (Inscribed)")),IF($B2410="Autographs Duals",2,IF($B2410="Autographs Triples",3,4)),1)))</f>
        <v>50</v>
      </c>
      <c r="AB2410" s="62">
        <f t="shared" si="492"/>
        <v>50</v>
      </c>
      <c r="AC2410" s="62">
        <f t="shared" si="493"/>
        <v>0</v>
      </c>
    </row>
    <row r="2411" spans="1:29" ht="30" customHeight="1" x14ac:dyDescent="0.25">
      <c r="A2411" s="4" t="s">
        <v>37</v>
      </c>
      <c r="B2411" s="7" t="s">
        <v>138</v>
      </c>
      <c r="C2411" s="2" t="s">
        <v>414</v>
      </c>
      <c r="D2411" s="7" t="s">
        <v>254</v>
      </c>
      <c r="E2411" s="4" t="s">
        <v>60</v>
      </c>
      <c r="F2411" s="2"/>
      <c r="G2411" s="2" t="s">
        <v>1399</v>
      </c>
      <c r="H2411" s="2" t="s">
        <v>1400</v>
      </c>
      <c r="I2411" s="4" t="s">
        <v>68</v>
      </c>
      <c r="J2411" s="112">
        <f>IF($H2411&lt;&gt;"Y",0,ROUND(MIN(Dashboard!$R$24,IF(IFERROR(VLOOKUP($B2411,Dashboard!$Q$28:$S$60,2,FALSE),0)&gt;0,IFERROR(VLOOKUP($B2411,Dashboard!$Q$28:$S$60,2,FALSE),0),$Z2411*IF($U2411&lt;&gt;"",ROUND((Dashboard!$R$4/$U2411)*VLOOKUP($I2411,Dashboard!$Q$9:$R$13,2,FALSE)*IF(ISNUMBER(SEARCH("Duals",$B2411)),2,IF(ISNUMBER(SEARCH("Triples",$B2411)),3,IF(ISNUMBER(SEARCH("Quads",$B2411)),4,1))),2),ROUND(VLOOKUP($I2411,Dashboard!$Q$15:$R$20,2,FALSE)*IF($E2411="Red",Dashboard!$R$6,IF($E2411="Gold",Dashboard!$R$7,Dashboard!$R$5))*IF(ISNUMBER(SEARCH("Duals",$B2411)),2,IF(ISNUMBER(SEARCH("Triples",$B2411)),3,IF(ISNUMBER(SEARCH("Quads",$B2411)),4,1))),2))*IF(IFERROR(VLOOKUP($B2411,Dashboard!$Q$28:$S$60,3,FALSE),0)&gt;0,VLOOKUP($B2411,Dashboard!$Q$28:$S$60,3,FALSE),1))),0))</f>
        <v>7</v>
      </c>
      <c r="K2411" s="2" t="str">
        <f>IF(Characters!K15="","",Characters!K15)</f>
        <v/>
      </c>
      <c r="L2411" s="2">
        <f t="shared" si="481"/>
        <v>0</v>
      </c>
      <c r="M2411" s="2">
        <f t="shared" si="482"/>
        <v>0</v>
      </c>
      <c r="N2411" s="2">
        <f t="shared" si="483"/>
        <v>0</v>
      </c>
      <c r="O2411" s="2">
        <f t="shared" si="484"/>
        <v>1</v>
      </c>
      <c r="P2411" s="112">
        <f t="shared" si="485"/>
        <v>0</v>
      </c>
      <c r="Q2411" s="112">
        <f t="shared" si="486"/>
        <v>0</v>
      </c>
      <c r="R2411" s="53"/>
      <c r="S2411" s="53" t="str">
        <f t="shared" si="487"/>
        <v>Autos - Singles|Characters Auto Parallel|C-14|Base</v>
      </c>
      <c r="T2411" s="57">
        <f>IF($S2411="","",IFERROR(VLOOKUP($S2411,'Pop Estimates (Non-#d)'!$N$2:$O$500,2,FALSE),""))</f>
        <v>326</v>
      </c>
      <c r="U2411" s="57">
        <f t="shared" si="488"/>
        <v>326</v>
      </c>
      <c r="V2411" s="53" t="str">
        <f t="shared" si="489"/>
        <v>Stan Edgar</v>
      </c>
      <c r="W2411" s="53" t="str">
        <f t="shared" si="490"/>
        <v>Stan Edgar</v>
      </c>
      <c r="X2411" s="53" t="str">
        <f t="shared" si="491"/>
        <v>Stan Edgar</v>
      </c>
      <c r="Y2411" s="57">
        <f>IF($X2411="","",IFERROR(VLOOKUP($X2411,'Char Popularity'!$A$2:$C$500,2,FALSE),""))</f>
        <v>4</v>
      </c>
      <c r="Z2411" s="56">
        <f>IF($X2411="",1,IFERROR(VLOOKUP($X2411,'Char Popularity'!$A$2:$C$500,3,FALSE),1))</f>
        <v>1.1000000000000001</v>
      </c>
      <c r="AA2411" s="62">
        <f>IF($H2411&lt;&gt;"Y",0,(IF($F2411&lt;&gt;"",ROUND(Dashboard!$R$4/$F2411,1),IF(AND($I2411="Base",$E2411="Base"),Dashboard!$R$5,IF(AND($I2411="Base",$E2411="Red"),Dashboard!$R$6,IF(AND($I2411="Base",$E2411="Gold"),Dashboard!$R$7,VLOOKUP($I2411,Dashboard!$Q$16:$R$21,2,FALSE)))))*VLOOKUP($I2411,Dashboard!$Q$9:$R$13,2,FALSE)*IF(AND($I2411="Auto",$F2411="",OR($B2411="Autographs Duals",$B2411="Autographs Triples",$B2411="Autographs Quads",$B2411="Autographs Quads (Inscribed)")),IF($B2411="Autographs Duals",2,IF($B2411="Autographs Triples",3,4)),1)))</f>
        <v>50</v>
      </c>
      <c r="AB2411" s="62">
        <f t="shared" si="492"/>
        <v>0</v>
      </c>
      <c r="AC2411" s="62">
        <f t="shared" si="493"/>
        <v>0</v>
      </c>
    </row>
    <row r="2412" spans="1:29" ht="30" customHeight="1" x14ac:dyDescent="0.25">
      <c r="A2412" s="4" t="s">
        <v>37</v>
      </c>
      <c r="B2412" s="7" t="s">
        <v>138</v>
      </c>
      <c r="C2412" s="2" t="s">
        <v>415</v>
      </c>
      <c r="D2412" s="7" t="s">
        <v>224</v>
      </c>
      <c r="E2412" s="4" t="s">
        <v>60</v>
      </c>
      <c r="F2412" s="2"/>
      <c r="G2412" s="2" t="s">
        <v>1399</v>
      </c>
      <c r="H2412" s="2" t="s">
        <v>1400</v>
      </c>
      <c r="I2412" s="4" t="s">
        <v>68</v>
      </c>
      <c r="J2412" s="112">
        <f>IF($H2412&lt;&gt;"Y",0,ROUND(MIN(Dashboard!$R$24,IF(IFERROR(VLOOKUP($B2412,Dashboard!$Q$28:$S$60,2,FALSE),0)&gt;0,IFERROR(VLOOKUP($B2412,Dashboard!$Q$28:$S$60,2,FALSE),0),$Z2412*IF($U2412&lt;&gt;"",ROUND((Dashboard!$R$4/$U2412)*VLOOKUP($I2412,Dashboard!$Q$9:$R$13,2,FALSE)*IF(ISNUMBER(SEARCH("Duals",$B2412)),2,IF(ISNUMBER(SEARCH("Triples",$B2412)),3,IF(ISNUMBER(SEARCH("Quads",$B2412)),4,1))),2),ROUND(VLOOKUP($I2412,Dashboard!$Q$15:$R$20,2,FALSE)*IF($E2412="Red",Dashboard!$R$6,IF($E2412="Gold",Dashboard!$R$7,Dashboard!$R$5))*IF(ISNUMBER(SEARCH("Duals",$B2412)),2,IF(ISNUMBER(SEARCH("Triples",$B2412)),3,IF(ISNUMBER(SEARCH("Quads",$B2412)),4,1))),2))*IF(IFERROR(VLOOKUP($B2412,Dashboard!$Q$28:$S$60,3,FALSE),0)&gt;0,VLOOKUP($B2412,Dashboard!$Q$28:$S$60,3,FALSE),1))),0))</f>
        <v>6</v>
      </c>
      <c r="K2412" s="2" t="str">
        <f>IF(Characters!K16="","",Characters!K16)</f>
        <v>V</v>
      </c>
      <c r="L2412" s="2">
        <f t="shared" si="481"/>
        <v>1</v>
      </c>
      <c r="M2412" s="2">
        <f t="shared" si="482"/>
        <v>0</v>
      </c>
      <c r="N2412" s="2">
        <f t="shared" si="483"/>
        <v>1</v>
      </c>
      <c r="O2412" s="2">
        <f t="shared" si="484"/>
        <v>0</v>
      </c>
      <c r="P2412" s="112">
        <f t="shared" si="485"/>
        <v>6</v>
      </c>
      <c r="Q2412" s="112">
        <f t="shared" si="486"/>
        <v>0</v>
      </c>
      <c r="R2412" s="53"/>
      <c r="S2412" s="53" t="str">
        <f t="shared" si="487"/>
        <v>Autos - Singles|Characters Auto Parallel|C-15|Base</v>
      </c>
      <c r="T2412" s="57">
        <f>IF($S2412="","",IFERROR(VLOOKUP($S2412,'Pop Estimates (Non-#d)'!$N$2:$O$500,2,FALSE),""))</f>
        <v>326</v>
      </c>
      <c r="U2412" s="57">
        <f t="shared" si="488"/>
        <v>326</v>
      </c>
      <c r="V2412" s="53" t="str">
        <f t="shared" si="489"/>
        <v>Popclaw</v>
      </c>
      <c r="W2412" s="53" t="str">
        <f t="shared" si="490"/>
        <v>Popclaw</v>
      </c>
      <c r="X2412" s="53" t="str">
        <f t="shared" si="491"/>
        <v>Popclaw</v>
      </c>
      <c r="Y2412" s="57">
        <f>IF($X2412="","",IFERROR(VLOOKUP($X2412,'Char Popularity'!$A$2:$C$500,2,FALSE),""))</f>
        <v>2</v>
      </c>
      <c r="Z2412" s="56">
        <f>IF($X2412="",1,IFERROR(VLOOKUP($X2412,'Char Popularity'!$A$2:$C$500,3,FALSE),1))</f>
        <v>0.9</v>
      </c>
      <c r="AA2412" s="62">
        <f>IF($H2412&lt;&gt;"Y",0,(IF($F2412&lt;&gt;"",ROUND(Dashboard!$R$4/$F2412,1),IF(AND($I2412="Base",$E2412="Base"),Dashboard!$R$5,IF(AND($I2412="Base",$E2412="Red"),Dashboard!$R$6,IF(AND($I2412="Base",$E2412="Gold"),Dashboard!$R$7,VLOOKUP($I2412,Dashboard!$Q$16:$R$21,2,FALSE)))))*VLOOKUP($I2412,Dashboard!$Q$9:$R$13,2,FALSE)*IF(AND($I2412="Auto",$F2412="",OR($B2412="Autographs Duals",$B2412="Autographs Triples",$B2412="Autographs Quads",$B2412="Autographs Quads (Inscribed)")),IF($B2412="Autographs Duals",2,IF($B2412="Autographs Triples",3,4)),1)))</f>
        <v>50</v>
      </c>
      <c r="AB2412" s="62">
        <f t="shared" si="492"/>
        <v>50</v>
      </c>
      <c r="AC2412" s="62">
        <f t="shared" si="493"/>
        <v>0</v>
      </c>
    </row>
    <row r="2413" spans="1:29" ht="30" customHeight="1" x14ac:dyDescent="0.25">
      <c r="A2413" s="4" t="s">
        <v>37</v>
      </c>
      <c r="B2413" s="7" t="s">
        <v>138</v>
      </c>
      <c r="C2413" s="2" t="s">
        <v>416</v>
      </c>
      <c r="D2413" s="7" t="s">
        <v>234</v>
      </c>
      <c r="E2413" s="4" t="s">
        <v>60</v>
      </c>
      <c r="F2413" s="2"/>
      <c r="G2413" s="2" t="s">
        <v>1399</v>
      </c>
      <c r="H2413" s="2" t="s">
        <v>1400</v>
      </c>
      <c r="I2413" s="4" t="s">
        <v>68</v>
      </c>
      <c r="J2413" s="112">
        <f>IF($H2413&lt;&gt;"Y",0,ROUND(MIN(Dashboard!$R$24,IF(IFERROR(VLOOKUP($B2413,Dashboard!$Q$28:$S$60,2,FALSE),0)&gt;0,IFERROR(VLOOKUP($B2413,Dashboard!$Q$28:$S$60,2,FALSE),0),$Z2413*IF($U2413&lt;&gt;"",ROUND((Dashboard!$R$4/$U2413)*VLOOKUP($I2413,Dashboard!$Q$9:$R$13,2,FALSE)*IF(ISNUMBER(SEARCH("Duals",$B2413)),2,IF(ISNUMBER(SEARCH("Triples",$B2413)),3,IF(ISNUMBER(SEARCH("Quads",$B2413)),4,1))),2),ROUND(VLOOKUP($I2413,Dashboard!$Q$15:$R$20,2,FALSE)*IF($E2413="Red",Dashboard!$R$6,IF($E2413="Gold",Dashboard!$R$7,Dashboard!$R$5))*IF(ISNUMBER(SEARCH("Duals",$B2413)),2,IF(ISNUMBER(SEARCH("Triples",$B2413)),3,IF(ISNUMBER(SEARCH("Quads",$B2413)),4,1))),2))*IF(IFERROR(VLOOKUP($B2413,Dashboard!$Q$28:$S$60,3,FALSE),0)&gt;0,VLOOKUP($B2413,Dashboard!$Q$28:$S$60,3,FALSE),1))),0))</f>
        <v>6</v>
      </c>
      <c r="K2413" s="2" t="str">
        <f>IF(Characters!K18="","",Characters!K18)</f>
        <v>V</v>
      </c>
      <c r="L2413" s="2">
        <f t="shared" si="481"/>
        <v>1</v>
      </c>
      <c r="M2413" s="2">
        <f t="shared" si="482"/>
        <v>0</v>
      </c>
      <c r="N2413" s="2">
        <f t="shared" si="483"/>
        <v>1</v>
      </c>
      <c r="O2413" s="2">
        <f t="shared" si="484"/>
        <v>0</v>
      </c>
      <c r="P2413" s="112">
        <f t="shared" si="485"/>
        <v>6</v>
      </c>
      <c r="Q2413" s="112">
        <f t="shared" si="486"/>
        <v>0</v>
      </c>
      <c r="R2413" s="53"/>
      <c r="S2413" s="53" t="str">
        <f t="shared" si="487"/>
        <v>Autos - Singles|Characters Auto Parallel|C-17|Base</v>
      </c>
      <c r="T2413" s="57">
        <f>IF($S2413="","",IFERROR(VLOOKUP($S2413,'Pop Estimates (Non-#d)'!$N$2:$O$500,2,FALSE),""))</f>
        <v>326</v>
      </c>
      <c r="U2413" s="57">
        <f t="shared" si="488"/>
        <v>326</v>
      </c>
      <c r="V2413" s="53" t="str">
        <f t="shared" si="489"/>
        <v>Ashley Barrett</v>
      </c>
      <c r="W2413" s="53" t="str">
        <f t="shared" si="490"/>
        <v>Ashley Barrett</v>
      </c>
      <c r="X2413" s="53" t="str">
        <f t="shared" si="491"/>
        <v>Ashley Barrett</v>
      </c>
      <c r="Y2413" s="57">
        <f>IF($X2413="","",IFERROR(VLOOKUP($X2413,'Char Popularity'!$A$2:$C$500,2,FALSE),""))</f>
        <v>3</v>
      </c>
      <c r="Z2413" s="56">
        <f>IF($X2413="",1,IFERROR(VLOOKUP($X2413,'Char Popularity'!$A$2:$C$500,3,FALSE),1))</f>
        <v>1</v>
      </c>
      <c r="AA2413" s="62">
        <f>IF($H2413&lt;&gt;"Y",0,(IF($F2413&lt;&gt;"",ROUND(Dashboard!$R$4/$F2413,1),IF(AND($I2413="Base",$E2413="Base"),Dashboard!$R$5,IF(AND($I2413="Base",$E2413="Red"),Dashboard!$R$6,IF(AND($I2413="Base",$E2413="Gold"),Dashboard!$R$7,VLOOKUP($I2413,Dashboard!$Q$16:$R$21,2,FALSE)))))*VLOOKUP($I2413,Dashboard!$Q$9:$R$13,2,FALSE)*IF(AND($I2413="Auto",$F2413="",OR($B2413="Autographs Duals",$B2413="Autographs Triples",$B2413="Autographs Quads",$B2413="Autographs Quads (Inscribed)")),IF($B2413="Autographs Duals",2,IF($B2413="Autographs Triples",3,4)),1)))</f>
        <v>50</v>
      </c>
      <c r="AB2413" s="62">
        <f t="shared" si="492"/>
        <v>50</v>
      </c>
      <c r="AC2413" s="62">
        <f t="shared" si="493"/>
        <v>0</v>
      </c>
    </row>
    <row r="2414" spans="1:29" ht="30" customHeight="1" x14ac:dyDescent="0.25">
      <c r="A2414" s="4" t="s">
        <v>37</v>
      </c>
      <c r="B2414" s="7" t="s">
        <v>138</v>
      </c>
      <c r="C2414" s="2" t="s">
        <v>417</v>
      </c>
      <c r="D2414" s="7" t="s">
        <v>308</v>
      </c>
      <c r="E2414" s="4" t="s">
        <v>60</v>
      </c>
      <c r="F2414" s="2"/>
      <c r="G2414" s="2" t="s">
        <v>1399</v>
      </c>
      <c r="H2414" s="2" t="s">
        <v>1400</v>
      </c>
      <c r="I2414" s="4" t="s">
        <v>68</v>
      </c>
      <c r="J2414" s="112">
        <f>IF($H2414&lt;&gt;"Y",0,ROUND(MIN(Dashboard!$R$24,IF(IFERROR(VLOOKUP($B2414,Dashboard!$Q$28:$S$60,2,FALSE),0)&gt;0,IFERROR(VLOOKUP($B2414,Dashboard!$Q$28:$S$60,2,FALSE),0),$Z2414*IF($U2414&lt;&gt;"",ROUND((Dashboard!$R$4/$U2414)*VLOOKUP($I2414,Dashboard!$Q$9:$R$13,2,FALSE)*IF(ISNUMBER(SEARCH("Duals",$B2414)),2,IF(ISNUMBER(SEARCH("Triples",$B2414)),3,IF(ISNUMBER(SEARCH("Quads",$B2414)),4,1))),2),ROUND(VLOOKUP($I2414,Dashboard!$Q$15:$R$20,2,FALSE)*IF($E2414="Red",Dashboard!$R$6,IF($E2414="Gold",Dashboard!$R$7,Dashboard!$R$5))*IF(ISNUMBER(SEARCH("Duals",$B2414)),2,IF(ISNUMBER(SEARCH("Triples",$B2414)),3,IF(ISNUMBER(SEARCH("Quads",$B2414)),4,1))),2))*IF(IFERROR(VLOOKUP($B2414,Dashboard!$Q$28:$S$60,3,FALSE),0)&gt;0,VLOOKUP($B2414,Dashboard!$Q$28:$S$60,3,FALSE),1))),0))</f>
        <v>6</v>
      </c>
      <c r="K2414" s="2" t="str">
        <f>IF(Characters!K19="","",Characters!K19)</f>
        <v>C</v>
      </c>
      <c r="L2414" s="2">
        <f t="shared" si="481"/>
        <v>1</v>
      </c>
      <c r="M2414" s="2">
        <f t="shared" si="482"/>
        <v>0</v>
      </c>
      <c r="N2414" s="2">
        <f t="shared" si="483"/>
        <v>1</v>
      </c>
      <c r="O2414" s="2">
        <f t="shared" si="484"/>
        <v>0</v>
      </c>
      <c r="P2414" s="112">
        <f t="shared" si="485"/>
        <v>6</v>
      </c>
      <c r="Q2414" s="112">
        <f t="shared" si="486"/>
        <v>0</v>
      </c>
      <c r="R2414" s="53"/>
      <c r="S2414" s="53" t="str">
        <f t="shared" si="487"/>
        <v>Autos - Singles|Characters Auto Parallel|C-18|Base</v>
      </c>
      <c r="T2414" s="57">
        <f>IF($S2414="","",IFERROR(VLOOKUP($S2414,'Pop Estimates (Non-#d)'!$N$2:$O$500,2,FALSE),""))</f>
        <v>326</v>
      </c>
      <c r="U2414" s="57">
        <f t="shared" si="488"/>
        <v>326</v>
      </c>
      <c r="V2414" s="53" t="str">
        <f t="shared" si="489"/>
        <v>Becca Butcher</v>
      </c>
      <c r="W2414" s="53" t="str">
        <f t="shared" si="490"/>
        <v>Becca Butcher</v>
      </c>
      <c r="X2414" s="53" t="str">
        <f t="shared" si="491"/>
        <v>Becca Butcher</v>
      </c>
      <c r="Y2414" s="57">
        <f>IF($X2414="","",IFERROR(VLOOKUP($X2414,'Char Popularity'!$A$2:$C$500,2,FALSE),""))</f>
        <v>3</v>
      </c>
      <c r="Z2414" s="56">
        <f>IF($X2414="",1,IFERROR(VLOOKUP($X2414,'Char Popularity'!$A$2:$C$500,3,FALSE),1))</f>
        <v>1</v>
      </c>
      <c r="AA2414" s="62">
        <f>IF($H2414&lt;&gt;"Y",0,(IF($F2414&lt;&gt;"",ROUND(Dashboard!$R$4/$F2414,1),IF(AND($I2414="Base",$E2414="Base"),Dashboard!$R$5,IF(AND($I2414="Base",$E2414="Red"),Dashboard!$R$6,IF(AND($I2414="Base",$E2414="Gold"),Dashboard!$R$7,VLOOKUP($I2414,Dashboard!$Q$16:$R$21,2,FALSE)))))*VLOOKUP($I2414,Dashboard!$Q$9:$R$13,2,FALSE)*IF(AND($I2414="Auto",$F2414="",OR($B2414="Autographs Duals",$B2414="Autographs Triples",$B2414="Autographs Quads",$B2414="Autographs Quads (Inscribed)")),IF($B2414="Autographs Duals",2,IF($B2414="Autographs Triples",3,4)),1)))</f>
        <v>50</v>
      </c>
      <c r="AB2414" s="62">
        <f t="shared" si="492"/>
        <v>50</v>
      </c>
      <c r="AC2414" s="62">
        <f t="shared" si="493"/>
        <v>0</v>
      </c>
    </row>
    <row r="2415" spans="1:29" ht="30" customHeight="1" x14ac:dyDescent="0.25">
      <c r="A2415" s="4" t="s">
        <v>37</v>
      </c>
      <c r="B2415" s="7" t="s">
        <v>138</v>
      </c>
      <c r="C2415" s="2" t="s">
        <v>418</v>
      </c>
      <c r="D2415" s="7" t="s">
        <v>301</v>
      </c>
      <c r="E2415" s="4" t="s">
        <v>60</v>
      </c>
      <c r="F2415" s="2"/>
      <c r="G2415" s="2" t="s">
        <v>1399</v>
      </c>
      <c r="H2415" s="2" t="s">
        <v>1400</v>
      </c>
      <c r="I2415" s="4" t="s">
        <v>68</v>
      </c>
      <c r="J2415" s="112">
        <f>IF($H2415&lt;&gt;"Y",0,ROUND(MIN(Dashboard!$R$24,IF(IFERROR(VLOOKUP($B2415,Dashboard!$Q$28:$S$60,2,FALSE),0)&gt;0,IFERROR(VLOOKUP($B2415,Dashboard!$Q$28:$S$60,2,FALSE),0),$Z2415*IF($U2415&lt;&gt;"",ROUND((Dashboard!$R$4/$U2415)*VLOOKUP($I2415,Dashboard!$Q$9:$R$13,2,FALSE)*IF(ISNUMBER(SEARCH("Duals",$B2415)),2,IF(ISNUMBER(SEARCH("Triples",$B2415)),3,IF(ISNUMBER(SEARCH("Quads",$B2415)),4,1))),2),ROUND(VLOOKUP($I2415,Dashboard!$Q$15:$R$20,2,FALSE)*IF($E2415="Red",Dashboard!$R$6,IF($E2415="Gold",Dashboard!$R$7,Dashboard!$R$5))*IF(ISNUMBER(SEARCH("Duals",$B2415)),2,IF(ISNUMBER(SEARCH("Triples",$B2415)),3,IF(ISNUMBER(SEARCH("Quads",$B2415)),4,1))),2))*IF(IFERROR(VLOOKUP($B2415,Dashboard!$Q$28:$S$60,3,FALSE),0)&gt;0,VLOOKUP($B2415,Dashboard!$Q$28:$S$60,3,FALSE),1))),0))</f>
        <v>6</v>
      </c>
      <c r="K2415" s="2" t="str">
        <f>IF(Characters!K20="","",Characters!K20)</f>
        <v>V</v>
      </c>
      <c r="L2415" s="2">
        <f t="shared" si="481"/>
        <v>1</v>
      </c>
      <c r="M2415" s="2">
        <f t="shared" si="482"/>
        <v>0</v>
      </c>
      <c r="N2415" s="2">
        <f t="shared" si="483"/>
        <v>1</v>
      </c>
      <c r="O2415" s="2">
        <f t="shared" si="484"/>
        <v>0</v>
      </c>
      <c r="P2415" s="112">
        <f t="shared" si="485"/>
        <v>6</v>
      </c>
      <c r="Q2415" s="112">
        <f t="shared" si="486"/>
        <v>0</v>
      </c>
      <c r="R2415" s="53"/>
      <c r="S2415" s="53" t="str">
        <f t="shared" si="487"/>
        <v>Autos - Singles|Characters Auto Parallel|C-19|Base</v>
      </c>
      <c r="T2415" s="57">
        <f>IF($S2415="","",IFERROR(VLOOKUP($S2415,'Pop Estimates (Non-#d)'!$N$2:$O$500,2,FALSE),""))</f>
        <v>326</v>
      </c>
      <c r="U2415" s="57">
        <f t="shared" si="488"/>
        <v>326</v>
      </c>
      <c r="V2415" s="53" t="str">
        <f t="shared" si="489"/>
        <v>Lamplighter</v>
      </c>
      <c r="W2415" s="53" t="str">
        <f t="shared" si="490"/>
        <v>Lamplighter</v>
      </c>
      <c r="X2415" s="53" t="str">
        <f t="shared" si="491"/>
        <v>Lamplighter</v>
      </c>
      <c r="Y2415" s="57">
        <f>IF($X2415="","",IFERROR(VLOOKUP($X2415,'Char Popularity'!$A$2:$C$500,2,FALSE),""))</f>
        <v>2</v>
      </c>
      <c r="Z2415" s="56">
        <f>IF($X2415="",1,IFERROR(VLOOKUP($X2415,'Char Popularity'!$A$2:$C$500,3,FALSE),1))</f>
        <v>0.9</v>
      </c>
      <c r="AA2415" s="62">
        <f>IF($H2415&lt;&gt;"Y",0,(IF($F2415&lt;&gt;"",ROUND(Dashboard!$R$4/$F2415,1),IF(AND($I2415="Base",$E2415="Base"),Dashboard!$R$5,IF(AND($I2415="Base",$E2415="Red"),Dashboard!$R$6,IF(AND($I2415="Base",$E2415="Gold"),Dashboard!$R$7,VLOOKUP($I2415,Dashboard!$Q$16:$R$21,2,FALSE)))))*VLOOKUP($I2415,Dashboard!$Q$9:$R$13,2,FALSE)*IF(AND($I2415="Auto",$F2415="",OR($B2415="Autographs Duals",$B2415="Autographs Triples",$B2415="Autographs Quads",$B2415="Autographs Quads (Inscribed)")),IF($B2415="Autographs Duals",2,IF($B2415="Autographs Triples",3,4)),1)))</f>
        <v>50</v>
      </c>
      <c r="AB2415" s="62">
        <f t="shared" si="492"/>
        <v>50</v>
      </c>
      <c r="AC2415" s="62">
        <f t="shared" si="493"/>
        <v>0</v>
      </c>
    </row>
    <row r="2416" spans="1:29" ht="30" customHeight="1" x14ac:dyDescent="0.25">
      <c r="A2416" s="4" t="s">
        <v>37</v>
      </c>
      <c r="B2416" s="7" t="s">
        <v>138</v>
      </c>
      <c r="C2416" s="2" t="s">
        <v>420</v>
      </c>
      <c r="D2416" s="7" t="s">
        <v>260</v>
      </c>
      <c r="E2416" s="4" t="s">
        <v>60</v>
      </c>
      <c r="F2416" s="2"/>
      <c r="G2416" s="2" t="s">
        <v>1399</v>
      </c>
      <c r="H2416" s="2" t="s">
        <v>1400</v>
      </c>
      <c r="I2416" s="4" t="s">
        <v>68</v>
      </c>
      <c r="J2416" s="112">
        <f>IF($H2416&lt;&gt;"Y",0,ROUND(MIN(Dashboard!$R$24,IF(IFERROR(VLOOKUP($B2416,Dashboard!$Q$28:$S$60,2,FALSE),0)&gt;0,IFERROR(VLOOKUP($B2416,Dashboard!$Q$28:$S$60,2,FALSE),0),$Z2416*IF($U2416&lt;&gt;"",ROUND((Dashboard!$R$4/$U2416)*VLOOKUP($I2416,Dashboard!$Q$9:$R$13,2,FALSE)*IF(ISNUMBER(SEARCH("Duals",$B2416)),2,IF(ISNUMBER(SEARCH("Triples",$B2416)),3,IF(ISNUMBER(SEARCH("Quads",$B2416)),4,1))),2),ROUND(VLOOKUP($I2416,Dashboard!$Q$15:$R$20,2,FALSE)*IF($E2416="Red",Dashboard!$R$6,IF($E2416="Gold",Dashboard!$R$7,Dashboard!$R$5))*IF(ISNUMBER(SEARCH("Duals",$B2416)),2,IF(ISNUMBER(SEARCH("Triples",$B2416)),3,IF(ISNUMBER(SEARCH("Quads",$B2416)),4,1))),2))*IF(IFERROR(VLOOKUP($B2416,Dashboard!$Q$28:$S$60,3,FALSE),0)&gt;0,VLOOKUP($B2416,Dashboard!$Q$28:$S$60,3,FALSE),1))),0))</f>
        <v>6</v>
      </c>
      <c r="K2416" s="2" t="str">
        <f>IF(Characters!K21="","",Characters!K21)</f>
        <v>C</v>
      </c>
      <c r="L2416" s="2">
        <f t="shared" si="481"/>
        <v>1</v>
      </c>
      <c r="M2416" s="2">
        <f t="shared" si="482"/>
        <v>0</v>
      </c>
      <c r="N2416" s="2">
        <f t="shared" si="483"/>
        <v>1</v>
      </c>
      <c r="O2416" s="2">
        <f t="shared" si="484"/>
        <v>0</v>
      </c>
      <c r="P2416" s="112">
        <f t="shared" si="485"/>
        <v>6</v>
      </c>
      <c r="Q2416" s="112">
        <f t="shared" si="486"/>
        <v>0</v>
      </c>
      <c r="R2416" s="53"/>
      <c r="S2416" s="53" t="str">
        <f t="shared" si="487"/>
        <v>Autos - Singles|Characters Auto Parallel|C-20|Base</v>
      </c>
      <c r="T2416" s="57">
        <f>IF($S2416="","",IFERROR(VLOOKUP($S2416,'Pop Estimates (Non-#d)'!$N$2:$O$500,2,FALSE),""))</f>
        <v>326</v>
      </c>
      <c r="U2416" s="57">
        <f t="shared" si="488"/>
        <v>326</v>
      </c>
      <c r="V2416" s="53" t="str">
        <f t="shared" si="489"/>
        <v>Cherie</v>
      </c>
      <c r="W2416" s="53" t="str">
        <f t="shared" si="490"/>
        <v>Cherie</v>
      </c>
      <c r="X2416" s="53" t="str">
        <f t="shared" si="491"/>
        <v>Cherie</v>
      </c>
      <c r="Y2416" s="57">
        <f>IF($X2416="","",IFERROR(VLOOKUP($X2416,'Char Popularity'!$A$2:$C$500,2,FALSE),""))</f>
        <v>3</v>
      </c>
      <c r="Z2416" s="56">
        <f>IF($X2416="",1,IFERROR(VLOOKUP($X2416,'Char Popularity'!$A$2:$C$500,3,FALSE),1))</f>
        <v>1</v>
      </c>
      <c r="AA2416" s="62">
        <f>IF($H2416&lt;&gt;"Y",0,(IF($F2416&lt;&gt;"",ROUND(Dashboard!$R$4/$F2416,1),IF(AND($I2416="Base",$E2416="Base"),Dashboard!$R$5,IF(AND($I2416="Base",$E2416="Red"),Dashboard!$R$6,IF(AND($I2416="Base",$E2416="Gold"),Dashboard!$R$7,VLOOKUP($I2416,Dashboard!$Q$16:$R$21,2,FALSE)))))*VLOOKUP($I2416,Dashboard!$Q$9:$R$13,2,FALSE)*IF(AND($I2416="Auto",$F2416="",OR($B2416="Autographs Duals",$B2416="Autographs Triples",$B2416="Autographs Quads",$B2416="Autographs Quads (Inscribed)")),IF($B2416="Autographs Duals",2,IF($B2416="Autographs Triples",3,4)),1)))</f>
        <v>50</v>
      </c>
      <c r="AB2416" s="62">
        <f t="shared" si="492"/>
        <v>50</v>
      </c>
      <c r="AC2416" s="62">
        <f t="shared" si="493"/>
        <v>0</v>
      </c>
    </row>
    <row r="2417" spans="1:29" ht="30" customHeight="1" x14ac:dyDescent="0.25">
      <c r="A2417" s="4" t="s">
        <v>37</v>
      </c>
      <c r="B2417" s="7" t="s">
        <v>138</v>
      </c>
      <c r="C2417" s="2" t="s">
        <v>421</v>
      </c>
      <c r="D2417" s="7" t="s">
        <v>288</v>
      </c>
      <c r="E2417" s="4" t="s">
        <v>60</v>
      </c>
      <c r="F2417" s="2"/>
      <c r="G2417" s="2" t="s">
        <v>1399</v>
      </c>
      <c r="H2417" s="2" t="s">
        <v>1400</v>
      </c>
      <c r="I2417" s="4" t="s">
        <v>68</v>
      </c>
      <c r="J2417" s="112">
        <f>IF($H2417&lt;&gt;"Y",0,ROUND(MIN(Dashboard!$R$24,IF(IFERROR(VLOOKUP($B2417,Dashboard!$Q$28:$S$60,2,FALSE),0)&gt;0,IFERROR(VLOOKUP($B2417,Dashboard!$Q$28:$S$60,2,FALSE),0),$Z2417*IF($U2417&lt;&gt;"",ROUND((Dashboard!$R$4/$U2417)*VLOOKUP($I2417,Dashboard!$Q$9:$R$13,2,FALSE)*IF(ISNUMBER(SEARCH("Duals",$B2417)),2,IF(ISNUMBER(SEARCH("Triples",$B2417)),3,IF(ISNUMBER(SEARCH("Quads",$B2417)),4,1))),2),ROUND(VLOOKUP($I2417,Dashboard!$Q$15:$R$20,2,FALSE)*IF($E2417="Red",Dashboard!$R$6,IF($E2417="Gold",Dashboard!$R$7,Dashboard!$R$5))*IF(ISNUMBER(SEARCH("Duals",$B2417)),2,IF(ISNUMBER(SEARCH("Triples",$B2417)),3,IF(ISNUMBER(SEARCH("Quads",$B2417)),4,1))),2))*IF(IFERROR(VLOOKUP($B2417,Dashboard!$Q$28:$S$60,3,FALSE),0)&gt;0,VLOOKUP($B2417,Dashboard!$Q$28:$S$60,3,FALSE),1))),0))</f>
        <v>6</v>
      </c>
      <c r="K2417" s="2" t="str">
        <f>IF(Characters!K22="","",Characters!K22)</f>
        <v>d</v>
      </c>
      <c r="L2417" s="2">
        <f t="shared" si="481"/>
        <v>1</v>
      </c>
      <c r="M2417" s="2">
        <f t="shared" si="482"/>
        <v>0</v>
      </c>
      <c r="N2417" s="2">
        <f t="shared" si="483"/>
        <v>1</v>
      </c>
      <c r="O2417" s="2">
        <f t="shared" si="484"/>
        <v>0</v>
      </c>
      <c r="P2417" s="112">
        <f t="shared" si="485"/>
        <v>6</v>
      </c>
      <c r="Q2417" s="112">
        <f t="shared" si="486"/>
        <v>0</v>
      </c>
      <c r="R2417" s="53"/>
      <c r="S2417" s="53" t="str">
        <f t="shared" si="487"/>
        <v>Autos - Singles|Characters Auto Parallel|C-21|Base</v>
      </c>
      <c r="T2417" s="57">
        <f>IF($S2417="","",IFERROR(VLOOKUP($S2417,'Pop Estimates (Non-#d)'!$N$2:$O$500,2,FALSE),""))</f>
        <v>326</v>
      </c>
      <c r="U2417" s="57">
        <f t="shared" si="488"/>
        <v>326</v>
      </c>
      <c r="V2417" s="53" t="str">
        <f t="shared" si="489"/>
        <v>Shockwave</v>
      </c>
      <c r="W2417" s="53" t="str">
        <f t="shared" si="490"/>
        <v>Shockwave</v>
      </c>
      <c r="X2417" s="53" t="str">
        <f t="shared" si="491"/>
        <v>Shockwave</v>
      </c>
      <c r="Y2417" s="57">
        <f>IF($X2417="","",IFERROR(VLOOKUP($X2417,'Char Popularity'!$A$2:$C$500,2,FALSE),""))</f>
        <v>2</v>
      </c>
      <c r="Z2417" s="56">
        <f>IF($X2417="",1,IFERROR(VLOOKUP($X2417,'Char Popularity'!$A$2:$C$500,3,FALSE),1))</f>
        <v>0.9</v>
      </c>
      <c r="AA2417" s="62">
        <f>IF($H2417&lt;&gt;"Y",0,(IF($F2417&lt;&gt;"",ROUND(Dashboard!$R$4/$F2417,1),IF(AND($I2417="Base",$E2417="Base"),Dashboard!$R$5,IF(AND($I2417="Base",$E2417="Red"),Dashboard!$R$6,IF(AND($I2417="Base",$E2417="Gold"),Dashboard!$R$7,VLOOKUP($I2417,Dashboard!$Q$16:$R$21,2,FALSE)))))*VLOOKUP($I2417,Dashboard!$Q$9:$R$13,2,FALSE)*IF(AND($I2417="Auto",$F2417="",OR($B2417="Autographs Duals",$B2417="Autographs Triples",$B2417="Autographs Quads",$B2417="Autographs Quads (Inscribed)")),IF($B2417="Autographs Duals",2,IF($B2417="Autographs Triples",3,4)),1)))</f>
        <v>50</v>
      </c>
      <c r="AB2417" s="62">
        <f t="shared" si="492"/>
        <v>50</v>
      </c>
      <c r="AC2417" s="62">
        <f t="shared" si="493"/>
        <v>0</v>
      </c>
    </row>
    <row r="2418" spans="1:29" ht="30" customHeight="1" x14ac:dyDescent="0.25">
      <c r="A2418" s="4" t="s">
        <v>37</v>
      </c>
      <c r="B2418" s="7" t="s">
        <v>138</v>
      </c>
      <c r="C2418" s="2" t="s">
        <v>422</v>
      </c>
      <c r="D2418" s="7" t="s">
        <v>228</v>
      </c>
      <c r="E2418" s="4" t="s">
        <v>60</v>
      </c>
      <c r="F2418" s="2"/>
      <c r="G2418" s="2" t="s">
        <v>1399</v>
      </c>
      <c r="H2418" s="2" t="s">
        <v>1400</v>
      </c>
      <c r="I2418" s="4" t="s">
        <v>68</v>
      </c>
      <c r="J2418" s="112">
        <f>IF($H2418&lt;&gt;"Y",0,ROUND(MIN(Dashboard!$R$24,IF(IFERROR(VLOOKUP($B2418,Dashboard!$Q$28:$S$60,2,FALSE),0)&gt;0,IFERROR(VLOOKUP($B2418,Dashboard!$Q$28:$S$60,2,FALSE),0),$Z2418*IF($U2418&lt;&gt;"",ROUND((Dashboard!$R$4/$U2418)*VLOOKUP($I2418,Dashboard!$Q$9:$R$13,2,FALSE)*IF(ISNUMBER(SEARCH("Duals",$B2418)),2,IF(ISNUMBER(SEARCH("Triples",$B2418)),3,IF(ISNUMBER(SEARCH("Quads",$B2418)),4,1))),2),ROUND(VLOOKUP($I2418,Dashboard!$Q$15:$R$20,2,FALSE)*IF($E2418="Red",Dashboard!$R$6,IF($E2418="Gold",Dashboard!$R$7,Dashboard!$R$5))*IF(ISNUMBER(SEARCH("Duals",$B2418)),2,IF(ISNUMBER(SEARCH("Triples",$B2418)),3,IF(ISNUMBER(SEARCH("Quads",$B2418)),4,1))),2))*IF(IFERROR(VLOOKUP($B2418,Dashboard!$Q$28:$S$60,3,FALSE),0)&gt;0,VLOOKUP($B2418,Dashboard!$Q$28:$S$60,3,FALSE),1))),0))</f>
        <v>7</v>
      </c>
      <c r="K2418" s="2" t="str">
        <f>IF(Characters!K23="","",Characters!K23)</f>
        <v/>
      </c>
      <c r="L2418" s="2">
        <f t="shared" si="481"/>
        <v>0</v>
      </c>
      <c r="M2418" s="2">
        <f t="shared" si="482"/>
        <v>0</v>
      </c>
      <c r="N2418" s="2">
        <f t="shared" si="483"/>
        <v>0</v>
      </c>
      <c r="O2418" s="2">
        <f t="shared" si="484"/>
        <v>1</v>
      </c>
      <c r="P2418" s="112">
        <f t="shared" si="485"/>
        <v>0</v>
      </c>
      <c r="Q2418" s="112">
        <f t="shared" si="486"/>
        <v>0</v>
      </c>
      <c r="R2418" s="53"/>
      <c r="S2418" s="53" t="str">
        <f t="shared" si="487"/>
        <v>Autos - Singles|Characters Auto Parallel|C-22|Base</v>
      </c>
      <c r="T2418" s="57">
        <f>IF($S2418="","",IFERROR(VLOOKUP($S2418,'Pop Estimates (Non-#d)'!$N$2:$O$500,2,FALSE),""))</f>
        <v>326</v>
      </c>
      <c r="U2418" s="57">
        <f t="shared" si="488"/>
        <v>326</v>
      </c>
      <c r="V2418" s="53" t="str">
        <f t="shared" si="489"/>
        <v>Ryan</v>
      </c>
      <c r="W2418" s="53" t="str">
        <f t="shared" si="490"/>
        <v>Ryan</v>
      </c>
      <c r="X2418" s="53" t="str">
        <f t="shared" si="491"/>
        <v>Ryan</v>
      </c>
      <c r="Y2418" s="57">
        <f>IF($X2418="","",IFERROR(VLOOKUP($X2418,'Char Popularity'!$A$2:$C$500,2,FALSE),""))</f>
        <v>4</v>
      </c>
      <c r="Z2418" s="56">
        <f>IF($X2418="",1,IFERROR(VLOOKUP($X2418,'Char Popularity'!$A$2:$C$500,3,FALSE),1))</f>
        <v>1.1000000000000001</v>
      </c>
      <c r="AA2418" s="62">
        <f>IF($H2418&lt;&gt;"Y",0,(IF($F2418&lt;&gt;"",ROUND(Dashboard!$R$4/$F2418,1),IF(AND($I2418="Base",$E2418="Base"),Dashboard!$R$5,IF(AND($I2418="Base",$E2418="Red"),Dashboard!$R$6,IF(AND($I2418="Base",$E2418="Gold"),Dashboard!$R$7,VLOOKUP($I2418,Dashboard!$Q$16:$R$21,2,FALSE)))))*VLOOKUP($I2418,Dashboard!$Q$9:$R$13,2,FALSE)*IF(AND($I2418="Auto",$F2418="",OR($B2418="Autographs Duals",$B2418="Autographs Triples",$B2418="Autographs Quads",$B2418="Autographs Quads (Inscribed)")),IF($B2418="Autographs Duals",2,IF($B2418="Autographs Triples",3,4)),1)))</f>
        <v>50</v>
      </c>
      <c r="AB2418" s="62">
        <f t="shared" si="492"/>
        <v>0</v>
      </c>
      <c r="AC2418" s="62">
        <f t="shared" si="493"/>
        <v>0</v>
      </c>
    </row>
    <row r="2419" spans="1:29" ht="30" customHeight="1" x14ac:dyDescent="0.25">
      <c r="A2419" s="4" t="s">
        <v>37</v>
      </c>
      <c r="B2419" s="7" t="s">
        <v>138</v>
      </c>
      <c r="C2419" s="2" t="s">
        <v>423</v>
      </c>
      <c r="D2419" s="7" t="s">
        <v>301</v>
      </c>
      <c r="E2419" s="4" t="s">
        <v>60</v>
      </c>
      <c r="F2419" s="2"/>
      <c r="G2419" s="2" t="s">
        <v>1399</v>
      </c>
      <c r="H2419" s="2" t="s">
        <v>1400</v>
      </c>
      <c r="I2419" s="4" t="s">
        <v>68</v>
      </c>
      <c r="J2419" s="112">
        <f>IF($H2419&lt;&gt;"Y",0,ROUND(MIN(Dashboard!$R$24,IF(IFERROR(VLOOKUP($B2419,Dashboard!$Q$28:$S$60,2,FALSE),0)&gt;0,IFERROR(VLOOKUP($B2419,Dashboard!$Q$28:$S$60,2,FALSE),0),$Z2419*IF($U2419&lt;&gt;"",ROUND((Dashboard!$R$4/$U2419)*VLOOKUP($I2419,Dashboard!$Q$9:$R$13,2,FALSE)*IF(ISNUMBER(SEARCH("Duals",$B2419)),2,IF(ISNUMBER(SEARCH("Triples",$B2419)),3,IF(ISNUMBER(SEARCH("Quads",$B2419)),4,1))),2),ROUND(VLOOKUP($I2419,Dashboard!$Q$15:$R$20,2,FALSE)*IF($E2419="Red",Dashboard!$R$6,IF($E2419="Gold",Dashboard!$R$7,Dashboard!$R$5))*IF(ISNUMBER(SEARCH("Duals",$B2419)),2,IF(ISNUMBER(SEARCH("Triples",$B2419)),3,IF(ISNUMBER(SEARCH("Quads",$B2419)),4,1))),2))*IF(IFERROR(VLOOKUP($B2419,Dashboard!$Q$28:$S$60,3,FALSE),0)&gt;0,VLOOKUP($B2419,Dashboard!$Q$28:$S$60,3,FALSE),1))),0))</f>
        <v>6</v>
      </c>
      <c r="K2419" s="2" t="str">
        <f>IF(Characters!K24="","",Characters!K24)</f>
        <v>C</v>
      </c>
      <c r="L2419" s="2">
        <f t="shared" si="481"/>
        <v>1</v>
      </c>
      <c r="M2419" s="2">
        <f t="shared" si="482"/>
        <v>0</v>
      </c>
      <c r="N2419" s="2">
        <f t="shared" si="483"/>
        <v>1</v>
      </c>
      <c r="O2419" s="2">
        <f t="shared" si="484"/>
        <v>0</v>
      </c>
      <c r="P2419" s="112">
        <f t="shared" si="485"/>
        <v>6</v>
      </c>
      <c r="Q2419" s="112">
        <f t="shared" si="486"/>
        <v>0</v>
      </c>
      <c r="R2419" s="53"/>
      <c r="S2419" s="53" t="str">
        <f t="shared" si="487"/>
        <v>Autos - Singles|Characters Auto Parallel|C-23|Base</v>
      </c>
      <c r="T2419" s="57">
        <f>IF($S2419="","",IFERROR(VLOOKUP($S2419,'Pop Estimates (Non-#d)'!$N$2:$O$500,2,FALSE),""))</f>
        <v>326</v>
      </c>
      <c r="U2419" s="57">
        <f t="shared" si="488"/>
        <v>326</v>
      </c>
      <c r="V2419" s="53" t="str">
        <f t="shared" si="489"/>
        <v>Lamplighter</v>
      </c>
      <c r="W2419" s="53" t="str">
        <f t="shared" si="490"/>
        <v>Lamplighter</v>
      </c>
      <c r="X2419" s="53" t="str">
        <f t="shared" si="491"/>
        <v>Lamplighter</v>
      </c>
      <c r="Y2419" s="57">
        <f>IF($X2419="","",IFERROR(VLOOKUP($X2419,'Char Popularity'!$A$2:$C$500,2,FALSE),""))</f>
        <v>2</v>
      </c>
      <c r="Z2419" s="56">
        <f>IF($X2419="",1,IFERROR(VLOOKUP($X2419,'Char Popularity'!$A$2:$C$500,3,FALSE),1))</f>
        <v>0.9</v>
      </c>
      <c r="AA2419" s="62">
        <f>IF($H2419&lt;&gt;"Y",0,(IF($F2419&lt;&gt;"",ROUND(Dashboard!$R$4/$F2419,1),IF(AND($I2419="Base",$E2419="Base"),Dashboard!$R$5,IF(AND($I2419="Base",$E2419="Red"),Dashboard!$R$6,IF(AND($I2419="Base",$E2419="Gold"),Dashboard!$R$7,VLOOKUP($I2419,Dashboard!$Q$16:$R$21,2,FALSE)))))*VLOOKUP($I2419,Dashboard!$Q$9:$R$13,2,FALSE)*IF(AND($I2419="Auto",$F2419="",OR($B2419="Autographs Duals",$B2419="Autographs Triples",$B2419="Autographs Quads",$B2419="Autographs Quads (Inscribed)")),IF($B2419="Autographs Duals",2,IF($B2419="Autographs Triples",3,4)),1)))</f>
        <v>50</v>
      </c>
      <c r="AB2419" s="62">
        <f t="shared" si="492"/>
        <v>50</v>
      </c>
      <c r="AC2419" s="62">
        <f t="shared" si="493"/>
        <v>0</v>
      </c>
    </row>
    <row r="2420" spans="1:29" ht="30" customHeight="1" x14ac:dyDescent="0.25">
      <c r="A2420" s="4" t="s">
        <v>37</v>
      </c>
      <c r="B2420" s="7" t="s">
        <v>138</v>
      </c>
      <c r="C2420" s="2" t="s">
        <v>424</v>
      </c>
      <c r="D2420" s="7" t="s">
        <v>280</v>
      </c>
      <c r="E2420" s="4" t="s">
        <v>60</v>
      </c>
      <c r="F2420" s="2"/>
      <c r="G2420" s="2" t="s">
        <v>1399</v>
      </c>
      <c r="H2420" s="2" t="s">
        <v>1400</v>
      </c>
      <c r="I2420" s="4" t="s">
        <v>68</v>
      </c>
      <c r="J2420" s="112">
        <f>IF($H2420&lt;&gt;"Y",0,ROUND(MIN(Dashboard!$R$24,IF(IFERROR(VLOOKUP($B2420,Dashboard!$Q$28:$S$60,2,FALSE),0)&gt;0,IFERROR(VLOOKUP($B2420,Dashboard!$Q$28:$S$60,2,FALSE),0),$Z2420*IF($U2420&lt;&gt;"",ROUND((Dashboard!$R$4/$U2420)*VLOOKUP($I2420,Dashboard!$Q$9:$R$13,2,FALSE)*IF(ISNUMBER(SEARCH("Duals",$B2420)),2,IF(ISNUMBER(SEARCH("Triples",$B2420)),3,IF(ISNUMBER(SEARCH("Quads",$B2420)),4,1))),2),ROUND(VLOOKUP($I2420,Dashboard!$Q$15:$R$20,2,FALSE)*IF($E2420="Red",Dashboard!$R$6,IF($E2420="Gold",Dashboard!$R$7,Dashboard!$R$5))*IF(ISNUMBER(SEARCH("Duals",$B2420)),2,IF(ISNUMBER(SEARCH("Triples",$B2420)),3,IF(ISNUMBER(SEARCH("Quads",$B2420)),4,1))),2))*IF(IFERROR(VLOOKUP($B2420,Dashboard!$Q$28:$S$60,3,FALSE),0)&gt;0,VLOOKUP($B2420,Dashboard!$Q$28:$S$60,3,FALSE),1))),0))</f>
        <v>7</v>
      </c>
      <c r="K2420" s="2" t="str">
        <f>IF(Characters!K30="","",Characters!K30)</f>
        <v/>
      </c>
      <c r="L2420" s="2">
        <f t="shared" si="481"/>
        <v>0</v>
      </c>
      <c r="M2420" s="2">
        <f t="shared" si="482"/>
        <v>0</v>
      </c>
      <c r="N2420" s="2">
        <f t="shared" si="483"/>
        <v>0</v>
      </c>
      <c r="O2420" s="2">
        <f t="shared" si="484"/>
        <v>1</v>
      </c>
      <c r="P2420" s="112">
        <f t="shared" si="485"/>
        <v>0</v>
      </c>
      <c r="Q2420" s="112">
        <f t="shared" si="486"/>
        <v>0</v>
      </c>
      <c r="R2420" s="53"/>
      <c r="S2420" s="53" t="str">
        <f t="shared" si="487"/>
        <v>Autos - Singles|Characters Auto Parallel|C-29|Base</v>
      </c>
      <c r="T2420" s="57">
        <f>IF($S2420="","",IFERROR(VLOOKUP($S2420,'Pop Estimates (Non-#d)'!$N$2:$O$500,2,FALSE),""))</f>
        <v>326</v>
      </c>
      <c r="U2420" s="57">
        <f t="shared" si="488"/>
        <v>326</v>
      </c>
      <c r="V2420" s="53" t="str">
        <f t="shared" si="489"/>
        <v>Grace Mallory</v>
      </c>
      <c r="W2420" s="53" t="str">
        <f t="shared" si="490"/>
        <v>Grace Mallory</v>
      </c>
      <c r="X2420" s="53" t="str">
        <f t="shared" si="491"/>
        <v>Grace Mallory</v>
      </c>
      <c r="Y2420" s="57">
        <f>IF($X2420="","",IFERROR(VLOOKUP($X2420,'Char Popularity'!$A$2:$C$500,2,FALSE),""))</f>
        <v>4</v>
      </c>
      <c r="Z2420" s="56">
        <f>IF($X2420="",1,IFERROR(VLOOKUP($X2420,'Char Popularity'!$A$2:$C$500,3,FALSE),1))</f>
        <v>1.1000000000000001</v>
      </c>
      <c r="AA2420" s="62">
        <f>IF($H2420&lt;&gt;"Y",0,(IF($F2420&lt;&gt;"",ROUND(Dashboard!$R$4/$F2420,1),IF(AND($I2420="Base",$E2420="Base"),Dashboard!$R$5,IF(AND($I2420="Base",$E2420="Red"),Dashboard!$R$6,IF(AND($I2420="Base",$E2420="Gold"),Dashboard!$R$7,VLOOKUP($I2420,Dashboard!$Q$16:$R$21,2,FALSE)))))*VLOOKUP($I2420,Dashboard!$Q$9:$R$13,2,FALSE)*IF(AND($I2420="Auto",$F2420="",OR($B2420="Autographs Duals",$B2420="Autographs Triples",$B2420="Autographs Quads",$B2420="Autographs Quads (Inscribed)")),IF($B2420="Autographs Duals",2,IF($B2420="Autographs Triples",3,4)),1)))</f>
        <v>50</v>
      </c>
      <c r="AB2420" s="62">
        <f t="shared" si="492"/>
        <v>0</v>
      </c>
      <c r="AC2420" s="62">
        <f t="shared" si="493"/>
        <v>0</v>
      </c>
    </row>
    <row r="2421" spans="1:29" ht="30" customHeight="1" x14ac:dyDescent="0.25">
      <c r="A2421" s="4" t="s">
        <v>37</v>
      </c>
      <c r="B2421" s="7" t="s">
        <v>138</v>
      </c>
      <c r="C2421" s="2" t="s">
        <v>426</v>
      </c>
      <c r="D2421" s="7" t="s">
        <v>250</v>
      </c>
      <c r="E2421" s="4" t="s">
        <v>60</v>
      </c>
      <c r="F2421" s="2"/>
      <c r="G2421" s="2" t="s">
        <v>1399</v>
      </c>
      <c r="H2421" s="2" t="s">
        <v>1400</v>
      </c>
      <c r="I2421" s="4" t="s">
        <v>68</v>
      </c>
      <c r="J2421" s="112">
        <f>IF($H2421&lt;&gt;"Y",0,ROUND(MIN(Dashboard!$R$24,IF(IFERROR(VLOOKUP($B2421,Dashboard!$Q$28:$S$60,2,FALSE),0)&gt;0,IFERROR(VLOOKUP($B2421,Dashboard!$Q$28:$S$60,2,FALSE),0),$Z2421*IF($U2421&lt;&gt;"",ROUND((Dashboard!$R$4/$U2421)*VLOOKUP($I2421,Dashboard!$Q$9:$R$13,2,FALSE)*IF(ISNUMBER(SEARCH("Duals",$B2421)),2,IF(ISNUMBER(SEARCH("Triples",$B2421)),3,IF(ISNUMBER(SEARCH("Quads",$B2421)),4,1))),2),ROUND(VLOOKUP($I2421,Dashboard!$Q$15:$R$20,2,FALSE)*IF($E2421="Red",Dashboard!$R$6,IF($E2421="Gold",Dashboard!$R$7,Dashboard!$R$5))*IF(ISNUMBER(SEARCH("Duals",$B2421)),2,IF(ISNUMBER(SEARCH("Triples",$B2421)),3,IF(ISNUMBER(SEARCH("Quads",$B2421)),4,1))),2))*IF(IFERROR(VLOOKUP($B2421,Dashboard!$Q$28:$S$60,3,FALSE),0)&gt;0,VLOOKUP($B2421,Dashboard!$Q$28:$S$60,3,FALSE),1))),0))</f>
        <v>6</v>
      </c>
      <c r="K2421" s="2" t="str">
        <f>IF(Characters!K32="","",Characters!K32)</f>
        <v/>
      </c>
      <c r="L2421" s="2">
        <f t="shared" si="481"/>
        <v>0</v>
      </c>
      <c r="M2421" s="2">
        <f t="shared" si="482"/>
        <v>0</v>
      </c>
      <c r="N2421" s="2">
        <f t="shared" si="483"/>
        <v>0</v>
      </c>
      <c r="O2421" s="2">
        <f t="shared" si="484"/>
        <v>1</v>
      </c>
      <c r="P2421" s="112">
        <f t="shared" si="485"/>
        <v>0</v>
      </c>
      <c r="Q2421" s="112">
        <f t="shared" si="486"/>
        <v>0</v>
      </c>
      <c r="R2421" s="53"/>
      <c r="S2421" s="53" t="str">
        <f t="shared" si="487"/>
        <v>Autos - Singles|Characters Auto Parallel|C-31|Base</v>
      </c>
      <c r="T2421" s="57">
        <f>IF($S2421="","",IFERROR(VLOOKUP($S2421,'Pop Estimates (Non-#d)'!$N$2:$O$500,2,FALSE),""))</f>
        <v>326</v>
      </c>
      <c r="U2421" s="57">
        <f t="shared" si="488"/>
        <v>326</v>
      </c>
      <c r="V2421" s="53" t="str">
        <f t="shared" si="489"/>
        <v>Madelyn Stillwell</v>
      </c>
      <c r="W2421" s="53" t="str">
        <f t="shared" si="490"/>
        <v>Madelyn Stillwell</v>
      </c>
      <c r="X2421" s="53" t="str">
        <f t="shared" si="491"/>
        <v>Madelyn Stillwell</v>
      </c>
      <c r="Y2421" s="57">
        <f>IF($X2421="","",IFERROR(VLOOKUP($X2421,'Char Popularity'!$A$2:$C$500,2,FALSE),""))</f>
        <v>3</v>
      </c>
      <c r="Z2421" s="56">
        <f>IF($X2421="",1,IFERROR(VLOOKUP($X2421,'Char Popularity'!$A$2:$C$500,3,FALSE),1))</f>
        <v>1</v>
      </c>
      <c r="AA2421" s="62">
        <f>IF($H2421&lt;&gt;"Y",0,(IF($F2421&lt;&gt;"",ROUND(Dashboard!$R$4/$F2421,1),IF(AND($I2421="Base",$E2421="Base"),Dashboard!$R$5,IF(AND($I2421="Base",$E2421="Red"),Dashboard!$R$6,IF(AND($I2421="Base",$E2421="Gold"),Dashboard!$R$7,VLOOKUP($I2421,Dashboard!$Q$16:$R$21,2,FALSE)))))*VLOOKUP($I2421,Dashboard!$Q$9:$R$13,2,FALSE)*IF(AND($I2421="Auto",$F2421="",OR($B2421="Autographs Duals",$B2421="Autographs Triples",$B2421="Autographs Quads",$B2421="Autographs Quads (Inscribed)")),IF($B2421="Autographs Duals",2,IF($B2421="Autographs Triples",3,4)),1)))</f>
        <v>50</v>
      </c>
      <c r="AB2421" s="62">
        <f t="shared" si="492"/>
        <v>0</v>
      </c>
      <c r="AC2421" s="62">
        <f t="shared" si="493"/>
        <v>0</v>
      </c>
    </row>
    <row r="2422" spans="1:29" ht="30" customHeight="1" x14ac:dyDescent="0.25">
      <c r="A2422" s="4" t="s">
        <v>37</v>
      </c>
      <c r="B2422" s="7" t="s">
        <v>138</v>
      </c>
      <c r="C2422" s="2" t="s">
        <v>427</v>
      </c>
      <c r="D2422" s="7" t="s">
        <v>283</v>
      </c>
      <c r="E2422" s="4" t="s">
        <v>60</v>
      </c>
      <c r="F2422" s="2"/>
      <c r="G2422" s="2" t="s">
        <v>1399</v>
      </c>
      <c r="H2422" s="2" t="s">
        <v>1400</v>
      </c>
      <c r="I2422" s="4" t="s">
        <v>68</v>
      </c>
      <c r="J2422" s="112">
        <f>IF($H2422&lt;&gt;"Y",0,ROUND(MIN(Dashboard!$R$24,IF(IFERROR(VLOOKUP($B2422,Dashboard!$Q$28:$S$60,2,FALSE),0)&gt;0,IFERROR(VLOOKUP($B2422,Dashboard!$Q$28:$S$60,2,FALSE),0),$Z2422*IF($U2422&lt;&gt;"",ROUND((Dashboard!$R$4/$U2422)*VLOOKUP($I2422,Dashboard!$Q$9:$R$13,2,FALSE)*IF(ISNUMBER(SEARCH("Duals",$B2422)),2,IF(ISNUMBER(SEARCH("Triples",$B2422)),3,IF(ISNUMBER(SEARCH("Quads",$B2422)),4,1))),2),ROUND(VLOOKUP($I2422,Dashboard!$Q$15:$R$20,2,FALSE)*IF($E2422="Red",Dashboard!$R$6,IF($E2422="Gold",Dashboard!$R$7,Dashboard!$R$5))*IF(ISNUMBER(SEARCH("Duals",$B2422)),2,IF(ISNUMBER(SEARCH("Triples",$B2422)),3,IF(ISNUMBER(SEARCH("Quads",$B2422)),4,1))),2))*IF(IFERROR(VLOOKUP($B2422,Dashboard!$Q$28:$S$60,3,FALSE),0)&gt;0,VLOOKUP($B2422,Dashboard!$Q$28:$S$60,3,FALSE),1))),0))</f>
        <v>7</v>
      </c>
      <c r="K2422" s="2" t="str">
        <f>IF(Characters!K40="","",Characters!K40)</f>
        <v xml:space="preserve"> V</v>
      </c>
      <c r="L2422" s="2">
        <f t="shared" si="481"/>
        <v>1</v>
      </c>
      <c r="M2422" s="2">
        <f t="shared" si="482"/>
        <v>0</v>
      </c>
      <c r="N2422" s="2">
        <f t="shared" si="483"/>
        <v>1</v>
      </c>
      <c r="O2422" s="2">
        <f t="shared" si="484"/>
        <v>0</v>
      </c>
      <c r="P2422" s="112">
        <f t="shared" si="485"/>
        <v>7</v>
      </c>
      <c r="Q2422" s="112">
        <f t="shared" si="486"/>
        <v>0</v>
      </c>
      <c r="R2422" s="53"/>
      <c r="S2422" s="53" t="str">
        <f t="shared" si="487"/>
        <v>Autos - Singles|Characters Auto Parallel|C-39|Base</v>
      </c>
      <c r="T2422" s="57">
        <f>IF($S2422="","",IFERROR(VLOOKUP($S2422,'Pop Estimates (Non-#d)'!$N$2:$O$500,2,FALSE),""))</f>
        <v>326</v>
      </c>
      <c r="U2422" s="57">
        <f t="shared" si="488"/>
        <v>326</v>
      </c>
      <c r="V2422" s="53" t="str">
        <f t="shared" si="489"/>
        <v>Black Noir</v>
      </c>
      <c r="W2422" s="53" t="str">
        <f t="shared" si="490"/>
        <v>Black Noir</v>
      </c>
      <c r="X2422" s="53" t="str">
        <f t="shared" si="491"/>
        <v>Black Noir</v>
      </c>
      <c r="Y2422" s="57">
        <f>IF($X2422="","",IFERROR(VLOOKUP($X2422,'Char Popularity'!$A$2:$C$500,2,FALSE),""))</f>
        <v>4</v>
      </c>
      <c r="Z2422" s="56">
        <f>IF($X2422="",1,IFERROR(VLOOKUP($X2422,'Char Popularity'!$A$2:$C$500,3,FALSE),1))</f>
        <v>1.1000000000000001</v>
      </c>
      <c r="AA2422" s="62">
        <f>IF($H2422&lt;&gt;"Y",0,(IF($F2422&lt;&gt;"",ROUND(Dashboard!$R$4/$F2422,1),IF(AND($I2422="Base",$E2422="Base"),Dashboard!$R$5,IF(AND($I2422="Base",$E2422="Red"),Dashboard!$R$6,IF(AND($I2422="Base",$E2422="Gold"),Dashboard!$R$7,VLOOKUP($I2422,Dashboard!$Q$16:$R$21,2,FALSE)))))*VLOOKUP($I2422,Dashboard!$Q$9:$R$13,2,FALSE)*IF(AND($I2422="Auto",$F2422="",OR($B2422="Autographs Duals",$B2422="Autographs Triples",$B2422="Autographs Quads",$B2422="Autographs Quads (Inscribed)")),IF($B2422="Autographs Duals",2,IF($B2422="Autographs Triples",3,4)),1)))</f>
        <v>50</v>
      </c>
      <c r="AB2422" s="62">
        <f t="shared" si="492"/>
        <v>50</v>
      </c>
      <c r="AC2422" s="62">
        <f t="shared" si="493"/>
        <v>0</v>
      </c>
    </row>
    <row r="2423" spans="1:29" ht="30" customHeight="1" x14ac:dyDescent="0.25">
      <c r="A2423" s="4" t="s">
        <v>37</v>
      </c>
      <c r="B2423" s="7" t="s">
        <v>138</v>
      </c>
      <c r="C2423" s="2" t="s">
        <v>429</v>
      </c>
      <c r="D2423" s="7" t="s">
        <v>238</v>
      </c>
      <c r="E2423" s="4" t="s">
        <v>60</v>
      </c>
      <c r="F2423" s="2"/>
      <c r="G2423" s="2" t="s">
        <v>1399</v>
      </c>
      <c r="H2423" s="2" t="s">
        <v>1400</v>
      </c>
      <c r="I2423" s="4" t="s">
        <v>68</v>
      </c>
      <c r="J2423" s="112">
        <f>IF($H2423&lt;&gt;"Y",0,ROUND(MIN(Dashboard!$R$24,IF(IFERROR(VLOOKUP($B2423,Dashboard!$Q$28:$S$60,2,FALSE),0)&gt;0,IFERROR(VLOOKUP($B2423,Dashboard!$Q$28:$S$60,2,FALSE),0),$Z2423*IF($U2423&lt;&gt;"",ROUND((Dashboard!$R$4/$U2423)*VLOOKUP($I2423,Dashboard!$Q$9:$R$13,2,FALSE)*IF(ISNUMBER(SEARCH("Duals",$B2423)),2,IF(ISNUMBER(SEARCH("Triples",$B2423)),3,IF(ISNUMBER(SEARCH("Quads",$B2423)),4,1))),2),ROUND(VLOOKUP($I2423,Dashboard!$Q$15:$R$20,2,FALSE)*IF($E2423="Red",Dashboard!$R$6,IF($E2423="Gold",Dashboard!$R$7,Dashboard!$R$5))*IF(ISNUMBER(SEARCH("Duals",$B2423)),2,IF(ISNUMBER(SEARCH("Triples",$B2423)),3,IF(ISNUMBER(SEARCH("Quads",$B2423)),4,1))),2))*IF(IFERROR(VLOOKUP($B2423,Dashboard!$Q$28:$S$60,3,FALSE),0)&gt;0,VLOOKUP($B2423,Dashboard!$Q$28:$S$60,3,FALSE),1))),0))</f>
        <v>7</v>
      </c>
      <c r="K2423" s="2" t="str">
        <f>IF(Characters!K41="","",Characters!K41)</f>
        <v/>
      </c>
      <c r="L2423" s="2">
        <f t="shared" si="481"/>
        <v>0</v>
      </c>
      <c r="M2423" s="2">
        <f t="shared" si="482"/>
        <v>0</v>
      </c>
      <c r="N2423" s="2">
        <f t="shared" si="483"/>
        <v>0</v>
      </c>
      <c r="O2423" s="2">
        <f t="shared" si="484"/>
        <v>1</v>
      </c>
      <c r="P2423" s="112">
        <f t="shared" si="485"/>
        <v>0</v>
      </c>
      <c r="Q2423" s="112">
        <f t="shared" si="486"/>
        <v>0</v>
      </c>
      <c r="R2423" s="53"/>
      <c r="S2423" s="53" t="str">
        <f t="shared" si="487"/>
        <v>Autos - Singles|Characters Auto Parallel|C-40|Base</v>
      </c>
      <c r="T2423" s="57">
        <f>IF($S2423="","",IFERROR(VLOOKUP($S2423,'Pop Estimates (Non-#d)'!$N$2:$O$500,2,FALSE),""))</f>
        <v>326</v>
      </c>
      <c r="U2423" s="57">
        <f t="shared" si="488"/>
        <v>326</v>
      </c>
      <c r="V2423" s="53" t="str">
        <f t="shared" si="489"/>
        <v>Frenchie</v>
      </c>
      <c r="W2423" s="53" t="str">
        <f t="shared" si="490"/>
        <v>Frenchie</v>
      </c>
      <c r="X2423" s="53" t="str">
        <f t="shared" si="491"/>
        <v>Frenchie</v>
      </c>
      <c r="Y2423" s="57">
        <f>IF($X2423="","",IFERROR(VLOOKUP($X2423,'Char Popularity'!$A$2:$C$500,2,FALSE),""))</f>
        <v>4</v>
      </c>
      <c r="Z2423" s="56">
        <f>IF($X2423="",1,IFERROR(VLOOKUP($X2423,'Char Popularity'!$A$2:$C$500,3,FALSE),1))</f>
        <v>1.1000000000000001</v>
      </c>
      <c r="AA2423" s="62">
        <f>IF($H2423&lt;&gt;"Y",0,(IF($F2423&lt;&gt;"",ROUND(Dashboard!$R$4/$F2423,1),IF(AND($I2423="Base",$E2423="Base"),Dashboard!$R$5,IF(AND($I2423="Base",$E2423="Red"),Dashboard!$R$6,IF(AND($I2423="Base",$E2423="Gold"),Dashboard!$R$7,VLOOKUP($I2423,Dashboard!$Q$16:$R$21,2,FALSE)))))*VLOOKUP($I2423,Dashboard!$Q$9:$R$13,2,FALSE)*IF(AND($I2423="Auto",$F2423="",OR($B2423="Autographs Duals",$B2423="Autographs Triples",$B2423="Autographs Quads",$B2423="Autographs Quads (Inscribed)")),IF($B2423="Autographs Duals",2,IF($B2423="Autographs Triples",3,4)),1)))</f>
        <v>50</v>
      </c>
      <c r="AB2423" s="62">
        <f t="shared" si="492"/>
        <v>0</v>
      </c>
      <c r="AC2423" s="62">
        <f t="shared" si="493"/>
        <v>0</v>
      </c>
    </row>
    <row r="2424" spans="1:29" ht="30" customHeight="1" x14ac:dyDescent="0.25">
      <c r="A2424" s="4" t="s">
        <v>37</v>
      </c>
      <c r="B2424" s="7" t="s">
        <v>138</v>
      </c>
      <c r="C2424" s="2" t="s">
        <v>430</v>
      </c>
      <c r="D2424" s="7" t="s">
        <v>288</v>
      </c>
      <c r="E2424" s="4" t="s">
        <v>60</v>
      </c>
      <c r="F2424" s="2"/>
      <c r="G2424" s="2" t="s">
        <v>1399</v>
      </c>
      <c r="H2424" s="2" t="s">
        <v>1400</v>
      </c>
      <c r="I2424" s="4" t="s">
        <v>68</v>
      </c>
      <c r="J2424" s="112">
        <f>IF($H2424&lt;&gt;"Y",0,ROUND(MIN(Dashboard!$R$24,IF(IFERROR(VLOOKUP($B2424,Dashboard!$Q$28:$S$60,2,FALSE),0)&gt;0,IFERROR(VLOOKUP($B2424,Dashboard!$Q$28:$S$60,2,FALSE),0),$Z2424*IF($U2424&lt;&gt;"",ROUND((Dashboard!$R$4/$U2424)*VLOOKUP($I2424,Dashboard!$Q$9:$R$13,2,FALSE)*IF(ISNUMBER(SEARCH("Duals",$B2424)),2,IF(ISNUMBER(SEARCH("Triples",$B2424)),3,IF(ISNUMBER(SEARCH("Quads",$B2424)),4,1))),2),ROUND(VLOOKUP($I2424,Dashboard!$Q$15:$R$20,2,FALSE)*IF($E2424="Red",Dashboard!$R$6,IF($E2424="Gold",Dashboard!$R$7,Dashboard!$R$5))*IF(ISNUMBER(SEARCH("Duals",$B2424)),2,IF(ISNUMBER(SEARCH("Triples",$B2424)),3,IF(ISNUMBER(SEARCH("Quads",$B2424)),4,1))),2))*IF(IFERROR(VLOOKUP($B2424,Dashboard!$Q$28:$S$60,3,FALSE),0)&gt;0,VLOOKUP($B2424,Dashboard!$Q$28:$S$60,3,FALSE),1))),0))</f>
        <v>6</v>
      </c>
      <c r="K2424" s="2" t="str">
        <f>IF(Characters!K43="","",Characters!K43)</f>
        <v/>
      </c>
      <c r="L2424" s="2">
        <f t="shared" si="481"/>
        <v>0</v>
      </c>
      <c r="M2424" s="2">
        <f t="shared" si="482"/>
        <v>0</v>
      </c>
      <c r="N2424" s="2">
        <f t="shared" si="483"/>
        <v>0</v>
      </c>
      <c r="O2424" s="2">
        <f t="shared" si="484"/>
        <v>1</v>
      </c>
      <c r="P2424" s="112">
        <f t="shared" si="485"/>
        <v>0</v>
      </c>
      <c r="Q2424" s="112">
        <f t="shared" si="486"/>
        <v>0</v>
      </c>
      <c r="R2424" s="53"/>
      <c r="S2424" s="53" t="str">
        <f t="shared" si="487"/>
        <v>Autos - Singles|Characters Auto Parallel|C-42|Base</v>
      </c>
      <c r="T2424" s="57">
        <f>IF($S2424="","",IFERROR(VLOOKUP($S2424,'Pop Estimates (Non-#d)'!$N$2:$O$500,2,FALSE),""))</f>
        <v>326</v>
      </c>
      <c r="U2424" s="57">
        <f t="shared" si="488"/>
        <v>326</v>
      </c>
      <c r="V2424" s="53" t="str">
        <f t="shared" si="489"/>
        <v>Shockwave</v>
      </c>
      <c r="W2424" s="53" t="str">
        <f t="shared" si="490"/>
        <v>Shockwave</v>
      </c>
      <c r="X2424" s="53" t="str">
        <f t="shared" si="491"/>
        <v>Shockwave</v>
      </c>
      <c r="Y2424" s="57">
        <f>IF($X2424="","",IFERROR(VLOOKUP($X2424,'Char Popularity'!$A$2:$C$500,2,FALSE),""))</f>
        <v>2</v>
      </c>
      <c r="Z2424" s="56">
        <f>IF($X2424="",1,IFERROR(VLOOKUP($X2424,'Char Popularity'!$A$2:$C$500,3,FALSE),1))</f>
        <v>0.9</v>
      </c>
      <c r="AA2424" s="62">
        <f>IF($H2424&lt;&gt;"Y",0,(IF($F2424&lt;&gt;"",ROUND(Dashboard!$R$4/$F2424,1),IF(AND($I2424="Base",$E2424="Base"),Dashboard!$R$5,IF(AND($I2424="Base",$E2424="Red"),Dashboard!$R$6,IF(AND($I2424="Base",$E2424="Gold"),Dashboard!$R$7,VLOOKUP($I2424,Dashboard!$Q$16:$R$21,2,FALSE)))))*VLOOKUP($I2424,Dashboard!$Q$9:$R$13,2,FALSE)*IF(AND($I2424="Auto",$F2424="",OR($B2424="Autographs Duals",$B2424="Autographs Triples",$B2424="Autographs Quads",$B2424="Autographs Quads (Inscribed)")),IF($B2424="Autographs Duals",2,IF($B2424="Autographs Triples",3,4)),1)))</f>
        <v>50</v>
      </c>
      <c r="AB2424" s="62">
        <f t="shared" si="492"/>
        <v>0</v>
      </c>
      <c r="AC2424" s="62">
        <f t="shared" si="493"/>
        <v>0</v>
      </c>
    </row>
    <row r="2425" spans="1:29" ht="30" customHeight="1" x14ac:dyDescent="0.25">
      <c r="A2425" s="4" t="s">
        <v>37</v>
      </c>
      <c r="B2425" s="7" t="s">
        <v>138</v>
      </c>
      <c r="C2425" s="2" t="s">
        <v>431</v>
      </c>
      <c r="D2425" s="7" t="s">
        <v>234</v>
      </c>
      <c r="E2425" s="4" t="s">
        <v>60</v>
      </c>
      <c r="F2425" s="2"/>
      <c r="G2425" s="2" t="s">
        <v>1399</v>
      </c>
      <c r="H2425" s="2" t="s">
        <v>1400</v>
      </c>
      <c r="I2425" s="4" t="s">
        <v>68</v>
      </c>
      <c r="J2425" s="112">
        <f>IF($H2425&lt;&gt;"Y",0,ROUND(MIN(Dashboard!$R$24,IF(IFERROR(VLOOKUP($B2425,Dashboard!$Q$28:$S$60,2,FALSE),0)&gt;0,IFERROR(VLOOKUP($B2425,Dashboard!$Q$28:$S$60,2,FALSE),0),$Z2425*IF($U2425&lt;&gt;"",ROUND((Dashboard!$R$4/$U2425)*VLOOKUP($I2425,Dashboard!$Q$9:$R$13,2,FALSE)*IF(ISNUMBER(SEARCH("Duals",$B2425)),2,IF(ISNUMBER(SEARCH("Triples",$B2425)),3,IF(ISNUMBER(SEARCH("Quads",$B2425)),4,1))),2),ROUND(VLOOKUP($I2425,Dashboard!$Q$15:$R$20,2,FALSE)*IF($E2425="Red",Dashboard!$R$6,IF($E2425="Gold",Dashboard!$R$7,Dashboard!$R$5))*IF(ISNUMBER(SEARCH("Duals",$B2425)),2,IF(ISNUMBER(SEARCH("Triples",$B2425)),3,IF(ISNUMBER(SEARCH("Quads",$B2425)),4,1))),2))*IF(IFERROR(VLOOKUP($B2425,Dashboard!$Q$28:$S$60,3,FALSE),0)&gt;0,VLOOKUP($B2425,Dashboard!$Q$28:$S$60,3,FALSE),1))),0))</f>
        <v>6</v>
      </c>
      <c r="K2425" s="2" t="str">
        <f>IF(Characters!K46="","",Characters!K46)</f>
        <v>C</v>
      </c>
      <c r="L2425" s="2">
        <f t="shared" si="481"/>
        <v>1</v>
      </c>
      <c r="M2425" s="2">
        <f t="shared" si="482"/>
        <v>0</v>
      </c>
      <c r="N2425" s="2">
        <f t="shared" si="483"/>
        <v>1</v>
      </c>
      <c r="O2425" s="2">
        <f t="shared" si="484"/>
        <v>0</v>
      </c>
      <c r="P2425" s="112">
        <f t="shared" si="485"/>
        <v>6</v>
      </c>
      <c r="Q2425" s="112">
        <f t="shared" si="486"/>
        <v>0</v>
      </c>
      <c r="R2425" s="53"/>
      <c r="S2425" s="53" t="str">
        <f t="shared" si="487"/>
        <v>Autos - Singles|Characters Auto Parallel|C-45|Base</v>
      </c>
      <c r="T2425" s="57">
        <f>IF($S2425="","",IFERROR(VLOOKUP($S2425,'Pop Estimates (Non-#d)'!$N$2:$O$500,2,FALSE),""))</f>
        <v>326</v>
      </c>
      <c r="U2425" s="57">
        <f t="shared" si="488"/>
        <v>326</v>
      </c>
      <c r="V2425" s="53" t="str">
        <f t="shared" si="489"/>
        <v>Ashley Barrett</v>
      </c>
      <c r="W2425" s="53" t="str">
        <f t="shared" si="490"/>
        <v>Ashley Barrett</v>
      </c>
      <c r="X2425" s="53" t="str">
        <f t="shared" si="491"/>
        <v>Ashley Barrett</v>
      </c>
      <c r="Y2425" s="57">
        <f>IF($X2425="","",IFERROR(VLOOKUP($X2425,'Char Popularity'!$A$2:$C$500,2,FALSE),""))</f>
        <v>3</v>
      </c>
      <c r="Z2425" s="56">
        <f>IF($X2425="",1,IFERROR(VLOOKUP($X2425,'Char Popularity'!$A$2:$C$500,3,FALSE),1))</f>
        <v>1</v>
      </c>
      <c r="AA2425" s="62">
        <f>IF($H2425&lt;&gt;"Y",0,(IF($F2425&lt;&gt;"",ROUND(Dashboard!$R$4/$F2425,1),IF(AND($I2425="Base",$E2425="Base"),Dashboard!$R$5,IF(AND($I2425="Base",$E2425="Red"),Dashboard!$R$6,IF(AND($I2425="Base",$E2425="Gold"),Dashboard!$R$7,VLOOKUP($I2425,Dashboard!$Q$16:$R$21,2,FALSE)))))*VLOOKUP($I2425,Dashboard!$Q$9:$R$13,2,FALSE)*IF(AND($I2425="Auto",$F2425="",OR($B2425="Autographs Duals",$B2425="Autographs Triples",$B2425="Autographs Quads",$B2425="Autographs Quads (Inscribed)")),IF($B2425="Autographs Duals",2,IF($B2425="Autographs Triples",3,4)),1)))</f>
        <v>50</v>
      </c>
      <c r="AB2425" s="62">
        <f t="shared" si="492"/>
        <v>50</v>
      </c>
      <c r="AC2425" s="62">
        <f t="shared" si="493"/>
        <v>0</v>
      </c>
    </row>
    <row r="2426" spans="1:29" ht="30" customHeight="1" x14ac:dyDescent="0.25">
      <c r="A2426" s="4" t="s">
        <v>37</v>
      </c>
      <c r="B2426" s="7" t="s">
        <v>138</v>
      </c>
      <c r="C2426" s="2" t="s">
        <v>432</v>
      </c>
      <c r="D2426" s="7" t="s">
        <v>248</v>
      </c>
      <c r="E2426" s="4" t="s">
        <v>60</v>
      </c>
      <c r="F2426" s="2"/>
      <c r="G2426" s="2" t="s">
        <v>1399</v>
      </c>
      <c r="H2426" s="2" t="s">
        <v>1400</v>
      </c>
      <c r="I2426" s="4" t="s">
        <v>68</v>
      </c>
      <c r="J2426" s="112">
        <f>IF($H2426&lt;&gt;"Y",0,ROUND(MIN(Dashboard!$R$24,IF(IFERROR(VLOOKUP($B2426,Dashboard!$Q$28:$S$60,2,FALSE),0)&gt;0,IFERROR(VLOOKUP($B2426,Dashboard!$Q$28:$S$60,2,FALSE),0),$Z2426*IF($U2426&lt;&gt;"",ROUND((Dashboard!$R$4/$U2426)*VLOOKUP($I2426,Dashboard!$Q$9:$R$13,2,FALSE)*IF(ISNUMBER(SEARCH("Duals",$B2426)),2,IF(ISNUMBER(SEARCH("Triples",$B2426)),3,IF(ISNUMBER(SEARCH("Quads",$B2426)),4,1))),2),ROUND(VLOOKUP($I2426,Dashboard!$Q$15:$R$20,2,FALSE)*IF($E2426="Red",Dashboard!$R$6,IF($E2426="Gold",Dashboard!$R$7,Dashboard!$R$5))*IF(ISNUMBER(SEARCH("Duals",$B2426)),2,IF(ISNUMBER(SEARCH("Triples",$B2426)),3,IF(ISNUMBER(SEARCH("Quads",$B2426)),4,1))),2))*IF(IFERROR(VLOOKUP($B2426,Dashboard!$Q$28:$S$60,3,FALSE),0)&gt;0,VLOOKUP($B2426,Dashboard!$Q$28:$S$60,3,FALSE),1))),0))</f>
        <v>7</v>
      </c>
      <c r="K2426" s="2" t="str">
        <f>IF(Characters!K47="","",Characters!K47)</f>
        <v/>
      </c>
      <c r="L2426" s="2">
        <f t="shared" si="481"/>
        <v>0</v>
      </c>
      <c r="M2426" s="2">
        <f t="shared" si="482"/>
        <v>0</v>
      </c>
      <c r="N2426" s="2">
        <f t="shared" si="483"/>
        <v>0</v>
      </c>
      <c r="O2426" s="2">
        <f t="shared" si="484"/>
        <v>1</v>
      </c>
      <c r="P2426" s="112">
        <f t="shared" si="485"/>
        <v>0</v>
      </c>
      <c r="Q2426" s="112">
        <f t="shared" si="486"/>
        <v>0</v>
      </c>
      <c r="R2426" s="53"/>
      <c r="S2426" s="53" t="str">
        <f t="shared" si="487"/>
        <v>Autos - Singles|Characters Auto Parallel|C-46|Base</v>
      </c>
      <c r="T2426" s="57">
        <f>IF($S2426="","",IFERROR(VLOOKUP($S2426,'Pop Estimates (Non-#d)'!$N$2:$O$500,2,FALSE),""))</f>
        <v>326</v>
      </c>
      <c r="U2426" s="57">
        <f t="shared" si="488"/>
        <v>326</v>
      </c>
      <c r="V2426" s="53" t="str">
        <f t="shared" si="489"/>
        <v>Starlight</v>
      </c>
      <c r="W2426" s="53" t="str">
        <f t="shared" si="490"/>
        <v>Starlight</v>
      </c>
      <c r="X2426" s="53" t="str">
        <f t="shared" si="491"/>
        <v>Starlight</v>
      </c>
      <c r="Y2426" s="57">
        <f>IF($X2426="","",IFERROR(VLOOKUP($X2426,'Char Popularity'!$A$2:$C$500,2,FALSE),""))</f>
        <v>5</v>
      </c>
      <c r="Z2426" s="56">
        <f>IF($X2426="",1,IFERROR(VLOOKUP($X2426,'Char Popularity'!$A$2:$C$500,3,FALSE),1))</f>
        <v>1.2</v>
      </c>
      <c r="AA2426" s="62">
        <f>IF($H2426&lt;&gt;"Y",0,(IF($F2426&lt;&gt;"",ROUND(Dashboard!$R$4/$F2426,1),IF(AND($I2426="Base",$E2426="Base"),Dashboard!$R$5,IF(AND($I2426="Base",$E2426="Red"),Dashboard!$R$6,IF(AND($I2426="Base",$E2426="Gold"),Dashboard!$R$7,VLOOKUP($I2426,Dashboard!$Q$16:$R$21,2,FALSE)))))*VLOOKUP($I2426,Dashboard!$Q$9:$R$13,2,FALSE)*IF(AND($I2426="Auto",$F2426="",OR($B2426="Autographs Duals",$B2426="Autographs Triples",$B2426="Autographs Quads",$B2426="Autographs Quads (Inscribed)")),IF($B2426="Autographs Duals",2,IF($B2426="Autographs Triples",3,4)),1)))</f>
        <v>50</v>
      </c>
      <c r="AB2426" s="62">
        <f t="shared" si="492"/>
        <v>0</v>
      </c>
      <c r="AC2426" s="62">
        <f t="shared" si="493"/>
        <v>0</v>
      </c>
    </row>
    <row r="2427" spans="1:29" ht="30" customHeight="1" x14ac:dyDescent="0.25">
      <c r="A2427" s="4" t="s">
        <v>37</v>
      </c>
      <c r="B2427" s="7" t="s">
        <v>138</v>
      </c>
      <c r="C2427" s="2" t="s">
        <v>433</v>
      </c>
      <c r="D2427" s="7" t="s">
        <v>222</v>
      </c>
      <c r="E2427" s="4" t="s">
        <v>60</v>
      </c>
      <c r="F2427" s="2"/>
      <c r="G2427" s="2" t="s">
        <v>1399</v>
      </c>
      <c r="H2427" s="2" t="s">
        <v>1400</v>
      </c>
      <c r="I2427" s="4" t="s">
        <v>68</v>
      </c>
      <c r="J2427" s="112">
        <f>IF($H2427&lt;&gt;"Y",0,ROUND(MIN(Dashboard!$R$24,IF(IFERROR(VLOOKUP($B2427,Dashboard!$Q$28:$S$60,2,FALSE),0)&gt;0,IFERROR(VLOOKUP($B2427,Dashboard!$Q$28:$S$60,2,FALSE),0),$Z2427*IF($U2427&lt;&gt;"",ROUND((Dashboard!$R$4/$U2427)*VLOOKUP($I2427,Dashboard!$Q$9:$R$13,2,FALSE)*IF(ISNUMBER(SEARCH("Duals",$B2427)),2,IF(ISNUMBER(SEARCH("Triples",$B2427)),3,IF(ISNUMBER(SEARCH("Quads",$B2427)),4,1))),2),ROUND(VLOOKUP($I2427,Dashboard!$Q$15:$R$20,2,FALSE)*IF($E2427="Red",Dashboard!$R$6,IF($E2427="Gold",Dashboard!$R$7,Dashboard!$R$5))*IF(ISNUMBER(SEARCH("Duals",$B2427)),2,IF(ISNUMBER(SEARCH("Triples",$B2427)),3,IF(ISNUMBER(SEARCH("Quads",$B2427)),4,1))),2))*IF(IFERROR(VLOOKUP($B2427,Dashboard!$Q$28:$S$60,3,FALSE),0)&gt;0,VLOOKUP($B2427,Dashboard!$Q$28:$S$60,3,FALSE),1))),0))</f>
        <v>7</v>
      </c>
      <c r="K2427" s="2" t="str">
        <f>IF(Characters!K48="","",Characters!K48)</f>
        <v/>
      </c>
      <c r="L2427" s="2">
        <f t="shared" si="481"/>
        <v>0</v>
      </c>
      <c r="M2427" s="2">
        <f t="shared" si="482"/>
        <v>0</v>
      </c>
      <c r="N2427" s="2">
        <f t="shared" si="483"/>
        <v>0</v>
      </c>
      <c r="O2427" s="2">
        <f t="shared" si="484"/>
        <v>1</v>
      </c>
      <c r="P2427" s="112">
        <f t="shared" si="485"/>
        <v>0</v>
      </c>
      <c r="Q2427" s="112">
        <f t="shared" si="486"/>
        <v>0</v>
      </c>
      <c r="R2427" s="53"/>
      <c r="S2427" s="53" t="str">
        <f t="shared" si="487"/>
        <v>Autos - Singles|Characters Auto Parallel|C-47|Base</v>
      </c>
      <c r="T2427" s="57">
        <f>IF($S2427="","",IFERROR(VLOOKUP($S2427,'Pop Estimates (Non-#d)'!$N$2:$O$500,2,FALSE),""))</f>
        <v>326</v>
      </c>
      <c r="U2427" s="57">
        <f t="shared" si="488"/>
        <v>326</v>
      </c>
      <c r="V2427" s="53" t="str">
        <f t="shared" si="489"/>
        <v>Homelander</v>
      </c>
      <c r="W2427" s="53" t="str">
        <f t="shared" si="490"/>
        <v>Homelander</v>
      </c>
      <c r="X2427" s="53" t="str">
        <f t="shared" si="491"/>
        <v>Homelander</v>
      </c>
      <c r="Y2427" s="57">
        <f>IF($X2427="","",IFERROR(VLOOKUP($X2427,'Char Popularity'!$A$2:$C$500,2,FALSE),""))</f>
        <v>5</v>
      </c>
      <c r="Z2427" s="56">
        <f>IF($X2427="",1,IFERROR(VLOOKUP($X2427,'Char Popularity'!$A$2:$C$500,3,FALSE),1))</f>
        <v>1.2</v>
      </c>
      <c r="AA2427" s="62">
        <f>IF($H2427&lt;&gt;"Y",0,(IF($F2427&lt;&gt;"",ROUND(Dashboard!$R$4/$F2427,1),IF(AND($I2427="Base",$E2427="Base"),Dashboard!$R$5,IF(AND($I2427="Base",$E2427="Red"),Dashboard!$R$6,IF(AND($I2427="Base",$E2427="Gold"),Dashboard!$R$7,VLOOKUP($I2427,Dashboard!$Q$16:$R$21,2,FALSE)))))*VLOOKUP($I2427,Dashboard!$Q$9:$R$13,2,FALSE)*IF(AND($I2427="Auto",$F2427="",OR($B2427="Autographs Duals",$B2427="Autographs Triples",$B2427="Autographs Quads",$B2427="Autographs Quads (Inscribed)")),IF($B2427="Autographs Duals",2,IF($B2427="Autographs Triples",3,4)),1)))</f>
        <v>50</v>
      </c>
      <c r="AB2427" s="62">
        <f t="shared" si="492"/>
        <v>0</v>
      </c>
      <c r="AC2427" s="62">
        <f t="shared" si="493"/>
        <v>0</v>
      </c>
    </row>
    <row r="2428" spans="1:29" ht="28.7" customHeight="1" x14ac:dyDescent="0.25">
      <c r="A2428" s="4" t="s">
        <v>29</v>
      </c>
      <c r="B2428" s="7" t="s">
        <v>787</v>
      </c>
      <c r="C2428" s="2" t="s">
        <v>439</v>
      </c>
      <c r="D2428" s="7" t="s">
        <v>263</v>
      </c>
      <c r="E2428" s="4" t="s">
        <v>1602</v>
      </c>
      <c r="F2428" s="2">
        <v>1</v>
      </c>
      <c r="G2428" s="2" t="s">
        <v>1399</v>
      </c>
      <c r="H2428" s="2" t="s">
        <v>1399</v>
      </c>
      <c r="I2428" s="4" t="s">
        <v>68</v>
      </c>
      <c r="J2428" s="112">
        <f>IF($H2428&lt;&gt;"Y",0,ROUND(MIN(Dashboard!$R$24,IF(IFERROR(VLOOKUP($B2428,Dashboard!$Q$28:$S$60,2,FALSE),0)&gt;0,IFERROR(VLOOKUP($B2428,Dashboard!$Q$28:$S$60,2,FALSE),0),$Z2428*IF($U2428&lt;&gt;"",ROUND((Dashboard!$R$4/$U2428)*VLOOKUP($I2428,Dashboard!$Q$9:$R$13,2,FALSE)*IF(ISNUMBER(SEARCH("Duals",$B2428)),2,IF(ISNUMBER(SEARCH("Triples",$B2428)),3,IF(ISNUMBER(SEARCH("Quads",$B2428)),4,1))),2),ROUND(VLOOKUP($I2428,Dashboard!$Q$15:$R$20,2,FALSE)*IF($E2428="Red",Dashboard!$R$6,IF($E2428="Gold",Dashboard!$R$7,Dashboard!$R$5))*IF(ISNUMBER(SEARCH("Duals",$B2428)),2,IF(ISNUMBER(SEARCH("Triples",$B2428)),3,IF(ISNUMBER(SEARCH("Quads",$B2428)),4,1))),2))*IF(IFERROR(VLOOKUP($B2428,Dashboard!$Q$28:$S$60,3,FALSE),0)&gt;0,VLOOKUP($B2428,Dashboard!$Q$28:$S$60,3,FALSE),1))),0))</f>
        <v>0</v>
      </c>
      <c r="K2428" s="2" t="str">
        <f>IF(Retro!F2="","",Retro!F2)</f>
        <v/>
      </c>
      <c r="L2428" s="2">
        <f t="shared" si="481"/>
        <v>0</v>
      </c>
      <c r="M2428" s="2">
        <f t="shared" si="482"/>
        <v>0</v>
      </c>
      <c r="N2428" s="2">
        <f t="shared" si="483"/>
        <v>0</v>
      </c>
      <c r="O2428" s="2">
        <f t="shared" si="484"/>
        <v>0</v>
      </c>
      <c r="P2428" s="112">
        <f t="shared" si="485"/>
        <v>0</v>
      </c>
      <c r="Q2428" s="112">
        <f t="shared" si="486"/>
        <v>0</v>
      </c>
      <c r="R2428" s="53"/>
      <c r="S2428" s="53" t="str">
        <f t="shared" si="487"/>
        <v>Retro|Retro Auto Gold Parallel|R-1|Gold</v>
      </c>
      <c r="T2428" s="57" t="str">
        <f>IF($S2428="","",IFERROR(VLOOKUP($S2428,'Pop Estimates (Non-#d)'!$N$2:$O$500,2,FALSE),""))</f>
        <v/>
      </c>
      <c r="U2428" s="57">
        <f t="shared" si="488"/>
        <v>1</v>
      </c>
      <c r="V2428" s="53" t="str">
        <f t="shared" si="489"/>
        <v>Hughie Campbell</v>
      </c>
      <c r="W2428" s="53" t="str">
        <f t="shared" si="490"/>
        <v>Hughie Campbell</v>
      </c>
      <c r="X2428" s="53" t="str">
        <f t="shared" si="491"/>
        <v>Hughie Campbell</v>
      </c>
      <c r="Y2428" s="57">
        <f>IF($X2428="","",IFERROR(VLOOKUP($X2428,'Char Popularity'!$A$2:$C$500,2,FALSE),""))</f>
        <v>5</v>
      </c>
      <c r="Z2428" s="56">
        <f>IF($X2428="",1,IFERROR(VLOOKUP($X2428,'Char Popularity'!$A$2:$C$500,3,FALSE),1))</f>
        <v>1.2</v>
      </c>
      <c r="AA2428" s="62">
        <f>IF($H2428&lt;&gt;"Y",0,(IF($F2428&lt;&gt;"",ROUND(Dashboard!$R$4/$F2428,1),IF(AND($I2428="Base",$E2428="Base"),Dashboard!$R$5,IF(AND($I2428="Base",$E2428="Red"),Dashboard!$R$6,IF(AND($I2428="Base",$E2428="Gold"),Dashboard!$R$7,VLOOKUP($I2428,Dashboard!$Q$16:$R$21,2,FALSE)))))*VLOOKUP($I2428,Dashboard!$Q$9:$R$13,2,FALSE)*IF(AND($I2428="Auto",$F2428="",OR($B2428="Autographs Duals",$B2428="Autographs Triples",$B2428="Autographs Quads",$B2428="Autographs Quads (Inscribed)")),IF($B2428="Autographs Duals",2,IF($B2428="Autographs Triples",3,4)),1)))</f>
        <v>0</v>
      </c>
      <c r="AB2428" s="62">
        <f t="shared" si="492"/>
        <v>0</v>
      </c>
      <c r="AC2428" s="62">
        <f t="shared" si="493"/>
        <v>0</v>
      </c>
    </row>
    <row r="2429" spans="1:29" ht="28.7" customHeight="1" x14ac:dyDescent="0.25">
      <c r="A2429" s="4" t="s">
        <v>29</v>
      </c>
      <c r="B2429" s="7" t="s">
        <v>787</v>
      </c>
      <c r="C2429" s="2" t="s">
        <v>449</v>
      </c>
      <c r="D2429" s="7" t="s">
        <v>248</v>
      </c>
      <c r="E2429" s="4" t="s">
        <v>1602</v>
      </c>
      <c r="F2429" s="2">
        <v>1</v>
      </c>
      <c r="G2429" s="2" t="s">
        <v>1399</v>
      </c>
      <c r="H2429" s="2" t="s">
        <v>1399</v>
      </c>
      <c r="I2429" s="4" t="s">
        <v>68</v>
      </c>
      <c r="J2429" s="112">
        <f>IF($H2429&lt;&gt;"Y",0,ROUND(MIN(Dashboard!$R$24,IF(IFERROR(VLOOKUP($B2429,Dashboard!$Q$28:$S$60,2,FALSE),0)&gt;0,IFERROR(VLOOKUP($B2429,Dashboard!$Q$28:$S$60,2,FALSE),0),$Z2429*IF($U2429&lt;&gt;"",ROUND((Dashboard!$R$4/$U2429)*VLOOKUP($I2429,Dashboard!$Q$9:$R$13,2,FALSE)*IF(ISNUMBER(SEARCH("Duals",$B2429)),2,IF(ISNUMBER(SEARCH("Triples",$B2429)),3,IF(ISNUMBER(SEARCH("Quads",$B2429)),4,1))),2),ROUND(VLOOKUP($I2429,Dashboard!$Q$15:$R$20,2,FALSE)*IF($E2429="Red",Dashboard!$R$6,IF($E2429="Gold",Dashboard!$R$7,Dashboard!$R$5))*IF(ISNUMBER(SEARCH("Duals",$B2429)),2,IF(ISNUMBER(SEARCH("Triples",$B2429)),3,IF(ISNUMBER(SEARCH("Quads",$B2429)),4,1))),2))*IF(IFERROR(VLOOKUP($B2429,Dashboard!$Q$28:$S$60,3,FALSE),0)&gt;0,VLOOKUP($B2429,Dashboard!$Q$28:$S$60,3,FALSE),1))),0))</f>
        <v>0</v>
      </c>
      <c r="K2429" s="2" t="str">
        <f>IF(Retro!F3="","",Retro!F3)</f>
        <v/>
      </c>
      <c r="L2429" s="2">
        <f t="shared" si="481"/>
        <v>0</v>
      </c>
      <c r="M2429" s="2">
        <f t="shared" si="482"/>
        <v>0</v>
      </c>
      <c r="N2429" s="2">
        <f t="shared" si="483"/>
        <v>0</v>
      </c>
      <c r="O2429" s="2">
        <f t="shared" si="484"/>
        <v>0</v>
      </c>
      <c r="P2429" s="112">
        <f t="shared" si="485"/>
        <v>0</v>
      </c>
      <c r="Q2429" s="112">
        <f t="shared" si="486"/>
        <v>0</v>
      </c>
      <c r="R2429" s="53"/>
      <c r="S2429" s="53" t="str">
        <f t="shared" si="487"/>
        <v>Retro|Retro Auto Gold Parallel|R-2|Gold</v>
      </c>
      <c r="T2429" s="57" t="str">
        <f>IF($S2429="","",IFERROR(VLOOKUP($S2429,'Pop Estimates (Non-#d)'!$N$2:$O$500,2,FALSE),""))</f>
        <v/>
      </c>
      <c r="U2429" s="57">
        <f t="shared" si="488"/>
        <v>1</v>
      </c>
      <c r="V2429" s="53" t="str">
        <f t="shared" si="489"/>
        <v>Starlight</v>
      </c>
      <c r="W2429" s="53" t="str">
        <f t="shared" si="490"/>
        <v>Starlight</v>
      </c>
      <c r="X2429" s="53" t="str">
        <f t="shared" si="491"/>
        <v>Starlight</v>
      </c>
      <c r="Y2429" s="57">
        <f>IF($X2429="","",IFERROR(VLOOKUP($X2429,'Char Popularity'!$A$2:$C$500,2,FALSE),""))</f>
        <v>5</v>
      </c>
      <c r="Z2429" s="56">
        <f>IF($X2429="",1,IFERROR(VLOOKUP($X2429,'Char Popularity'!$A$2:$C$500,3,FALSE),1))</f>
        <v>1.2</v>
      </c>
      <c r="AA2429" s="62">
        <f>IF($H2429&lt;&gt;"Y",0,(IF($F2429&lt;&gt;"",ROUND(Dashboard!$R$4/$F2429,1),IF(AND($I2429="Base",$E2429="Base"),Dashboard!$R$5,IF(AND($I2429="Base",$E2429="Red"),Dashboard!$R$6,IF(AND($I2429="Base",$E2429="Gold"),Dashboard!$R$7,VLOOKUP($I2429,Dashboard!$Q$16:$R$21,2,FALSE)))))*VLOOKUP($I2429,Dashboard!$Q$9:$R$13,2,FALSE)*IF(AND($I2429="Auto",$F2429="",OR($B2429="Autographs Duals",$B2429="Autographs Triples",$B2429="Autographs Quads",$B2429="Autographs Quads (Inscribed)")),IF($B2429="Autographs Duals",2,IF($B2429="Autographs Triples",3,4)),1)))</f>
        <v>0</v>
      </c>
      <c r="AB2429" s="62">
        <f t="shared" si="492"/>
        <v>0</v>
      </c>
      <c r="AC2429" s="62">
        <f t="shared" si="493"/>
        <v>0</v>
      </c>
    </row>
    <row r="2430" spans="1:29" ht="28.7" customHeight="1" x14ac:dyDescent="0.25">
      <c r="A2430" s="4" t="s">
        <v>29</v>
      </c>
      <c r="B2430" s="7" t="s">
        <v>787</v>
      </c>
      <c r="C2430" s="2" t="s">
        <v>451</v>
      </c>
      <c r="D2430" s="7" t="s">
        <v>267</v>
      </c>
      <c r="E2430" s="4" t="s">
        <v>1602</v>
      </c>
      <c r="F2430" s="2">
        <v>1</v>
      </c>
      <c r="G2430" s="2" t="s">
        <v>1399</v>
      </c>
      <c r="H2430" s="2" t="s">
        <v>1399</v>
      </c>
      <c r="I2430" s="4" t="s">
        <v>68</v>
      </c>
      <c r="J2430" s="112">
        <f>IF($H2430&lt;&gt;"Y",0,ROUND(MIN(Dashboard!$R$24,IF(IFERROR(VLOOKUP($B2430,Dashboard!$Q$28:$S$60,2,FALSE),0)&gt;0,IFERROR(VLOOKUP($B2430,Dashboard!$Q$28:$S$60,2,FALSE),0),$Z2430*IF($U2430&lt;&gt;"",ROUND((Dashboard!$R$4/$U2430)*VLOOKUP($I2430,Dashboard!$Q$9:$R$13,2,FALSE)*IF(ISNUMBER(SEARCH("Duals",$B2430)),2,IF(ISNUMBER(SEARCH("Triples",$B2430)),3,IF(ISNUMBER(SEARCH("Quads",$B2430)),4,1))),2),ROUND(VLOOKUP($I2430,Dashboard!$Q$15:$R$20,2,FALSE)*IF($E2430="Red",Dashboard!$R$6,IF($E2430="Gold",Dashboard!$R$7,Dashboard!$R$5))*IF(ISNUMBER(SEARCH("Duals",$B2430)),2,IF(ISNUMBER(SEARCH("Triples",$B2430)),3,IF(ISNUMBER(SEARCH("Quads",$B2430)),4,1))),2))*IF(IFERROR(VLOOKUP($B2430,Dashboard!$Q$28:$S$60,3,FALSE),0)&gt;0,VLOOKUP($B2430,Dashboard!$Q$28:$S$60,3,FALSE),1))),0))</f>
        <v>0</v>
      </c>
      <c r="K2430" s="2" t="str">
        <f>IF(Retro!F5="","",Retro!F5)</f>
        <v/>
      </c>
      <c r="L2430" s="2">
        <f t="shared" si="481"/>
        <v>0</v>
      </c>
      <c r="M2430" s="2">
        <f t="shared" si="482"/>
        <v>0</v>
      </c>
      <c r="N2430" s="2">
        <f t="shared" si="483"/>
        <v>0</v>
      </c>
      <c r="O2430" s="2">
        <f t="shared" si="484"/>
        <v>0</v>
      </c>
      <c r="P2430" s="112">
        <f t="shared" si="485"/>
        <v>0</v>
      </c>
      <c r="Q2430" s="112">
        <f t="shared" si="486"/>
        <v>0</v>
      </c>
      <c r="R2430" s="53"/>
      <c r="S2430" s="53" t="str">
        <f t="shared" si="487"/>
        <v>Retro|Retro Auto Gold Parallel|R-4|Gold</v>
      </c>
      <c r="T2430" s="57" t="str">
        <f>IF($S2430="","",IFERROR(VLOOKUP($S2430,'Pop Estimates (Non-#d)'!$N$2:$O$500,2,FALSE),""))</f>
        <v/>
      </c>
      <c r="U2430" s="57">
        <f t="shared" si="488"/>
        <v>1</v>
      </c>
      <c r="V2430" s="53" t="str">
        <f t="shared" si="489"/>
        <v>A-Train</v>
      </c>
      <c r="W2430" s="53" t="str">
        <f t="shared" si="490"/>
        <v>A-Train</v>
      </c>
      <c r="X2430" s="53" t="str">
        <f t="shared" si="491"/>
        <v>A-Train</v>
      </c>
      <c r="Y2430" s="57">
        <f>IF($X2430="","",IFERROR(VLOOKUP($X2430,'Char Popularity'!$A$2:$C$500,2,FALSE),""))</f>
        <v>4</v>
      </c>
      <c r="Z2430" s="56">
        <f>IF($X2430="",1,IFERROR(VLOOKUP($X2430,'Char Popularity'!$A$2:$C$500,3,FALSE),1))</f>
        <v>1.1000000000000001</v>
      </c>
      <c r="AA2430" s="62">
        <f>IF($H2430&lt;&gt;"Y",0,(IF($F2430&lt;&gt;"",ROUND(Dashboard!$R$4/$F2430,1),IF(AND($I2430="Base",$E2430="Base"),Dashboard!$R$5,IF(AND($I2430="Base",$E2430="Red"),Dashboard!$R$6,IF(AND($I2430="Base",$E2430="Gold"),Dashboard!$R$7,VLOOKUP($I2430,Dashboard!$Q$16:$R$21,2,FALSE)))))*VLOOKUP($I2430,Dashboard!$Q$9:$R$13,2,FALSE)*IF(AND($I2430="Auto",$F2430="",OR($B2430="Autographs Duals",$B2430="Autographs Triples",$B2430="Autographs Quads",$B2430="Autographs Quads (Inscribed)")),IF($B2430="Autographs Duals",2,IF($B2430="Autographs Triples",3,4)),1)))</f>
        <v>0</v>
      </c>
      <c r="AB2430" s="62">
        <f t="shared" si="492"/>
        <v>0</v>
      </c>
      <c r="AC2430" s="62">
        <f t="shared" si="493"/>
        <v>0</v>
      </c>
    </row>
    <row r="2431" spans="1:29" ht="28.7" customHeight="1" x14ac:dyDescent="0.25">
      <c r="A2431" s="4" t="s">
        <v>29</v>
      </c>
      <c r="B2431" s="7" t="s">
        <v>787</v>
      </c>
      <c r="C2431" s="2" t="s">
        <v>452</v>
      </c>
      <c r="D2431" s="7" t="s">
        <v>222</v>
      </c>
      <c r="E2431" s="4" t="s">
        <v>1602</v>
      </c>
      <c r="F2431" s="2">
        <v>1</v>
      </c>
      <c r="G2431" s="2" t="s">
        <v>1399</v>
      </c>
      <c r="H2431" s="2" t="s">
        <v>1399</v>
      </c>
      <c r="I2431" s="4" t="s">
        <v>68</v>
      </c>
      <c r="J2431" s="112">
        <f>IF($H2431&lt;&gt;"Y",0,ROUND(MIN(Dashboard!$R$24,IF(IFERROR(VLOOKUP($B2431,Dashboard!$Q$28:$S$60,2,FALSE),0)&gt;0,IFERROR(VLOOKUP($B2431,Dashboard!$Q$28:$S$60,2,FALSE),0),$Z2431*IF($U2431&lt;&gt;"",ROUND((Dashboard!$R$4/$U2431)*VLOOKUP($I2431,Dashboard!$Q$9:$R$13,2,FALSE)*IF(ISNUMBER(SEARCH("Duals",$B2431)),2,IF(ISNUMBER(SEARCH("Triples",$B2431)),3,IF(ISNUMBER(SEARCH("Quads",$B2431)),4,1))),2),ROUND(VLOOKUP($I2431,Dashboard!$Q$15:$R$20,2,FALSE)*IF($E2431="Red",Dashboard!$R$6,IF($E2431="Gold",Dashboard!$R$7,Dashboard!$R$5))*IF(ISNUMBER(SEARCH("Duals",$B2431)),2,IF(ISNUMBER(SEARCH("Triples",$B2431)),3,IF(ISNUMBER(SEARCH("Quads",$B2431)),4,1))),2))*IF(IFERROR(VLOOKUP($B2431,Dashboard!$Q$28:$S$60,3,FALSE),0)&gt;0,VLOOKUP($B2431,Dashboard!$Q$28:$S$60,3,FALSE),1))),0))</f>
        <v>0</v>
      </c>
      <c r="K2431" s="2" t="str">
        <f>IF(Retro!F6="","",Retro!F6)</f>
        <v/>
      </c>
      <c r="L2431" s="2">
        <f t="shared" si="481"/>
        <v>0</v>
      </c>
      <c r="M2431" s="2">
        <f t="shared" si="482"/>
        <v>0</v>
      </c>
      <c r="N2431" s="2">
        <f t="shared" si="483"/>
        <v>0</v>
      </c>
      <c r="O2431" s="2">
        <f t="shared" si="484"/>
        <v>0</v>
      </c>
      <c r="P2431" s="112">
        <f t="shared" si="485"/>
        <v>0</v>
      </c>
      <c r="Q2431" s="112">
        <f t="shared" si="486"/>
        <v>0</v>
      </c>
      <c r="R2431" s="53"/>
      <c r="S2431" s="53" t="str">
        <f t="shared" si="487"/>
        <v>Retro|Retro Auto Gold Parallel|R-5|Gold</v>
      </c>
      <c r="T2431" s="57" t="str">
        <f>IF($S2431="","",IFERROR(VLOOKUP($S2431,'Pop Estimates (Non-#d)'!$N$2:$O$500,2,FALSE),""))</f>
        <v/>
      </c>
      <c r="U2431" s="57">
        <f t="shared" si="488"/>
        <v>1</v>
      </c>
      <c r="V2431" s="53" t="str">
        <f t="shared" si="489"/>
        <v>Homelander</v>
      </c>
      <c r="W2431" s="53" t="str">
        <f t="shared" si="490"/>
        <v>Homelander</v>
      </c>
      <c r="X2431" s="53" t="str">
        <f t="shared" si="491"/>
        <v>Homelander</v>
      </c>
      <c r="Y2431" s="57">
        <f>IF($X2431="","",IFERROR(VLOOKUP($X2431,'Char Popularity'!$A$2:$C$500,2,FALSE),""))</f>
        <v>5</v>
      </c>
      <c r="Z2431" s="56">
        <f>IF($X2431="",1,IFERROR(VLOOKUP($X2431,'Char Popularity'!$A$2:$C$500,3,FALSE),1))</f>
        <v>1.2</v>
      </c>
      <c r="AA2431" s="62">
        <f>IF($H2431&lt;&gt;"Y",0,(IF($F2431&lt;&gt;"",ROUND(Dashboard!$R$4/$F2431,1),IF(AND($I2431="Base",$E2431="Base"),Dashboard!$R$5,IF(AND($I2431="Base",$E2431="Red"),Dashboard!$R$6,IF(AND($I2431="Base",$E2431="Gold"),Dashboard!$R$7,VLOOKUP($I2431,Dashboard!$Q$16:$R$21,2,FALSE)))))*VLOOKUP($I2431,Dashboard!$Q$9:$R$13,2,FALSE)*IF(AND($I2431="Auto",$F2431="",OR($B2431="Autographs Duals",$B2431="Autographs Triples",$B2431="Autographs Quads",$B2431="Autographs Quads (Inscribed)")),IF($B2431="Autographs Duals",2,IF($B2431="Autographs Triples",3,4)),1)))</f>
        <v>0</v>
      </c>
      <c r="AB2431" s="62">
        <f t="shared" si="492"/>
        <v>0</v>
      </c>
      <c r="AC2431" s="62">
        <f t="shared" si="493"/>
        <v>0</v>
      </c>
    </row>
    <row r="2432" spans="1:29" ht="28.7" customHeight="1" x14ac:dyDescent="0.25">
      <c r="A2432" s="4" t="s">
        <v>29</v>
      </c>
      <c r="B2432" s="7" t="s">
        <v>787</v>
      </c>
      <c r="C2432" s="2" t="s">
        <v>453</v>
      </c>
      <c r="D2432" s="7" t="s">
        <v>230</v>
      </c>
      <c r="E2432" s="4" t="s">
        <v>1602</v>
      </c>
      <c r="F2432" s="2">
        <v>1</v>
      </c>
      <c r="G2432" s="2" t="s">
        <v>1399</v>
      </c>
      <c r="H2432" s="2" t="s">
        <v>1399</v>
      </c>
      <c r="I2432" s="4" t="s">
        <v>68</v>
      </c>
      <c r="J2432" s="112">
        <f>IF($H2432&lt;&gt;"Y",0,ROUND(MIN(Dashboard!$R$24,IF(IFERROR(VLOOKUP($B2432,Dashboard!$Q$28:$S$60,2,FALSE),0)&gt;0,IFERROR(VLOOKUP($B2432,Dashboard!$Q$28:$S$60,2,FALSE),0),$Z2432*IF($U2432&lt;&gt;"",ROUND((Dashboard!$R$4/$U2432)*VLOOKUP($I2432,Dashboard!$Q$9:$R$13,2,FALSE)*IF(ISNUMBER(SEARCH("Duals",$B2432)),2,IF(ISNUMBER(SEARCH("Triples",$B2432)),3,IF(ISNUMBER(SEARCH("Quads",$B2432)),4,1))),2),ROUND(VLOOKUP($I2432,Dashboard!$Q$15:$R$20,2,FALSE)*IF($E2432="Red",Dashboard!$R$6,IF($E2432="Gold",Dashboard!$R$7,Dashboard!$R$5))*IF(ISNUMBER(SEARCH("Duals",$B2432)),2,IF(ISNUMBER(SEARCH("Triples",$B2432)),3,IF(ISNUMBER(SEARCH("Quads",$B2432)),4,1))),2))*IF(IFERROR(VLOOKUP($B2432,Dashboard!$Q$28:$S$60,3,FALSE),0)&gt;0,VLOOKUP($B2432,Dashboard!$Q$28:$S$60,3,FALSE),1))),0))</f>
        <v>0</v>
      </c>
      <c r="K2432" s="2" t="str">
        <f>IF(Retro!F7="","",Retro!F7)</f>
        <v/>
      </c>
      <c r="L2432" s="2">
        <f t="shared" si="481"/>
        <v>0</v>
      </c>
      <c r="M2432" s="2">
        <f t="shared" si="482"/>
        <v>0</v>
      </c>
      <c r="N2432" s="2">
        <f t="shared" si="483"/>
        <v>0</v>
      </c>
      <c r="O2432" s="2">
        <f t="shared" si="484"/>
        <v>0</v>
      </c>
      <c r="P2432" s="112">
        <f t="shared" si="485"/>
        <v>0</v>
      </c>
      <c r="Q2432" s="112">
        <f t="shared" si="486"/>
        <v>0</v>
      </c>
      <c r="R2432" s="53"/>
      <c r="S2432" s="53" t="str">
        <f t="shared" si="487"/>
        <v>Retro|Retro Auto Gold Parallel|R-6|Gold</v>
      </c>
      <c r="T2432" s="57" t="str">
        <f>IF($S2432="","",IFERROR(VLOOKUP($S2432,'Pop Estimates (Non-#d)'!$N$2:$O$500,2,FALSE),""))</f>
        <v/>
      </c>
      <c r="U2432" s="57">
        <f t="shared" si="488"/>
        <v>1</v>
      </c>
      <c r="V2432" s="53" t="str">
        <f t="shared" si="489"/>
        <v>The Deep</v>
      </c>
      <c r="W2432" s="53" t="str">
        <f t="shared" si="490"/>
        <v>The Deep</v>
      </c>
      <c r="X2432" s="53" t="str">
        <f t="shared" si="491"/>
        <v>The Deep</v>
      </c>
      <c r="Y2432" s="57">
        <f>IF($X2432="","",IFERROR(VLOOKUP($X2432,'Char Popularity'!$A$2:$C$500,2,FALSE),""))</f>
        <v>4</v>
      </c>
      <c r="Z2432" s="56">
        <f>IF($X2432="",1,IFERROR(VLOOKUP($X2432,'Char Popularity'!$A$2:$C$500,3,FALSE),1))</f>
        <v>1.1000000000000001</v>
      </c>
      <c r="AA2432" s="62">
        <f>IF($H2432&lt;&gt;"Y",0,(IF($F2432&lt;&gt;"",ROUND(Dashboard!$R$4/$F2432,1),IF(AND($I2432="Base",$E2432="Base"),Dashboard!$R$5,IF(AND($I2432="Base",$E2432="Red"),Dashboard!$R$6,IF(AND($I2432="Base",$E2432="Gold"),Dashboard!$R$7,VLOOKUP($I2432,Dashboard!$Q$16:$R$21,2,FALSE)))))*VLOOKUP($I2432,Dashboard!$Q$9:$R$13,2,FALSE)*IF(AND($I2432="Auto",$F2432="",OR($B2432="Autographs Duals",$B2432="Autographs Triples",$B2432="Autographs Quads",$B2432="Autographs Quads (Inscribed)")),IF($B2432="Autographs Duals",2,IF($B2432="Autographs Triples",3,4)),1)))</f>
        <v>0</v>
      </c>
      <c r="AB2432" s="62">
        <f t="shared" si="492"/>
        <v>0</v>
      </c>
      <c r="AC2432" s="62">
        <f t="shared" si="493"/>
        <v>0</v>
      </c>
    </row>
    <row r="2433" spans="1:29" ht="28.7" customHeight="1" x14ac:dyDescent="0.25">
      <c r="A2433" s="4" t="s">
        <v>29</v>
      </c>
      <c r="B2433" s="7" t="s">
        <v>787</v>
      </c>
      <c r="C2433" s="2" t="s">
        <v>455</v>
      </c>
      <c r="D2433" s="7" t="s">
        <v>238</v>
      </c>
      <c r="E2433" s="4" t="s">
        <v>1602</v>
      </c>
      <c r="F2433" s="2">
        <v>1</v>
      </c>
      <c r="G2433" s="2" t="s">
        <v>1399</v>
      </c>
      <c r="H2433" s="2" t="s">
        <v>1399</v>
      </c>
      <c r="I2433" s="4" t="s">
        <v>68</v>
      </c>
      <c r="J2433" s="112">
        <f>IF($H2433&lt;&gt;"Y",0,ROUND(MIN(Dashboard!$R$24,IF(IFERROR(VLOOKUP($B2433,Dashboard!$Q$28:$S$60,2,FALSE),0)&gt;0,IFERROR(VLOOKUP($B2433,Dashboard!$Q$28:$S$60,2,FALSE),0),$Z2433*IF($U2433&lt;&gt;"",ROUND((Dashboard!$R$4/$U2433)*VLOOKUP($I2433,Dashboard!$Q$9:$R$13,2,FALSE)*IF(ISNUMBER(SEARCH("Duals",$B2433)),2,IF(ISNUMBER(SEARCH("Triples",$B2433)),3,IF(ISNUMBER(SEARCH("Quads",$B2433)),4,1))),2),ROUND(VLOOKUP($I2433,Dashboard!$Q$15:$R$20,2,FALSE)*IF($E2433="Red",Dashboard!$R$6,IF($E2433="Gold",Dashboard!$R$7,Dashboard!$R$5))*IF(ISNUMBER(SEARCH("Duals",$B2433)),2,IF(ISNUMBER(SEARCH("Triples",$B2433)),3,IF(ISNUMBER(SEARCH("Quads",$B2433)),4,1))),2))*IF(IFERROR(VLOOKUP($B2433,Dashboard!$Q$28:$S$60,3,FALSE),0)&gt;0,VLOOKUP($B2433,Dashboard!$Q$28:$S$60,3,FALSE),1))),0))</f>
        <v>0</v>
      </c>
      <c r="K2433" s="2" t="str">
        <f>IF(Retro!F8="","",Retro!F8)</f>
        <v/>
      </c>
      <c r="L2433" s="2">
        <f t="shared" si="481"/>
        <v>0</v>
      </c>
      <c r="M2433" s="2">
        <f t="shared" si="482"/>
        <v>0</v>
      </c>
      <c r="N2433" s="2">
        <f t="shared" si="483"/>
        <v>0</v>
      </c>
      <c r="O2433" s="2">
        <f t="shared" si="484"/>
        <v>0</v>
      </c>
      <c r="P2433" s="112">
        <f t="shared" si="485"/>
        <v>0</v>
      </c>
      <c r="Q2433" s="112">
        <f t="shared" si="486"/>
        <v>0</v>
      </c>
      <c r="R2433" s="53"/>
      <c r="S2433" s="53" t="str">
        <f t="shared" si="487"/>
        <v>Retro|Retro Auto Gold Parallel|R-7|Gold</v>
      </c>
      <c r="T2433" s="57" t="str">
        <f>IF($S2433="","",IFERROR(VLOOKUP($S2433,'Pop Estimates (Non-#d)'!$N$2:$O$500,2,FALSE),""))</f>
        <v/>
      </c>
      <c r="U2433" s="57">
        <f t="shared" si="488"/>
        <v>1</v>
      </c>
      <c r="V2433" s="53" t="str">
        <f t="shared" si="489"/>
        <v>Frenchie</v>
      </c>
      <c r="W2433" s="53" t="str">
        <f t="shared" si="490"/>
        <v>Frenchie</v>
      </c>
      <c r="X2433" s="53" t="str">
        <f t="shared" si="491"/>
        <v>Frenchie</v>
      </c>
      <c r="Y2433" s="57">
        <f>IF($X2433="","",IFERROR(VLOOKUP($X2433,'Char Popularity'!$A$2:$C$500,2,FALSE),""))</f>
        <v>4</v>
      </c>
      <c r="Z2433" s="56">
        <f>IF($X2433="",1,IFERROR(VLOOKUP($X2433,'Char Popularity'!$A$2:$C$500,3,FALSE),1))</f>
        <v>1.1000000000000001</v>
      </c>
      <c r="AA2433" s="62">
        <f>IF($H2433&lt;&gt;"Y",0,(IF($F2433&lt;&gt;"",ROUND(Dashboard!$R$4/$F2433,1),IF(AND($I2433="Base",$E2433="Base"),Dashboard!$R$5,IF(AND($I2433="Base",$E2433="Red"),Dashboard!$R$6,IF(AND($I2433="Base",$E2433="Gold"),Dashboard!$R$7,VLOOKUP($I2433,Dashboard!$Q$16:$R$21,2,FALSE)))))*VLOOKUP($I2433,Dashboard!$Q$9:$R$13,2,FALSE)*IF(AND($I2433="Auto",$F2433="",OR($B2433="Autographs Duals",$B2433="Autographs Triples",$B2433="Autographs Quads",$B2433="Autographs Quads (Inscribed)")),IF($B2433="Autographs Duals",2,IF($B2433="Autographs Triples",3,4)),1)))</f>
        <v>0</v>
      </c>
      <c r="AB2433" s="62">
        <f t="shared" si="492"/>
        <v>0</v>
      </c>
      <c r="AC2433" s="62">
        <f t="shared" si="493"/>
        <v>0</v>
      </c>
    </row>
    <row r="2434" spans="1:29" ht="28.7" customHeight="1" x14ac:dyDescent="0.25">
      <c r="A2434" s="4" t="s">
        <v>29</v>
      </c>
      <c r="B2434" s="7" t="s">
        <v>787</v>
      </c>
      <c r="C2434" s="2" t="s">
        <v>456</v>
      </c>
      <c r="D2434" s="7" t="s">
        <v>270</v>
      </c>
      <c r="E2434" s="4" t="s">
        <v>1602</v>
      </c>
      <c r="F2434" s="2">
        <v>1</v>
      </c>
      <c r="G2434" s="2" t="s">
        <v>1399</v>
      </c>
      <c r="H2434" s="2" t="s">
        <v>1399</v>
      </c>
      <c r="I2434" s="4" t="s">
        <v>68</v>
      </c>
      <c r="J2434" s="112">
        <f>IF($H2434&lt;&gt;"Y",0,ROUND(MIN(Dashboard!$R$24,IF(IFERROR(VLOOKUP($B2434,Dashboard!$Q$28:$S$60,2,FALSE),0)&gt;0,IFERROR(VLOOKUP($B2434,Dashboard!$Q$28:$S$60,2,FALSE),0),$Z2434*IF($U2434&lt;&gt;"",ROUND((Dashboard!$R$4/$U2434)*VLOOKUP($I2434,Dashboard!$Q$9:$R$13,2,FALSE)*IF(ISNUMBER(SEARCH("Duals",$B2434)),2,IF(ISNUMBER(SEARCH("Triples",$B2434)),3,IF(ISNUMBER(SEARCH("Quads",$B2434)),4,1))),2),ROUND(VLOOKUP($I2434,Dashboard!$Q$15:$R$20,2,FALSE)*IF($E2434="Red",Dashboard!$R$6,IF($E2434="Gold",Dashboard!$R$7,Dashboard!$R$5))*IF(ISNUMBER(SEARCH("Duals",$B2434)),2,IF(ISNUMBER(SEARCH("Triples",$B2434)),3,IF(ISNUMBER(SEARCH("Quads",$B2434)),4,1))),2))*IF(IFERROR(VLOOKUP($B2434,Dashboard!$Q$28:$S$60,3,FALSE),0)&gt;0,VLOOKUP($B2434,Dashboard!$Q$28:$S$60,3,FALSE),1))),0))</f>
        <v>0</v>
      </c>
      <c r="K2434" s="2" t="str">
        <f>IF(Retro!F9="","",Retro!F9)</f>
        <v/>
      </c>
      <c r="L2434" s="2">
        <f t="shared" ref="L2434:L2497" si="494">IF(AND($K2434&lt;&gt;"",LEFT($K2434,1)&lt;&gt;"Y"),1,0)</f>
        <v>0</v>
      </c>
      <c r="M2434" s="2">
        <f t="shared" ref="M2434:M2497" si="495">IF(LEFT($K2434,1)="Y",1,0)</f>
        <v>0</v>
      </c>
      <c r="N2434" s="2">
        <f t="shared" ref="N2434:N2497" si="496">$L2434+$M2434</f>
        <v>0</v>
      </c>
      <c r="O2434" s="2">
        <f t="shared" ref="O2434:O2497" si="497">IF($H2434="Y",1-$N2434,0)</f>
        <v>0</v>
      </c>
      <c r="P2434" s="112">
        <f t="shared" ref="P2434:P2497" si="498">IF($L2434=1,$J2434,0)</f>
        <v>0</v>
      </c>
      <c r="Q2434" s="112">
        <f t="shared" ref="Q2434:Q2497" si="499">IF($M2434=1,$J2434,0)</f>
        <v>0</v>
      </c>
      <c r="R2434" s="53"/>
      <c r="S2434" s="53" t="str">
        <f t="shared" ref="S2434:S2497" si="500">IF($A2434="","",$A2434&amp;"|"&amp;$B2434&amp;"|"&amp;$C2434&amp;"|"&amp;$E2434)</f>
        <v>Retro|Retro Auto Gold Parallel|R-8|Gold</v>
      </c>
      <c r="T2434" s="57" t="str">
        <f>IF($S2434="","",IFERROR(VLOOKUP($S2434,'Pop Estimates (Non-#d)'!$N$2:$O$500,2,FALSE),""))</f>
        <v/>
      </c>
      <c r="U2434" s="57">
        <f t="shared" ref="U2434:U2497" si="501">IF($A2434="","",IF($F2434&lt;&gt;"",$F2434,$T2434))</f>
        <v>1</v>
      </c>
      <c r="V2434" s="53" t="str">
        <f t="shared" ref="V2434:V2497" si="502">IF($A2434="","",IF(ISNUMBER(SEARCH(" as ",$D2434)),MID($D2434,SEARCH(" as ",$D2434)+4,255),IF(ISNUMBER(SEARCH("/",$D2434)),LEFT($D2434,FIND("/",$D2434&amp;"/")-1),"")))</f>
        <v>Kimiko</v>
      </c>
      <c r="W2434" s="53" t="str">
        <f t="shared" ref="W2434:W2497" si="503">IF($V2434="","",TRIM(IFERROR(MID($V2434,SEARCH("(", $V2434)+1,SEARCH(")",$V2434)-SEARCH("(", $V2434)-1),$V2434)))</f>
        <v>Kimiko</v>
      </c>
      <c r="X2434" s="53" t="str">
        <f t="shared" ref="X2434:X2497" si="504">IF($W2434="","",TRIM(LEFT($W2434&amp;"""",FIND("""",$W2434&amp;"""")-1)))</f>
        <v>Kimiko</v>
      </c>
      <c r="Y2434" s="57">
        <f>IF($X2434="","",IFERROR(VLOOKUP($X2434,'Char Popularity'!$A$2:$C$500,2,FALSE),""))</f>
        <v>4</v>
      </c>
      <c r="Z2434" s="56">
        <f>IF($X2434="",1,IFERROR(VLOOKUP($X2434,'Char Popularity'!$A$2:$C$500,3,FALSE),1))</f>
        <v>1.1000000000000001</v>
      </c>
      <c r="AA2434" s="62">
        <f>IF($H2434&lt;&gt;"Y",0,(IF($F2434&lt;&gt;"",ROUND(Dashboard!$R$4/$F2434,1),IF(AND($I2434="Base",$E2434="Base"),Dashboard!$R$5,IF(AND($I2434="Base",$E2434="Red"),Dashboard!$R$6,IF(AND($I2434="Base",$E2434="Gold"),Dashboard!$R$7,VLOOKUP($I2434,Dashboard!$Q$16:$R$21,2,FALSE)))))*VLOOKUP($I2434,Dashboard!$Q$9:$R$13,2,FALSE)*IF(AND($I2434="Auto",$F2434="",OR($B2434="Autographs Duals",$B2434="Autographs Triples",$B2434="Autographs Quads",$B2434="Autographs Quads (Inscribed)")),IF($B2434="Autographs Duals",2,IF($B2434="Autographs Triples",3,4)),1)))</f>
        <v>0</v>
      </c>
      <c r="AB2434" s="62">
        <f t="shared" ref="AB2434:AB2497" si="505">IF($L2434=1,$AA2434,0)</f>
        <v>0</v>
      </c>
      <c r="AC2434" s="62">
        <f t="shared" ref="AC2434:AC2497" si="506">IF($M2434=1,$AA2434,0)</f>
        <v>0</v>
      </c>
    </row>
    <row r="2435" spans="1:29" ht="28.7" customHeight="1" x14ac:dyDescent="0.25">
      <c r="A2435" s="4" t="s">
        <v>29</v>
      </c>
      <c r="B2435" s="7" t="s">
        <v>787</v>
      </c>
      <c r="C2435" s="2" t="s">
        <v>457</v>
      </c>
      <c r="D2435" s="7" t="s">
        <v>224</v>
      </c>
      <c r="E2435" s="4" t="s">
        <v>1602</v>
      </c>
      <c r="F2435" s="2">
        <v>1</v>
      </c>
      <c r="G2435" s="2" t="s">
        <v>1399</v>
      </c>
      <c r="H2435" s="2" t="s">
        <v>1399</v>
      </c>
      <c r="I2435" s="4" t="s">
        <v>68</v>
      </c>
      <c r="J2435" s="112">
        <f>IF($H2435&lt;&gt;"Y",0,ROUND(MIN(Dashboard!$R$24,IF(IFERROR(VLOOKUP($B2435,Dashboard!$Q$28:$S$60,2,FALSE),0)&gt;0,IFERROR(VLOOKUP($B2435,Dashboard!$Q$28:$S$60,2,FALSE),0),$Z2435*IF($U2435&lt;&gt;"",ROUND((Dashboard!$R$4/$U2435)*VLOOKUP($I2435,Dashboard!$Q$9:$R$13,2,FALSE)*IF(ISNUMBER(SEARCH("Duals",$B2435)),2,IF(ISNUMBER(SEARCH("Triples",$B2435)),3,IF(ISNUMBER(SEARCH("Quads",$B2435)),4,1))),2),ROUND(VLOOKUP($I2435,Dashboard!$Q$15:$R$20,2,FALSE)*IF($E2435="Red",Dashboard!$R$6,IF($E2435="Gold",Dashboard!$R$7,Dashboard!$R$5))*IF(ISNUMBER(SEARCH("Duals",$B2435)),2,IF(ISNUMBER(SEARCH("Triples",$B2435)),3,IF(ISNUMBER(SEARCH("Quads",$B2435)),4,1))),2))*IF(IFERROR(VLOOKUP($B2435,Dashboard!$Q$28:$S$60,3,FALSE),0)&gt;0,VLOOKUP($B2435,Dashboard!$Q$28:$S$60,3,FALSE),1))),0))</f>
        <v>0</v>
      </c>
      <c r="K2435" s="2" t="str">
        <f>IF(Retro!F10="","",Retro!F10)</f>
        <v/>
      </c>
      <c r="L2435" s="2">
        <f t="shared" si="494"/>
        <v>0</v>
      </c>
      <c r="M2435" s="2">
        <f t="shared" si="495"/>
        <v>0</v>
      </c>
      <c r="N2435" s="2">
        <f t="shared" si="496"/>
        <v>0</v>
      </c>
      <c r="O2435" s="2">
        <f t="shared" si="497"/>
        <v>0</v>
      </c>
      <c r="P2435" s="112">
        <f t="shared" si="498"/>
        <v>0</v>
      </c>
      <c r="Q2435" s="112">
        <f t="shared" si="499"/>
        <v>0</v>
      </c>
      <c r="R2435" s="53"/>
      <c r="S2435" s="53" t="str">
        <f t="shared" si="500"/>
        <v>Retro|Retro Auto Gold Parallel|R-9|Gold</v>
      </c>
      <c r="T2435" s="57" t="str">
        <f>IF($S2435="","",IFERROR(VLOOKUP($S2435,'Pop Estimates (Non-#d)'!$N$2:$O$500,2,FALSE),""))</f>
        <v/>
      </c>
      <c r="U2435" s="57">
        <f t="shared" si="501"/>
        <v>1</v>
      </c>
      <c r="V2435" s="53" t="str">
        <f t="shared" si="502"/>
        <v>Popclaw</v>
      </c>
      <c r="W2435" s="53" t="str">
        <f t="shared" si="503"/>
        <v>Popclaw</v>
      </c>
      <c r="X2435" s="53" t="str">
        <f t="shared" si="504"/>
        <v>Popclaw</v>
      </c>
      <c r="Y2435" s="57">
        <f>IF($X2435="","",IFERROR(VLOOKUP($X2435,'Char Popularity'!$A$2:$C$500,2,FALSE),""))</f>
        <v>2</v>
      </c>
      <c r="Z2435" s="56">
        <f>IF($X2435="",1,IFERROR(VLOOKUP($X2435,'Char Popularity'!$A$2:$C$500,3,FALSE),1))</f>
        <v>0.9</v>
      </c>
      <c r="AA2435" s="62">
        <f>IF($H2435&lt;&gt;"Y",0,(IF($F2435&lt;&gt;"",ROUND(Dashboard!$R$4/$F2435,1),IF(AND($I2435="Base",$E2435="Base"),Dashboard!$R$5,IF(AND($I2435="Base",$E2435="Red"),Dashboard!$R$6,IF(AND($I2435="Base",$E2435="Gold"),Dashboard!$R$7,VLOOKUP($I2435,Dashboard!$Q$16:$R$21,2,FALSE)))))*VLOOKUP($I2435,Dashboard!$Q$9:$R$13,2,FALSE)*IF(AND($I2435="Auto",$F2435="",OR($B2435="Autographs Duals",$B2435="Autographs Triples",$B2435="Autographs Quads",$B2435="Autographs Quads (Inscribed)")),IF($B2435="Autographs Duals",2,IF($B2435="Autographs Triples",3,4)),1)))</f>
        <v>0</v>
      </c>
      <c r="AB2435" s="62">
        <f t="shared" si="505"/>
        <v>0</v>
      </c>
      <c r="AC2435" s="62">
        <f t="shared" si="506"/>
        <v>0</v>
      </c>
    </row>
    <row r="2436" spans="1:29" ht="28.7" customHeight="1" x14ac:dyDescent="0.25">
      <c r="A2436" s="4" t="s">
        <v>29</v>
      </c>
      <c r="B2436" s="7" t="s">
        <v>787</v>
      </c>
      <c r="C2436" s="2" t="s">
        <v>440</v>
      </c>
      <c r="D2436" s="7" t="s">
        <v>301</v>
      </c>
      <c r="E2436" s="4" t="s">
        <v>1602</v>
      </c>
      <c r="F2436" s="2">
        <v>1</v>
      </c>
      <c r="G2436" s="2" t="s">
        <v>1399</v>
      </c>
      <c r="H2436" s="2" t="s">
        <v>1399</v>
      </c>
      <c r="I2436" s="4" t="s">
        <v>68</v>
      </c>
      <c r="J2436" s="112">
        <f>IF($H2436&lt;&gt;"Y",0,ROUND(MIN(Dashboard!$R$24,IF(IFERROR(VLOOKUP($B2436,Dashboard!$Q$28:$S$60,2,FALSE),0)&gt;0,IFERROR(VLOOKUP($B2436,Dashboard!$Q$28:$S$60,2,FALSE),0),$Z2436*IF($U2436&lt;&gt;"",ROUND((Dashboard!$R$4/$U2436)*VLOOKUP($I2436,Dashboard!$Q$9:$R$13,2,FALSE)*IF(ISNUMBER(SEARCH("Duals",$B2436)),2,IF(ISNUMBER(SEARCH("Triples",$B2436)),3,IF(ISNUMBER(SEARCH("Quads",$B2436)),4,1))),2),ROUND(VLOOKUP($I2436,Dashboard!$Q$15:$R$20,2,FALSE)*IF($E2436="Red",Dashboard!$R$6,IF($E2436="Gold",Dashboard!$R$7,Dashboard!$R$5))*IF(ISNUMBER(SEARCH("Duals",$B2436)),2,IF(ISNUMBER(SEARCH("Triples",$B2436)),3,IF(ISNUMBER(SEARCH("Quads",$B2436)),4,1))),2))*IF(IFERROR(VLOOKUP($B2436,Dashboard!$Q$28:$S$60,3,FALSE),0)&gt;0,VLOOKUP($B2436,Dashboard!$Q$28:$S$60,3,FALSE),1))),0))</f>
        <v>0</v>
      </c>
      <c r="K2436" s="2" t="str">
        <f>IF(Retro!F11="","",Retro!F11)</f>
        <v/>
      </c>
      <c r="L2436" s="2">
        <f t="shared" si="494"/>
        <v>0</v>
      </c>
      <c r="M2436" s="2">
        <f t="shared" si="495"/>
        <v>0</v>
      </c>
      <c r="N2436" s="2">
        <f t="shared" si="496"/>
        <v>0</v>
      </c>
      <c r="O2436" s="2">
        <f t="shared" si="497"/>
        <v>0</v>
      </c>
      <c r="P2436" s="112">
        <f t="shared" si="498"/>
        <v>0</v>
      </c>
      <c r="Q2436" s="112">
        <f t="shared" si="499"/>
        <v>0</v>
      </c>
      <c r="R2436" s="53"/>
      <c r="S2436" s="53" t="str">
        <f t="shared" si="500"/>
        <v>Retro|Retro Auto Gold Parallel|R-10|Gold</v>
      </c>
      <c r="T2436" s="57" t="str">
        <f>IF($S2436="","",IFERROR(VLOOKUP($S2436,'Pop Estimates (Non-#d)'!$N$2:$O$500,2,FALSE),""))</f>
        <v/>
      </c>
      <c r="U2436" s="57">
        <f t="shared" si="501"/>
        <v>1</v>
      </c>
      <c r="V2436" s="53" t="str">
        <f t="shared" si="502"/>
        <v>Lamplighter</v>
      </c>
      <c r="W2436" s="53" t="str">
        <f t="shared" si="503"/>
        <v>Lamplighter</v>
      </c>
      <c r="X2436" s="53" t="str">
        <f t="shared" si="504"/>
        <v>Lamplighter</v>
      </c>
      <c r="Y2436" s="57">
        <f>IF($X2436="","",IFERROR(VLOOKUP($X2436,'Char Popularity'!$A$2:$C$500,2,FALSE),""))</f>
        <v>2</v>
      </c>
      <c r="Z2436" s="56">
        <f>IF($X2436="",1,IFERROR(VLOOKUP($X2436,'Char Popularity'!$A$2:$C$500,3,FALSE),1))</f>
        <v>0.9</v>
      </c>
      <c r="AA2436" s="62">
        <f>IF($H2436&lt;&gt;"Y",0,(IF($F2436&lt;&gt;"",ROUND(Dashboard!$R$4/$F2436,1),IF(AND($I2436="Base",$E2436="Base"),Dashboard!$R$5,IF(AND($I2436="Base",$E2436="Red"),Dashboard!$R$6,IF(AND($I2436="Base",$E2436="Gold"),Dashboard!$R$7,VLOOKUP($I2436,Dashboard!$Q$16:$R$21,2,FALSE)))))*VLOOKUP($I2436,Dashboard!$Q$9:$R$13,2,FALSE)*IF(AND($I2436="Auto",$F2436="",OR($B2436="Autographs Duals",$B2436="Autographs Triples",$B2436="Autographs Quads",$B2436="Autographs Quads (Inscribed)")),IF($B2436="Autographs Duals",2,IF($B2436="Autographs Triples",3,4)),1)))</f>
        <v>0</v>
      </c>
      <c r="AB2436" s="62">
        <f t="shared" si="505"/>
        <v>0</v>
      </c>
      <c r="AC2436" s="62">
        <f t="shared" si="506"/>
        <v>0</v>
      </c>
    </row>
    <row r="2437" spans="1:29" ht="28.7" customHeight="1" x14ac:dyDescent="0.25">
      <c r="A2437" s="4" t="s">
        <v>29</v>
      </c>
      <c r="B2437" s="7" t="s">
        <v>787</v>
      </c>
      <c r="C2437" s="2" t="s">
        <v>442</v>
      </c>
      <c r="D2437" s="7" t="s">
        <v>276</v>
      </c>
      <c r="E2437" s="4" t="s">
        <v>1602</v>
      </c>
      <c r="F2437" s="2">
        <v>1</v>
      </c>
      <c r="G2437" s="2" t="s">
        <v>1399</v>
      </c>
      <c r="H2437" s="2" t="s">
        <v>1399</v>
      </c>
      <c r="I2437" s="4" t="s">
        <v>68</v>
      </c>
      <c r="J2437" s="112">
        <f>IF($H2437&lt;&gt;"Y",0,ROUND(MIN(Dashboard!$R$24,IF(IFERROR(VLOOKUP($B2437,Dashboard!$Q$28:$S$60,2,FALSE),0)&gt;0,IFERROR(VLOOKUP($B2437,Dashboard!$Q$28:$S$60,2,FALSE),0),$Z2437*IF($U2437&lt;&gt;"",ROUND((Dashboard!$R$4/$U2437)*VLOOKUP($I2437,Dashboard!$Q$9:$R$13,2,FALSE)*IF(ISNUMBER(SEARCH("Duals",$B2437)),2,IF(ISNUMBER(SEARCH("Triples",$B2437)),3,IF(ISNUMBER(SEARCH("Quads",$B2437)),4,1))),2),ROUND(VLOOKUP($I2437,Dashboard!$Q$15:$R$20,2,FALSE)*IF($E2437="Red",Dashboard!$R$6,IF($E2437="Gold",Dashboard!$R$7,Dashboard!$R$5))*IF(ISNUMBER(SEARCH("Duals",$B2437)),2,IF(ISNUMBER(SEARCH("Triples",$B2437)),3,IF(ISNUMBER(SEARCH("Quads",$B2437)),4,1))),2))*IF(IFERROR(VLOOKUP($B2437,Dashboard!$Q$28:$S$60,3,FALSE),0)&gt;0,VLOOKUP($B2437,Dashboard!$Q$28:$S$60,3,FALSE),1))),0))</f>
        <v>0</v>
      </c>
      <c r="K2437" s="2" t="str">
        <f>IF(Retro!F12="","",Retro!F12)</f>
        <v/>
      </c>
      <c r="L2437" s="2">
        <f t="shared" si="494"/>
        <v>0</v>
      </c>
      <c r="M2437" s="2">
        <f t="shared" si="495"/>
        <v>0</v>
      </c>
      <c r="N2437" s="2">
        <f t="shared" si="496"/>
        <v>0</v>
      </c>
      <c r="O2437" s="2">
        <f t="shared" si="497"/>
        <v>0</v>
      </c>
      <c r="P2437" s="112">
        <f t="shared" si="498"/>
        <v>0</v>
      </c>
      <c r="Q2437" s="112">
        <f t="shared" si="499"/>
        <v>0</v>
      </c>
      <c r="R2437" s="53"/>
      <c r="S2437" s="53" t="str">
        <f t="shared" si="500"/>
        <v>Retro|Retro Auto Gold Parallel|R-11|Gold</v>
      </c>
      <c r="T2437" s="57" t="str">
        <f>IF($S2437="","",IFERROR(VLOOKUP($S2437,'Pop Estimates (Non-#d)'!$N$2:$O$500,2,FALSE),""))</f>
        <v/>
      </c>
      <c r="U2437" s="57">
        <f t="shared" si="501"/>
        <v>1</v>
      </c>
      <c r="V2437" s="53" t="str">
        <f t="shared" si="502"/>
        <v>Mother's Milk</v>
      </c>
      <c r="W2437" s="53" t="str">
        <f t="shared" si="503"/>
        <v>Mother's Milk</v>
      </c>
      <c r="X2437" s="53" t="str">
        <f t="shared" si="504"/>
        <v>Mother's Milk</v>
      </c>
      <c r="Y2437" s="57">
        <f>IF($X2437="","",IFERROR(VLOOKUP($X2437,'Char Popularity'!$A$2:$C$500,2,FALSE),""))</f>
        <v>4</v>
      </c>
      <c r="Z2437" s="56">
        <f>IF($X2437="",1,IFERROR(VLOOKUP($X2437,'Char Popularity'!$A$2:$C$500,3,FALSE),1))</f>
        <v>1.1000000000000001</v>
      </c>
      <c r="AA2437" s="62">
        <f>IF($H2437&lt;&gt;"Y",0,(IF($F2437&lt;&gt;"",ROUND(Dashboard!$R$4/$F2437,1),IF(AND($I2437="Base",$E2437="Base"),Dashboard!$R$5,IF(AND($I2437="Base",$E2437="Red"),Dashboard!$R$6,IF(AND($I2437="Base",$E2437="Gold"),Dashboard!$R$7,VLOOKUP($I2437,Dashboard!$Q$16:$R$21,2,FALSE)))))*VLOOKUP($I2437,Dashboard!$Q$9:$R$13,2,FALSE)*IF(AND($I2437="Auto",$F2437="",OR($B2437="Autographs Duals",$B2437="Autographs Triples",$B2437="Autographs Quads",$B2437="Autographs Quads (Inscribed)")),IF($B2437="Autographs Duals",2,IF($B2437="Autographs Triples",3,4)),1)))</f>
        <v>0</v>
      </c>
      <c r="AB2437" s="62">
        <f t="shared" si="505"/>
        <v>0</v>
      </c>
      <c r="AC2437" s="62">
        <f t="shared" si="506"/>
        <v>0</v>
      </c>
    </row>
    <row r="2438" spans="1:29" ht="28.7" customHeight="1" x14ac:dyDescent="0.25">
      <c r="A2438" s="4" t="s">
        <v>29</v>
      </c>
      <c r="B2438" s="7" t="s">
        <v>787</v>
      </c>
      <c r="C2438" s="2" t="s">
        <v>443</v>
      </c>
      <c r="D2438" s="7" t="s">
        <v>250</v>
      </c>
      <c r="E2438" s="4" t="s">
        <v>1602</v>
      </c>
      <c r="F2438" s="2">
        <v>1</v>
      </c>
      <c r="G2438" s="2" t="s">
        <v>1399</v>
      </c>
      <c r="H2438" s="2" t="s">
        <v>1399</v>
      </c>
      <c r="I2438" s="4" t="s">
        <v>68</v>
      </c>
      <c r="J2438" s="112">
        <f>IF($H2438&lt;&gt;"Y",0,ROUND(MIN(Dashboard!$R$24,IF(IFERROR(VLOOKUP($B2438,Dashboard!$Q$28:$S$60,2,FALSE),0)&gt;0,IFERROR(VLOOKUP($B2438,Dashboard!$Q$28:$S$60,2,FALSE),0),$Z2438*IF($U2438&lt;&gt;"",ROUND((Dashboard!$R$4/$U2438)*VLOOKUP($I2438,Dashboard!$Q$9:$R$13,2,FALSE)*IF(ISNUMBER(SEARCH("Duals",$B2438)),2,IF(ISNUMBER(SEARCH("Triples",$B2438)),3,IF(ISNUMBER(SEARCH("Quads",$B2438)),4,1))),2),ROUND(VLOOKUP($I2438,Dashboard!$Q$15:$R$20,2,FALSE)*IF($E2438="Red",Dashboard!$R$6,IF($E2438="Gold",Dashboard!$R$7,Dashboard!$R$5))*IF(ISNUMBER(SEARCH("Duals",$B2438)),2,IF(ISNUMBER(SEARCH("Triples",$B2438)),3,IF(ISNUMBER(SEARCH("Quads",$B2438)),4,1))),2))*IF(IFERROR(VLOOKUP($B2438,Dashboard!$Q$28:$S$60,3,FALSE),0)&gt;0,VLOOKUP($B2438,Dashboard!$Q$28:$S$60,3,FALSE),1))),0))</f>
        <v>0</v>
      </c>
      <c r="K2438" s="2" t="str">
        <f>IF(Retro!F13="","",Retro!F13)</f>
        <v/>
      </c>
      <c r="L2438" s="2">
        <f t="shared" si="494"/>
        <v>0</v>
      </c>
      <c r="M2438" s="2">
        <f t="shared" si="495"/>
        <v>0</v>
      </c>
      <c r="N2438" s="2">
        <f t="shared" si="496"/>
        <v>0</v>
      </c>
      <c r="O2438" s="2">
        <f t="shared" si="497"/>
        <v>0</v>
      </c>
      <c r="P2438" s="112">
        <f t="shared" si="498"/>
        <v>0</v>
      </c>
      <c r="Q2438" s="112">
        <f t="shared" si="499"/>
        <v>0</v>
      </c>
      <c r="R2438" s="53"/>
      <c r="S2438" s="53" t="str">
        <f t="shared" si="500"/>
        <v>Retro|Retro Auto Gold Parallel|R-12|Gold</v>
      </c>
      <c r="T2438" s="57" t="str">
        <f>IF($S2438="","",IFERROR(VLOOKUP($S2438,'Pop Estimates (Non-#d)'!$N$2:$O$500,2,FALSE),""))</f>
        <v/>
      </c>
      <c r="U2438" s="57">
        <f t="shared" si="501"/>
        <v>1</v>
      </c>
      <c r="V2438" s="53" t="str">
        <f t="shared" si="502"/>
        <v>Madelyn Stillwell</v>
      </c>
      <c r="W2438" s="53" t="str">
        <f t="shared" si="503"/>
        <v>Madelyn Stillwell</v>
      </c>
      <c r="X2438" s="53" t="str">
        <f t="shared" si="504"/>
        <v>Madelyn Stillwell</v>
      </c>
      <c r="Y2438" s="57">
        <f>IF($X2438="","",IFERROR(VLOOKUP($X2438,'Char Popularity'!$A$2:$C$500,2,FALSE),""))</f>
        <v>3</v>
      </c>
      <c r="Z2438" s="56">
        <f>IF($X2438="",1,IFERROR(VLOOKUP($X2438,'Char Popularity'!$A$2:$C$500,3,FALSE),1))</f>
        <v>1</v>
      </c>
      <c r="AA2438" s="62">
        <f>IF($H2438&lt;&gt;"Y",0,(IF($F2438&lt;&gt;"",ROUND(Dashboard!$R$4/$F2438,1),IF(AND($I2438="Base",$E2438="Base"),Dashboard!$R$5,IF(AND($I2438="Base",$E2438="Red"),Dashboard!$R$6,IF(AND($I2438="Base",$E2438="Gold"),Dashboard!$R$7,VLOOKUP($I2438,Dashboard!$Q$16:$R$21,2,FALSE)))))*VLOOKUP($I2438,Dashboard!$Q$9:$R$13,2,FALSE)*IF(AND($I2438="Auto",$F2438="",OR($B2438="Autographs Duals",$B2438="Autographs Triples",$B2438="Autographs Quads",$B2438="Autographs Quads (Inscribed)")),IF($B2438="Autographs Duals",2,IF($B2438="Autographs Triples",3,4)),1)))</f>
        <v>0</v>
      </c>
      <c r="AB2438" s="62">
        <f t="shared" si="505"/>
        <v>0</v>
      </c>
      <c r="AC2438" s="62">
        <f t="shared" si="506"/>
        <v>0</v>
      </c>
    </row>
    <row r="2439" spans="1:29" ht="28.7" customHeight="1" x14ac:dyDescent="0.25">
      <c r="A2439" s="4" t="s">
        <v>29</v>
      </c>
      <c r="B2439" s="7" t="s">
        <v>787</v>
      </c>
      <c r="C2439" s="2" t="s">
        <v>445</v>
      </c>
      <c r="D2439" s="7" t="s">
        <v>216</v>
      </c>
      <c r="E2439" s="4" t="s">
        <v>1602</v>
      </c>
      <c r="F2439" s="2">
        <v>1</v>
      </c>
      <c r="G2439" s="2" t="s">
        <v>1399</v>
      </c>
      <c r="H2439" s="2" t="s">
        <v>1399</v>
      </c>
      <c r="I2439" s="4" t="s">
        <v>68</v>
      </c>
      <c r="J2439" s="112">
        <f>IF($H2439&lt;&gt;"Y",0,ROUND(MIN(Dashboard!$R$24,IF(IFERROR(VLOOKUP($B2439,Dashboard!$Q$28:$S$60,2,FALSE),0)&gt;0,IFERROR(VLOOKUP($B2439,Dashboard!$Q$28:$S$60,2,FALSE),0),$Z2439*IF($U2439&lt;&gt;"",ROUND((Dashboard!$R$4/$U2439)*VLOOKUP($I2439,Dashboard!$Q$9:$R$13,2,FALSE)*IF(ISNUMBER(SEARCH("Duals",$B2439)),2,IF(ISNUMBER(SEARCH("Triples",$B2439)),3,IF(ISNUMBER(SEARCH("Quads",$B2439)),4,1))),2),ROUND(VLOOKUP($I2439,Dashboard!$Q$15:$R$20,2,FALSE)*IF($E2439="Red",Dashboard!$R$6,IF($E2439="Gold",Dashboard!$R$7,Dashboard!$R$5))*IF(ISNUMBER(SEARCH("Duals",$B2439)),2,IF(ISNUMBER(SEARCH("Triples",$B2439)),3,IF(ISNUMBER(SEARCH("Quads",$B2439)),4,1))),2))*IF(IFERROR(VLOOKUP($B2439,Dashboard!$Q$28:$S$60,3,FALSE),0)&gt;0,VLOOKUP($B2439,Dashboard!$Q$28:$S$60,3,FALSE),1))),0))</f>
        <v>0</v>
      </c>
      <c r="K2439" s="2" t="str">
        <f>IF(Retro!F14="","",Retro!F14)</f>
        <v/>
      </c>
      <c r="L2439" s="2">
        <f t="shared" si="494"/>
        <v>0</v>
      </c>
      <c r="M2439" s="2">
        <f t="shared" si="495"/>
        <v>0</v>
      </c>
      <c r="N2439" s="2">
        <f t="shared" si="496"/>
        <v>0</v>
      </c>
      <c r="O2439" s="2">
        <f t="shared" si="497"/>
        <v>0</v>
      </c>
      <c r="P2439" s="112">
        <f t="shared" si="498"/>
        <v>0</v>
      </c>
      <c r="Q2439" s="112">
        <f t="shared" si="499"/>
        <v>0</v>
      </c>
      <c r="R2439" s="53"/>
      <c r="S2439" s="53" t="str">
        <f t="shared" si="500"/>
        <v>Retro|Retro Auto Gold Parallel|R-13|Gold</v>
      </c>
      <c r="T2439" s="57" t="str">
        <f>IF($S2439="","",IFERROR(VLOOKUP($S2439,'Pop Estimates (Non-#d)'!$N$2:$O$500,2,FALSE),""))</f>
        <v/>
      </c>
      <c r="U2439" s="57">
        <f t="shared" si="501"/>
        <v>1</v>
      </c>
      <c r="V2439" s="53" t="str">
        <f t="shared" si="502"/>
        <v>Translucent</v>
      </c>
      <c r="W2439" s="53" t="str">
        <f t="shared" si="503"/>
        <v>Translucent</v>
      </c>
      <c r="X2439" s="53" t="str">
        <f t="shared" si="504"/>
        <v>Translucent</v>
      </c>
      <c r="Y2439" s="57">
        <f>IF($X2439="","",IFERROR(VLOOKUP($X2439,'Char Popularity'!$A$2:$C$500,2,FALSE),""))</f>
        <v>2</v>
      </c>
      <c r="Z2439" s="56">
        <f>IF($X2439="",1,IFERROR(VLOOKUP($X2439,'Char Popularity'!$A$2:$C$500,3,FALSE),1))</f>
        <v>0.9</v>
      </c>
      <c r="AA2439" s="62">
        <f>IF($H2439&lt;&gt;"Y",0,(IF($F2439&lt;&gt;"",ROUND(Dashboard!$R$4/$F2439,1),IF(AND($I2439="Base",$E2439="Base"),Dashboard!$R$5,IF(AND($I2439="Base",$E2439="Red"),Dashboard!$R$6,IF(AND($I2439="Base",$E2439="Gold"),Dashboard!$R$7,VLOOKUP($I2439,Dashboard!$Q$16:$R$21,2,FALSE)))))*VLOOKUP($I2439,Dashboard!$Q$9:$R$13,2,FALSE)*IF(AND($I2439="Auto",$F2439="",OR($B2439="Autographs Duals",$B2439="Autographs Triples",$B2439="Autographs Quads",$B2439="Autographs Quads (Inscribed)")),IF($B2439="Autographs Duals",2,IF($B2439="Autographs Triples",3,4)),1)))</f>
        <v>0</v>
      </c>
      <c r="AB2439" s="62">
        <f t="shared" si="505"/>
        <v>0</v>
      </c>
      <c r="AC2439" s="62">
        <f t="shared" si="506"/>
        <v>0</v>
      </c>
    </row>
    <row r="2440" spans="1:29" ht="28.7" customHeight="1" x14ac:dyDescent="0.25">
      <c r="A2440" s="4" t="s">
        <v>29</v>
      </c>
      <c r="B2440" s="7" t="s">
        <v>787</v>
      </c>
      <c r="C2440" s="2" t="s">
        <v>447</v>
      </c>
      <c r="D2440" s="7" t="s">
        <v>244</v>
      </c>
      <c r="E2440" s="4" t="s">
        <v>1602</v>
      </c>
      <c r="F2440" s="2">
        <v>1</v>
      </c>
      <c r="G2440" s="2" t="s">
        <v>1399</v>
      </c>
      <c r="H2440" s="2" t="s">
        <v>1399</v>
      </c>
      <c r="I2440" s="4" t="s">
        <v>68</v>
      </c>
      <c r="J2440" s="112">
        <f>IF($H2440&lt;&gt;"Y",0,ROUND(MIN(Dashboard!$R$24,IF(IFERROR(VLOOKUP($B2440,Dashboard!$Q$28:$S$60,2,FALSE),0)&gt;0,IFERROR(VLOOKUP($B2440,Dashboard!$Q$28:$S$60,2,FALSE),0),$Z2440*IF($U2440&lt;&gt;"",ROUND((Dashboard!$R$4/$U2440)*VLOOKUP($I2440,Dashboard!$Q$9:$R$13,2,FALSE)*IF(ISNUMBER(SEARCH("Duals",$B2440)),2,IF(ISNUMBER(SEARCH("Triples",$B2440)),3,IF(ISNUMBER(SEARCH("Quads",$B2440)),4,1))),2),ROUND(VLOOKUP($I2440,Dashboard!$Q$15:$R$20,2,FALSE)*IF($E2440="Red",Dashboard!$R$6,IF($E2440="Gold",Dashboard!$R$7,Dashboard!$R$5))*IF(ISNUMBER(SEARCH("Duals",$B2440)),2,IF(ISNUMBER(SEARCH("Triples",$B2440)),3,IF(ISNUMBER(SEARCH("Quads",$B2440)),4,1))),2))*IF(IFERROR(VLOOKUP($B2440,Dashboard!$Q$28:$S$60,3,FALSE),0)&gt;0,VLOOKUP($B2440,Dashboard!$Q$28:$S$60,3,FALSE),1))),0))</f>
        <v>0</v>
      </c>
      <c r="K2440" s="2" t="str">
        <f>IF(Retro!F15="","",Retro!F15)</f>
        <v/>
      </c>
      <c r="L2440" s="2">
        <f t="shared" si="494"/>
        <v>0</v>
      </c>
      <c r="M2440" s="2">
        <f t="shared" si="495"/>
        <v>0</v>
      </c>
      <c r="N2440" s="2">
        <f t="shared" si="496"/>
        <v>0</v>
      </c>
      <c r="O2440" s="2">
        <f t="shared" si="497"/>
        <v>0</v>
      </c>
      <c r="P2440" s="112">
        <f t="shared" si="498"/>
        <v>0</v>
      </c>
      <c r="Q2440" s="112">
        <f t="shared" si="499"/>
        <v>0</v>
      </c>
      <c r="R2440" s="53"/>
      <c r="S2440" s="53" t="str">
        <f t="shared" si="500"/>
        <v>Retro|Retro Auto Gold Parallel|R-14|Gold</v>
      </c>
      <c r="T2440" s="57" t="str">
        <f>IF($S2440="","",IFERROR(VLOOKUP($S2440,'Pop Estimates (Non-#d)'!$N$2:$O$500,2,FALSE),""))</f>
        <v/>
      </c>
      <c r="U2440" s="57">
        <f t="shared" si="501"/>
        <v>1</v>
      </c>
      <c r="V2440" s="53" t="str">
        <f t="shared" si="502"/>
        <v>Queen Maeve</v>
      </c>
      <c r="W2440" s="53" t="str">
        <f t="shared" si="503"/>
        <v>Queen Maeve</v>
      </c>
      <c r="X2440" s="53" t="str">
        <f t="shared" si="504"/>
        <v>Queen Maeve</v>
      </c>
      <c r="Y2440" s="57">
        <f>IF($X2440="","",IFERROR(VLOOKUP($X2440,'Char Popularity'!$A$2:$C$500,2,FALSE),""))</f>
        <v>4</v>
      </c>
      <c r="Z2440" s="56">
        <f>IF($X2440="",1,IFERROR(VLOOKUP($X2440,'Char Popularity'!$A$2:$C$500,3,FALSE),1))</f>
        <v>1.1000000000000001</v>
      </c>
      <c r="AA2440" s="62">
        <f>IF($H2440&lt;&gt;"Y",0,(IF($F2440&lt;&gt;"",ROUND(Dashboard!$R$4/$F2440,1),IF(AND($I2440="Base",$E2440="Base"),Dashboard!$R$5,IF(AND($I2440="Base",$E2440="Red"),Dashboard!$R$6,IF(AND($I2440="Base",$E2440="Gold"),Dashboard!$R$7,VLOOKUP($I2440,Dashboard!$Q$16:$R$21,2,FALSE)))))*VLOOKUP($I2440,Dashboard!$Q$9:$R$13,2,FALSE)*IF(AND($I2440="Auto",$F2440="",OR($B2440="Autographs Duals",$B2440="Autographs Triples",$B2440="Autographs Quads",$B2440="Autographs Quads (Inscribed)")),IF($B2440="Autographs Duals",2,IF($B2440="Autographs Triples",3,4)),1)))</f>
        <v>0</v>
      </c>
      <c r="AB2440" s="62">
        <f t="shared" si="505"/>
        <v>0</v>
      </c>
      <c r="AC2440" s="62">
        <f t="shared" si="506"/>
        <v>0</v>
      </c>
    </row>
    <row r="2441" spans="1:29" ht="28.7" customHeight="1" x14ac:dyDescent="0.25">
      <c r="A2441" s="4" t="s">
        <v>29</v>
      </c>
      <c r="B2441" s="7" t="s">
        <v>787</v>
      </c>
      <c r="C2441" s="2" t="s">
        <v>448</v>
      </c>
      <c r="D2441" s="7" t="s">
        <v>283</v>
      </c>
      <c r="E2441" s="4" t="s">
        <v>1602</v>
      </c>
      <c r="F2441" s="2">
        <v>1</v>
      </c>
      <c r="G2441" s="2" t="s">
        <v>1399</v>
      </c>
      <c r="H2441" s="2" t="s">
        <v>1399</v>
      </c>
      <c r="I2441" s="4" t="s">
        <v>68</v>
      </c>
      <c r="J2441" s="112">
        <f>IF($H2441&lt;&gt;"Y",0,ROUND(MIN(Dashboard!$R$24,IF(IFERROR(VLOOKUP($B2441,Dashboard!$Q$28:$S$60,2,FALSE),0)&gt;0,IFERROR(VLOOKUP($B2441,Dashboard!$Q$28:$S$60,2,FALSE),0),$Z2441*IF($U2441&lt;&gt;"",ROUND((Dashboard!$R$4/$U2441)*VLOOKUP($I2441,Dashboard!$Q$9:$R$13,2,FALSE)*IF(ISNUMBER(SEARCH("Duals",$B2441)),2,IF(ISNUMBER(SEARCH("Triples",$B2441)),3,IF(ISNUMBER(SEARCH("Quads",$B2441)),4,1))),2),ROUND(VLOOKUP($I2441,Dashboard!$Q$15:$R$20,2,FALSE)*IF($E2441="Red",Dashboard!$R$6,IF($E2441="Gold",Dashboard!$R$7,Dashboard!$R$5))*IF(ISNUMBER(SEARCH("Duals",$B2441)),2,IF(ISNUMBER(SEARCH("Triples",$B2441)),3,IF(ISNUMBER(SEARCH("Quads",$B2441)),4,1))),2))*IF(IFERROR(VLOOKUP($B2441,Dashboard!$Q$28:$S$60,3,FALSE),0)&gt;0,VLOOKUP($B2441,Dashboard!$Q$28:$S$60,3,FALSE),1))),0))</f>
        <v>0</v>
      </c>
      <c r="K2441" s="2" t="str">
        <f>IF(Retro!F16="","",Retro!F16)</f>
        <v/>
      </c>
      <c r="L2441" s="2">
        <f t="shared" si="494"/>
        <v>0</v>
      </c>
      <c r="M2441" s="2">
        <f t="shared" si="495"/>
        <v>0</v>
      </c>
      <c r="N2441" s="2">
        <f t="shared" si="496"/>
        <v>0</v>
      </c>
      <c r="O2441" s="2">
        <f t="shared" si="497"/>
        <v>0</v>
      </c>
      <c r="P2441" s="112">
        <f t="shared" si="498"/>
        <v>0</v>
      </c>
      <c r="Q2441" s="112">
        <f t="shared" si="499"/>
        <v>0</v>
      </c>
      <c r="R2441" s="53"/>
      <c r="S2441" s="53" t="str">
        <f t="shared" si="500"/>
        <v>Retro|Retro Auto Gold Parallel|R-15|Gold</v>
      </c>
      <c r="T2441" s="57" t="str">
        <f>IF($S2441="","",IFERROR(VLOOKUP($S2441,'Pop Estimates (Non-#d)'!$N$2:$O$500,2,FALSE),""))</f>
        <v/>
      </c>
      <c r="U2441" s="57">
        <f t="shared" si="501"/>
        <v>1</v>
      </c>
      <c r="V2441" s="53" t="str">
        <f t="shared" si="502"/>
        <v>Black Noir</v>
      </c>
      <c r="W2441" s="53" t="str">
        <f t="shared" si="503"/>
        <v>Black Noir</v>
      </c>
      <c r="X2441" s="53" t="str">
        <f t="shared" si="504"/>
        <v>Black Noir</v>
      </c>
      <c r="Y2441" s="57">
        <f>IF($X2441="","",IFERROR(VLOOKUP($X2441,'Char Popularity'!$A$2:$C$500,2,FALSE),""))</f>
        <v>4</v>
      </c>
      <c r="Z2441" s="56">
        <f>IF($X2441="",1,IFERROR(VLOOKUP($X2441,'Char Popularity'!$A$2:$C$500,3,FALSE),1))</f>
        <v>1.1000000000000001</v>
      </c>
      <c r="AA2441" s="62">
        <f>IF($H2441&lt;&gt;"Y",0,(IF($F2441&lt;&gt;"",ROUND(Dashboard!$R$4/$F2441,1),IF(AND($I2441="Base",$E2441="Base"),Dashboard!$R$5,IF(AND($I2441="Base",$E2441="Red"),Dashboard!$R$6,IF(AND($I2441="Base",$E2441="Gold"),Dashboard!$R$7,VLOOKUP($I2441,Dashboard!$Q$16:$R$21,2,FALSE)))))*VLOOKUP($I2441,Dashboard!$Q$9:$R$13,2,FALSE)*IF(AND($I2441="Auto",$F2441="",OR($B2441="Autographs Duals",$B2441="Autographs Triples",$B2441="Autographs Quads",$B2441="Autographs Quads (Inscribed)")),IF($B2441="Autographs Duals",2,IF($B2441="Autographs Triples",3,4)),1)))</f>
        <v>0</v>
      </c>
      <c r="AB2441" s="62">
        <f t="shared" si="505"/>
        <v>0</v>
      </c>
      <c r="AC2441" s="62">
        <f t="shared" si="506"/>
        <v>0</v>
      </c>
    </row>
    <row r="2442" spans="1:29" ht="28.7" customHeight="1" x14ac:dyDescent="0.25">
      <c r="A2442" s="4" t="s">
        <v>29</v>
      </c>
      <c r="B2442" s="7" t="s">
        <v>122</v>
      </c>
      <c r="C2442" s="2" t="s">
        <v>439</v>
      </c>
      <c r="D2442" s="7" t="s">
        <v>263</v>
      </c>
      <c r="E2442" s="4" t="s">
        <v>60</v>
      </c>
      <c r="F2442" s="2">
        <v>90</v>
      </c>
      <c r="G2442" s="2" t="s">
        <v>1399</v>
      </c>
      <c r="H2442" s="2" t="s">
        <v>1400</v>
      </c>
      <c r="I2442" s="4" t="s">
        <v>68</v>
      </c>
      <c r="J2442" s="112">
        <f>IF($H2442&lt;&gt;"Y",0,ROUND(MIN(Dashboard!$R$24,IF(IFERROR(VLOOKUP($B2442,Dashboard!$Q$28:$S$60,2,FALSE),0)&gt;0,IFERROR(VLOOKUP($B2442,Dashboard!$Q$28:$S$60,2,FALSE),0),$Z2442*IF($U2442&lt;&gt;"",ROUND((Dashboard!$R$4/$U2442)*VLOOKUP($I2442,Dashboard!$Q$9:$R$13,2,FALSE)*IF(ISNUMBER(SEARCH("Duals",$B2442)),2,IF(ISNUMBER(SEARCH("Triples",$B2442)),3,IF(ISNUMBER(SEARCH("Quads",$B2442)),4,1))),2),ROUND(VLOOKUP($I2442,Dashboard!$Q$15:$R$20,2,FALSE)*IF($E2442="Red",Dashboard!$R$6,IF($E2442="Gold",Dashboard!$R$7,Dashboard!$R$5))*IF(ISNUMBER(SEARCH("Duals",$B2442)),2,IF(ISNUMBER(SEARCH("Triples",$B2442)),3,IF(ISNUMBER(SEARCH("Quads",$B2442)),4,1))),2))*IF(IFERROR(VLOOKUP($B2442,Dashboard!$Q$28:$S$60,3,FALSE),0)&gt;0,VLOOKUP($B2442,Dashboard!$Q$28:$S$60,3,FALSE),1))),0))</f>
        <v>27</v>
      </c>
      <c r="K2442" s="2" t="str">
        <f>IF(Retro!E2="","",Retro!E2)</f>
        <v/>
      </c>
      <c r="L2442" s="2">
        <f t="shared" si="494"/>
        <v>0</v>
      </c>
      <c r="M2442" s="2">
        <f t="shared" si="495"/>
        <v>0</v>
      </c>
      <c r="N2442" s="2">
        <f t="shared" si="496"/>
        <v>0</v>
      </c>
      <c r="O2442" s="2">
        <f t="shared" si="497"/>
        <v>1</v>
      </c>
      <c r="P2442" s="112">
        <f t="shared" si="498"/>
        <v>0</v>
      </c>
      <c r="Q2442" s="112">
        <f t="shared" si="499"/>
        <v>0</v>
      </c>
      <c r="R2442" s="53"/>
      <c r="S2442" s="53" t="str">
        <f t="shared" si="500"/>
        <v>Retro|Retro Auto Parallel|R-1|Base</v>
      </c>
      <c r="T2442" s="57" t="str">
        <f>IF($S2442="","",IFERROR(VLOOKUP($S2442,'Pop Estimates (Non-#d)'!$N$2:$O$500,2,FALSE),""))</f>
        <v/>
      </c>
      <c r="U2442" s="57">
        <f t="shared" si="501"/>
        <v>90</v>
      </c>
      <c r="V2442" s="53" t="str">
        <f t="shared" si="502"/>
        <v>Hughie Campbell</v>
      </c>
      <c r="W2442" s="53" t="str">
        <f t="shared" si="503"/>
        <v>Hughie Campbell</v>
      </c>
      <c r="X2442" s="53" t="str">
        <f t="shared" si="504"/>
        <v>Hughie Campbell</v>
      </c>
      <c r="Y2442" s="57">
        <f>IF($X2442="","",IFERROR(VLOOKUP($X2442,'Char Popularity'!$A$2:$C$500,2,FALSE),""))</f>
        <v>5</v>
      </c>
      <c r="Z2442" s="56">
        <f>IF($X2442="",1,IFERROR(VLOOKUP($X2442,'Char Popularity'!$A$2:$C$500,3,FALSE),1))</f>
        <v>1.2</v>
      </c>
      <c r="AA2442" s="62">
        <f>IF($H2442&lt;&gt;"Y",0,(IF($F2442&lt;&gt;"",ROUND(Dashboard!$R$4/$F2442,1),IF(AND($I2442="Base",$E2442="Base"),Dashboard!$R$5,IF(AND($I2442="Base",$E2442="Red"),Dashboard!$R$6,IF(AND($I2442="Base",$E2442="Gold"),Dashboard!$R$7,VLOOKUP($I2442,Dashboard!$Q$16:$R$21,2,FALSE)))))*VLOOKUP($I2442,Dashboard!$Q$9:$R$13,2,FALSE)*IF(AND($I2442="Auto",$F2442="",OR($B2442="Autographs Duals",$B2442="Autographs Triples",$B2442="Autographs Quads",$B2442="Autographs Quads (Inscribed)")),IF($B2442="Autographs Duals",2,IF($B2442="Autographs Triples",3,4)),1)))</f>
        <v>22.2</v>
      </c>
      <c r="AB2442" s="62">
        <f t="shared" si="505"/>
        <v>0</v>
      </c>
      <c r="AC2442" s="62">
        <f t="shared" si="506"/>
        <v>0</v>
      </c>
    </row>
    <row r="2443" spans="1:29" ht="28.7" customHeight="1" x14ac:dyDescent="0.25">
      <c r="A2443" s="4" t="s">
        <v>29</v>
      </c>
      <c r="B2443" s="7" t="s">
        <v>122</v>
      </c>
      <c r="C2443" s="2" t="s">
        <v>449</v>
      </c>
      <c r="D2443" s="7" t="s">
        <v>248</v>
      </c>
      <c r="E2443" s="4" t="s">
        <v>60</v>
      </c>
      <c r="F2443" s="2">
        <v>90</v>
      </c>
      <c r="G2443" s="2" t="s">
        <v>1399</v>
      </c>
      <c r="H2443" s="2" t="s">
        <v>1400</v>
      </c>
      <c r="I2443" s="4" t="s">
        <v>68</v>
      </c>
      <c r="J2443" s="112">
        <f>IF($H2443&lt;&gt;"Y",0,ROUND(MIN(Dashboard!$R$24,IF(IFERROR(VLOOKUP($B2443,Dashboard!$Q$28:$S$60,2,FALSE),0)&gt;0,IFERROR(VLOOKUP($B2443,Dashboard!$Q$28:$S$60,2,FALSE),0),$Z2443*IF($U2443&lt;&gt;"",ROUND((Dashboard!$R$4/$U2443)*VLOOKUP($I2443,Dashboard!$Q$9:$R$13,2,FALSE)*IF(ISNUMBER(SEARCH("Duals",$B2443)),2,IF(ISNUMBER(SEARCH("Triples",$B2443)),3,IF(ISNUMBER(SEARCH("Quads",$B2443)),4,1))),2),ROUND(VLOOKUP($I2443,Dashboard!$Q$15:$R$20,2,FALSE)*IF($E2443="Red",Dashboard!$R$6,IF($E2443="Gold",Dashboard!$R$7,Dashboard!$R$5))*IF(ISNUMBER(SEARCH("Duals",$B2443)),2,IF(ISNUMBER(SEARCH("Triples",$B2443)),3,IF(ISNUMBER(SEARCH("Quads",$B2443)),4,1))),2))*IF(IFERROR(VLOOKUP($B2443,Dashboard!$Q$28:$S$60,3,FALSE),0)&gt;0,VLOOKUP($B2443,Dashboard!$Q$28:$S$60,3,FALSE),1))),0))</f>
        <v>27</v>
      </c>
      <c r="K2443" s="2" t="str">
        <f>IF(Retro!E3="","",Retro!E3)</f>
        <v/>
      </c>
      <c r="L2443" s="2">
        <f t="shared" si="494"/>
        <v>0</v>
      </c>
      <c r="M2443" s="2">
        <f t="shared" si="495"/>
        <v>0</v>
      </c>
      <c r="N2443" s="2">
        <f t="shared" si="496"/>
        <v>0</v>
      </c>
      <c r="O2443" s="2">
        <f t="shared" si="497"/>
        <v>1</v>
      </c>
      <c r="P2443" s="112">
        <f t="shared" si="498"/>
        <v>0</v>
      </c>
      <c r="Q2443" s="112">
        <f t="shared" si="499"/>
        <v>0</v>
      </c>
      <c r="R2443" s="53"/>
      <c r="S2443" s="53" t="str">
        <f t="shared" si="500"/>
        <v>Retro|Retro Auto Parallel|R-2|Base</v>
      </c>
      <c r="T2443" s="57" t="str">
        <f>IF($S2443="","",IFERROR(VLOOKUP($S2443,'Pop Estimates (Non-#d)'!$N$2:$O$500,2,FALSE),""))</f>
        <v/>
      </c>
      <c r="U2443" s="57">
        <f t="shared" si="501"/>
        <v>90</v>
      </c>
      <c r="V2443" s="53" t="str">
        <f t="shared" si="502"/>
        <v>Starlight</v>
      </c>
      <c r="W2443" s="53" t="str">
        <f t="shared" si="503"/>
        <v>Starlight</v>
      </c>
      <c r="X2443" s="53" t="str">
        <f t="shared" si="504"/>
        <v>Starlight</v>
      </c>
      <c r="Y2443" s="57">
        <f>IF($X2443="","",IFERROR(VLOOKUP($X2443,'Char Popularity'!$A$2:$C$500,2,FALSE),""))</f>
        <v>5</v>
      </c>
      <c r="Z2443" s="56">
        <f>IF($X2443="",1,IFERROR(VLOOKUP($X2443,'Char Popularity'!$A$2:$C$500,3,FALSE),1))</f>
        <v>1.2</v>
      </c>
      <c r="AA2443" s="62">
        <f>IF($H2443&lt;&gt;"Y",0,(IF($F2443&lt;&gt;"",ROUND(Dashboard!$R$4/$F2443,1),IF(AND($I2443="Base",$E2443="Base"),Dashboard!$R$5,IF(AND($I2443="Base",$E2443="Red"),Dashboard!$R$6,IF(AND($I2443="Base",$E2443="Gold"),Dashboard!$R$7,VLOOKUP($I2443,Dashboard!$Q$16:$R$21,2,FALSE)))))*VLOOKUP($I2443,Dashboard!$Q$9:$R$13,2,FALSE)*IF(AND($I2443="Auto",$F2443="",OR($B2443="Autographs Duals",$B2443="Autographs Triples",$B2443="Autographs Quads",$B2443="Autographs Quads (Inscribed)")),IF($B2443="Autographs Duals",2,IF($B2443="Autographs Triples",3,4)),1)))</f>
        <v>22.2</v>
      </c>
      <c r="AB2443" s="62">
        <f t="shared" si="505"/>
        <v>0</v>
      </c>
      <c r="AC2443" s="62">
        <f t="shared" si="506"/>
        <v>0</v>
      </c>
    </row>
    <row r="2444" spans="1:29" ht="28.7" customHeight="1" x14ac:dyDescent="0.25">
      <c r="A2444" s="4" t="s">
        <v>29</v>
      </c>
      <c r="B2444" s="7" t="s">
        <v>122</v>
      </c>
      <c r="C2444" s="2" t="s">
        <v>451</v>
      </c>
      <c r="D2444" s="7" t="s">
        <v>267</v>
      </c>
      <c r="E2444" s="4" t="s">
        <v>60</v>
      </c>
      <c r="F2444" s="2">
        <v>90</v>
      </c>
      <c r="G2444" s="2" t="s">
        <v>1399</v>
      </c>
      <c r="H2444" s="2" t="s">
        <v>1400</v>
      </c>
      <c r="I2444" s="4" t="s">
        <v>68</v>
      </c>
      <c r="J2444" s="112">
        <f>IF($H2444&lt;&gt;"Y",0,ROUND(MIN(Dashboard!$R$24,IF(IFERROR(VLOOKUP($B2444,Dashboard!$Q$28:$S$60,2,FALSE),0)&gt;0,IFERROR(VLOOKUP($B2444,Dashboard!$Q$28:$S$60,2,FALSE),0),$Z2444*IF($U2444&lt;&gt;"",ROUND((Dashboard!$R$4/$U2444)*VLOOKUP($I2444,Dashboard!$Q$9:$R$13,2,FALSE)*IF(ISNUMBER(SEARCH("Duals",$B2444)),2,IF(ISNUMBER(SEARCH("Triples",$B2444)),3,IF(ISNUMBER(SEARCH("Quads",$B2444)),4,1))),2),ROUND(VLOOKUP($I2444,Dashboard!$Q$15:$R$20,2,FALSE)*IF($E2444="Red",Dashboard!$R$6,IF($E2444="Gold",Dashboard!$R$7,Dashboard!$R$5))*IF(ISNUMBER(SEARCH("Duals",$B2444)),2,IF(ISNUMBER(SEARCH("Triples",$B2444)),3,IF(ISNUMBER(SEARCH("Quads",$B2444)),4,1))),2))*IF(IFERROR(VLOOKUP($B2444,Dashboard!$Q$28:$S$60,3,FALSE),0)&gt;0,VLOOKUP($B2444,Dashboard!$Q$28:$S$60,3,FALSE),1))),0))</f>
        <v>24</v>
      </c>
      <c r="K2444" s="2" t="str">
        <f>IF(Retro!E5="","",Retro!E5)</f>
        <v/>
      </c>
      <c r="L2444" s="2">
        <f t="shared" si="494"/>
        <v>0</v>
      </c>
      <c r="M2444" s="2">
        <f t="shared" si="495"/>
        <v>0</v>
      </c>
      <c r="N2444" s="2">
        <f t="shared" si="496"/>
        <v>0</v>
      </c>
      <c r="O2444" s="2">
        <f t="shared" si="497"/>
        <v>1</v>
      </c>
      <c r="P2444" s="112">
        <f t="shared" si="498"/>
        <v>0</v>
      </c>
      <c r="Q2444" s="112">
        <f t="shared" si="499"/>
        <v>0</v>
      </c>
      <c r="R2444" s="53"/>
      <c r="S2444" s="53" t="str">
        <f t="shared" si="500"/>
        <v>Retro|Retro Auto Parallel|R-4|Base</v>
      </c>
      <c r="T2444" s="57" t="str">
        <f>IF($S2444="","",IFERROR(VLOOKUP($S2444,'Pop Estimates (Non-#d)'!$N$2:$O$500,2,FALSE),""))</f>
        <v/>
      </c>
      <c r="U2444" s="57">
        <f t="shared" si="501"/>
        <v>90</v>
      </c>
      <c r="V2444" s="53" t="str">
        <f t="shared" si="502"/>
        <v>A-Train</v>
      </c>
      <c r="W2444" s="53" t="str">
        <f t="shared" si="503"/>
        <v>A-Train</v>
      </c>
      <c r="X2444" s="53" t="str">
        <f t="shared" si="504"/>
        <v>A-Train</v>
      </c>
      <c r="Y2444" s="57">
        <f>IF($X2444="","",IFERROR(VLOOKUP($X2444,'Char Popularity'!$A$2:$C$500,2,FALSE),""))</f>
        <v>4</v>
      </c>
      <c r="Z2444" s="56">
        <f>IF($X2444="",1,IFERROR(VLOOKUP($X2444,'Char Popularity'!$A$2:$C$500,3,FALSE),1))</f>
        <v>1.1000000000000001</v>
      </c>
      <c r="AA2444" s="62">
        <f>IF($H2444&lt;&gt;"Y",0,(IF($F2444&lt;&gt;"",ROUND(Dashboard!$R$4/$F2444,1),IF(AND($I2444="Base",$E2444="Base"),Dashboard!$R$5,IF(AND($I2444="Base",$E2444="Red"),Dashboard!$R$6,IF(AND($I2444="Base",$E2444="Gold"),Dashboard!$R$7,VLOOKUP($I2444,Dashboard!$Q$16:$R$21,2,FALSE)))))*VLOOKUP($I2444,Dashboard!$Q$9:$R$13,2,FALSE)*IF(AND($I2444="Auto",$F2444="",OR($B2444="Autographs Duals",$B2444="Autographs Triples",$B2444="Autographs Quads",$B2444="Autographs Quads (Inscribed)")),IF($B2444="Autographs Duals",2,IF($B2444="Autographs Triples",3,4)),1)))</f>
        <v>22.2</v>
      </c>
      <c r="AB2444" s="62">
        <f t="shared" si="505"/>
        <v>0</v>
      </c>
      <c r="AC2444" s="62">
        <f t="shared" si="506"/>
        <v>0</v>
      </c>
    </row>
    <row r="2445" spans="1:29" ht="28.7" customHeight="1" x14ac:dyDescent="0.25">
      <c r="A2445" s="4" t="s">
        <v>29</v>
      </c>
      <c r="B2445" s="7" t="s">
        <v>122</v>
      </c>
      <c r="C2445" s="2" t="s">
        <v>452</v>
      </c>
      <c r="D2445" s="7" t="s">
        <v>222</v>
      </c>
      <c r="E2445" s="4" t="s">
        <v>60</v>
      </c>
      <c r="F2445" s="2">
        <v>90</v>
      </c>
      <c r="G2445" s="2" t="s">
        <v>1399</v>
      </c>
      <c r="H2445" s="2" t="s">
        <v>1400</v>
      </c>
      <c r="I2445" s="4" t="s">
        <v>68</v>
      </c>
      <c r="J2445" s="112">
        <f>IF($H2445&lt;&gt;"Y",0,ROUND(MIN(Dashboard!$R$24,IF(IFERROR(VLOOKUP($B2445,Dashboard!$Q$28:$S$60,2,FALSE),0)&gt;0,IFERROR(VLOOKUP($B2445,Dashboard!$Q$28:$S$60,2,FALSE),0),$Z2445*IF($U2445&lt;&gt;"",ROUND((Dashboard!$R$4/$U2445)*VLOOKUP($I2445,Dashboard!$Q$9:$R$13,2,FALSE)*IF(ISNUMBER(SEARCH("Duals",$B2445)),2,IF(ISNUMBER(SEARCH("Triples",$B2445)),3,IF(ISNUMBER(SEARCH("Quads",$B2445)),4,1))),2),ROUND(VLOOKUP($I2445,Dashboard!$Q$15:$R$20,2,FALSE)*IF($E2445="Red",Dashboard!$R$6,IF($E2445="Gold",Dashboard!$R$7,Dashboard!$R$5))*IF(ISNUMBER(SEARCH("Duals",$B2445)),2,IF(ISNUMBER(SEARCH("Triples",$B2445)),3,IF(ISNUMBER(SEARCH("Quads",$B2445)),4,1))),2))*IF(IFERROR(VLOOKUP($B2445,Dashboard!$Q$28:$S$60,3,FALSE),0)&gt;0,VLOOKUP($B2445,Dashboard!$Q$28:$S$60,3,FALSE),1))),0))</f>
        <v>27</v>
      </c>
      <c r="K2445" s="2" t="str">
        <f>IF(Retro!E6="","",Retro!E6)</f>
        <v/>
      </c>
      <c r="L2445" s="2">
        <f t="shared" si="494"/>
        <v>0</v>
      </c>
      <c r="M2445" s="2">
        <f t="shared" si="495"/>
        <v>0</v>
      </c>
      <c r="N2445" s="2">
        <f t="shared" si="496"/>
        <v>0</v>
      </c>
      <c r="O2445" s="2">
        <f t="shared" si="497"/>
        <v>1</v>
      </c>
      <c r="P2445" s="112">
        <f t="shared" si="498"/>
        <v>0</v>
      </c>
      <c r="Q2445" s="112">
        <f t="shared" si="499"/>
        <v>0</v>
      </c>
      <c r="R2445" s="53"/>
      <c r="S2445" s="53" t="str">
        <f t="shared" si="500"/>
        <v>Retro|Retro Auto Parallel|R-5|Base</v>
      </c>
      <c r="T2445" s="57" t="str">
        <f>IF($S2445="","",IFERROR(VLOOKUP($S2445,'Pop Estimates (Non-#d)'!$N$2:$O$500,2,FALSE),""))</f>
        <v/>
      </c>
      <c r="U2445" s="57">
        <f t="shared" si="501"/>
        <v>90</v>
      </c>
      <c r="V2445" s="53" t="str">
        <f t="shared" si="502"/>
        <v>Homelander</v>
      </c>
      <c r="W2445" s="53" t="str">
        <f t="shared" si="503"/>
        <v>Homelander</v>
      </c>
      <c r="X2445" s="53" t="str">
        <f t="shared" si="504"/>
        <v>Homelander</v>
      </c>
      <c r="Y2445" s="57">
        <f>IF($X2445="","",IFERROR(VLOOKUP($X2445,'Char Popularity'!$A$2:$C$500,2,FALSE),""))</f>
        <v>5</v>
      </c>
      <c r="Z2445" s="56">
        <f>IF($X2445="",1,IFERROR(VLOOKUP($X2445,'Char Popularity'!$A$2:$C$500,3,FALSE),1))</f>
        <v>1.2</v>
      </c>
      <c r="AA2445" s="62">
        <f>IF($H2445&lt;&gt;"Y",0,(IF($F2445&lt;&gt;"",ROUND(Dashboard!$R$4/$F2445,1),IF(AND($I2445="Base",$E2445="Base"),Dashboard!$R$5,IF(AND($I2445="Base",$E2445="Red"),Dashboard!$R$6,IF(AND($I2445="Base",$E2445="Gold"),Dashboard!$R$7,VLOOKUP($I2445,Dashboard!$Q$16:$R$21,2,FALSE)))))*VLOOKUP($I2445,Dashboard!$Q$9:$R$13,2,FALSE)*IF(AND($I2445="Auto",$F2445="",OR($B2445="Autographs Duals",$B2445="Autographs Triples",$B2445="Autographs Quads",$B2445="Autographs Quads (Inscribed)")),IF($B2445="Autographs Duals",2,IF($B2445="Autographs Triples",3,4)),1)))</f>
        <v>22.2</v>
      </c>
      <c r="AB2445" s="62">
        <f t="shared" si="505"/>
        <v>0</v>
      </c>
      <c r="AC2445" s="62">
        <f t="shared" si="506"/>
        <v>0</v>
      </c>
    </row>
    <row r="2446" spans="1:29" ht="28.7" customHeight="1" x14ac:dyDescent="0.25">
      <c r="A2446" s="4" t="s">
        <v>29</v>
      </c>
      <c r="B2446" s="7" t="s">
        <v>122</v>
      </c>
      <c r="C2446" s="2" t="s">
        <v>453</v>
      </c>
      <c r="D2446" s="7" t="s">
        <v>230</v>
      </c>
      <c r="E2446" s="4" t="s">
        <v>60</v>
      </c>
      <c r="F2446" s="2">
        <v>90</v>
      </c>
      <c r="G2446" s="2" t="s">
        <v>1399</v>
      </c>
      <c r="H2446" s="2" t="s">
        <v>1400</v>
      </c>
      <c r="I2446" s="4" t="s">
        <v>68</v>
      </c>
      <c r="J2446" s="112">
        <f>IF($H2446&lt;&gt;"Y",0,ROUND(MIN(Dashboard!$R$24,IF(IFERROR(VLOOKUP($B2446,Dashboard!$Q$28:$S$60,2,FALSE),0)&gt;0,IFERROR(VLOOKUP($B2446,Dashboard!$Q$28:$S$60,2,FALSE),0),$Z2446*IF($U2446&lt;&gt;"",ROUND((Dashboard!$R$4/$U2446)*VLOOKUP($I2446,Dashboard!$Q$9:$R$13,2,FALSE)*IF(ISNUMBER(SEARCH("Duals",$B2446)),2,IF(ISNUMBER(SEARCH("Triples",$B2446)),3,IF(ISNUMBER(SEARCH("Quads",$B2446)),4,1))),2),ROUND(VLOOKUP($I2446,Dashboard!$Q$15:$R$20,2,FALSE)*IF($E2446="Red",Dashboard!$R$6,IF($E2446="Gold",Dashboard!$R$7,Dashboard!$R$5))*IF(ISNUMBER(SEARCH("Duals",$B2446)),2,IF(ISNUMBER(SEARCH("Triples",$B2446)),3,IF(ISNUMBER(SEARCH("Quads",$B2446)),4,1))),2))*IF(IFERROR(VLOOKUP($B2446,Dashboard!$Q$28:$S$60,3,FALSE),0)&gt;0,VLOOKUP($B2446,Dashboard!$Q$28:$S$60,3,FALSE),1))),0))</f>
        <v>24</v>
      </c>
      <c r="K2446" s="2" t="str">
        <f>IF(Retro!E7="","",Retro!E7)</f>
        <v/>
      </c>
      <c r="L2446" s="2">
        <f t="shared" si="494"/>
        <v>0</v>
      </c>
      <c r="M2446" s="2">
        <f t="shared" si="495"/>
        <v>0</v>
      </c>
      <c r="N2446" s="2">
        <f t="shared" si="496"/>
        <v>0</v>
      </c>
      <c r="O2446" s="2">
        <f t="shared" si="497"/>
        <v>1</v>
      </c>
      <c r="P2446" s="112">
        <f t="shared" si="498"/>
        <v>0</v>
      </c>
      <c r="Q2446" s="112">
        <f t="shared" si="499"/>
        <v>0</v>
      </c>
      <c r="R2446" s="53"/>
      <c r="S2446" s="53" t="str">
        <f t="shared" si="500"/>
        <v>Retro|Retro Auto Parallel|R-6|Base</v>
      </c>
      <c r="T2446" s="57" t="str">
        <f>IF($S2446="","",IFERROR(VLOOKUP($S2446,'Pop Estimates (Non-#d)'!$N$2:$O$500,2,FALSE),""))</f>
        <v/>
      </c>
      <c r="U2446" s="57">
        <f t="shared" si="501"/>
        <v>90</v>
      </c>
      <c r="V2446" s="53" t="str">
        <f t="shared" si="502"/>
        <v>The Deep</v>
      </c>
      <c r="W2446" s="53" t="str">
        <f t="shared" si="503"/>
        <v>The Deep</v>
      </c>
      <c r="X2446" s="53" t="str">
        <f t="shared" si="504"/>
        <v>The Deep</v>
      </c>
      <c r="Y2446" s="57">
        <f>IF($X2446="","",IFERROR(VLOOKUP($X2446,'Char Popularity'!$A$2:$C$500,2,FALSE),""))</f>
        <v>4</v>
      </c>
      <c r="Z2446" s="56">
        <f>IF($X2446="",1,IFERROR(VLOOKUP($X2446,'Char Popularity'!$A$2:$C$500,3,FALSE),1))</f>
        <v>1.1000000000000001</v>
      </c>
      <c r="AA2446" s="62">
        <f>IF($H2446&lt;&gt;"Y",0,(IF($F2446&lt;&gt;"",ROUND(Dashboard!$R$4/$F2446,1),IF(AND($I2446="Base",$E2446="Base"),Dashboard!$R$5,IF(AND($I2446="Base",$E2446="Red"),Dashboard!$R$6,IF(AND($I2446="Base",$E2446="Gold"),Dashboard!$R$7,VLOOKUP($I2446,Dashboard!$Q$16:$R$21,2,FALSE)))))*VLOOKUP($I2446,Dashboard!$Q$9:$R$13,2,FALSE)*IF(AND($I2446="Auto",$F2446="",OR($B2446="Autographs Duals",$B2446="Autographs Triples",$B2446="Autographs Quads",$B2446="Autographs Quads (Inscribed)")),IF($B2446="Autographs Duals",2,IF($B2446="Autographs Triples",3,4)),1)))</f>
        <v>22.2</v>
      </c>
      <c r="AB2446" s="62">
        <f t="shared" si="505"/>
        <v>0</v>
      </c>
      <c r="AC2446" s="62">
        <f t="shared" si="506"/>
        <v>0</v>
      </c>
    </row>
    <row r="2447" spans="1:29" ht="28.7" customHeight="1" x14ac:dyDescent="0.25">
      <c r="A2447" s="4" t="s">
        <v>29</v>
      </c>
      <c r="B2447" s="7" t="s">
        <v>122</v>
      </c>
      <c r="C2447" s="2" t="s">
        <v>455</v>
      </c>
      <c r="D2447" s="7" t="s">
        <v>238</v>
      </c>
      <c r="E2447" s="4" t="s">
        <v>60</v>
      </c>
      <c r="F2447" s="2">
        <v>90</v>
      </c>
      <c r="G2447" s="2" t="s">
        <v>1399</v>
      </c>
      <c r="H2447" s="2" t="s">
        <v>1400</v>
      </c>
      <c r="I2447" s="4" t="s">
        <v>68</v>
      </c>
      <c r="J2447" s="112">
        <f>IF($H2447&lt;&gt;"Y",0,ROUND(MIN(Dashboard!$R$24,IF(IFERROR(VLOOKUP($B2447,Dashboard!$Q$28:$S$60,2,FALSE),0)&gt;0,IFERROR(VLOOKUP($B2447,Dashboard!$Q$28:$S$60,2,FALSE),0),$Z2447*IF($U2447&lt;&gt;"",ROUND((Dashboard!$R$4/$U2447)*VLOOKUP($I2447,Dashboard!$Q$9:$R$13,2,FALSE)*IF(ISNUMBER(SEARCH("Duals",$B2447)),2,IF(ISNUMBER(SEARCH("Triples",$B2447)),3,IF(ISNUMBER(SEARCH("Quads",$B2447)),4,1))),2),ROUND(VLOOKUP($I2447,Dashboard!$Q$15:$R$20,2,FALSE)*IF($E2447="Red",Dashboard!$R$6,IF($E2447="Gold",Dashboard!$R$7,Dashboard!$R$5))*IF(ISNUMBER(SEARCH("Duals",$B2447)),2,IF(ISNUMBER(SEARCH("Triples",$B2447)),3,IF(ISNUMBER(SEARCH("Quads",$B2447)),4,1))),2))*IF(IFERROR(VLOOKUP($B2447,Dashboard!$Q$28:$S$60,3,FALSE),0)&gt;0,VLOOKUP($B2447,Dashboard!$Q$28:$S$60,3,FALSE),1))),0))</f>
        <v>24</v>
      </c>
      <c r="K2447" s="2" t="str">
        <f>IF(Retro!E8="","",Retro!E8)</f>
        <v>V 69/90</v>
      </c>
      <c r="L2447" s="2">
        <f t="shared" si="494"/>
        <v>1</v>
      </c>
      <c r="M2447" s="2">
        <f t="shared" si="495"/>
        <v>0</v>
      </c>
      <c r="N2447" s="2">
        <f t="shared" si="496"/>
        <v>1</v>
      </c>
      <c r="O2447" s="2">
        <f t="shared" si="497"/>
        <v>0</v>
      </c>
      <c r="P2447" s="112">
        <f t="shared" si="498"/>
        <v>24</v>
      </c>
      <c r="Q2447" s="112">
        <f t="shared" si="499"/>
        <v>0</v>
      </c>
      <c r="R2447" s="53"/>
      <c r="S2447" s="53" t="str">
        <f t="shared" si="500"/>
        <v>Retro|Retro Auto Parallel|R-7|Base</v>
      </c>
      <c r="T2447" s="57" t="str">
        <f>IF($S2447="","",IFERROR(VLOOKUP($S2447,'Pop Estimates (Non-#d)'!$N$2:$O$500,2,FALSE),""))</f>
        <v/>
      </c>
      <c r="U2447" s="57">
        <f t="shared" si="501"/>
        <v>90</v>
      </c>
      <c r="V2447" s="53" t="str">
        <f t="shared" si="502"/>
        <v>Frenchie</v>
      </c>
      <c r="W2447" s="53" t="str">
        <f t="shared" si="503"/>
        <v>Frenchie</v>
      </c>
      <c r="X2447" s="53" t="str">
        <f t="shared" si="504"/>
        <v>Frenchie</v>
      </c>
      <c r="Y2447" s="57">
        <f>IF($X2447="","",IFERROR(VLOOKUP($X2447,'Char Popularity'!$A$2:$C$500,2,FALSE),""))</f>
        <v>4</v>
      </c>
      <c r="Z2447" s="56">
        <f>IF($X2447="",1,IFERROR(VLOOKUP($X2447,'Char Popularity'!$A$2:$C$500,3,FALSE),1))</f>
        <v>1.1000000000000001</v>
      </c>
      <c r="AA2447" s="62">
        <f>IF($H2447&lt;&gt;"Y",0,(IF($F2447&lt;&gt;"",ROUND(Dashboard!$R$4/$F2447,1),IF(AND($I2447="Base",$E2447="Base"),Dashboard!$R$5,IF(AND($I2447="Base",$E2447="Red"),Dashboard!$R$6,IF(AND($I2447="Base",$E2447="Gold"),Dashboard!$R$7,VLOOKUP($I2447,Dashboard!$Q$16:$R$21,2,FALSE)))))*VLOOKUP($I2447,Dashboard!$Q$9:$R$13,2,FALSE)*IF(AND($I2447="Auto",$F2447="",OR($B2447="Autographs Duals",$B2447="Autographs Triples",$B2447="Autographs Quads",$B2447="Autographs Quads (Inscribed)")),IF($B2447="Autographs Duals",2,IF($B2447="Autographs Triples",3,4)),1)))</f>
        <v>22.2</v>
      </c>
      <c r="AB2447" s="62">
        <f t="shared" si="505"/>
        <v>22.2</v>
      </c>
      <c r="AC2447" s="62">
        <f t="shared" si="506"/>
        <v>0</v>
      </c>
    </row>
    <row r="2448" spans="1:29" ht="28.7" customHeight="1" x14ac:dyDescent="0.25">
      <c r="A2448" s="4" t="s">
        <v>29</v>
      </c>
      <c r="B2448" s="7" t="s">
        <v>122</v>
      </c>
      <c r="C2448" s="2" t="s">
        <v>456</v>
      </c>
      <c r="D2448" s="7" t="s">
        <v>270</v>
      </c>
      <c r="E2448" s="4" t="s">
        <v>60</v>
      </c>
      <c r="F2448" s="2">
        <v>90</v>
      </c>
      <c r="G2448" s="2" t="s">
        <v>1399</v>
      </c>
      <c r="H2448" s="2" t="s">
        <v>1400</v>
      </c>
      <c r="I2448" s="4" t="s">
        <v>68</v>
      </c>
      <c r="J2448" s="112">
        <f>IF($H2448&lt;&gt;"Y",0,ROUND(MIN(Dashboard!$R$24,IF(IFERROR(VLOOKUP($B2448,Dashboard!$Q$28:$S$60,2,FALSE),0)&gt;0,IFERROR(VLOOKUP($B2448,Dashboard!$Q$28:$S$60,2,FALSE),0),$Z2448*IF($U2448&lt;&gt;"",ROUND((Dashboard!$R$4/$U2448)*VLOOKUP($I2448,Dashboard!$Q$9:$R$13,2,FALSE)*IF(ISNUMBER(SEARCH("Duals",$B2448)),2,IF(ISNUMBER(SEARCH("Triples",$B2448)),3,IF(ISNUMBER(SEARCH("Quads",$B2448)),4,1))),2),ROUND(VLOOKUP($I2448,Dashboard!$Q$15:$R$20,2,FALSE)*IF($E2448="Red",Dashboard!$R$6,IF($E2448="Gold",Dashboard!$R$7,Dashboard!$R$5))*IF(ISNUMBER(SEARCH("Duals",$B2448)),2,IF(ISNUMBER(SEARCH("Triples",$B2448)),3,IF(ISNUMBER(SEARCH("Quads",$B2448)),4,1))),2))*IF(IFERROR(VLOOKUP($B2448,Dashboard!$Q$28:$S$60,3,FALSE),0)&gt;0,VLOOKUP($B2448,Dashboard!$Q$28:$S$60,3,FALSE),1))),0))</f>
        <v>24</v>
      </c>
      <c r="K2448" s="2" t="str">
        <f>IF(Retro!E9="","",Retro!E9)</f>
        <v/>
      </c>
      <c r="L2448" s="2">
        <f t="shared" si="494"/>
        <v>0</v>
      </c>
      <c r="M2448" s="2">
        <f t="shared" si="495"/>
        <v>0</v>
      </c>
      <c r="N2448" s="2">
        <f t="shared" si="496"/>
        <v>0</v>
      </c>
      <c r="O2448" s="2">
        <f t="shared" si="497"/>
        <v>1</v>
      </c>
      <c r="P2448" s="112">
        <f t="shared" si="498"/>
        <v>0</v>
      </c>
      <c r="Q2448" s="112">
        <f t="shared" si="499"/>
        <v>0</v>
      </c>
      <c r="R2448" s="53"/>
      <c r="S2448" s="53" t="str">
        <f t="shared" si="500"/>
        <v>Retro|Retro Auto Parallel|R-8|Base</v>
      </c>
      <c r="T2448" s="57" t="str">
        <f>IF($S2448="","",IFERROR(VLOOKUP($S2448,'Pop Estimates (Non-#d)'!$N$2:$O$500,2,FALSE),""))</f>
        <v/>
      </c>
      <c r="U2448" s="57">
        <f t="shared" si="501"/>
        <v>90</v>
      </c>
      <c r="V2448" s="53" t="str">
        <f t="shared" si="502"/>
        <v>Kimiko</v>
      </c>
      <c r="W2448" s="53" t="str">
        <f t="shared" si="503"/>
        <v>Kimiko</v>
      </c>
      <c r="X2448" s="53" t="str">
        <f t="shared" si="504"/>
        <v>Kimiko</v>
      </c>
      <c r="Y2448" s="57">
        <f>IF($X2448="","",IFERROR(VLOOKUP($X2448,'Char Popularity'!$A$2:$C$500,2,FALSE),""))</f>
        <v>4</v>
      </c>
      <c r="Z2448" s="56">
        <f>IF($X2448="",1,IFERROR(VLOOKUP($X2448,'Char Popularity'!$A$2:$C$500,3,FALSE),1))</f>
        <v>1.1000000000000001</v>
      </c>
      <c r="AA2448" s="62">
        <f>IF($H2448&lt;&gt;"Y",0,(IF($F2448&lt;&gt;"",ROUND(Dashboard!$R$4/$F2448,1),IF(AND($I2448="Base",$E2448="Base"),Dashboard!$R$5,IF(AND($I2448="Base",$E2448="Red"),Dashboard!$R$6,IF(AND($I2448="Base",$E2448="Gold"),Dashboard!$R$7,VLOOKUP($I2448,Dashboard!$Q$16:$R$21,2,FALSE)))))*VLOOKUP($I2448,Dashboard!$Q$9:$R$13,2,FALSE)*IF(AND($I2448="Auto",$F2448="",OR($B2448="Autographs Duals",$B2448="Autographs Triples",$B2448="Autographs Quads",$B2448="Autographs Quads (Inscribed)")),IF($B2448="Autographs Duals",2,IF($B2448="Autographs Triples",3,4)),1)))</f>
        <v>22.2</v>
      </c>
      <c r="AB2448" s="62">
        <f t="shared" si="505"/>
        <v>0</v>
      </c>
      <c r="AC2448" s="62">
        <f t="shared" si="506"/>
        <v>0</v>
      </c>
    </row>
    <row r="2449" spans="1:29" ht="28.7" customHeight="1" x14ac:dyDescent="0.25">
      <c r="A2449" s="4" t="s">
        <v>29</v>
      </c>
      <c r="B2449" s="7" t="s">
        <v>122</v>
      </c>
      <c r="C2449" s="2" t="s">
        <v>457</v>
      </c>
      <c r="D2449" s="7" t="s">
        <v>224</v>
      </c>
      <c r="E2449" s="4" t="s">
        <v>60</v>
      </c>
      <c r="F2449" s="2">
        <v>90</v>
      </c>
      <c r="G2449" s="2" t="s">
        <v>1399</v>
      </c>
      <c r="H2449" s="2" t="s">
        <v>1400</v>
      </c>
      <c r="I2449" s="4" t="s">
        <v>68</v>
      </c>
      <c r="J2449" s="112">
        <f>IF($H2449&lt;&gt;"Y",0,ROUND(MIN(Dashboard!$R$24,IF(IFERROR(VLOOKUP($B2449,Dashboard!$Q$28:$S$60,2,FALSE),0)&gt;0,IFERROR(VLOOKUP($B2449,Dashboard!$Q$28:$S$60,2,FALSE),0),$Z2449*IF($U2449&lt;&gt;"",ROUND((Dashboard!$R$4/$U2449)*VLOOKUP($I2449,Dashboard!$Q$9:$R$13,2,FALSE)*IF(ISNUMBER(SEARCH("Duals",$B2449)),2,IF(ISNUMBER(SEARCH("Triples",$B2449)),3,IF(ISNUMBER(SEARCH("Quads",$B2449)),4,1))),2),ROUND(VLOOKUP($I2449,Dashboard!$Q$15:$R$20,2,FALSE)*IF($E2449="Red",Dashboard!$R$6,IF($E2449="Gold",Dashboard!$R$7,Dashboard!$R$5))*IF(ISNUMBER(SEARCH("Duals",$B2449)),2,IF(ISNUMBER(SEARCH("Triples",$B2449)),3,IF(ISNUMBER(SEARCH("Quads",$B2449)),4,1))),2))*IF(IFERROR(VLOOKUP($B2449,Dashboard!$Q$28:$S$60,3,FALSE),0)&gt;0,VLOOKUP($B2449,Dashboard!$Q$28:$S$60,3,FALSE),1))),0))</f>
        <v>20</v>
      </c>
      <c r="K2449" s="2" t="str">
        <f>IF(Retro!E10="","",Retro!E10)</f>
        <v>C 84/90</v>
      </c>
      <c r="L2449" s="2">
        <f t="shared" si="494"/>
        <v>1</v>
      </c>
      <c r="M2449" s="2">
        <f t="shared" si="495"/>
        <v>0</v>
      </c>
      <c r="N2449" s="2">
        <f t="shared" si="496"/>
        <v>1</v>
      </c>
      <c r="O2449" s="2">
        <f t="shared" si="497"/>
        <v>0</v>
      </c>
      <c r="P2449" s="112">
        <f t="shared" si="498"/>
        <v>20</v>
      </c>
      <c r="Q2449" s="112">
        <f t="shared" si="499"/>
        <v>0</v>
      </c>
      <c r="R2449" s="53"/>
      <c r="S2449" s="53" t="str">
        <f t="shared" si="500"/>
        <v>Retro|Retro Auto Parallel|R-9|Base</v>
      </c>
      <c r="T2449" s="57" t="str">
        <f>IF($S2449="","",IFERROR(VLOOKUP($S2449,'Pop Estimates (Non-#d)'!$N$2:$O$500,2,FALSE),""))</f>
        <v/>
      </c>
      <c r="U2449" s="57">
        <f t="shared" si="501"/>
        <v>90</v>
      </c>
      <c r="V2449" s="53" t="str">
        <f t="shared" si="502"/>
        <v>Popclaw</v>
      </c>
      <c r="W2449" s="53" t="str">
        <f t="shared" si="503"/>
        <v>Popclaw</v>
      </c>
      <c r="X2449" s="53" t="str">
        <f t="shared" si="504"/>
        <v>Popclaw</v>
      </c>
      <c r="Y2449" s="57">
        <f>IF($X2449="","",IFERROR(VLOOKUP($X2449,'Char Popularity'!$A$2:$C$500,2,FALSE),""))</f>
        <v>2</v>
      </c>
      <c r="Z2449" s="56">
        <f>IF($X2449="",1,IFERROR(VLOOKUP($X2449,'Char Popularity'!$A$2:$C$500,3,FALSE),1))</f>
        <v>0.9</v>
      </c>
      <c r="AA2449" s="62">
        <f>IF($H2449&lt;&gt;"Y",0,(IF($F2449&lt;&gt;"",ROUND(Dashboard!$R$4/$F2449,1),IF(AND($I2449="Base",$E2449="Base"),Dashboard!$R$5,IF(AND($I2449="Base",$E2449="Red"),Dashboard!$R$6,IF(AND($I2449="Base",$E2449="Gold"),Dashboard!$R$7,VLOOKUP($I2449,Dashboard!$Q$16:$R$21,2,FALSE)))))*VLOOKUP($I2449,Dashboard!$Q$9:$R$13,2,FALSE)*IF(AND($I2449="Auto",$F2449="",OR($B2449="Autographs Duals",$B2449="Autographs Triples",$B2449="Autographs Quads",$B2449="Autographs Quads (Inscribed)")),IF($B2449="Autographs Duals",2,IF($B2449="Autographs Triples",3,4)),1)))</f>
        <v>22.2</v>
      </c>
      <c r="AB2449" s="62">
        <f t="shared" si="505"/>
        <v>22.2</v>
      </c>
      <c r="AC2449" s="62">
        <f t="shared" si="506"/>
        <v>0</v>
      </c>
    </row>
    <row r="2450" spans="1:29" ht="28.7" customHeight="1" x14ac:dyDescent="0.25">
      <c r="A2450" s="4" t="s">
        <v>29</v>
      </c>
      <c r="B2450" s="7" t="s">
        <v>122</v>
      </c>
      <c r="C2450" s="2" t="s">
        <v>440</v>
      </c>
      <c r="D2450" s="7" t="s">
        <v>301</v>
      </c>
      <c r="E2450" s="4" t="s">
        <v>60</v>
      </c>
      <c r="F2450" s="2">
        <v>90</v>
      </c>
      <c r="G2450" s="2" t="s">
        <v>1399</v>
      </c>
      <c r="H2450" s="2" t="s">
        <v>1400</v>
      </c>
      <c r="I2450" s="4" t="s">
        <v>68</v>
      </c>
      <c r="J2450" s="112">
        <f>IF($H2450&lt;&gt;"Y",0,ROUND(MIN(Dashboard!$R$24,IF(IFERROR(VLOOKUP($B2450,Dashboard!$Q$28:$S$60,2,FALSE),0)&gt;0,IFERROR(VLOOKUP($B2450,Dashboard!$Q$28:$S$60,2,FALSE),0),$Z2450*IF($U2450&lt;&gt;"",ROUND((Dashboard!$R$4/$U2450)*VLOOKUP($I2450,Dashboard!$Q$9:$R$13,2,FALSE)*IF(ISNUMBER(SEARCH("Duals",$B2450)),2,IF(ISNUMBER(SEARCH("Triples",$B2450)),3,IF(ISNUMBER(SEARCH("Quads",$B2450)),4,1))),2),ROUND(VLOOKUP($I2450,Dashboard!$Q$15:$R$20,2,FALSE)*IF($E2450="Red",Dashboard!$R$6,IF($E2450="Gold",Dashboard!$R$7,Dashboard!$R$5))*IF(ISNUMBER(SEARCH("Duals",$B2450)),2,IF(ISNUMBER(SEARCH("Triples",$B2450)),3,IF(ISNUMBER(SEARCH("Quads",$B2450)),4,1))),2))*IF(IFERROR(VLOOKUP($B2450,Dashboard!$Q$28:$S$60,3,FALSE),0)&gt;0,VLOOKUP($B2450,Dashboard!$Q$28:$S$60,3,FALSE),1))),0))</f>
        <v>20</v>
      </c>
      <c r="K2450" s="2" t="str">
        <f>IF(Retro!E11="","",Retro!E11)</f>
        <v>V 25/90</v>
      </c>
      <c r="L2450" s="2">
        <f t="shared" si="494"/>
        <v>1</v>
      </c>
      <c r="M2450" s="2">
        <f t="shared" si="495"/>
        <v>0</v>
      </c>
      <c r="N2450" s="2">
        <f t="shared" si="496"/>
        <v>1</v>
      </c>
      <c r="O2450" s="2">
        <f t="shared" si="497"/>
        <v>0</v>
      </c>
      <c r="P2450" s="112">
        <f t="shared" si="498"/>
        <v>20</v>
      </c>
      <c r="Q2450" s="112">
        <f t="shared" si="499"/>
        <v>0</v>
      </c>
      <c r="R2450" s="53"/>
      <c r="S2450" s="53" t="str">
        <f t="shared" si="500"/>
        <v>Retro|Retro Auto Parallel|R-10|Base</v>
      </c>
      <c r="T2450" s="57" t="str">
        <f>IF($S2450="","",IFERROR(VLOOKUP($S2450,'Pop Estimates (Non-#d)'!$N$2:$O$500,2,FALSE),""))</f>
        <v/>
      </c>
      <c r="U2450" s="57">
        <f t="shared" si="501"/>
        <v>90</v>
      </c>
      <c r="V2450" s="53" t="str">
        <f t="shared" si="502"/>
        <v>Lamplighter</v>
      </c>
      <c r="W2450" s="53" t="str">
        <f t="shared" si="503"/>
        <v>Lamplighter</v>
      </c>
      <c r="X2450" s="53" t="str">
        <f t="shared" si="504"/>
        <v>Lamplighter</v>
      </c>
      <c r="Y2450" s="57">
        <f>IF($X2450="","",IFERROR(VLOOKUP($X2450,'Char Popularity'!$A$2:$C$500,2,FALSE),""))</f>
        <v>2</v>
      </c>
      <c r="Z2450" s="56">
        <f>IF($X2450="",1,IFERROR(VLOOKUP($X2450,'Char Popularity'!$A$2:$C$500,3,FALSE),1))</f>
        <v>0.9</v>
      </c>
      <c r="AA2450" s="62">
        <f>IF($H2450&lt;&gt;"Y",0,(IF($F2450&lt;&gt;"",ROUND(Dashboard!$R$4/$F2450,1),IF(AND($I2450="Base",$E2450="Base"),Dashboard!$R$5,IF(AND($I2450="Base",$E2450="Red"),Dashboard!$R$6,IF(AND($I2450="Base",$E2450="Gold"),Dashboard!$R$7,VLOOKUP($I2450,Dashboard!$Q$16:$R$21,2,FALSE)))))*VLOOKUP($I2450,Dashboard!$Q$9:$R$13,2,FALSE)*IF(AND($I2450="Auto",$F2450="",OR($B2450="Autographs Duals",$B2450="Autographs Triples",$B2450="Autographs Quads",$B2450="Autographs Quads (Inscribed)")),IF($B2450="Autographs Duals",2,IF($B2450="Autographs Triples",3,4)),1)))</f>
        <v>22.2</v>
      </c>
      <c r="AB2450" s="62">
        <f t="shared" si="505"/>
        <v>22.2</v>
      </c>
      <c r="AC2450" s="62">
        <f t="shared" si="506"/>
        <v>0</v>
      </c>
    </row>
    <row r="2451" spans="1:29" ht="28.7" customHeight="1" x14ac:dyDescent="0.25">
      <c r="A2451" s="4" t="s">
        <v>29</v>
      </c>
      <c r="B2451" s="7" t="s">
        <v>122</v>
      </c>
      <c r="C2451" s="2" t="s">
        <v>442</v>
      </c>
      <c r="D2451" s="7" t="s">
        <v>276</v>
      </c>
      <c r="E2451" s="4" t="s">
        <v>60</v>
      </c>
      <c r="F2451" s="2">
        <v>90</v>
      </c>
      <c r="G2451" s="2" t="s">
        <v>1399</v>
      </c>
      <c r="H2451" s="2" t="s">
        <v>1400</v>
      </c>
      <c r="I2451" s="4" t="s">
        <v>68</v>
      </c>
      <c r="J2451" s="112">
        <f>IF($H2451&lt;&gt;"Y",0,ROUND(MIN(Dashboard!$R$24,IF(IFERROR(VLOOKUP($B2451,Dashboard!$Q$28:$S$60,2,FALSE),0)&gt;0,IFERROR(VLOOKUP($B2451,Dashboard!$Q$28:$S$60,2,FALSE),0),$Z2451*IF($U2451&lt;&gt;"",ROUND((Dashboard!$R$4/$U2451)*VLOOKUP($I2451,Dashboard!$Q$9:$R$13,2,FALSE)*IF(ISNUMBER(SEARCH("Duals",$B2451)),2,IF(ISNUMBER(SEARCH("Triples",$B2451)),3,IF(ISNUMBER(SEARCH("Quads",$B2451)),4,1))),2),ROUND(VLOOKUP($I2451,Dashboard!$Q$15:$R$20,2,FALSE)*IF($E2451="Red",Dashboard!$R$6,IF($E2451="Gold",Dashboard!$R$7,Dashboard!$R$5))*IF(ISNUMBER(SEARCH("Duals",$B2451)),2,IF(ISNUMBER(SEARCH("Triples",$B2451)),3,IF(ISNUMBER(SEARCH("Quads",$B2451)),4,1))),2))*IF(IFERROR(VLOOKUP($B2451,Dashboard!$Q$28:$S$60,3,FALSE),0)&gt;0,VLOOKUP($B2451,Dashboard!$Q$28:$S$60,3,FALSE),1))),0))</f>
        <v>24</v>
      </c>
      <c r="K2451" s="2" t="str">
        <f>IF(Retro!E12="","",Retro!E12)</f>
        <v>d 06/90</v>
      </c>
      <c r="L2451" s="2">
        <f t="shared" si="494"/>
        <v>1</v>
      </c>
      <c r="M2451" s="2">
        <f t="shared" si="495"/>
        <v>0</v>
      </c>
      <c r="N2451" s="2">
        <f t="shared" si="496"/>
        <v>1</v>
      </c>
      <c r="O2451" s="2">
        <f t="shared" si="497"/>
        <v>0</v>
      </c>
      <c r="P2451" s="112">
        <f t="shared" si="498"/>
        <v>24</v>
      </c>
      <c r="Q2451" s="112">
        <f t="shared" si="499"/>
        <v>0</v>
      </c>
      <c r="R2451" s="53"/>
      <c r="S2451" s="53" t="str">
        <f t="shared" si="500"/>
        <v>Retro|Retro Auto Parallel|R-11|Base</v>
      </c>
      <c r="T2451" s="57" t="str">
        <f>IF($S2451="","",IFERROR(VLOOKUP($S2451,'Pop Estimates (Non-#d)'!$N$2:$O$500,2,FALSE),""))</f>
        <v/>
      </c>
      <c r="U2451" s="57">
        <f t="shared" si="501"/>
        <v>90</v>
      </c>
      <c r="V2451" s="53" t="str">
        <f t="shared" si="502"/>
        <v>Mother's Milk</v>
      </c>
      <c r="W2451" s="53" t="str">
        <f t="shared" si="503"/>
        <v>Mother's Milk</v>
      </c>
      <c r="X2451" s="53" t="str">
        <f t="shared" si="504"/>
        <v>Mother's Milk</v>
      </c>
      <c r="Y2451" s="57">
        <f>IF($X2451="","",IFERROR(VLOOKUP($X2451,'Char Popularity'!$A$2:$C$500,2,FALSE),""))</f>
        <v>4</v>
      </c>
      <c r="Z2451" s="56">
        <f>IF($X2451="",1,IFERROR(VLOOKUP($X2451,'Char Popularity'!$A$2:$C$500,3,FALSE),1))</f>
        <v>1.1000000000000001</v>
      </c>
      <c r="AA2451" s="62">
        <f>IF($H2451&lt;&gt;"Y",0,(IF($F2451&lt;&gt;"",ROUND(Dashboard!$R$4/$F2451,1),IF(AND($I2451="Base",$E2451="Base"),Dashboard!$R$5,IF(AND($I2451="Base",$E2451="Red"),Dashboard!$R$6,IF(AND($I2451="Base",$E2451="Gold"),Dashboard!$R$7,VLOOKUP($I2451,Dashboard!$Q$16:$R$21,2,FALSE)))))*VLOOKUP($I2451,Dashboard!$Q$9:$R$13,2,FALSE)*IF(AND($I2451="Auto",$F2451="",OR($B2451="Autographs Duals",$B2451="Autographs Triples",$B2451="Autographs Quads",$B2451="Autographs Quads (Inscribed)")),IF($B2451="Autographs Duals",2,IF($B2451="Autographs Triples",3,4)),1)))</f>
        <v>22.2</v>
      </c>
      <c r="AB2451" s="62">
        <f t="shared" si="505"/>
        <v>22.2</v>
      </c>
      <c r="AC2451" s="62">
        <f t="shared" si="506"/>
        <v>0</v>
      </c>
    </row>
    <row r="2452" spans="1:29" ht="28.7" customHeight="1" x14ac:dyDescent="0.25">
      <c r="A2452" s="4" t="s">
        <v>29</v>
      </c>
      <c r="B2452" s="7" t="s">
        <v>122</v>
      </c>
      <c r="C2452" s="2" t="s">
        <v>443</v>
      </c>
      <c r="D2452" s="7" t="s">
        <v>250</v>
      </c>
      <c r="E2452" s="4" t="s">
        <v>60</v>
      </c>
      <c r="F2452" s="2">
        <v>90</v>
      </c>
      <c r="G2452" s="2" t="s">
        <v>1399</v>
      </c>
      <c r="H2452" s="2" t="s">
        <v>1400</v>
      </c>
      <c r="I2452" s="4" t="s">
        <v>68</v>
      </c>
      <c r="J2452" s="112">
        <f>IF($H2452&lt;&gt;"Y",0,ROUND(MIN(Dashboard!$R$24,IF(IFERROR(VLOOKUP($B2452,Dashboard!$Q$28:$S$60,2,FALSE),0)&gt;0,IFERROR(VLOOKUP($B2452,Dashboard!$Q$28:$S$60,2,FALSE),0),$Z2452*IF($U2452&lt;&gt;"",ROUND((Dashboard!$R$4/$U2452)*VLOOKUP($I2452,Dashboard!$Q$9:$R$13,2,FALSE)*IF(ISNUMBER(SEARCH("Duals",$B2452)),2,IF(ISNUMBER(SEARCH("Triples",$B2452)),3,IF(ISNUMBER(SEARCH("Quads",$B2452)),4,1))),2),ROUND(VLOOKUP($I2452,Dashboard!$Q$15:$R$20,2,FALSE)*IF($E2452="Red",Dashboard!$R$6,IF($E2452="Gold",Dashboard!$R$7,Dashboard!$R$5))*IF(ISNUMBER(SEARCH("Duals",$B2452)),2,IF(ISNUMBER(SEARCH("Triples",$B2452)),3,IF(ISNUMBER(SEARCH("Quads",$B2452)),4,1))),2))*IF(IFERROR(VLOOKUP($B2452,Dashboard!$Q$28:$S$60,3,FALSE),0)&gt;0,VLOOKUP($B2452,Dashboard!$Q$28:$S$60,3,FALSE),1))),0))</f>
        <v>22</v>
      </c>
      <c r="K2452" s="2" t="str">
        <f>IF(Retro!E13="","",Retro!E13)</f>
        <v/>
      </c>
      <c r="L2452" s="2">
        <f t="shared" si="494"/>
        <v>0</v>
      </c>
      <c r="M2452" s="2">
        <f t="shared" si="495"/>
        <v>0</v>
      </c>
      <c r="N2452" s="2">
        <f t="shared" si="496"/>
        <v>0</v>
      </c>
      <c r="O2452" s="2">
        <f t="shared" si="497"/>
        <v>1</v>
      </c>
      <c r="P2452" s="112">
        <f t="shared" si="498"/>
        <v>0</v>
      </c>
      <c r="Q2452" s="112">
        <f t="shared" si="499"/>
        <v>0</v>
      </c>
      <c r="R2452" s="53"/>
      <c r="S2452" s="53" t="str">
        <f t="shared" si="500"/>
        <v>Retro|Retro Auto Parallel|R-12|Base</v>
      </c>
      <c r="T2452" s="57" t="str">
        <f>IF($S2452="","",IFERROR(VLOOKUP($S2452,'Pop Estimates (Non-#d)'!$N$2:$O$500,2,FALSE),""))</f>
        <v/>
      </c>
      <c r="U2452" s="57">
        <f t="shared" si="501"/>
        <v>90</v>
      </c>
      <c r="V2452" s="53" t="str">
        <f t="shared" si="502"/>
        <v>Madelyn Stillwell</v>
      </c>
      <c r="W2452" s="53" t="str">
        <f t="shared" si="503"/>
        <v>Madelyn Stillwell</v>
      </c>
      <c r="X2452" s="53" t="str">
        <f t="shared" si="504"/>
        <v>Madelyn Stillwell</v>
      </c>
      <c r="Y2452" s="57">
        <f>IF($X2452="","",IFERROR(VLOOKUP($X2452,'Char Popularity'!$A$2:$C$500,2,FALSE),""))</f>
        <v>3</v>
      </c>
      <c r="Z2452" s="56">
        <f>IF($X2452="",1,IFERROR(VLOOKUP($X2452,'Char Popularity'!$A$2:$C$500,3,FALSE),1))</f>
        <v>1</v>
      </c>
      <c r="AA2452" s="62">
        <f>IF($H2452&lt;&gt;"Y",0,(IF($F2452&lt;&gt;"",ROUND(Dashboard!$R$4/$F2452,1),IF(AND($I2452="Base",$E2452="Base"),Dashboard!$R$5,IF(AND($I2452="Base",$E2452="Red"),Dashboard!$R$6,IF(AND($I2452="Base",$E2452="Gold"),Dashboard!$R$7,VLOOKUP($I2452,Dashboard!$Q$16:$R$21,2,FALSE)))))*VLOOKUP($I2452,Dashboard!$Q$9:$R$13,2,FALSE)*IF(AND($I2452="Auto",$F2452="",OR($B2452="Autographs Duals",$B2452="Autographs Triples",$B2452="Autographs Quads",$B2452="Autographs Quads (Inscribed)")),IF($B2452="Autographs Duals",2,IF($B2452="Autographs Triples",3,4)),1)))</f>
        <v>22.2</v>
      </c>
      <c r="AB2452" s="62">
        <f t="shared" si="505"/>
        <v>0</v>
      </c>
      <c r="AC2452" s="62">
        <f t="shared" si="506"/>
        <v>0</v>
      </c>
    </row>
    <row r="2453" spans="1:29" ht="28.7" customHeight="1" x14ac:dyDescent="0.25">
      <c r="A2453" s="4" t="s">
        <v>29</v>
      </c>
      <c r="B2453" s="7" t="s">
        <v>122</v>
      </c>
      <c r="C2453" s="2" t="s">
        <v>445</v>
      </c>
      <c r="D2453" s="7" t="s">
        <v>216</v>
      </c>
      <c r="E2453" s="4" t="s">
        <v>60</v>
      </c>
      <c r="F2453" s="2">
        <v>90</v>
      </c>
      <c r="G2453" s="2" t="s">
        <v>1399</v>
      </c>
      <c r="H2453" s="2" t="s">
        <v>1400</v>
      </c>
      <c r="I2453" s="4" t="s">
        <v>68</v>
      </c>
      <c r="J2453" s="112">
        <f>IF($H2453&lt;&gt;"Y",0,ROUND(MIN(Dashboard!$R$24,IF(IFERROR(VLOOKUP($B2453,Dashboard!$Q$28:$S$60,2,FALSE),0)&gt;0,IFERROR(VLOOKUP($B2453,Dashboard!$Q$28:$S$60,2,FALSE),0),$Z2453*IF($U2453&lt;&gt;"",ROUND((Dashboard!$R$4/$U2453)*VLOOKUP($I2453,Dashboard!$Q$9:$R$13,2,FALSE)*IF(ISNUMBER(SEARCH("Duals",$B2453)),2,IF(ISNUMBER(SEARCH("Triples",$B2453)),3,IF(ISNUMBER(SEARCH("Quads",$B2453)),4,1))),2),ROUND(VLOOKUP($I2453,Dashboard!$Q$15:$R$20,2,FALSE)*IF($E2453="Red",Dashboard!$R$6,IF($E2453="Gold",Dashboard!$R$7,Dashboard!$R$5))*IF(ISNUMBER(SEARCH("Duals",$B2453)),2,IF(ISNUMBER(SEARCH("Triples",$B2453)),3,IF(ISNUMBER(SEARCH("Quads",$B2453)),4,1))),2))*IF(IFERROR(VLOOKUP($B2453,Dashboard!$Q$28:$S$60,3,FALSE),0)&gt;0,VLOOKUP($B2453,Dashboard!$Q$28:$S$60,3,FALSE),1))),0))</f>
        <v>20</v>
      </c>
      <c r="K2453" s="2" t="str">
        <f>IF(Retro!E14="","",Retro!E14)</f>
        <v/>
      </c>
      <c r="L2453" s="2">
        <f t="shared" si="494"/>
        <v>0</v>
      </c>
      <c r="M2453" s="2">
        <f t="shared" si="495"/>
        <v>0</v>
      </c>
      <c r="N2453" s="2">
        <f t="shared" si="496"/>
        <v>0</v>
      </c>
      <c r="O2453" s="2">
        <f t="shared" si="497"/>
        <v>1</v>
      </c>
      <c r="P2453" s="112">
        <f t="shared" si="498"/>
        <v>0</v>
      </c>
      <c r="Q2453" s="112">
        <f t="shared" si="499"/>
        <v>0</v>
      </c>
      <c r="R2453" s="53"/>
      <c r="S2453" s="53" t="str">
        <f t="shared" si="500"/>
        <v>Retro|Retro Auto Parallel|R-13|Base</v>
      </c>
      <c r="T2453" s="57" t="str">
        <f>IF($S2453="","",IFERROR(VLOOKUP($S2453,'Pop Estimates (Non-#d)'!$N$2:$O$500,2,FALSE),""))</f>
        <v/>
      </c>
      <c r="U2453" s="57">
        <f t="shared" si="501"/>
        <v>90</v>
      </c>
      <c r="V2453" s="53" t="str">
        <f t="shared" si="502"/>
        <v>Translucent</v>
      </c>
      <c r="W2453" s="53" t="str">
        <f t="shared" si="503"/>
        <v>Translucent</v>
      </c>
      <c r="X2453" s="53" t="str">
        <f t="shared" si="504"/>
        <v>Translucent</v>
      </c>
      <c r="Y2453" s="57">
        <f>IF($X2453="","",IFERROR(VLOOKUP($X2453,'Char Popularity'!$A$2:$C$500,2,FALSE),""))</f>
        <v>2</v>
      </c>
      <c r="Z2453" s="56">
        <f>IF($X2453="",1,IFERROR(VLOOKUP($X2453,'Char Popularity'!$A$2:$C$500,3,FALSE),1))</f>
        <v>0.9</v>
      </c>
      <c r="AA2453" s="62">
        <f>IF($H2453&lt;&gt;"Y",0,(IF($F2453&lt;&gt;"",ROUND(Dashboard!$R$4/$F2453,1),IF(AND($I2453="Base",$E2453="Base"),Dashboard!$R$5,IF(AND($I2453="Base",$E2453="Red"),Dashboard!$R$6,IF(AND($I2453="Base",$E2453="Gold"),Dashboard!$R$7,VLOOKUP($I2453,Dashboard!$Q$16:$R$21,2,FALSE)))))*VLOOKUP($I2453,Dashboard!$Q$9:$R$13,2,FALSE)*IF(AND($I2453="Auto",$F2453="",OR($B2453="Autographs Duals",$B2453="Autographs Triples",$B2453="Autographs Quads",$B2453="Autographs Quads (Inscribed)")),IF($B2453="Autographs Duals",2,IF($B2453="Autographs Triples",3,4)),1)))</f>
        <v>22.2</v>
      </c>
      <c r="AB2453" s="62">
        <f t="shared" si="505"/>
        <v>0</v>
      </c>
      <c r="AC2453" s="62">
        <f t="shared" si="506"/>
        <v>0</v>
      </c>
    </row>
    <row r="2454" spans="1:29" ht="28.7" customHeight="1" x14ac:dyDescent="0.25">
      <c r="A2454" s="4" t="s">
        <v>29</v>
      </c>
      <c r="B2454" s="7" t="s">
        <v>122</v>
      </c>
      <c r="C2454" s="2" t="s">
        <v>447</v>
      </c>
      <c r="D2454" s="7" t="s">
        <v>244</v>
      </c>
      <c r="E2454" s="4" t="s">
        <v>60</v>
      </c>
      <c r="F2454" s="2">
        <v>90</v>
      </c>
      <c r="G2454" s="2" t="s">
        <v>1399</v>
      </c>
      <c r="H2454" s="2" t="s">
        <v>1400</v>
      </c>
      <c r="I2454" s="4" t="s">
        <v>68</v>
      </c>
      <c r="J2454" s="112">
        <f>IF($H2454&lt;&gt;"Y",0,ROUND(MIN(Dashboard!$R$24,IF(IFERROR(VLOOKUP($B2454,Dashboard!$Q$28:$S$60,2,FALSE),0)&gt;0,IFERROR(VLOOKUP($B2454,Dashboard!$Q$28:$S$60,2,FALSE),0),$Z2454*IF($U2454&lt;&gt;"",ROUND((Dashboard!$R$4/$U2454)*VLOOKUP($I2454,Dashboard!$Q$9:$R$13,2,FALSE)*IF(ISNUMBER(SEARCH("Duals",$B2454)),2,IF(ISNUMBER(SEARCH("Triples",$B2454)),3,IF(ISNUMBER(SEARCH("Quads",$B2454)),4,1))),2),ROUND(VLOOKUP($I2454,Dashboard!$Q$15:$R$20,2,FALSE)*IF($E2454="Red",Dashboard!$R$6,IF($E2454="Gold",Dashboard!$R$7,Dashboard!$R$5))*IF(ISNUMBER(SEARCH("Duals",$B2454)),2,IF(ISNUMBER(SEARCH("Triples",$B2454)),3,IF(ISNUMBER(SEARCH("Quads",$B2454)),4,1))),2))*IF(IFERROR(VLOOKUP($B2454,Dashboard!$Q$28:$S$60,3,FALSE),0)&gt;0,VLOOKUP($B2454,Dashboard!$Q$28:$S$60,3,FALSE),1))),0))</f>
        <v>24</v>
      </c>
      <c r="K2454" s="2" t="str">
        <f>IF(Retro!E15="","",Retro!E15)</f>
        <v/>
      </c>
      <c r="L2454" s="2">
        <f t="shared" si="494"/>
        <v>0</v>
      </c>
      <c r="M2454" s="2">
        <f t="shared" si="495"/>
        <v>0</v>
      </c>
      <c r="N2454" s="2">
        <f t="shared" si="496"/>
        <v>0</v>
      </c>
      <c r="O2454" s="2">
        <f t="shared" si="497"/>
        <v>1</v>
      </c>
      <c r="P2454" s="112">
        <f t="shared" si="498"/>
        <v>0</v>
      </c>
      <c r="Q2454" s="112">
        <f t="shared" si="499"/>
        <v>0</v>
      </c>
      <c r="R2454" s="53"/>
      <c r="S2454" s="53" t="str">
        <f t="shared" si="500"/>
        <v>Retro|Retro Auto Parallel|R-14|Base</v>
      </c>
      <c r="T2454" s="57" t="str">
        <f>IF($S2454="","",IFERROR(VLOOKUP($S2454,'Pop Estimates (Non-#d)'!$N$2:$O$500,2,FALSE),""))</f>
        <v/>
      </c>
      <c r="U2454" s="57">
        <f t="shared" si="501"/>
        <v>90</v>
      </c>
      <c r="V2454" s="53" t="str">
        <f t="shared" si="502"/>
        <v>Queen Maeve</v>
      </c>
      <c r="W2454" s="53" t="str">
        <f t="shared" si="503"/>
        <v>Queen Maeve</v>
      </c>
      <c r="X2454" s="53" t="str">
        <f t="shared" si="504"/>
        <v>Queen Maeve</v>
      </c>
      <c r="Y2454" s="57">
        <f>IF($X2454="","",IFERROR(VLOOKUP($X2454,'Char Popularity'!$A$2:$C$500,2,FALSE),""))</f>
        <v>4</v>
      </c>
      <c r="Z2454" s="56">
        <f>IF($X2454="",1,IFERROR(VLOOKUP($X2454,'Char Popularity'!$A$2:$C$500,3,FALSE),1))</f>
        <v>1.1000000000000001</v>
      </c>
      <c r="AA2454" s="62">
        <f>IF($H2454&lt;&gt;"Y",0,(IF($F2454&lt;&gt;"",ROUND(Dashboard!$R$4/$F2454,1),IF(AND($I2454="Base",$E2454="Base"),Dashboard!$R$5,IF(AND($I2454="Base",$E2454="Red"),Dashboard!$R$6,IF(AND($I2454="Base",$E2454="Gold"),Dashboard!$R$7,VLOOKUP($I2454,Dashboard!$Q$16:$R$21,2,FALSE)))))*VLOOKUP($I2454,Dashboard!$Q$9:$R$13,2,FALSE)*IF(AND($I2454="Auto",$F2454="",OR($B2454="Autographs Duals",$B2454="Autographs Triples",$B2454="Autographs Quads",$B2454="Autographs Quads (Inscribed)")),IF($B2454="Autographs Duals",2,IF($B2454="Autographs Triples",3,4)),1)))</f>
        <v>22.2</v>
      </c>
      <c r="AB2454" s="62">
        <f t="shared" si="505"/>
        <v>0</v>
      </c>
      <c r="AC2454" s="62">
        <f t="shared" si="506"/>
        <v>0</v>
      </c>
    </row>
    <row r="2455" spans="1:29" ht="28.7" customHeight="1" x14ac:dyDescent="0.25">
      <c r="A2455" s="4" t="s">
        <v>29</v>
      </c>
      <c r="B2455" s="7" t="s">
        <v>122</v>
      </c>
      <c r="C2455" s="2" t="s">
        <v>448</v>
      </c>
      <c r="D2455" s="7" t="s">
        <v>283</v>
      </c>
      <c r="E2455" s="4" t="s">
        <v>60</v>
      </c>
      <c r="F2455" s="2">
        <v>90</v>
      </c>
      <c r="G2455" s="2" t="s">
        <v>1399</v>
      </c>
      <c r="H2455" s="2" t="s">
        <v>1400</v>
      </c>
      <c r="I2455" s="4" t="s">
        <v>68</v>
      </c>
      <c r="J2455" s="112">
        <f>IF($H2455&lt;&gt;"Y",0,ROUND(MIN(Dashboard!$R$24,IF(IFERROR(VLOOKUP($B2455,Dashboard!$Q$28:$S$60,2,FALSE),0)&gt;0,IFERROR(VLOOKUP($B2455,Dashboard!$Q$28:$S$60,2,FALSE),0),$Z2455*IF($U2455&lt;&gt;"",ROUND((Dashboard!$R$4/$U2455)*VLOOKUP($I2455,Dashboard!$Q$9:$R$13,2,FALSE)*IF(ISNUMBER(SEARCH("Duals",$B2455)),2,IF(ISNUMBER(SEARCH("Triples",$B2455)),3,IF(ISNUMBER(SEARCH("Quads",$B2455)),4,1))),2),ROUND(VLOOKUP($I2455,Dashboard!$Q$15:$R$20,2,FALSE)*IF($E2455="Red",Dashboard!$R$6,IF($E2455="Gold",Dashboard!$R$7,Dashboard!$R$5))*IF(ISNUMBER(SEARCH("Duals",$B2455)),2,IF(ISNUMBER(SEARCH("Triples",$B2455)),3,IF(ISNUMBER(SEARCH("Quads",$B2455)),4,1))),2))*IF(IFERROR(VLOOKUP($B2455,Dashboard!$Q$28:$S$60,3,FALSE),0)&gt;0,VLOOKUP($B2455,Dashboard!$Q$28:$S$60,3,FALSE),1))),0))</f>
        <v>24</v>
      </c>
      <c r="K2455" s="2" t="str">
        <f>IF(Retro!E16="","",Retro!E16)</f>
        <v/>
      </c>
      <c r="L2455" s="2">
        <f t="shared" si="494"/>
        <v>0</v>
      </c>
      <c r="M2455" s="2">
        <f t="shared" si="495"/>
        <v>0</v>
      </c>
      <c r="N2455" s="2">
        <f t="shared" si="496"/>
        <v>0</v>
      </c>
      <c r="O2455" s="2">
        <f t="shared" si="497"/>
        <v>1</v>
      </c>
      <c r="P2455" s="112">
        <f t="shared" si="498"/>
        <v>0</v>
      </c>
      <c r="Q2455" s="112">
        <f t="shared" si="499"/>
        <v>0</v>
      </c>
      <c r="R2455" s="53"/>
      <c r="S2455" s="53" t="str">
        <f t="shared" si="500"/>
        <v>Retro|Retro Auto Parallel|R-15|Base</v>
      </c>
      <c r="T2455" s="57" t="str">
        <f>IF($S2455="","",IFERROR(VLOOKUP($S2455,'Pop Estimates (Non-#d)'!$N$2:$O$500,2,FALSE),""))</f>
        <v/>
      </c>
      <c r="U2455" s="57">
        <f t="shared" si="501"/>
        <v>90</v>
      </c>
      <c r="V2455" s="53" t="str">
        <f t="shared" si="502"/>
        <v>Black Noir</v>
      </c>
      <c r="W2455" s="53" t="str">
        <f t="shared" si="503"/>
        <v>Black Noir</v>
      </c>
      <c r="X2455" s="53" t="str">
        <f t="shared" si="504"/>
        <v>Black Noir</v>
      </c>
      <c r="Y2455" s="57">
        <f>IF($X2455="","",IFERROR(VLOOKUP($X2455,'Char Popularity'!$A$2:$C$500,2,FALSE),""))</f>
        <v>4</v>
      </c>
      <c r="Z2455" s="56">
        <f>IF($X2455="",1,IFERROR(VLOOKUP($X2455,'Char Popularity'!$A$2:$C$500,3,FALSE),1))</f>
        <v>1.1000000000000001</v>
      </c>
      <c r="AA2455" s="62">
        <f>IF($H2455&lt;&gt;"Y",0,(IF($F2455&lt;&gt;"",ROUND(Dashboard!$R$4/$F2455,1),IF(AND($I2455="Base",$E2455="Base"),Dashboard!$R$5,IF(AND($I2455="Base",$E2455="Red"),Dashboard!$R$6,IF(AND($I2455="Base",$E2455="Gold"),Dashboard!$R$7,VLOOKUP($I2455,Dashboard!$Q$16:$R$21,2,FALSE)))))*VLOOKUP($I2455,Dashboard!$Q$9:$R$13,2,FALSE)*IF(AND($I2455="Auto",$F2455="",OR($B2455="Autographs Duals",$B2455="Autographs Triples",$B2455="Autographs Quads",$B2455="Autographs Quads (Inscribed)")),IF($B2455="Autographs Duals",2,IF($B2455="Autographs Triples",3,4)),1)))</f>
        <v>22.2</v>
      </c>
      <c r="AB2455" s="62">
        <f t="shared" si="505"/>
        <v>0</v>
      </c>
      <c r="AC2455" s="62">
        <f t="shared" si="506"/>
        <v>0</v>
      </c>
    </row>
    <row r="2456" spans="1:29" ht="30" customHeight="1" x14ac:dyDescent="0.25">
      <c r="A2456" s="4" t="s">
        <v>39</v>
      </c>
      <c r="B2456" s="7" t="s">
        <v>141</v>
      </c>
      <c r="C2456" s="2" t="s">
        <v>186</v>
      </c>
      <c r="D2456" s="7" t="s">
        <v>187</v>
      </c>
      <c r="E2456" s="4" t="s">
        <v>60</v>
      </c>
      <c r="F2456" s="2"/>
      <c r="G2456" s="2" t="s">
        <v>1399</v>
      </c>
      <c r="H2456" s="2" t="s">
        <v>1400</v>
      </c>
      <c r="I2456" s="4" t="s">
        <v>68</v>
      </c>
      <c r="J2456" s="112">
        <f>IF($H2456&lt;&gt;"Y",0,ROUND(MIN(Dashboard!$R$24,IF(IFERROR(VLOOKUP($B2456,Dashboard!$Q$28:$S$60,2,FALSE),0)&gt;0,IFERROR(VLOOKUP($B2456,Dashboard!$Q$28:$S$60,2,FALSE),0),$Z2456*IF($U2456&lt;&gt;"",ROUND((Dashboard!$R$4/$U2456)*VLOOKUP($I2456,Dashboard!$Q$9:$R$13,2,FALSE)*IF(ISNUMBER(SEARCH("Duals",$B2456)),2,IF(ISNUMBER(SEARCH("Triples",$B2456)),3,IF(ISNUMBER(SEARCH("Quads",$B2456)),4,1))),2),ROUND(VLOOKUP($I2456,Dashboard!$Q$15:$R$20,2,FALSE)*IF($E2456="Red",Dashboard!$R$6,IF($E2456="Gold",Dashboard!$R$7,Dashboard!$R$5))*IF(ISNUMBER(SEARCH("Duals",$B2456)),2,IF(ISNUMBER(SEARCH("Triples",$B2456)),3,IF(ISNUMBER(SEARCH("Quads",$B2456)),4,1))),2))*IF(IFERROR(VLOOKUP($B2456,Dashboard!$Q$28:$S$60,3,FALSE),0)&gt;0,VLOOKUP($B2456,Dashboard!$Q$28:$S$60,3,FALSE),1))),0))</f>
        <v>83</v>
      </c>
      <c r="K2456" s="2" t="str">
        <f>IF('Autos - Multi'!D2="","",'Autos - Multi'!D2)</f>
        <v/>
      </c>
      <c r="L2456" s="2">
        <f t="shared" si="494"/>
        <v>0</v>
      </c>
      <c r="M2456" s="2">
        <f t="shared" si="495"/>
        <v>0</v>
      </c>
      <c r="N2456" s="2">
        <f t="shared" si="496"/>
        <v>0</v>
      </c>
      <c r="O2456" s="2">
        <f t="shared" si="497"/>
        <v>1</v>
      </c>
      <c r="P2456" s="112">
        <f t="shared" si="498"/>
        <v>0</v>
      </c>
      <c r="Q2456" s="112">
        <f t="shared" si="499"/>
        <v>0</v>
      </c>
      <c r="R2456" s="53"/>
      <c r="S2456" s="53" t="str">
        <f t="shared" si="500"/>
        <v>Autos - Multi|Autographs Duals|AD-ES|Base</v>
      </c>
      <c r="T2456" s="57">
        <f>IF($S2456="","",IFERROR(VLOOKUP($S2456,'Pop Estimates (Non-#d)'!$N$2:$O$500,2,FALSE),""))</f>
        <v>48</v>
      </c>
      <c r="U2456" s="57">
        <f t="shared" si="501"/>
        <v>48</v>
      </c>
      <c r="V2456" s="53" t="str">
        <f t="shared" si="502"/>
        <v>Homelander/Chace Crawford as The Deep</v>
      </c>
      <c r="W2456" s="53" t="str">
        <f t="shared" si="503"/>
        <v>Homelander/Chace Crawford as The Deep</v>
      </c>
      <c r="X2456" s="53" t="str">
        <f t="shared" si="504"/>
        <v>Homelander/Chace Crawford as The Deep</v>
      </c>
      <c r="Y2456" s="57" t="str">
        <f>IF($X2456="","",IFERROR(VLOOKUP($X2456,'Char Popularity'!$A$2:$C$500,2,FALSE),""))</f>
        <v/>
      </c>
      <c r="Z2456" s="56">
        <f>IF($X2456="",1,IFERROR(VLOOKUP($X2456,'Char Popularity'!$A$2:$C$500,3,FALSE),1))</f>
        <v>1</v>
      </c>
      <c r="AA2456" s="62">
        <f>IF($H2456&lt;&gt;"Y",0,(IF($F2456&lt;&gt;"",ROUND(Dashboard!$R$4/$F2456,1),IF(AND($I2456="Base",$E2456="Base"),Dashboard!$R$5,IF(AND($I2456="Base",$E2456="Red"),Dashboard!$R$6,IF(AND($I2456="Base",$E2456="Gold"),Dashboard!$R$7,VLOOKUP($I2456,Dashboard!$Q$16:$R$21,2,FALSE)))))*VLOOKUP($I2456,Dashboard!$Q$9:$R$13,2,FALSE)*IF(AND($I2456="Auto",$F2456="",OR($B2456="Autographs Duals",$B2456="Autographs Triples",$B2456="Autographs Quads",$B2456="Autographs Quads (Inscribed)")),IF($B2456="Autographs Duals",2,IF($B2456="Autographs Triples",3,4)),1)))</f>
        <v>100</v>
      </c>
      <c r="AB2456" s="62">
        <f t="shared" si="505"/>
        <v>0</v>
      </c>
      <c r="AC2456" s="62">
        <f t="shared" si="506"/>
        <v>0</v>
      </c>
    </row>
    <row r="2457" spans="1:29" ht="30" customHeight="1" x14ac:dyDescent="0.25">
      <c r="A2457" s="4" t="s">
        <v>39</v>
      </c>
      <c r="B2457" s="7" t="s">
        <v>141</v>
      </c>
      <c r="C2457" s="2" t="s">
        <v>188</v>
      </c>
      <c r="D2457" s="7" t="s">
        <v>189</v>
      </c>
      <c r="E2457" s="4" t="s">
        <v>60</v>
      </c>
      <c r="F2457" s="2"/>
      <c r="G2457" s="2" t="s">
        <v>1399</v>
      </c>
      <c r="H2457" s="2" t="s">
        <v>1400</v>
      </c>
      <c r="I2457" s="4" t="s">
        <v>68</v>
      </c>
      <c r="J2457" s="112">
        <f>IF($H2457&lt;&gt;"Y",0,ROUND(MIN(Dashboard!$R$24,IF(IFERROR(VLOOKUP($B2457,Dashboard!$Q$28:$S$60,2,FALSE),0)&gt;0,IFERROR(VLOOKUP($B2457,Dashboard!$Q$28:$S$60,2,FALSE),0),$Z2457*IF($U2457&lt;&gt;"",ROUND((Dashboard!$R$4/$U2457)*VLOOKUP($I2457,Dashboard!$Q$9:$R$13,2,FALSE)*IF(ISNUMBER(SEARCH("Duals",$B2457)),2,IF(ISNUMBER(SEARCH("Triples",$B2457)),3,IF(ISNUMBER(SEARCH("Quads",$B2457)),4,1))),2),ROUND(VLOOKUP($I2457,Dashboard!$Q$15:$R$20,2,FALSE)*IF($E2457="Red",Dashboard!$R$6,IF($E2457="Gold",Dashboard!$R$7,Dashboard!$R$5))*IF(ISNUMBER(SEARCH("Duals",$B2457)),2,IF(ISNUMBER(SEARCH("Triples",$B2457)),3,IF(ISNUMBER(SEARCH("Quads",$B2457)),4,1))),2))*IF(IFERROR(VLOOKUP($B2457,Dashboard!$Q$28:$S$60,3,FALSE),0)&gt;0,VLOOKUP($B2457,Dashboard!$Q$28:$S$60,3,FALSE),1))),0))</f>
        <v>83</v>
      </c>
      <c r="K2457" s="2" t="str">
        <f>IF('Autos - Multi'!D3="","",'Autos - Multi'!D3)</f>
        <v/>
      </c>
      <c r="L2457" s="2">
        <f t="shared" si="494"/>
        <v>0</v>
      </c>
      <c r="M2457" s="2">
        <f t="shared" si="495"/>
        <v>0</v>
      </c>
      <c r="N2457" s="2">
        <f t="shared" si="496"/>
        <v>0</v>
      </c>
      <c r="O2457" s="2">
        <f t="shared" si="497"/>
        <v>1</v>
      </c>
      <c r="P2457" s="112">
        <f t="shared" si="498"/>
        <v>0</v>
      </c>
      <c r="Q2457" s="112">
        <f t="shared" si="499"/>
        <v>0</v>
      </c>
      <c r="R2457" s="53"/>
      <c r="S2457" s="53" t="str">
        <f t="shared" si="500"/>
        <v>Autos - Multi|Autographs Duals|AD-FC|Base</v>
      </c>
      <c r="T2457" s="57">
        <f>IF($S2457="","",IFERROR(VLOOKUP($S2457,'Pop Estimates (Non-#d)'!$N$2:$O$500,2,FALSE),""))</f>
        <v>48</v>
      </c>
      <c r="U2457" s="57">
        <f t="shared" si="501"/>
        <v>48</v>
      </c>
      <c r="V2457" s="53" t="str">
        <f t="shared" si="502"/>
        <v>Frenchie/Karen Fukuhara as Kimiko</v>
      </c>
      <c r="W2457" s="53" t="str">
        <f t="shared" si="503"/>
        <v>Frenchie/Karen Fukuhara as Kimiko</v>
      </c>
      <c r="X2457" s="53" t="str">
        <f t="shared" si="504"/>
        <v>Frenchie/Karen Fukuhara as Kimiko</v>
      </c>
      <c r="Y2457" s="57" t="str">
        <f>IF($X2457="","",IFERROR(VLOOKUP($X2457,'Char Popularity'!$A$2:$C$500,2,FALSE),""))</f>
        <v/>
      </c>
      <c r="Z2457" s="56">
        <f>IF($X2457="",1,IFERROR(VLOOKUP($X2457,'Char Popularity'!$A$2:$C$500,3,FALSE),1))</f>
        <v>1</v>
      </c>
      <c r="AA2457" s="62">
        <f>IF($H2457&lt;&gt;"Y",0,(IF($F2457&lt;&gt;"",ROUND(Dashboard!$R$4/$F2457,1),IF(AND($I2457="Base",$E2457="Base"),Dashboard!$R$5,IF(AND($I2457="Base",$E2457="Red"),Dashboard!$R$6,IF(AND($I2457="Base",$E2457="Gold"),Dashboard!$R$7,VLOOKUP($I2457,Dashboard!$Q$16:$R$21,2,FALSE)))))*VLOOKUP($I2457,Dashboard!$Q$9:$R$13,2,FALSE)*IF(AND($I2457="Auto",$F2457="",OR($B2457="Autographs Duals",$B2457="Autographs Triples",$B2457="Autographs Quads",$B2457="Autographs Quads (Inscribed)")),IF($B2457="Autographs Duals",2,IF($B2457="Autographs Triples",3,4)),1)))</f>
        <v>100</v>
      </c>
      <c r="AB2457" s="62">
        <f t="shared" si="505"/>
        <v>0</v>
      </c>
      <c r="AC2457" s="62">
        <f t="shared" si="506"/>
        <v>0</v>
      </c>
    </row>
    <row r="2458" spans="1:29" ht="30" customHeight="1" x14ac:dyDescent="0.25">
      <c r="A2458" s="4" t="s">
        <v>39</v>
      </c>
      <c r="B2458" s="7" t="s">
        <v>141</v>
      </c>
      <c r="C2458" s="2" t="s">
        <v>190</v>
      </c>
      <c r="D2458" s="7" t="s">
        <v>191</v>
      </c>
      <c r="E2458" s="4" t="s">
        <v>60</v>
      </c>
      <c r="F2458" s="2"/>
      <c r="G2458" s="2" t="s">
        <v>1399</v>
      </c>
      <c r="H2458" s="2" t="s">
        <v>1400</v>
      </c>
      <c r="I2458" s="4" t="s">
        <v>68</v>
      </c>
      <c r="J2458" s="112">
        <f>IF($H2458&lt;&gt;"Y",0,ROUND(MIN(Dashboard!$R$24,IF(IFERROR(VLOOKUP($B2458,Dashboard!$Q$28:$S$60,2,FALSE),0)&gt;0,IFERROR(VLOOKUP($B2458,Dashboard!$Q$28:$S$60,2,FALSE),0),$Z2458*IF($U2458&lt;&gt;"",ROUND((Dashboard!$R$4/$U2458)*VLOOKUP($I2458,Dashboard!$Q$9:$R$13,2,FALSE)*IF(ISNUMBER(SEARCH("Duals",$B2458)),2,IF(ISNUMBER(SEARCH("Triples",$B2458)),3,IF(ISNUMBER(SEARCH("Quads",$B2458)),4,1))),2),ROUND(VLOOKUP($I2458,Dashboard!$Q$15:$R$20,2,FALSE)*IF($E2458="Red",Dashboard!$R$6,IF($E2458="Gold",Dashboard!$R$7,Dashboard!$R$5))*IF(ISNUMBER(SEARCH("Duals",$B2458)),2,IF(ISNUMBER(SEARCH("Triples",$B2458)),3,IF(ISNUMBER(SEARCH("Quads",$B2458)),4,1))),2))*IF(IFERROR(VLOOKUP($B2458,Dashboard!$Q$28:$S$60,3,FALSE),0)&gt;0,VLOOKUP($B2458,Dashboard!$Q$28:$S$60,3,FALSE),1))),0))</f>
        <v>83</v>
      </c>
      <c r="K2458" s="2" t="str">
        <f>IF('Autos - Multi'!D4="","",'Autos - Multi'!D4)</f>
        <v/>
      </c>
      <c r="L2458" s="2">
        <f t="shared" si="494"/>
        <v>0</v>
      </c>
      <c r="M2458" s="2">
        <f t="shared" si="495"/>
        <v>0</v>
      </c>
      <c r="N2458" s="2">
        <f t="shared" si="496"/>
        <v>0</v>
      </c>
      <c r="O2458" s="2">
        <f t="shared" si="497"/>
        <v>1</v>
      </c>
      <c r="P2458" s="112">
        <f t="shared" si="498"/>
        <v>0</v>
      </c>
      <c r="Q2458" s="112">
        <f t="shared" si="499"/>
        <v>0</v>
      </c>
      <c r="R2458" s="53"/>
      <c r="S2458" s="53" t="str">
        <f t="shared" si="500"/>
        <v>Autos - Multi|Autographs Duals|AD-JB|Base</v>
      </c>
      <c r="T2458" s="57">
        <f>IF($S2458="","",IFERROR(VLOOKUP($S2458,'Pop Estimates (Non-#d)'!$N$2:$O$500,2,FALSE),""))</f>
        <v>48</v>
      </c>
      <c r="U2458" s="57">
        <f t="shared" si="501"/>
        <v>48</v>
      </c>
      <c r="V2458" s="53" t="str">
        <f t="shared" si="502"/>
        <v>A-Train/Brittany Allen as Popclaw</v>
      </c>
      <c r="W2458" s="53" t="str">
        <f t="shared" si="503"/>
        <v>A-Train/Brittany Allen as Popclaw</v>
      </c>
      <c r="X2458" s="53" t="str">
        <f t="shared" si="504"/>
        <v>A-Train/Brittany Allen as Popclaw</v>
      </c>
      <c r="Y2458" s="57" t="str">
        <f>IF($X2458="","",IFERROR(VLOOKUP($X2458,'Char Popularity'!$A$2:$C$500,2,FALSE),""))</f>
        <v/>
      </c>
      <c r="Z2458" s="56">
        <f>IF($X2458="",1,IFERROR(VLOOKUP($X2458,'Char Popularity'!$A$2:$C$500,3,FALSE),1))</f>
        <v>1</v>
      </c>
      <c r="AA2458" s="62">
        <f>IF($H2458&lt;&gt;"Y",0,(IF($F2458&lt;&gt;"",ROUND(Dashboard!$R$4/$F2458,1),IF(AND($I2458="Base",$E2458="Base"),Dashboard!$R$5,IF(AND($I2458="Base",$E2458="Red"),Dashboard!$R$6,IF(AND($I2458="Base",$E2458="Gold"),Dashboard!$R$7,VLOOKUP($I2458,Dashboard!$Q$16:$R$21,2,FALSE)))))*VLOOKUP($I2458,Dashboard!$Q$9:$R$13,2,FALSE)*IF(AND($I2458="Auto",$F2458="",OR($B2458="Autographs Duals",$B2458="Autographs Triples",$B2458="Autographs Quads",$B2458="Autographs Quads (Inscribed)")),IF($B2458="Autographs Duals",2,IF($B2458="Autographs Triples",3,4)),1)))</f>
        <v>100</v>
      </c>
      <c r="AB2458" s="62">
        <f t="shared" si="505"/>
        <v>0</v>
      </c>
      <c r="AC2458" s="62">
        <f t="shared" si="506"/>
        <v>0</v>
      </c>
    </row>
    <row r="2459" spans="1:29" ht="30" customHeight="1" x14ac:dyDescent="0.25">
      <c r="A2459" s="4" t="s">
        <v>39</v>
      </c>
      <c r="B2459" s="7" t="s">
        <v>141</v>
      </c>
      <c r="C2459" s="2" t="s">
        <v>192</v>
      </c>
      <c r="D2459" s="7" t="s">
        <v>193</v>
      </c>
      <c r="E2459" s="4" t="s">
        <v>60</v>
      </c>
      <c r="F2459" s="2"/>
      <c r="G2459" s="2" t="s">
        <v>1399</v>
      </c>
      <c r="H2459" s="2" t="s">
        <v>1400</v>
      </c>
      <c r="I2459" s="4" t="s">
        <v>68</v>
      </c>
      <c r="J2459" s="112">
        <f>IF($H2459&lt;&gt;"Y",0,ROUND(MIN(Dashboard!$R$24,IF(IFERROR(VLOOKUP($B2459,Dashboard!$Q$28:$S$60,2,FALSE),0)&gt;0,IFERROR(VLOOKUP($B2459,Dashboard!$Q$28:$S$60,2,FALSE),0),$Z2459*IF($U2459&lt;&gt;"",ROUND((Dashboard!$R$4/$U2459)*VLOOKUP($I2459,Dashboard!$Q$9:$R$13,2,FALSE)*IF(ISNUMBER(SEARCH("Duals",$B2459)),2,IF(ISNUMBER(SEARCH("Triples",$B2459)),3,IF(ISNUMBER(SEARCH("Quads",$B2459)),4,1))),2),ROUND(VLOOKUP($I2459,Dashboard!$Q$15:$R$20,2,FALSE)*IF($E2459="Red",Dashboard!$R$6,IF($E2459="Gold",Dashboard!$R$7,Dashboard!$R$5))*IF(ISNUMBER(SEARCH("Duals",$B2459)),2,IF(ISNUMBER(SEARCH("Triples",$B2459)),3,IF(ISNUMBER(SEARCH("Quads",$B2459)),4,1))),2))*IF(IFERROR(VLOOKUP($B2459,Dashboard!$Q$28:$S$60,3,FALSE),0)&gt;0,VLOOKUP($B2459,Dashboard!$Q$28:$S$60,3,FALSE),1))),0))</f>
        <v>83</v>
      </c>
      <c r="K2459" s="2" t="str">
        <f>IF('Autos - Multi'!D5="","",'Autos - Multi'!D5)</f>
        <v/>
      </c>
      <c r="L2459" s="2">
        <f t="shared" si="494"/>
        <v>0</v>
      </c>
      <c r="M2459" s="2">
        <f t="shared" si="495"/>
        <v>0</v>
      </c>
      <c r="N2459" s="2">
        <f t="shared" si="496"/>
        <v>0</v>
      </c>
      <c r="O2459" s="2">
        <f t="shared" si="497"/>
        <v>1</v>
      </c>
      <c r="P2459" s="112">
        <f t="shared" si="498"/>
        <v>0</v>
      </c>
      <c r="Q2459" s="112">
        <f t="shared" si="499"/>
        <v>0</v>
      </c>
      <c r="R2459" s="53"/>
      <c r="S2459" s="53" t="str">
        <f t="shared" si="500"/>
        <v>Autos - Multi|Autographs Duals|AD-MM|Base</v>
      </c>
      <c r="T2459" s="57">
        <f>IF($S2459="","",IFERROR(VLOOKUP($S2459,'Pop Estimates (Non-#d)'!$N$2:$O$500,2,FALSE),""))</f>
        <v>48</v>
      </c>
      <c r="U2459" s="57">
        <f t="shared" si="501"/>
        <v>48</v>
      </c>
      <c r="V2459" s="53" t="str">
        <f t="shared" si="502"/>
        <v>Starlight/Dominique McElligott as Queen Maeve</v>
      </c>
      <c r="W2459" s="53" t="str">
        <f t="shared" si="503"/>
        <v>Starlight/Dominique McElligott as Queen Maeve</v>
      </c>
      <c r="X2459" s="53" t="str">
        <f t="shared" si="504"/>
        <v>Starlight/Dominique McElligott as Queen Maeve</v>
      </c>
      <c r="Y2459" s="57" t="str">
        <f>IF($X2459="","",IFERROR(VLOOKUP($X2459,'Char Popularity'!$A$2:$C$500,2,FALSE),""))</f>
        <v/>
      </c>
      <c r="Z2459" s="56">
        <f>IF($X2459="",1,IFERROR(VLOOKUP($X2459,'Char Popularity'!$A$2:$C$500,3,FALSE),1))</f>
        <v>1</v>
      </c>
      <c r="AA2459" s="62">
        <f>IF($H2459&lt;&gt;"Y",0,(IF($F2459&lt;&gt;"",ROUND(Dashboard!$R$4/$F2459,1),IF(AND($I2459="Base",$E2459="Base"),Dashboard!$R$5,IF(AND($I2459="Base",$E2459="Red"),Dashboard!$R$6,IF(AND($I2459="Base",$E2459="Gold"),Dashboard!$R$7,VLOOKUP($I2459,Dashboard!$Q$16:$R$21,2,FALSE)))))*VLOOKUP($I2459,Dashboard!$Q$9:$R$13,2,FALSE)*IF(AND($I2459="Auto",$F2459="",OR($B2459="Autographs Duals",$B2459="Autographs Triples",$B2459="Autographs Quads",$B2459="Autographs Quads (Inscribed)")),IF($B2459="Autographs Duals",2,IF($B2459="Autographs Triples",3,4)),1)))</f>
        <v>100</v>
      </c>
      <c r="AB2459" s="62">
        <f t="shared" si="505"/>
        <v>0</v>
      </c>
      <c r="AC2459" s="62">
        <f t="shared" si="506"/>
        <v>0</v>
      </c>
    </row>
    <row r="2460" spans="1:29" ht="30" customHeight="1" x14ac:dyDescent="0.25">
      <c r="A2460" s="4" t="s">
        <v>39</v>
      </c>
      <c r="B2460" s="7" t="s">
        <v>141</v>
      </c>
      <c r="C2460" s="2" t="s">
        <v>194</v>
      </c>
      <c r="D2460" s="7" t="s">
        <v>195</v>
      </c>
      <c r="E2460" s="4" t="s">
        <v>60</v>
      </c>
      <c r="F2460" s="2"/>
      <c r="G2460" s="2" t="s">
        <v>1399</v>
      </c>
      <c r="H2460" s="2" t="s">
        <v>1400</v>
      </c>
      <c r="I2460" s="4" t="s">
        <v>68</v>
      </c>
      <c r="J2460" s="112">
        <f>IF($H2460&lt;&gt;"Y",0,ROUND(MIN(Dashboard!$R$24,IF(IFERROR(VLOOKUP($B2460,Dashboard!$Q$28:$S$60,2,FALSE),0)&gt;0,IFERROR(VLOOKUP($B2460,Dashboard!$Q$28:$S$60,2,FALSE),0),$Z2460*IF($U2460&lt;&gt;"",ROUND((Dashboard!$R$4/$U2460)*VLOOKUP($I2460,Dashboard!$Q$9:$R$13,2,FALSE)*IF(ISNUMBER(SEARCH("Duals",$B2460)),2,IF(ISNUMBER(SEARCH("Triples",$B2460)),3,IF(ISNUMBER(SEARCH("Quads",$B2460)),4,1))),2),ROUND(VLOOKUP($I2460,Dashboard!$Q$15:$R$20,2,FALSE)*IF($E2460="Red",Dashboard!$R$6,IF($E2460="Gold",Dashboard!$R$7,Dashboard!$R$5))*IF(ISNUMBER(SEARCH("Duals",$B2460)),2,IF(ISNUMBER(SEARCH("Triples",$B2460)),3,IF(ISNUMBER(SEARCH("Quads",$B2460)),4,1))),2))*IF(IFERROR(VLOOKUP($B2460,Dashboard!$Q$28:$S$60,3,FALSE),0)&gt;0,VLOOKUP($B2460,Dashboard!$Q$28:$S$60,3,FALSE),1))),0))</f>
        <v>83</v>
      </c>
      <c r="K2460" s="2" t="str">
        <f>IF('Autos - Multi'!D6="","",'Autos - Multi'!D6)</f>
        <v/>
      </c>
      <c r="L2460" s="2">
        <f t="shared" si="494"/>
        <v>0</v>
      </c>
      <c r="M2460" s="2">
        <f t="shared" si="495"/>
        <v>0</v>
      </c>
      <c r="N2460" s="2">
        <f t="shared" si="496"/>
        <v>0</v>
      </c>
      <c r="O2460" s="2">
        <f t="shared" si="497"/>
        <v>1</v>
      </c>
      <c r="P2460" s="112">
        <f t="shared" si="498"/>
        <v>0</v>
      </c>
      <c r="Q2460" s="112">
        <f t="shared" si="499"/>
        <v>0</v>
      </c>
      <c r="R2460" s="53"/>
      <c r="S2460" s="53" t="str">
        <f t="shared" si="500"/>
        <v>Autos - Multi|Autographs Duals|AD-MQ|Base</v>
      </c>
      <c r="T2460" s="57">
        <f>IF($S2460="","",IFERROR(VLOOKUP($S2460,'Pop Estimates (Non-#d)'!$N$2:$O$500,2,FALSE),""))</f>
        <v>48</v>
      </c>
      <c r="U2460" s="57">
        <f t="shared" si="501"/>
        <v>48</v>
      </c>
      <c r="V2460" s="53" t="str">
        <f t="shared" si="502"/>
        <v>Highie Campbell/Erin Moriarty as Starlight</v>
      </c>
      <c r="W2460" s="53" t="str">
        <f t="shared" si="503"/>
        <v>Highie Campbell/Erin Moriarty as Starlight</v>
      </c>
      <c r="X2460" s="53" t="str">
        <f t="shared" si="504"/>
        <v>Highie Campbell/Erin Moriarty as Starlight</v>
      </c>
      <c r="Y2460" s="57" t="str">
        <f>IF($X2460="","",IFERROR(VLOOKUP($X2460,'Char Popularity'!$A$2:$C$500,2,FALSE),""))</f>
        <v/>
      </c>
      <c r="Z2460" s="56">
        <f>IF($X2460="",1,IFERROR(VLOOKUP($X2460,'Char Popularity'!$A$2:$C$500,3,FALSE),1))</f>
        <v>1</v>
      </c>
      <c r="AA2460" s="62">
        <f>IF($H2460&lt;&gt;"Y",0,(IF($F2460&lt;&gt;"",ROUND(Dashboard!$R$4/$F2460,1),IF(AND($I2460="Base",$E2460="Base"),Dashboard!$R$5,IF(AND($I2460="Base",$E2460="Red"),Dashboard!$R$6,IF(AND($I2460="Base",$E2460="Gold"),Dashboard!$R$7,VLOOKUP($I2460,Dashboard!$Q$16:$R$21,2,FALSE)))))*VLOOKUP($I2460,Dashboard!$Q$9:$R$13,2,FALSE)*IF(AND($I2460="Auto",$F2460="",OR($B2460="Autographs Duals",$B2460="Autographs Triples",$B2460="Autographs Quads",$B2460="Autographs Quads (Inscribed)")),IF($B2460="Autographs Duals",2,IF($B2460="Autographs Triples",3,4)),1)))</f>
        <v>100</v>
      </c>
      <c r="AB2460" s="62">
        <f t="shared" si="505"/>
        <v>0</v>
      </c>
      <c r="AC2460" s="62">
        <f t="shared" si="506"/>
        <v>0</v>
      </c>
    </row>
    <row r="2461" spans="1:29" ht="30" customHeight="1" x14ac:dyDescent="0.25">
      <c r="A2461" s="4" t="s">
        <v>39</v>
      </c>
      <c r="B2461" s="7" t="s">
        <v>141</v>
      </c>
      <c r="C2461" s="2" t="s">
        <v>196</v>
      </c>
      <c r="D2461" s="7" t="s">
        <v>197</v>
      </c>
      <c r="E2461" s="4" t="s">
        <v>60</v>
      </c>
      <c r="F2461" s="2"/>
      <c r="G2461" s="2" t="s">
        <v>1399</v>
      </c>
      <c r="H2461" s="2" t="s">
        <v>1400</v>
      </c>
      <c r="I2461" s="4" t="s">
        <v>68</v>
      </c>
      <c r="J2461" s="112">
        <f>IF($H2461&lt;&gt;"Y",0,ROUND(MIN(Dashboard!$R$24,IF(IFERROR(VLOOKUP($B2461,Dashboard!$Q$28:$S$60,2,FALSE),0)&gt;0,IFERROR(VLOOKUP($B2461,Dashboard!$Q$28:$S$60,2,FALSE),0),$Z2461*IF($U2461&lt;&gt;"",ROUND((Dashboard!$R$4/$U2461)*VLOOKUP($I2461,Dashboard!$Q$9:$R$13,2,FALSE)*IF(ISNUMBER(SEARCH("Duals",$B2461)),2,IF(ISNUMBER(SEARCH("Triples",$B2461)),3,IF(ISNUMBER(SEARCH("Quads",$B2461)),4,1))),2),ROUND(VLOOKUP($I2461,Dashboard!$Q$15:$R$20,2,FALSE)*IF($E2461="Red",Dashboard!$R$6,IF($E2461="Gold",Dashboard!$R$7,Dashboard!$R$5))*IF(ISNUMBER(SEARCH("Duals",$B2461)),2,IF(ISNUMBER(SEARCH("Triples",$B2461)),3,IF(ISNUMBER(SEARCH("Quads",$B2461)),4,1))),2))*IF(IFERROR(VLOOKUP($B2461,Dashboard!$Q$28:$S$60,3,FALSE),0)&gt;0,VLOOKUP($B2461,Dashboard!$Q$28:$S$60,3,FALSE),1))),0))</f>
        <v>83</v>
      </c>
      <c r="K2461" s="2" t="str">
        <f>IF('Autos - Multi'!D7="","",'Autos - Multi'!D7)</f>
        <v/>
      </c>
      <c r="L2461" s="2">
        <f t="shared" si="494"/>
        <v>0</v>
      </c>
      <c r="M2461" s="2">
        <f t="shared" si="495"/>
        <v>0</v>
      </c>
      <c r="N2461" s="2">
        <f t="shared" si="496"/>
        <v>0</v>
      </c>
      <c r="O2461" s="2">
        <f t="shared" si="497"/>
        <v>1</v>
      </c>
      <c r="P2461" s="112">
        <f t="shared" si="498"/>
        <v>0</v>
      </c>
      <c r="Q2461" s="112">
        <f t="shared" si="499"/>
        <v>0</v>
      </c>
      <c r="R2461" s="53"/>
      <c r="S2461" s="53" t="str">
        <f t="shared" si="500"/>
        <v>Autos - Multi|Autographs Duals|AD-QH|Base</v>
      </c>
      <c r="T2461" s="57">
        <f>IF($S2461="","",IFERROR(VLOOKUP($S2461,'Pop Estimates (Non-#d)'!$N$2:$O$500,2,FALSE),""))</f>
        <v>48</v>
      </c>
      <c r="U2461" s="57">
        <f t="shared" si="501"/>
        <v>48</v>
      </c>
      <c r="V2461" s="53" t="str">
        <f t="shared" si="502"/>
        <v>Hughie Campbell/Alex Hassell as Translucent</v>
      </c>
      <c r="W2461" s="53" t="str">
        <f t="shared" si="503"/>
        <v>Hughie Campbell/Alex Hassell as Translucent</v>
      </c>
      <c r="X2461" s="53" t="str">
        <f t="shared" si="504"/>
        <v>Hughie Campbell/Alex Hassell as Translucent</v>
      </c>
      <c r="Y2461" s="57" t="str">
        <f>IF($X2461="","",IFERROR(VLOOKUP($X2461,'Char Popularity'!$A$2:$C$500,2,FALSE),""))</f>
        <v/>
      </c>
      <c r="Z2461" s="56">
        <f>IF($X2461="",1,IFERROR(VLOOKUP($X2461,'Char Popularity'!$A$2:$C$500,3,FALSE),1))</f>
        <v>1</v>
      </c>
      <c r="AA2461" s="62">
        <f>IF($H2461&lt;&gt;"Y",0,(IF($F2461&lt;&gt;"",ROUND(Dashboard!$R$4/$F2461,1),IF(AND($I2461="Base",$E2461="Base"),Dashboard!$R$5,IF(AND($I2461="Base",$E2461="Red"),Dashboard!$R$6,IF(AND($I2461="Base",$E2461="Gold"),Dashboard!$R$7,VLOOKUP($I2461,Dashboard!$Q$16:$R$21,2,FALSE)))))*VLOOKUP($I2461,Dashboard!$Q$9:$R$13,2,FALSE)*IF(AND($I2461="Auto",$F2461="",OR($B2461="Autographs Duals",$B2461="Autographs Triples",$B2461="Autographs Quads",$B2461="Autographs Quads (Inscribed)")),IF($B2461="Autographs Duals",2,IF($B2461="Autographs Triples",3,4)),1)))</f>
        <v>100</v>
      </c>
      <c r="AB2461" s="62">
        <f t="shared" si="505"/>
        <v>0</v>
      </c>
      <c r="AC2461" s="62">
        <f t="shared" si="506"/>
        <v>0</v>
      </c>
    </row>
    <row r="2462" spans="1:29" ht="30" customHeight="1" x14ac:dyDescent="0.25">
      <c r="A2462" s="4" t="s">
        <v>39</v>
      </c>
      <c r="B2462" s="7" t="s">
        <v>141</v>
      </c>
      <c r="C2462" s="2" t="s">
        <v>198</v>
      </c>
      <c r="D2462" s="7" t="s">
        <v>199</v>
      </c>
      <c r="E2462" s="4" t="s">
        <v>60</v>
      </c>
      <c r="F2462" s="2"/>
      <c r="G2462" s="2" t="s">
        <v>1399</v>
      </c>
      <c r="H2462" s="2" t="s">
        <v>1400</v>
      </c>
      <c r="I2462" s="4" t="s">
        <v>68</v>
      </c>
      <c r="J2462" s="112">
        <f>IF($H2462&lt;&gt;"Y",0,ROUND(MIN(Dashboard!$R$24,IF(IFERROR(VLOOKUP($B2462,Dashboard!$Q$28:$S$60,2,FALSE),0)&gt;0,IFERROR(VLOOKUP($B2462,Dashboard!$Q$28:$S$60,2,FALSE),0),$Z2462*IF($U2462&lt;&gt;"",ROUND((Dashboard!$R$4/$U2462)*VLOOKUP($I2462,Dashboard!$Q$9:$R$13,2,FALSE)*IF(ISNUMBER(SEARCH("Duals",$B2462)),2,IF(ISNUMBER(SEARCH("Triples",$B2462)),3,IF(ISNUMBER(SEARCH("Quads",$B2462)),4,1))),2),ROUND(VLOOKUP($I2462,Dashboard!$Q$15:$R$20,2,FALSE)*IF($E2462="Red",Dashboard!$R$6,IF($E2462="Gold",Dashboard!$R$7,Dashboard!$R$5))*IF(ISNUMBER(SEARCH("Duals",$B2462)),2,IF(ISNUMBER(SEARCH("Triples",$B2462)),3,IF(ISNUMBER(SEARCH("Quads",$B2462)),4,1))),2))*IF(IFERROR(VLOOKUP($B2462,Dashboard!$Q$28:$S$60,3,FALSE),0)&gt;0,VLOOKUP($B2462,Dashboard!$Q$28:$S$60,3,FALSE),1))),0))</f>
        <v>83</v>
      </c>
      <c r="K2462" s="2" t="str">
        <f>IF('Autos - Multi'!D8="","",'Autos - Multi'!D8)</f>
        <v/>
      </c>
      <c r="L2462" s="2">
        <f t="shared" si="494"/>
        <v>0</v>
      </c>
      <c r="M2462" s="2">
        <f t="shared" si="495"/>
        <v>0</v>
      </c>
      <c r="N2462" s="2">
        <f t="shared" si="496"/>
        <v>0</v>
      </c>
      <c r="O2462" s="2">
        <f t="shared" si="497"/>
        <v>1</v>
      </c>
      <c r="P2462" s="112">
        <f t="shared" si="498"/>
        <v>0</v>
      </c>
      <c r="Q2462" s="112">
        <f t="shared" si="499"/>
        <v>0</v>
      </c>
      <c r="R2462" s="53"/>
      <c r="S2462" s="53" t="str">
        <f t="shared" si="500"/>
        <v>Autos - Multi|Autographs Duals|AD-SM|Base</v>
      </c>
      <c r="T2462" s="57">
        <f>IF($S2462="","",IFERROR(VLOOKUP($S2462,'Pop Estimates (Non-#d)'!$N$2:$O$500,2,FALSE),""))</f>
        <v>48</v>
      </c>
      <c r="U2462" s="57">
        <f t="shared" si="501"/>
        <v>48</v>
      </c>
      <c r="V2462" s="53" t="str">
        <f t="shared" si="502"/>
        <v>Homelander/Dominique McElligott as Queen Maeve</v>
      </c>
      <c r="W2462" s="53" t="str">
        <f t="shared" si="503"/>
        <v>Homelander/Dominique McElligott as Queen Maeve</v>
      </c>
      <c r="X2462" s="53" t="str">
        <f t="shared" si="504"/>
        <v>Homelander/Dominique McElligott as Queen Maeve</v>
      </c>
      <c r="Y2462" s="57" t="str">
        <f>IF($X2462="","",IFERROR(VLOOKUP($X2462,'Char Popularity'!$A$2:$C$500,2,FALSE),""))</f>
        <v/>
      </c>
      <c r="Z2462" s="56">
        <f>IF($X2462="",1,IFERROR(VLOOKUP($X2462,'Char Popularity'!$A$2:$C$500,3,FALSE),1))</f>
        <v>1</v>
      </c>
      <c r="AA2462" s="62">
        <f>IF($H2462&lt;&gt;"Y",0,(IF($F2462&lt;&gt;"",ROUND(Dashboard!$R$4/$F2462,1),IF(AND($I2462="Base",$E2462="Base"),Dashboard!$R$5,IF(AND($I2462="Base",$E2462="Red"),Dashboard!$R$6,IF(AND($I2462="Base",$E2462="Gold"),Dashboard!$R$7,VLOOKUP($I2462,Dashboard!$Q$16:$R$21,2,FALSE)))))*VLOOKUP($I2462,Dashboard!$Q$9:$R$13,2,FALSE)*IF(AND($I2462="Auto",$F2462="",OR($B2462="Autographs Duals",$B2462="Autographs Triples",$B2462="Autographs Quads",$B2462="Autographs Quads (Inscribed)")),IF($B2462="Autographs Duals",2,IF($B2462="Autographs Triples",3,4)),1)))</f>
        <v>100</v>
      </c>
      <c r="AB2462" s="62">
        <f t="shared" si="505"/>
        <v>0</v>
      </c>
      <c r="AC2462" s="62">
        <f t="shared" si="506"/>
        <v>0</v>
      </c>
    </row>
    <row r="2463" spans="1:29" ht="30" customHeight="1" x14ac:dyDescent="0.25">
      <c r="A2463" s="4" t="s">
        <v>39</v>
      </c>
      <c r="B2463" s="7" t="s">
        <v>141</v>
      </c>
      <c r="C2463" s="2" t="s">
        <v>200</v>
      </c>
      <c r="D2463" s="7" t="s">
        <v>201</v>
      </c>
      <c r="E2463" s="4" t="s">
        <v>60</v>
      </c>
      <c r="F2463" s="2"/>
      <c r="G2463" s="2" t="s">
        <v>1399</v>
      </c>
      <c r="H2463" s="2" t="s">
        <v>1400</v>
      </c>
      <c r="I2463" s="4" t="s">
        <v>68</v>
      </c>
      <c r="J2463" s="112">
        <f>IF($H2463&lt;&gt;"Y",0,ROUND(MIN(Dashboard!$R$24,IF(IFERROR(VLOOKUP($B2463,Dashboard!$Q$28:$S$60,2,FALSE),0)&gt;0,IFERROR(VLOOKUP($B2463,Dashboard!$Q$28:$S$60,2,FALSE),0),$Z2463*IF($U2463&lt;&gt;"",ROUND((Dashboard!$R$4/$U2463)*VLOOKUP($I2463,Dashboard!$Q$9:$R$13,2,FALSE)*IF(ISNUMBER(SEARCH("Duals",$B2463)),2,IF(ISNUMBER(SEARCH("Triples",$B2463)),3,IF(ISNUMBER(SEARCH("Quads",$B2463)),4,1))),2),ROUND(VLOOKUP($I2463,Dashboard!$Q$15:$R$20,2,FALSE)*IF($E2463="Red",Dashboard!$R$6,IF($E2463="Gold",Dashboard!$R$7,Dashboard!$R$5))*IF(ISNUMBER(SEARCH("Duals",$B2463)),2,IF(ISNUMBER(SEARCH("Triples",$B2463)),3,IF(ISNUMBER(SEARCH("Quads",$B2463)),4,1))),2))*IF(IFERROR(VLOOKUP($B2463,Dashboard!$Q$28:$S$60,3,FALSE),0)&gt;0,VLOOKUP($B2463,Dashboard!$Q$28:$S$60,3,FALSE),1))),0))</f>
        <v>83</v>
      </c>
      <c r="K2463" s="2" t="str">
        <f>IF('Autos - Multi'!D9="","",'Autos - Multi'!D9)</f>
        <v/>
      </c>
      <c r="L2463" s="2">
        <f t="shared" si="494"/>
        <v>0</v>
      </c>
      <c r="M2463" s="2">
        <f t="shared" si="495"/>
        <v>0</v>
      </c>
      <c r="N2463" s="2">
        <f t="shared" si="496"/>
        <v>0</v>
      </c>
      <c r="O2463" s="2">
        <f t="shared" si="497"/>
        <v>1</v>
      </c>
      <c r="P2463" s="112">
        <f t="shared" si="498"/>
        <v>0</v>
      </c>
      <c r="Q2463" s="112">
        <f t="shared" si="499"/>
        <v>0</v>
      </c>
      <c r="R2463" s="53"/>
      <c r="S2463" s="53" t="str">
        <f t="shared" si="500"/>
        <v>Autos - Multi|Autographs Duals|AD-SS|Base</v>
      </c>
      <c r="T2463" s="57">
        <f>IF($S2463="","",IFERROR(VLOOKUP($S2463,'Pop Estimates (Non-#d)'!$N$2:$O$500,2,FALSE),""))</f>
        <v>48</v>
      </c>
      <c r="U2463" s="57">
        <f t="shared" si="501"/>
        <v>48</v>
      </c>
      <c r="V2463" s="53" t="str">
        <f t="shared" si="502"/>
        <v>Homelander/Elisabeth Shue as Madelyn Stillwell</v>
      </c>
      <c r="W2463" s="53" t="str">
        <f t="shared" si="503"/>
        <v>Homelander/Elisabeth Shue as Madelyn Stillwell</v>
      </c>
      <c r="X2463" s="53" t="str">
        <f t="shared" si="504"/>
        <v>Homelander/Elisabeth Shue as Madelyn Stillwell</v>
      </c>
      <c r="Y2463" s="57" t="str">
        <f>IF($X2463="","",IFERROR(VLOOKUP($X2463,'Char Popularity'!$A$2:$C$500,2,FALSE),""))</f>
        <v/>
      </c>
      <c r="Z2463" s="56">
        <f>IF($X2463="",1,IFERROR(VLOOKUP($X2463,'Char Popularity'!$A$2:$C$500,3,FALSE),1))</f>
        <v>1</v>
      </c>
      <c r="AA2463" s="62">
        <f>IF($H2463&lt;&gt;"Y",0,(IF($F2463&lt;&gt;"",ROUND(Dashboard!$R$4/$F2463,1),IF(AND($I2463="Base",$E2463="Base"),Dashboard!$R$5,IF(AND($I2463="Base",$E2463="Red"),Dashboard!$R$6,IF(AND($I2463="Base",$E2463="Gold"),Dashboard!$R$7,VLOOKUP($I2463,Dashboard!$Q$16:$R$21,2,FALSE)))))*VLOOKUP($I2463,Dashboard!$Q$9:$R$13,2,FALSE)*IF(AND($I2463="Auto",$F2463="",OR($B2463="Autographs Duals",$B2463="Autographs Triples",$B2463="Autographs Quads",$B2463="Autographs Quads (Inscribed)")),IF($B2463="Autographs Duals",2,IF($B2463="Autographs Triples",3,4)),1)))</f>
        <v>100</v>
      </c>
      <c r="AB2463" s="62">
        <f t="shared" si="505"/>
        <v>0</v>
      </c>
      <c r="AC2463" s="62">
        <f t="shared" si="506"/>
        <v>0</v>
      </c>
    </row>
    <row r="2464" spans="1:29" ht="30" customHeight="1" x14ac:dyDescent="0.25">
      <c r="A2464" s="4" t="s">
        <v>39</v>
      </c>
      <c r="B2464" s="7" t="s">
        <v>141</v>
      </c>
      <c r="C2464" s="2" t="s">
        <v>202</v>
      </c>
      <c r="D2464" s="7" t="s">
        <v>203</v>
      </c>
      <c r="E2464" s="4" t="s">
        <v>60</v>
      </c>
      <c r="F2464" s="2"/>
      <c r="G2464" s="2" t="s">
        <v>1399</v>
      </c>
      <c r="H2464" s="2" t="s">
        <v>1400</v>
      </c>
      <c r="I2464" s="4" t="s">
        <v>68</v>
      </c>
      <c r="J2464" s="112">
        <f>IF($H2464&lt;&gt;"Y",0,ROUND(MIN(Dashboard!$R$24,IF(IFERROR(VLOOKUP($B2464,Dashboard!$Q$28:$S$60,2,FALSE),0)&gt;0,IFERROR(VLOOKUP($B2464,Dashboard!$Q$28:$S$60,2,FALSE),0),$Z2464*IF($U2464&lt;&gt;"",ROUND((Dashboard!$R$4/$U2464)*VLOOKUP($I2464,Dashboard!$Q$9:$R$13,2,FALSE)*IF(ISNUMBER(SEARCH("Duals",$B2464)),2,IF(ISNUMBER(SEARCH("Triples",$B2464)),3,IF(ISNUMBER(SEARCH("Quads",$B2464)),4,1))),2),ROUND(VLOOKUP($I2464,Dashboard!$Q$15:$R$20,2,FALSE)*IF($E2464="Red",Dashboard!$R$6,IF($E2464="Gold",Dashboard!$R$7,Dashboard!$R$5))*IF(ISNUMBER(SEARCH("Duals",$B2464)),2,IF(ISNUMBER(SEARCH("Triples",$B2464)),3,IF(ISNUMBER(SEARCH("Quads",$B2464)),4,1))),2))*IF(IFERROR(VLOOKUP($B2464,Dashboard!$Q$28:$S$60,3,FALSE),0)&gt;0,VLOOKUP($B2464,Dashboard!$Q$28:$S$60,3,FALSE),1))),0))</f>
        <v>83</v>
      </c>
      <c r="K2464" s="2" t="str">
        <f>IF('Autos - Multi'!D10="","",'Autos - Multi'!D10)</f>
        <v>V</v>
      </c>
      <c r="L2464" s="2">
        <f t="shared" si="494"/>
        <v>1</v>
      </c>
      <c r="M2464" s="2">
        <f t="shared" si="495"/>
        <v>0</v>
      </c>
      <c r="N2464" s="2">
        <f t="shared" si="496"/>
        <v>1</v>
      </c>
      <c r="O2464" s="2">
        <f t="shared" si="497"/>
        <v>0</v>
      </c>
      <c r="P2464" s="112">
        <f t="shared" si="498"/>
        <v>83</v>
      </c>
      <c r="Q2464" s="112">
        <f t="shared" si="499"/>
        <v>0</v>
      </c>
      <c r="R2464" s="53"/>
      <c r="S2464" s="53" t="str">
        <f t="shared" si="500"/>
        <v>Autos - Multi|Autographs Duals|AD-TA|Base</v>
      </c>
      <c r="T2464" s="57">
        <f>IF($S2464="","",IFERROR(VLOOKUP($S2464,'Pop Estimates (Non-#d)'!$N$2:$O$500,2,FALSE),""))</f>
        <v>48</v>
      </c>
      <c r="U2464" s="57">
        <f t="shared" si="501"/>
        <v>48</v>
      </c>
      <c r="V2464" s="53" t="str">
        <f t="shared" si="502"/>
        <v>Mother's Milk/Tomer Capone as Frenchie</v>
      </c>
      <c r="W2464" s="53" t="str">
        <f t="shared" si="503"/>
        <v>Mother's Milk/Tomer Capone as Frenchie</v>
      </c>
      <c r="X2464" s="53" t="str">
        <f t="shared" si="504"/>
        <v>Mother's Milk/Tomer Capone as Frenchie</v>
      </c>
      <c r="Y2464" s="57" t="str">
        <f>IF($X2464="","",IFERROR(VLOOKUP($X2464,'Char Popularity'!$A$2:$C$500,2,FALSE),""))</f>
        <v/>
      </c>
      <c r="Z2464" s="56">
        <f>IF($X2464="",1,IFERROR(VLOOKUP($X2464,'Char Popularity'!$A$2:$C$500,3,FALSE),1))</f>
        <v>1</v>
      </c>
      <c r="AA2464" s="62">
        <f>IF($H2464&lt;&gt;"Y",0,(IF($F2464&lt;&gt;"",ROUND(Dashboard!$R$4/$F2464,1),IF(AND($I2464="Base",$E2464="Base"),Dashboard!$R$5,IF(AND($I2464="Base",$E2464="Red"),Dashboard!$R$6,IF(AND($I2464="Base",$E2464="Gold"),Dashboard!$R$7,VLOOKUP($I2464,Dashboard!$Q$16:$R$21,2,FALSE)))))*VLOOKUP($I2464,Dashboard!$Q$9:$R$13,2,FALSE)*IF(AND($I2464="Auto",$F2464="",OR($B2464="Autographs Duals",$B2464="Autographs Triples",$B2464="Autographs Quads",$B2464="Autographs Quads (Inscribed)")),IF($B2464="Autographs Duals",2,IF($B2464="Autographs Triples",3,4)),1)))</f>
        <v>100</v>
      </c>
      <c r="AB2464" s="62">
        <f t="shared" si="505"/>
        <v>100</v>
      </c>
      <c r="AC2464" s="62">
        <f t="shared" si="506"/>
        <v>0</v>
      </c>
    </row>
    <row r="2465" spans="1:29" ht="30" customHeight="1" x14ac:dyDescent="0.25">
      <c r="A2465" s="4" t="s">
        <v>39</v>
      </c>
      <c r="B2465" s="7" t="s">
        <v>141</v>
      </c>
      <c r="C2465" s="2" t="s">
        <v>204</v>
      </c>
      <c r="D2465" s="7" t="s">
        <v>205</v>
      </c>
      <c r="E2465" s="4" t="s">
        <v>60</v>
      </c>
      <c r="F2465" s="2"/>
      <c r="G2465" s="2" t="s">
        <v>1399</v>
      </c>
      <c r="H2465" s="2" t="s">
        <v>1400</v>
      </c>
      <c r="I2465" s="4" t="s">
        <v>68</v>
      </c>
      <c r="J2465" s="112">
        <f>IF($H2465&lt;&gt;"Y",0,ROUND(MIN(Dashboard!$R$24,IF(IFERROR(VLOOKUP($B2465,Dashboard!$Q$28:$S$60,2,FALSE),0)&gt;0,IFERROR(VLOOKUP($B2465,Dashboard!$Q$28:$S$60,2,FALSE),0),$Z2465*IF($U2465&lt;&gt;"",ROUND((Dashboard!$R$4/$U2465)*VLOOKUP($I2465,Dashboard!$Q$9:$R$13,2,FALSE)*IF(ISNUMBER(SEARCH("Duals",$B2465)),2,IF(ISNUMBER(SEARCH("Triples",$B2465)),3,IF(ISNUMBER(SEARCH("Quads",$B2465)),4,1))),2),ROUND(VLOOKUP($I2465,Dashboard!$Q$15:$R$20,2,FALSE)*IF($E2465="Red",Dashboard!$R$6,IF($E2465="Gold",Dashboard!$R$7,Dashboard!$R$5))*IF(ISNUMBER(SEARCH("Duals",$B2465)),2,IF(ISNUMBER(SEARCH("Triples",$B2465)),3,IF(ISNUMBER(SEARCH("Quads",$B2465)),4,1))),2))*IF(IFERROR(VLOOKUP($B2465,Dashboard!$Q$28:$S$60,3,FALSE),0)&gt;0,VLOOKUP($B2465,Dashboard!$Q$28:$S$60,3,FALSE),1))),0))</f>
        <v>83</v>
      </c>
      <c r="K2465" s="2" t="str">
        <f>IF('Autos - Multi'!D11="","",'Autos - Multi'!D11)</f>
        <v>d</v>
      </c>
      <c r="L2465" s="2">
        <f t="shared" si="494"/>
        <v>1</v>
      </c>
      <c r="M2465" s="2">
        <f t="shared" si="495"/>
        <v>0</v>
      </c>
      <c r="N2465" s="2">
        <f t="shared" si="496"/>
        <v>1</v>
      </c>
      <c r="O2465" s="2">
        <f t="shared" si="497"/>
        <v>0</v>
      </c>
      <c r="P2465" s="112">
        <f t="shared" si="498"/>
        <v>83</v>
      </c>
      <c r="Q2465" s="112">
        <f t="shared" si="499"/>
        <v>0</v>
      </c>
      <c r="R2465" s="53"/>
      <c r="S2465" s="53" t="str">
        <f t="shared" si="500"/>
        <v>Autos - Multi|Autographs Duals|AD-UQ|Base</v>
      </c>
      <c r="T2465" s="57">
        <f>IF($S2465="","",IFERROR(VLOOKUP($S2465,'Pop Estimates (Non-#d)'!$N$2:$O$500,2,FALSE),""))</f>
        <v>48</v>
      </c>
      <c r="U2465" s="57">
        <f t="shared" si="501"/>
        <v>48</v>
      </c>
      <c r="V2465" s="53" t="str">
        <f t="shared" si="502"/>
        <v>Billy Butcher/Jack Quaid as Hughie Campbell</v>
      </c>
      <c r="W2465" s="53" t="str">
        <f t="shared" si="503"/>
        <v>Billy Butcher/Jack Quaid as Hughie Campbell</v>
      </c>
      <c r="X2465" s="53" t="str">
        <f t="shared" si="504"/>
        <v>Billy Butcher/Jack Quaid as Hughie Campbell</v>
      </c>
      <c r="Y2465" s="57" t="str">
        <f>IF($X2465="","",IFERROR(VLOOKUP($X2465,'Char Popularity'!$A$2:$C$500,2,FALSE),""))</f>
        <v/>
      </c>
      <c r="Z2465" s="56">
        <f>IF($X2465="",1,IFERROR(VLOOKUP($X2465,'Char Popularity'!$A$2:$C$500,3,FALSE),1))</f>
        <v>1</v>
      </c>
      <c r="AA2465" s="62">
        <f>IF($H2465&lt;&gt;"Y",0,(IF($F2465&lt;&gt;"",ROUND(Dashboard!$R$4/$F2465,1),IF(AND($I2465="Base",$E2465="Base"),Dashboard!$R$5,IF(AND($I2465="Base",$E2465="Red"),Dashboard!$R$6,IF(AND($I2465="Base",$E2465="Gold"),Dashboard!$R$7,VLOOKUP($I2465,Dashboard!$Q$16:$R$21,2,FALSE)))))*VLOOKUP($I2465,Dashboard!$Q$9:$R$13,2,FALSE)*IF(AND($I2465="Auto",$F2465="",OR($B2465="Autographs Duals",$B2465="Autographs Triples",$B2465="Autographs Quads",$B2465="Autographs Quads (Inscribed)")),IF($B2465="Autographs Duals",2,IF($B2465="Autographs Triples",3,4)),1)))</f>
        <v>100</v>
      </c>
      <c r="AB2465" s="62">
        <f t="shared" si="505"/>
        <v>100</v>
      </c>
      <c r="AC2465" s="62">
        <f t="shared" si="506"/>
        <v>0</v>
      </c>
    </row>
    <row r="2466" spans="1:29" ht="30" customHeight="1" x14ac:dyDescent="0.25">
      <c r="A2466" s="4" t="s">
        <v>39</v>
      </c>
      <c r="B2466" s="7" t="s">
        <v>141</v>
      </c>
      <c r="C2466" s="2" t="s">
        <v>206</v>
      </c>
      <c r="D2466" s="7" t="s">
        <v>207</v>
      </c>
      <c r="E2466" s="4" t="s">
        <v>60</v>
      </c>
      <c r="F2466" s="2"/>
      <c r="G2466" s="2" t="s">
        <v>1399</v>
      </c>
      <c r="H2466" s="2" t="s">
        <v>1400</v>
      </c>
      <c r="I2466" s="4" t="s">
        <v>68</v>
      </c>
      <c r="J2466" s="112">
        <f>IF($H2466&lt;&gt;"Y",0,ROUND(MIN(Dashboard!$R$24,IF(IFERROR(VLOOKUP($B2466,Dashboard!$Q$28:$S$60,2,FALSE),0)&gt;0,IFERROR(VLOOKUP($B2466,Dashboard!$Q$28:$S$60,2,FALSE),0),$Z2466*IF($U2466&lt;&gt;"",ROUND((Dashboard!$R$4/$U2466)*VLOOKUP($I2466,Dashboard!$Q$9:$R$13,2,FALSE)*IF(ISNUMBER(SEARCH("Duals",$B2466)),2,IF(ISNUMBER(SEARCH("Triples",$B2466)),3,IF(ISNUMBER(SEARCH("Quads",$B2466)),4,1))),2),ROUND(VLOOKUP($I2466,Dashboard!$Q$15:$R$20,2,FALSE)*IF($E2466="Red",Dashboard!$R$6,IF($E2466="Gold",Dashboard!$R$7,Dashboard!$R$5))*IF(ISNUMBER(SEARCH("Duals",$B2466)),2,IF(ISNUMBER(SEARCH("Triples",$B2466)),3,IF(ISNUMBER(SEARCH("Quads",$B2466)),4,1))),2))*IF(IFERROR(VLOOKUP($B2466,Dashboard!$Q$28:$S$60,3,FALSE),0)&gt;0,VLOOKUP($B2466,Dashboard!$Q$28:$S$60,3,FALSE),1))),0))</f>
        <v>83</v>
      </c>
      <c r="K2466" s="2" t="str">
        <f>IF('Autos - Multi'!D12="","",'Autos - Multi'!D12)</f>
        <v/>
      </c>
      <c r="L2466" s="2">
        <f t="shared" si="494"/>
        <v>0</v>
      </c>
      <c r="M2466" s="2">
        <f t="shared" si="495"/>
        <v>0</v>
      </c>
      <c r="N2466" s="2">
        <f t="shared" si="496"/>
        <v>0</v>
      </c>
      <c r="O2466" s="2">
        <f t="shared" si="497"/>
        <v>1</v>
      </c>
      <c r="P2466" s="112">
        <f t="shared" si="498"/>
        <v>0</v>
      </c>
      <c r="Q2466" s="112">
        <f t="shared" si="499"/>
        <v>0</v>
      </c>
      <c r="R2466" s="53"/>
      <c r="S2466" s="53" t="str">
        <f t="shared" si="500"/>
        <v>Autos - Multi|Autographs Duals|AD-VC|Base</v>
      </c>
      <c r="T2466" s="57">
        <f>IF($S2466="","",IFERROR(VLOOKUP($S2466,'Pop Estimates (Non-#d)'!$N$2:$O$500,2,FALSE),""))</f>
        <v>48</v>
      </c>
      <c r="U2466" s="57">
        <f t="shared" si="501"/>
        <v>48</v>
      </c>
      <c r="V2466" s="53" t="str">
        <f t="shared" si="502"/>
        <v>Becca Butcher/Cameron Crovetti as Ryan</v>
      </c>
      <c r="W2466" s="53" t="str">
        <f t="shared" si="503"/>
        <v>Becca Butcher/Cameron Crovetti as Ryan</v>
      </c>
      <c r="X2466" s="53" t="str">
        <f t="shared" si="504"/>
        <v>Becca Butcher/Cameron Crovetti as Ryan</v>
      </c>
      <c r="Y2466" s="57" t="str">
        <f>IF($X2466="","",IFERROR(VLOOKUP($X2466,'Char Popularity'!$A$2:$C$500,2,FALSE),""))</f>
        <v/>
      </c>
      <c r="Z2466" s="56">
        <f>IF($X2466="",1,IFERROR(VLOOKUP($X2466,'Char Popularity'!$A$2:$C$500,3,FALSE),1))</f>
        <v>1</v>
      </c>
      <c r="AA2466" s="62">
        <f>IF($H2466&lt;&gt;"Y",0,(IF($F2466&lt;&gt;"",ROUND(Dashboard!$R$4/$F2466,1),IF(AND($I2466="Base",$E2466="Base"),Dashboard!$R$5,IF(AND($I2466="Base",$E2466="Red"),Dashboard!$R$6,IF(AND($I2466="Base",$E2466="Gold"),Dashboard!$R$7,VLOOKUP($I2466,Dashboard!$Q$16:$R$21,2,FALSE)))))*VLOOKUP($I2466,Dashboard!$Q$9:$R$13,2,FALSE)*IF(AND($I2466="Auto",$F2466="",OR($B2466="Autographs Duals",$B2466="Autographs Triples",$B2466="Autographs Quads",$B2466="Autographs Quads (Inscribed)")),IF($B2466="Autographs Duals",2,IF($B2466="Autographs Triples",3,4)),1)))</f>
        <v>100</v>
      </c>
      <c r="AB2466" s="62">
        <f t="shared" si="505"/>
        <v>0</v>
      </c>
      <c r="AC2466" s="62">
        <f t="shared" si="506"/>
        <v>0</v>
      </c>
    </row>
    <row r="2467" spans="1:29" ht="30" customHeight="1" x14ac:dyDescent="0.25">
      <c r="A2467" s="4" t="s">
        <v>39</v>
      </c>
      <c r="B2467" s="7" t="s">
        <v>141</v>
      </c>
      <c r="C2467" s="2" t="s">
        <v>208</v>
      </c>
      <c r="D2467" s="7" t="s">
        <v>209</v>
      </c>
      <c r="E2467" s="4" t="s">
        <v>60</v>
      </c>
      <c r="F2467" s="2"/>
      <c r="G2467" s="2" t="s">
        <v>1399</v>
      </c>
      <c r="H2467" s="2" t="s">
        <v>1400</v>
      </c>
      <c r="I2467" s="4" t="s">
        <v>68</v>
      </c>
      <c r="J2467" s="112">
        <f>IF($H2467&lt;&gt;"Y",0,ROUND(MIN(Dashboard!$R$24,IF(IFERROR(VLOOKUP($B2467,Dashboard!$Q$28:$S$60,2,FALSE),0)&gt;0,IFERROR(VLOOKUP($B2467,Dashboard!$Q$28:$S$60,2,FALSE),0),$Z2467*IF($U2467&lt;&gt;"",ROUND((Dashboard!$R$4/$U2467)*VLOOKUP($I2467,Dashboard!$Q$9:$R$13,2,FALSE)*IF(ISNUMBER(SEARCH("Duals",$B2467)),2,IF(ISNUMBER(SEARCH("Triples",$B2467)),3,IF(ISNUMBER(SEARCH("Quads",$B2467)),4,1))),2),ROUND(VLOOKUP($I2467,Dashboard!$Q$15:$R$20,2,FALSE)*IF($E2467="Red",Dashboard!$R$6,IF($E2467="Gold",Dashboard!$R$7,Dashboard!$R$5))*IF(ISNUMBER(SEARCH("Duals",$B2467)),2,IF(ISNUMBER(SEARCH("Triples",$B2467)),3,IF(ISNUMBER(SEARCH("Quads",$B2467)),4,1))),2))*IF(IFERROR(VLOOKUP($B2467,Dashboard!$Q$28:$S$60,3,FALSE),0)&gt;0,VLOOKUP($B2467,Dashboard!$Q$28:$S$60,3,FALSE),1))),0))</f>
        <v>100</v>
      </c>
      <c r="K2467" s="2" t="str">
        <f>IF('Autos - Multi'!D13="","",'Autos - Multi'!D13)</f>
        <v/>
      </c>
      <c r="L2467" s="2">
        <f t="shared" si="494"/>
        <v>0</v>
      </c>
      <c r="M2467" s="2">
        <f t="shared" si="495"/>
        <v>0</v>
      </c>
      <c r="N2467" s="2">
        <f t="shared" si="496"/>
        <v>0</v>
      </c>
      <c r="O2467" s="2">
        <f t="shared" si="497"/>
        <v>1</v>
      </c>
      <c r="P2467" s="112">
        <f t="shared" si="498"/>
        <v>0</v>
      </c>
      <c r="Q2467" s="112">
        <f t="shared" si="499"/>
        <v>0</v>
      </c>
      <c r="R2467" s="53" t="s">
        <v>337</v>
      </c>
      <c r="S2467" s="53" t="str">
        <f t="shared" si="500"/>
        <v>Autos - Multi|Autographs Duals|AD-XX|Base</v>
      </c>
      <c r="T2467" s="57">
        <f>IF($S2467="","",IFERROR(VLOOKUP($S2467,'Pop Estimates (Non-#d)'!$N$2:$O$500,2,FALSE),""))</f>
        <v>48</v>
      </c>
      <c r="U2467" s="57">
        <f t="shared" si="501"/>
        <v>48</v>
      </c>
      <c r="V2467" s="53" t="str">
        <f t="shared" si="502"/>
        <v>Homelander "Homelander"/Karl Urban as Billy Butcher</v>
      </c>
      <c r="W2467" s="53" t="str">
        <f t="shared" si="503"/>
        <v>Homelander "Homelander"/Karl Urban as Billy Butcher</v>
      </c>
      <c r="X2467" s="53" t="str">
        <f t="shared" si="504"/>
        <v>Homelander</v>
      </c>
      <c r="Y2467" s="57">
        <f>IF($X2467="","",IFERROR(VLOOKUP($X2467,'Char Popularity'!$A$2:$C$500,2,FALSE),""))</f>
        <v>5</v>
      </c>
      <c r="Z2467" s="56">
        <f>IF($X2467="",1,IFERROR(VLOOKUP($X2467,'Char Popularity'!$A$2:$C$500,3,FALSE),1))</f>
        <v>1.2</v>
      </c>
      <c r="AA2467" s="62">
        <f>IF($H2467&lt;&gt;"Y",0,(IF($F2467&lt;&gt;"",ROUND(Dashboard!$R$4/$F2467,1),IF(AND($I2467="Base",$E2467="Base"),Dashboard!$R$5,IF(AND($I2467="Base",$E2467="Red"),Dashboard!$R$6,IF(AND($I2467="Base",$E2467="Gold"),Dashboard!$R$7,VLOOKUP($I2467,Dashboard!$Q$16:$R$21,2,FALSE)))))*VLOOKUP($I2467,Dashboard!$Q$9:$R$13,2,FALSE)*IF(AND($I2467="Auto",$F2467="",OR($B2467="Autographs Duals",$B2467="Autographs Triples",$B2467="Autographs Quads",$B2467="Autographs Quads (Inscribed)")),IF($B2467="Autographs Duals",2,IF($B2467="Autographs Triples",3,4)),1)))</f>
        <v>100</v>
      </c>
      <c r="AB2467" s="62">
        <f t="shared" si="505"/>
        <v>0</v>
      </c>
      <c r="AC2467" s="62">
        <f t="shared" si="506"/>
        <v>0</v>
      </c>
    </row>
    <row r="2468" spans="1:29" ht="30" customHeight="1" x14ac:dyDescent="0.25">
      <c r="A2468" s="4" t="s">
        <v>39</v>
      </c>
      <c r="B2468" s="7" t="s">
        <v>789</v>
      </c>
      <c r="C2468" s="2" t="s">
        <v>202</v>
      </c>
      <c r="D2468" s="7" t="s">
        <v>203</v>
      </c>
      <c r="E2468" s="4" t="s">
        <v>1602</v>
      </c>
      <c r="F2468" s="2">
        <v>1</v>
      </c>
      <c r="G2468" s="2" t="s">
        <v>1399</v>
      </c>
      <c r="H2468" s="2" t="s">
        <v>1399</v>
      </c>
      <c r="I2468" s="4" t="s">
        <v>68</v>
      </c>
      <c r="J2468" s="112">
        <f>IF($H2468&lt;&gt;"Y",0,ROUND(MIN(Dashboard!$R$24,IF(IFERROR(VLOOKUP($B2468,Dashboard!$Q$28:$S$60,2,FALSE),0)&gt;0,IFERROR(VLOOKUP($B2468,Dashboard!$Q$28:$S$60,2,FALSE),0),$Z2468*IF($U2468&lt;&gt;"",ROUND((Dashboard!$R$4/$U2468)*VLOOKUP($I2468,Dashboard!$Q$9:$R$13,2,FALSE)*IF(ISNUMBER(SEARCH("Duals",$B2468)),2,IF(ISNUMBER(SEARCH("Triples",$B2468)),3,IF(ISNUMBER(SEARCH("Quads",$B2468)),4,1))),2),ROUND(VLOOKUP($I2468,Dashboard!$Q$15:$R$20,2,FALSE)*IF($E2468="Red",Dashboard!$R$6,IF($E2468="Gold",Dashboard!$R$7,Dashboard!$R$5))*IF(ISNUMBER(SEARCH("Duals",$B2468)),2,IF(ISNUMBER(SEARCH("Triples",$B2468)),3,IF(ISNUMBER(SEARCH("Quads",$B2468)),4,1))),2))*IF(IFERROR(VLOOKUP($B2468,Dashboard!$Q$28:$S$60,3,FALSE),0)&gt;0,VLOOKUP($B2468,Dashboard!$Q$28:$S$60,3,FALSE),1))),0))</f>
        <v>0</v>
      </c>
      <c r="K2468" s="2" t="str">
        <f>IF('Autos - Multi'!H10="","",'Autos - Multi'!H10)</f>
        <v/>
      </c>
      <c r="L2468" s="2">
        <f t="shared" si="494"/>
        <v>0</v>
      </c>
      <c r="M2468" s="2">
        <f t="shared" si="495"/>
        <v>0</v>
      </c>
      <c r="N2468" s="2">
        <f t="shared" si="496"/>
        <v>0</v>
      </c>
      <c r="O2468" s="2">
        <f t="shared" si="497"/>
        <v>0</v>
      </c>
      <c r="P2468" s="112">
        <f t="shared" si="498"/>
        <v>0</v>
      </c>
      <c r="Q2468" s="112">
        <f t="shared" si="499"/>
        <v>0</v>
      </c>
      <c r="R2468" s="53"/>
      <c r="S2468" s="53" t="str">
        <f t="shared" si="500"/>
        <v>Autos - Multi|Autographs Duals Gold Parallel|AD-TA|Gold</v>
      </c>
      <c r="T2468" s="57" t="str">
        <f>IF($S2468="","",IFERROR(VLOOKUP($S2468,'Pop Estimates (Non-#d)'!$N$2:$O$500,2,FALSE),""))</f>
        <v/>
      </c>
      <c r="U2468" s="57">
        <f t="shared" si="501"/>
        <v>1</v>
      </c>
      <c r="V2468" s="53" t="str">
        <f t="shared" si="502"/>
        <v>Mother's Milk/Tomer Capone as Frenchie</v>
      </c>
      <c r="W2468" s="53" t="str">
        <f t="shared" si="503"/>
        <v>Mother's Milk/Tomer Capone as Frenchie</v>
      </c>
      <c r="X2468" s="53" t="str">
        <f t="shared" si="504"/>
        <v>Mother's Milk/Tomer Capone as Frenchie</v>
      </c>
      <c r="Y2468" s="57" t="str">
        <f>IF($X2468="","",IFERROR(VLOOKUP($X2468,'Char Popularity'!$A$2:$C$500,2,FALSE),""))</f>
        <v/>
      </c>
      <c r="Z2468" s="56">
        <f>IF($X2468="",1,IFERROR(VLOOKUP($X2468,'Char Popularity'!$A$2:$C$500,3,FALSE),1))</f>
        <v>1</v>
      </c>
      <c r="AA2468" s="62">
        <f>IF($H2468&lt;&gt;"Y",0,(IF($F2468&lt;&gt;"",ROUND(Dashboard!$R$4/$F2468,1),IF(AND($I2468="Base",$E2468="Base"),Dashboard!$R$5,IF(AND($I2468="Base",$E2468="Red"),Dashboard!$R$6,IF(AND($I2468="Base",$E2468="Gold"),Dashboard!$R$7,VLOOKUP($I2468,Dashboard!$Q$16:$R$21,2,FALSE)))))*VLOOKUP($I2468,Dashboard!$Q$9:$R$13,2,FALSE)*IF(AND($I2468="Auto",$F2468="",OR($B2468="Autographs Duals",$B2468="Autographs Triples",$B2468="Autographs Quads",$B2468="Autographs Quads (Inscribed)")),IF($B2468="Autographs Duals",2,IF($B2468="Autographs Triples",3,4)),1)))</f>
        <v>0</v>
      </c>
      <c r="AB2468" s="62">
        <f t="shared" si="505"/>
        <v>0</v>
      </c>
      <c r="AC2468" s="62">
        <f t="shared" si="506"/>
        <v>0</v>
      </c>
    </row>
    <row r="2469" spans="1:29" ht="30" customHeight="1" x14ac:dyDescent="0.25">
      <c r="A2469" s="4" t="s">
        <v>39</v>
      </c>
      <c r="B2469" s="7" t="s">
        <v>789</v>
      </c>
      <c r="C2469" s="2" t="s">
        <v>206</v>
      </c>
      <c r="D2469" s="7" t="s">
        <v>207</v>
      </c>
      <c r="E2469" s="4" t="s">
        <v>1602</v>
      </c>
      <c r="F2469" s="2">
        <v>1</v>
      </c>
      <c r="G2469" s="2" t="s">
        <v>1399</v>
      </c>
      <c r="H2469" s="2" t="s">
        <v>1399</v>
      </c>
      <c r="I2469" s="4" t="s">
        <v>68</v>
      </c>
      <c r="J2469" s="112">
        <f>IF($H2469&lt;&gt;"Y",0,ROUND(MIN(Dashboard!$R$24,IF(IFERROR(VLOOKUP($B2469,Dashboard!$Q$28:$S$60,2,FALSE),0)&gt;0,IFERROR(VLOOKUP($B2469,Dashboard!$Q$28:$S$60,2,FALSE),0),$Z2469*IF($U2469&lt;&gt;"",ROUND((Dashboard!$R$4/$U2469)*VLOOKUP($I2469,Dashboard!$Q$9:$R$13,2,FALSE)*IF(ISNUMBER(SEARCH("Duals",$B2469)),2,IF(ISNUMBER(SEARCH("Triples",$B2469)),3,IF(ISNUMBER(SEARCH("Quads",$B2469)),4,1))),2),ROUND(VLOOKUP($I2469,Dashboard!$Q$15:$R$20,2,FALSE)*IF($E2469="Red",Dashboard!$R$6,IF($E2469="Gold",Dashboard!$R$7,Dashboard!$R$5))*IF(ISNUMBER(SEARCH("Duals",$B2469)),2,IF(ISNUMBER(SEARCH("Triples",$B2469)),3,IF(ISNUMBER(SEARCH("Quads",$B2469)),4,1))),2))*IF(IFERROR(VLOOKUP($B2469,Dashboard!$Q$28:$S$60,3,FALSE),0)&gt;0,VLOOKUP($B2469,Dashboard!$Q$28:$S$60,3,FALSE),1))),0))</f>
        <v>0</v>
      </c>
      <c r="K2469" s="2" t="str">
        <f>IF('Autos - Multi'!H12="","",'Autos - Multi'!H12)</f>
        <v/>
      </c>
      <c r="L2469" s="2">
        <f t="shared" si="494"/>
        <v>0</v>
      </c>
      <c r="M2469" s="2">
        <f t="shared" si="495"/>
        <v>0</v>
      </c>
      <c r="N2469" s="2">
        <f t="shared" si="496"/>
        <v>0</v>
      </c>
      <c r="O2469" s="2">
        <f t="shared" si="497"/>
        <v>0</v>
      </c>
      <c r="P2469" s="112">
        <f t="shared" si="498"/>
        <v>0</v>
      </c>
      <c r="Q2469" s="112">
        <f t="shared" si="499"/>
        <v>0</v>
      </c>
      <c r="R2469" s="53"/>
      <c r="S2469" s="53" t="str">
        <f t="shared" si="500"/>
        <v>Autos - Multi|Autographs Duals Gold Parallel|AD-VC|Gold</v>
      </c>
      <c r="T2469" s="57" t="str">
        <f>IF($S2469="","",IFERROR(VLOOKUP($S2469,'Pop Estimates (Non-#d)'!$N$2:$O$500,2,FALSE),""))</f>
        <v/>
      </c>
      <c r="U2469" s="57">
        <f t="shared" si="501"/>
        <v>1</v>
      </c>
      <c r="V2469" s="53" t="str">
        <f t="shared" si="502"/>
        <v>Becca Butcher/Cameron Crovetti as Ryan</v>
      </c>
      <c r="W2469" s="53" t="str">
        <f t="shared" si="503"/>
        <v>Becca Butcher/Cameron Crovetti as Ryan</v>
      </c>
      <c r="X2469" s="53" t="str">
        <f t="shared" si="504"/>
        <v>Becca Butcher/Cameron Crovetti as Ryan</v>
      </c>
      <c r="Y2469" s="57" t="str">
        <f>IF($X2469="","",IFERROR(VLOOKUP($X2469,'Char Popularity'!$A$2:$C$500,2,FALSE),""))</f>
        <v/>
      </c>
      <c r="Z2469" s="56">
        <f>IF($X2469="",1,IFERROR(VLOOKUP($X2469,'Char Popularity'!$A$2:$C$500,3,FALSE),1))</f>
        <v>1</v>
      </c>
      <c r="AA2469" s="62">
        <f>IF($H2469&lt;&gt;"Y",0,(IF($F2469&lt;&gt;"",ROUND(Dashboard!$R$4/$F2469,1),IF(AND($I2469="Base",$E2469="Base"),Dashboard!$R$5,IF(AND($I2469="Base",$E2469="Red"),Dashboard!$R$6,IF(AND($I2469="Base",$E2469="Gold"),Dashboard!$R$7,VLOOKUP($I2469,Dashboard!$Q$16:$R$21,2,FALSE)))))*VLOOKUP($I2469,Dashboard!$Q$9:$R$13,2,FALSE)*IF(AND($I2469="Auto",$F2469="",OR($B2469="Autographs Duals",$B2469="Autographs Triples",$B2469="Autographs Quads",$B2469="Autographs Quads (Inscribed)")),IF($B2469="Autographs Duals",2,IF($B2469="Autographs Triples",3,4)),1)))</f>
        <v>0</v>
      </c>
      <c r="AB2469" s="62">
        <f t="shared" si="505"/>
        <v>0</v>
      </c>
      <c r="AC2469" s="62">
        <f t="shared" si="506"/>
        <v>0</v>
      </c>
    </row>
    <row r="2470" spans="1:29" ht="30" customHeight="1" x14ac:dyDescent="0.25">
      <c r="A2470" s="4" t="s">
        <v>39</v>
      </c>
      <c r="B2470" s="7" t="s">
        <v>116</v>
      </c>
      <c r="C2470" s="2" t="s">
        <v>186</v>
      </c>
      <c r="D2470" s="7" t="s">
        <v>1629</v>
      </c>
      <c r="E2470" s="4" t="s">
        <v>1602</v>
      </c>
      <c r="F2470" s="2">
        <v>1</v>
      </c>
      <c r="G2470" s="2" t="s">
        <v>1399</v>
      </c>
      <c r="H2470" s="2" t="s">
        <v>1399</v>
      </c>
      <c r="I2470" s="4" t="s">
        <v>68</v>
      </c>
      <c r="J2470" s="112">
        <f>IF($H2470&lt;&gt;"Y",0,ROUND(MIN(Dashboard!$R$24,IF(IFERROR(VLOOKUP($B2470,Dashboard!$Q$28:$S$60,2,FALSE),0)&gt;0,IFERROR(VLOOKUP($B2470,Dashboard!$Q$28:$S$60,2,FALSE),0),$Z2470*IF($U2470&lt;&gt;"",ROUND((Dashboard!$R$4/$U2470)*VLOOKUP($I2470,Dashboard!$Q$9:$R$13,2,FALSE)*IF(ISNUMBER(SEARCH("Duals",$B2470)),2,IF(ISNUMBER(SEARCH("Triples",$B2470)),3,IF(ISNUMBER(SEARCH("Quads",$B2470)),4,1))),2),ROUND(VLOOKUP($I2470,Dashboard!$Q$15:$R$20,2,FALSE)*IF($E2470="Red",Dashboard!$R$6,IF($E2470="Gold",Dashboard!$R$7,Dashboard!$R$5))*IF(ISNUMBER(SEARCH("Duals",$B2470)),2,IF(ISNUMBER(SEARCH("Triples",$B2470)),3,IF(ISNUMBER(SEARCH("Quads",$B2470)),4,1))),2))*IF(IFERROR(VLOOKUP($B2470,Dashboard!$Q$28:$S$60,3,FALSE),0)&gt;0,VLOOKUP($B2470,Dashboard!$Q$28:$S$60,3,FALSE),1))),0))</f>
        <v>0</v>
      </c>
      <c r="K2470" s="2" t="str">
        <f>IF('Autos - Multi'!H2="","",'Autos - Multi'!H2)</f>
        <v/>
      </c>
      <c r="L2470" s="2">
        <f t="shared" si="494"/>
        <v>0</v>
      </c>
      <c r="M2470" s="2">
        <f t="shared" si="495"/>
        <v>0</v>
      </c>
      <c r="N2470" s="2">
        <f t="shared" si="496"/>
        <v>0</v>
      </c>
      <c r="O2470" s="2">
        <f t="shared" si="497"/>
        <v>0</v>
      </c>
      <c r="P2470" s="112">
        <f t="shared" si="498"/>
        <v>0</v>
      </c>
      <c r="Q2470" s="112">
        <f t="shared" si="499"/>
        <v>0</v>
      </c>
      <c r="R2470" s="53" t="s">
        <v>1630</v>
      </c>
      <c r="S2470" s="53" t="str">
        <f t="shared" si="500"/>
        <v>Autos - Multi|Autographs Duals Gold Parallel (Inscribed)|AD-ES|Gold</v>
      </c>
      <c r="T2470" s="57" t="str">
        <f>IF($S2470="","",IFERROR(VLOOKUP($S2470,'Pop Estimates (Non-#d)'!$N$2:$O$500,2,FALSE),""))</f>
        <v/>
      </c>
      <c r="U2470" s="57">
        <f t="shared" si="501"/>
        <v>1</v>
      </c>
      <c r="V2470" s="53" t="str">
        <f t="shared" si="502"/>
        <v>Homelander "The Seven"/Chace Crawford as The Deep "The Seven"</v>
      </c>
      <c r="W2470" s="53" t="str">
        <f t="shared" si="503"/>
        <v>Homelander "The Seven"/Chace Crawford as The Deep "The Seven"</v>
      </c>
      <c r="X2470" s="53" t="str">
        <f t="shared" si="504"/>
        <v>Homelander</v>
      </c>
      <c r="Y2470" s="57">
        <f>IF($X2470="","",IFERROR(VLOOKUP($X2470,'Char Popularity'!$A$2:$C$500,2,FALSE),""))</f>
        <v>5</v>
      </c>
      <c r="Z2470" s="56">
        <f>IF($X2470="",1,IFERROR(VLOOKUP($X2470,'Char Popularity'!$A$2:$C$500,3,FALSE),1))</f>
        <v>1.2</v>
      </c>
      <c r="AA2470" s="62">
        <f>IF($H2470&lt;&gt;"Y",0,(IF($F2470&lt;&gt;"",ROUND(Dashboard!$R$4/$F2470,1),IF(AND($I2470="Base",$E2470="Base"),Dashboard!$R$5,IF(AND($I2470="Base",$E2470="Red"),Dashboard!$R$6,IF(AND($I2470="Base",$E2470="Gold"),Dashboard!$R$7,VLOOKUP($I2470,Dashboard!$Q$16:$R$21,2,FALSE)))))*VLOOKUP($I2470,Dashboard!$Q$9:$R$13,2,FALSE)*IF(AND($I2470="Auto",$F2470="",OR($B2470="Autographs Duals",$B2470="Autographs Triples",$B2470="Autographs Quads",$B2470="Autographs Quads (Inscribed)")),IF($B2470="Autographs Duals",2,IF($B2470="Autographs Triples",3,4)),1)))</f>
        <v>0</v>
      </c>
      <c r="AB2470" s="62">
        <f t="shared" si="505"/>
        <v>0</v>
      </c>
      <c r="AC2470" s="62">
        <f t="shared" si="506"/>
        <v>0</v>
      </c>
    </row>
    <row r="2471" spans="1:29" ht="30" customHeight="1" x14ac:dyDescent="0.25">
      <c r="A2471" s="4" t="s">
        <v>39</v>
      </c>
      <c r="B2471" s="7" t="s">
        <v>116</v>
      </c>
      <c r="C2471" s="2" t="s">
        <v>188</v>
      </c>
      <c r="D2471" s="7" t="s">
        <v>1631</v>
      </c>
      <c r="E2471" s="4" t="s">
        <v>1602</v>
      </c>
      <c r="F2471" s="2">
        <v>1</v>
      </c>
      <c r="G2471" s="2" t="s">
        <v>1399</v>
      </c>
      <c r="H2471" s="2" t="s">
        <v>1399</v>
      </c>
      <c r="I2471" s="4" t="s">
        <v>68</v>
      </c>
      <c r="J2471" s="112">
        <f>IF($H2471&lt;&gt;"Y",0,ROUND(MIN(Dashboard!$R$24,IF(IFERROR(VLOOKUP($B2471,Dashboard!$Q$28:$S$60,2,FALSE),0)&gt;0,IFERROR(VLOOKUP($B2471,Dashboard!$Q$28:$S$60,2,FALSE),0),$Z2471*IF($U2471&lt;&gt;"",ROUND((Dashboard!$R$4/$U2471)*VLOOKUP($I2471,Dashboard!$Q$9:$R$13,2,FALSE)*IF(ISNUMBER(SEARCH("Duals",$B2471)),2,IF(ISNUMBER(SEARCH("Triples",$B2471)),3,IF(ISNUMBER(SEARCH("Quads",$B2471)),4,1))),2),ROUND(VLOOKUP($I2471,Dashboard!$Q$15:$R$20,2,FALSE)*IF($E2471="Red",Dashboard!$R$6,IF($E2471="Gold",Dashboard!$R$7,Dashboard!$R$5))*IF(ISNUMBER(SEARCH("Duals",$B2471)),2,IF(ISNUMBER(SEARCH("Triples",$B2471)),3,IF(ISNUMBER(SEARCH("Quads",$B2471)),4,1))),2))*IF(IFERROR(VLOOKUP($B2471,Dashboard!$Q$28:$S$60,3,FALSE),0)&gt;0,VLOOKUP($B2471,Dashboard!$Q$28:$S$60,3,FALSE),1))),0))</f>
        <v>0</v>
      </c>
      <c r="K2471" s="2" t="str">
        <f>IF('Autos - Multi'!H3="","",'Autos - Multi'!H3)</f>
        <v/>
      </c>
      <c r="L2471" s="2">
        <f t="shared" si="494"/>
        <v>0</v>
      </c>
      <c r="M2471" s="2">
        <f t="shared" si="495"/>
        <v>0</v>
      </c>
      <c r="N2471" s="2">
        <f t="shared" si="496"/>
        <v>0</v>
      </c>
      <c r="O2471" s="2">
        <f t="shared" si="497"/>
        <v>0</v>
      </c>
      <c r="P2471" s="112">
        <f t="shared" si="498"/>
        <v>0</v>
      </c>
      <c r="Q2471" s="112">
        <f t="shared" si="499"/>
        <v>0</v>
      </c>
      <c r="R2471" s="53" t="s">
        <v>1632</v>
      </c>
      <c r="S2471" s="53" t="str">
        <f t="shared" si="500"/>
        <v>Autos - Multi|Autographs Duals Gold Parallel (Inscribed)|AD-FC|Gold</v>
      </c>
      <c r="T2471" s="57" t="str">
        <f>IF($S2471="","",IFERROR(VLOOKUP($S2471,'Pop Estimates (Non-#d)'!$N$2:$O$500,2,FALSE),""))</f>
        <v/>
      </c>
      <c r="U2471" s="57">
        <f t="shared" si="501"/>
        <v>1</v>
      </c>
      <c r="V2471" s="53" t="str">
        <f t="shared" si="502"/>
        <v>Frenchie "Mon Cocur (Mon Coeur)"/Karen Fukuhara as Kimiko "Kimiko"</v>
      </c>
      <c r="W2471" s="53" t="str">
        <f t="shared" si="503"/>
        <v>Mon Coeur</v>
      </c>
      <c r="X2471" s="53" t="str">
        <f t="shared" si="504"/>
        <v>Mon Coeur</v>
      </c>
      <c r="Y2471" s="57">
        <f>IF($X2471="","",IFERROR(VLOOKUP($X2471,'Char Popularity'!$A$2:$C$500,2,FALSE),""))</f>
        <v>3</v>
      </c>
      <c r="Z2471" s="56">
        <f>IF($X2471="",1,IFERROR(VLOOKUP($X2471,'Char Popularity'!$A$2:$C$500,3,FALSE),1))</f>
        <v>1</v>
      </c>
      <c r="AA2471" s="62">
        <f>IF($H2471&lt;&gt;"Y",0,(IF($F2471&lt;&gt;"",ROUND(Dashboard!$R$4/$F2471,1),IF(AND($I2471="Base",$E2471="Base"),Dashboard!$R$5,IF(AND($I2471="Base",$E2471="Red"),Dashboard!$R$6,IF(AND($I2471="Base",$E2471="Gold"),Dashboard!$R$7,VLOOKUP($I2471,Dashboard!$Q$16:$R$21,2,FALSE)))))*VLOOKUP($I2471,Dashboard!$Q$9:$R$13,2,FALSE)*IF(AND($I2471="Auto",$F2471="",OR($B2471="Autographs Duals",$B2471="Autographs Triples",$B2471="Autographs Quads",$B2471="Autographs Quads (Inscribed)")),IF($B2471="Autographs Duals",2,IF($B2471="Autographs Triples",3,4)),1)))</f>
        <v>0</v>
      </c>
      <c r="AB2471" s="62">
        <f t="shared" si="505"/>
        <v>0</v>
      </c>
      <c r="AC2471" s="62">
        <f t="shared" si="506"/>
        <v>0</v>
      </c>
    </row>
    <row r="2472" spans="1:29" ht="30" customHeight="1" x14ac:dyDescent="0.25">
      <c r="A2472" s="4" t="s">
        <v>39</v>
      </c>
      <c r="B2472" s="7" t="s">
        <v>116</v>
      </c>
      <c r="C2472" s="2" t="s">
        <v>190</v>
      </c>
      <c r="D2472" s="7" t="s">
        <v>1633</v>
      </c>
      <c r="E2472" s="4" t="s">
        <v>1602</v>
      </c>
      <c r="F2472" s="2">
        <v>1</v>
      </c>
      <c r="G2472" s="2" t="s">
        <v>1399</v>
      </c>
      <c r="H2472" s="2" t="s">
        <v>1399</v>
      </c>
      <c r="I2472" s="4" t="s">
        <v>68</v>
      </c>
      <c r="J2472" s="112">
        <f>IF($H2472&lt;&gt;"Y",0,ROUND(MIN(Dashboard!$R$24,IF(IFERROR(VLOOKUP($B2472,Dashboard!$Q$28:$S$60,2,FALSE),0)&gt;0,IFERROR(VLOOKUP($B2472,Dashboard!$Q$28:$S$60,2,FALSE),0),$Z2472*IF($U2472&lt;&gt;"",ROUND((Dashboard!$R$4/$U2472)*VLOOKUP($I2472,Dashboard!$Q$9:$R$13,2,FALSE)*IF(ISNUMBER(SEARCH("Duals",$B2472)),2,IF(ISNUMBER(SEARCH("Triples",$B2472)),3,IF(ISNUMBER(SEARCH("Quads",$B2472)),4,1))),2),ROUND(VLOOKUP($I2472,Dashboard!$Q$15:$R$20,2,FALSE)*IF($E2472="Red",Dashboard!$R$6,IF($E2472="Gold",Dashboard!$R$7,Dashboard!$R$5))*IF(ISNUMBER(SEARCH("Duals",$B2472)),2,IF(ISNUMBER(SEARCH("Triples",$B2472)),3,IF(ISNUMBER(SEARCH("Quads",$B2472)),4,1))),2))*IF(IFERROR(VLOOKUP($B2472,Dashboard!$Q$28:$S$60,3,FALSE),0)&gt;0,VLOOKUP($B2472,Dashboard!$Q$28:$S$60,3,FALSE),1))),0))</f>
        <v>0</v>
      </c>
      <c r="K2472" s="2" t="str">
        <f>IF('Autos - Multi'!H4="","",'Autos - Multi'!H4)</f>
        <v/>
      </c>
      <c r="L2472" s="2">
        <f t="shared" si="494"/>
        <v>0</v>
      </c>
      <c r="M2472" s="2">
        <f t="shared" si="495"/>
        <v>0</v>
      </c>
      <c r="N2472" s="2">
        <f t="shared" si="496"/>
        <v>0</v>
      </c>
      <c r="O2472" s="2">
        <f t="shared" si="497"/>
        <v>0</v>
      </c>
      <c r="P2472" s="112">
        <f t="shared" si="498"/>
        <v>0</v>
      </c>
      <c r="Q2472" s="112">
        <f t="shared" si="499"/>
        <v>0</v>
      </c>
      <c r="R2472" s="53" t="s">
        <v>1634</v>
      </c>
      <c r="S2472" s="53" t="str">
        <f t="shared" si="500"/>
        <v>Autos - Multi|Autographs Duals Gold Parallel (Inscribed)|AD-JB|Gold</v>
      </c>
      <c r="T2472" s="57" t="str">
        <f>IF($S2472="","",IFERROR(VLOOKUP($S2472,'Pop Estimates (Non-#d)'!$N$2:$O$500,2,FALSE),""))</f>
        <v/>
      </c>
      <c r="U2472" s="57">
        <f t="shared" si="501"/>
        <v>1</v>
      </c>
      <c r="V2472" s="53" t="str">
        <f t="shared" si="502"/>
        <v>A-Train "A-Train, Baby"/Brittany Allen as Popclaw "Popclaw"</v>
      </c>
      <c r="W2472" s="53" t="str">
        <f t="shared" si="503"/>
        <v>A-Train "A-Train, Baby"/Brittany Allen as Popclaw "Popclaw"</v>
      </c>
      <c r="X2472" s="53" t="str">
        <f t="shared" si="504"/>
        <v>A-Train</v>
      </c>
      <c r="Y2472" s="57">
        <f>IF($X2472="","",IFERROR(VLOOKUP($X2472,'Char Popularity'!$A$2:$C$500,2,FALSE),""))</f>
        <v>4</v>
      </c>
      <c r="Z2472" s="56">
        <f>IF($X2472="",1,IFERROR(VLOOKUP($X2472,'Char Popularity'!$A$2:$C$500,3,FALSE),1))</f>
        <v>1.1000000000000001</v>
      </c>
      <c r="AA2472" s="62">
        <f>IF($H2472&lt;&gt;"Y",0,(IF($F2472&lt;&gt;"",ROUND(Dashboard!$R$4/$F2472,1),IF(AND($I2472="Base",$E2472="Base"),Dashboard!$R$5,IF(AND($I2472="Base",$E2472="Red"),Dashboard!$R$6,IF(AND($I2472="Base",$E2472="Gold"),Dashboard!$R$7,VLOOKUP($I2472,Dashboard!$Q$16:$R$21,2,FALSE)))))*VLOOKUP($I2472,Dashboard!$Q$9:$R$13,2,FALSE)*IF(AND($I2472="Auto",$F2472="",OR($B2472="Autographs Duals",$B2472="Autographs Triples",$B2472="Autographs Quads",$B2472="Autographs Quads (Inscribed)")),IF($B2472="Autographs Duals",2,IF($B2472="Autographs Triples",3,4)),1)))</f>
        <v>0</v>
      </c>
      <c r="AB2472" s="62">
        <f t="shared" si="505"/>
        <v>0</v>
      </c>
      <c r="AC2472" s="62">
        <f t="shared" si="506"/>
        <v>0</v>
      </c>
    </row>
    <row r="2473" spans="1:29" ht="30" customHeight="1" x14ac:dyDescent="0.25">
      <c r="A2473" s="4" t="s">
        <v>39</v>
      </c>
      <c r="B2473" s="7" t="s">
        <v>116</v>
      </c>
      <c r="C2473" s="2" t="s">
        <v>192</v>
      </c>
      <c r="D2473" s="7" t="s">
        <v>1635</v>
      </c>
      <c r="E2473" s="4" t="s">
        <v>1602</v>
      </c>
      <c r="F2473" s="2">
        <v>1</v>
      </c>
      <c r="G2473" s="2" t="s">
        <v>1399</v>
      </c>
      <c r="H2473" s="2" t="s">
        <v>1399</v>
      </c>
      <c r="I2473" s="4" t="s">
        <v>68</v>
      </c>
      <c r="J2473" s="112">
        <f>IF($H2473&lt;&gt;"Y",0,ROUND(MIN(Dashboard!$R$24,IF(IFERROR(VLOOKUP($B2473,Dashboard!$Q$28:$S$60,2,FALSE),0)&gt;0,IFERROR(VLOOKUP($B2473,Dashboard!$Q$28:$S$60,2,FALSE),0),$Z2473*IF($U2473&lt;&gt;"",ROUND((Dashboard!$R$4/$U2473)*VLOOKUP($I2473,Dashboard!$Q$9:$R$13,2,FALSE)*IF(ISNUMBER(SEARCH("Duals",$B2473)),2,IF(ISNUMBER(SEARCH("Triples",$B2473)),3,IF(ISNUMBER(SEARCH("Quads",$B2473)),4,1))),2),ROUND(VLOOKUP($I2473,Dashboard!$Q$15:$R$20,2,FALSE)*IF($E2473="Red",Dashboard!$R$6,IF($E2473="Gold",Dashboard!$R$7,Dashboard!$R$5))*IF(ISNUMBER(SEARCH("Duals",$B2473)),2,IF(ISNUMBER(SEARCH("Triples",$B2473)),3,IF(ISNUMBER(SEARCH("Quads",$B2473)),4,1))),2))*IF(IFERROR(VLOOKUP($B2473,Dashboard!$Q$28:$S$60,3,FALSE),0)&gt;0,VLOOKUP($B2473,Dashboard!$Q$28:$S$60,3,FALSE),1))),0))</f>
        <v>0</v>
      </c>
      <c r="K2473" s="2" t="str">
        <f>IF('Autos - Multi'!H5="","",'Autos - Multi'!H5)</f>
        <v/>
      </c>
      <c r="L2473" s="2">
        <f t="shared" si="494"/>
        <v>0</v>
      </c>
      <c r="M2473" s="2">
        <f t="shared" si="495"/>
        <v>0</v>
      </c>
      <c r="N2473" s="2">
        <f t="shared" si="496"/>
        <v>0</v>
      </c>
      <c r="O2473" s="2">
        <f t="shared" si="497"/>
        <v>0</v>
      </c>
      <c r="P2473" s="112">
        <f t="shared" si="498"/>
        <v>0</v>
      </c>
      <c r="Q2473" s="112">
        <f t="shared" si="499"/>
        <v>0</v>
      </c>
      <c r="R2473" s="53" t="s">
        <v>1636</v>
      </c>
      <c r="S2473" s="53" t="str">
        <f t="shared" si="500"/>
        <v>Autos - Multi|Autographs Duals Gold Parallel (Inscribed)|AD-MM|Gold</v>
      </c>
      <c r="T2473" s="57" t="str">
        <f>IF($S2473="","",IFERROR(VLOOKUP($S2473,'Pop Estimates (Non-#d)'!$N$2:$O$500,2,FALSE),""))</f>
        <v/>
      </c>
      <c r="U2473" s="57">
        <f t="shared" si="501"/>
        <v>1</v>
      </c>
      <c r="V2473" s="53" t="str">
        <f t="shared" si="502"/>
        <v>Starlight "Starlight"/Dominique McElligott as Queen Maeve "Queen Maeve"</v>
      </c>
      <c r="W2473" s="53" t="str">
        <f t="shared" si="503"/>
        <v>Starlight "Starlight"/Dominique McElligott as Queen Maeve "Queen Maeve"</v>
      </c>
      <c r="X2473" s="53" t="str">
        <f t="shared" si="504"/>
        <v>Starlight</v>
      </c>
      <c r="Y2473" s="57">
        <f>IF($X2473="","",IFERROR(VLOOKUP($X2473,'Char Popularity'!$A$2:$C$500,2,FALSE),""))</f>
        <v>5</v>
      </c>
      <c r="Z2473" s="56">
        <f>IF($X2473="",1,IFERROR(VLOOKUP($X2473,'Char Popularity'!$A$2:$C$500,3,FALSE),1))</f>
        <v>1.2</v>
      </c>
      <c r="AA2473" s="62">
        <f>IF($H2473&lt;&gt;"Y",0,(IF($F2473&lt;&gt;"",ROUND(Dashboard!$R$4/$F2473,1),IF(AND($I2473="Base",$E2473="Base"),Dashboard!$R$5,IF(AND($I2473="Base",$E2473="Red"),Dashboard!$R$6,IF(AND($I2473="Base",$E2473="Gold"),Dashboard!$R$7,VLOOKUP($I2473,Dashboard!$Q$16:$R$21,2,FALSE)))))*VLOOKUP($I2473,Dashboard!$Q$9:$R$13,2,FALSE)*IF(AND($I2473="Auto",$F2473="",OR($B2473="Autographs Duals",$B2473="Autographs Triples",$B2473="Autographs Quads",$B2473="Autographs Quads (Inscribed)")),IF($B2473="Autographs Duals",2,IF($B2473="Autographs Triples",3,4)),1)))</f>
        <v>0</v>
      </c>
      <c r="AB2473" s="62">
        <f t="shared" si="505"/>
        <v>0</v>
      </c>
      <c r="AC2473" s="62">
        <f t="shared" si="506"/>
        <v>0</v>
      </c>
    </row>
    <row r="2474" spans="1:29" ht="30" customHeight="1" x14ac:dyDescent="0.25">
      <c r="A2474" s="4" t="s">
        <v>39</v>
      </c>
      <c r="B2474" s="7" t="s">
        <v>116</v>
      </c>
      <c r="C2474" s="2" t="s">
        <v>194</v>
      </c>
      <c r="D2474" s="7" t="s">
        <v>1637</v>
      </c>
      <c r="E2474" s="4" t="s">
        <v>1602</v>
      </c>
      <c r="F2474" s="2">
        <v>1</v>
      </c>
      <c r="G2474" s="2" t="s">
        <v>1399</v>
      </c>
      <c r="H2474" s="2" t="s">
        <v>1399</v>
      </c>
      <c r="I2474" s="4" t="s">
        <v>68</v>
      </c>
      <c r="J2474" s="112">
        <f>IF($H2474&lt;&gt;"Y",0,ROUND(MIN(Dashboard!$R$24,IF(IFERROR(VLOOKUP($B2474,Dashboard!$Q$28:$S$60,2,FALSE),0)&gt;0,IFERROR(VLOOKUP($B2474,Dashboard!$Q$28:$S$60,2,FALSE),0),$Z2474*IF($U2474&lt;&gt;"",ROUND((Dashboard!$R$4/$U2474)*VLOOKUP($I2474,Dashboard!$Q$9:$R$13,2,FALSE)*IF(ISNUMBER(SEARCH("Duals",$B2474)),2,IF(ISNUMBER(SEARCH("Triples",$B2474)),3,IF(ISNUMBER(SEARCH("Quads",$B2474)),4,1))),2),ROUND(VLOOKUP($I2474,Dashboard!$Q$15:$R$20,2,FALSE)*IF($E2474="Red",Dashboard!$R$6,IF($E2474="Gold",Dashboard!$R$7,Dashboard!$R$5))*IF(ISNUMBER(SEARCH("Duals",$B2474)),2,IF(ISNUMBER(SEARCH("Triples",$B2474)),3,IF(ISNUMBER(SEARCH("Quads",$B2474)),4,1))),2))*IF(IFERROR(VLOOKUP($B2474,Dashboard!$Q$28:$S$60,3,FALSE),0)&gt;0,VLOOKUP($B2474,Dashboard!$Q$28:$S$60,3,FALSE),1))),0))</f>
        <v>0</v>
      </c>
      <c r="K2474" s="2" t="str">
        <f>IF('Autos - Multi'!H6="","",'Autos - Multi'!H6)</f>
        <v/>
      </c>
      <c r="L2474" s="2">
        <f t="shared" si="494"/>
        <v>0</v>
      </c>
      <c r="M2474" s="2">
        <f t="shared" si="495"/>
        <v>0</v>
      </c>
      <c r="N2474" s="2">
        <f t="shared" si="496"/>
        <v>0</v>
      </c>
      <c r="O2474" s="2">
        <f t="shared" si="497"/>
        <v>0</v>
      </c>
      <c r="P2474" s="112">
        <f t="shared" si="498"/>
        <v>0</v>
      </c>
      <c r="Q2474" s="112">
        <f t="shared" si="499"/>
        <v>0</v>
      </c>
      <c r="R2474" s="53" t="s">
        <v>1638</v>
      </c>
      <c r="S2474" s="53" t="str">
        <f t="shared" si="500"/>
        <v>Autos - Multi|Autographs Duals Gold Parallel (Inscribed)|AD-MQ|Gold</v>
      </c>
      <c r="T2474" s="57" t="str">
        <f>IF($S2474="","",IFERROR(VLOOKUP($S2474,'Pop Estimates (Non-#d)'!$N$2:$O$500,2,FALSE),""))</f>
        <v/>
      </c>
      <c r="U2474" s="57">
        <f t="shared" si="501"/>
        <v>1</v>
      </c>
      <c r="V2474" s="53" t="str">
        <f t="shared" si="502"/>
        <v>Hughie Campbell"Hughie Campbell"/Erin Moriarty as Starlight "Starlight"</v>
      </c>
      <c r="W2474" s="53" t="str">
        <f t="shared" si="503"/>
        <v>Hughie Campbell"Hughie Campbell"/Erin Moriarty as Starlight "Starlight"</v>
      </c>
      <c r="X2474" s="53" t="str">
        <f t="shared" si="504"/>
        <v>Hughie Campbell</v>
      </c>
      <c r="Y2474" s="57">
        <f>IF($X2474="","",IFERROR(VLOOKUP($X2474,'Char Popularity'!$A$2:$C$500,2,FALSE),""))</f>
        <v>5</v>
      </c>
      <c r="Z2474" s="56">
        <f>IF($X2474="",1,IFERROR(VLOOKUP($X2474,'Char Popularity'!$A$2:$C$500,3,FALSE),1))</f>
        <v>1.2</v>
      </c>
      <c r="AA2474" s="62">
        <f>IF($H2474&lt;&gt;"Y",0,(IF($F2474&lt;&gt;"",ROUND(Dashboard!$R$4/$F2474,1),IF(AND($I2474="Base",$E2474="Base"),Dashboard!$R$5,IF(AND($I2474="Base",$E2474="Red"),Dashboard!$R$6,IF(AND($I2474="Base",$E2474="Gold"),Dashboard!$R$7,VLOOKUP($I2474,Dashboard!$Q$16:$R$21,2,FALSE)))))*VLOOKUP($I2474,Dashboard!$Q$9:$R$13,2,FALSE)*IF(AND($I2474="Auto",$F2474="",OR($B2474="Autographs Duals",$B2474="Autographs Triples",$B2474="Autographs Quads",$B2474="Autographs Quads (Inscribed)")),IF($B2474="Autographs Duals",2,IF($B2474="Autographs Triples",3,4)),1)))</f>
        <v>0</v>
      </c>
      <c r="AB2474" s="62">
        <f t="shared" si="505"/>
        <v>0</v>
      </c>
      <c r="AC2474" s="62">
        <f t="shared" si="506"/>
        <v>0</v>
      </c>
    </row>
    <row r="2475" spans="1:29" ht="30" customHeight="1" x14ac:dyDescent="0.25">
      <c r="A2475" s="4" t="s">
        <v>39</v>
      </c>
      <c r="B2475" s="7" t="s">
        <v>116</v>
      </c>
      <c r="C2475" s="2" t="s">
        <v>196</v>
      </c>
      <c r="D2475" s="7" t="s">
        <v>1639</v>
      </c>
      <c r="E2475" s="4" t="s">
        <v>1602</v>
      </c>
      <c r="F2475" s="2">
        <v>1</v>
      </c>
      <c r="G2475" s="2" t="s">
        <v>1399</v>
      </c>
      <c r="H2475" s="2" t="s">
        <v>1399</v>
      </c>
      <c r="I2475" s="4" t="s">
        <v>68</v>
      </c>
      <c r="J2475" s="112">
        <f>IF($H2475&lt;&gt;"Y",0,ROUND(MIN(Dashboard!$R$24,IF(IFERROR(VLOOKUP($B2475,Dashboard!$Q$28:$S$60,2,FALSE),0)&gt;0,IFERROR(VLOOKUP($B2475,Dashboard!$Q$28:$S$60,2,FALSE),0),$Z2475*IF($U2475&lt;&gt;"",ROUND((Dashboard!$R$4/$U2475)*VLOOKUP($I2475,Dashboard!$Q$9:$R$13,2,FALSE)*IF(ISNUMBER(SEARCH("Duals",$B2475)),2,IF(ISNUMBER(SEARCH("Triples",$B2475)),3,IF(ISNUMBER(SEARCH("Quads",$B2475)),4,1))),2),ROUND(VLOOKUP($I2475,Dashboard!$Q$15:$R$20,2,FALSE)*IF($E2475="Red",Dashboard!$R$6,IF($E2475="Gold",Dashboard!$R$7,Dashboard!$R$5))*IF(ISNUMBER(SEARCH("Duals",$B2475)),2,IF(ISNUMBER(SEARCH("Triples",$B2475)),3,IF(ISNUMBER(SEARCH("Quads",$B2475)),4,1))),2))*IF(IFERROR(VLOOKUP($B2475,Dashboard!$Q$28:$S$60,3,FALSE),0)&gt;0,VLOOKUP($B2475,Dashboard!$Q$28:$S$60,3,FALSE),1))),0))</f>
        <v>0</v>
      </c>
      <c r="K2475" s="2" t="str">
        <f>IF('Autos - Multi'!H7="","",'Autos - Multi'!H7)</f>
        <v/>
      </c>
      <c r="L2475" s="2">
        <f t="shared" si="494"/>
        <v>0</v>
      </c>
      <c r="M2475" s="2">
        <f t="shared" si="495"/>
        <v>0</v>
      </c>
      <c r="N2475" s="2">
        <f t="shared" si="496"/>
        <v>0</v>
      </c>
      <c r="O2475" s="2">
        <f t="shared" si="497"/>
        <v>0</v>
      </c>
      <c r="P2475" s="112">
        <f t="shared" si="498"/>
        <v>0</v>
      </c>
      <c r="Q2475" s="112">
        <f t="shared" si="499"/>
        <v>0</v>
      </c>
      <c r="R2475" s="53" t="s">
        <v>1604</v>
      </c>
      <c r="S2475" s="53" t="str">
        <f t="shared" si="500"/>
        <v>Autos - Multi|Autographs Duals Gold Parallel (Inscribed)|AD-QH|Gold</v>
      </c>
      <c r="T2475" s="57" t="str">
        <f>IF($S2475="","",IFERROR(VLOOKUP($S2475,'Pop Estimates (Non-#d)'!$N$2:$O$500,2,FALSE),""))</f>
        <v/>
      </c>
      <c r="U2475" s="57">
        <f t="shared" si="501"/>
        <v>1</v>
      </c>
      <c r="V2475" s="53" t="str">
        <f t="shared" si="502"/>
        <v>Hughie Campbell "The Boys"/Alex Hassell as Translucent "The Seven</v>
      </c>
      <c r="W2475" s="53" t="str">
        <f t="shared" si="503"/>
        <v>Hughie Campbell "The Boys"/Alex Hassell as Translucent "The Seven</v>
      </c>
      <c r="X2475" s="53" t="str">
        <f t="shared" si="504"/>
        <v>Hughie Campbell</v>
      </c>
      <c r="Y2475" s="57">
        <f>IF($X2475="","",IFERROR(VLOOKUP($X2475,'Char Popularity'!$A$2:$C$500,2,FALSE),""))</f>
        <v>5</v>
      </c>
      <c r="Z2475" s="56">
        <f>IF($X2475="",1,IFERROR(VLOOKUP($X2475,'Char Popularity'!$A$2:$C$500,3,FALSE),1))</f>
        <v>1.2</v>
      </c>
      <c r="AA2475" s="62">
        <f>IF($H2475&lt;&gt;"Y",0,(IF($F2475&lt;&gt;"",ROUND(Dashboard!$R$4/$F2475,1),IF(AND($I2475="Base",$E2475="Base"),Dashboard!$R$5,IF(AND($I2475="Base",$E2475="Red"),Dashboard!$R$6,IF(AND($I2475="Base",$E2475="Gold"),Dashboard!$R$7,VLOOKUP($I2475,Dashboard!$Q$16:$R$21,2,FALSE)))))*VLOOKUP($I2475,Dashboard!$Q$9:$R$13,2,FALSE)*IF(AND($I2475="Auto",$F2475="",OR($B2475="Autographs Duals",$B2475="Autographs Triples",$B2475="Autographs Quads",$B2475="Autographs Quads (Inscribed)")),IF($B2475="Autographs Duals",2,IF($B2475="Autographs Triples",3,4)),1)))</f>
        <v>0</v>
      </c>
      <c r="AB2475" s="62">
        <f t="shared" si="505"/>
        <v>0</v>
      </c>
      <c r="AC2475" s="62">
        <f t="shared" si="506"/>
        <v>0</v>
      </c>
    </row>
    <row r="2476" spans="1:29" ht="45" customHeight="1" x14ac:dyDescent="0.25">
      <c r="A2476" s="4" t="s">
        <v>39</v>
      </c>
      <c r="B2476" s="7" t="s">
        <v>116</v>
      </c>
      <c r="C2476" s="2" t="s">
        <v>198</v>
      </c>
      <c r="D2476" s="7" t="s">
        <v>1640</v>
      </c>
      <c r="E2476" s="4" t="s">
        <v>1602</v>
      </c>
      <c r="F2476" s="2">
        <v>1</v>
      </c>
      <c r="G2476" s="2" t="s">
        <v>1399</v>
      </c>
      <c r="H2476" s="2" t="s">
        <v>1399</v>
      </c>
      <c r="I2476" s="4" t="s">
        <v>68</v>
      </c>
      <c r="J2476" s="112">
        <f>IF($H2476&lt;&gt;"Y",0,ROUND(MIN(Dashboard!$R$24,IF(IFERROR(VLOOKUP($B2476,Dashboard!$Q$28:$S$60,2,FALSE),0)&gt;0,IFERROR(VLOOKUP($B2476,Dashboard!$Q$28:$S$60,2,FALSE),0),$Z2476*IF($U2476&lt;&gt;"",ROUND((Dashboard!$R$4/$U2476)*VLOOKUP($I2476,Dashboard!$Q$9:$R$13,2,FALSE)*IF(ISNUMBER(SEARCH("Duals",$B2476)),2,IF(ISNUMBER(SEARCH("Triples",$B2476)),3,IF(ISNUMBER(SEARCH("Quads",$B2476)),4,1))),2),ROUND(VLOOKUP($I2476,Dashboard!$Q$15:$R$20,2,FALSE)*IF($E2476="Red",Dashboard!$R$6,IF($E2476="Gold",Dashboard!$R$7,Dashboard!$R$5))*IF(ISNUMBER(SEARCH("Duals",$B2476)),2,IF(ISNUMBER(SEARCH("Triples",$B2476)),3,IF(ISNUMBER(SEARCH("Quads",$B2476)),4,1))),2))*IF(IFERROR(VLOOKUP($B2476,Dashboard!$Q$28:$S$60,3,FALSE),0)&gt;0,VLOOKUP($B2476,Dashboard!$Q$28:$S$60,3,FALSE),1))),0))</f>
        <v>0</v>
      </c>
      <c r="K2476" s="2" t="str">
        <f>IF('Autos - Multi'!H8="","",'Autos - Multi'!H8)</f>
        <v/>
      </c>
      <c r="L2476" s="2">
        <f t="shared" si="494"/>
        <v>0</v>
      </c>
      <c r="M2476" s="2">
        <f t="shared" si="495"/>
        <v>0</v>
      </c>
      <c r="N2476" s="2">
        <f t="shared" si="496"/>
        <v>0</v>
      </c>
      <c r="O2476" s="2">
        <f t="shared" si="497"/>
        <v>0</v>
      </c>
      <c r="P2476" s="112">
        <f t="shared" si="498"/>
        <v>0</v>
      </c>
      <c r="Q2476" s="112">
        <f t="shared" si="499"/>
        <v>0</v>
      </c>
      <c r="R2476" s="53" t="s">
        <v>1630</v>
      </c>
      <c r="S2476" s="53" t="str">
        <f t="shared" si="500"/>
        <v>Autos - Multi|Autographs Duals Gold Parallel (Inscribed)|AD-SM|Gold</v>
      </c>
      <c r="T2476" s="57" t="str">
        <f>IF($S2476="","",IFERROR(VLOOKUP($S2476,'Pop Estimates (Non-#d)'!$N$2:$O$500,2,FALSE),""))</f>
        <v/>
      </c>
      <c r="U2476" s="57">
        <f t="shared" si="501"/>
        <v>1</v>
      </c>
      <c r="V2476" s="53" t="str">
        <f t="shared" si="502"/>
        <v>Homelander "The Seven"/Dominique McElligott as Queen Maeve "The Seven"</v>
      </c>
      <c r="W2476" s="53" t="str">
        <f t="shared" si="503"/>
        <v>Homelander "The Seven"/Dominique McElligott as Queen Maeve "The Seven"</v>
      </c>
      <c r="X2476" s="53" t="str">
        <f t="shared" si="504"/>
        <v>Homelander</v>
      </c>
      <c r="Y2476" s="57">
        <f>IF($X2476="","",IFERROR(VLOOKUP($X2476,'Char Popularity'!$A$2:$C$500,2,FALSE),""))</f>
        <v>5</v>
      </c>
      <c r="Z2476" s="56">
        <f>IF($X2476="",1,IFERROR(VLOOKUP($X2476,'Char Popularity'!$A$2:$C$500,3,FALSE),1))</f>
        <v>1.2</v>
      </c>
      <c r="AA2476" s="62">
        <f>IF($H2476&lt;&gt;"Y",0,(IF($F2476&lt;&gt;"",ROUND(Dashboard!$R$4/$F2476,1),IF(AND($I2476="Base",$E2476="Base"),Dashboard!$R$5,IF(AND($I2476="Base",$E2476="Red"),Dashboard!$R$6,IF(AND($I2476="Base",$E2476="Gold"),Dashboard!$R$7,VLOOKUP($I2476,Dashboard!$Q$16:$R$21,2,FALSE)))))*VLOOKUP($I2476,Dashboard!$Q$9:$R$13,2,FALSE)*IF(AND($I2476="Auto",$F2476="",OR($B2476="Autographs Duals",$B2476="Autographs Triples",$B2476="Autographs Quads",$B2476="Autographs Quads (Inscribed)")),IF($B2476="Autographs Duals",2,IF($B2476="Autographs Triples",3,4)),1)))</f>
        <v>0</v>
      </c>
      <c r="AB2476" s="62">
        <f t="shared" si="505"/>
        <v>0</v>
      </c>
      <c r="AC2476" s="62">
        <f t="shared" si="506"/>
        <v>0</v>
      </c>
    </row>
    <row r="2477" spans="1:29" ht="45" customHeight="1" x14ac:dyDescent="0.25">
      <c r="A2477" s="4" t="s">
        <v>39</v>
      </c>
      <c r="B2477" s="7" t="s">
        <v>116</v>
      </c>
      <c r="C2477" s="2" t="s">
        <v>200</v>
      </c>
      <c r="D2477" s="7" t="s">
        <v>1641</v>
      </c>
      <c r="E2477" s="4" t="s">
        <v>1602</v>
      </c>
      <c r="F2477" s="2">
        <v>1</v>
      </c>
      <c r="G2477" s="2" t="s">
        <v>1399</v>
      </c>
      <c r="H2477" s="2" t="s">
        <v>1399</v>
      </c>
      <c r="I2477" s="4" t="s">
        <v>68</v>
      </c>
      <c r="J2477" s="112">
        <f>IF($H2477&lt;&gt;"Y",0,ROUND(MIN(Dashboard!$R$24,IF(IFERROR(VLOOKUP($B2477,Dashboard!$Q$28:$S$60,2,FALSE),0)&gt;0,IFERROR(VLOOKUP($B2477,Dashboard!$Q$28:$S$60,2,FALSE),0),$Z2477*IF($U2477&lt;&gt;"",ROUND((Dashboard!$R$4/$U2477)*VLOOKUP($I2477,Dashboard!$Q$9:$R$13,2,FALSE)*IF(ISNUMBER(SEARCH("Duals",$B2477)),2,IF(ISNUMBER(SEARCH("Triples",$B2477)),3,IF(ISNUMBER(SEARCH("Quads",$B2477)),4,1))),2),ROUND(VLOOKUP($I2477,Dashboard!$Q$15:$R$20,2,FALSE)*IF($E2477="Red",Dashboard!$R$6,IF($E2477="Gold",Dashboard!$R$7,Dashboard!$R$5))*IF(ISNUMBER(SEARCH("Duals",$B2477)),2,IF(ISNUMBER(SEARCH("Triples",$B2477)),3,IF(ISNUMBER(SEARCH("Quads",$B2477)),4,1))),2))*IF(IFERROR(VLOOKUP($B2477,Dashboard!$Q$28:$S$60,3,FALSE),0)&gt;0,VLOOKUP($B2477,Dashboard!$Q$28:$S$60,3,FALSE),1))),0))</f>
        <v>0</v>
      </c>
      <c r="K2477" s="2" t="str">
        <f>IF('Autos - Multi'!H9="","",'Autos - Multi'!H9)</f>
        <v/>
      </c>
      <c r="L2477" s="2">
        <f t="shared" si="494"/>
        <v>0</v>
      </c>
      <c r="M2477" s="2">
        <f t="shared" si="495"/>
        <v>0</v>
      </c>
      <c r="N2477" s="2">
        <f t="shared" si="496"/>
        <v>0</v>
      </c>
      <c r="O2477" s="2">
        <f t="shared" si="497"/>
        <v>0</v>
      </c>
      <c r="P2477" s="112">
        <f t="shared" si="498"/>
        <v>0</v>
      </c>
      <c r="Q2477" s="112">
        <f t="shared" si="499"/>
        <v>0</v>
      </c>
      <c r="R2477" s="53" t="s">
        <v>1642</v>
      </c>
      <c r="S2477" s="53" t="str">
        <f t="shared" si="500"/>
        <v>Autos - Multi|Autographs Duals Gold Parallel (Inscribed)|AD-SS|Gold</v>
      </c>
      <c r="T2477" s="57" t="str">
        <f>IF($S2477="","",IFERROR(VLOOKUP($S2477,'Pop Estimates (Non-#d)'!$N$2:$O$500,2,FALSE),""))</f>
        <v/>
      </c>
      <c r="U2477" s="57">
        <f t="shared" si="501"/>
        <v>1</v>
      </c>
      <c r="V2477" s="53" t="str">
        <f t="shared" si="502"/>
        <v>Homelander "The Homelander"/Elisabeth Shue as Madelyn Stillwell "Madelyn Stillwell"</v>
      </c>
      <c r="W2477" s="53" t="str">
        <f t="shared" si="503"/>
        <v>Homelander "The Homelander"/Elisabeth Shue as Madelyn Stillwell "Madelyn Stillwell"</v>
      </c>
      <c r="X2477" s="53" t="str">
        <f t="shared" si="504"/>
        <v>Homelander</v>
      </c>
      <c r="Y2477" s="57">
        <f>IF($X2477="","",IFERROR(VLOOKUP($X2477,'Char Popularity'!$A$2:$C$500,2,FALSE),""))</f>
        <v>5</v>
      </c>
      <c r="Z2477" s="56">
        <f>IF($X2477="",1,IFERROR(VLOOKUP($X2477,'Char Popularity'!$A$2:$C$500,3,FALSE),1))</f>
        <v>1.2</v>
      </c>
      <c r="AA2477" s="62">
        <f>IF($H2477&lt;&gt;"Y",0,(IF($F2477&lt;&gt;"",ROUND(Dashboard!$R$4/$F2477,1),IF(AND($I2477="Base",$E2477="Base"),Dashboard!$R$5,IF(AND($I2477="Base",$E2477="Red"),Dashboard!$R$6,IF(AND($I2477="Base",$E2477="Gold"),Dashboard!$R$7,VLOOKUP($I2477,Dashboard!$Q$16:$R$21,2,FALSE)))))*VLOOKUP($I2477,Dashboard!$Q$9:$R$13,2,FALSE)*IF(AND($I2477="Auto",$F2477="",OR($B2477="Autographs Duals",$B2477="Autographs Triples",$B2477="Autographs Quads",$B2477="Autographs Quads (Inscribed)")),IF($B2477="Autographs Duals",2,IF($B2477="Autographs Triples",3,4)),1)))</f>
        <v>0</v>
      </c>
      <c r="AB2477" s="62">
        <f t="shared" si="505"/>
        <v>0</v>
      </c>
      <c r="AC2477" s="62">
        <f t="shared" si="506"/>
        <v>0</v>
      </c>
    </row>
    <row r="2478" spans="1:29" ht="45" customHeight="1" x14ac:dyDescent="0.25">
      <c r="A2478" s="4" t="s">
        <v>39</v>
      </c>
      <c r="B2478" s="7" t="s">
        <v>112</v>
      </c>
      <c r="C2478" s="2" t="s">
        <v>186</v>
      </c>
      <c r="D2478" s="7" t="s">
        <v>1643</v>
      </c>
      <c r="E2478" s="4" t="s">
        <v>1606</v>
      </c>
      <c r="F2478" s="2">
        <v>10</v>
      </c>
      <c r="G2478" s="2" t="s">
        <v>1399</v>
      </c>
      <c r="H2478" s="2" t="s">
        <v>1400</v>
      </c>
      <c r="I2478" s="4" t="s">
        <v>68</v>
      </c>
      <c r="J2478" s="112">
        <f>IF($H2478&lt;&gt;"Y",0,ROUND(MIN(Dashboard!$R$24,IF(IFERROR(VLOOKUP($B2478,Dashboard!$Q$28:$S$60,2,FALSE),0)&gt;0,IFERROR(VLOOKUP($B2478,Dashboard!$Q$28:$S$60,2,FALSE),0),$Z2478*IF($U2478&lt;&gt;"",ROUND((Dashboard!$R$4/$U2478)*VLOOKUP($I2478,Dashboard!$Q$9:$R$13,2,FALSE)*IF(ISNUMBER(SEARCH("Duals",$B2478)),2,IF(ISNUMBER(SEARCH("Triples",$B2478)),3,IF(ISNUMBER(SEARCH("Quads",$B2478)),4,1))),2),ROUND(VLOOKUP($I2478,Dashboard!$Q$15:$R$20,2,FALSE)*IF($E2478="Red",Dashboard!$R$6,IF($E2478="Gold",Dashboard!$R$7,Dashboard!$R$5))*IF(ISNUMBER(SEARCH("Duals",$B2478)),2,IF(ISNUMBER(SEARCH("Triples",$B2478)),3,IF(ISNUMBER(SEARCH("Quads",$B2478)),4,1))),2))*IF(IFERROR(VLOOKUP($B2478,Dashboard!$Q$28:$S$60,3,FALSE),0)&gt;0,VLOOKUP($B2478,Dashboard!$Q$28:$S$60,3,FALSE),1))),0))</f>
        <v>250</v>
      </c>
      <c r="K2478" s="2" t="str">
        <f>IF('Autos - Multi'!G2="","",'Autos - Multi'!G2)</f>
        <v/>
      </c>
      <c r="L2478" s="2">
        <f t="shared" si="494"/>
        <v>0</v>
      </c>
      <c r="M2478" s="2">
        <f t="shared" si="495"/>
        <v>0</v>
      </c>
      <c r="N2478" s="2">
        <f t="shared" si="496"/>
        <v>0</v>
      </c>
      <c r="O2478" s="2">
        <f t="shared" si="497"/>
        <v>1</v>
      </c>
      <c r="P2478" s="112">
        <f t="shared" si="498"/>
        <v>0</v>
      </c>
      <c r="Q2478" s="112">
        <f t="shared" si="499"/>
        <v>0</v>
      </c>
      <c r="R2478" s="53" t="s">
        <v>1644</v>
      </c>
      <c r="S2478" s="53" t="str">
        <f t="shared" si="500"/>
        <v>Autos - Multi|Autographs Duals Inscribed Parallel|AD-ES|Inscribed Parallel</v>
      </c>
      <c r="T2478" s="57" t="str">
        <f>IF($S2478="","",IFERROR(VLOOKUP($S2478,'Pop Estimates (Non-#d)'!$N$2:$O$500,2,FALSE),""))</f>
        <v/>
      </c>
      <c r="U2478" s="57">
        <f t="shared" si="501"/>
        <v>10</v>
      </c>
      <c r="V2478" s="53" t="str">
        <f t="shared" si="502"/>
        <v>Homelander "Homelander"/Chace Crawford as The Deep "The Deep"</v>
      </c>
      <c r="W2478" s="53" t="str">
        <f t="shared" si="503"/>
        <v>Homelander "Homelander"/Chace Crawford as The Deep "The Deep"</v>
      </c>
      <c r="X2478" s="53" t="str">
        <f t="shared" si="504"/>
        <v>Homelander</v>
      </c>
      <c r="Y2478" s="57">
        <f>IF($X2478="","",IFERROR(VLOOKUP($X2478,'Char Popularity'!$A$2:$C$500,2,FALSE),""))</f>
        <v>5</v>
      </c>
      <c r="Z2478" s="56">
        <f>IF($X2478="",1,IFERROR(VLOOKUP($X2478,'Char Popularity'!$A$2:$C$500,3,FALSE),1))</f>
        <v>1.2</v>
      </c>
      <c r="AA2478" s="62">
        <f>IF($H2478&lt;&gt;"Y",0,(IF($F2478&lt;&gt;"",ROUND(Dashboard!$R$4/$F2478,1),IF(AND($I2478="Base",$E2478="Base"),Dashboard!$R$5,IF(AND($I2478="Base",$E2478="Red"),Dashboard!$R$6,IF(AND($I2478="Base",$E2478="Gold"),Dashboard!$R$7,VLOOKUP($I2478,Dashboard!$Q$16:$R$21,2,FALSE)))))*VLOOKUP($I2478,Dashboard!$Q$9:$R$13,2,FALSE)*IF(AND($I2478="Auto",$F2478="",OR($B2478="Autographs Duals",$B2478="Autographs Triples",$B2478="Autographs Quads",$B2478="Autographs Quads (Inscribed)")),IF($B2478="Autographs Duals",2,IF($B2478="Autographs Triples",3,4)),1)))</f>
        <v>200</v>
      </c>
      <c r="AB2478" s="62">
        <f t="shared" si="505"/>
        <v>0</v>
      </c>
      <c r="AC2478" s="62">
        <f t="shared" si="506"/>
        <v>0</v>
      </c>
    </row>
    <row r="2479" spans="1:29" ht="30" customHeight="1" x14ac:dyDescent="0.25">
      <c r="A2479" s="4" t="s">
        <v>39</v>
      </c>
      <c r="B2479" s="7" t="s">
        <v>112</v>
      </c>
      <c r="C2479" s="2" t="s">
        <v>188</v>
      </c>
      <c r="D2479" s="7" t="s">
        <v>1631</v>
      </c>
      <c r="E2479" s="4" t="s">
        <v>1606</v>
      </c>
      <c r="F2479" s="2">
        <v>25</v>
      </c>
      <c r="G2479" s="2" t="s">
        <v>1399</v>
      </c>
      <c r="H2479" s="2" t="s">
        <v>1400</v>
      </c>
      <c r="I2479" s="4" t="s">
        <v>68</v>
      </c>
      <c r="J2479" s="112">
        <f>IF($H2479&lt;&gt;"Y",0,ROUND(MIN(Dashboard!$R$24,IF(IFERROR(VLOOKUP($B2479,Dashboard!$Q$28:$S$60,2,FALSE),0)&gt;0,IFERROR(VLOOKUP($B2479,Dashboard!$Q$28:$S$60,2,FALSE),0),$Z2479*IF($U2479&lt;&gt;"",ROUND((Dashboard!$R$4/$U2479)*VLOOKUP($I2479,Dashboard!$Q$9:$R$13,2,FALSE)*IF(ISNUMBER(SEARCH("Duals",$B2479)),2,IF(ISNUMBER(SEARCH("Triples",$B2479)),3,IF(ISNUMBER(SEARCH("Quads",$B2479)),4,1))),2),ROUND(VLOOKUP($I2479,Dashboard!$Q$15:$R$20,2,FALSE)*IF($E2479="Red",Dashboard!$R$6,IF($E2479="Gold",Dashboard!$R$7,Dashboard!$R$5))*IF(ISNUMBER(SEARCH("Duals",$B2479)),2,IF(ISNUMBER(SEARCH("Triples",$B2479)),3,IF(ISNUMBER(SEARCH("Quads",$B2479)),4,1))),2))*IF(IFERROR(VLOOKUP($B2479,Dashboard!$Q$28:$S$60,3,FALSE),0)&gt;0,VLOOKUP($B2479,Dashboard!$Q$28:$S$60,3,FALSE),1))),0))</f>
        <v>200</v>
      </c>
      <c r="K2479" s="2" t="str">
        <f>IF('Autos - Multi'!G3="","",'Autos - Multi'!G3)</f>
        <v/>
      </c>
      <c r="L2479" s="2">
        <f t="shared" si="494"/>
        <v>0</v>
      </c>
      <c r="M2479" s="2">
        <f t="shared" si="495"/>
        <v>0</v>
      </c>
      <c r="N2479" s="2">
        <f t="shared" si="496"/>
        <v>0</v>
      </c>
      <c r="O2479" s="2">
        <f t="shared" si="497"/>
        <v>1</v>
      </c>
      <c r="P2479" s="112">
        <f t="shared" si="498"/>
        <v>0</v>
      </c>
      <c r="Q2479" s="112">
        <f t="shared" si="499"/>
        <v>0</v>
      </c>
      <c r="R2479" s="53" t="s">
        <v>1632</v>
      </c>
      <c r="S2479" s="53" t="str">
        <f t="shared" si="500"/>
        <v>Autos - Multi|Autographs Duals Inscribed Parallel|AD-FC|Inscribed Parallel</v>
      </c>
      <c r="T2479" s="57" t="str">
        <f>IF($S2479="","",IFERROR(VLOOKUP($S2479,'Pop Estimates (Non-#d)'!$N$2:$O$500,2,FALSE),""))</f>
        <v/>
      </c>
      <c r="U2479" s="57">
        <f t="shared" si="501"/>
        <v>25</v>
      </c>
      <c r="V2479" s="53" t="str">
        <f t="shared" si="502"/>
        <v>Frenchie "Mon Cocur (Mon Coeur)"/Karen Fukuhara as Kimiko "Kimiko"</v>
      </c>
      <c r="W2479" s="53" t="str">
        <f t="shared" si="503"/>
        <v>Mon Coeur</v>
      </c>
      <c r="X2479" s="53" t="str">
        <f t="shared" si="504"/>
        <v>Mon Coeur</v>
      </c>
      <c r="Y2479" s="57">
        <f>IF($X2479="","",IFERROR(VLOOKUP($X2479,'Char Popularity'!$A$2:$C$500,2,FALSE),""))</f>
        <v>3</v>
      </c>
      <c r="Z2479" s="56">
        <f>IF($X2479="",1,IFERROR(VLOOKUP($X2479,'Char Popularity'!$A$2:$C$500,3,FALSE),1))</f>
        <v>1</v>
      </c>
      <c r="AA2479" s="62">
        <f>IF($H2479&lt;&gt;"Y",0,(IF($F2479&lt;&gt;"",ROUND(Dashboard!$R$4/$F2479,1),IF(AND($I2479="Base",$E2479="Base"),Dashboard!$R$5,IF(AND($I2479="Base",$E2479="Red"),Dashboard!$R$6,IF(AND($I2479="Base",$E2479="Gold"),Dashboard!$R$7,VLOOKUP($I2479,Dashboard!$Q$16:$R$21,2,FALSE)))))*VLOOKUP($I2479,Dashboard!$Q$9:$R$13,2,FALSE)*IF(AND($I2479="Auto",$F2479="",OR($B2479="Autographs Duals",$B2479="Autographs Triples",$B2479="Autographs Quads",$B2479="Autographs Quads (Inscribed)")),IF($B2479="Autographs Duals",2,IF($B2479="Autographs Triples",3,4)),1)))</f>
        <v>80</v>
      </c>
      <c r="AB2479" s="62">
        <f t="shared" si="505"/>
        <v>0</v>
      </c>
      <c r="AC2479" s="62">
        <f t="shared" si="506"/>
        <v>0</v>
      </c>
    </row>
    <row r="2480" spans="1:29" ht="30" customHeight="1" x14ac:dyDescent="0.25">
      <c r="A2480" s="4" t="s">
        <v>39</v>
      </c>
      <c r="B2480" s="7" t="s">
        <v>112</v>
      </c>
      <c r="C2480" s="2" t="s">
        <v>190</v>
      </c>
      <c r="D2480" s="7" t="s">
        <v>1633</v>
      </c>
      <c r="E2480" s="4" t="s">
        <v>1606</v>
      </c>
      <c r="F2480" s="2">
        <v>25</v>
      </c>
      <c r="G2480" s="2" t="s">
        <v>1399</v>
      </c>
      <c r="H2480" s="2" t="s">
        <v>1400</v>
      </c>
      <c r="I2480" s="4" t="s">
        <v>68</v>
      </c>
      <c r="J2480" s="112">
        <f>IF($H2480&lt;&gt;"Y",0,ROUND(MIN(Dashboard!$R$24,IF(IFERROR(VLOOKUP($B2480,Dashboard!$Q$28:$S$60,2,FALSE),0)&gt;0,IFERROR(VLOOKUP($B2480,Dashboard!$Q$28:$S$60,2,FALSE),0),$Z2480*IF($U2480&lt;&gt;"",ROUND((Dashboard!$R$4/$U2480)*VLOOKUP($I2480,Dashboard!$Q$9:$R$13,2,FALSE)*IF(ISNUMBER(SEARCH("Duals",$B2480)),2,IF(ISNUMBER(SEARCH("Triples",$B2480)),3,IF(ISNUMBER(SEARCH("Quads",$B2480)),4,1))),2),ROUND(VLOOKUP($I2480,Dashboard!$Q$15:$R$20,2,FALSE)*IF($E2480="Red",Dashboard!$R$6,IF($E2480="Gold",Dashboard!$R$7,Dashboard!$R$5))*IF(ISNUMBER(SEARCH("Duals",$B2480)),2,IF(ISNUMBER(SEARCH("Triples",$B2480)),3,IF(ISNUMBER(SEARCH("Quads",$B2480)),4,1))),2))*IF(IFERROR(VLOOKUP($B2480,Dashboard!$Q$28:$S$60,3,FALSE),0)&gt;0,VLOOKUP($B2480,Dashboard!$Q$28:$S$60,3,FALSE),1))),0))</f>
        <v>220</v>
      </c>
      <c r="K2480" s="2" t="str">
        <f>IF('Autos - Multi'!G4="","",'Autos - Multi'!G4)</f>
        <v/>
      </c>
      <c r="L2480" s="2">
        <f t="shared" si="494"/>
        <v>0</v>
      </c>
      <c r="M2480" s="2">
        <f t="shared" si="495"/>
        <v>0</v>
      </c>
      <c r="N2480" s="2">
        <f t="shared" si="496"/>
        <v>0</v>
      </c>
      <c r="O2480" s="2">
        <f t="shared" si="497"/>
        <v>1</v>
      </c>
      <c r="P2480" s="112">
        <f t="shared" si="498"/>
        <v>0</v>
      </c>
      <c r="Q2480" s="112">
        <f t="shared" si="499"/>
        <v>0</v>
      </c>
      <c r="R2480" s="53" t="s">
        <v>1634</v>
      </c>
      <c r="S2480" s="53" t="str">
        <f t="shared" si="500"/>
        <v>Autos - Multi|Autographs Duals Inscribed Parallel|AD-JB|Inscribed Parallel</v>
      </c>
      <c r="T2480" s="57" t="str">
        <f>IF($S2480="","",IFERROR(VLOOKUP($S2480,'Pop Estimates (Non-#d)'!$N$2:$O$500,2,FALSE),""))</f>
        <v/>
      </c>
      <c r="U2480" s="57">
        <f t="shared" si="501"/>
        <v>25</v>
      </c>
      <c r="V2480" s="53" t="str">
        <f t="shared" si="502"/>
        <v>A-Train "A-Train, Baby"/Brittany Allen as Popclaw "Popclaw"</v>
      </c>
      <c r="W2480" s="53" t="str">
        <f t="shared" si="503"/>
        <v>A-Train "A-Train, Baby"/Brittany Allen as Popclaw "Popclaw"</v>
      </c>
      <c r="X2480" s="53" t="str">
        <f t="shared" si="504"/>
        <v>A-Train</v>
      </c>
      <c r="Y2480" s="57">
        <f>IF($X2480="","",IFERROR(VLOOKUP($X2480,'Char Popularity'!$A$2:$C$500,2,FALSE),""))</f>
        <v>4</v>
      </c>
      <c r="Z2480" s="56">
        <f>IF($X2480="",1,IFERROR(VLOOKUP($X2480,'Char Popularity'!$A$2:$C$500,3,FALSE),1))</f>
        <v>1.1000000000000001</v>
      </c>
      <c r="AA2480" s="62">
        <f>IF($H2480&lt;&gt;"Y",0,(IF($F2480&lt;&gt;"",ROUND(Dashboard!$R$4/$F2480,1),IF(AND($I2480="Base",$E2480="Base"),Dashboard!$R$5,IF(AND($I2480="Base",$E2480="Red"),Dashboard!$R$6,IF(AND($I2480="Base",$E2480="Gold"),Dashboard!$R$7,VLOOKUP($I2480,Dashboard!$Q$16:$R$21,2,FALSE)))))*VLOOKUP($I2480,Dashboard!$Q$9:$R$13,2,FALSE)*IF(AND($I2480="Auto",$F2480="",OR($B2480="Autographs Duals",$B2480="Autographs Triples",$B2480="Autographs Quads",$B2480="Autographs Quads (Inscribed)")),IF($B2480="Autographs Duals",2,IF($B2480="Autographs Triples",3,4)),1)))</f>
        <v>80</v>
      </c>
      <c r="AB2480" s="62">
        <f t="shared" si="505"/>
        <v>0</v>
      </c>
      <c r="AC2480" s="62">
        <f t="shared" si="506"/>
        <v>0</v>
      </c>
    </row>
    <row r="2481" spans="1:29" ht="30" customHeight="1" x14ac:dyDescent="0.25">
      <c r="A2481" s="4" t="s">
        <v>39</v>
      </c>
      <c r="B2481" s="7" t="s">
        <v>112</v>
      </c>
      <c r="C2481" s="2" t="s">
        <v>192</v>
      </c>
      <c r="D2481" s="7" t="s">
        <v>1645</v>
      </c>
      <c r="E2481" s="4" t="s">
        <v>1606</v>
      </c>
      <c r="F2481" s="2">
        <v>10</v>
      </c>
      <c r="G2481" s="2" t="s">
        <v>1399</v>
      </c>
      <c r="H2481" s="2" t="s">
        <v>1400</v>
      </c>
      <c r="I2481" s="4" t="s">
        <v>68</v>
      </c>
      <c r="J2481" s="112">
        <f>IF($H2481&lt;&gt;"Y",0,ROUND(MIN(Dashboard!$R$24,IF(IFERROR(VLOOKUP($B2481,Dashboard!$Q$28:$S$60,2,FALSE),0)&gt;0,IFERROR(VLOOKUP($B2481,Dashboard!$Q$28:$S$60,2,FALSE),0),$Z2481*IF($U2481&lt;&gt;"",ROUND((Dashboard!$R$4/$U2481)*VLOOKUP($I2481,Dashboard!$Q$9:$R$13,2,FALSE)*IF(ISNUMBER(SEARCH("Duals",$B2481)),2,IF(ISNUMBER(SEARCH("Triples",$B2481)),3,IF(ISNUMBER(SEARCH("Quads",$B2481)),4,1))),2),ROUND(VLOOKUP($I2481,Dashboard!$Q$15:$R$20,2,FALSE)*IF($E2481="Red",Dashboard!$R$6,IF($E2481="Gold",Dashboard!$R$7,Dashboard!$R$5))*IF(ISNUMBER(SEARCH("Duals",$B2481)),2,IF(ISNUMBER(SEARCH("Triples",$B2481)),3,IF(ISNUMBER(SEARCH("Quads",$B2481)),4,1))),2))*IF(IFERROR(VLOOKUP($B2481,Dashboard!$Q$28:$S$60,3,FALSE),0)&gt;0,VLOOKUP($B2481,Dashboard!$Q$28:$S$60,3,FALSE),1))),0))</f>
        <v>250</v>
      </c>
      <c r="K2481" s="2" t="str">
        <f>IF('Autos - Multi'!G5="","",'Autos - Multi'!G5)</f>
        <v/>
      </c>
      <c r="L2481" s="2">
        <f t="shared" si="494"/>
        <v>0</v>
      </c>
      <c r="M2481" s="2">
        <f t="shared" si="495"/>
        <v>0</v>
      </c>
      <c r="N2481" s="2">
        <f t="shared" si="496"/>
        <v>0</v>
      </c>
      <c r="O2481" s="2">
        <f t="shared" si="497"/>
        <v>1</v>
      </c>
      <c r="P2481" s="112">
        <f t="shared" si="498"/>
        <v>0</v>
      </c>
      <c r="Q2481" s="112">
        <f t="shared" si="499"/>
        <v>0</v>
      </c>
      <c r="R2481" s="53" t="s">
        <v>1646</v>
      </c>
      <c r="S2481" s="53" t="str">
        <f t="shared" si="500"/>
        <v>Autos - Multi|Autographs Duals Inscribed Parallel|AD-MM|Inscribed Parallel</v>
      </c>
      <c r="T2481" s="57" t="str">
        <f>IF($S2481="","",IFERROR(VLOOKUP($S2481,'Pop Estimates (Non-#d)'!$N$2:$O$500,2,FALSE),""))</f>
        <v/>
      </c>
      <c r="U2481" s="57">
        <f t="shared" si="501"/>
        <v>10</v>
      </c>
      <c r="V2481" s="53" t="str">
        <f t="shared" si="502"/>
        <v>Queen Maeve "Queen Maeve"/Erin Moriarty as Starlight "Starlight"</v>
      </c>
      <c r="W2481" s="53" t="str">
        <f t="shared" si="503"/>
        <v>Queen Maeve "Queen Maeve"/Erin Moriarty as Starlight "Starlight"</v>
      </c>
      <c r="X2481" s="53" t="str">
        <f t="shared" si="504"/>
        <v>Queen Maeve</v>
      </c>
      <c r="Y2481" s="57">
        <f>IF($X2481="","",IFERROR(VLOOKUP($X2481,'Char Popularity'!$A$2:$C$500,2,FALSE),""))</f>
        <v>4</v>
      </c>
      <c r="Z2481" s="56">
        <f>IF($X2481="",1,IFERROR(VLOOKUP($X2481,'Char Popularity'!$A$2:$C$500,3,FALSE),1))</f>
        <v>1.1000000000000001</v>
      </c>
      <c r="AA2481" s="62">
        <f>IF($H2481&lt;&gt;"Y",0,(IF($F2481&lt;&gt;"",ROUND(Dashboard!$R$4/$F2481,1),IF(AND($I2481="Base",$E2481="Base"),Dashboard!$R$5,IF(AND($I2481="Base",$E2481="Red"),Dashboard!$R$6,IF(AND($I2481="Base",$E2481="Gold"),Dashboard!$R$7,VLOOKUP($I2481,Dashboard!$Q$16:$R$21,2,FALSE)))))*VLOOKUP($I2481,Dashboard!$Q$9:$R$13,2,FALSE)*IF(AND($I2481="Auto",$F2481="",OR($B2481="Autographs Duals",$B2481="Autographs Triples",$B2481="Autographs Quads",$B2481="Autographs Quads (Inscribed)")),IF($B2481="Autographs Duals",2,IF($B2481="Autographs Triples",3,4)),1)))</f>
        <v>200</v>
      </c>
      <c r="AB2481" s="62">
        <f t="shared" si="505"/>
        <v>0</v>
      </c>
      <c r="AC2481" s="62">
        <f t="shared" si="506"/>
        <v>0</v>
      </c>
    </row>
    <row r="2482" spans="1:29" ht="30" customHeight="1" x14ac:dyDescent="0.25">
      <c r="A2482" s="4" t="s">
        <v>39</v>
      </c>
      <c r="B2482" s="7" t="s">
        <v>112</v>
      </c>
      <c r="C2482" s="2" t="s">
        <v>194</v>
      </c>
      <c r="D2482" s="7" t="s">
        <v>1647</v>
      </c>
      <c r="E2482" s="4" t="s">
        <v>1606</v>
      </c>
      <c r="F2482" s="2">
        <v>10</v>
      </c>
      <c r="G2482" s="2" t="s">
        <v>1399</v>
      </c>
      <c r="H2482" s="2" t="s">
        <v>1400</v>
      </c>
      <c r="I2482" s="4" t="s">
        <v>68</v>
      </c>
      <c r="J2482" s="112">
        <f>IF($H2482&lt;&gt;"Y",0,ROUND(MIN(Dashboard!$R$24,IF(IFERROR(VLOOKUP($B2482,Dashboard!$Q$28:$S$60,2,FALSE),0)&gt;0,IFERROR(VLOOKUP($B2482,Dashboard!$Q$28:$S$60,2,FALSE),0),$Z2482*IF($U2482&lt;&gt;"",ROUND((Dashboard!$R$4/$U2482)*VLOOKUP($I2482,Dashboard!$Q$9:$R$13,2,FALSE)*IF(ISNUMBER(SEARCH("Duals",$B2482)),2,IF(ISNUMBER(SEARCH("Triples",$B2482)),3,IF(ISNUMBER(SEARCH("Quads",$B2482)),4,1))),2),ROUND(VLOOKUP($I2482,Dashboard!$Q$15:$R$20,2,FALSE)*IF($E2482="Red",Dashboard!$R$6,IF($E2482="Gold",Dashboard!$R$7,Dashboard!$R$5))*IF(ISNUMBER(SEARCH("Duals",$B2482)),2,IF(ISNUMBER(SEARCH("Triples",$B2482)),3,IF(ISNUMBER(SEARCH("Quads",$B2482)),4,1))),2))*IF(IFERROR(VLOOKUP($B2482,Dashboard!$Q$28:$S$60,3,FALSE),0)&gt;0,VLOOKUP($B2482,Dashboard!$Q$28:$S$60,3,FALSE),1))),0))</f>
        <v>250</v>
      </c>
      <c r="K2482" s="2" t="str">
        <f>IF('Autos - Multi'!G6="","",'Autos - Multi'!G6)</f>
        <v/>
      </c>
      <c r="L2482" s="2">
        <f t="shared" si="494"/>
        <v>0</v>
      </c>
      <c r="M2482" s="2">
        <f t="shared" si="495"/>
        <v>0</v>
      </c>
      <c r="N2482" s="2">
        <f t="shared" si="496"/>
        <v>0</v>
      </c>
      <c r="O2482" s="2">
        <f t="shared" si="497"/>
        <v>1</v>
      </c>
      <c r="P2482" s="112">
        <f t="shared" si="498"/>
        <v>0</v>
      </c>
      <c r="Q2482" s="112">
        <f t="shared" si="499"/>
        <v>0</v>
      </c>
      <c r="R2482" s="53" t="s">
        <v>1638</v>
      </c>
      <c r="S2482" s="53" t="str">
        <f t="shared" si="500"/>
        <v>Autos - Multi|Autographs Duals Inscribed Parallel|AD-MQ|Inscribed Parallel</v>
      </c>
      <c r="T2482" s="57" t="str">
        <f>IF($S2482="","",IFERROR(VLOOKUP($S2482,'Pop Estimates (Non-#d)'!$N$2:$O$500,2,FALSE),""))</f>
        <v/>
      </c>
      <c r="U2482" s="57">
        <f t="shared" si="501"/>
        <v>10</v>
      </c>
      <c r="V2482" s="53" t="str">
        <f t="shared" si="502"/>
        <v>Hughie Campbell "Hughie Campbell"/Erin Moriarty as Starlight "Starlight"</v>
      </c>
      <c r="W2482" s="53" t="str">
        <f t="shared" si="503"/>
        <v>Hughie Campbell "Hughie Campbell"/Erin Moriarty as Starlight "Starlight"</v>
      </c>
      <c r="X2482" s="53" t="str">
        <f t="shared" si="504"/>
        <v>Hughie Campbell</v>
      </c>
      <c r="Y2482" s="57">
        <f>IF($X2482="","",IFERROR(VLOOKUP($X2482,'Char Popularity'!$A$2:$C$500,2,FALSE),""))</f>
        <v>5</v>
      </c>
      <c r="Z2482" s="56">
        <f>IF($X2482="",1,IFERROR(VLOOKUP($X2482,'Char Popularity'!$A$2:$C$500,3,FALSE),1))</f>
        <v>1.2</v>
      </c>
      <c r="AA2482" s="62">
        <f>IF($H2482&lt;&gt;"Y",0,(IF($F2482&lt;&gt;"",ROUND(Dashboard!$R$4/$F2482,1),IF(AND($I2482="Base",$E2482="Base"),Dashboard!$R$5,IF(AND($I2482="Base",$E2482="Red"),Dashboard!$R$6,IF(AND($I2482="Base",$E2482="Gold"),Dashboard!$R$7,VLOOKUP($I2482,Dashboard!$Q$16:$R$21,2,FALSE)))))*VLOOKUP($I2482,Dashboard!$Q$9:$R$13,2,FALSE)*IF(AND($I2482="Auto",$F2482="",OR($B2482="Autographs Duals",$B2482="Autographs Triples",$B2482="Autographs Quads",$B2482="Autographs Quads (Inscribed)")),IF($B2482="Autographs Duals",2,IF($B2482="Autographs Triples",3,4)),1)))</f>
        <v>200</v>
      </c>
      <c r="AB2482" s="62">
        <f t="shared" si="505"/>
        <v>0</v>
      </c>
      <c r="AC2482" s="62">
        <f t="shared" si="506"/>
        <v>0</v>
      </c>
    </row>
    <row r="2483" spans="1:29" ht="30" customHeight="1" x14ac:dyDescent="0.25">
      <c r="A2483" s="4" t="s">
        <v>39</v>
      </c>
      <c r="B2483" s="7" t="s">
        <v>112</v>
      </c>
      <c r="C2483" s="2" t="s">
        <v>196</v>
      </c>
      <c r="D2483" s="7" t="s">
        <v>1648</v>
      </c>
      <c r="E2483" s="4" t="s">
        <v>1606</v>
      </c>
      <c r="F2483" s="2">
        <v>10</v>
      </c>
      <c r="G2483" s="2" t="s">
        <v>1399</v>
      </c>
      <c r="H2483" s="2" t="s">
        <v>1400</v>
      </c>
      <c r="I2483" s="4" t="s">
        <v>68</v>
      </c>
      <c r="J2483" s="112">
        <f>IF($H2483&lt;&gt;"Y",0,ROUND(MIN(Dashboard!$R$24,IF(IFERROR(VLOOKUP($B2483,Dashboard!$Q$28:$S$60,2,FALSE),0)&gt;0,IFERROR(VLOOKUP($B2483,Dashboard!$Q$28:$S$60,2,FALSE),0),$Z2483*IF($U2483&lt;&gt;"",ROUND((Dashboard!$R$4/$U2483)*VLOOKUP($I2483,Dashboard!$Q$9:$R$13,2,FALSE)*IF(ISNUMBER(SEARCH("Duals",$B2483)),2,IF(ISNUMBER(SEARCH("Triples",$B2483)),3,IF(ISNUMBER(SEARCH("Quads",$B2483)),4,1))),2),ROUND(VLOOKUP($I2483,Dashboard!$Q$15:$R$20,2,FALSE)*IF($E2483="Red",Dashboard!$R$6,IF($E2483="Gold",Dashboard!$R$7,Dashboard!$R$5))*IF(ISNUMBER(SEARCH("Duals",$B2483)),2,IF(ISNUMBER(SEARCH("Triples",$B2483)),3,IF(ISNUMBER(SEARCH("Quads",$B2483)),4,1))),2))*IF(IFERROR(VLOOKUP($B2483,Dashboard!$Q$28:$S$60,3,FALSE),0)&gt;0,VLOOKUP($B2483,Dashboard!$Q$28:$S$60,3,FALSE),1))),0))</f>
        <v>250</v>
      </c>
      <c r="K2483" s="2" t="str">
        <f>IF('Autos - Multi'!G7="","",'Autos - Multi'!G7)</f>
        <v>V 01/10</v>
      </c>
      <c r="L2483" s="2">
        <f t="shared" si="494"/>
        <v>1</v>
      </c>
      <c r="M2483" s="2">
        <f t="shared" si="495"/>
        <v>0</v>
      </c>
      <c r="N2483" s="2">
        <f t="shared" si="496"/>
        <v>1</v>
      </c>
      <c r="O2483" s="2">
        <f t="shared" si="497"/>
        <v>0</v>
      </c>
      <c r="P2483" s="112">
        <f t="shared" si="498"/>
        <v>250</v>
      </c>
      <c r="Q2483" s="112">
        <f t="shared" si="499"/>
        <v>0</v>
      </c>
      <c r="R2483" s="53" t="s">
        <v>1649</v>
      </c>
      <c r="S2483" s="53" t="str">
        <f t="shared" si="500"/>
        <v>Autos - Multi|Autographs Duals Inscribed Parallel|AD-QH|Inscribed Parallel</v>
      </c>
      <c r="T2483" s="57" t="str">
        <f>IF($S2483="","",IFERROR(VLOOKUP($S2483,'Pop Estimates (Non-#d)'!$N$2:$O$500,2,FALSE),""))</f>
        <v/>
      </c>
      <c r="U2483" s="57">
        <f t="shared" si="501"/>
        <v>10</v>
      </c>
      <c r="V2483" s="53" t="str">
        <f t="shared" si="502"/>
        <v>Hughie Campbell "The Boys"/Alex Hassell as Translucent "The Seven"</v>
      </c>
      <c r="W2483" s="53" t="str">
        <f t="shared" si="503"/>
        <v>Hughie Campbell "The Boys"/Alex Hassell as Translucent "The Seven"</v>
      </c>
      <c r="X2483" s="53" t="str">
        <f t="shared" si="504"/>
        <v>Hughie Campbell</v>
      </c>
      <c r="Y2483" s="57">
        <f>IF($X2483="","",IFERROR(VLOOKUP($X2483,'Char Popularity'!$A$2:$C$500,2,FALSE),""))</f>
        <v>5</v>
      </c>
      <c r="Z2483" s="56">
        <f>IF($X2483="",1,IFERROR(VLOOKUP($X2483,'Char Popularity'!$A$2:$C$500,3,FALSE),1))</f>
        <v>1.2</v>
      </c>
      <c r="AA2483" s="62">
        <f>IF($H2483&lt;&gt;"Y",0,(IF($F2483&lt;&gt;"",ROUND(Dashboard!$R$4/$F2483,1),IF(AND($I2483="Base",$E2483="Base"),Dashboard!$R$5,IF(AND($I2483="Base",$E2483="Red"),Dashboard!$R$6,IF(AND($I2483="Base",$E2483="Gold"),Dashboard!$R$7,VLOOKUP($I2483,Dashboard!$Q$16:$R$21,2,FALSE)))))*VLOOKUP($I2483,Dashboard!$Q$9:$R$13,2,FALSE)*IF(AND($I2483="Auto",$F2483="",OR($B2483="Autographs Duals",$B2483="Autographs Triples",$B2483="Autographs Quads",$B2483="Autographs Quads (Inscribed)")),IF($B2483="Autographs Duals",2,IF($B2483="Autographs Triples",3,4)),1)))</f>
        <v>200</v>
      </c>
      <c r="AB2483" s="62">
        <f t="shared" si="505"/>
        <v>200</v>
      </c>
      <c r="AC2483" s="62">
        <f t="shared" si="506"/>
        <v>0</v>
      </c>
    </row>
    <row r="2484" spans="1:29" ht="45" customHeight="1" x14ac:dyDescent="0.25">
      <c r="A2484" s="4" t="s">
        <v>39</v>
      </c>
      <c r="B2484" s="7" t="s">
        <v>112</v>
      </c>
      <c r="C2484" s="2" t="s">
        <v>198</v>
      </c>
      <c r="D2484" s="7" t="s">
        <v>1650</v>
      </c>
      <c r="E2484" s="4" t="s">
        <v>1606</v>
      </c>
      <c r="F2484" s="2">
        <v>10</v>
      </c>
      <c r="G2484" s="2" t="s">
        <v>1399</v>
      </c>
      <c r="H2484" s="2" t="s">
        <v>1400</v>
      </c>
      <c r="I2484" s="4" t="s">
        <v>68</v>
      </c>
      <c r="J2484" s="112">
        <f>IF($H2484&lt;&gt;"Y",0,ROUND(MIN(Dashboard!$R$24,IF(IFERROR(VLOOKUP($B2484,Dashboard!$Q$28:$S$60,2,FALSE),0)&gt;0,IFERROR(VLOOKUP($B2484,Dashboard!$Q$28:$S$60,2,FALSE),0),$Z2484*IF($U2484&lt;&gt;"",ROUND((Dashboard!$R$4/$U2484)*VLOOKUP($I2484,Dashboard!$Q$9:$R$13,2,FALSE)*IF(ISNUMBER(SEARCH("Duals",$B2484)),2,IF(ISNUMBER(SEARCH("Triples",$B2484)),3,IF(ISNUMBER(SEARCH("Quads",$B2484)),4,1))),2),ROUND(VLOOKUP($I2484,Dashboard!$Q$15:$R$20,2,FALSE)*IF($E2484="Red",Dashboard!$R$6,IF($E2484="Gold",Dashboard!$R$7,Dashboard!$R$5))*IF(ISNUMBER(SEARCH("Duals",$B2484)),2,IF(ISNUMBER(SEARCH("Triples",$B2484)),3,IF(ISNUMBER(SEARCH("Quads",$B2484)),4,1))),2))*IF(IFERROR(VLOOKUP($B2484,Dashboard!$Q$28:$S$60,3,FALSE),0)&gt;0,VLOOKUP($B2484,Dashboard!$Q$28:$S$60,3,FALSE),1))),0))</f>
        <v>250</v>
      </c>
      <c r="K2484" s="2" t="str">
        <f>IF('Autos - Multi'!G8="","",'Autos - Multi'!G8)</f>
        <v/>
      </c>
      <c r="L2484" s="2">
        <f t="shared" si="494"/>
        <v>0</v>
      </c>
      <c r="M2484" s="2">
        <f t="shared" si="495"/>
        <v>0</v>
      </c>
      <c r="N2484" s="2">
        <f t="shared" si="496"/>
        <v>0</v>
      </c>
      <c r="O2484" s="2">
        <f t="shared" si="497"/>
        <v>1</v>
      </c>
      <c r="P2484" s="112">
        <f t="shared" si="498"/>
        <v>0</v>
      </c>
      <c r="Q2484" s="112">
        <f t="shared" si="499"/>
        <v>0</v>
      </c>
      <c r="R2484" s="53" t="s">
        <v>1651</v>
      </c>
      <c r="S2484" s="53" t="str">
        <f t="shared" si="500"/>
        <v>Autos - Multi|Autographs Duals Inscribed Parallel|AD-SM|Inscribed Parallel</v>
      </c>
      <c r="T2484" s="57" t="str">
        <f>IF($S2484="","",IFERROR(VLOOKUP($S2484,'Pop Estimates (Non-#d)'!$N$2:$O$500,2,FALSE),""))</f>
        <v/>
      </c>
      <c r="U2484" s="57">
        <f t="shared" si="501"/>
        <v>10</v>
      </c>
      <c r="V2484" s="53" t="str">
        <f t="shared" si="502"/>
        <v>Homelander "You are the Real Heroes"/Dominique McElligott as Queen Maeve "Queen Maeve"</v>
      </c>
      <c r="W2484" s="53" t="str">
        <f t="shared" si="503"/>
        <v>Homelander "You are the Real Heroes"/Dominique McElligott as Queen Maeve "Queen Maeve"</v>
      </c>
      <c r="X2484" s="53" t="str">
        <f t="shared" si="504"/>
        <v>Homelander</v>
      </c>
      <c r="Y2484" s="57">
        <f>IF($X2484="","",IFERROR(VLOOKUP($X2484,'Char Popularity'!$A$2:$C$500,2,FALSE),""))</f>
        <v>5</v>
      </c>
      <c r="Z2484" s="56">
        <f>IF($X2484="",1,IFERROR(VLOOKUP($X2484,'Char Popularity'!$A$2:$C$500,3,FALSE),1))</f>
        <v>1.2</v>
      </c>
      <c r="AA2484" s="62">
        <f>IF($H2484&lt;&gt;"Y",0,(IF($F2484&lt;&gt;"",ROUND(Dashboard!$R$4/$F2484,1),IF(AND($I2484="Base",$E2484="Base"),Dashboard!$R$5,IF(AND($I2484="Base",$E2484="Red"),Dashboard!$R$6,IF(AND($I2484="Base",$E2484="Gold"),Dashboard!$R$7,VLOOKUP($I2484,Dashboard!$Q$16:$R$21,2,FALSE)))))*VLOOKUP($I2484,Dashboard!$Q$9:$R$13,2,FALSE)*IF(AND($I2484="Auto",$F2484="",OR($B2484="Autographs Duals",$B2484="Autographs Triples",$B2484="Autographs Quads",$B2484="Autographs Quads (Inscribed)")),IF($B2484="Autographs Duals",2,IF($B2484="Autographs Triples",3,4)),1)))</f>
        <v>200</v>
      </c>
      <c r="AB2484" s="62">
        <f t="shared" si="505"/>
        <v>0</v>
      </c>
      <c r="AC2484" s="62">
        <f t="shared" si="506"/>
        <v>0</v>
      </c>
    </row>
    <row r="2485" spans="1:29" ht="45" customHeight="1" x14ac:dyDescent="0.25">
      <c r="A2485" s="4" t="s">
        <v>39</v>
      </c>
      <c r="B2485" s="7" t="s">
        <v>112</v>
      </c>
      <c r="C2485" s="2" t="s">
        <v>200</v>
      </c>
      <c r="D2485" s="7" t="s">
        <v>1641</v>
      </c>
      <c r="E2485" s="4" t="s">
        <v>1606</v>
      </c>
      <c r="F2485" s="2">
        <v>10</v>
      </c>
      <c r="G2485" s="2" t="s">
        <v>1399</v>
      </c>
      <c r="H2485" s="2" t="s">
        <v>1400</v>
      </c>
      <c r="I2485" s="4" t="s">
        <v>68</v>
      </c>
      <c r="J2485" s="112">
        <f>IF($H2485&lt;&gt;"Y",0,ROUND(MIN(Dashboard!$R$24,IF(IFERROR(VLOOKUP($B2485,Dashboard!$Q$28:$S$60,2,FALSE),0)&gt;0,IFERROR(VLOOKUP($B2485,Dashboard!$Q$28:$S$60,2,FALSE),0),$Z2485*IF($U2485&lt;&gt;"",ROUND((Dashboard!$R$4/$U2485)*VLOOKUP($I2485,Dashboard!$Q$9:$R$13,2,FALSE)*IF(ISNUMBER(SEARCH("Duals",$B2485)),2,IF(ISNUMBER(SEARCH("Triples",$B2485)),3,IF(ISNUMBER(SEARCH("Quads",$B2485)),4,1))),2),ROUND(VLOOKUP($I2485,Dashboard!$Q$15:$R$20,2,FALSE)*IF($E2485="Red",Dashboard!$R$6,IF($E2485="Gold",Dashboard!$R$7,Dashboard!$R$5))*IF(ISNUMBER(SEARCH("Duals",$B2485)),2,IF(ISNUMBER(SEARCH("Triples",$B2485)),3,IF(ISNUMBER(SEARCH("Quads",$B2485)),4,1))),2))*IF(IFERROR(VLOOKUP($B2485,Dashboard!$Q$28:$S$60,3,FALSE),0)&gt;0,VLOOKUP($B2485,Dashboard!$Q$28:$S$60,3,FALSE),1))),0))</f>
        <v>250</v>
      </c>
      <c r="K2485" s="2" t="str">
        <f>IF('Autos - Multi'!G9="","",'Autos - Multi'!G9)</f>
        <v/>
      </c>
      <c r="L2485" s="2">
        <f t="shared" si="494"/>
        <v>0</v>
      </c>
      <c r="M2485" s="2">
        <f t="shared" si="495"/>
        <v>0</v>
      </c>
      <c r="N2485" s="2">
        <f t="shared" si="496"/>
        <v>0</v>
      </c>
      <c r="O2485" s="2">
        <f t="shared" si="497"/>
        <v>1</v>
      </c>
      <c r="P2485" s="112">
        <f t="shared" si="498"/>
        <v>0</v>
      </c>
      <c r="Q2485" s="112">
        <f t="shared" si="499"/>
        <v>0</v>
      </c>
      <c r="R2485" s="53" t="s">
        <v>1642</v>
      </c>
      <c r="S2485" s="53" t="str">
        <f t="shared" si="500"/>
        <v>Autos - Multi|Autographs Duals Inscribed Parallel|AD-SS|Inscribed Parallel</v>
      </c>
      <c r="T2485" s="57" t="str">
        <f>IF($S2485="","",IFERROR(VLOOKUP($S2485,'Pop Estimates (Non-#d)'!$N$2:$O$500,2,FALSE),""))</f>
        <v/>
      </c>
      <c r="U2485" s="57">
        <f t="shared" si="501"/>
        <v>10</v>
      </c>
      <c r="V2485" s="53" t="str">
        <f t="shared" si="502"/>
        <v>Homelander "The Homelander"/Elisabeth Shue as Madelyn Stillwell "Madelyn Stillwell"</v>
      </c>
      <c r="W2485" s="53" t="str">
        <f t="shared" si="503"/>
        <v>Homelander "The Homelander"/Elisabeth Shue as Madelyn Stillwell "Madelyn Stillwell"</v>
      </c>
      <c r="X2485" s="53" t="str">
        <f t="shared" si="504"/>
        <v>Homelander</v>
      </c>
      <c r="Y2485" s="57">
        <f>IF($X2485="","",IFERROR(VLOOKUP($X2485,'Char Popularity'!$A$2:$C$500,2,FALSE),""))</f>
        <v>5</v>
      </c>
      <c r="Z2485" s="56">
        <f>IF($X2485="",1,IFERROR(VLOOKUP($X2485,'Char Popularity'!$A$2:$C$500,3,FALSE),1))</f>
        <v>1.2</v>
      </c>
      <c r="AA2485" s="62">
        <f>IF($H2485&lt;&gt;"Y",0,(IF($F2485&lt;&gt;"",ROUND(Dashboard!$R$4/$F2485,1),IF(AND($I2485="Base",$E2485="Base"),Dashboard!$R$5,IF(AND($I2485="Base",$E2485="Red"),Dashboard!$R$6,IF(AND($I2485="Base",$E2485="Gold"),Dashboard!$R$7,VLOOKUP($I2485,Dashboard!$Q$16:$R$21,2,FALSE)))))*VLOOKUP($I2485,Dashboard!$Q$9:$R$13,2,FALSE)*IF(AND($I2485="Auto",$F2485="",OR($B2485="Autographs Duals",$B2485="Autographs Triples",$B2485="Autographs Quads",$B2485="Autographs Quads (Inscribed)")),IF($B2485="Autographs Duals",2,IF($B2485="Autographs Triples",3,4)),1)))</f>
        <v>200</v>
      </c>
      <c r="AB2485" s="62">
        <f t="shared" si="505"/>
        <v>0</v>
      </c>
      <c r="AC2485" s="62">
        <f t="shared" si="506"/>
        <v>0</v>
      </c>
    </row>
    <row r="2486" spans="1:29" ht="30" customHeight="1" x14ac:dyDescent="0.25">
      <c r="A2486" s="4" t="s">
        <v>39</v>
      </c>
      <c r="B2486" s="7" t="s">
        <v>112</v>
      </c>
      <c r="C2486" s="2" t="s">
        <v>202</v>
      </c>
      <c r="D2486" s="7" t="s">
        <v>1652</v>
      </c>
      <c r="E2486" s="4" t="s">
        <v>1606</v>
      </c>
      <c r="F2486" s="2">
        <v>10</v>
      </c>
      <c r="G2486" s="2" t="s">
        <v>1399</v>
      </c>
      <c r="H2486" s="2" t="s">
        <v>1400</v>
      </c>
      <c r="I2486" s="4" t="s">
        <v>68</v>
      </c>
      <c r="J2486" s="112">
        <f>IF($H2486&lt;&gt;"Y",0,ROUND(MIN(Dashboard!$R$24,IF(IFERROR(VLOOKUP($B2486,Dashboard!$Q$28:$S$60,2,FALSE),0)&gt;0,IFERROR(VLOOKUP($B2486,Dashboard!$Q$28:$S$60,2,FALSE),0),$Z2486*IF($U2486&lt;&gt;"",ROUND((Dashboard!$R$4/$U2486)*VLOOKUP($I2486,Dashboard!$Q$9:$R$13,2,FALSE)*IF(ISNUMBER(SEARCH("Duals",$B2486)),2,IF(ISNUMBER(SEARCH("Triples",$B2486)),3,IF(ISNUMBER(SEARCH("Quads",$B2486)),4,1))),2),ROUND(VLOOKUP($I2486,Dashboard!$Q$15:$R$20,2,FALSE)*IF($E2486="Red",Dashboard!$R$6,IF($E2486="Gold",Dashboard!$R$7,Dashboard!$R$5))*IF(ISNUMBER(SEARCH("Duals",$B2486)),2,IF(ISNUMBER(SEARCH("Triples",$B2486)),3,IF(ISNUMBER(SEARCH("Quads",$B2486)),4,1))),2))*IF(IFERROR(VLOOKUP($B2486,Dashboard!$Q$28:$S$60,3,FALSE),0)&gt;0,VLOOKUP($B2486,Dashboard!$Q$28:$S$60,3,FALSE),1))),0))</f>
        <v>250</v>
      </c>
      <c r="K2486" s="2" t="str">
        <f>IF('Autos - Multi'!G10="","",'Autos - Multi'!G10)</f>
        <v/>
      </c>
      <c r="L2486" s="2">
        <f t="shared" si="494"/>
        <v>0</v>
      </c>
      <c r="M2486" s="2">
        <f t="shared" si="495"/>
        <v>0</v>
      </c>
      <c r="N2486" s="2">
        <f t="shared" si="496"/>
        <v>0</v>
      </c>
      <c r="O2486" s="2">
        <f t="shared" si="497"/>
        <v>1</v>
      </c>
      <c r="P2486" s="112">
        <f t="shared" si="498"/>
        <v>0</v>
      </c>
      <c r="Q2486" s="112">
        <f t="shared" si="499"/>
        <v>0</v>
      </c>
      <c r="R2486" s="53" t="s">
        <v>1653</v>
      </c>
      <c r="S2486" s="53" t="str">
        <f t="shared" si="500"/>
        <v>Autos - Multi|Autographs Duals Inscribed Parallel|AD-TA|Inscribed Parallel</v>
      </c>
      <c r="T2486" s="57" t="str">
        <f>IF($S2486="","",IFERROR(VLOOKUP($S2486,'Pop Estimates (Non-#d)'!$N$2:$O$500,2,FALSE),""))</f>
        <v/>
      </c>
      <c r="U2486" s="57">
        <f t="shared" si="501"/>
        <v>10</v>
      </c>
      <c r="V2486" s="53" t="str">
        <f t="shared" si="502"/>
        <v>Mother's Milk "MM"/Tomer Capone as Frenchie "Frenchie"</v>
      </c>
      <c r="W2486" s="53" t="str">
        <f t="shared" si="503"/>
        <v>Mother's Milk "MM"/Tomer Capone as Frenchie "Frenchie"</v>
      </c>
      <c r="X2486" s="53" t="str">
        <f t="shared" si="504"/>
        <v>Mother's Milk</v>
      </c>
      <c r="Y2486" s="57">
        <f>IF($X2486="","",IFERROR(VLOOKUP($X2486,'Char Popularity'!$A$2:$C$500,2,FALSE),""))</f>
        <v>4</v>
      </c>
      <c r="Z2486" s="56">
        <f>IF($X2486="",1,IFERROR(VLOOKUP($X2486,'Char Popularity'!$A$2:$C$500,3,FALSE),1))</f>
        <v>1.1000000000000001</v>
      </c>
      <c r="AA2486" s="62">
        <f>IF($H2486&lt;&gt;"Y",0,(IF($F2486&lt;&gt;"",ROUND(Dashboard!$R$4/$F2486,1),IF(AND($I2486="Base",$E2486="Base"),Dashboard!$R$5,IF(AND($I2486="Base",$E2486="Red"),Dashboard!$R$6,IF(AND($I2486="Base",$E2486="Gold"),Dashboard!$R$7,VLOOKUP($I2486,Dashboard!$Q$16:$R$21,2,FALSE)))))*VLOOKUP($I2486,Dashboard!$Q$9:$R$13,2,FALSE)*IF(AND($I2486="Auto",$F2486="",OR($B2486="Autographs Duals",$B2486="Autographs Triples",$B2486="Autographs Quads",$B2486="Autographs Quads (Inscribed)")),IF($B2486="Autographs Duals",2,IF($B2486="Autographs Triples",3,4)),1)))</f>
        <v>200</v>
      </c>
      <c r="AB2486" s="62">
        <f t="shared" si="505"/>
        <v>0</v>
      </c>
      <c r="AC2486" s="62">
        <f t="shared" si="506"/>
        <v>0</v>
      </c>
    </row>
    <row r="2487" spans="1:29" ht="45" customHeight="1" x14ac:dyDescent="0.25">
      <c r="A2487" s="4" t="s">
        <v>39</v>
      </c>
      <c r="B2487" s="7" t="s">
        <v>112</v>
      </c>
      <c r="C2487" s="2" t="s">
        <v>206</v>
      </c>
      <c r="D2487" s="7" t="s">
        <v>1654</v>
      </c>
      <c r="E2487" s="4" t="s">
        <v>1606</v>
      </c>
      <c r="F2487" s="2">
        <v>25</v>
      </c>
      <c r="G2487" s="2" t="s">
        <v>1399</v>
      </c>
      <c r="H2487" s="2" t="s">
        <v>1400</v>
      </c>
      <c r="I2487" s="4" t="s">
        <v>68</v>
      </c>
      <c r="J2487" s="112">
        <f>IF($H2487&lt;&gt;"Y",0,ROUND(MIN(Dashboard!$R$24,IF(IFERROR(VLOOKUP($B2487,Dashboard!$Q$28:$S$60,2,FALSE),0)&gt;0,IFERROR(VLOOKUP($B2487,Dashboard!$Q$28:$S$60,2,FALSE),0),$Z2487*IF($U2487&lt;&gt;"",ROUND((Dashboard!$R$4/$U2487)*VLOOKUP($I2487,Dashboard!$Q$9:$R$13,2,FALSE)*IF(ISNUMBER(SEARCH("Duals",$B2487)),2,IF(ISNUMBER(SEARCH("Triples",$B2487)),3,IF(ISNUMBER(SEARCH("Quads",$B2487)),4,1))),2),ROUND(VLOOKUP($I2487,Dashboard!$Q$15:$R$20,2,FALSE)*IF($E2487="Red",Dashboard!$R$6,IF($E2487="Gold",Dashboard!$R$7,Dashboard!$R$5))*IF(ISNUMBER(SEARCH("Duals",$B2487)),2,IF(ISNUMBER(SEARCH("Triples",$B2487)),3,IF(ISNUMBER(SEARCH("Quads",$B2487)),4,1))),2))*IF(IFERROR(VLOOKUP($B2487,Dashboard!$Q$28:$S$60,3,FALSE),0)&gt;0,VLOOKUP($B2487,Dashboard!$Q$28:$S$60,3,FALSE),1))),0))</f>
        <v>200</v>
      </c>
      <c r="K2487" s="2" t="str">
        <f>IF('Autos - Multi'!G12="","",'Autos - Multi'!G12)</f>
        <v/>
      </c>
      <c r="L2487" s="2">
        <f t="shared" si="494"/>
        <v>0</v>
      </c>
      <c r="M2487" s="2">
        <f t="shared" si="495"/>
        <v>0</v>
      </c>
      <c r="N2487" s="2">
        <f t="shared" si="496"/>
        <v>0</v>
      </c>
      <c r="O2487" s="2">
        <f t="shared" si="497"/>
        <v>1</v>
      </c>
      <c r="P2487" s="112">
        <f t="shared" si="498"/>
        <v>0</v>
      </c>
      <c r="Q2487" s="112">
        <f t="shared" si="499"/>
        <v>0</v>
      </c>
      <c r="R2487" s="53" t="s">
        <v>1655</v>
      </c>
      <c r="S2487" s="53" t="str">
        <f t="shared" si="500"/>
        <v>Autos - Multi|Autographs Duals Inscribed Parallel|AD-VC|Inscribed Parallel</v>
      </c>
      <c r="T2487" s="57" t="str">
        <f>IF($S2487="","",IFERROR(VLOOKUP($S2487,'Pop Estimates (Non-#d)'!$N$2:$O$500,2,FALSE),""))</f>
        <v/>
      </c>
      <c r="U2487" s="57">
        <f t="shared" si="501"/>
        <v>25</v>
      </c>
      <c r="V2487" s="53" t="str">
        <f t="shared" si="502"/>
        <v>Becca Butcher "Becca Butcher"/Cameron Crovetti as Ryan "Ryan Butcher"</v>
      </c>
      <c r="W2487" s="53" t="str">
        <f t="shared" si="503"/>
        <v>Becca Butcher "Becca Butcher"/Cameron Crovetti as Ryan "Ryan Butcher"</v>
      </c>
      <c r="X2487" s="53" t="str">
        <f t="shared" si="504"/>
        <v>Becca Butcher</v>
      </c>
      <c r="Y2487" s="57">
        <f>IF($X2487="","",IFERROR(VLOOKUP($X2487,'Char Popularity'!$A$2:$C$500,2,FALSE),""))</f>
        <v>3</v>
      </c>
      <c r="Z2487" s="56">
        <f>IF($X2487="",1,IFERROR(VLOOKUP($X2487,'Char Popularity'!$A$2:$C$500,3,FALSE),1))</f>
        <v>1</v>
      </c>
      <c r="AA2487" s="62">
        <f>IF($H2487&lt;&gt;"Y",0,(IF($F2487&lt;&gt;"",ROUND(Dashboard!$R$4/$F2487,1),IF(AND($I2487="Base",$E2487="Base"),Dashboard!$R$5,IF(AND($I2487="Base",$E2487="Red"),Dashboard!$R$6,IF(AND($I2487="Base",$E2487="Gold"),Dashboard!$R$7,VLOOKUP($I2487,Dashboard!$Q$16:$R$21,2,FALSE)))))*VLOOKUP($I2487,Dashboard!$Q$9:$R$13,2,FALSE)*IF(AND($I2487="Auto",$F2487="",OR($B2487="Autographs Duals",$B2487="Autographs Triples",$B2487="Autographs Quads",$B2487="Autographs Quads (Inscribed)")),IF($B2487="Autographs Duals",2,IF($B2487="Autographs Triples",3,4)),1)))</f>
        <v>80</v>
      </c>
      <c r="AB2487" s="62">
        <f t="shared" si="505"/>
        <v>0</v>
      </c>
      <c r="AC2487" s="62">
        <f t="shared" si="506"/>
        <v>0</v>
      </c>
    </row>
    <row r="2488" spans="1:29" ht="30" customHeight="1" x14ac:dyDescent="0.25">
      <c r="A2488" s="4" t="s">
        <v>39</v>
      </c>
      <c r="B2488" s="7" t="s">
        <v>797</v>
      </c>
      <c r="C2488" s="2" t="s">
        <v>186</v>
      </c>
      <c r="D2488" s="7" t="s">
        <v>187</v>
      </c>
      <c r="E2488" s="4" t="s">
        <v>829</v>
      </c>
      <c r="F2488" s="2">
        <v>4</v>
      </c>
      <c r="G2488" s="2" t="s">
        <v>1400</v>
      </c>
      <c r="H2488" s="2" t="s">
        <v>1399</v>
      </c>
      <c r="I2488" s="4" t="s">
        <v>68</v>
      </c>
      <c r="J2488" s="112">
        <f>IF($H2488&lt;&gt;"Y",0,ROUND(MIN(Dashboard!$R$24,IF(IFERROR(VLOOKUP($B2488,Dashboard!$Q$28:$S$60,2,FALSE),0)&gt;0,IFERROR(VLOOKUP($B2488,Dashboard!$Q$28:$S$60,2,FALSE),0),$Z2488*IF($U2488&lt;&gt;"",ROUND((Dashboard!$R$4/$U2488)*VLOOKUP($I2488,Dashboard!$Q$9:$R$13,2,FALSE)*IF(ISNUMBER(SEARCH("Duals",$B2488)),2,IF(ISNUMBER(SEARCH("Triples",$B2488)),3,IF(ISNUMBER(SEARCH("Quads",$B2488)),4,1))),2),ROUND(VLOOKUP($I2488,Dashboard!$Q$15:$R$20,2,FALSE)*IF($E2488="Red",Dashboard!$R$6,IF($E2488="Gold",Dashboard!$R$7,Dashboard!$R$5))*IF(ISNUMBER(SEARCH("Duals",$B2488)),2,IF(ISNUMBER(SEARCH("Triples",$B2488)),3,IF(ISNUMBER(SEARCH("Quads",$B2488)),4,1))),2))*IF(IFERROR(VLOOKUP($B2488,Dashboard!$Q$28:$S$60,3,FALSE),0)&gt;0,VLOOKUP($B2488,Dashboard!$Q$28:$S$60,3,FALSE),1))),0))</f>
        <v>0</v>
      </c>
      <c r="K2488" s="2" t="str">
        <f>IF('Autos - Multi'!I2="","",'Autos - Multi'!I2)</f>
        <v/>
      </c>
      <c r="L2488" s="2">
        <f t="shared" si="494"/>
        <v>0</v>
      </c>
      <c r="M2488" s="2">
        <f t="shared" si="495"/>
        <v>0</v>
      </c>
      <c r="N2488" s="2">
        <f t="shared" si="496"/>
        <v>0</v>
      </c>
      <c r="O2488" s="2">
        <f t="shared" si="497"/>
        <v>0</v>
      </c>
      <c r="P2488" s="112">
        <f t="shared" si="498"/>
        <v>0</v>
      </c>
      <c r="Q2488" s="112">
        <f t="shared" si="499"/>
        <v>0</v>
      </c>
      <c r="R2488" s="53"/>
      <c r="S2488" s="53" t="str">
        <f t="shared" si="500"/>
        <v>Autos - Multi|Autographs Duals Printing Plates Parallel|AD-ES|Printing Plate</v>
      </c>
      <c r="T2488" s="57" t="str">
        <f>IF($S2488="","",IFERROR(VLOOKUP($S2488,'Pop Estimates (Non-#d)'!$N$2:$O$500,2,FALSE),""))</f>
        <v/>
      </c>
      <c r="U2488" s="57">
        <f t="shared" si="501"/>
        <v>4</v>
      </c>
      <c r="V2488" s="53" t="str">
        <f t="shared" si="502"/>
        <v>Homelander/Chace Crawford as The Deep</v>
      </c>
      <c r="W2488" s="53" t="str">
        <f t="shared" si="503"/>
        <v>Homelander/Chace Crawford as The Deep</v>
      </c>
      <c r="X2488" s="53" t="str">
        <f t="shared" si="504"/>
        <v>Homelander/Chace Crawford as The Deep</v>
      </c>
      <c r="Y2488" s="57" t="str">
        <f>IF($X2488="","",IFERROR(VLOOKUP($X2488,'Char Popularity'!$A$2:$C$500,2,FALSE),""))</f>
        <v/>
      </c>
      <c r="Z2488" s="56">
        <f>IF($X2488="",1,IFERROR(VLOOKUP($X2488,'Char Popularity'!$A$2:$C$500,3,FALSE),1))</f>
        <v>1</v>
      </c>
      <c r="AA2488" s="62">
        <f>IF($H2488&lt;&gt;"Y",0,(IF($F2488&lt;&gt;"",ROUND(Dashboard!$R$4/$F2488,1),IF(AND($I2488="Base",$E2488="Base"),Dashboard!$R$5,IF(AND($I2488="Base",$E2488="Red"),Dashboard!$R$6,IF(AND($I2488="Base",$E2488="Gold"),Dashboard!$R$7,VLOOKUP($I2488,Dashboard!$Q$16:$R$21,2,FALSE)))))*VLOOKUP($I2488,Dashboard!$Q$9:$R$13,2,FALSE)*IF(AND($I2488="Auto",$F2488="",OR($B2488="Autographs Duals",$B2488="Autographs Triples",$B2488="Autographs Quads",$B2488="Autographs Quads (Inscribed)")),IF($B2488="Autographs Duals",2,IF($B2488="Autographs Triples",3,4)),1)))</f>
        <v>0</v>
      </c>
      <c r="AB2488" s="62">
        <f t="shared" si="505"/>
        <v>0</v>
      </c>
      <c r="AC2488" s="62">
        <f t="shared" si="506"/>
        <v>0</v>
      </c>
    </row>
    <row r="2489" spans="1:29" ht="30" customHeight="1" x14ac:dyDescent="0.25">
      <c r="A2489" s="4" t="s">
        <v>39</v>
      </c>
      <c r="B2489" s="7" t="s">
        <v>797</v>
      </c>
      <c r="C2489" s="2" t="s">
        <v>188</v>
      </c>
      <c r="D2489" s="7" t="s">
        <v>189</v>
      </c>
      <c r="E2489" s="4" t="s">
        <v>829</v>
      </c>
      <c r="F2489" s="2">
        <v>4</v>
      </c>
      <c r="G2489" s="2" t="s">
        <v>1400</v>
      </c>
      <c r="H2489" s="2" t="s">
        <v>1399</v>
      </c>
      <c r="I2489" s="4" t="s">
        <v>68</v>
      </c>
      <c r="J2489" s="112">
        <f>IF($H2489&lt;&gt;"Y",0,ROUND(MIN(Dashboard!$R$24,IF(IFERROR(VLOOKUP($B2489,Dashboard!$Q$28:$S$60,2,FALSE),0)&gt;0,IFERROR(VLOOKUP($B2489,Dashboard!$Q$28:$S$60,2,FALSE),0),$Z2489*IF($U2489&lt;&gt;"",ROUND((Dashboard!$R$4/$U2489)*VLOOKUP($I2489,Dashboard!$Q$9:$R$13,2,FALSE)*IF(ISNUMBER(SEARCH("Duals",$B2489)),2,IF(ISNUMBER(SEARCH("Triples",$B2489)),3,IF(ISNUMBER(SEARCH("Quads",$B2489)),4,1))),2),ROUND(VLOOKUP($I2489,Dashboard!$Q$15:$R$20,2,FALSE)*IF($E2489="Red",Dashboard!$R$6,IF($E2489="Gold",Dashboard!$R$7,Dashboard!$R$5))*IF(ISNUMBER(SEARCH("Duals",$B2489)),2,IF(ISNUMBER(SEARCH("Triples",$B2489)),3,IF(ISNUMBER(SEARCH("Quads",$B2489)),4,1))),2))*IF(IFERROR(VLOOKUP($B2489,Dashboard!$Q$28:$S$60,3,FALSE),0)&gt;0,VLOOKUP($B2489,Dashboard!$Q$28:$S$60,3,FALSE),1))),0))</f>
        <v>0</v>
      </c>
      <c r="K2489" s="2" t="str">
        <f>IF('Autos - Multi'!I3="","",'Autos - Multi'!I3)</f>
        <v/>
      </c>
      <c r="L2489" s="2">
        <f t="shared" si="494"/>
        <v>0</v>
      </c>
      <c r="M2489" s="2">
        <f t="shared" si="495"/>
        <v>0</v>
      </c>
      <c r="N2489" s="2">
        <f t="shared" si="496"/>
        <v>0</v>
      </c>
      <c r="O2489" s="2">
        <f t="shared" si="497"/>
        <v>0</v>
      </c>
      <c r="P2489" s="112">
        <f t="shared" si="498"/>
        <v>0</v>
      </c>
      <c r="Q2489" s="112">
        <f t="shared" si="499"/>
        <v>0</v>
      </c>
      <c r="R2489" s="53"/>
      <c r="S2489" s="53" t="str">
        <f t="shared" si="500"/>
        <v>Autos - Multi|Autographs Duals Printing Plates Parallel|AD-FC|Printing Plate</v>
      </c>
      <c r="T2489" s="57" t="str">
        <f>IF($S2489="","",IFERROR(VLOOKUP($S2489,'Pop Estimates (Non-#d)'!$N$2:$O$500,2,FALSE),""))</f>
        <v/>
      </c>
      <c r="U2489" s="57">
        <f t="shared" si="501"/>
        <v>4</v>
      </c>
      <c r="V2489" s="53" t="str">
        <f t="shared" si="502"/>
        <v>Frenchie/Karen Fukuhara as Kimiko</v>
      </c>
      <c r="W2489" s="53" t="str">
        <f t="shared" si="503"/>
        <v>Frenchie/Karen Fukuhara as Kimiko</v>
      </c>
      <c r="X2489" s="53" t="str">
        <f t="shared" si="504"/>
        <v>Frenchie/Karen Fukuhara as Kimiko</v>
      </c>
      <c r="Y2489" s="57" t="str">
        <f>IF($X2489="","",IFERROR(VLOOKUP($X2489,'Char Popularity'!$A$2:$C$500,2,FALSE),""))</f>
        <v/>
      </c>
      <c r="Z2489" s="56">
        <f>IF($X2489="",1,IFERROR(VLOOKUP($X2489,'Char Popularity'!$A$2:$C$500,3,FALSE),1))</f>
        <v>1</v>
      </c>
      <c r="AA2489" s="62">
        <f>IF($H2489&lt;&gt;"Y",0,(IF($F2489&lt;&gt;"",ROUND(Dashboard!$R$4/$F2489,1),IF(AND($I2489="Base",$E2489="Base"),Dashboard!$R$5,IF(AND($I2489="Base",$E2489="Red"),Dashboard!$R$6,IF(AND($I2489="Base",$E2489="Gold"),Dashboard!$R$7,VLOOKUP($I2489,Dashboard!$Q$16:$R$21,2,FALSE)))))*VLOOKUP($I2489,Dashboard!$Q$9:$R$13,2,FALSE)*IF(AND($I2489="Auto",$F2489="",OR($B2489="Autographs Duals",$B2489="Autographs Triples",$B2489="Autographs Quads",$B2489="Autographs Quads (Inscribed)")),IF($B2489="Autographs Duals",2,IF($B2489="Autographs Triples",3,4)),1)))</f>
        <v>0</v>
      </c>
      <c r="AB2489" s="62">
        <f t="shared" si="505"/>
        <v>0</v>
      </c>
      <c r="AC2489" s="62">
        <f t="shared" si="506"/>
        <v>0</v>
      </c>
    </row>
    <row r="2490" spans="1:29" ht="30" customHeight="1" x14ac:dyDescent="0.25">
      <c r="A2490" s="4" t="s">
        <v>39</v>
      </c>
      <c r="B2490" s="7" t="s">
        <v>797</v>
      </c>
      <c r="C2490" s="2" t="s">
        <v>190</v>
      </c>
      <c r="D2490" s="7" t="s">
        <v>191</v>
      </c>
      <c r="E2490" s="4" t="s">
        <v>829</v>
      </c>
      <c r="F2490" s="2">
        <v>4</v>
      </c>
      <c r="G2490" s="2" t="s">
        <v>1400</v>
      </c>
      <c r="H2490" s="2" t="s">
        <v>1399</v>
      </c>
      <c r="I2490" s="4" t="s">
        <v>68</v>
      </c>
      <c r="J2490" s="112">
        <f>IF($H2490&lt;&gt;"Y",0,ROUND(MIN(Dashboard!$R$24,IF(IFERROR(VLOOKUP($B2490,Dashboard!$Q$28:$S$60,2,FALSE),0)&gt;0,IFERROR(VLOOKUP($B2490,Dashboard!$Q$28:$S$60,2,FALSE),0),$Z2490*IF($U2490&lt;&gt;"",ROUND((Dashboard!$R$4/$U2490)*VLOOKUP($I2490,Dashboard!$Q$9:$R$13,2,FALSE)*IF(ISNUMBER(SEARCH("Duals",$B2490)),2,IF(ISNUMBER(SEARCH("Triples",$B2490)),3,IF(ISNUMBER(SEARCH("Quads",$B2490)),4,1))),2),ROUND(VLOOKUP($I2490,Dashboard!$Q$15:$R$20,2,FALSE)*IF($E2490="Red",Dashboard!$R$6,IF($E2490="Gold",Dashboard!$R$7,Dashboard!$R$5))*IF(ISNUMBER(SEARCH("Duals",$B2490)),2,IF(ISNUMBER(SEARCH("Triples",$B2490)),3,IF(ISNUMBER(SEARCH("Quads",$B2490)),4,1))),2))*IF(IFERROR(VLOOKUP($B2490,Dashboard!$Q$28:$S$60,3,FALSE),0)&gt;0,VLOOKUP($B2490,Dashboard!$Q$28:$S$60,3,FALSE),1))),0))</f>
        <v>0</v>
      </c>
      <c r="K2490" s="2" t="str">
        <f>IF('Autos - Multi'!I4="","",'Autos - Multi'!I4)</f>
        <v/>
      </c>
      <c r="L2490" s="2">
        <f t="shared" si="494"/>
        <v>0</v>
      </c>
      <c r="M2490" s="2">
        <f t="shared" si="495"/>
        <v>0</v>
      </c>
      <c r="N2490" s="2">
        <f t="shared" si="496"/>
        <v>0</v>
      </c>
      <c r="O2490" s="2">
        <f t="shared" si="497"/>
        <v>0</v>
      </c>
      <c r="P2490" s="112">
        <f t="shared" si="498"/>
        <v>0</v>
      </c>
      <c r="Q2490" s="112">
        <f t="shared" si="499"/>
        <v>0</v>
      </c>
      <c r="R2490" s="53"/>
      <c r="S2490" s="53" t="str">
        <f t="shared" si="500"/>
        <v>Autos - Multi|Autographs Duals Printing Plates Parallel|AD-JB|Printing Plate</v>
      </c>
      <c r="T2490" s="57" t="str">
        <f>IF($S2490="","",IFERROR(VLOOKUP($S2490,'Pop Estimates (Non-#d)'!$N$2:$O$500,2,FALSE),""))</f>
        <v/>
      </c>
      <c r="U2490" s="57">
        <f t="shared" si="501"/>
        <v>4</v>
      </c>
      <c r="V2490" s="53" t="str">
        <f t="shared" si="502"/>
        <v>A-Train/Brittany Allen as Popclaw</v>
      </c>
      <c r="W2490" s="53" t="str">
        <f t="shared" si="503"/>
        <v>A-Train/Brittany Allen as Popclaw</v>
      </c>
      <c r="X2490" s="53" t="str">
        <f t="shared" si="504"/>
        <v>A-Train/Brittany Allen as Popclaw</v>
      </c>
      <c r="Y2490" s="57" t="str">
        <f>IF($X2490="","",IFERROR(VLOOKUP($X2490,'Char Popularity'!$A$2:$C$500,2,FALSE),""))</f>
        <v/>
      </c>
      <c r="Z2490" s="56">
        <f>IF($X2490="",1,IFERROR(VLOOKUP($X2490,'Char Popularity'!$A$2:$C$500,3,FALSE),1))</f>
        <v>1</v>
      </c>
      <c r="AA2490" s="62">
        <f>IF($H2490&lt;&gt;"Y",0,(IF($F2490&lt;&gt;"",ROUND(Dashboard!$R$4/$F2490,1),IF(AND($I2490="Base",$E2490="Base"),Dashboard!$R$5,IF(AND($I2490="Base",$E2490="Red"),Dashboard!$R$6,IF(AND($I2490="Base",$E2490="Gold"),Dashboard!$R$7,VLOOKUP($I2490,Dashboard!$Q$16:$R$21,2,FALSE)))))*VLOOKUP($I2490,Dashboard!$Q$9:$R$13,2,FALSE)*IF(AND($I2490="Auto",$F2490="",OR($B2490="Autographs Duals",$B2490="Autographs Triples",$B2490="Autographs Quads",$B2490="Autographs Quads (Inscribed)")),IF($B2490="Autographs Duals",2,IF($B2490="Autographs Triples",3,4)),1)))</f>
        <v>0</v>
      </c>
      <c r="AB2490" s="62">
        <f t="shared" si="505"/>
        <v>0</v>
      </c>
      <c r="AC2490" s="62">
        <f t="shared" si="506"/>
        <v>0</v>
      </c>
    </row>
    <row r="2491" spans="1:29" ht="30" customHeight="1" x14ac:dyDescent="0.25">
      <c r="A2491" s="4" t="s">
        <v>39</v>
      </c>
      <c r="B2491" s="7" t="s">
        <v>797</v>
      </c>
      <c r="C2491" s="2" t="s">
        <v>192</v>
      </c>
      <c r="D2491" s="7" t="s">
        <v>193</v>
      </c>
      <c r="E2491" s="4" t="s">
        <v>829</v>
      </c>
      <c r="F2491" s="2">
        <v>4</v>
      </c>
      <c r="G2491" s="2" t="s">
        <v>1400</v>
      </c>
      <c r="H2491" s="2" t="s">
        <v>1399</v>
      </c>
      <c r="I2491" s="4" t="s">
        <v>68</v>
      </c>
      <c r="J2491" s="112">
        <f>IF($H2491&lt;&gt;"Y",0,ROUND(MIN(Dashboard!$R$24,IF(IFERROR(VLOOKUP($B2491,Dashboard!$Q$28:$S$60,2,FALSE),0)&gt;0,IFERROR(VLOOKUP($B2491,Dashboard!$Q$28:$S$60,2,FALSE),0),$Z2491*IF($U2491&lt;&gt;"",ROUND((Dashboard!$R$4/$U2491)*VLOOKUP($I2491,Dashboard!$Q$9:$R$13,2,FALSE)*IF(ISNUMBER(SEARCH("Duals",$B2491)),2,IF(ISNUMBER(SEARCH("Triples",$B2491)),3,IF(ISNUMBER(SEARCH("Quads",$B2491)),4,1))),2),ROUND(VLOOKUP($I2491,Dashboard!$Q$15:$R$20,2,FALSE)*IF($E2491="Red",Dashboard!$R$6,IF($E2491="Gold",Dashboard!$R$7,Dashboard!$R$5))*IF(ISNUMBER(SEARCH("Duals",$B2491)),2,IF(ISNUMBER(SEARCH("Triples",$B2491)),3,IF(ISNUMBER(SEARCH("Quads",$B2491)),4,1))),2))*IF(IFERROR(VLOOKUP($B2491,Dashboard!$Q$28:$S$60,3,FALSE),0)&gt;0,VLOOKUP($B2491,Dashboard!$Q$28:$S$60,3,FALSE),1))),0))</f>
        <v>0</v>
      </c>
      <c r="K2491" s="2" t="str">
        <f>IF('Autos - Multi'!I5="","",'Autos - Multi'!I5)</f>
        <v/>
      </c>
      <c r="L2491" s="2">
        <f t="shared" si="494"/>
        <v>0</v>
      </c>
      <c r="M2491" s="2">
        <f t="shared" si="495"/>
        <v>0</v>
      </c>
      <c r="N2491" s="2">
        <f t="shared" si="496"/>
        <v>0</v>
      </c>
      <c r="O2491" s="2">
        <f t="shared" si="497"/>
        <v>0</v>
      </c>
      <c r="P2491" s="112">
        <f t="shared" si="498"/>
        <v>0</v>
      </c>
      <c r="Q2491" s="112">
        <f t="shared" si="499"/>
        <v>0</v>
      </c>
      <c r="R2491" s="53"/>
      <c r="S2491" s="53" t="str">
        <f t="shared" si="500"/>
        <v>Autos - Multi|Autographs Duals Printing Plates Parallel|AD-MM|Printing Plate</v>
      </c>
      <c r="T2491" s="57" t="str">
        <f>IF($S2491="","",IFERROR(VLOOKUP($S2491,'Pop Estimates (Non-#d)'!$N$2:$O$500,2,FALSE),""))</f>
        <v/>
      </c>
      <c r="U2491" s="57">
        <f t="shared" si="501"/>
        <v>4</v>
      </c>
      <c r="V2491" s="53" t="str">
        <f t="shared" si="502"/>
        <v>Starlight/Dominique McElligott as Queen Maeve</v>
      </c>
      <c r="W2491" s="53" t="str">
        <f t="shared" si="503"/>
        <v>Starlight/Dominique McElligott as Queen Maeve</v>
      </c>
      <c r="X2491" s="53" t="str">
        <f t="shared" si="504"/>
        <v>Starlight/Dominique McElligott as Queen Maeve</v>
      </c>
      <c r="Y2491" s="57" t="str">
        <f>IF($X2491="","",IFERROR(VLOOKUP($X2491,'Char Popularity'!$A$2:$C$500,2,FALSE),""))</f>
        <v/>
      </c>
      <c r="Z2491" s="56">
        <f>IF($X2491="",1,IFERROR(VLOOKUP($X2491,'Char Popularity'!$A$2:$C$500,3,FALSE),1))</f>
        <v>1</v>
      </c>
      <c r="AA2491" s="62">
        <f>IF($H2491&lt;&gt;"Y",0,(IF($F2491&lt;&gt;"",ROUND(Dashboard!$R$4/$F2491,1),IF(AND($I2491="Base",$E2491="Base"),Dashboard!$R$5,IF(AND($I2491="Base",$E2491="Red"),Dashboard!$R$6,IF(AND($I2491="Base",$E2491="Gold"),Dashboard!$R$7,VLOOKUP($I2491,Dashboard!$Q$16:$R$21,2,FALSE)))))*VLOOKUP($I2491,Dashboard!$Q$9:$R$13,2,FALSE)*IF(AND($I2491="Auto",$F2491="",OR($B2491="Autographs Duals",$B2491="Autographs Triples",$B2491="Autographs Quads",$B2491="Autographs Quads (Inscribed)")),IF($B2491="Autographs Duals",2,IF($B2491="Autographs Triples",3,4)),1)))</f>
        <v>0</v>
      </c>
      <c r="AB2491" s="62">
        <f t="shared" si="505"/>
        <v>0</v>
      </c>
      <c r="AC2491" s="62">
        <f t="shared" si="506"/>
        <v>0</v>
      </c>
    </row>
    <row r="2492" spans="1:29" ht="30" customHeight="1" x14ac:dyDescent="0.25">
      <c r="A2492" s="4" t="s">
        <v>39</v>
      </c>
      <c r="B2492" s="7" t="s">
        <v>797</v>
      </c>
      <c r="C2492" s="2" t="s">
        <v>194</v>
      </c>
      <c r="D2492" s="7" t="s">
        <v>195</v>
      </c>
      <c r="E2492" s="4" t="s">
        <v>829</v>
      </c>
      <c r="F2492" s="2">
        <v>4</v>
      </c>
      <c r="G2492" s="2" t="s">
        <v>1400</v>
      </c>
      <c r="H2492" s="2" t="s">
        <v>1399</v>
      </c>
      <c r="I2492" s="4" t="s">
        <v>68</v>
      </c>
      <c r="J2492" s="112">
        <f>IF($H2492&lt;&gt;"Y",0,ROUND(MIN(Dashboard!$R$24,IF(IFERROR(VLOOKUP($B2492,Dashboard!$Q$28:$S$60,2,FALSE),0)&gt;0,IFERROR(VLOOKUP($B2492,Dashboard!$Q$28:$S$60,2,FALSE),0),$Z2492*IF($U2492&lt;&gt;"",ROUND((Dashboard!$R$4/$U2492)*VLOOKUP($I2492,Dashboard!$Q$9:$R$13,2,FALSE)*IF(ISNUMBER(SEARCH("Duals",$B2492)),2,IF(ISNUMBER(SEARCH("Triples",$B2492)),3,IF(ISNUMBER(SEARCH("Quads",$B2492)),4,1))),2),ROUND(VLOOKUP($I2492,Dashboard!$Q$15:$R$20,2,FALSE)*IF($E2492="Red",Dashboard!$R$6,IF($E2492="Gold",Dashboard!$R$7,Dashboard!$R$5))*IF(ISNUMBER(SEARCH("Duals",$B2492)),2,IF(ISNUMBER(SEARCH("Triples",$B2492)),3,IF(ISNUMBER(SEARCH("Quads",$B2492)),4,1))),2))*IF(IFERROR(VLOOKUP($B2492,Dashboard!$Q$28:$S$60,3,FALSE),0)&gt;0,VLOOKUP($B2492,Dashboard!$Q$28:$S$60,3,FALSE),1))),0))</f>
        <v>0</v>
      </c>
      <c r="K2492" s="2" t="str">
        <f>IF('Autos - Multi'!I6="","",'Autos - Multi'!I6)</f>
        <v/>
      </c>
      <c r="L2492" s="2">
        <f t="shared" si="494"/>
        <v>0</v>
      </c>
      <c r="M2492" s="2">
        <f t="shared" si="495"/>
        <v>0</v>
      </c>
      <c r="N2492" s="2">
        <f t="shared" si="496"/>
        <v>0</v>
      </c>
      <c r="O2492" s="2">
        <f t="shared" si="497"/>
        <v>0</v>
      </c>
      <c r="P2492" s="112">
        <f t="shared" si="498"/>
        <v>0</v>
      </c>
      <c r="Q2492" s="112">
        <f t="shared" si="499"/>
        <v>0</v>
      </c>
      <c r="R2492" s="53"/>
      <c r="S2492" s="53" t="str">
        <f t="shared" si="500"/>
        <v>Autos - Multi|Autographs Duals Printing Plates Parallel|AD-MQ|Printing Plate</v>
      </c>
      <c r="T2492" s="57" t="str">
        <f>IF($S2492="","",IFERROR(VLOOKUP($S2492,'Pop Estimates (Non-#d)'!$N$2:$O$500,2,FALSE),""))</f>
        <v/>
      </c>
      <c r="U2492" s="57">
        <f t="shared" si="501"/>
        <v>4</v>
      </c>
      <c r="V2492" s="53" t="str">
        <f t="shared" si="502"/>
        <v>Highie Campbell/Erin Moriarty as Starlight</v>
      </c>
      <c r="W2492" s="53" t="str">
        <f t="shared" si="503"/>
        <v>Highie Campbell/Erin Moriarty as Starlight</v>
      </c>
      <c r="X2492" s="53" t="str">
        <f t="shared" si="504"/>
        <v>Highie Campbell/Erin Moriarty as Starlight</v>
      </c>
      <c r="Y2492" s="57" t="str">
        <f>IF($X2492="","",IFERROR(VLOOKUP($X2492,'Char Popularity'!$A$2:$C$500,2,FALSE),""))</f>
        <v/>
      </c>
      <c r="Z2492" s="56">
        <f>IF($X2492="",1,IFERROR(VLOOKUP($X2492,'Char Popularity'!$A$2:$C$500,3,FALSE),1))</f>
        <v>1</v>
      </c>
      <c r="AA2492" s="62">
        <f>IF($H2492&lt;&gt;"Y",0,(IF($F2492&lt;&gt;"",ROUND(Dashboard!$R$4/$F2492,1),IF(AND($I2492="Base",$E2492="Base"),Dashboard!$R$5,IF(AND($I2492="Base",$E2492="Red"),Dashboard!$R$6,IF(AND($I2492="Base",$E2492="Gold"),Dashboard!$R$7,VLOOKUP($I2492,Dashboard!$Q$16:$R$21,2,FALSE)))))*VLOOKUP($I2492,Dashboard!$Q$9:$R$13,2,FALSE)*IF(AND($I2492="Auto",$F2492="",OR($B2492="Autographs Duals",$B2492="Autographs Triples",$B2492="Autographs Quads",$B2492="Autographs Quads (Inscribed)")),IF($B2492="Autographs Duals",2,IF($B2492="Autographs Triples",3,4)),1)))</f>
        <v>0</v>
      </c>
      <c r="AB2492" s="62">
        <f t="shared" si="505"/>
        <v>0</v>
      </c>
      <c r="AC2492" s="62">
        <f t="shared" si="506"/>
        <v>0</v>
      </c>
    </row>
    <row r="2493" spans="1:29" ht="30" customHeight="1" x14ac:dyDescent="0.25">
      <c r="A2493" s="4" t="s">
        <v>39</v>
      </c>
      <c r="B2493" s="7" t="s">
        <v>797</v>
      </c>
      <c r="C2493" s="2" t="s">
        <v>196</v>
      </c>
      <c r="D2493" s="7" t="s">
        <v>197</v>
      </c>
      <c r="E2493" s="4" t="s">
        <v>829</v>
      </c>
      <c r="F2493" s="2">
        <v>4</v>
      </c>
      <c r="G2493" s="2" t="s">
        <v>1400</v>
      </c>
      <c r="H2493" s="2" t="s">
        <v>1399</v>
      </c>
      <c r="I2493" s="4" t="s">
        <v>68</v>
      </c>
      <c r="J2493" s="112">
        <f>IF($H2493&lt;&gt;"Y",0,ROUND(MIN(Dashboard!$R$24,IF(IFERROR(VLOOKUP($B2493,Dashboard!$Q$28:$S$60,2,FALSE),0)&gt;0,IFERROR(VLOOKUP($B2493,Dashboard!$Q$28:$S$60,2,FALSE),0),$Z2493*IF($U2493&lt;&gt;"",ROUND((Dashboard!$R$4/$U2493)*VLOOKUP($I2493,Dashboard!$Q$9:$R$13,2,FALSE)*IF(ISNUMBER(SEARCH("Duals",$B2493)),2,IF(ISNUMBER(SEARCH("Triples",$B2493)),3,IF(ISNUMBER(SEARCH("Quads",$B2493)),4,1))),2),ROUND(VLOOKUP($I2493,Dashboard!$Q$15:$R$20,2,FALSE)*IF($E2493="Red",Dashboard!$R$6,IF($E2493="Gold",Dashboard!$R$7,Dashboard!$R$5))*IF(ISNUMBER(SEARCH("Duals",$B2493)),2,IF(ISNUMBER(SEARCH("Triples",$B2493)),3,IF(ISNUMBER(SEARCH("Quads",$B2493)),4,1))),2))*IF(IFERROR(VLOOKUP($B2493,Dashboard!$Q$28:$S$60,3,FALSE),0)&gt;0,VLOOKUP($B2493,Dashboard!$Q$28:$S$60,3,FALSE),1))),0))</f>
        <v>0</v>
      </c>
      <c r="K2493" s="2" t="str">
        <f>IF('Autos - Multi'!I7="","",'Autos - Multi'!I7)</f>
        <v/>
      </c>
      <c r="L2493" s="2">
        <f t="shared" si="494"/>
        <v>0</v>
      </c>
      <c r="M2493" s="2">
        <f t="shared" si="495"/>
        <v>0</v>
      </c>
      <c r="N2493" s="2">
        <f t="shared" si="496"/>
        <v>0</v>
      </c>
      <c r="O2493" s="2">
        <f t="shared" si="497"/>
        <v>0</v>
      </c>
      <c r="P2493" s="112">
        <f t="shared" si="498"/>
        <v>0</v>
      </c>
      <c r="Q2493" s="112">
        <f t="shared" si="499"/>
        <v>0</v>
      </c>
      <c r="R2493" s="53"/>
      <c r="S2493" s="53" t="str">
        <f t="shared" si="500"/>
        <v>Autos - Multi|Autographs Duals Printing Plates Parallel|AD-QH|Printing Plate</v>
      </c>
      <c r="T2493" s="57" t="str">
        <f>IF($S2493="","",IFERROR(VLOOKUP($S2493,'Pop Estimates (Non-#d)'!$N$2:$O$500,2,FALSE),""))</f>
        <v/>
      </c>
      <c r="U2493" s="57">
        <f t="shared" si="501"/>
        <v>4</v>
      </c>
      <c r="V2493" s="53" t="str">
        <f t="shared" si="502"/>
        <v>Hughie Campbell/Alex Hassell as Translucent</v>
      </c>
      <c r="W2493" s="53" t="str">
        <f t="shared" si="503"/>
        <v>Hughie Campbell/Alex Hassell as Translucent</v>
      </c>
      <c r="X2493" s="53" t="str">
        <f t="shared" si="504"/>
        <v>Hughie Campbell/Alex Hassell as Translucent</v>
      </c>
      <c r="Y2493" s="57" t="str">
        <f>IF($X2493="","",IFERROR(VLOOKUP($X2493,'Char Popularity'!$A$2:$C$500,2,FALSE),""))</f>
        <v/>
      </c>
      <c r="Z2493" s="56">
        <f>IF($X2493="",1,IFERROR(VLOOKUP($X2493,'Char Popularity'!$A$2:$C$500,3,FALSE),1))</f>
        <v>1</v>
      </c>
      <c r="AA2493" s="62">
        <f>IF($H2493&lt;&gt;"Y",0,(IF($F2493&lt;&gt;"",ROUND(Dashboard!$R$4/$F2493,1),IF(AND($I2493="Base",$E2493="Base"),Dashboard!$R$5,IF(AND($I2493="Base",$E2493="Red"),Dashboard!$R$6,IF(AND($I2493="Base",$E2493="Gold"),Dashboard!$R$7,VLOOKUP($I2493,Dashboard!$Q$16:$R$21,2,FALSE)))))*VLOOKUP($I2493,Dashboard!$Q$9:$R$13,2,FALSE)*IF(AND($I2493="Auto",$F2493="",OR($B2493="Autographs Duals",$B2493="Autographs Triples",$B2493="Autographs Quads",$B2493="Autographs Quads (Inscribed)")),IF($B2493="Autographs Duals",2,IF($B2493="Autographs Triples",3,4)),1)))</f>
        <v>0</v>
      </c>
      <c r="AB2493" s="62">
        <f t="shared" si="505"/>
        <v>0</v>
      </c>
      <c r="AC2493" s="62">
        <f t="shared" si="506"/>
        <v>0</v>
      </c>
    </row>
    <row r="2494" spans="1:29" ht="30" customHeight="1" x14ac:dyDescent="0.25">
      <c r="A2494" s="4" t="s">
        <v>39</v>
      </c>
      <c r="B2494" s="7" t="s">
        <v>797</v>
      </c>
      <c r="C2494" s="2" t="s">
        <v>198</v>
      </c>
      <c r="D2494" s="7" t="s">
        <v>199</v>
      </c>
      <c r="E2494" s="4" t="s">
        <v>829</v>
      </c>
      <c r="F2494" s="2">
        <v>4</v>
      </c>
      <c r="G2494" s="2" t="s">
        <v>1400</v>
      </c>
      <c r="H2494" s="2" t="s">
        <v>1399</v>
      </c>
      <c r="I2494" s="4" t="s">
        <v>68</v>
      </c>
      <c r="J2494" s="112">
        <f>IF($H2494&lt;&gt;"Y",0,ROUND(MIN(Dashboard!$R$24,IF(IFERROR(VLOOKUP($B2494,Dashboard!$Q$28:$S$60,2,FALSE),0)&gt;0,IFERROR(VLOOKUP($B2494,Dashboard!$Q$28:$S$60,2,FALSE),0),$Z2494*IF($U2494&lt;&gt;"",ROUND((Dashboard!$R$4/$U2494)*VLOOKUP($I2494,Dashboard!$Q$9:$R$13,2,FALSE)*IF(ISNUMBER(SEARCH("Duals",$B2494)),2,IF(ISNUMBER(SEARCH("Triples",$B2494)),3,IF(ISNUMBER(SEARCH("Quads",$B2494)),4,1))),2),ROUND(VLOOKUP($I2494,Dashboard!$Q$15:$R$20,2,FALSE)*IF($E2494="Red",Dashboard!$R$6,IF($E2494="Gold",Dashboard!$R$7,Dashboard!$R$5))*IF(ISNUMBER(SEARCH("Duals",$B2494)),2,IF(ISNUMBER(SEARCH("Triples",$B2494)),3,IF(ISNUMBER(SEARCH("Quads",$B2494)),4,1))),2))*IF(IFERROR(VLOOKUP($B2494,Dashboard!$Q$28:$S$60,3,FALSE),0)&gt;0,VLOOKUP($B2494,Dashboard!$Q$28:$S$60,3,FALSE),1))),0))</f>
        <v>0</v>
      </c>
      <c r="K2494" s="2" t="str">
        <f>IF('Autos - Multi'!I8="","",'Autos - Multi'!I8)</f>
        <v/>
      </c>
      <c r="L2494" s="2">
        <f t="shared" si="494"/>
        <v>0</v>
      </c>
      <c r="M2494" s="2">
        <f t="shared" si="495"/>
        <v>0</v>
      </c>
      <c r="N2494" s="2">
        <f t="shared" si="496"/>
        <v>0</v>
      </c>
      <c r="O2494" s="2">
        <f t="shared" si="497"/>
        <v>0</v>
      </c>
      <c r="P2494" s="112">
        <f t="shared" si="498"/>
        <v>0</v>
      </c>
      <c r="Q2494" s="112">
        <f t="shared" si="499"/>
        <v>0</v>
      </c>
      <c r="R2494" s="53"/>
      <c r="S2494" s="53" t="str">
        <f t="shared" si="500"/>
        <v>Autos - Multi|Autographs Duals Printing Plates Parallel|AD-SM|Printing Plate</v>
      </c>
      <c r="T2494" s="57" t="str">
        <f>IF($S2494="","",IFERROR(VLOOKUP($S2494,'Pop Estimates (Non-#d)'!$N$2:$O$500,2,FALSE),""))</f>
        <v/>
      </c>
      <c r="U2494" s="57">
        <f t="shared" si="501"/>
        <v>4</v>
      </c>
      <c r="V2494" s="53" t="str">
        <f t="shared" si="502"/>
        <v>Homelander/Dominique McElligott as Queen Maeve</v>
      </c>
      <c r="W2494" s="53" t="str">
        <f t="shared" si="503"/>
        <v>Homelander/Dominique McElligott as Queen Maeve</v>
      </c>
      <c r="X2494" s="53" t="str">
        <f t="shared" si="504"/>
        <v>Homelander/Dominique McElligott as Queen Maeve</v>
      </c>
      <c r="Y2494" s="57" t="str">
        <f>IF($X2494="","",IFERROR(VLOOKUP($X2494,'Char Popularity'!$A$2:$C$500,2,FALSE),""))</f>
        <v/>
      </c>
      <c r="Z2494" s="56">
        <f>IF($X2494="",1,IFERROR(VLOOKUP($X2494,'Char Popularity'!$A$2:$C$500,3,FALSE),1))</f>
        <v>1</v>
      </c>
      <c r="AA2494" s="62">
        <f>IF($H2494&lt;&gt;"Y",0,(IF($F2494&lt;&gt;"",ROUND(Dashboard!$R$4/$F2494,1),IF(AND($I2494="Base",$E2494="Base"),Dashboard!$R$5,IF(AND($I2494="Base",$E2494="Red"),Dashboard!$R$6,IF(AND($I2494="Base",$E2494="Gold"),Dashboard!$R$7,VLOOKUP($I2494,Dashboard!$Q$16:$R$21,2,FALSE)))))*VLOOKUP($I2494,Dashboard!$Q$9:$R$13,2,FALSE)*IF(AND($I2494="Auto",$F2494="",OR($B2494="Autographs Duals",$B2494="Autographs Triples",$B2494="Autographs Quads",$B2494="Autographs Quads (Inscribed)")),IF($B2494="Autographs Duals",2,IF($B2494="Autographs Triples",3,4)),1)))</f>
        <v>0</v>
      </c>
      <c r="AB2494" s="62">
        <f t="shared" si="505"/>
        <v>0</v>
      </c>
      <c r="AC2494" s="62">
        <f t="shared" si="506"/>
        <v>0</v>
      </c>
    </row>
    <row r="2495" spans="1:29" ht="30" customHeight="1" x14ac:dyDescent="0.25">
      <c r="A2495" s="4" t="s">
        <v>39</v>
      </c>
      <c r="B2495" s="7" t="s">
        <v>797</v>
      </c>
      <c r="C2495" s="2" t="s">
        <v>200</v>
      </c>
      <c r="D2495" s="7" t="s">
        <v>201</v>
      </c>
      <c r="E2495" s="4" t="s">
        <v>829</v>
      </c>
      <c r="F2495" s="2">
        <v>4</v>
      </c>
      <c r="G2495" s="2" t="s">
        <v>1400</v>
      </c>
      <c r="H2495" s="2" t="s">
        <v>1399</v>
      </c>
      <c r="I2495" s="4" t="s">
        <v>68</v>
      </c>
      <c r="J2495" s="112">
        <f>IF($H2495&lt;&gt;"Y",0,ROUND(MIN(Dashboard!$R$24,IF(IFERROR(VLOOKUP($B2495,Dashboard!$Q$28:$S$60,2,FALSE),0)&gt;0,IFERROR(VLOOKUP($B2495,Dashboard!$Q$28:$S$60,2,FALSE),0),$Z2495*IF($U2495&lt;&gt;"",ROUND((Dashboard!$R$4/$U2495)*VLOOKUP($I2495,Dashboard!$Q$9:$R$13,2,FALSE)*IF(ISNUMBER(SEARCH("Duals",$B2495)),2,IF(ISNUMBER(SEARCH("Triples",$B2495)),3,IF(ISNUMBER(SEARCH("Quads",$B2495)),4,1))),2),ROUND(VLOOKUP($I2495,Dashboard!$Q$15:$R$20,2,FALSE)*IF($E2495="Red",Dashboard!$R$6,IF($E2495="Gold",Dashboard!$R$7,Dashboard!$R$5))*IF(ISNUMBER(SEARCH("Duals",$B2495)),2,IF(ISNUMBER(SEARCH("Triples",$B2495)),3,IF(ISNUMBER(SEARCH("Quads",$B2495)),4,1))),2))*IF(IFERROR(VLOOKUP($B2495,Dashboard!$Q$28:$S$60,3,FALSE),0)&gt;0,VLOOKUP($B2495,Dashboard!$Q$28:$S$60,3,FALSE),1))),0))</f>
        <v>0</v>
      </c>
      <c r="K2495" s="2" t="str">
        <f>IF('Autos - Multi'!I9="","",'Autos - Multi'!I9)</f>
        <v/>
      </c>
      <c r="L2495" s="2">
        <f t="shared" si="494"/>
        <v>0</v>
      </c>
      <c r="M2495" s="2">
        <f t="shared" si="495"/>
        <v>0</v>
      </c>
      <c r="N2495" s="2">
        <f t="shared" si="496"/>
        <v>0</v>
      </c>
      <c r="O2495" s="2">
        <f t="shared" si="497"/>
        <v>0</v>
      </c>
      <c r="P2495" s="112">
        <f t="shared" si="498"/>
        <v>0</v>
      </c>
      <c r="Q2495" s="112">
        <f t="shared" si="499"/>
        <v>0</v>
      </c>
      <c r="R2495" s="53"/>
      <c r="S2495" s="53" t="str">
        <f t="shared" si="500"/>
        <v>Autos - Multi|Autographs Duals Printing Plates Parallel|AD-SS|Printing Plate</v>
      </c>
      <c r="T2495" s="57" t="str">
        <f>IF($S2495="","",IFERROR(VLOOKUP($S2495,'Pop Estimates (Non-#d)'!$N$2:$O$500,2,FALSE),""))</f>
        <v/>
      </c>
      <c r="U2495" s="57">
        <f t="shared" si="501"/>
        <v>4</v>
      </c>
      <c r="V2495" s="53" t="str">
        <f t="shared" si="502"/>
        <v>Homelander/Elisabeth Shue as Madelyn Stillwell</v>
      </c>
      <c r="W2495" s="53" t="str">
        <f t="shared" si="503"/>
        <v>Homelander/Elisabeth Shue as Madelyn Stillwell</v>
      </c>
      <c r="X2495" s="53" t="str">
        <f t="shared" si="504"/>
        <v>Homelander/Elisabeth Shue as Madelyn Stillwell</v>
      </c>
      <c r="Y2495" s="57" t="str">
        <f>IF($X2495="","",IFERROR(VLOOKUP($X2495,'Char Popularity'!$A$2:$C$500,2,FALSE),""))</f>
        <v/>
      </c>
      <c r="Z2495" s="56">
        <f>IF($X2495="",1,IFERROR(VLOOKUP($X2495,'Char Popularity'!$A$2:$C$500,3,FALSE),1))</f>
        <v>1</v>
      </c>
      <c r="AA2495" s="62">
        <f>IF($H2495&lt;&gt;"Y",0,(IF($F2495&lt;&gt;"",ROUND(Dashboard!$R$4/$F2495,1),IF(AND($I2495="Base",$E2495="Base"),Dashboard!$R$5,IF(AND($I2495="Base",$E2495="Red"),Dashboard!$R$6,IF(AND($I2495="Base",$E2495="Gold"),Dashboard!$R$7,VLOOKUP($I2495,Dashboard!$Q$16:$R$21,2,FALSE)))))*VLOOKUP($I2495,Dashboard!$Q$9:$R$13,2,FALSE)*IF(AND($I2495="Auto",$F2495="",OR($B2495="Autographs Duals",$B2495="Autographs Triples",$B2495="Autographs Quads",$B2495="Autographs Quads (Inscribed)")),IF($B2495="Autographs Duals",2,IF($B2495="Autographs Triples",3,4)),1)))</f>
        <v>0</v>
      </c>
      <c r="AB2495" s="62">
        <f t="shared" si="505"/>
        <v>0</v>
      </c>
      <c r="AC2495" s="62">
        <f t="shared" si="506"/>
        <v>0</v>
      </c>
    </row>
    <row r="2496" spans="1:29" ht="30" customHeight="1" x14ac:dyDescent="0.25">
      <c r="A2496" s="4" t="s">
        <v>39</v>
      </c>
      <c r="B2496" s="7" t="s">
        <v>797</v>
      </c>
      <c r="C2496" s="2" t="s">
        <v>202</v>
      </c>
      <c r="D2496" s="7" t="s">
        <v>203</v>
      </c>
      <c r="E2496" s="4" t="s">
        <v>829</v>
      </c>
      <c r="F2496" s="2">
        <v>4</v>
      </c>
      <c r="G2496" s="2" t="s">
        <v>1400</v>
      </c>
      <c r="H2496" s="2" t="s">
        <v>1399</v>
      </c>
      <c r="I2496" s="4" t="s">
        <v>68</v>
      </c>
      <c r="J2496" s="112">
        <f>IF($H2496&lt;&gt;"Y",0,ROUND(MIN(Dashboard!$R$24,IF(IFERROR(VLOOKUP($B2496,Dashboard!$Q$28:$S$60,2,FALSE),0)&gt;0,IFERROR(VLOOKUP($B2496,Dashboard!$Q$28:$S$60,2,FALSE),0),$Z2496*IF($U2496&lt;&gt;"",ROUND((Dashboard!$R$4/$U2496)*VLOOKUP($I2496,Dashboard!$Q$9:$R$13,2,FALSE)*IF(ISNUMBER(SEARCH("Duals",$B2496)),2,IF(ISNUMBER(SEARCH("Triples",$B2496)),3,IF(ISNUMBER(SEARCH("Quads",$B2496)),4,1))),2),ROUND(VLOOKUP($I2496,Dashboard!$Q$15:$R$20,2,FALSE)*IF($E2496="Red",Dashboard!$R$6,IF($E2496="Gold",Dashboard!$R$7,Dashboard!$R$5))*IF(ISNUMBER(SEARCH("Duals",$B2496)),2,IF(ISNUMBER(SEARCH("Triples",$B2496)),3,IF(ISNUMBER(SEARCH("Quads",$B2496)),4,1))),2))*IF(IFERROR(VLOOKUP($B2496,Dashboard!$Q$28:$S$60,3,FALSE),0)&gt;0,VLOOKUP($B2496,Dashboard!$Q$28:$S$60,3,FALSE),1))),0))</f>
        <v>0</v>
      </c>
      <c r="K2496" s="2" t="str">
        <f>IF('Autos - Multi'!I10="","",'Autos - Multi'!I10)</f>
        <v/>
      </c>
      <c r="L2496" s="2">
        <f t="shared" si="494"/>
        <v>0</v>
      </c>
      <c r="M2496" s="2">
        <f t="shared" si="495"/>
        <v>0</v>
      </c>
      <c r="N2496" s="2">
        <f t="shared" si="496"/>
        <v>0</v>
      </c>
      <c r="O2496" s="2">
        <f t="shared" si="497"/>
        <v>0</v>
      </c>
      <c r="P2496" s="112">
        <f t="shared" si="498"/>
        <v>0</v>
      </c>
      <c r="Q2496" s="112">
        <f t="shared" si="499"/>
        <v>0</v>
      </c>
      <c r="R2496" s="53"/>
      <c r="S2496" s="53" t="str">
        <f t="shared" si="500"/>
        <v>Autos - Multi|Autographs Duals Printing Plates Parallel|AD-TA|Printing Plate</v>
      </c>
      <c r="T2496" s="57" t="str">
        <f>IF($S2496="","",IFERROR(VLOOKUP($S2496,'Pop Estimates (Non-#d)'!$N$2:$O$500,2,FALSE),""))</f>
        <v/>
      </c>
      <c r="U2496" s="57">
        <f t="shared" si="501"/>
        <v>4</v>
      </c>
      <c r="V2496" s="53" t="str">
        <f t="shared" si="502"/>
        <v>Mother's Milk/Tomer Capone as Frenchie</v>
      </c>
      <c r="W2496" s="53" t="str">
        <f t="shared" si="503"/>
        <v>Mother's Milk/Tomer Capone as Frenchie</v>
      </c>
      <c r="X2496" s="53" t="str">
        <f t="shared" si="504"/>
        <v>Mother's Milk/Tomer Capone as Frenchie</v>
      </c>
      <c r="Y2496" s="57" t="str">
        <f>IF($X2496="","",IFERROR(VLOOKUP($X2496,'Char Popularity'!$A$2:$C$500,2,FALSE),""))</f>
        <v/>
      </c>
      <c r="Z2496" s="56">
        <f>IF($X2496="",1,IFERROR(VLOOKUP($X2496,'Char Popularity'!$A$2:$C$500,3,FALSE),1))</f>
        <v>1</v>
      </c>
      <c r="AA2496" s="62">
        <f>IF($H2496&lt;&gt;"Y",0,(IF($F2496&lt;&gt;"",ROUND(Dashboard!$R$4/$F2496,1),IF(AND($I2496="Base",$E2496="Base"),Dashboard!$R$5,IF(AND($I2496="Base",$E2496="Red"),Dashboard!$R$6,IF(AND($I2496="Base",$E2496="Gold"),Dashboard!$R$7,VLOOKUP($I2496,Dashboard!$Q$16:$R$21,2,FALSE)))))*VLOOKUP($I2496,Dashboard!$Q$9:$R$13,2,FALSE)*IF(AND($I2496="Auto",$F2496="",OR($B2496="Autographs Duals",$B2496="Autographs Triples",$B2496="Autographs Quads",$B2496="Autographs Quads (Inscribed)")),IF($B2496="Autographs Duals",2,IF($B2496="Autographs Triples",3,4)),1)))</f>
        <v>0</v>
      </c>
      <c r="AB2496" s="62">
        <f t="shared" si="505"/>
        <v>0</v>
      </c>
      <c r="AC2496" s="62">
        <f t="shared" si="506"/>
        <v>0</v>
      </c>
    </row>
    <row r="2497" spans="1:29" ht="30" customHeight="1" x14ac:dyDescent="0.25">
      <c r="A2497" s="4" t="s">
        <v>39</v>
      </c>
      <c r="B2497" s="7" t="s">
        <v>797</v>
      </c>
      <c r="C2497" s="2" t="s">
        <v>206</v>
      </c>
      <c r="D2497" s="7" t="s">
        <v>207</v>
      </c>
      <c r="E2497" s="4" t="s">
        <v>829</v>
      </c>
      <c r="F2497" s="2">
        <v>4</v>
      </c>
      <c r="G2497" s="2" t="s">
        <v>1400</v>
      </c>
      <c r="H2497" s="2" t="s">
        <v>1399</v>
      </c>
      <c r="I2497" s="4" t="s">
        <v>68</v>
      </c>
      <c r="J2497" s="112">
        <f>IF($H2497&lt;&gt;"Y",0,ROUND(MIN(Dashboard!$R$24,IF(IFERROR(VLOOKUP($B2497,Dashboard!$Q$28:$S$60,2,FALSE),0)&gt;0,IFERROR(VLOOKUP($B2497,Dashboard!$Q$28:$S$60,2,FALSE),0),$Z2497*IF($U2497&lt;&gt;"",ROUND((Dashboard!$R$4/$U2497)*VLOOKUP($I2497,Dashboard!$Q$9:$R$13,2,FALSE)*IF(ISNUMBER(SEARCH("Duals",$B2497)),2,IF(ISNUMBER(SEARCH("Triples",$B2497)),3,IF(ISNUMBER(SEARCH("Quads",$B2497)),4,1))),2),ROUND(VLOOKUP($I2497,Dashboard!$Q$15:$R$20,2,FALSE)*IF($E2497="Red",Dashboard!$R$6,IF($E2497="Gold",Dashboard!$R$7,Dashboard!$R$5))*IF(ISNUMBER(SEARCH("Duals",$B2497)),2,IF(ISNUMBER(SEARCH("Triples",$B2497)),3,IF(ISNUMBER(SEARCH("Quads",$B2497)),4,1))),2))*IF(IFERROR(VLOOKUP($B2497,Dashboard!$Q$28:$S$60,3,FALSE),0)&gt;0,VLOOKUP($B2497,Dashboard!$Q$28:$S$60,3,FALSE),1))),0))</f>
        <v>0</v>
      </c>
      <c r="K2497" s="2" t="str">
        <f>IF('Autos - Multi'!I12="","",'Autos - Multi'!I12)</f>
        <v/>
      </c>
      <c r="L2497" s="2">
        <f t="shared" si="494"/>
        <v>0</v>
      </c>
      <c r="M2497" s="2">
        <f t="shared" si="495"/>
        <v>0</v>
      </c>
      <c r="N2497" s="2">
        <f t="shared" si="496"/>
        <v>0</v>
      </c>
      <c r="O2497" s="2">
        <f t="shared" si="497"/>
        <v>0</v>
      </c>
      <c r="P2497" s="112">
        <f t="shared" si="498"/>
        <v>0</v>
      </c>
      <c r="Q2497" s="112">
        <f t="shared" si="499"/>
        <v>0</v>
      </c>
      <c r="R2497" s="53"/>
      <c r="S2497" s="53" t="str">
        <f t="shared" si="500"/>
        <v>Autos - Multi|Autographs Duals Printing Plates Parallel|AD-VC|Printing Plate</v>
      </c>
      <c r="T2497" s="57" t="str">
        <f>IF($S2497="","",IFERROR(VLOOKUP($S2497,'Pop Estimates (Non-#d)'!$N$2:$O$500,2,FALSE),""))</f>
        <v/>
      </c>
      <c r="U2497" s="57">
        <f t="shared" si="501"/>
        <v>4</v>
      </c>
      <c r="V2497" s="53" t="str">
        <f t="shared" si="502"/>
        <v>Becca Butcher/Cameron Crovetti as Ryan</v>
      </c>
      <c r="W2497" s="53" t="str">
        <f t="shared" si="503"/>
        <v>Becca Butcher/Cameron Crovetti as Ryan</v>
      </c>
      <c r="X2497" s="53" t="str">
        <f t="shared" si="504"/>
        <v>Becca Butcher/Cameron Crovetti as Ryan</v>
      </c>
      <c r="Y2497" s="57" t="str">
        <f>IF($X2497="","",IFERROR(VLOOKUP($X2497,'Char Popularity'!$A$2:$C$500,2,FALSE),""))</f>
        <v/>
      </c>
      <c r="Z2497" s="56">
        <f>IF($X2497="",1,IFERROR(VLOOKUP($X2497,'Char Popularity'!$A$2:$C$500,3,FALSE),1))</f>
        <v>1</v>
      </c>
      <c r="AA2497" s="62">
        <f>IF($H2497&lt;&gt;"Y",0,(IF($F2497&lt;&gt;"",ROUND(Dashboard!$R$4/$F2497,1),IF(AND($I2497="Base",$E2497="Base"),Dashboard!$R$5,IF(AND($I2497="Base",$E2497="Red"),Dashboard!$R$6,IF(AND($I2497="Base",$E2497="Gold"),Dashboard!$R$7,VLOOKUP($I2497,Dashboard!$Q$16:$R$21,2,FALSE)))))*VLOOKUP($I2497,Dashboard!$Q$9:$R$13,2,FALSE)*IF(AND($I2497="Auto",$F2497="",OR($B2497="Autographs Duals",$B2497="Autographs Triples",$B2497="Autographs Quads",$B2497="Autographs Quads (Inscribed)")),IF($B2497="Autographs Duals",2,IF($B2497="Autographs Triples",3,4)),1)))</f>
        <v>0</v>
      </c>
      <c r="AB2497" s="62">
        <f t="shared" si="505"/>
        <v>0</v>
      </c>
      <c r="AC2497" s="62">
        <f t="shared" si="506"/>
        <v>0</v>
      </c>
    </row>
    <row r="2498" spans="1:29" ht="30" customHeight="1" x14ac:dyDescent="0.25">
      <c r="A2498" s="4" t="s">
        <v>39</v>
      </c>
      <c r="B2498" s="7" t="s">
        <v>142</v>
      </c>
      <c r="C2498" s="2" t="s">
        <v>186</v>
      </c>
      <c r="D2498" s="7" t="s">
        <v>187</v>
      </c>
      <c r="E2498" s="4" t="s">
        <v>823</v>
      </c>
      <c r="F2498" s="2">
        <v>10</v>
      </c>
      <c r="G2498" s="2" t="s">
        <v>1399</v>
      </c>
      <c r="H2498" s="2" t="s">
        <v>1400</v>
      </c>
      <c r="I2498" s="4" t="s">
        <v>68</v>
      </c>
      <c r="J2498" s="112">
        <f>IF($H2498&lt;&gt;"Y",0,ROUND(MIN(Dashboard!$R$24,IF(IFERROR(VLOOKUP($B2498,Dashboard!$Q$28:$S$60,2,FALSE),0)&gt;0,IFERROR(VLOOKUP($B2498,Dashboard!$Q$28:$S$60,2,FALSE),0),$Z2498*IF($U2498&lt;&gt;"",ROUND((Dashboard!$R$4/$U2498)*VLOOKUP($I2498,Dashboard!$Q$9:$R$13,2,FALSE)*IF(ISNUMBER(SEARCH("Duals",$B2498)),2,IF(ISNUMBER(SEARCH("Triples",$B2498)),3,IF(ISNUMBER(SEARCH("Quads",$B2498)),4,1))),2),ROUND(VLOOKUP($I2498,Dashboard!$Q$15:$R$20,2,FALSE)*IF($E2498="Red",Dashboard!$R$6,IF($E2498="Gold",Dashboard!$R$7,Dashboard!$R$5))*IF(ISNUMBER(SEARCH("Duals",$B2498)),2,IF(ISNUMBER(SEARCH("Triples",$B2498)),3,IF(ISNUMBER(SEARCH("Quads",$B2498)),4,1))),2))*IF(IFERROR(VLOOKUP($B2498,Dashboard!$Q$28:$S$60,3,FALSE),0)&gt;0,VLOOKUP($B2498,Dashboard!$Q$28:$S$60,3,FALSE),1))),0))</f>
        <v>250</v>
      </c>
      <c r="K2498" s="2" t="str">
        <f>IF('Autos - Multi'!E2="","",'Autos - Multi'!E2)</f>
        <v/>
      </c>
      <c r="L2498" s="2">
        <f t="shared" ref="L2498:L2561" si="507">IF(AND($K2498&lt;&gt;"",LEFT($K2498,1)&lt;&gt;"Y"),1,0)</f>
        <v>0</v>
      </c>
      <c r="M2498" s="2">
        <f t="shared" ref="M2498:M2561" si="508">IF(LEFT($K2498,1)="Y",1,0)</f>
        <v>0</v>
      </c>
      <c r="N2498" s="2">
        <f t="shared" ref="N2498:N2561" si="509">$L2498+$M2498</f>
        <v>0</v>
      </c>
      <c r="O2498" s="2">
        <f t="shared" ref="O2498:O2561" si="510">IF($H2498="Y",1-$N2498,0)</f>
        <v>1</v>
      </c>
      <c r="P2498" s="112">
        <f t="shared" ref="P2498:P2561" si="511">IF($L2498=1,$J2498,0)</f>
        <v>0</v>
      </c>
      <c r="Q2498" s="112">
        <f t="shared" ref="Q2498:Q2561" si="512">IF($M2498=1,$J2498,0)</f>
        <v>0</v>
      </c>
      <c r="R2498" s="53"/>
      <c r="S2498" s="53" t="str">
        <f t="shared" ref="S2498:S2561" si="513">IF($A2498="","",$A2498&amp;"|"&amp;$B2498&amp;"|"&amp;$C2498&amp;"|"&amp;$E2498)</f>
        <v>Autos - Multi|Autographs Duals Red Parallel|AD-ES|Red</v>
      </c>
      <c r="T2498" s="57" t="str">
        <f>IF($S2498="","",IFERROR(VLOOKUP($S2498,'Pop Estimates (Non-#d)'!$N$2:$O$500,2,FALSE),""))</f>
        <v/>
      </c>
      <c r="U2498" s="57">
        <f t="shared" ref="U2498:U2561" si="514">IF($A2498="","",IF($F2498&lt;&gt;"",$F2498,$T2498))</f>
        <v>10</v>
      </c>
      <c r="V2498" s="53" t="str">
        <f t="shared" ref="V2498:V2561" si="515">IF($A2498="","",IF(ISNUMBER(SEARCH(" as ",$D2498)),MID($D2498,SEARCH(" as ",$D2498)+4,255),IF(ISNUMBER(SEARCH("/",$D2498)),LEFT($D2498,FIND("/",$D2498&amp;"/")-1),"")))</f>
        <v>Homelander/Chace Crawford as The Deep</v>
      </c>
      <c r="W2498" s="53" t="str">
        <f t="shared" ref="W2498:W2561" si="516">IF($V2498="","",TRIM(IFERROR(MID($V2498,SEARCH("(", $V2498)+1,SEARCH(")",$V2498)-SEARCH("(", $V2498)-1),$V2498)))</f>
        <v>Homelander/Chace Crawford as The Deep</v>
      </c>
      <c r="X2498" s="53" t="str">
        <f t="shared" ref="X2498:X2561" si="517">IF($W2498="","",TRIM(LEFT($W2498&amp;"""",FIND("""",$W2498&amp;"""")-1)))</f>
        <v>Homelander/Chace Crawford as The Deep</v>
      </c>
      <c r="Y2498" s="57" t="str">
        <f>IF($X2498="","",IFERROR(VLOOKUP($X2498,'Char Popularity'!$A$2:$C$500,2,FALSE),""))</f>
        <v/>
      </c>
      <c r="Z2498" s="56">
        <f>IF($X2498="",1,IFERROR(VLOOKUP($X2498,'Char Popularity'!$A$2:$C$500,3,FALSE),1))</f>
        <v>1</v>
      </c>
      <c r="AA2498" s="62">
        <f>IF($H2498&lt;&gt;"Y",0,(IF($F2498&lt;&gt;"",ROUND(Dashboard!$R$4/$F2498,1),IF(AND($I2498="Base",$E2498="Base"),Dashboard!$R$5,IF(AND($I2498="Base",$E2498="Red"),Dashboard!$R$6,IF(AND($I2498="Base",$E2498="Gold"),Dashboard!$R$7,VLOOKUP($I2498,Dashboard!$Q$16:$R$21,2,FALSE)))))*VLOOKUP($I2498,Dashboard!$Q$9:$R$13,2,FALSE)*IF(AND($I2498="Auto",$F2498="",OR($B2498="Autographs Duals",$B2498="Autographs Triples",$B2498="Autographs Quads",$B2498="Autographs Quads (Inscribed)")),IF($B2498="Autographs Duals",2,IF($B2498="Autographs Triples",3,4)),1)))</f>
        <v>200</v>
      </c>
      <c r="AB2498" s="62">
        <f t="shared" ref="AB2498:AB2561" si="518">IF($L2498=1,$AA2498,0)</f>
        <v>0</v>
      </c>
      <c r="AC2498" s="62">
        <f t="shared" ref="AC2498:AC2561" si="519">IF($M2498=1,$AA2498,0)</f>
        <v>0</v>
      </c>
    </row>
    <row r="2499" spans="1:29" ht="30" customHeight="1" x14ac:dyDescent="0.25">
      <c r="A2499" s="4" t="s">
        <v>39</v>
      </c>
      <c r="B2499" s="7" t="s">
        <v>142</v>
      </c>
      <c r="C2499" s="2" t="s">
        <v>188</v>
      </c>
      <c r="D2499" s="7" t="s">
        <v>189</v>
      </c>
      <c r="E2499" s="4" t="s">
        <v>823</v>
      </c>
      <c r="F2499" s="2">
        <v>10</v>
      </c>
      <c r="G2499" s="2" t="s">
        <v>1399</v>
      </c>
      <c r="H2499" s="2" t="s">
        <v>1400</v>
      </c>
      <c r="I2499" s="4" t="s">
        <v>68</v>
      </c>
      <c r="J2499" s="112">
        <f>IF($H2499&lt;&gt;"Y",0,ROUND(MIN(Dashboard!$R$24,IF(IFERROR(VLOOKUP($B2499,Dashboard!$Q$28:$S$60,2,FALSE),0)&gt;0,IFERROR(VLOOKUP($B2499,Dashboard!$Q$28:$S$60,2,FALSE),0),$Z2499*IF($U2499&lt;&gt;"",ROUND((Dashboard!$R$4/$U2499)*VLOOKUP($I2499,Dashboard!$Q$9:$R$13,2,FALSE)*IF(ISNUMBER(SEARCH("Duals",$B2499)),2,IF(ISNUMBER(SEARCH("Triples",$B2499)),3,IF(ISNUMBER(SEARCH("Quads",$B2499)),4,1))),2),ROUND(VLOOKUP($I2499,Dashboard!$Q$15:$R$20,2,FALSE)*IF($E2499="Red",Dashboard!$R$6,IF($E2499="Gold",Dashboard!$R$7,Dashboard!$R$5))*IF(ISNUMBER(SEARCH("Duals",$B2499)),2,IF(ISNUMBER(SEARCH("Triples",$B2499)),3,IF(ISNUMBER(SEARCH("Quads",$B2499)),4,1))),2))*IF(IFERROR(VLOOKUP($B2499,Dashboard!$Q$28:$S$60,3,FALSE),0)&gt;0,VLOOKUP($B2499,Dashboard!$Q$28:$S$60,3,FALSE),1))),0))</f>
        <v>250</v>
      </c>
      <c r="K2499" s="2" t="str">
        <f>IF('Autos - Multi'!E3="","",'Autos - Multi'!E3)</f>
        <v>Y 02/10</v>
      </c>
      <c r="L2499" s="2">
        <f t="shared" si="507"/>
        <v>0</v>
      </c>
      <c r="M2499" s="2">
        <f t="shared" si="508"/>
        <v>1</v>
      </c>
      <c r="N2499" s="2">
        <f t="shared" si="509"/>
        <v>1</v>
      </c>
      <c r="O2499" s="2">
        <f t="shared" si="510"/>
        <v>0</v>
      </c>
      <c r="P2499" s="112">
        <f t="shared" si="511"/>
        <v>0</v>
      </c>
      <c r="Q2499" s="112">
        <f t="shared" si="512"/>
        <v>250</v>
      </c>
      <c r="R2499" s="53"/>
      <c r="S2499" s="53" t="str">
        <f t="shared" si="513"/>
        <v>Autos - Multi|Autographs Duals Red Parallel|AD-FC|Red</v>
      </c>
      <c r="T2499" s="57" t="str">
        <f>IF($S2499="","",IFERROR(VLOOKUP($S2499,'Pop Estimates (Non-#d)'!$N$2:$O$500,2,FALSE),""))</f>
        <v/>
      </c>
      <c r="U2499" s="57">
        <f t="shared" si="514"/>
        <v>10</v>
      </c>
      <c r="V2499" s="53" t="str">
        <f t="shared" si="515"/>
        <v>Frenchie/Karen Fukuhara as Kimiko</v>
      </c>
      <c r="W2499" s="53" t="str">
        <f t="shared" si="516"/>
        <v>Frenchie/Karen Fukuhara as Kimiko</v>
      </c>
      <c r="X2499" s="53" t="str">
        <f t="shared" si="517"/>
        <v>Frenchie/Karen Fukuhara as Kimiko</v>
      </c>
      <c r="Y2499" s="57" t="str">
        <f>IF($X2499="","",IFERROR(VLOOKUP($X2499,'Char Popularity'!$A$2:$C$500,2,FALSE),""))</f>
        <v/>
      </c>
      <c r="Z2499" s="56">
        <f>IF($X2499="",1,IFERROR(VLOOKUP($X2499,'Char Popularity'!$A$2:$C$500,3,FALSE),1))</f>
        <v>1</v>
      </c>
      <c r="AA2499" s="62">
        <f>IF($H2499&lt;&gt;"Y",0,(IF($F2499&lt;&gt;"",ROUND(Dashboard!$R$4/$F2499,1),IF(AND($I2499="Base",$E2499="Base"),Dashboard!$R$5,IF(AND($I2499="Base",$E2499="Red"),Dashboard!$R$6,IF(AND($I2499="Base",$E2499="Gold"),Dashboard!$R$7,VLOOKUP($I2499,Dashboard!$Q$16:$R$21,2,FALSE)))))*VLOOKUP($I2499,Dashboard!$Q$9:$R$13,2,FALSE)*IF(AND($I2499="Auto",$F2499="",OR($B2499="Autographs Duals",$B2499="Autographs Triples",$B2499="Autographs Quads",$B2499="Autographs Quads (Inscribed)")),IF($B2499="Autographs Duals",2,IF($B2499="Autographs Triples",3,4)),1)))</f>
        <v>200</v>
      </c>
      <c r="AB2499" s="62">
        <f t="shared" si="518"/>
        <v>0</v>
      </c>
      <c r="AC2499" s="62">
        <f t="shared" si="519"/>
        <v>200</v>
      </c>
    </row>
    <row r="2500" spans="1:29" ht="30" customHeight="1" x14ac:dyDescent="0.25">
      <c r="A2500" s="4" t="s">
        <v>39</v>
      </c>
      <c r="B2500" s="7" t="s">
        <v>142</v>
      </c>
      <c r="C2500" s="2" t="s">
        <v>190</v>
      </c>
      <c r="D2500" s="7" t="s">
        <v>191</v>
      </c>
      <c r="E2500" s="4" t="s">
        <v>823</v>
      </c>
      <c r="F2500" s="2">
        <v>10</v>
      </c>
      <c r="G2500" s="2" t="s">
        <v>1399</v>
      </c>
      <c r="H2500" s="2" t="s">
        <v>1400</v>
      </c>
      <c r="I2500" s="4" t="s">
        <v>68</v>
      </c>
      <c r="J2500" s="112">
        <f>IF($H2500&lt;&gt;"Y",0,ROUND(MIN(Dashboard!$R$24,IF(IFERROR(VLOOKUP($B2500,Dashboard!$Q$28:$S$60,2,FALSE),0)&gt;0,IFERROR(VLOOKUP($B2500,Dashboard!$Q$28:$S$60,2,FALSE),0),$Z2500*IF($U2500&lt;&gt;"",ROUND((Dashboard!$R$4/$U2500)*VLOOKUP($I2500,Dashboard!$Q$9:$R$13,2,FALSE)*IF(ISNUMBER(SEARCH("Duals",$B2500)),2,IF(ISNUMBER(SEARCH("Triples",$B2500)),3,IF(ISNUMBER(SEARCH("Quads",$B2500)),4,1))),2),ROUND(VLOOKUP($I2500,Dashboard!$Q$15:$R$20,2,FALSE)*IF($E2500="Red",Dashboard!$R$6,IF($E2500="Gold",Dashboard!$R$7,Dashboard!$R$5))*IF(ISNUMBER(SEARCH("Duals",$B2500)),2,IF(ISNUMBER(SEARCH("Triples",$B2500)),3,IF(ISNUMBER(SEARCH("Quads",$B2500)),4,1))),2))*IF(IFERROR(VLOOKUP($B2500,Dashboard!$Q$28:$S$60,3,FALSE),0)&gt;0,VLOOKUP($B2500,Dashboard!$Q$28:$S$60,3,FALSE),1))),0))</f>
        <v>250</v>
      </c>
      <c r="K2500" s="2" t="str">
        <f>IF('Autos - Multi'!E4="","",'Autos - Multi'!E4)</f>
        <v/>
      </c>
      <c r="L2500" s="2">
        <f t="shared" si="507"/>
        <v>0</v>
      </c>
      <c r="M2500" s="2">
        <f t="shared" si="508"/>
        <v>0</v>
      </c>
      <c r="N2500" s="2">
        <f t="shared" si="509"/>
        <v>0</v>
      </c>
      <c r="O2500" s="2">
        <f t="shared" si="510"/>
        <v>1</v>
      </c>
      <c r="P2500" s="112">
        <f t="shared" si="511"/>
        <v>0</v>
      </c>
      <c r="Q2500" s="112">
        <f t="shared" si="512"/>
        <v>0</v>
      </c>
      <c r="R2500" s="53"/>
      <c r="S2500" s="53" t="str">
        <f t="shared" si="513"/>
        <v>Autos - Multi|Autographs Duals Red Parallel|AD-JB|Red</v>
      </c>
      <c r="T2500" s="57" t="str">
        <f>IF($S2500="","",IFERROR(VLOOKUP($S2500,'Pop Estimates (Non-#d)'!$N$2:$O$500,2,FALSE),""))</f>
        <v/>
      </c>
      <c r="U2500" s="57">
        <f t="shared" si="514"/>
        <v>10</v>
      </c>
      <c r="V2500" s="53" t="str">
        <f t="shared" si="515"/>
        <v>A-Train/Brittany Allen as Popclaw</v>
      </c>
      <c r="W2500" s="53" t="str">
        <f t="shared" si="516"/>
        <v>A-Train/Brittany Allen as Popclaw</v>
      </c>
      <c r="X2500" s="53" t="str">
        <f t="shared" si="517"/>
        <v>A-Train/Brittany Allen as Popclaw</v>
      </c>
      <c r="Y2500" s="57" t="str">
        <f>IF($X2500="","",IFERROR(VLOOKUP($X2500,'Char Popularity'!$A$2:$C$500,2,FALSE),""))</f>
        <v/>
      </c>
      <c r="Z2500" s="56">
        <f>IF($X2500="",1,IFERROR(VLOOKUP($X2500,'Char Popularity'!$A$2:$C$500,3,FALSE),1))</f>
        <v>1</v>
      </c>
      <c r="AA2500" s="62">
        <f>IF($H2500&lt;&gt;"Y",0,(IF($F2500&lt;&gt;"",ROUND(Dashboard!$R$4/$F2500,1),IF(AND($I2500="Base",$E2500="Base"),Dashboard!$R$5,IF(AND($I2500="Base",$E2500="Red"),Dashboard!$R$6,IF(AND($I2500="Base",$E2500="Gold"),Dashboard!$R$7,VLOOKUP($I2500,Dashboard!$Q$16:$R$21,2,FALSE)))))*VLOOKUP($I2500,Dashboard!$Q$9:$R$13,2,FALSE)*IF(AND($I2500="Auto",$F2500="",OR($B2500="Autographs Duals",$B2500="Autographs Triples",$B2500="Autographs Quads",$B2500="Autographs Quads (Inscribed)")),IF($B2500="Autographs Duals",2,IF($B2500="Autographs Triples",3,4)),1)))</f>
        <v>200</v>
      </c>
      <c r="AB2500" s="62">
        <f t="shared" si="518"/>
        <v>0</v>
      </c>
      <c r="AC2500" s="62">
        <f t="shared" si="519"/>
        <v>0</v>
      </c>
    </row>
    <row r="2501" spans="1:29" ht="30" customHeight="1" x14ac:dyDescent="0.25">
      <c r="A2501" s="4" t="s">
        <v>39</v>
      </c>
      <c r="B2501" s="7" t="s">
        <v>142</v>
      </c>
      <c r="C2501" s="2" t="s">
        <v>192</v>
      </c>
      <c r="D2501" s="7" t="s">
        <v>193</v>
      </c>
      <c r="E2501" s="4" t="s">
        <v>823</v>
      </c>
      <c r="F2501" s="2">
        <v>10</v>
      </c>
      <c r="G2501" s="2" t="s">
        <v>1399</v>
      </c>
      <c r="H2501" s="2" t="s">
        <v>1400</v>
      </c>
      <c r="I2501" s="4" t="s">
        <v>68</v>
      </c>
      <c r="J2501" s="112">
        <f>IF($H2501&lt;&gt;"Y",0,ROUND(MIN(Dashboard!$R$24,IF(IFERROR(VLOOKUP($B2501,Dashboard!$Q$28:$S$60,2,FALSE),0)&gt;0,IFERROR(VLOOKUP($B2501,Dashboard!$Q$28:$S$60,2,FALSE),0),$Z2501*IF($U2501&lt;&gt;"",ROUND((Dashboard!$R$4/$U2501)*VLOOKUP($I2501,Dashboard!$Q$9:$R$13,2,FALSE)*IF(ISNUMBER(SEARCH("Duals",$B2501)),2,IF(ISNUMBER(SEARCH("Triples",$B2501)),3,IF(ISNUMBER(SEARCH("Quads",$B2501)),4,1))),2),ROUND(VLOOKUP($I2501,Dashboard!$Q$15:$R$20,2,FALSE)*IF($E2501="Red",Dashboard!$R$6,IF($E2501="Gold",Dashboard!$R$7,Dashboard!$R$5))*IF(ISNUMBER(SEARCH("Duals",$B2501)),2,IF(ISNUMBER(SEARCH("Triples",$B2501)),3,IF(ISNUMBER(SEARCH("Quads",$B2501)),4,1))),2))*IF(IFERROR(VLOOKUP($B2501,Dashboard!$Q$28:$S$60,3,FALSE),0)&gt;0,VLOOKUP($B2501,Dashboard!$Q$28:$S$60,3,FALSE),1))),0))</f>
        <v>250</v>
      </c>
      <c r="K2501" s="2" t="str">
        <f>IF('Autos - Multi'!E5="","",'Autos - Multi'!E5)</f>
        <v/>
      </c>
      <c r="L2501" s="2">
        <f t="shared" si="507"/>
        <v>0</v>
      </c>
      <c r="M2501" s="2">
        <f t="shared" si="508"/>
        <v>0</v>
      </c>
      <c r="N2501" s="2">
        <f t="shared" si="509"/>
        <v>0</v>
      </c>
      <c r="O2501" s="2">
        <f t="shared" si="510"/>
        <v>1</v>
      </c>
      <c r="P2501" s="112">
        <f t="shared" si="511"/>
        <v>0</v>
      </c>
      <c r="Q2501" s="112">
        <f t="shared" si="512"/>
        <v>0</v>
      </c>
      <c r="R2501" s="53"/>
      <c r="S2501" s="53" t="str">
        <f t="shared" si="513"/>
        <v>Autos - Multi|Autographs Duals Red Parallel|AD-MM|Red</v>
      </c>
      <c r="T2501" s="57" t="str">
        <f>IF($S2501="","",IFERROR(VLOOKUP($S2501,'Pop Estimates (Non-#d)'!$N$2:$O$500,2,FALSE),""))</f>
        <v/>
      </c>
      <c r="U2501" s="57">
        <f t="shared" si="514"/>
        <v>10</v>
      </c>
      <c r="V2501" s="53" t="str">
        <f t="shared" si="515"/>
        <v>Starlight/Dominique McElligott as Queen Maeve</v>
      </c>
      <c r="W2501" s="53" t="str">
        <f t="shared" si="516"/>
        <v>Starlight/Dominique McElligott as Queen Maeve</v>
      </c>
      <c r="X2501" s="53" t="str">
        <f t="shared" si="517"/>
        <v>Starlight/Dominique McElligott as Queen Maeve</v>
      </c>
      <c r="Y2501" s="57" t="str">
        <f>IF($X2501="","",IFERROR(VLOOKUP($X2501,'Char Popularity'!$A$2:$C$500,2,FALSE),""))</f>
        <v/>
      </c>
      <c r="Z2501" s="56">
        <f>IF($X2501="",1,IFERROR(VLOOKUP($X2501,'Char Popularity'!$A$2:$C$500,3,FALSE),1))</f>
        <v>1</v>
      </c>
      <c r="AA2501" s="62">
        <f>IF($H2501&lt;&gt;"Y",0,(IF($F2501&lt;&gt;"",ROUND(Dashboard!$R$4/$F2501,1),IF(AND($I2501="Base",$E2501="Base"),Dashboard!$R$5,IF(AND($I2501="Base",$E2501="Red"),Dashboard!$R$6,IF(AND($I2501="Base",$E2501="Gold"),Dashboard!$R$7,VLOOKUP($I2501,Dashboard!$Q$16:$R$21,2,FALSE)))))*VLOOKUP($I2501,Dashboard!$Q$9:$R$13,2,FALSE)*IF(AND($I2501="Auto",$F2501="",OR($B2501="Autographs Duals",$B2501="Autographs Triples",$B2501="Autographs Quads",$B2501="Autographs Quads (Inscribed)")),IF($B2501="Autographs Duals",2,IF($B2501="Autographs Triples",3,4)),1)))</f>
        <v>200</v>
      </c>
      <c r="AB2501" s="62">
        <f t="shared" si="518"/>
        <v>0</v>
      </c>
      <c r="AC2501" s="62">
        <f t="shared" si="519"/>
        <v>0</v>
      </c>
    </row>
    <row r="2502" spans="1:29" ht="30" customHeight="1" x14ac:dyDescent="0.25">
      <c r="A2502" s="4" t="s">
        <v>39</v>
      </c>
      <c r="B2502" s="7" t="s">
        <v>142</v>
      </c>
      <c r="C2502" s="2" t="s">
        <v>194</v>
      </c>
      <c r="D2502" s="7" t="s">
        <v>195</v>
      </c>
      <c r="E2502" s="4" t="s">
        <v>823</v>
      </c>
      <c r="F2502" s="2">
        <v>10</v>
      </c>
      <c r="G2502" s="2" t="s">
        <v>1399</v>
      </c>
      <c r="H2502" s="2" t="s">
        <v>1400</v>
      </c>
      <c r="I2502" s="4" t="s">
        <v>68</v>
      </c>
      <c r="J2502" s="112">
        <f>IF($H2502&lt;&gt;"Y",0,ROUND(MIN(Dashboard!$R$24,IF(IFERROR(VLOOKUP($B2502,Dashboard!$Q$28:$S$60,2,FALSE),0)&gt;0,IFERROR(VLOOKUP($B2502,Dashboard!$Q$28:$S$60,2,FALSE),0),$Z2502*IF($U2502&lt;&gt;"",ROUND((Dashboard!$R$4/$U2502)*VLOOKUP($I2502,Dashboard!$Q$9:$R$13,2,FALSE)*IF(ISNUMBER(SEARCH("Duals",$B2502)),2,IF(ISNUMBER(SEARCH("Triples",$B2502)),3,IF(ISNUMBER(SEARCH("Quads",$B2502)),4,1))),2),ROUND(VLOOKUP($I2502,Dashboard!$Q$15:$R$20,2,FALSE)*IF($E2502="Red",Dashboard!$R$6,IF($E2502="Gold",Dashboard!$R$7,Dashboard!$R$5))*IF(ISNUMBER(SEARCH("Duals",$B2502)),2,IF(ISNUMBER(SEARCH("Triples",$B2502)),3,IF(ISNUMBER(SEARCH("Quads",$B2502)),4,1))),2))*IF(IFERROR(VLOOKUP($B2502,Dashboard!$Q$28:$S$60,3,FALSE),0)&gt;0,VLOOKUP($B2502,Dashboard!$Q$28:$S$60,3,FALSE),1))),0))</f>
        <v>250</v>
      </c>
      <c r="K2502" s="2" t="str">
        <f>IF('Autos - Multi'!E6="","",'Autos - Multi'!E6)</f>
        <v/>
      </c>
      <c r="L2502" s="2">
        <f t="shared" si="507"/>
        <v>0</v>
      </c>
      <c r="M2502" s="2">
        <f t="shared" si="508"/>
        <v>0</v>
      </c>
      <c r="N2502" s="2">
        <f t="shared" si="509"/>
        <v>0</v>
      </c>
      <c r="O2502" s="2">
        <f t="shared" si="510"/>
        <v>1</v>
      </c>
      <c r="P2502" s="112">
        <f t="shared" si="511"/>
        <v>0</v>
      </c>
      <c r="Q2502" s="112">
        <f t="shared" si="512"/>
        <v>0</v>
      </c>
      <c r="R2502" s="53"/>
      <c r="S2502" s="53" t="str">
        <f t="shared" si="513"/>
        <v>Autos - Multi|Autographs Duals Red Parallel|AD-MQ|Red</v>
      </c>
      <c r="T2502" s="57" t="str">
        <f>IF($S2502="","",IFERROR(VLOOKUP($S2502,'Pop Estimates (Non-#d)'!$N$2:$O$500,2,FALSE),""))</f>
        <v/>
      </c>
      <c r="U2502" s="57">
        <f t="shared" si="514"/>
        <v>10</v>
      </c>
      <c r="V2502" s="53" t="str">
        <f t="shared" si="515"/>
        <v>Highie Campbell/Erin Moriarty as Starlight</v>
      </c>
      <c r="W2502" s="53" t="str">
        <f t="shared" si="516"/>
        <v>Highie Campbell/Erin Moriarty as Starlight</v>
      </c>
      <c r="X2502" s="53" t="str">
        <f t="shared" si="517"/>
        <v>Highie Campbell/Erin Moriarty as Starlight</v>
      </c>
      <c r="Y2502" s="57" t="str">
        <f>IF($X2502="","",IFERROR(VLOOKUP($X2502,'Char Popularity'!$A$2:$C$500,2,FALSE),""))</f>
        <v/>
      </c>
      <c r="Z2502" s="56">
        <f>IF($X2502="",1,IFERROR(VLOOKUP($X2502,'Char Popularity'!$A$2:$C$500,3,FALSE),1))</f>
        <v>1</v>
      </c>
      <c r="AA2502" s="62">
        <f>IF($H2502&lt;&gt;"Y",0,(IF($F2502&lt;&gt;"",ROUND(Dashboard!$R$4/$F2502,1),IF(AND($I2502="Base",$E2502="Base"),Dashboard!$R$5,IF(AND($I2502="Base",$E2502="Red"),Dashboard!$R$6,IF(AND($I2502="Base",$E2502="Gold"),Dashboard!$R$7,VLOOKUP($I2502,Dashboard!$Q$16:$R$21,2,FALSE)))))*VLOOKUP($I2502,Dashboard!$Q$9:$R$13,2,FALSE)*IF(AND($I2502="Auto",$F2502="",OR($B2502="Autographs Duals",$B2502="Autographs Triples",$B2502="Autographs Quads",$B2502="Autographs Quads (Inscribed)")),IF($B2502="Autographs Duals",2,IF($B2502="Autographs Triples",3,4)),1)))</f>
        <v>200</v>
      </c>
      <c r="AB2502" s="62">
        <f t="shared" si="518"/>
        <v>0</v>
      </c>
      <c r="AC2502" s="62">
        <f t="shared" si="519"/>
        <v>0</v>
      </c>
    </row>
    <row r="2503" spans="1:29" ht="30" customHeight="1" x14ac:dyDescent="0.25">
      <c r="A2503" s="4" t="s">
        <v>39</v>
      </c>
      <c r="B2503" s="7" t="s">
        <v>142</v>
      </c>
      <c r="C2503" s="2" t="s">
        <v>196</v>
      </c>
      <c r="D2503" s="7" t="s">
        <v>197</v>
      </c>
      <c r="E2503" s="4" t="s">
        <v>823</v>
      </c>
      <c r="F2503" s="2">
        <v>10</v>
      </c>
      <c r="G2503" s="2" t="s">
        <v>1399</v>
      </c>
      <c r="H2503" s="2" t="s">
        <v>1400</v>
      </c>
      <c r="I2503" s="4" t="s">
        <v>68</v>
      </c>
      <c r="J2503" s="112">
        <f>IF($H2503&lt;&gt;"Y",0,ROUND(MIN(Dashboard!$R$24,IF(IFERROR(VLOOKUP($B2503,Dashboard!$Q$28:$S$60,2,FALSE),0)&gt;0,IFERROR(VLOOKUP($B2503,Dashboard!$Q$28:$S$60,2,FALSE),0),$Z2503*IF($U2503&lt;&gt;"",ROUND((Dashboard!$R$4/$U2503)*VLOOKUP($I2503,Dashboard!$Q$9:$R$13,2,FALSE)*IF(ISNUMBER(SEARCH("Duals",$B2503)),2,IF(ISNUMBER(SEARCH("Triples",$B2503)),3,IF(ISNUMBER(SEARCH("Quads",$B2503)),4,1))),2),ROUND(VLOOKUP($I2503,Dashboard!$Q$15:$R$20,2,FALSE)*IF($E2503="Red",Dashboard!$R$6,IF($E2503="Gold",Dashboard!$R$7,Dashboard!$R$5))*IF(ISNUMBER(SEARCH("Duals",$B2503)),2,IF(ISNUMBER(SEARCH("Triples",$B2503)),3,IF(ISNUMBER(SEARCH("Quads",$B2503)),4,1))),2))*IF(IFERROR(VLOOKUP($B2503,Dashboard!$Q$28:$S$60,3,FALSE),0)&gt;0,VLOOKUP($B2503,Dashboard!$Q$28:$S$60,3,FALSE),1))),0))</f>
        <v>250</v>
      </c>
      <c r="K2503" s="2" t="str">
        <f>IF('Autos - Multi'!E7="","",'Autos - Multi'!E7)</f>
        <v/>
      </c>
      <c r="L2503" s="2">
        <f t="shared" si="507"/>
        <v>0</v>
      </c>
      <c r="M2503" s="2">
        <f t="shared" si="508"/>
        <v>0</v>
      </c>
      <c r="N2503" s="2">
        <f t="shared" si="509"/>
        <v>0</v>
      </c>
      <c r="O2503" s="2">
        <f t="shared" si="510"/>
        <v>1</v>
      </c>
      <c r="P2503" s="112">
        <f t="shared" si="511"/>
        <v>0</v>
      </c>
      <c r="Q2503" s="112">
        <f t="shared" si="512"/>
        <v>0</v>
      </c>
      <c r="R2503" s="53"/>
      <c r="S2503" s="53" t="str">
        <f t="shared" si="513"/>
        <v>Autos - Multi|Autographs Duals Red Parallel|AD-QH|Red</v>
      </c>
      <c r="T2503" s="57" t="str">
        <f>IF($S2503="","",IFERROR(VLOOKUP($S2503,'Pop Estimates (Non-#d)'!$N$2:$O$500,2,FALSE),""))</f>
        <v/>
      </c>
      <c r="U2503" s="57">
        <f t="shared" si="514"/>
        <v>10</v>
      </c>
      <c r="V2503" s="53" t="str">
        <f t="shared" si="515"/>
        <v>Hughie Campbell/Alex Hassell as Translucent</v>
      </c>
      <c r="W2503" s="53" t="str">
        <f t="shared" si="516"/>
        <v>Hughie Campbell/Alex Hassell as Translucent</v>
      </c>
      <c r="X2503" s="53" t="str">
        <f t="shared" si="517"/>
        <v>Hughie Campbell/Alex Hassell as Translucent</v>
      </c>
      <c r="Y2503" s="57" t="str">
        <f>IF($X2503="","",IFERROR(VLOOKUP($X2503,'Char Popularity'!$A$2:$C$500,2,FALSE),""))</f>
        <v/>
      </c>
      <c r="Z2503" s="56">
        <f>IF($X2503="",1,IFERROR(VLOOKUP($X2503,'Char Popularity'!$A$2:$C$500,3,FALSE),1))</f>
        <v>1</v>
      </c>
      <c r="AA2503" s="62">
        <f>IF($H2503&lt;&gt;"Y",0,(IF($F2503&lt;&gt;"",ROUND(Dashboard!$R$4/$F2503,1),IF(AND($I2503="Base",$E2503="Base"),Dashboard!$R$5,IF(AND($I2503="Base",$E2503="Red"),Dashboard!$R$6,IF(AND($I2503="Base",$E2503="Gold"),Dashboard!$R$7,VLOOKUP($I2503,Dashboard!$Q$16:$R$21,2,FALSE)))))*VLOOKUP($I2503,Dashboard!$Q$9:$R$13,2,FALSE)*IF(AND($I2503="Auto",$F2503="",OR($B2503="Autographs Duals",$B2503="Autographs Triples",$B2503="Autographs Quads",$B2503="Autographs Quads (Inscribed)")),IF($B2503="Autographs Duals",2,IF($B2503="Autographs Triples",3,4)),1)))</f>
        <v>200</v>
      </c>
      <c r="AB2503" s="62">
        <f t="shared" si="518"/>
        <v>0</v>
      </c>
      <c r="AC2503" s="62">
        <f t="shared" si="519"/>
        <v>0</v>
      </c>
    </row>
    <row r="2504" spans="1:29" ht="30" customHeight="1" x14ac:dyDescent="0.25">
      <c r="A2504" s="4" t="s">
        <v>39</v>
      </c>
      <c r="B2504" s="7" t="s">
        <v>142</v>
      </c>
      <c r="C2504" s="2" t="s">
        <v>198</v>
      </c>
      <c r="D2504" s="7" t="s">
        <v>199</v>
      </c>
      <c r="E2504" s="4" t="s">
        <v>823</v>
      </c>
      <c r="F2504" s="2">
        <v>10</v>
      </c>
      <c r="G2504" s="2" t="s">
        <v>1399</v>
      </c>
      <c r="H2504" s="2" t="s">
        <v>1400</v>
      </c>
      <c r="I2504" s="4" t="s">
        <v>68</v>
      </c>
      <c r="J2504" s="112">
        <f>IF($H2504&lt;&gt;"Y",0,ROUND(MIN(Dashboard!$R$24,IF(IFERROR(VLOOKUP($B2504,Dashboard!$Q$28:$S$60,2,FALSE),0)&gt;0,IFERROR(VLOOKUP($B2504,Dashboard!$Q$28:$S$60,2,FALSE),0),$Z2504*IF($U2504&lt;&gt;"",ROUND((Dashboard!$R$4/$U2504)*VLOOKUP($I2504,Dashboard!$Q$9:$R$13,2,FALSE)*IF(ISNUMBER(SEARCH("Duals",$B2504)),2,IF(ISNUMBER(SEARCH("Triples",$B2504)),3,IF(ISNUMBER(SEARCH("Quads",$B2504)),4,1))),2),ROUND(VLOOKUP($I2504,Dashboard!$Q$15:$R$20,2,FALSE)*IF($E2504="Red",Dashboard!$R$6,IF($E2504="Gold",Dashboard!$R$7,Dashboard!$R$5))*IF(ISNUMBER(SEARCH("Duals",$B2504)),2,IF(ISNUMBER(SEARCH("Triples",$B2504)),3,IF(ISNUMBER(SEARCH("Quads",$B2504)),4,1))),2))*IF(IFERROR(VLOOKUP($B2504,Dashboard!$Q$28:$S$60,3,FALSE),0)&gt;0,VLOOKUP($B2504,Dashboard!$Q$28:$S$60,3,FALSE),1))),0))</f>
        <v>250</v>
      </c>
      <c r="K2504" s="2" t="str">
        <f>IF('Autos - Multi'!E8="","",'Autos - Multi'!E8)</f>
        <v/>
      </c>
      <c r="L2504" s="2">
        <f t="shared" si="507"/>
        <v>0</v>
      </c>
      <c r="M2504" s="2">
        <f t="shared" si="508"/>
        <v>0</v>
      </c>
      <c r="N2504" s="2">
        <f t="shared" si="509"/>
        <v>0</v>
      </c>
      <c r="O2504" s="2">
        <f t="shared" si="510"/>
        <v>1</v>
      </c>
      <c r="P2504" s="112">
        <f t="shared" si="511"/>
        <v>0</v>
      </c>
      <c r="Q2504" s="112">
        <f t="shared" si="512"/>
        <v>0</v>
      </c>
      <c r="R2504" s="53"/>
      <c r="S2504" s="53" t="str">
        <f t="shared" si="513"/>
        <v>Autos - Multi|Autographs Duals Red Parallel|AD-SM|Red</v>
      </c>
      <c r="T2504" s="57" t="str">
        <f>IF($S2504="","",IFERROR(VLOOKUP($S2504,'Pop Estimates (Non-#d)'!$N$2:$O$500,2,FALSE),""))</f>
        <v/>
      </c>
      <c r="U2504" s="57">
        <f t="shared" si="514"/>
        <v>10</v>
      </c>
      <c r="V2504" s="53" t="str">
        <f t="shared" si="515"/>
        <v>Homelander/Dominique McElligott as Queen Maeve</v>
      </c>
      <c r="W2504" s="53" t="str">
        <f t="shared" si="516"/>
        <v>Homelander/Dominique McElligott as Queen Maeve</v>
      </c>
      <c r="X2504" s="53" t="str">
        <f t="shared" si="517"/>
        <v>Homelander/Dominique McElligott as Queen Maeve</v>
      </c>
      <c r="Y2504" s="57" t="str">
        <f>IF($X2504="","",IFERROR(VLOOKUP($X2504,'Char Popularity'!$A$2:$C$500,2,FALSE),""))</f>
        <v/>
      </c>
      <c r="Z2504" s="56">
        <f>IF($X2504="",1,IFERROR(VLOOKUP($X2504,'Char Popularity'!$A$2:$C$500,3,FALSE),1))</f>
        <v>1</v>
      </c>
      <c r="AA2504" s="62">
        <f>IF($H2504&lt;&gt;"Y",0,(IF($F2504&lt;&gt;"",ROUND(Dashboard!$R$4/$F2504,1),IF(AND($I2504="Base",$E2504="Base"),Dashboard!$R$5,IF(AND($I2504="Base",$E2504="Red"),Dashboard!$R$6,IF(AND($I2504="Base",$E2504="Gold"),Dashboard!$R$7,VLOOKUP($I2504,Dashboard!$Q$16:$R$21,2,FALSE)))))*VLOOKUP($I2504,Dashboard!$Q$9:$R$13,2,FALSE)*IF(AND($I2504="Auto",$F2504="",OR($B2504="Autographs Duals",$B2504="Autographs Triples",$B2504="Autographs Quads",$B2504="Autographs Quads (Inscribed)")),IF($B2504="Autographs Duals",2,IF($B2504="Autographs Triples",3,4)),1)))</f>
        <v>200</v>
      </c>
      <c r="AB2504" s="62">
        <f t="shared" si="518"/>
        <v>0</v>
      </c>
      <c r="AC2504" s="62">
        <f t="shared" si="519"/>
        <v>0</v>
      </c>
    </row>
    <row r="2505" spans="1:29" ht="30" customHeight="1" x14ac:dyDescent="0.25">
      <c r="A2505" s="4" t="s">
        <v>39</v>
      </c>
      <c r="B2505" s="7" t="s">
        <v>142</v>
      </c>
      <c r="C2505" s="2" t="s">
        <v>200</v>
      </c>
      <c r="D2505" s="7" t="s">
        <v>201</v>
      </c>
      <c r="E2505" s="4" t="s">
        <v>823</v>
      </c>
      <c r="F2505" s="2">
        <v>10</v>
      </c>
      <c r="G2505" s="2" t="s">
        <v>1399</v>
      </c>
      <c r="H2505" s="2" t="s">
        <v>1400</v>
      </c>
      <c r="I2505" s="4" t="s">
        <v>68</v>
      </c>
      <c r="J2505" s="112">
        <f>IF($H2505&lt;&gt;"Y",0,ROUND(MIN(Dashboard!$R$24,IF(IFERROR(VLOOKUP($B2505,Dashboard!$Q$28:$S$60,2,FALSE),0)&gt;0,IFERROR(VLOOKUP($B2505,Dashboard!$Q$28:$S$60,2,FALSE),0),$Z2505*IF($U2505&lt;&gt;"",ROUND((Dashboard!$R$4/$U2505)*VLOOKUP($I2505,Dashboard!$Q$9:$R$13,2,FALSE)*IF(ISNUMBER(SEARCH("Duals",$B2505)),2,IF(ISNUMBER(SEARCH("Triples",$B2505)),3,IF(ISNUMBER(SEARCH("Quads",$B2505)),4,1))),2),ROUND(VLOOKUP($I2505,Dashboard!$Q$15:$R$20,2,FALSE)*IF($E2505="Red",Dashboard!$R$6,IF($E2505="Gold",Dashboard!$R$7,Dashboard!$R$5))*IF(ISNUMBER(SEARCH("Duals",$B2505)),2,IF(ISNUMBER(SEARCH("Triples",$B2505)),3,IF(ISNUMBER(SEARCH("Quads",$B2505)),4,1))),2))*IF(IFERROR(VLOOKUP($B2505,Dashboard!$Q$28:$S$60,3,FALSE),0)&gt;0,VLOOKUP($B2505,Dashboard!$Q$28:$S$60,3,FALSE),1))),0))</f>
        <v>250</v>
      </c>
      <c r="K2505" s="2" t="str">
        <f>IF('Autos - Multi'!E9="","",'Autos - Multi'!E9)</f>
        <v/>
      </c>
      <c r="L2505" s="2">
        <f t="shared" si="507"/>
        <v>0</v>
      </c>
      <c r="M2505" s="2">
        <f t="shared" si="508"/>
        <v>0</v>
      </c>
      <c r="N2505" s="2">
        <f t="shared" si="509"/>
        <v>0</v>
      </c>
      <c r="O2505" s="2">
        <f t="shared" si="510"/>
        <v>1</v>
      </c>
      <c r="P2505" s="112">
        <f t="shared" si="511"/>
        <v>0</v>
      </c>
      <c r="Q2505" s="112">
        <f t="shared" si="512"/>
        <v>0</v>
      </c>
      <c r="R2505" s="53"/>
      <c r="S2505" s="53" t="str">
        <f t="shared" si="513"/>
        <v>Autos - Multi|Autographs Duals Red Parallel|AD-SS|Red</v>
      </c>
      <c r="T2505" s="57" t="str">
        <f>IF($S2505="","",IFERROR(VLOOKUP($S2505,'Pop Estimates (Non-#d)'!$N$2:$O$500,2,FALSE),""))</f>
        <v/>
      </c>
      <c r="U2505" s="57">
        <f t="shared" si="514"/>
        <v>10</v>
      </c>
      <c r="V2505" s="53" t="str">
        <f t="shared" si="515"/>
        <v>Homelander/Elisabeth Shue as Madelyn Stillwell</v>
      </c>
      <c r="W2505" s="53" t="str">
        <f t="shared" si="516"/>
        <v>Homelander/Elisabeth Shue as Madelyn Stillwell</v>
      </c>
      <c r="X2505" s="53" t="str">
        <f t="shared" si="517"/>
        <v>Homelander/Elisabeth Shue as Madelyn Stillwell</v>
      </c>
      <c r="Y2505" s="57" t="str">
        <f>IF($X2505="","",IFERROR(VLOOKUP($X2505,'Char Popularity'!$A$2:$C$500,2,FALSE),""))</f>
        <v/>
      </c>
      <c r="Z2505" s="56">
        <f>IF($X2505="",1,IFERROR(VLOOKUP($X2505,'Char Popularity'!$A$2:$C$500,3,FALSE),1))</f>
        <v>1</v>
      </c>
      <c r="AA2505" s="62">
        <f>IF($H2505&lt;&gt;"Y",0,(IF($F2505&lt;&gt;"",ROUND(Dashboard!$R$4/$F2505,1),IF(AND($I2505="Base",$E2505="Base"),Dashboard!$R$5,IF(AND($I2505="Base",$E2505="Red"),Dashboard!$R$6,IF(AND($I2505="Base",$E2505="Gold"),Dashboard!$R$7,VLOOKUP($I2505,Dashboard!$Q$16:$R$21,2,FALSE)))))*VLOOKUP($I2505,Dashboard!$Q$9:$R$13,2,FALSE)*IF(AND($I2505="Auto",$F2505="",OR($B2505="Autographs Duals",$B2505="Autographs Triples",$B2505="Autographs Quads",$B2505="Autographs Quads (Inscribed)")),IF($B2505="Autographs Duals",2,IF($B2505="Autographs Triples",3,4)),1)))</f>
        <v>200</v>
      </c>
      <c r="AB2505" s="62">
        <f t="shared" si="518"/>
        <v>0</v>
      </c>
      <c r="AC2505" s="62">
        <f t="shared" si="519"/>
        <v>0</v>
      </c>
    </row>
    <row r="2506" spans="1:29" ht="30" customHeight="1" x14ac:dyDescent="0.25">
      <c r="A2506" s="4" t="s">
        <v>39</v>
      </c>
      <c r="B2506" s="7" t="s">
        <v>142</v>
      </c>
      <c r="C2506" s="2" t="s">
        <v>202</v>
      </c>
      <c r="D2506" s="7" t="s">
        <v>203</v>
      </c>
      <c r="E2506" s="4" t="s">
        <v>823</v>
      </c>
      <c r="F2506" s="2">
        <v>10</v>
      </c>
      <c r="G2506" s="2" t="s">
        <v>1399</v>
      </c>
      <c r="H2506" s="2" t="s">
        <v>1400</v>
      </c>
      <c r="I2506" s="4" t="s">
        <v>68</v>
      </c>
      <c r="J2506" s="112">
        <f>IF($H2506&lt;&gt;"Y",0,ROUND(MIN(Dashboard!$R$24,IF(IFERROR(VLOOKUP($B2506,Dashboard!$Q$28:$S$60,2,FALSE),0)&gt;0,IFERROR(VLOOKUP($B2506,Dashboard!$Q$28:$S$60,2,FALSE),0),$Z2506*IF($U2506&lt;&gt;"",ROUND((Dashboard!$R$4/$U2506)*VLOOKUP($I2506,Dashboard!$Q$9:$R$13,2,FALSE)*IF(ISNUMBER(SEARCH("Duals",$B2506)),2,IF(ISNUMBER(SEARCH("Triples",$B2506)),3,IF(ISNUMBER(SEARCH("Quads",$B2506)),4,1))),2),ROUND(VLOOKUP($I2506,Dashboard!$Q$15:$R$20,2,FALSE)*IF($E2506="Red",Dashboard!$R$6,IF($E2506="Gold",Dashboard!$R$7,Dashboard!$R$5))*IF(ISNUMBER(SEARCH("Duals",$B2506)),2,IF(ISNUMBER(SEARCH("Triples",$B2506)),3,IF(ISNUMBER(SEARCH("Quads",$B2506)),4,1))),2))*IF(IFERROR(VLOOKUP($B2506,Dashboard!$Q$28:$S$60,3,FALSE),0)&gt;0,VLOOKUP($B2506,Dashboard!$Q$28:$S$60,3,FALSE),1))),0))</f>
        <v>250</v>
      </c>
      <c r="K2506" s="2" t="str">
        <f>IF('Autos - Multi'!E10="","",'Autos - Multi'!E10)</f>
        <v/>
      </c>
      <c r="L2506" s="2">
        <f t="shared" si="507"/>
        <v>0</v>
      </c>
      <c r="M2506" s="2">
        <f t="shared" si="508"/>
        <v>0</v>
      </c>
      <c r="N2506" s="2">
        <f t="shared" si="509"/>
        <v>0</v>
      </c>
      <c r="O2506" s="2">
        <f t="shared" si="510"/>
        <v>1</v>
      </c>
      <c r="P2506" s="112">
        <f t="shared" si="511"/>
        <v>0</v>
      </c>
      <c r="Q2506" s="112">
        <f t="shared" si="512"/>
        <v>0</v>
      </c>
      <c r="R2506" s="53"/>
      <c r="S2506" s="53" t="str">
        <f t="shared" si="513"/>
        <v>Autos - Multi|Autographs Duals Red Parallel|AD-TA|Red</v>
      </c>
      <c r="T2506" s="57" t="str">
        <f>IF($S2506="","",IFERROR(VLOOKUP($S2506,'Pop Estimates (Non-#d)'!$N$2:$O$500,2,FALSE),""))</f>
        <v/>
      </c>
      <c r="U2506" s="57">
        <f t="shared" si="514"/>
        <v>10</v>
      </c>
      <c r="V2506" s="53" t="str">
        <f t="shared" si="515"/>
        <v>Mother's Milk/Tomer Capone as Frenchie</v>
      </c>
      <c r="W2506" s="53" t="str">
        <f t="shared" si="516"/>
        <v>Mother's Milk/Tomer Capone as Frenchie</v>
      </c>
      <c r="X2506" s="53" t="str">
        <f t="shared" si="517"/>
        <v>Mother's Milk/Tomer Capone as Frenchie</v>
      </c>
      <c r="Y2506" s="57" t="str">
        <f>IF($X2506="","",IFERROR(VLOOKUP($X2506,'Char Popularity'!$A$2:$C$500,2,FALSE),""))</f>
        <v/>
      </c>
      <c r="Z2506" s="56">
        <f>IF($X2506="",1,IFERROR(VLOOKUP($X2506,'Char Popularity'!$A$2:$C$500,3,FALSE),1))</f>
        <v>1</v>
      </c>
      <c r="AA2506" s="62">
        <f>IF($H2506&lt;&gt;"Y",0,(IF($F2506&lt;&gt;"",ROUND(Dashboard!$R$4/$F2506,1),IF(AND($I2506="Base",$E2506="Base"),Dashboard!$R$5,IF(AND($I2506="Base",$E2506="Red"),Dashboard!$R$6,IF(AND($I2506="Base",$E2506="Gold"),Dashboard!$R$7,VLOOKUP($I2506,Dashboard!$Q$16:$R$21,2,FALSE)))))*VLOOKUP($I2506,Dashboard!$Q$9:$R$13,2,FALSE)*IF(AND($I2506="Auto",$F2506="",OR($B2506="Autographs Duals",$B2506="Autographs Triples",$B2506="Autographs Quads",$B2506="Autographs Quads (Inscribed)")),IF($B2506="Autographs Duals",2,IF($B2506="Autographs Triples",3,4)),1)))</f>
        <v>200</v>
      </c>
      <c r="AB2506" s="62">
        <f t="shared" si="518"/>
        <v>0</v>
      </c>
      <c r="AC2506" s="62">
        <f t="shared" si="519"/>
        <v>0</v>
      </c>
    </row>
    <row r="2507" spans="1:29" ht="30" customHeight="1" x14ac:dyDescent="0.25">
      <c r="A2507" s="4" t="s">
        <v>39</v>
      </c>
      <c r="B2507" s="7" t="s">
        <v>142</v>
      </c>
      <c r="C2507" s="2" t="s">
        <v>206</v>
      </c>
      <c r="D2507" s="7" t="s">
        <v>207</v>
      </c>
      <c r="E2507" s="4" t="s">
        <v>823</v>
      </c>
      <c r="F2507" s="2">
        <v>10</v>
      </c>
      <c r="G2507" s="2" t="s">
        <v>1399</v>
      </c>
      <c r="H2507" s="2" t="s">
        <v>1400</v>
      </c>
      <c r="I2507" s="4" t="s">
        <v>68</v>
      </c>
      <c r="J2507" s="112">
        <f>IF($H2507&lt;&gt;"Y",0,ROUND(MIN(Dashboard!$R$24,IF(IFERROR(VLOOKUP($B2507,Dashboard!$Q$28:$S$60,2,FALSE),0)&gt;0,IFERROR(VLOOKUP($B2507,Dashboard!$Q$28:$S$60,2,FALSE),0),$Z2507*IF($U2507&lt;&gt;"",ROUND((Dashboard!$R$4/$U2507)*VLOOKUP($I2507,Dashboard!$Q$9:$R$13,2,FALSE)*IF(ISNUMBER(SEARCH("Duals",$B2507)),2,IF(ISNUMBER(SEARCH("Triples",$B2507)),3,IF(ISNUMBER(SEARCH("Quads",$B2507)),4,1))),2),ROUND(VLOOKUP($I2507,Dashboard!$Q$15:$R$20,2,FALSE)*IF($E2507="Red",Dashboard!$R$6,IF($E2507="Gold",Dashboard!$R$7,Dashboard!$R$5))*IF(ISNUMBER(SEARCH("Duals",$B2507)),2,IF(ISNUMBER(SEARCH("Triples",$B2507)),3,IF(ISNUMBER(SEARCH("Quads",$B2507)),4,1))),2))*IF(IFERROR(VLOOKUP($B2507,Dashboard!$Q$28:$S$60,3,FALSE),0)&gt;0,VLOOKUP($B2507,Dashboard!$Q$28:$S$60,3,FALSE),1))),0))</f>
        <v>250</v>
      </c>
      <c r="K2507" s="2" t="str">
        <f>IF('Autos - Multi'!E12="","",'Autos - Multi'!E12)</f>
        <v/>
      </c>
      <c r="L2507" s="2">
        <f t="shared" si="507"/>
        <v>0</v>
      </c>
      <c r="M2507" s="2">
        <f t="shared" si="508"/>
        <v>0</v>
      </c>
      <c r="N2507" s="2">
        <f t="shared" si="509"/>
        <v>0</v>
      </c>
      <c r="O2507" s="2">
        <f t="shared" si="510"/>
        <v>1</v>
      </c>
      <c r="P2507" s="112">
        <f t="shared" si="511"/>
        <v>0</v>
      </c>
      <c r="Q2507" s="112">
        <f t="shared" si="512"/>
        <v>0</v>
      </c>
      <c r="R2507" s="53"/>
      <c r="S2507" s="53" t="str">
        <f t="shared" si="513"/>
        <v>Autos - Multi|Autographs Duals Red Parallel|AD-VC|Red</v>
      </c>
      <c r="T2507" s="57" t="str">
        <f>IF($S2507="","",IFERROR(VLOOKUP($S2507,'Pop Estimates (Non-#d)'!$N$2:$O$500,2,FALSE),""))</f>
        <v/>
      </c>
      <c r="U2507" s="57">
        <f t="shared" si="514"/>
        <v>10</v>
      </c>
      <c r="V2507" s="53" t="str">
        <f t="shared" si="515"/>
        <v>Becca Butcher/Cameron Crovetti as Ryan</v>
      </c>
      <c r="W2507" s="53" t="str">
        <f t="shared" si="516"/>
        <v>Becca Butcher/Cameron Crovetti as Ryan</v>
      </c>
      <c r="X2507" s="53" t="str">
        <f t="shared" si="517"/>
        <v>Becca Butcher/Cameron Crovetti as Ryan</v>
      </c>
      <c r="Y2507" s="57" t="str">
        <f>IF($X2507="","",IFERROR(VLOOKUP($X2507,'Char Popularity'!$A$2:$C$500,2,FALSE),""))</f>
        <v/>
      </c>
      <c r="Z2507" s="56">
        <f>IF($X2507="",1,IFERROR(VLOOKUP($X2507,'Char Popularity'!$A$2:$C$500,3,FALSE),1))</f>
        <v>1</v>
      </c>
      <c r="AA2507" s="62">
        <f>IF($H2507&lt;&gt;"Y",0,(IF($F2507&lt;&gt;"",ROUND(Dashboard!$R$4/$F2507,1),IF(AND($I2507="Base",$E2507="Base"),Dashboard!$R$5,IF(AND($I2507="Base",$E2507="Red"),Dashboard!$R$6,IF(AND($I2507="Base",$E2507="Gold"),Dashboard!$R$7,VLOOKUP($I2507,Dashboard!$Q$16:$R$21,2,FALSE)))))*VLOOKUP($I2507,Dashboard!$Q$9:$R$13,2,FALSE)*IF(AND($I2507="Auto",$F2507="",OR($B2507="Autographs Duals",$B2507="Autographs Triples",$B2507="Autographs Quads",$B2507="Autographs Quads (Inscribed)")),IF($B2507="Autographs Duals",2,IF($B2507="Autographs Triples",3,4)),1)))</f>
        <v>200</v>
      </c>
      <c r="AB2507" s="62">
        <f t="shared" si="518"/>
        <v>0</v>
      </c>
      <c r="AC2507" s="62">
        <f t="shared" si="519"/>
        <v>0</v>
      </c>
    </row>
    <row r="2508" spans="1:29" ht="45" customHeight="1" x14ac:dyDescent="0.25">
      <c r="A2508" s="4" t="s">
        <v>39</v>
      </c>
      <c r="B2508" s="7" t="s">
        <v>145</v>
      </c>
      <c r="C2508" s="2" t="s">
        <v>179</v>
      </c>
      <c r="D2508" s="7" t="s">
        <v>180</v>
      </c>
      <c r="E2508" s="4" t="s">
        <v>60</v>
      </c>
      <c r="F2508" s="2"/>
      <c r="G2508" s="2" t="s">
        <v>1399</v>
      </c>
      <c r="H2508" s="2" t="s">
        <v>1400</v>
      </c>
      <c r="I2508" s="4" t="s">
        <v>68</v>
      </c>
      <c r="J2508" s="112">
        <f>IF($H2508&lt;&gt;"Y",0,ROUND(MIN(Dashboard!$R$24,IF(IFERROR(VLOOKUP($B2508,Dashboard!$Q$28:$S$60,2,FALSE),0)&gt;0,IFERROR(VLOOKUP($B2508,Dashboard!$Q$28:$S$60,2,FALSE),0),$Z2508*IF($U2508&lt;&gt;"",ROUND((Dashboard!$R$4/$U2508)*VLOOKUP($I2508,Dashboard!$Q$9:$R$13,2,FALSE)*IF(ISNUMBER(SEARCH("Duals",$B2508)),2,IF(ISNUMBER(SEARCH("Triples",$B2508)),3,IF(ISNUMBER(SEARCH("Quads",$B2508)),4,1))),2),ROUND(VLOOKUP($I2508,Dashboard!$Q$15:$R$20,2,FALSE)*IF($E2508="Red",Dashboard!$R$6,IF($E2508="Gold",Dashboard!$R$7,Dashboard!$R$5))*IF(ISNUMBER(SEARCH("Duals",$B2508)),2,IF(ISNUMBER(SEARCH("Triples",$B2508)),3,IF(ISNUMBER(SEARCH("Quads",$B2508)),4,1))),2))*IF(IFERROR(VLOOKUP($B2508,Dashboard!$Q$28:$S$60,3,FALSE),0)&gt;0,VLOOKUP($B2508,Dashboard!$Q$28:$S$60,3,FALSE),1))),0))</f>
        <v>250</v>
      </c>
      <c r="K2508" s="2" t="str">
        <f>IF('Autos - Multi'!D14="","",'Autos - Multi'!D14)</f>
        <v>d</v>
      </c>
      <c r="L2508" s="2">
        <f t="shared" si="507"/>
        <v>1</v>
      </c>
      <c r="M2508" s="2">
        <f t="shared" si="508"/>
        <v>0</v>
      </c>
      <c r="N2508" s="2">
        <f t="shared" si="509"/>
        <v>1</v>
      </c>
      <c r="O2508" s="2">
        <f t="shared" si="510"/>
        <v>0</v>
      </c>
      <c r="P2508" s="112">
        <f t="shared" si="511"/>
        <v>250</v>
      </c>
      <c r="Q2508" s="112">
        <f t="shared" si="512"/>
        <v>0</v>
      </c>
      <c r="R2508" s="53"/>
      <c r="S2508" s="53" t="str">
        <f t="shared" si="513"/>
        <v>Autos - Multi|Autographs Quads|AQ-BOYS|Base</v>
      </c>
      <c r="T2508" s="57">
        <f>IF($S2508="","",IFERROR(VLOOKUP($S2508,'Pop Estimates (Non-#d)'!$N$2:$O$500,2,FALSE),""))</f>
        <v>22</v>
      </c>
      <c r="U2508" s="57">
        <f t="shared" si="514"/>
        <v>22</v>
      </c>
      <c r="V2508" s="53" t="str">
        <f t="shared" si="515"/>
        <v>Billy Butcher/Jack Quaid as Hughie Campbell/Tomer Capone as Frenchie/Laz Alonso as Mother's Milk</v>
      </c>
      <c r="W2508" s="53" t="str">
        <f t="shared" si="516"/>
        <v>Billy Butcher/Jack Quaid as Hughie Campbell/Tomer Capone as Frenchie/Laz Alonso as Mother's Milk</v>
      </c>
      <c r="X2508" s="53" t="str">
        <f t="shared" si="517"/>
        <v>Billy Butcher/Jack Quaid as Hughie Campbell/Tomer Capone as Frenchie/Laz Alonso as Mother's Milk</v>
      </c>
      <c r="Y2508" s="57" t="str">
        <f>IF($X2508="","",IFERROR(VLOOKUP($X2508,'Char Popularity'!$A$2:$C$500,2,FALSE),""))</f>
        <v/>
      </c>
      <c r="Z2508" s="56">
        <f>IF($X2508="",1,IFERROR(VLOOKUP($X2508,'Char Popularity'!$A$2:$C$500,3,FALSE),1))</f>
        <v>1</v>
      </c>
      <c r="AA2508" s="62">
        <f>IF($H2508&lt;&gt;"Y",0,(IF($F2508&lt;&gt;"",ROUND(Dashboard!$R$4/$F2508,1),IF(AND($I2508="Base",$E2508="Base"),Dashboard!$R$5,IF(AND($I2508="Base",$E2508="Red"),Dashboard!$R$6,IF(AND($I2508="Base",$E2508="Gold"),Dashboard!$R$7,VLOOKUP($I2508,Dashboard!$Q$16:$R$21,2,FALSE)))))*VLOOKUP($I2508,Dashboard!$Q$9:$R$13,2,FALSE)*IF(AND($I2508="Auto",$F2508="",OR($B2508="Autographs Duals",$B2508="Autographs Triples",$B2508="Autographs Quads",$B2508="Autographs Quads (Inscribed)")),IF($B2508="Autographs Duals",2,IF($B2508="Autographs Triples",3,4)),1)))</f>
        <v>200</v>
      </c>
      <c r="AB2508" s="62">
        <f t="shared" si="518"/>
        <v>200</v>
      </c>
      <c r="AC2508" s="62">
        <f t="shared" si="519"/>
        <v>0</v>
      </c>
    </row>
    <row r="2509" spans="1:29" ht="60" customHeight="1" x14ac:dyDescent="0.25">
      <c r="A2509" s="4" t="s">
        <v>39</v>
      </c>
      <c r="B2509" s="7" t="s">
        <v>114</v>
      </c>
      <c r="C2509" s="2" t="s">
        <v>174</v>
      </c>
      <c r="D2509" s="7" t="s">
        <v>175</v>
      </c>
      <c r="E2509" s="4" t="s">
        <v>176</v>
      </c>
      <c r="F2509" s="2"/>
      <c r="G2509" s="2" t="s">
        <v>1399</v>
      </c>
      <c r="H2509" s="2" t="s">
        <v>1400</v>
      </c>
      <c r="I2509" s="4" t="s">
        <v>68</v>
      </c>
      <c r="J2509" s="112">
        <f>IF($H2509&lt;&gt;"Y",0,ROUND(MIN(Dashboard!$R$24,IF(IFERROR(VLOOKUP($B2509,Dashboard!$Q$28:$S$60,2,FALSE),0)&gt;0,IFERROR(VLOOKUP($B2509,Dashboard!$Q$28:$S$60,2,FALSE),0),$Z2509*IF($U2509&lt;&gt;"",ROUND((Dashboard!$R$4/$U2509)*VLOOKUP($I2509,Dashboard!$Q$9:$R$13,2,FALSE)*IF(ISNUMBER(SEARCH("Duals",$B2509)),2,IF(ISNUMBER(SEARCH("Triples",$B2509)),3,IF(ISNUMBER(SEARCH("Quads",$B2509)),4,1))),2),ROUND(VLOOKUP($I2509,Dashboard!$Q$15:$R$20,2,FALSE)*IF($E2509="Red",Dashboard!$R$6,IF($E2509="Gold",Dashboard!$R$7,Dashboard!$R$5))*IF(ISNUMBER(SEARCH("Duals",$B2509)),2,IF(ISNUMBER(SEARCH("Triples",$B2509)),3,IF(ISNUMBER(SEARCH("Quads",$B2509)),4,1))),2))*IF(IFERROR(VLOOKUP($B2509,Dashboard!$Q$28:$S$60,3,FALSE),0)&gt;0,VLOOKUP($B2509,Dashboard!$Q$28:$S$60,3,FALSE),1))),0))</f>
        <v>250</v>
      </c>
      <c r="K2509" s="2" t="str">
        <f>IF('Autos - Multi'!F15="","",'Autos - Multi'!F15)</f>
        <v/>
      </c>
      <c r="L2509" s="2">
        <f t="shared" si="507"/>
        <v>0</v>
      </c>
      <c r="M2509" s="2">
        <f t="shared" si="508"/>
        <v>0</v>
      </c>
      <c r="N2509" s="2">
        <f t="shared" si="509"/>
        <v>0</v>
      </c>
      <c r="O2509" s="2">
        <f t="shared" si="510"/>
        <v>1</v>
      </c>
      <c r="P2509" s="112">
        <f t="shared" si="511"/>
        <v>0</v>
      </c>
      <c r="Q2509" s="112">
        <f t="shared" si="512"/>
        <v>0</v>
      </c>
      <c r="R2509" s="53" t="s">
        <v>689</v>
      </c>
      <c r="S2509" s="53" t="str">
        <f t="shared" si="513"/>
        <v>Autos - Multi|Autographs Quads (Inscribed)|AQ-SEVN|Inscribed</v>
      </c>
      <c r="T2509" s="57">
        <f>IF($S2509="","",IFERROR(VLOOKUP($S2509,'Pop Estimates (Non-#d)'!$N$2:$O$500,2,FALSE),""))</f>
        <v>12</v>
      </c>
      <c r="U2509" s="57">
        <f t="shared" si="514"/>
        <v>12</v>
      </c>
      <c r="V2509" s="53" t="str">
        <f t="shared" si="515"/>
        <v>Homelander/Dominique McElligott as Queen Maeve/Nathan Mitchell as Black Noir/Jessie T. Usher as A-Train "The Seven"</v>
      </c>
      <c r="W2509" s="53" t="str">
        <f t="shared" si="516"/>
        <v>Homelander/Dominique McElligott as Queen Maeve/Nathan Mitchell as Black Noir/Jessie T. Usher as A-Train "The Seven"</v>
      </c>
      <c r="X2509" s="53" t="str">
        <f t="shared" si="517"/>
        <v>Homelander/Dominique McElligott as Queen Maeve/Nathan Mitchell as Black Noir/Jessie T. Usher as A-Train</v>
      </c>
      <c r="Y2509" s="57" t="str">
        <f>IF($X2509="","",IFERROR(VLOOKUP($X2509,'Char Popularity'!$A$2:$C$500,2,FALSE),""))</f>
        <v/>
      </c>
      <c r="Z2509" s="56">
        <f>IF($X2509="",1,IFERROR(VLOOKUP($X2509,'Char Popularity'!$A$2:$C$500,3,FALSE),1))</f>
        <v>1</v>
      </c>
      <c r="AA2509" s="62">
        <f>IF($H2509&lt;&gt;"Y",0,(IF($F2509&lt;&gt;"",ROUND(Dashboard!$R$4/$F2509,1),IF(AND($I2509="Base",$E2509="Base"),Dashboard!$R$5,IF(AND($I2509="Base",$E2509="Red"),Dashboard!$R$6,IF(AND($I2509="Base",$E2509="Gold"),Dashboard!$R$7,VLOOKUP($I2509,Dashboard!$Q$16:$R$21,2,FALSE)))))*VLOOKUP($I2509,Dashboard!$Q$9:$R$13,2,FALSE)*IF(AND($I2509="Auto",$F2509="",OR($B2509="Autographs Duals",$B2509="Autographs Triples",$B2509="Autographs Quads",$B2509="Autographs Quads (Inscribed)")),IF($B2509="Autographs Duals",2,IF($B2509="Autographs Triples",3,4)),1)))</f>
        <v>200</v>
      </c>
      <c r="AB2509" s="62">
        <f t="shared" si="518"/>
        <v>0</v>
      </c>
      <c r="AC2509" s="62">
        <f t="shared" si="519"/>
        <v>0</v>
      </c>
    </row>
    <row r="2510" spans="1:29" ht="60" customHeight="1" x14ac:dyDescent="0.25">
      <c r="A2510" s="4" t="s">
        <v>39</v>
      </c>
      <c r="B2510" s="7" t="s">
        <v>117</v>
      </c>
      <c r="C2510" s="2" t="s">
        <v>174</v>
      </c>
      <c r="D2510" s="7" t="s">
        <v>175</v>
      </c>
      <c r="E2510" s="4" t="s">
        <v>1602</v>
      </c>
      <c r="F2510" s="2">
        <v>1</v>
      </c>
      <c r="G2510" s="2" t="s">
        <v>1399</v>
      </c>
      <c r="H2510" s="2" t="s">
        <v>1399</v>
      </c>
      <c r="I2510" s="4" t="s">
        <v>68</v>
      </c>
      <c r="J2510" s="112">
        <f>IF($H2510&lt;&gt;"Y",0,ROUND(MIN(Dashboard!$R$24,IF(IFERROR(VLOOKUP($B2510,Dashboard!$Q$28:$S$60,2,FALSE),0)&gt;0,IFERROR(VLOOKUP($B2510,Dashboard!$Q$28:$S$60,2,FALSE),0),$Z2510*IF($U2510&lt;&gt;"",ROUND((Dashboard!$R$4/$U2510)*VLOOKUP($I2510,Dashboard!$Q$9:$R$13,2,FALSE)*IF(ISNUMBER(SEARCH("Duals",$B2510)),2,IF(ISNUMBER(SEARCH("Triples",$B2510)),3,IF(ISNUMBER(SEARCH("Quads",$B2510)),4,1))),2),ROUND(VLOOKUP($I2510,Dashboard!$Q$15:$R$20,2,FALSE)*IF($E2510="Red",Dashboard!$R$6,IF($E2510="Gold",Dashboard!$R$7,Dashboard!$R$5))*IF(ISNUMBER(SEARCH("Duals",$B2510)),2,IF(ISNUMBER(SEARCH("Triples",$B2510)),3,IF(ISNUMBER(SEARCH("Quads",$B2510)),4,1))),2))*IF(IFERROR(VLOOKUP($B2510,Dashboard!$Q$28:$S$60,3,FALSE),0)&gt;0,VLOOKUP($B2510,Dashboard!$Q$28:$S$60,3,FALSE),1))),0))</f>
        <v>0</v>
      </c>
      <c r="K2510" s="2" t="str">
        <f>IF('Autos - Multi'!H15="","",'Autos - Multi'!H15)</f>
        <v/>
      </c>
      <c r="L2510" s="2">
        <f t="shared" si="507"/>
        <v>0</v>
      </c>
      <c r="M2510" s="2">
        <f t="shared" si="508"/>
        <v>0</v>
      </c>
      <c r="N2510" s="2">
        <f t="shared" si="509"/>
        <v>0</v>
      </c>
      <c r="O2510" s="2">
        <f t="shared" si="510"/>
        <v>0</v>
      </c>
      <c r="P2510" s="112">
        <f t="shared" si="511"/>
        <v>0</v>
      </c>
      <c r="Q2510" s="112">
        <f t="shared" si="512"/>
        <v>0</v>
      </c>
      <c r="R2510" s="53" t="s">
        <v>689</v>
      </c>
      <c r="S2510" s="53" t="str">
        <f t="shared" si="513"/>
        <v>Autos - Multi|Autographs Quads Gold Parallel (Inscribed)|AQ-SEVN|Gold</v>
      </c>
      <c r="T2510" s="57" t="str">
        <f>IF($S2510="","",IFERROR(VLOOKUP($S2510,'Pop Estimates (Non-#d)'!$N$2:$O$500,2,FALSE),""))</f>
        <v/>
      </c>
      <c r="U2510" s="57">
        <f t="shared" si="514"/>
        <v>1</v>
      </c>
      <c r="V2510" s="53" t="str">
        <f t="shared" si="515"/>
        <v>Homelander/Dominique McElligott as Queen Maeve/Nathan Mitchell as Black Noir/Jessie T. Usher as A-Train "The Seven"</v>
      </c>
      <c r="W2510" s="53" t="str">
        <f t="shared" si="516"/>
        <v>Homelander/Dominique McElligott as Queen Maeve/Nathan Mitchell as Black Noir/Jessie T. Usher as A-Train "The Seven"</v>
      </c>
      <c r="X2510" s="53" t="str">
        <f t="shared" si="517"/>
        <v>Homelander/Dominique McElligott as Queen Maeve/Nathan Mitchell as Black Noir/Jessie T. Usher as A-Train</v>
      </c>
      <c r="Y2510" s="57" t="str">
        <f>IF($X2510="","",IFERROR(VLOOKUP($X2510,'Char Popularity'!$A$2:$C$500,2,FALSE),""))</f>
        <v/>
      </c>
      <c r="Z2510" s="56">
        <f>IF($X2510="",1,IFERROR(VLOOKUP($X2510,'Char Popularity'!$A$2:$C$500,3,FALSE),1))</f>
        <v>1</v>
      </c>
      <c r="AA2510" s="62">
        <f>IF($H2510&lt;&gt;"Y",0,(IF($F2510&lt;&gt;"",ROUND(Dashboard!$R$4/$F2510,1),IF(AND($I2510="Base",$E2510="Base"),Dashboard!$R$5,IF(AND($I2510="Base",$E2510="Red"),Dashboard!$R$6,IF(AND($I2510="Base",$E2510="Gold"),Dashboard!$R$7,VLOOKUP($I2510,Dashboard!$Q$16:$R$21,2,FALSE)))))*VLOOKUP($I2510,Dashboard!$Q$9:$R$13,2,FALSE)*IF(AND($I2510="Auto",$F2510="",OR($B2510="Autographs Duals",$B2510="Autographs Triples",$B2510="Autographs Quads",$B2510="Autographs Quads (Inscribed)")),IF($B2510="Autographs Duals",2,IF($B2510="Autographs Triples",3,4)),1)))</f>
        <v>0</v>
      </c>
      <c r="AB2510" s="62">
        <f t="shared" si="518"/>
        <v>0</v>
      </c>
      <c r="AC2510" s="62">
        <f t="shared" si="519"/>
        <v>0</v>
      </c>
    </row>
    <row r="2511" spans="1:29" ht="45" customHeight="1" x14ac:dyDescent="0.25">
      <c r="A2511" s="4" t="s">
        <v>39</v>
      </c>
      <c r="B2511" s="7" t="s">
        <v>799</v>
      </c>
      <c r="C2511" s="2" t="s">
        <v>174</v>
      </c>
      <c r="D2511" s="7" t="s">
        <v>1656</v>
      </c>
      <c r="E2511" s="4" t="s">
        <v>829</v>
      </c>
      <c r="F2511" s="2">
        <v>4</v>
      </c>
      <c r="G2511" s="2" t="s">
        <v>1400</v>
      </c>
      <c r="H2511" s="2" t="s">
        <v>1399</v>
      </c>
      <c r="I2511" s="4" t="s">
        <v>68</v>
      </c>
      <c r="J2511" s="112">
        <f>IF($H2511&lt;&gt;"Y",0,ROUND(MIN(Dashboard!$R$24,IF(IFERROR(VLOOKUP($B2511,Dashboard!$Q$28:$S$60,2,FALSE),0)&gt;0,IFERROR(VLOOKUP($B2511,Dashboard!$Q$28:$S$60,2,FALSE),0),$Z2511*IF($U2511&lt;&gt;"",ROUND((Dashboard!$R$4/$U2511)*VLOOKUP($I2511,Dashboard!$Q$9:$R$13,2,FALSE)*IF(ISNUMBER(SEARCH("Duals",$B2511)),2,IF(ISNUMBER(SEARCH("Triples",$B2511)),3,IF(ISNUMBER(SEARCH("Quads",$B2511)),4,1))),2),ROUND(VLOOKUP($I2511,Dashboard!$Q$15:$R$20,2,FALSE)*IF($E2511="Red",Dashboard!$R$6,IF($E2511="Gold",Dashboard!$R$7,Dashboard!$R$5))*IF(ISNUMBER(SEARCH("Duals",$B2511)),2,IF(ISNUMBER(SEARCH("Triples",$B2511)),3,IF(ISNUMBER(SEARCH("Quads",$B2511)),4,1))),2))*IF(IFERROR(VLOOKUP($B2511,Dashboard!$Q$28:$S$60,3,FALSE),0)&gt;0,VLOOKUP($B2511,Dashboard!$Q$28:$S$60,3,FALSE),1))),0))</f>
        <v>0</v>
      </c>
      <c r="K2511" s="2" t="str">
        <f>IF('Autos - Multi'!I15="","",'Autos - Multi'!I15)</f>
        <v/>
      </c>
      <c r="L2511" s="2">
        <f t="shared" si="507"/>
        <v>0</v>
      </c>
      <c r="M2511" s="2">
        <f t="shared" si="508"/>
        <v>0</v>
      </c>
      <c r="N2511" s="2">
        <f t="shared" si="509"/>
        <v>0</v>
      </c>
      <c r="O2511" s="2">
        <f t="shared" si="510"/>
        <v>0</v>
      </c>
      <c r="P2511" s="112">
        <f t="shared" si="511"/>
        <v>0</v>
      </c>
      <c r="Q2511" s="112">
        <f t="shared" si="512"/>
        <v>0</v>
      </c>
      <c r="R2511" s="53"/>
      <c r="S2511" s="53" t="str">
        <f t="shared" si="513"/>
        <v>Autos - Multi|Autographs Quads Printing Plates Parallel|AQ-SEVN|Printing Plate</v>
      </c>
      <c r="T2511" s="57" t="str">
        <f>IF($S2511="","",IFERROR(VLOOKUP($S2511,'Pop Estimates (Non-#d)'!$N$2:$O$500,2,FALSE),""))</f>
        <v/>
      </c>
      <c r="U2511" s="57">
        <f t="shared" si="514"/>
        <v>4</v>
      </c>
      <c r="V2511" s="53" t="str">
        <f t="shared" si="515"/>
        <v>Homelander/Dominique McElligott as Queen Maeve/Nathan Mitchell as Black Noir/Jessie T. Usher as A-Train</v>
      </c>
      <c r="W2511" s="53" t="str">
        <f t="shared" si="516"/>
        <v>Homelander/Dominique McElligott as Queen Maeve/Nathan Mitchell as Black Noir/Jessie T. Usher as A-Train</v>
      </c>
      <c r="X2511" s="53" t="str">
        <f t="shared" si="517"/>
        <v>Homelander/Dominique McElligott as Queen Maeve/Nathan Mitchell as Black Noir/Jessie T. Usher as A-Train</v>
      </c>
      <c r="Y2511" s="57" t="str">
        <f>IF($X2511="","",IFERROR(VLOOKUP($X2511,'Char Popularity'!$A$2:$C$500,2,FALSE),""))</f>
        <v/>
      </c>
      <c r="Z2511" s="56">
        <f>IF($X2511="",1,IFERROR(VLOOKUP($X2511,'Char Popularity'!$A$2:$C$500,3,FALSE),1))</f>
        <v>1</v>
      </c>
      <c r="AA2511" s="62">
        <f>IF($H2511&lt;&gt;"Y",0,(IF($F2511&lt;&gt;"",ROUND(Dashboard!$R$4/$F2511,1),IF(AND($I2511="Base",$E2511="Base"),Dashboard!$R$5,IF(AND($I2511="Base",$E2511="Red"),Dashboard!$R$6,IF(AND($I2511="Base",$E2511="Gold"),Dashboard!$R$7,VLOOKUP($I2511,Dashboard!$Q$16:$R$21,2,FALSE)))))*VLOOKUP($I2511,Dashboard!$Q$9:$R$13,2,FALSE)*IF(AND($I2511="Auto",$F2511="",OR($B2511="Autographs Duals",$B2511="Autographs Triples",$B2511="Autographs Quads",$B2511="Autographs Quads (Inscribed)")),IF($B2511="Autographs Duals",2,IF($B2511="Autographs Triples",3,4)),1)))</f>
        <v>0</v>
      </c>
      <c r="AB2511" s="62">
        <f t="shared" si="518"/>
        <v>0</v>
      </c>
      <c r="AC2511" s="62">
        <f t="shared" si="519"/>
        <v>0</v>
      </c>
    </row>
    <row r="2512" spans="1:29" ht="60" customHeight="1" x14ac:dyDescent="0.25">
      <c r="A2512" s="4" t="s">
        <v>39</v>
      </c>
      <c r="B2512" s="7" t="s">
        <v>118</v>
      </c>
      <c r="C2512" s="2" t="s">
        <v>174</v>
      </c>
      <c r="D2512" s="7" t="s">
        <v>175</v>
      </c>
      <c r="E2512" s="4" t="s">
        <v>823</v>
      </c>
      <c r="F2512" s="2">
        <v>3</v>
      </c>
      <c r="G2512" s="2" t="s">
        <v>1399</v>
      </c>
      <c r="H2512" s="2" t="s">
        <v>1400</v>
      </c>
      <c r="I2512" s="4" t="s">
        <v>68</v>
      </c>
      <c r="J2512" s="112">
        <f>IF($H2512&lt;&gt;"Y",0,ROUND(MIN(Dashboard!$R$24,IF(IFERROR(VLOOKUP($B2512,Dashboard!$Q$28:$S$60,2,FALSE),0)&gt;0,IFERROR(VLOOKUP($B2512,Dashboard!$Q$28:$S$60,2,FALSE),0),$Z2512*IF($U2512&lt;&gt;"",ROUND((Dashboard!$R$4/$U2512)*VLOOKUP($I2512,Dashboard!$Q$9:$R$13,2,FALSE)*IF(ISNUMBER(SEARCH("Duals",$B2512)),2,IF(ISNUMBER(SEARCH("Triples",$B2512)),3,IF(ISNUMBER(SEARCH("Quads",$B2512)),4,1))),2),ROUND(VLOOKUP($I2512,Dashboard!$Q$15:$R$20,2,FALSE)*IF($E2512="Red",Dashboard!$R$6,IF($E2512="Gold",Dashboard!$R$7,Dashboard!$R$5))*IF(ISNUMBER(SEARCH("Duals",$B2512)),2,IF(ISNUMBER(SEARCH("Triples",$B2512)),3,IF(ISNUMBER(SEARCH("Quads",$B2512)),4,1))),2))*IF(IFERROR(VLOOKUP($B2512,Dashboard!$Q$28:$S$60,3,FALSE),0)&gt;0,VLOOKUP($B2512,Dashboard!$Q$28:$S$60,3,FALSE),1))),0))</f>
        <v>250</v>
      </c>
      <c r="K2512" s="2" t="str">
        <f>IF('Autos - Multi'!E15="","",'Autos - Multi'!E15)</f>
        <v/>
      </c>
      <c r="L2512" s="2">
        <f t="shared" si="507"/>
        <v>0</v>
      </c>
      <c r="M2512" s="2">
        <f t="shared" si="508"/>
        <v>0</v>
      </c>
      <c r="N2512" s="2">
        <f t="shared" si="509"/>
        <v>0</v>
      </c>
      <c r="O2512" s="2">
        <f t="shared" si="510"/>
        <v>1</v>
      </c>
      <c r="P2512" s="112">
        <f t="shared" si="511"/>
        <v>0</v>
      </c>
      <c r="Q2512" s="112">
        <f t="shared" si="512"/>
        <v>0</v>
      </c>
      <c r="R2512" s="53" t="s">
        <v>689</v>
      </c>
      <c r="S2512" s="53" t="str">
        <f t="shared" si="513"/>
        <v>Autos - Multi|Autographs Quads Red Parallel (Inscribed)|AQ-SEVN|Red</v>
      </c>
      <c r="T2512" s="57" t="str">
        <f>IF($S2512="","",IFERROR(VLOOKUP($S2512,'Pop Estimates (Non-#d)'!$N$2:$O$500,2,FALSE),""))</f>
        <v/>
      </c>
      <c r="U2512" s="57">
        <f t="shared" si="514"/>
        <v>3</v>
      </c>
      <c r="V2512" s="53" t="str">
        <f t="shared" si="515"/>
        <v>Homelander/Dominique McElligott as Queen Maeve/Nathan Mitchell as Black Noir/Jessie T. Usher as A-Train "The Seven"</v>
      </c>
      <c r="W2512" s="53" t="str">
        <f t="shared" si="516"/>
        <v>Homelander/Dominique McElligott as Queen Maeve/Nathan Mitchell as Black Noir/Jessie T. Usher as A-Train "The Seven"</v>
      </c>
      <c r="X2512" s="53" t="str">
        <f t="shared" si="517"/>
        <v>Homelander/Dominique McElligott as Queen Maeve/Nathan Mitchell as Black Noir/Jessie T. Usher as A-Train</v>
      </c>
      <c r="Y2512" s="57" t="str">
        <f>IF($X2512="","",IFERROR(VLOOKUP($X2512,'Char Popularity'!$A$2:$C$500,2,FALSE),""))</f>
        <v/>
      </c>
      <c r="Z2512" s="56">
        <f>IF($X2512="",1,IFERROR(VLOOKUP($X2512,'Char Popularity'!$A$2:$C$500,3,FALSE),1))</f>
        <v>1</v>
      </c>
      <c r="AA2512" s="62">
        <f>IF($H2512&lt;&gt;"Y",0,(IF($F2512&lt;&gt;"",ROUND(Dashboard!$R$4/$F2512,1),IF(AND($I2512="Base",$E2512="Base"),Dashboard!$R$5,IF(AND($I2512="Base",$E2512="Red"),Dashboard!$R$6,IF(AND($I2512="Base",$E2512="Gold"),Dashboard!$R$7,VLOOKUP($I2512,Dashboard!$Q$16:$R$21,2,FALSE)))))*VLOOKUP($I2512,Dashboard!$Q$9:$R$13,2,FALSE)*IF(AND($I2512="Auto",$F2512="",OR($B2512="Autographs Duals",$B2512="Autographs Triples",$B2512="Autographs Quads",$B2512="Autographs Quads (Inscribed)")),IF($B2512="Autographs Duals",2,IF($B2512="Autographs Triples",3,4)),1)))</f>
        <v>666.6</v>
      </c>
      <c r="AB2512" s="62">
        <f t="shared" si="518"/>
        <v>0</v>
      </c>
      <c r="AC2512" s="62">
        <f t="shared" si="519"/>
        <v>0</v>
      </c>
    </row>
    <row r="2513" spans="1:29" ht="45" customHeight="1" x14ac:dyDescent="0.25">
      <c r="A2513" s="4" t="s">
        <v>39</v>
      </c>
      <c r="B2513" s="7" t="s">
        <v>143</v>
      </c>
      <c r="C2513" s="2" t="s">
        <v>181</v>
      </c>
      <c r="D2513" s="7" t="s">
        <v>182</v>
      </c>
      <c r="E2513" s="4" t="s">
        <v>60</v>
      </c>
      <c r="F2513" s="2"/>
      <c r="G2513" s="2" t="s">
        <v>1399</v>
      </c>
      <c r="H2513" s="2" t="s">
        <v>1400</v>
      </c>
      <c r="I2513" s="4" t="s">
        <v>68</v>
      </c>
      <c r="J2513" s="112">
        <f>IF($H2513&lt;&gt;"Y",0,ROUND(MIN(Dashboard!$R$24,IF(IFERROR(VLOOKUP($B2513,Dashboard!$Q$28:$S$60,2,FALSE),0)&gt;0,IFERROR(VLOOKUP($B2513,Dashboard!$Q$28:$S$60,2,FALSE),0),$Z2513*IF($U2513&lt;&gt;"",ROUND((Dashboard!$R$4/$U2513)*VLOOKUP($I2513,Dashboard!$Q$9:$R$13,2,FALSE)*IF(ISNUMBER(SEARCH("Duals",$B2513)),2,IF(ISNUMBER(SEARCH("Triples",$B2513)),3,IF(ISNUMBER(SEARCH("Quads",$B2513)),4,1))),2),ROUND(VLOOKUP($I2513,Dashboard!$Q$15:$R$20,2,FALSE)*IF($E2513="Red",Dashboard!$R$6,IF($E2513="Gold",Dashboard!$R$7,Dashboard!$R$5))*IF(ISNUMBER(SEARCH("Duals",$B2513)),2,IF(ISNUMBER(SEARCH("Triples",$B2513)),3,IF(ISNUMBER(SEARCH("Quads",$B2513)),4,1))),2))*IF(IFERROR(VLOOKUP($B2513,Dashboard!$Q$28:$S$60,3,FALSE),0)&gt;0,VLOOKUP($B2513,Dashboard!$Q$28:$S$60,3,FALSE),1))),0))</f>
        <v>207</v>
      </c>
      <c r="K2513" s="2" t="str">
        <f>IF('Autos - Multi'!D16="","",'Autos - Multi'!D16)</f>
        <v/>
      </c>
      <c r="L2513" s="2">
        <f t="shared" si="507"/>
        <v>0</v>
      </c>
      <c r="M2513" s="2">
        <f t="shared" si="508"/>
        <v>0</v>
      </c>
      <c r="N2513" s="2">
        <f t="shared" si="509"/>
        <v>0</v>
      </c>
      <c r="O2513" s="2">
        <f t="shared" si="510"/>
        <v>1</v>
      </c>
      <c r="P2513" s="112">
        <f t="shared" si="511"/>
        <v>0</v>
      </c>
      <c r="Q2513" s="112">
        <f t="shared" si="512"/>
        <v>0</v>
      </c>
      <c r="R2513" s="53"/>
      <c r="S2513" s="53" t="str">
        <f t="shared" si="513"/>
        <v>Autos - Multi|Autographs Triples|AT-ESS|Base</v>
      </c>
      <c r="T2513" s="57">
        <f>IF($S2513="","",IFERROR(VLOOKUP($S2513,'Pop Estimates (Non-#d)'!$N$2:$O$500,2,FALSE),""))</f>
        <v>29</v>
      </c>
      <c r="U2513" s="57">
        <f t="shared" si="514"/>
        <v>29</v>
      </c>
      <c r="V2513" s="53" t="str">
        <f t="shared" si="515"/>
        <v>Stan Edgar/Elisabeth Shue as Madelyn Stillwell/Antony Starr as Homelander</v>
      </c>
      <c r="W2513" s="53" t="str">
        <f t="shared" si="516"/>
        <v>Stan Edgar/Elisabeth Shue as Madelyn Stillwell/Antony Starr as Homelander</v>
      </c>
      <c r="X2513" s="53" t="str">
        <f t="shared" si="517"/>
        <v>Stan Edgar/Elisabeth Shue as Madelyn Stillwell/Antony Starr as Homelander</v>
      </c>
      <c r="Y2513" s="57" t="str">
        <f>IF($X2513="","",IFERROR(VLOOKUP($X2513,'Char Popularity'!$A$2:$C$500,2,FALSE),""))</f>
        <v/>
      </c>
      <c r="Z2513" s="56">
        <f>IF($X2513="",1,IFERROR(VLOOKUP($X2513,'Char Popularity'!$A$2:$C$500,3,FALSE),1))</f>
        <v>1</v>
      </c>
      <c r="AA2513" s="62">
        <f>IF($H2513&lt;&gt;"Y",0,(IF($F2513&lt;&gt;"",ROUND(Dashboard!$R$4/$F2513,1),IF(AND($I2513="Base",$E2513="Base"),Dashboard!$R$5,IF(AND($I2513="Base",$E2513="Red"),Dashboard!$R$6,IF(AND($I2513="Base",$E2513="Gold"),Dashboard!$R$7,VLOOKUP($I2513,Dashboard!$Q$16:$R$21,2,FALSE)))))*VLOOKUP($I2513,Dashboard!$Q$9:$R$13,2,FALSE)*IF(AND($I2513="Auto",$F2513="",OR($B2513="Autographs Duals",$B2513="Autographs Triples",$B2513="Autographs Quads",$B2513="Autographs Quads (Inscribed)")),IF($B2513="Autographs Duals",2,IF($B2513="Autographs Triples",3,4)),1)))</f>
        <v>150</v>
      </c>
      <c r="AB2513" s="62">
        <f t="shared" si="518"/>
        <v>0</v>
      </c>
      <c r="AC2513" s="62">
        <f t="shared" si="519"/>
        <v>0</v>
      </c>
    </row>
    <row r="2514" spans="1:29" ht="30" customHeight="1" x14ac:dyDescent="0.25">
      <c r="A2514" s="4" t="s">
        <v>39</v>
      </c>
      <c r="B2514" s="7" t="s">
        <v>143</v>
      </c>
      <c r="C2514" s="2" t="s">
        <v>184</v>
      </c>
      <c r="D2514" s="7" t="s">
        <v>185</v>
      </c>
      <c r="E2514" s="4" t="s">
        <v>60</v>
      </c>
      <c r="F2514" s="2"/>
      <c r="G2514" s="2" t="s">
        <v>1399</v>
      </c>
      <c r="H2514" s="2" t="s">
        <v>1400</v>
      </c>
      <c r="I2514" s="4" t="s">
        <v>68</v>
      </c>
      <c r="J2514" s="112">
        <f>IF($H2514&lt;&gt;"Y",0,ROUND(MIN(Dashboard!$R$24,IF(IFERROR(VLOOKUP($B2514,Dashboard!$Q$28:$S$60,2,FALSE),0)&gt;0,IFERROR(VLOOKUP($B2514,Dashboard!$Q$28:$S$60,2,FALSE),0),$Z2514*IF($U2514&lt;&gt;"",ROUND((Dashboard!$R$4/$U2514)*VLOOKUP($I2514,Dashboard!$Q$9:$R$13,2,FALSE)*IF(ISNUMBER(SEARCH("Duals",$B2514)),2,IF(ISNUMBER(SEARCH("Triples",$B2514)),3,IF(ISNUMBER(SEARCH("Quads",$B2514)),4,1))),2),ROUND(VLOOKUP($I2514,Dashboard!$Q$15:$R$20,2,FALSE)*IF($E2514="Red",Dashboard!$R$6,IF($E2514="Gold",Dashboard!$R$7,Dashboard!$R$5))*IF(ISNUMBER(SEARCH("Duals",$B2514)),2,IF(ISNUMBER(SEARCH("Triples",$B2514)),3,IF(ISNUMBER(SEARCH("Quads",$B2514)),4,1))),2))*IF(IFERROR(VLOOKUP($B2514,Dashboard!$Q$28:$S$60,3,FALSE),0)&gt;0,VLOOKUP($B2514,Dashboard!$Q$28:$S$60,3,FALSE),1))),0))</f>
        <v>207</v>
      </c>
      <c r="K2514" s="2" t="str">
        <f>IF('Autos - Multi'!D17="","",'Autos - Multi'!D17)</f>
        <v>d</v>
      </c>
      <c r="L2514" s="2">
        <f t="shared" si="507"/>
        <v>1</v>
      </c>
      <c r="M2514" s="2">
        <f t="shared" si="508"/>
        <v>0</v>
      </c>
      <c r="N2514" s="2">
        <f t="shared" si="509"/>
        <v>1</v>
      </c>
      <c r="O2514" s="2">
        <f t="shared" si="510"/>
        <v>0</v>
      </c>
      <c r="P2514" s="112">
        <f t="shared" si="511"/>
        <v>207</v>
      </c>
      <c r="Q2514" s="112">
        <f t="shared" si="512"/>
        <v>0</v>
      </c>
      <c r="R2514" s="53"/>
      <c r="S2514" s="53" t="str">
        <f t="shared" si="513"/>
        <v>Autos - Multi|Autographs Triples|AT-MMF|Base</v>
      </c>
      <c r="T2514" s="57">
        <f>IF($S2514="","",IFERROR(VLOOKUP($S2514,'Pop Estimates (Non-#d)'!$N$2:$O$500,2,FALSE),""))</f>
        <v>29</v>
      </c>
      <c r="U2514" s="57">
        <f t="shared" si="514"/>
        <v>29</v>
      </c>
      <c r="V2514" s="53" t="str">
        <f t="shared" si="515"/>
        <v>Starlight/Dominique McElligott as Queen Maeve/Karen Fukuhara as Kimiko</v>
      </c>
      <c r="W2514" s="53" t="str">
        <f t="shared" si="516"/>
        <v>Starlight/Dominique McElligott as Queen Maeve/Karen Fukuhara as Kimiko</v>
      </c>
      <c r="X2514" s="53" t="str">
        <f t="shared" si="517"/>
        <v>Starlight/Dominique McElligott as Queen Maeve/Karen Fukuhara as Kimiko</v>
      </c>
      <c r="Y2514" s="57" t="str">
        <f>IF($X2514="","",IFERROR(VLOOKUP($X2514,'Char Popularity'!$A$2:$C$500,2,FALSE),""))</f>
        <v/>
      </c>
      <c r="Z2514" s="56">
        <f>IF($X2514="",1,IFERROR(VLOOKUP($X2514,'Char Popularity'!$A$2:$C$500,3,FALSE),1))</f>
        <v>1</v>
      </c>
      <c r="AA2514" s="62">
        <f>IF($H2514&lt;&gt;"Y",0,(IF($F2514&lt;&gt;"",ROUND(Dashboard!$R$4/$F2514,1),IF(AND($I2514="Base",$E2514="Base"),Dashboard!$R$5,IF(AND($I2514="Base",$E2514="Red"),Dashboard!$R$6,IF(AND($I2514="Base",$E2514="Gold"),Dashboard!$R$7,VLOOKUP($I2514,Dashboard!$Q$16:$R$21,2,FALSE)))))*VLOOKUP($I2514,Dashboard!$Q$9:$R$13,2,FALSE)*IF(AND($I2514="Auto",$F2514="",OR($B2514="Autographs Duals",$B2514="Autographs Triples",$B2514="Autographs Quads",$B2514="Autographs Quads (Inscribed)")),IF($B2514="Autographs Duals",2,IF($B2514="Autographs Triples",3,4)),1)))</f>
        <v>150</v>
      </c>
      <c r="AB2514" s="62">
        <f t="shared" si="518"/>
        <v>150</v>
      </c>
      <c r="AC2514" s="62">
        <f t="shared" si="519"/>
        <v>0</v>
      </c>
    </row>
    <row r="2515" spans="1:29" ht="60" customHeight="1" x14ac:dyDescent="0.25">
      <c r="A2515" s="4" t="s">
        <v>39</v>
      </c>
      <c r="B2515" s="7" t="s">
        <v>119</v>
      </c>
      <c r="C2515" s="2" t="s">
        <v>181</v>
      </c>
      <c r="D2515" s="7" t="s">
        <v>1657</v>
      </c>
      <c r="E2515" s="4" t="s">
        <v>1602</v>
      </c>
      <c r="F2515" s="2">
        <v>1</v>
      </c>
      <c r="G2515" s="2" t="s">
        <v>1399</v>
      </c>
      <c r="H2515" s="2" t="s">
        <v>1399</v>
      </c>
      <c r="I2515" s="4" t="s">
        <v>68</v>
      </c>
      <c r="J2515" s="112">
        <f>IF($H2515&lt;&gt;"Y",0,ROUND(MIN(Dashboard!$R$24,IF(IFERROR(VLOOKUP($B2515,Dashboard!$Q$28:$S$60,2,FALSE),0)&gt;0,IFERROR(VLOOKUP($B2515,Dashboard!$Q$28:$S$60,2,FALSE),0),$Z2515*IF($U2515&lt;&gt;"",ROUND((Dashboard!$R$4/$U2515)*VLOOKUP($I2515,Dashboard!$Q$9:$R$13,2,FALSE)*IF(ISNUMBER(SEARCH("Duals",$B2515)),2,IF(ISNUMBER(SEARCH("Triples",$B2515)),3,IF(ISNUMBER(SEARCH("Quads",$B2515)),4,1))),2),ROUND(VLOOKUP($I2515,Dashboard!$Q$15:$R$20,2,FALSE)*IF($E2515="Red",Dashboard!$R$6,IF($E2515="Gold",Dashboard!$R$7,Dashboard!$R$5))*IF(ISNUMBER(SEARCH("Duals",$B2515)),2,IF(ISNUMBER(SEARCH("Triples",$B2515)),3,IF(ISNUMBER(SEARCH("Quads",$B2515)),4,1))),2))*IF(IFERROR(VLOOKUP($B2515,Dashboard!$Q$28:$S$60,3,FALSE),0)&gt;0,VLOOKUP($B2515,Dashboard!$Q$28:$S$60,3,FALSE),1))),0))</f>
        <v>0</v>
      </c>
      <c r="K2515" s="2" t="str">
        <f>IF('Autos - Multi'!H16="","",'Autos - Multi'!H16)</f>
        <v/>
      </c>
      <c r="L2515" s="2">
        <f t="shared" si="507"/>
        <v>0</v>
      </c>
      <c r="M2515" s="2">
        <f t="shared" si="508"/>
        <v>0</v>
      </c>
      <c r="N2515" s="2">
        <f t="shared" si="509"/>
        <v>0</v>
      </c>
      <c r="O2515" s="2">
        <f t="shared" si="510"/>
        <v>0</v>
      </c>
      <c r="P2515" s="112">
        <f t="shared" si="511"/>
        <v>0</v>
      </c>
      <c r="Q2515" s="112">
        <f t="shared" si="512"/>
        <v>0</v>
      </c>
      <c r="R2515" s="53" t="s">
        <v>1658</v>
      </c>
      <c r="S2515" s="53" t="str">
        <f t="shared" si="513"/>
        <v>Autos - Multi|Autographs Triples Gold Parallel (Inscribed)|AT-ESS|Gold</v>
      </c>
      <c r="T2515" s="57" t="str">
        <f>IF($S2515="","",IFERROR(VLOOKUP($S2515,'Pop Estimates (Non-#d)'!$N$2:$O$500,2,FALSE),""))</f>
        <v/>
      </c>
      <c r="U2515" s="57">
        <f t="shared" si="514"/>
        <v>1</v>
      </c>
      <c r="V2515" s="53" t="str">
        <f t="shared" si="515"/>
        <v>Stan Edgar "Stan Edgar"/Elisabeth Shue as Madelyn Stillwell "Madelyn Stillwell"/Antony Starr as Homelander "The Homelander"</v>
      </c>
      <c r="W2515" s="53" t="str">
        <f t="shared" si="516"/>
        <v>Stan Edgar "Stan Edgar"/Elisabeth Shue as Madelyn Stillwell "Madelyn Stillwell"/Antony Starr as Homelander "The Homelander"</v>
      </c>
      <c r="X2515" s="53" t="str">
        <f t="shared" si="517"/>
        <v>Stan Edgar</v>
      </c>
      <c r="Y2515" s="57">
        <f>IF($X2515="","",IFERROR(VLOOKUP($X2515,'Char Popularity'!$A$2:$C$500,2,FALSE),""))</f>
        <v>4</v>
      </c>
      <c r="Z2515" s="56">
        <f>IF($X2515="",1,IFERROR(VLOOKUP($X2515,'Char Popularity'!$A$2:$C$500,3,FALSE),1))</f>
        <v>1.1000000000000001</v>
      </c>
      <c r="AA2515" s="62">
        <f>IF($H2515&lt;&gt;"Y",0,(IF($F2515&lt;&gt;"",ROUND(Dashboard!$R$4/$F2515,1),IF(AND($I2515="Base",$E2515="Base"),Dashboard!$R$5,IF(AND($I2515="Base",$E2515="Red"),Dashboard!$R$6,IF(AND($I2515="Base",$E2515="Gold"),Dashboard!$R$7,VLOOKUP($I2515,Dashboard!$Q$16:$R$21,2,FALSE)))))*VLOOKUP($I2515,Dashboard!$Q$9:$R$13,2,FALSE)*IF(AND($I2515="Auto",$F2515="",OR($B2515="Autographs Duals",$B2515="Autographs Triples",$B2515="Autographs Quads",$B2515="Autographs Quads (Inscribed)")),IF($B2515="Autographs Duals",2,IF($B2515="Autographs Triples",3,4)),1)))</f>
        <v>0</v>
      </c>
      <c r="AB2515" s="62">
        <f t="shared" si="518"/>
        <v>0</v>
      </c>
      <c r="AC2515" s="62">
        <f t="shared" si="519"/>
        <v>0</v>
      </c>
    </row>
    <row r="2516" spans="1:29" ht="45" customHeight="1" x14ac:dyDescent="0.25">
      <c r="A2516" s="4" t="s">
        <v>39</v>
      </c>
      <c r="B2516" s="7" t="s">
        <v>119</v>
      </c>
      <c r="C2516" s="2" t="s">
        <v>184</v>
      </c>
      <c r="D2516" s="7" t="s">
        <v>1659</v>
      </c>
      <c r="E2516" s="4" t="s">
        <v>1602</v>
      </c>
      <c r="F2516" s="2">
        <v>1</v>
      </c>
      <c r="G2516" s="2" t="s">
        <v>1399</v>
      </c>
      <c r="H2516" s="2" t="s">
        <v>1399</v>
      </c>
      <c r="I2516" s="4" t="s">
        <v>68</v>
      </c>
      <c r="J2516" s="112">
        <f>IF($H2516&lt;&gt;"Y",0,ROUND(MIN(Dashboard!$R$24,IF(IFERROR(VLOOKUP($B2516,Dashboard!$Q$28:$S$60,2,FALSE),0)&gt;0,IFERROR(VLOOKUP($B2516,Dashboard!$Q$28:$S$60,2,FALSE),0),$Z2516*IF($U2516&lt;&gt;"",ROUND((Dashboard!$R$4/$U2516)*VLOOKUP($I2516,Dashboard!$Q$9:$R$13,2,FALSE)*IF(ISNUMBER(SEARCH("Duals",$B2516)),2,IF(ISNUMBER(SEARCH("Triples",$B2516)),3,IF(ISNUMBER(SEARCH("Quads",$B2516)),4,1))),2),ROUND(VLOOKUP($I2516,Dashboard!$Q$15:$R$20,2,FALSE)*IF($E2516="Red",Dashboard!$R$6,IF($E2516="Gold",Dashboard!$R$7,Dashboard!$R$5))*IF(ISNUMBER(SEARCH("Duals",$B2516)),2,IF(ISNUMBER(SEARCH("Triples",$B2516)),3,IF(ISNUMBER(SEARCH("Quads",$B2516)),4,1))),2))*IF(IFERROR(VLOOKUP($B2516,Dashboard!$Q$28:$S$60,3,FALSE),0)&gt;0,VLOOKUP($B2516,Dashboard!$Q$28:$S$60,3,FALSE),1))),0))</f>
        <v>0</v>
      </c>
      <c r="K2516" s="2" t="str">
        <f>IF('Autos - Multi'!H17="","",'Autos - Multi'!H17)</f>
        <v/>
      </c>
      <c r="L2516" s="2">
        <f t="shared" si="507"/>
        <v>0</v>
      </c>
      <c r="M2516" s="2">
        <f t="shared" si="508"/>
        <v>0</v>
      </c>
      <c r="N2516" s="2">
        <f t="shared" si="509"/>
        <v>0</v>
      </c>
      <c r="O2516" s="2">
        <f t="shared" si="510"/>
        <v>0</v>
      </c>
      <c r="P2516" s="112">
        <f t="shared" si="511"/>
        <v>0</v>
      </c>
      <c r="Q2516" s="112">
        <f t="shared" si="512"/>
        <v>0</v>
      </c>
      <c r="R2516" s="53" t="s">
        <v>1660</v>
      </c>
      <c r="S2516" s="53" t="str">
        <f t="shared" si="513"/>
        <v>Autos - Multi|Autographs Triples Gold Parallel (Inscribed)|AT-MMF|Gold</v>
      </c>
      <c r="T2516" s="57" t="str">
        <f>IF($S2516="","",IFERROR(VLOOKUP($S2516,'Pop Estimates (Non-#d)'!$N$2:$O$500,2,FALSE),""))</f>
        <v/>
      </c>
      <c r="U2516" s="57">
        <f t="shared" si="514"/>
        <v>1</v>
      </c>
      <c r="V2516" s="53" t="str">
        <f t="shared" si="515"/>
        <v>Starlight "Starlight"/Dominique McElligott as Queen Maeve "Queen Maeve"/Karen Fukuhara as Kimiko "Kimiko"</v>
      </c>
      <c r="W2516" s="53" t="str">
        <f t="shared" si="516"/>
        <v>Starlight "Starlight"/Dominique McElligott as Queen Maeve "Queen Maeve"/Karen Fukuhara as Kimiko "Kimiko"</v>
      </c>
      <c r="X2516" s="53" t="str">
        <f t="shared" si="517"/>
        <v>Starlight</v>
      </c>
      <c r="Y2516" s="57">
        <f>IF($X2516="","",IFERROR(VLOOKUP($X2516,'Char Popularity'!$A$2:$C$500,2,FALSE),""))</f>
        <v>5</v>
      </c>
      <c r="Z2516" s="56">
        <f>IF($X2516="",1,IFERROR(VLOOKUP($X2516,'Char Popularity'!$A$2:$C$500,3,FALSE),1))</f>
        <v>1.2</v>
      </c>
      <c r="AA2516" s="62">
        <f>IF($H2516&lt;&gt;"Y",0,(IF($F2516&lt;&gt;"",ROUND(Dashboard!$R$4/$F2516,1),IF(AND($I2516="Base",$E2516="Base"),Dashboard!$R$5,IF(AND($I2516="Base",$E2516="Red"),Dashboard!$R$6,IF(AND($I2516="Base",$E2516="Gold"),Dashboard!$R$7,VLOOKUP($I2516,Dashboard!$Q$16:$R$21,2,FALSE)))))*VLOOKUP($I2516,Dashboard!$Q$9:$R$13,2,FALSE)*IF(AND($I2516="Auto",$F2516="",OR($B2516="Autographs Duals",$B2516="Autographs Triples",$B2516="Autographs Quads",$B2516="Autographs Quads (Inscribed)")),IF($B2516="Autographs Duals",2,IF($B2516="Autographs Triples",3,4)),1)))</f>
        <v>0</v>
      </c>
      <c r="AB2516" s="62">
        <f t="shared" si="518"/>
        <v>0</v>
      </c>
      <c r="AC2516" s="62">
        <f t="shared" si="519"/>
        <v>0</v>
      </c>
    </row>
    <row r="2517" spans="1:29" ht="60" customHeight="1" x14ac:dyDescent="0.25">
      <c r="A2517" s="4" t="s">
        <v>39</v>
      </c>
      <c r="B2517" s="7" t="s">
        <v>113</v>
      </c>
      <c r="C2517" s="2" t="s">
        <v>181</v>
      </c>
      <c r="D2517" s="7" t="s">
        <v>1661</v>
      </c>
      <c r="E2517" s="4" t="s">
        <v>1606</v>
      </c>
      <c r="F2517" s="2">
        <v>25</v>
      </c>
      <c r="G2517" s="2" t="s">
        <v>1399</v>
      </c>
      <c r="H2517" s="2" t="s">
        <v>1400</v>
      </c>
      <c r="I2517" s="4" t="s">
        <v>68</v>
      </c>
      <c r="J2517" s="112">
        <f>IF($H2517&lt;&gt;"Y",0,ROUND(MIN(Dashboard!$R$24,IF(IFERROR(VLOOKUP($B2517,Dashboard!$Q$28:$S$60,2,FALSE),0)&gt;0,IFERROR(VLOOKUP($B2517,Dashboard!$Q$28:$S$60,2,FALSE),0),$Z2517*IF($U2517&lt;&gt;"",ROUND((Dashboard!$R$4/$U2517)*VLOOKUP($I2517,Dashboard!$Q$9:$R$13,2,FALSE)*IF(ISNUMBER(SEARCH("Duals",$B2517)),2,IF(ISNUMBER(SEARCH("Triples",$B2517)),3,IF(ISNUMBER(SEARCH("Quads",$B2517)),4,1))),2),ROUND(VLOOKUP($I2517,Dashboard!$Q$15:$R$20,2,FALSE)*IF($E2517="Red",Dashboard!$R$6,IF($E2517="Gold",Dashboard!$R$7,Dashboard!$R$5))*IF(ISNUMBER(SEARCH("Duals",$B2517)),2,IF(ISNUMBER(SEARCH("Triples",$B2517)),3,IF(ISNUMBER(SEARCH("Quads",$B2517)),4,1))),2))*IF(IFERROR(VLOOKUP($B2517,Dashboard!$Q$28:$S$60,3,FALSE),0)&gt;0,VLOOKUP($B2517,Dashboard!$Q$28:$S$60,3,FALSE),1))),0))</f>
        <v>250</v>
      </c>
      <c r="K2517" s="2" t="str">
        <f>IF('Autos - Multi'!G16="","",'Autos - Multi'!G16)</f>
        <v/>
      </c>
      <c r="L2517" s="2">
        <f t="shared" si="507"/>
        <v>0</v>
      </c>
      <c r="M2517" s="2">
        <f t="shared" si="508"/>
        <v>0</v>
      </c>
      <c r="N2517" s="2">
        <f t="shared" si="509"/>
        <v>0</v>
      </c>
      <c r="O2517" s="2">
        <f t="shared" si="510"/>
        <v>1</v>
      </c>
      <c r="P2517" s="112">
        <f t="shared" si="511"/>
        <v>0</v>
      </c>
      <c r="Q2517" s="112">
        <f t="shared" si="512"/>
        <v>0</v>
      </c>
      <c r="R2517" s="53" t="s">
        <v>1662</v>
      </c>
      <c r="S2517" s="53" t="str">
        <f t="shared" si="513"/>
        <v>Autos - Multi|Autographs Triples Inscribed Parallel|AT-ESS|Inscribed Parallel</v>
      </c>
      <c r="T2517" s="57" t="str">
        <f>IF($S2517="","",IFERROR(VLOOKUP($S2517,'Pop Estimates (Non-#d)'!$N$2:$O$500,2,FALSE),""))</f>
        <v/>
      </c>
      <c r="U2517" s="57">
        <f t="shared" si="514"/>
        <v>25</v>
      </c>
      <c r="V2517" s="53" t="str">
        <f t="shared" si="515"/>
        <v>Stan Edgar "CEO, Vought International"/Elisabeth Shue as Madelyn Stillwell "Madelyn Stillwell"/Antony Starr as Homelander "The Seven"</v>
      </c>
      <c r="W2517" s="53" t="str">
        <f t="shared" si="516"/>
        <v>Stan Edgar "CEO, Vought International"/Elisabeth Shue as Madelyn Stillwell "Madelyn Stillwell"/Antony Starr as Homelander "The Seven"</v>
      </c>
      <c r="X2517" s="53" t="str">
        <f t="shared" si="517"/>
        <v>Stan Edgar</v>
      </c>
      <c r="Y2517" s="57">
        <f>IF($X2517="","",IFERROR(VLOOKUP($X2517,'Char Popularity'!$A$2:$C$500,2,FALSE),""))</f>
        <v>4</v>
      </c>
      <c r="Z2517" s="56">
        <f>IF($X2517="",1,IFERROR(VLOOKUP($X2517,'Char Popularity'!$A$2:$C$500,3,FALSE),1))</f>
        <v>1.1000000000000001</v>
      </c>
      <c r="AA2517" s="62">
        <f>IF($H2517&lt;&gt;"Y",0,(IF($F2517&lt;&gt;"",ROUND(Dashboard!$R$4/$F2517,1),IF(AND($I2517="Base",$E2517="Base"),Dashboard!$R$5,IF(AND($I2517="Base",$E2517="Red"),Dashboard!$R$6,IF(AND($I2517="Base",$E2517="Gold"),Dashboard!$R$7,VLOOKUP($I2517,Dashboard!$Q$16:$R$21,2,FALSE)))))*VLOOKUP($I2517,Dashboard!$Q$9:$R$13,2,FALSE)*IF(AND($I2517="Auto",$F2517="",OR($B2517="Autographs Duals",$B2517="Autographs Triples",$B2517="Autographs Quads",$B2517="Autographs Quads (Inscribed)")),IF($B2517="Autographs Duals",2,IF($B2517="Autographs Triples",3,4)),1)))</f>
        <v>80</v>
      </c>
      <c r="AB2517" s="62">
        <f t="shared" si="518"/>
        <v>0</v>
      </c>
      <c r="AC2517" s="62">
        <f t="shared" si="519"/>
        <v>0</v>
      </c>
    </row>
    <row r="2518" spans="1:29" ht="45" customHeight="1" x14ac:dyDescent="0.25">
      <c r="A2518" s="4" t="s">
        <v>39</v>
      </c>
      <c r="B2518" s="7" t="s">
        <v>113</v>
      </c>
      <c r="C2518" s="2" t="s">
        <v>184</v>
      </c>
      <c r="D2518" s="7" t="s">
        <v>1659</v>
      </c>
      <c r="E2518" s="4" t="s">
        <v>1606</v>
      </c>
      <c r="F2518" s="2">
        <v>25</v>
      </c>
      <c r="G2518" s="2" t="s">
        <v>1399</v>
      </c>
      <c r="H2518" s="2" t="s">
        <v>1400</v>
      </c>
      <c r="I2518" s="4" t="s">
        <v>68</v>
      </c>
      <c r="J2518" s="112">
        <f>IF($H2518&lt;&gt;"Y",0,ROUND(MIN(Dashboard!$R$24,IF(IFERROR(VLOOKUP($B2518,Dashboard!$Q$28:$S$60,2,FALSE),0)&gt;0,IFERROR(VLOOKUP($B2518,Dashboard!$Q$28:$S$60,2,FALSE),0),$Z2518*IF($U2518&lt;&gt;"",ROUND((Dashboard!$R$4/$U2518)*VLOOKUP($I2518,Dashboard!$Q$9:$R$13,2,FALSE)*IF(ISNUMBER(SEARCH("Duals",$B2518)),2,IF(ISNUMBER(SEARCH("Triples",$B2518)),3,IF(ISNUMBER(SEARCH("Quads",$B2518)),4,1))),2),ROUND(VLOOKUP($I2518,Dashboard!$Q$15:$R$20,2,FALSE)*IF($E2518="Red",Dashboard!$R$6,IF($E2518="Gold",Dashboard!$R$7,Dashboard!$R$5))*IF(ISNUMBER(SEARCH("Duals",$B2518)),2,IF(ISNUMBER(SEARCH("Triples",$B2518)),3,IF(ISNUMBER(SEARCH("Quads",$B2518)),4,1))),2))*IF(IFERROR(VLOOKUP($B2518,Dashboard!$Q$28:$S$60,3,FALSE),0)&gt;0,VLOOKUP($B2518,Dashboard!$Q$28:$S$60,3,FALSE),1))),0))</f>
        <v>250</v>
      </c>
      <c r="K2518" s="2" t="str">
        <f>IF('Autos - Multi'!G17="","",'Autos - Multi'!G17)</f>
        <v/>
      </c>
      <c r="L2518" s="2">
        <f t="shared" si="507"/>
        <v>0</v>
      </c>
      <c r="M2518" s="2">
        <f t="shared" si="508"/>
        <v>0</v>
      </c>
      <c r="N2518" s="2">
        <f t="shared" si="509"/>
        <v>0</v>
      </c>
      <c r="O2518" s="2">
        <f t="shared" si="510"/>
        <v>1</v>
      </c>
      <c r="P2518" s="112">
        <f t="shared" si="511"/>
        <v>0</v>
      </c>
      <c r="Q2518" s="112">
        <f t="shared" si="512"/>
        <v>0</v>
      </c>
      <c r="R2518" s="53" t="s">
        <v>1660</v>
      </c>
      <c r="S2518" s="53" t="str">
        <f t="shared" si="513"/>
        <v>Autos - Multi|Autographs Triples Inscribed Parallel|AT-MMF|Inscribed Parallel</v>
      </c>
      <c r="T2518" s="57" t="str">
        <f>IF($S2518="","",IFERROR(VLOOKUP($S2518,'Pop Estimates (Non-#d)'!$N$2:$O$500,2,FALSE),""))</f>
        <v/>
      </c>
      <c r="U2518" s="57">
        <f t="shared" si="514"/>
        <v>25</v>
      </c>
      <c r="V2518" s="53" t="str">
        <f t="shared" si="515"/>
        <v>Starlight "Starlight"/Dominique McElligott as Queen Maeve "Queen Maeve"/Karen Fukuhara as Kimiko "Kimiko"</v>
      </c>
      <c r="W2518" s="53" t="str">
        <f t="shared" si="516"/>
        <v>Starlight "Starlight"/Dominique McElligott as Queen Maeve "Queen Maeve"/Karen Fukuhara as Kimiko "Kimiko"</v>
      </c>
      <c r="X2518" s="53" t="str">
        <f t="shared" si="517"/>
        <v>Starlight</v>
      </c>
      <c r="Y2518" s="57">
        <f>IF($X2518="","",IFERROR(VLOOKUP($X2518,'Char Popularity'!$A$2:$C$500,2,FALSE),""))</f>
        <v>5</v>
      </c>
      <c r="Z2518" s="56">
        <f>IF($X2518="",1,IFERROR(VLOOKUP($X2518,'Char Popularity'!$A$2:$C$500,3,FALSE),1))</f>
        <v>1.2</v>
      </c>
      <c r="AA2518" s="62">
        <f>IF($H2518&lt;&gt;"Y",0,(IF($F2518&lt;&gt;"",ROUND(Dashboard!$R$4/$F2518,1),IF(AND($I2518="Base",$E2518="Base"),Dashboard!$R$5,IF(AND($I2518="Base",$E2518="Red"),Dashboard!$R$6,IF(AND($I2518="Base",$E2518="Gold"),Dashboard!$R$7,VLOOKUP($I2518,Dashboard!$Q$16:$R$21,2,FALSE)))))*VLOOKUP($I2518,Dashboard!$Q$9:$R$13,2,FALSE)*IF(AND($I2518="Auto",$F2518="",OR($B2518="Autographs Duals",$B2518="Autographs Triples",$B2518="Autographs Quads",$B2518="Autographs Quads (Inscribed)")),IF($B2518="Autographs Duals",2,IF($B2518="Autographs Triples",3,4)),1)))</f>
        <v>80</v>
      </c>
      <c r="AB2518" s="62">
        <f t="shared" si="518"/>
        <v>0</v>
      </c>
      <c r="AC2518" s="62">
        <f t="shared" si="519"/>
        <v>0</v>
      </c>
    </row>
    <row r="2519" spans="1:29" ht="45" customHeight="1" x14ac:dyDescent="0.25">
      <c r="A2519" s="4" t="s">
        <v>39</v>
      </c>
      <c r="B2519" s="7" t="s">
        <v>798</v>
      </c>
      <c r="C2519" s="2" t="s">
        <v>181</v>
      </c>
      <c r="D2519" s="7" t="s">
        <v>1663</v>
      </c>
      <c r="E2519" s="4" t="s">
        <v>829</v>
      </c>
      <c r="F2519" s="2">
        <v>4</v>
      </c>
      <c r="G2519" s="2" t="s">
        <v>1400</v>
      </c>
      <c r="H2519" s="2" t="s">
        <v>1399</v>
      </c>
      <c r="I2519" s="4" t="s">
        <v>68</v>
      </c>
      <c r="J2519" s="112">
        <f>IF($H2519&lt;&gt;"Y",0,ROUND(MIN(Dashboard!$R$24,IF(IFERROR(VLOOKUP($B2519,Dashboard!$Q$28:$S$60,2,FALSE),0)&gt;0,IFERROR(VLOOKUP($B2519,Dashboard!$Q$28:$S$60,2,FALSE),0),$Z2519*IF($U2519&lt;&gt;"",ROUND((Dashboard!$R$4/$U2519)*VLOOKUP($I2519,Dashboard!$Q$9:$R$13,2,FALSE)*IF(ISNUMBER(SEARCH("Duals",$B2519)),2,IF(ISNUMBER(SEARCH("Triples",$B2519)),3,IF(ISNUMBER(SEARCH("Quads",$B2519)),4,1))),2),ROUND(VLOOKUP($I2519,Dashboard!$Q$15:$R$20,2,FALSE)*IF($E2519="Red",Dashboard!$R$6,IF($E2519="Gold",Dashboard!$R$7,Dashboard!$R$5))*IF(ISNUMBER(SEARCH("Duals",$B2519)),2,IF(ISNUMBER(SEARCH("Triples",$B2519)),3,IF(ISNUMBER(SEARCH("Quads",$B2519)),4,1))),2))*IF(IFERROR(VLOOKUP($B2519,Dashboard!$Q$28:$S$60,3,FALSE),0)&gt;0,VLOOKUP($B2519,Dashboard!$Q$28:$S$60,3,FALSE),1))),0))</f>
        <v>0</v>
      </c>
      <c r="K2519" s="2" t="str">
        <f>IF('Autos - Multi'!I16="","",'Autos - Multi'!I16)</f>
        <v/>
      </c>
      <c r="L2519" s="2">
        <f t="shared" si="507"/>
        <v>0</v>
      </c>
      <c r="M2519" s="2">
        <f t="shared" si="508"/>
        <v>0</v>
      </c>
      <c r="N2519" s="2">
        <f t="shared" si="509"/>
        <v>0</v>
      </c>
      <c r="O2519" s="2">
        <f t="shared" si="510"/>
        <v>0</v>
      </c>
      <c r="P2519" s="112">
        <f t="shared" si="511"/>
        <v>0</v>
      </c>
      <c r="Q2519" s="112">
        <f t="shared" si="512"/>
        <v>0</v>
      </c>
      <c r="R2519" s="53"/>
      <c r="S2519" s="53" t="str">
        <f t="shared" si="513"/>
        <v>Autos - Multi|Autographs Triples Printing Plates Parallel|AT-ESS|Printing Plate</v>
      </c>
      <c r="T2519" s="57" t="str">
        <f>IF($S2519="","",IFERROR(VLOOKUP($S2519,'Pop Estimates (Non-#d)'!$N$2:$O$500,2,FALSE),""))</f>
        <v/>
      </c>
      <c r="U2519" s="57">
        <f t="shared" si="514"/>
        <v>4</v>
      </c>
      <c r="V2519" s="53" t="str">
        <f t="shared" si="515"/>
        <v>Stan Edgar/Elisabeth Shue as Madelyn Stillwelll/Antony Starr as Homelander</v>
      </c>
      <c r="W2519" s="53" t="str">
        <f t="shared" si="516"/>
        <v>Stan Edgar/Elisabeth Shue as Madelyn Stillwelll/Antony Starr as Homelander</v>
      </c>
      <c r="X2519" s="53" t="str">
        <f t="shared" si="517"/>
        <v>Stan Edgar/Elisabeth Shue as Madelyn Stillwelll/Antony Starr as Homelander</v>
      </c>
      <c r="Y2519" s="57" t="str">
        <f>IF($X2519="","",IFERROR(VLOOKUP($X2519,'Char Popularity'!$A$2:$C$500,2,FALSE),""))</f>
        <v/>
      </c>
      <c r="Z2519" s="56">
        <f>IF($X2519="",1,IFERROR(VLOOKUP($X2519,'Char Popularity'!$A$2:$C$500,3,FALSE),1))</f>
        <v>1</v>
      </c>
      <c r="AA2519" s="62">
        <f>IF($H2519&lt;&gt;"Y",0,(IF($F2519&lt;&gt;"",ROUND(Dashboard!$R$4/$F2519,1),IF(AND($I2519="Base",$E2519="Base"),Dashboard!$R$5,IF(AND($I2519="Base",$E2519="Red"),Dashboard!$R$6,IF(AND($I2519="Base",$E2519="Gold"),Dashboard!$R$7,VLOOKUP($I2519,Dashboard!$Q$16:$R$21,2,FALSE)))))*VLOOKUP($I2519,Dashboard!$Q$9:$R$13,2,FALSE)*IF(AND($I2519="Auto",$F2519="",OR($B2519="Autographs Duals",$B2519="Autographs Triples",$B2519="Autographs Quads",$B2519="Autographs Quads (Inscribed)")),IF($B2519="Autographs Duals",2,IF($B2519="Autographs Triples",3,4)),1)))</f>
        <v>0</v>
      </c>
      <c r="AB2519" s="62">
        <f t="shared" si="518"/>
        <v>0</v>
      </c>
      <c r="AC2519" s="62">
        <f t="shared" si="519"/>
        <v>0</v>
      </c>
    </row>
    <row r="2520" spans="1:29" ht="30" customHeight="1" x14ac:dyDescent="0.25">
      <c r="A2520" s="4" t="s">
        <v>39</v>
      </c>
      <c r="B2520" s="7" t="s">
        <v>798</v>
      </c>
      <c r="C2520" s="2" t="s">
        <v>184</v>
      </c>
      <c r="D2520" s="7" t="s">
        <v>185</v>
      </c>
      <c r="E2520" s="4" t="s">
        <v>829</v>
      </c>
      <c r="F2520" s="2">
        <v>4</v>
      </c>
      <c r="G2520" s="2" t="s">
        <v>1400</v>
      </c>
      <c r="H2520" s="2" t="s">
        <v>1399</v>
      </c>
      <c r="I2520" s="4" t="s">
        <v>68</v>
      </c>
      <c r="J2520" s="112">
        <f>IF($H2520&lt;&gt;"Y",0,ROUND(MIN(Dashboard!$R$24,IF(IFERROR(VLOOKUP($B2520,Dashboard!$Q$28:$S$60,2,FALSE),0)&gt;0,IFERROR(VLOOKUP($B2520,Dashboard!$Q$28:$S$60,2,FALSE),0),$Z2520*IF($U2520&lt;&gt;"",ROUND((Dashboard!$R$4/$U2520)*VLOOKUP($I2520,Dashboard!$Q$9:$R$13,2,FALSE)*IF(ISNUMBER(SEARCH("Duals",$B2520)),2,IF(ISNUMBER(SEARCH("Triples",$B2520)),3,IF(ISNUMBER(SEARCH("Quads",$B2520)),4,1))),2),ROUND(VLOOKUP($I2520,Dashboard!$Q$15:$R$20,2,FALSE)*IF($E2520="Red",Dashboard!$R$6,IF($E2520="Gold",Dashboard!$R$7,Dashboard!$R$5))*IF(ISNUMBER(SEARCH("Duals",$B2520)),2,IF(ISNUMBER(SEARCH("Triples",$B2520)),3,IF(ISNUMBER(SEARCH("Quads",$B2520)),4,1))),2))*IF(IFERROR(VLOOKUP($B2520,Dashboard!$Q$28:$S$60,3,FALSE),0)&gt;0,VLOOKUP($B2520,Dashboard!$Q$28:$S$60,3,FALSE),1))),0))</f>
        <v>0</v>
      </c>
      <c r="K2520" s="2" t="str">
        <f>IF('Autos - Multi'!I17="","",'Autos - Multi'!I17)</f>
        <v/>
      </c>
      <c r="L2520" s="2">
        <f t="shared" si="507"/>
        <v>0</v>
      </c>
      <c r="M2520" s="2">
        <f t="shared" si="508"/>
        <v>0</v>
      </c>
      <c r="N2520" s="2">
        <f t="shared" si="509"/>
        <v>0</v>
      </c>
      <c r="O2520" s="2">
        <f t="shared" si="510"/>
        <v>0</v>
      </c>
      <c r="P2520" s="112">
        <f t="shared" si="511"/>
        <v>0</v>
      </c>
      <c r="Q2520" s="112">
        <f t="shared" si="512"/>
        <v>0</v>
      </c>
      <c r="R2520" s="53"/>
      <c r="S2520" s="53" t="str">
        <f t="shared" si="513"/>
        <v>Autos - Multi|Autographs Triples Printing Plates Parallel|AT-MMF|Printing Plate</v>
      </c>
      <c r="T2520" s="57" t="str">
        <f>IF($S2520="","",IFERROR(VLOOKUP($S2520,'Pop Estimates (Non-#d)'!$N$2:$O$500,2,FALSE),""))</f>
        <v/>
      </c>
      <c r="U2520" s="57">
        <f t="shared" si="514"/>
        <v>4</v>
      </c>
      <c r="V2520" s="53" t="str">
        <f t="shared" si="515"/>
        <v>Starlight/Dominique McElligott as Queen Maeve/Karen Fukuhara as Kimiko</v>
      </c>
      <c r="W2520" s="53" t="str">
        <f t="shared" si="516"/>
        <v>Starlight/Dominique McElligott as Queen Maeve/Karen Fukuhara as Kimiko</v>
      </c>
      <c r="X2520" s="53" t="str">
        <f t="shared" si="517"/>
        <v>Starlight/Dominique McElligott as Queen Maeve/Karen Fukuhara as Kimiko</v>
      </c>
      <c r="Y2520" s="57" t="str">
        <f>IF($X2520="","",IFERROR(VLOOKUP($X2520,'Char Popularity'!$A$2:$C$500,2,FALSE),""))</f>
        <v/>
      </c>
      <c r="Z2520" s="56">
        <f>IF($X2520="",1,IFERROR(VLOOKUP($X2520,'Char Popularity'!$A$2:$C$500,3,FALSE),1))</f>
        <v>1</v>
      </c>
      <c r="AA2520" s="62">
        <f>IF($H2520&lt;&gt;"Y",0,(IF($F2520&lt;&gt;"",ROUND(Dashboard!$R$4/$F2520,1),IF(AND($I2520="Base",$E2520="Base"),Dashboard!$R$5,IF(AND($I2520="Base",$E2520="Red"),Dashboard!$R$6,IF(AND($I2520="Base",$E2520="Gold"),Dashboard!$R$7,VLOOKUP($I2520,Dashboard!$Q$16:$R$21,2,FALSE)))))*VLOOKUP($I2520,Dashboard!$Q$9:$R$13,2,FALSE)*IF(AND($I2520="Auto",$F2520="",OR($B2520="Autographs Duals",$B2520="Autographs Triples",$B2520="Autographs Quads",$B2520="Autographs Quads (Inscribed)")),IF($B2520="Autographs Duals",2,IF($B2520="Autographs Triples",3,4)),1)))</f>
        <v>0</v>
      </c>
      <c r="AB2520" s="62">
        <f t="shared" si="518"/>
        <v>0</v>
      </c>
      <c r="AC2520" s="62">
        <f t="shared" si="519"/>
        <v>0</v>
      </c>
    </row>
    <row r="2521" spans="1:29" ht="45" customHeight="1" x14ac:dyDescent="0.25">
      <c r="A2521" s="4" t="s">
        <v>39</v>
      </c>
      <c r="B2521" s="7" t="s">
        <v>144</v>
      </c>
      <c r="C2521" s="2" t="s">
        <v>181</v>
      </c>
      <c r="D2521" s="7" t="s">
        <v>1663</v>
      </c>
      <c r="E2521" s="4" t="s">
        <v>823</v>
      </c>
      <c r="F2521" s="2">
        <v>5</v>
      </c>
      <c r="G2521" s="2" t="s">
        <v>1399</v>
      </c>
      <c r="H2521" s="2" t="s">
        <v>1400</v>
      </c>
      <c r="I2521" s="4" t="s">
        <v>68</v>
      </c>
      <c r="J2521" s="112">
        <f>IF($H2521&lt;&gt;"Y",0,ROUND(MIN(Dashboard!$R$24,IF(IFERROR(VLOOKUP($B2521,Dashboard!$Q$28:$S$60,2,FALSE),0)&gt;0,IFERROR(VLOOKUP($B2521,Dashboard!$Q$28:$S$60,2,FALSE),0),$Z2521*IF($U2521&lt;&gt;"",ROUND((Dashboard!$R$4/$U2521)*VLOOKUP($I2521,Dashboard!$Q$9:$R$13,2,FALSE)*IF(ISNUMBER(SEARCH("Duals",$B2521)),2,IF(ISNUMBER(SEARCH("Triples",$B2521)),3,IF(ISNUMBER(SEARCH("Quads",$B2521)),4,1))),2),ROUND(VLOOKUP($I2521,Dashboard!$Q$15:$R$20,2,FALSE)*IF($E2521="Red",Dashboard!$R$6,IF($E2521="Gold",Dashboard!$R$7,Dashboard!$R$5))*IF(ISNUMBER(SEARCH("Duals",$B2521)),2,IF(ISNUMBER(SEARCH("Triples",$B2521)),3,IF(ISNUMBER(SEARCH("Quads",$B2521)),4,1))),2))*IF(IFERROR(VLOOKUP($B2521,Dashboard!$Q$28:$S$60,3,FALSE),0)&gt;0,VLOOKUP($B2521,Dashboard!$Q$28:$S$60,3,FALSE),1))),0))</f>
        <v>250</v>
      </c>
      <c r="K2521" s="2" t="str">
        <f>IF('Autos - Multi'!E16="","",'Autos - Multi'!E16)</f>
        <v/>
      </c>
      <c r="L2521" s="2">
        <f t="shared" si="507"/>
        <v>0</v>
      </c>
      <c r="M2521" s="2">
        <f t="shared" si="508"/>
        <v>0</v>
      </c>
      <c r="N2521" s="2">
        <f t="shared" si="509"/>
        <v>0</v>
      </c>
      <c r="O2521" s="2">
        <f t="shared" si="510"/>
        <v>1</v>
      </c>
      <c r="P2521" s="112">
        <f t="shared" si="511"/>
        <v>0</v>
      </c>
      <c r="Q2521" s="112">
        <f t="shared" si="512"/>
        <v>0</v>
      </c>
      <c r="R2521" s="53"/>
      <c r="S2521" s="53" t="str">
        <f t="shared" si="513"/>
        <v>Autos - Multi|Autographs Triples Red Parallel|AT-ESS|Red</v>
      </c>
      <c r="T2521" s="57" t="str">
        <f>IF($S2521="","",IFERROR(VLOOKUP($S2521,'Pop Estimates (Non-#d)'!$N$2:$O$500,2,FALSE),""))</f>
        <v/>
      </c>
      <c r="U2521" s="57">
        <f t="shared" si="514"/>
        <v>5</v>
      </c>
      <c r="V2521" s="53" t="str">
        <f t="shared" si="515"/>
        <v>Stan Edgar/Elisabeth Shue as Madelyn Stillwelll/Antony Starr as Homelander</v>
      </c>
      <c r="W2521" s="53" t="str">
        <f t="shared" si="516"/>
        <v>Stan Edgar/Elisabeth Shue as Madelyn Stillwelll/Antony Starr as Homelander</v>
      </c>
      <c r="X2521" s="53" t="str">
        <f t="shared" si="517"/>
        <v>Stan Edgar/Elisabeth Shue as Madelyn Stillwelll/Antony Starr as Homelander</v>
      </c>
      <c r="Y2521" s="57" t="str">
        <f>IF($X2521="","",IFERROR(VLOOKUP($X2521,'Char Popularity'!$A$2:$C$500,2,FALSE),""))</f>
        <v/>
      </c>
      <c r="Z2521" s="56">
        <f>IF($X2521="",1,IFERROR(VLOOKUP($X2521,'Char Popularity'!$A$2:$C$500,3,FALSE),1))</f>
        <v>1</v>
      </c>
      <c r="AA2521" s="62">
        <f>IF($H2521&lt;&gt;"Y",0,(IF($F2521&lt;&gt;"",ROUND(Dashboard!$R$4/$F2521,1),IF(AND($I2521="Base",$E2521="Base"),Dashboard!$R$5,IF(AND($I2521="Base",$E2521="Red"),Dashboard!$R$6,IF(AND($I2521="Base",$E2521="Gold"),Dashboard!$R$7,VLOOKUP($I2521,Dashboard!$Q$16:$R$21,2,FALSE)))))*VLOOKUP($I2521,Dashboard!$Q$9:$R$13,2,FALSE)*IF(AND($I2521="Auto",$F2521="",OR($B2521="Autographs Duals",$B2521="Autographs Triples",$B2521="Autographs Quads",$B2521="Autographs Quads (Inscribed)")),IF($B2521="Autographs Duals",2,IF($B2521="Autographs Triples",3,4)),1)))</f>
        <v>400</v>
      </c>
      <c r="AB2521" s="62">
        <f t="shared" si="518"/>
        <v>0</v>
      </c>
      <c r="AC2521" s="62">
        <f t="shared" si="519"/>
        <v>0</v>
      </c>
    </row>
    <row r="2522" spans="1:29" ht="30" customHeight="1" x14ac:dyDescent="0.25">
      <c r="A2522" s="4" t="s">
        <v>39</v>
      </c>
      <c r="B2522" s="7" t="s">
        <v>144</v>
      </c>
      <c r="C2522" s="2" t="s">
        <v>184</v>
      </c>
      <c r="D2522" s="7" t="s">
        <v>185</v>
      </c>
      <c r="E2522" s="4" t="s">
        <v>823</v>
      </c>
      <c r="F2522" s="2">
        <v>5</v>
      </c>
      <c r="G2522" s="2" t="s">
        <v>1399</v>
      </c>
      <c r="H2522" s="2" t="s">
        <v>1400</v>
      </c>
      <c r="I2522" s="4" t="s">
        <v>68</v>
      </c>
      <c r="J2522" s="112">
        <f>IF($H2522&lt;&gt;"Y",0,ROUND(MIN(Dashboard!$R$24,IF(IFERROR(VLOOKUP($B2522,Dashboard!$Q$28:$S$60,2,FALSE),0)&gt;0,IFERROR(VLOOKUP($B2522,Dashboard!$Q$28:$S$60,2,FALSE),0),$Z2522*IF($U2522&lt;&gt;"",ROUND((Dashboard!$R$4/$U2522)*VLOOKUP($I2522,Dashboard!$Q$9:$R$13,2,FALSE)*IF(ISNUMBER(SEARCH("Duals",$B2522)),2,IF(ISNUMBER(SEARCH("Triples",$B2522)),3,IF(ISNUMBER(SEARCH("Quads",$B2522)),4,1))),2),ROUND(VLOOKUP($I2522,Dashboard!$Q$15:$R$20,2,FALSE)*IF($E2522="Red",Dashboard!$R$6,IF($E2522="Gold",Dashboard!$R$7,Dashboard!$R$5))*IF(ISNUMBER(SEARCH("Duals",$B2522)),2,IF(ISNUMBER(SEARCH("Triples",$B2522)),3,IF(ISNUMBER(SEARCH("Quads",$B2522)),4,1))),2))*IF(IFERROR(VLOOKUP($B2522,Dashboard!$Q$28:$S$60,3,FALSE),0)&gt;0,VLOOKUP($B2522,Dashboard!$Q$28:$S$60,3,FALSE),1))),0))</f>
        <v>250</v>
      </c>
      <c r="K2522" s="2" t="str">
        <f>IF('Autos - Multi'!E17="","",'Autos - Multi'!E17)</f>
        <v/>
      </c>
      <c r="L2522" s="2">
        <f t="shared" si="507"/>
        <v>0</v>
      </c>
      <c r="M2522" s="2">
        <f t="shared" si="508"/>
        <v>0</v>
      </c>
      <c r="N2522" s="2">
        <f t="shared" si="509"/>
        <v>0</v>
      </c>
      <c r="O2522" s="2">
        <f t="shared" si="510"/>
        <v>1</v>
      </c>
      <c r="P2522" s="112">
        <f t="shared" si="511"/>
        <v>0</v>
      </c>
      <c r="Q2522" s="112">
        <f t="shared" si="512"/>
        <v>0</v>
      </c>
      <c r="R2522" s="53"/>
      <c r="S2522" s="53" t="str">
        <f t="shared" si="513"/>
        <v>Autos - Multi|Autographs Triples Red Parallel|AT-MMF|Red</v>
      </c>
      <c r="T2522" s="57" t="str">
        <f>IF($S2522="","",IFERROR(VLOOKUP($S2522,'Pop Estimates (Non-#d)'!$N$2:$O$500,2,FALSE),""))</f>
        <v/>
      </c>
      <c r="U2522" s="57">
        <f t="shared" si="514"/>
        <v>5</v>
      </c>
      <c r="V2522" s="53" t="str">
        <f t="shared" si="515"/>
        <v>Starlight/Dominique McElligott as Queen Maeve/Karen Fukuhara as Kimiko</v>
      </c>
      <c r="W2522" s="53" t="str">
        <f t="shared" si="516"/>
        <v>Starlight/Dominique McElligott as Queen Maeve/Karen Fukuhara as Kimiko</v>
      </c>
      <c r="X2522" s="53" t="str">
        <f t="shared" si="517"/>
        <v>Starlight/Dominique McElligott as Queen Maeve/Karen Fukuhara as Kimiko</v>
      </c>
      <c r="Y2522" s="57" t="str">
        <f>IF($X2522="","",IFERROR(VLOOKUP($X2522,'Char Popularity'!$A$2:$C$500,2,FALSE),""))</f>
        <v/>
      </c>
      <c r="Z2522" s="56">
        <f>IF($X2522="",1,IFERROR(VLOOKUP($X2522,'Char Popularity'!$A$2:$C$500,3,FALSE),1))</f>
        <v>1</v>
      </c>
      <c r="AA2522" s="62">
        <f>IF($H2522&lt;&gt;"Y",0,(IF($F2522&lt;&gt;"",ROUND(Dashboard!$R$4/$F2522,1),IF(AND($I2522="Base",$E2522="Base"),Dashboard!$R$5,IF(AND($I2522="Base",$E2522="Red"),Dashboard!$R$6,IF(AND($I2522="Base",$E2522="Gold"),Dashboard!$R$7,VLOOKUP($I2522,Dashboard!$Q$16:$R$21,2,FALSE)))))*VLOOKUP($I2522,Dashboard!$Q$9:$R$13,2,FALSE)*IF(AND($I2522="Auto",$F2522="",OR($B2522="Autographs Duals",$B2522="Autographs Triples",$B2522="Autographs Quads",$B2522="Autographs Quads (Inscribed)")),IF($B2522="Autographs Duals",2,IF($B2522="Autographs Triples",3,4)),1)))</f>
        <v>400</v>
      </c>
      <c r="AB2522" s="62">
        <f t="shared" si="518"/>
        <v>0</v>
      </c>
      <c r="AC2522" s="62">
        <f t="shared" si="519"/>
        <v>0</v>
      </c>
    </row>
    <row r="2523" spans="1:29" ht="28.7" customHeight="1" x14ac:dyDescent="0.25">
      <c r="A2523" s="4" t="s">
        <v>41</v>
      </c>
      <c r="B2523" s="7" t="s">
        <v>41</v>
      </c>
      <c r="C2523" s="2" t="s">
        <v>666</v>
      </c>
      <c r="D2523" s="7" t="s">
        <v>337</v>
      </c>
      <c r="E2523" s="4" t="s">
        <v>60</v>
      </c>
      <c r="F2523" s="2"/>
      <c r="G2523" s="2" t="s">
        <v>1399</v>
      </c>
      <c r="H2523" s="2" t="s">
        <v>1400</v>
      </c>
      <c r="I2523" s="4" t="s">
        <v>62</v>
      </c>
      <c r="J2523" s="112">
        <f>IF($H2523&lt;&gt;"Y",0,ROUND(MIN(Dashboard!$R$24,IF(IFERROR(VLOOKUP($B2523,Dashboard!$Q$28:$S$60,2,FALSE),0)&gt;0,IFERROR(VLOOKUP($B2523,Dashboard!$Q$28:$S$60,2,FALSE),0),$Z2523*IF($U2523&lt;&gt;"",ROUND((Dashboard!$R$4/$U2523)*VLOOKUP($I2523,Dashboard!$Q$9:$R$13,2,FALSE)*IF(ISNUMBER(SEARCH("Duals",$B2523)),2,IF(ISNUMBER(SEARCH("Triples",$B2523)),3,IF(ISNUMBER(SEARCH("Quads",$B2523)),4,1))),2),ROUND(VLOOKUP($I2523,Dashboard!$Q$15:$R$20,2,FALSE)*IF($E2523="Red",Dashboard!$R$6,IF($E2523="Gold",Dashboard!$R$7,Dashboard!$R$5))*IF(ISNUMBER(SEARCH("Duals",$B2523)),2,IF(ISNUMBER(SEARCH("Triples",$B2523)),3,IF(ISNUMBER(SEARCH("Quads",$B2523)),4,1))),2))*IF(IFERROR(VLOOKUP($B2523,Dashboard!$Q$28:$S$60,3,FALSE),0)&gt;0,VLOOKUP($B2523,Dashboard!$Q$28:$S$60,3,FALSE),1))),0))</f>
        <v>1</v>
      </c>
      <c r="K2523" s="2" t="str">
        <f>IF('Action Figures'!C2="","",'Action Figures'!C2)</f>
        <v>V</v>
      </c>
      <c r="L2523" s="2">
        <f t="shared" si="507"/>
        <v>1</v>
      </c>
      <c r="M2523" s="2">
        <f t="shared" si="508"/>
        <v>0</v>
      </c>
      <c r="N2523" s="2">
        <f t="shared" si="509"/>
        <v>1</v>
      </c>
      <c r="O2523" s="2">
        <f t="shared" si="510"/>
        <v>0</v>
      </c>
      <c r="P2523" s="112">
        <f t="shared" si="511"/>
        <v>1</v>
      </c>
      <c r="Q2523" s="112">
        <f t="shared" si="512"/>
        <v>0</v>
      </c>
      <c r="R2523" s="53"/>
      <c r="S2523" s="53" t="str">
        <f t="shared" si="513"/>
        <v>Action Figures|Action Figures|AF-1|Base</v>
      </c>
      <c r="T2523" s="57">
        <f>IF($S2523="","",IFERROR(VLOOKUP($S2523,'Pop Estimates (Non-#d)'!$N$2:$O$500,2,FALSE),""))</f>
        <v>6218</v>
      </c>
      <c r="U2523" s="57">
        <f t="shared" si="514"/>
        <v>6218</v>
      </c>
      <c r="V2523" s="53" t="str">
        <f t="shared" si="515"/>
        <v/>
      </c>
      <c r="W2523" s="53" t="str">
        <f t="shared" si="516"/>
        <v/>
      </c>
      <c r="X2523" s="53" t="str">
        <f t="shared" si="517"/>
        <v/>
      </c>
      <c r="Y2523" s="57" t="str">
        <f>IF($X2523="","",IFERROR(VLOOKUP($X2523,'Char Popularity'!$A$2:$C$500,2,FALSE),""))</f>
        <v/>
      </c>
      <c r="Z2523" s="56">
        <f>IF($X2523="",1,IFERROR(VLOOKUP($X2523,'Char Popularity'!$A$2:$C$500,3,FALSE),1))</f>
        <v>1</v>
      </c>
      <c r="AA2523" s="62">
        <f>IF($H2523&lt;&gt;"Y",0,(IF($F2523&lt;&gt;"",ROUND(Dashboard!$R$4/$F2523,1),IF(AND($I2523="Base",$E2523="Base"),Dashboard!$R$5,IF(AND($I2523="Base",$E2523="Red"),Dashboard!$R$6,IF(AND($I2523="Base",$E2523="Gold"),Dashboard!$R$7,VLOOKUP($I2523,Dashboard!$Q$16:$R$21,2,FALSE)))))*VLOOKUP($I2523,Dashboard!$Q$9:$R$13,2,FALSE)*IF(AND($I2523="Auto",$F2523="",OR($B2523="Autographs Duals",$B2523="Autographs Triples",$B2523="Autographs Quads",$B2523="Autographs Quads (Inscribed)")),IF($B2523="Autographs Duals",2,IF($B2523="Autographs Triples",3,4)),1)))</f>
        <v>6</v>
      </c>
      <c r="AB2523" s="62">
        <f t="shared" si="518"/>
        <v>6</v>
      </c>
      <c r="AC2523" s="62">
        <f t="shared" si="519"/>
        <v>0</v>
      </c>
    </row>
    <row r="2524" spans="1:29" ht="28.7" customHeight="1" x14ac:dyDescent="0.25">
      <c r="A2524" s="4" t="s">
        <v>41</v>
      </c>
      <c r="B2524" s="7" t="s">
        <v>41</v>
      </c>
      <c r="C2524" s="2" t="s">
        <v>673</v>
      </c>
      <c r="D2524" s="7" t="s">
        <v>391</v>
      </c>
      <c r="E2524" s="4" t="s">
        <v>60</v>
      </c>
      <c r="F2524" s="2"/>
      <c r="G2524" s="2" t="s">
        <v>1399</v>
      </c>
      <c r="H2524" s="2" t="s">
        <v>1400</v>
      </c>
      <c r="I2524" s="4" t="s">
        <v>62</v>
      </c>
      <c r="J2524" s="112">
        <f>IF($H2524&lt;&gt;"Y",0,ROUND(MIN(Dashboard!$R$24,IF(IFERROR(VLOOKUP($B2524,Dashboard!$Q$28:$S$60,2,FALSE),0)&gt;0,IFERROR(VLOOKUP($B2524,Dashboard!$Q$28:$S$60,2,FALSE),0),$Z2524*IF($U2524&lt;&gt;"",ROUND((Dashboard!$R$4/$U2524)*VLOOKUP($I2524,Dashboard!$Q$9:$R$13,2,FALSE)*IF(ISNUMBER(SEARCH("Duals",$B2524)),2,IF(ISNUMBER(SEARCH("Triples",$B2524)),3,IF(ISNUMBER(SEARCH("Quads",$B2524)),4,1))),2),ROUND(VLOOKUP($I2524,Dashboard!$Q$15:$R$20,2,FALSE)*IF($E2524="Red",Dashboard!$R$6,IF($E2524="Gold",Dashboard!$R$7,Dashboard!$R$5))*IF(ISNUMBER(SEARCH("Duals",$B2524)),2,IF(ISNUMBER(SEARCH("Triples",$B2524)),3,IF(ISNUMBER(SEARCH("Quads",$B2524)),4,1))),2))*IF(IFERROR(VLOOKUP($B2524,Dashboard!$Q$28:$S$60,3,FALSE),0)&gt;0,VLOOKUP($B2524,Dashboard!$Q$28:$S$60,3,FALSE),1))),0))</f>
        <v>1</v>
      </c>
      <c r="K2524" s="2" t="str">
        <f>IF('Action Figures'!C3="","",'Action Figures'!C3)</f>
        <v>V</v>
      </c>
      <c r="L2524" s="2">
        <f t="shared" si="507"/>
        <v>1</v>
      </c>
      <c r="M2524" s="2">
        <f t="shared" si="508"/>
        <v>0</v>
      </c>
      <c r="N2524" s="2">
        <f t="shared" si="509"/>
        <v>1</v>
      </c>
      <c r="O2524" s="2">
        <f t="shared" si="510"/>
        <v>0</v>
      </c>
      <c r="P2524" s="112">
        <f t="shared" si="511"/>
        <v>1</v>
      </c>
      <c r="Q2524" s="112">
        <f t="shared" si="512"/>
        <v>0</v>
      </c>
      <c r="R2524" s="53"/>
      <c r="S2524" s="53" t="str">
        <f t="shared" si="513"/>
        <v>Action Figures|Action Figures|AF-2|Base</v>
      </c>
      <c r="T2524" s="57">
        <f>IF($S2524="","",IFERROR(VLOOKUP($S2524,'Pop Estimates (Non-#d)'!$N$2:$O$500,2,FALSE),""))</f>
        <v>6218</v>
      </c>
      <c r="U2524" s="57">
        <f t="shared" si="514"/>
        <v>6218</v>
      </c>
      <c r="V2524" s="53" t="str">
        <f t="shared" si="515"/>
        <v/>
      </c>
      <c r="W2524" s="53" t="str">
        <f t="shared" si="516"/>
        <v/>
      </c>
      <c r="X2524" s="53" t="str">
        <f t="shared" si="517"/>
        <v/>
      </c>
      <c r="Y2524" s="57" t="str">
        <f>IF($X2524="","",IFERROR(VLOOKUP($X2524,'Char Popularity'!$A$2:$C$500,2,FALSE),""))</f>
        <v/>
      </c>
      <c r="Z2524" s="56">
        <f>IF($X2524="",1,IFERROR(VLOOKUP($X2524,'Char Popularity'!$A$2:$C$500,3,FALSE),1))</f>
        <v>1</v>
      </c>
      <c r="AA2524" s="62">
        <f>IF($H2524&lt;&gt;"Y",0,(IF($F2524&lt;&gt;"",ROUND(Dashboard!$R$4/$F2524,1),IF(AND($I2524="Base",$E2524="Base"),Dashboard!$R$5,IF(AND($I2524="Base",$E2524="Red"),Dashboard!$R$6,IF(AND($I2524="Base",$E2524="Gold"),Dashboard!$R$7,VLOOKUP($I2524,Dashboard!$Q$16:$R$21,2,FALSE)))))*VLOOKUP($I2524,Dashboard!$Q$9:$R$13,2,FALSE)*IF(AND($I2524="Auto",$F2524="",OR($B2524="Autographs Duals",$B2524="Autographs Triples",$B2524="Autographs Quads",$B2524="Autographs Quads (Inscribed)")),IF($B2524="Autographs Duals",2,IF($B2524="Autographs Triples",3,4)),1)))</f>
        <v>6</v>
      </c>
      <c r="AB2524" s="62">
        <f t="shared" si="518"/>
        <v>6</v>
      </c>
      <c r="AC2524" s="62">
        <f t="shared" si="519"/>
        <v>0</v>
      </c>
    </row>
    <row r="2525" spans="1:29" ht="28.7" customHeight="1" x14ac:dyDescent="0.25">
      <c r="A2525" s="4" t="s">
        <v>41</v>
      </c>
      <c r="B2525" s="7" t="s">
        <v>41</v>
      </c>
      <c r="C2525" s="2" t="s">
        <v>674</v>
      </c>
      <c r="D2525" s="7" t="s">
        <v>387</v>
      </c>
      <c r="E2525" s="4" t="s">
        <v>60</v>
      </c>
      <c r="F2525" s="2"/>
      <c r="G2525" s="2" t="s">
        <v>1399</v>
      </c>
      <c r="H2525" s="2" t="s">
        <v>1400</v>
      </c>
      <c r="I2525" s="4" t="s">
        <v>62</v>
      </c>
      <c r="J2525" s="112">
        <f>IF($H2525&lt;&gt;"Y",0,ROUND(MIN(Dashboard!$R$24,IF(IFERROR(VLOOKUP($B2525,Dashboard!$Q$28:$S$60,2,FALSE),0)&gt;0,IFERROR(VLOOKUP($B2525,Dashboard!$Q$28:$S$60,2,FALSE),0),$Z2525*IF($U2525&lt;&gt;"",ROUND((Dashboard!$R$4/$U2525)*VLOOKUP($I2525,Dashboard!$Q$9:$R$13,2,FALSE)*IF(ISNUMBER(SEARCH("Duals",$B2525)),2,IF(ISNUMBER(SEARCH("Triples",$B2525)),3,IF(ISNUMBER(SEARCH("Quads",$B2525)),4,1))),2),ROUND(VLOOKUP($I2525,Dashboard!$Q$15:$R$20,2,FALSE)*IF($E2525="Red",Dashboard!$R$6,IF($E2525="Gold",Dashboard!$R$7,Dashboard!$R$5))*IF(ISNUMBER(SEARCH("Duals",$B2525)),2,IF(ISNUMBER(SEARCH("Triples",$B2525)),3,IF(ISNUMBER(SEARCH("Quads",$B2525)),4,1))),2))*IF(IFERROR(VLOOKUP($B2525,Dashboard!$Q$28:$S$60,3,FALSE),0)&gt;0,VLOOKUP($B2525,Dashboard!$Q$28:$S$60,3,FALSE),1))),0))</f>
        <v>1</v>
      </c>
      <c r="K2525" s="2" t="str">
        <f>IF('Action Figures'!C4="","",'Action Figures'!C4)</f>
        <v>V</v>
      </c>
      <c r="L2525" s="2">
        <f t="shared" si="507"/>
        <v>1</v>
      </c>
      <c r="M2525" s="2">
        <f t="shared" si="508"/>
        <v>0</v>
      </c>
      <c r="N2525" s="2">
        <f t="shared" si="509"/>
        <v>1</v>
      </c>
      <c r="O2525" s="2">
        <f t="shared" si="510"/>
        <v>0</v>
      </c>
      <c r="P2525" s="112">
        <f t="shared" si="511"/>
        <v>1</v>
      </c>
      <c r="Q2525" s="112">
        <f t="shared" si="512"/>
        <v>0</v>
      </c>
      <c r="R2525" s="53"/>
      <c r="S2525" s="53" t="str">
        <f t="shared" si="513"/>
        <v>Action Figures|Action Figures|AF-3|Base</v>
      </c>
      <c r="T2525" s="57">
        <f>IF($S2525="","",IFERROR(VLOOKUP($S2525,'Pop Estimates (Non-#d)'!$N$2:$O$500,2,FALSE),""))</f>
        <v>6218</v>
      </c>
      <c r="U2525" s="57">
        <f t="shared" si="514"/>
        <v>6218</v>
      </c>
      <c r="V2525" s="53" t="str">
        <f t="shared" si="515"/>
        <v/>
      </c>
      <c r="W2525" s="53" t="str">
        <f t="shared" si="516"/>
        <v/>
      </c>
      <c r="X2525" s="53" t="str">
        <f t="shared" si="517"/>
        <v/>
      </c>
      <c r="Y2525" s="57" t="str">
        <f>IF($X2525="","",IFERROR(VLOOKUP($X2525,'Char Popularity'!$A$2:$C$500,2,FALSE),""))</f>
        <v/>
      </c>
      <c r="Z2525" s="56">
        <f>IF($X2525="",1,IFERROR(VLOOKUP($X2525,'Char Popularity'!$A$2:$C$500,3,FALSE),1))</f>
        <v>1</v>
      </c>
      <c r="AA2525" s="62">
        <f>IF($H2525&lt;&gt;"Y",0,(IF($F2525&lt;&gt;"",ROUND(Dashboard!$R$4/$F2525,1),IF(AND($I2525="Base",$E2525="Base"),Dashboard!$R$5,IF(AND($I2525="Base",$E2525="Red"),Dashboard!$R$6,IF(AND($I2525="Base",$E2525="Gold"),Dashboard!$R$7,VLOOKUP($I2525,Dashboard!$Q$16:$R$21,2,FALSE)))))*VLOOKUP($I2525,Dashboard!$Q$9:$R$13,2,FALSE)*IF(AND($I2525="Auto",$F2525="",OR($B2525="Autographs Duals",$B2525="Autographs Triples",$B2525="Autographs Quads",$B2525="Autographs Quads (Inscribed)")),IF($B2525="Autographs Duals",2,IF($B2525="Autographs Triples",3,4)),1)))</f>
        <v>6</v>
      </c>
      <c r="AB2525" s="62">
        <f t="shared" si="518"/>
        <v>6</v>
      </c>
      <c r="AC2525" s="62">
        <f t="shared" si="519"/>
        <v>0</v>
      </c>
    </row>
    <row r="2526" spans="1:29" ht="28.7" customHeight="1" x14ac:dyDescent="0.25">
      <c r="A2526" s="4" t="s">
        <v>41</v>
      </c>
      <c r="B2526" s="7" t="s">
        <v>41</v>
      </c>
      <c r="C2526" s="2" t="s">
        <v>675</v>
      </c>
      <c r="D2526" s="7" t="s">
        <v>347</v>
      </c>
      <c r="E2526" s="4" t="s">
        <v>60</v>
      </c>
      <c r="F2526" s="2"/>
      <c r="G2526" s="2" t="s">
        <v>1399</v>
      </c>
      <c r="H2526" s="2" t="s">
        <v>1400</v>
      </c>
      <c r="I2526" s="4" t="s">
        <v>62</v>
      </c>
      <c r="J2526" s="112">
        <f>IF($H2526&lt;&gt;"Y",0,ROUND(MIN(Dashboard!$R$24,IF(IFERROR(VLOOKUP($B2526,Dashboard!$Q$28:$S$60,2,FALSE),0)&gt;0,IFERROR(VLOOKUP($B2526,Dashboard!$Q$28:$S$60,2,FALSE),0),$Z2526*IF($U2526&lt;&gt;"",ROUND((Dashboard!$R$4/$U2526)*VLOOKUP($I2526,Dashboard!$Q$9:$R$13,2,FALSE)*IF(ISNUMBER(SEARCH("Duals",$B2526)),2,IF(ISNUMBER(SEARCH("Triples",$B2526)),3,IF(ISNUMBER(SEARCH("Quads",$B2526)),4,1))),2),ROUND(VLOOKUP($I2526,Dashboard!$Q$15:$R$20,2,FALSE)*IF($E2526="Red",Dashboard!$R$6,IF($E2526="Gold",Dashboard!$R$7,Dashboard!$R$5))*IF(ISNUMBER(SEARCH("Duals",$B2526)),2,IF(ISNUMBER(SEARCH("Triples",$B2526)),3,IF(ISNUMBER(SEARCH("Quads",$B2526)),4,1))),2))*IF(IFERROR(VLOOKUP($B2526,Dashboard!$Q$28:$S$60,3,FALSE),0)&gt;0,VLOOKUP($B2526,Dashboard!$Q$28:$S$60,3,FALSE),1))),0))</f>
        <v>1</v>
      </c>
      <c r="K2526" s="2" t="str">
        <f>IF('Action Figures'!C5="","",'Action Figures'!C5)</f>
        <v>V</v>
      </c>
      <c r="L2526" s="2">
        <f t="shared" si="507"/>
        <v>1</v>
      </c>
      <c r="M2526" s="2">
        <f t="shared" si="508"/>
        <v>0</v>
      </c>
      <c r="N2526" s="2">
        <f t="shared" si="509"/>
        <v>1</v>
      </c>
      <c r="O2526" s="2">
        <f t="shared" si="510"/>
        <v>0</v>
      </c>
      <c r="P2526" s="112">
        <f t="shared" si="511"/>
        <v>1</v>
      </c>
      <c r="Q2526" s="112">
        <f t="shared" si="512"/>
        <v>0</v>
      </c>
      <c r="R2526" s="53"/>
      <c r="S2526" s="53" t="str">
        <f t="shared" si="513"/>
        <v>Action Figures|Action Figures|AF-4|Base</v>
      </c>
      <c r="T2526" s="57">
        <f>IF($S2526="","",IFERROR(VLOOKUP($S2526,'Pop Estimates (Non-#d)'!$N$2:$O$500,2,FALSE),""))</f>
        <v>6218</v>
      </c>
      <c r="U2526" s="57">
        <f t="shared" si="514"/>
        <v>6218</v>
      </c>
      <c r="V2526" s="53" t="str">
        <f t="shared" si="515"/>
        <v/>
      </c>
      <c r="W2526" s="53" t="str">
        <f t="shared" si="516"/>
        <v/>
      </c>
      <c r="X2526" s="53" t="str">
        <f t="shared" si="517"/>
        <v/>
      </c>
      <c r="Y2526" s="57" t="str">
        <f>IF($X2526="","",IFERROR(VLOOKUP($X2526,'Char Popularity'!$A$2:$C$500,2,FALSE),""))</f>
        <v/>
      </c>
      <c r="Z2526" s="56">
        <f>IF($X2526="",1,IFERROR(VLOOKUP($X2526,'Char Popularity'!$A$2:$C$500,3,FALSE),1))</f>
        <v>1</v>
      </c>
      <c r="AA2526" s="62">
        <f>IF($H2526&lt;&gt;"Y",0,(IF($F2526&lt;&gt;"",ROUND(Dashboard!$R$4/$F2526,1),IF(AND($I2526="Base",$E2526="Base"),Dashboard!$R$5,IF(AND($I2526="Base",$E2526="Red"),Dashboard!$R$6,IF(AND($I2526="Base",$E2526="Gold"),Dashboard!$R$7,VLOOKUP($I2526,Dashboard!$Q$16:$R$21,2,FALSE)))))*VLOOKUP($I2526,Dashboard!$Q$9:$R$13,2,FALSE)*IF(AND($I2526="Auto",$F2526="",OR($B2526="Autographs Duals",$B2526="Autographs Triples",$B2526="Autographs Quads",$B2526="Autographs Quads (Inscribed)")),IF($B2526="Autographs Duals",2,IF($B2526="Autographs Triples",3,4)),1)))</f>
        <v>6</v>
      </c>
      <c r="AB2526" s="62">
        <f t="shared" si="518"/>
        <v>6</v>
      </c>
      <c r="AC2526" s="62">
        <f t="shared" si="519"/>
        <v>0</v>
      </c>
    </row>
    <row r="2527" spans="1:29" ht="28.7" customHeight="1" x14ac:dyDescent="0.25">
      <c r="A2527" s="4" t="s">
        <v>41</v>
      </c>
      <c r="B2527" s="7" t="s">
        <v>41</v>
      </c>
      <c r="C2527" s="2" t="s">
        <v>676</v>
      </c>
      <c r="D2527" s="7" t="s">
        <v>458</v>
      </c>
      <c r="E2527" s="4" t="s">
        <v>60</v>
      </c>
      <c r="F2527" s="2"/>
      <c r="G2527" s="2" t="s">
        <v>1399</v>
      </c>
      <c r="H2527" s="2" t="s">
        <v>1400</v>
      </c>
      <c r="I2527" s="4" t="s">
        <v>62</v>
      </c>
      <c r="J2527" s="112">
        <f>IF($H2527&lt;&gt;"Y",0,ROUND(MIN(Dashboard!$R$24,IF(IFERROR(VLOOKUP($B2527,Dashboard!$Q$28:$S$60,2,FALSE),0)&gt;0,IFERROR(VLOOKUP($B2527,Dashboard!$Q$28:$S$60,2,FALSE),0),$Z2527*IF($U2527&lt;&gt;"",ROUND((Dashboard!$R$4/$U2527)*VLOOKUP($I2527,Dashboard!$Q$9:$R$13,2,FALSE)*IF(ISNUMBER(SEARCH("Duals",$B2527)),2,IF(ISNUMBER(SEARCH("Triples",$B2527)),3,IF(ISNUMBER(SEARCH("Quads",$B2527)),4,1))),2),ROUND(VLOOKUP($I2527,Dashboard!$Q$15:$R$20,2,FALSE)*IF($E2527="Red",Dashboard!$R$6,IF($E2527="Gold",Dashboard!$R$7,Dashboard!$R$5))*IF(ISNUMBER(SEARCH("Duals",$B2527)),2,IF(ISNUMBER(SEARCH("Triples",$B2527)),3,IF(ISNUMBER(SEARCH("Quads",$B2527)),4,1))),2))*IF(IFERROR(VLOOKUP($B2527,Dashboard!$Q$28:$S$60,3,FALSE),0)&gt;0,VLOOKUP($B2527,Dashboard!$Q$28:$S$60,3,FALSE),1))),0))</f>
        <v>1</v>
      </c>
      <c r="K2527" s="2" t="str">
        <f>IF('Action Figures'!C6="","",'Action Figures'!C6)</f>
        <v>V</v>
      </c>
      <c r="L2527" s="2">
        <f t="shared" si="507"/>
        <v>1</v>
      </c>
      <c r="M2527" s="2">
        <f t="shared" si="508"/>
        <v>0</v>
      </c>
      <c r="N2527" s="2">
        <f t="shared" si="509"/>
        <v>1</v>
      </c>
      <c r="O2527" s="2">
        <f t="shared" si="510"/>
        <v>0</v>
      </c>
      <c r="P2527" s="112">
        <f t="shared" si="511"/>
        <v>1</v>
      </c>
      <c r="Q2527" s="112">
        <f t="shared" si="512"/>
        <v>0</v>
      </c>
      <c r="R2527" s="53"/>
      <c r="S2527" s="53" t="str">
        <f t="shared" si="513"/>
        <v>Action Figures|Action Figures|AF-5|Base</v>
      </c>
      <c r="T2527" s="57">
        <f>IF($S2527="","",IFERROR(VLOOKUP($S2527,'Pop Estimates (Non-#d)'!$N$2:$O$500,2,FALSE),""))</f>
        <v>6218</v>
      </c>
      <c r="U2527" s="57">
        <f t="shared" si="514"/>
        <v>6218</v>
      </c>
      <c r="V2527" s="53" t="str">
        <f t="shared" si="515"/>
        <v/>
      </c>
      <c r="W2527" s="53" t="str">
        <f t="shared" si="516"/>
        <v/>
      </c>
      <c r="X2527" s="53" t="str">
        <f t="shared" si="517"/>
        <v/>
      </c>
      <c r="Y2527" s="57" t="str">
        <f>IF($X2527="","",IFERROR(VLOOKUP($X2527,'Char Popularity'!$A$2:$C$500,2,FALSE),""))</f>
        <v/>
      </c>
      <c r="Z2527" s="56">
        <f>IF($X2527="",1,IFERROR(VLOOKUP($X2527,'Char Popularity'!$A$2:$C$500,3,FALSE),1))</f>
        <v>1</v>
      </c>
      <c r="AA2527" s="62">
        <f>IF($H2527&lt;&gt;"Y",0,(IF($F2527&lt;&gt;"",ROUND(Dashboard!$R$4/$F2527,1),IF(AND($I2527="Base",$E2527="Base"),Dashboard!$R$5,IF(AND($I2527="Base",$E2527="Red"),Dashboard!$R$6,IF(AND($I2527="Base",$E2527="Gold"),Dashboard!$R$7,VLOOKUP($I2527,Dashboard!$Q$16:$R$21,2,FALSE)))))*VLOOKUP($I2527,Dashboard!$Q$9:$R$13,2,FALSE)*IF(AND($I2527="Auto",$F2527="",OR($B2527="Autographs Duals",$B2527="Autographs Triples",$B2527="Autographs Quads",$B2527="Autographs Quads (Inscribed)")),IF($B2527="Autographs Duals",2,IF($B2527="Autographs Triples",3,4)),1)))</f>
        <v>6</v>
      </c>
      <c r="AB2527" s="62">
        <f t="shared" si="518"/>
        <v>6</v>
      </c>
      <c r="AC2527" s="62">
        <f t="shared" si="519"/>
        <v>0</v>
      </c>
    </row>
    <row r="2528" spans="1:29" ht="28.7" customHeight="1" x14ac:dyDescent="0.25">
      <c r="A2528" s="4" t="s">
        <v>41</v>
      </c>
      <c r="B2528" s="7" t="s">
        <v>41</v>
      </c>
      <c r="C2528" s="2" t="s">
        <v>677</v>
      </c>
      <c r="D2528" s="7" t="s">
        <v>444</v>
      </c>
      <c r="E2528" s="4" t="s">
        <v>60</v>
      </c>
      <c r="F2528" s="2"/>
      <c r="G2528" s="2" t="s">
        <v>1399</v>
      </c>
      <c r="H2528" s="2" t="s">
        <v>1400</v>
      </c>
      <c r="I2528" s="4" t="s">
        <v>62</v>
      </c>
      <c r="J2528" s="112">
        <f>IF($H2528&lt;&gt;"Y",0,ROUND(MIN(Dashboard!$R$24,IF(IFERROR(VLOOKUP($B2528,Dashboard!$Q$28:$S$60,2,FALSE),0)&gt;0,IFERROR(VLOOKUP($B2528,Dashboard!$Q$28:$S$60,2,FALSE),0),$Z2528*IF($U2528&lt;&gt;"",ROUND((Dashboard!$R$4/$U2528)*VLOOKUP($I2528,Dashboard!$Q$9:$R$13,2,FALSE)*IF(ISNUMBER(SEARCH("Duals",$B2528)),2,IF(ISNUMBER(SEARCH("Triples",$B2528)),3,IF(ISNUMBER(SEARCH("Quads",$B2528)),4,1))),2),ROUND(VLOOKUP($I2528,Dashboard!$Q$15:$R$20,2,FALSE)*IF($E2528="Red",Dashboard!$R$6,IF($E2528="Gold",Dashboard!$R$7,Dashboard!$R$5))*IF(ISNUMBER(SEARCH("Duals",$B2528)),2,IF(ISNUMBER(SEARCH("Triples",$B2528)),3,IF(ISNUMBER(SEARCH("Quads",$B2528)),4,1))),2))*IF(IFERROR(VLOOKUP($B2528,Dashboard!$Q$28:$S$60,3,FALSE),0)&gt;0,VLOOKUP($B2528,Dashboard!$Q$28:$S$60,3,FALSE),1))),0))</f>
        <v>1</v>
      </c>
      <c r="K2528" s="2" t="str">
        <f>IF('Action Figures'!C7="","",'Action Figures'!C7)</f>
        <v>V</v>
      </c>
      <c r="L2528" s="2">
        <f t="shared" si="507"/>
        <v>1</v>
      </c>
      <c r="M2528" s="2">
        <f t="shared" si="508"/>
        <v>0</v>
      </c>
      <c r="N2528" s="2">
        <f t="shared" si="509"/>
        <v>1</v>
      </c>
      <c r="O2528" s="2">
        <f t="shared" si="510"/>
        <v>0</v>
      </c>
      <c r="P2528" s="112">
        <f t="shared" si="511"/>
        <v>1</v>
      </c>
      <c r="Q2528" s="112">
        <f t="shared" si="512"/>
        <v>0</v>
      </c>
      <c r="R2528" s="53"/>
      <c r="S2528" s="53" t="str">
        <f t="shared" si="513"/>
        <v>Action Figures|Action Figures|AF-6|Base</v>
      </c>
      <c r="T2528" s="57">
        <f>IF($S2528="","",IFERROR(VLOOKUP($S2528,'Pop Estimates (Non-#d)'!$N$2:$O$500,2,FALSE),""))</f>
        <v>6218</v>
      </c>
      <c r="U2528" s="57">
        <f t="shared" si="514"/>
        <v>6218</v>
      </c>
      <c r="V2528" s="53" t="str">
        <f t="shared" si="515"/>
        <v/>
      </c>
      <c r="W2528" s="53" t="str">
        <f t="shared" si="516"/>
        <v/>
      </c>
      <c r="X2528" s="53" t="str">
        <f t="shared" si="517"/>
        <v/>
      </c>
      <c r="Y2528" s="57" t="str">
        <f>IF($X2528="","",IFERROR(VLOOKUP($X2528,'Char Popularity'!$A$2:$C$500,2,FALSE),""))</f>
        <v/>
      </c>
      <c r="Z2528" s="56">
        <f>IF($X2528="",1,IFERROR(VLOOKUP($X2528,'Char Popularity'!$A$2:$C$500,3,FALSE),1))</f>
        <v>1</v>
      </c>
      <c r="AA2528" s="62">
        <f>IF($H2528&lt;&gt;"Y",0,(IF($F2528&lt;&gt;"",ROUND(Dashboard!$R$4/$F2528,1),IF(AND($I2528="Base",$E2528="Base"),Dashboard!$R$5,IF(AND($I2528="Base",$E2528="Red"),Dashboard!$R$6,IF(AND($I2528="Base",$E2528="Gold"),Dashboard!$R$7,VLOOKUP($I2528,Dashboard!$Q$16:$R$21,2,FALSE)))))*VLOOKUP($I2528,Dashboard!$Q$9:$R$13,2,FALSE)*IF(AND($I2528="Auto",$F2528="",OR($B2528="Autographs Duals",$B2528="Autographs Triples",$B2528="Autographs Quads",$B2528="Autographs Quads (Inscribed)")),IF($B2528="Autographs Duals",2,IF($B2528="Autographs Triples",3,4)),1)))</f>
        <v>6</v>
      </c>
      <c r="AB2528" s="62">
        <f t="shared" si="518"/>
        <v>6</v>
      </c>
      <c r="AC2528" s="62">
        <f t="shared" si="519"/>
        <v>0</v>
      </c>
    </row>
    <row r="2529" spans="1:29" ht="28.7" customHeight="1" x14ac:dyDescent="0.25">
      <c r="A2529" s="4" t="s">
        <v>41</v>
      </c>
      <c r="B2529" s="7" t="s">
        <v>41</v>
      </c>
      <c r="C2529" s="2" t="s">
        <v>678</v>
      </c>
      <c r="D2529" s="7" t="s">
        <v>341</v>
      </c>
      <c r="E2529" s="4" t="s">
        <v>60</v>
      </c>
      <c r="F2529" s="2"/>
      <c r="G2529" s="2" t="s">
        <v>1399</v>
      </c>
      <c r="H2529" s="2" t="s">
        <v>1400</v>
      </c>
      <c r="I2529" s="4" t="s">
        <v>62</v>
      </c>
      <c r="J2529" s="112">
        <f>IF($H2529&lt;&gt;"Y",0,ROUND(MIN(Dashboard!$R$24,IF(IFERROR(VLOOKUP($B2529,Dashboard!$Q$28:$S$60,2,FALSE),0)&gt;0,IFERROR(VLOOKUP($B2529,Dashboard!$Q$28:$S$60,2,FALSE),0),$Z2529*IF($U2529&lt;&gt;"",ROUND((Dashboard!$R$4/$U2529)*VLOOKUP($I2529,Dashboard!$Q$9:$R$13,2,FALSE)*IF(ISNUMBER(SEARCH("Duals",$B2529)),2,IF(ISNUMBER(SEARCH("Triples",$B2529)),3,IF(ISNUMBER(SEARCH("Quads",$B2529)),4,1))),2),ROUND(VLOOKUP($I2529,Dashboard!$Q$15:$R$20,2,FALSE)*IF($E2529="Red",Dashboard!$R$6,IF($E2529="Gold",Dashboard!$R$7,Dashboard!$R$5))*IF(ISNUMBER(SEARCH("Duals",$B2529)),2,IF(ISNUMBER(SEARCH("Triples",$B2529)),3,IF(ISNUMBER(SEARCH("Quads",$B2529)),4,1))),2))*IF(IFERROR(VLOOKUP($B2529,Dashboard!$Q$28:$S$60,3,FALSE),0)&gt;0,VLOOKUP($B2529,Dashboard!$Q$28:$S$60,3,FALSE),1))),0))</f>
        <v>1</v>
      </c>
      <c r="K2529" s="2" t="str">
        <f>IF('Action Figures'!C8="","",'Action Figures'!C8)</f>
        <v>V</v>
      </c>
      <c r="L2529" s="2">
        <f t="shared" si="507"/>
        <v>1</v>
      </c>
      <c r="M2529" s="2">
        <f t="shared" si="508"/>
        <v>0</v>
      </c>
      <c r="N2529" s="2">
        <f t="shared" si="509"/>
        <v>1</v>
      </c>
      <c r="O2529" s="2">
        <f t="shared" si="510"/>
        <v>0</v>
      </c>
      <c r="P2529" s="112">
        <f t="shared" si="511"/>
        <v>1</v>
      </c>
      <c r="Q2529" s="112">
        <f t="shared" si="512"/>
        <v>0</v>
      </c>
      <c r="R2529" s="53"/>
      <c r="S2529" s="53" t="str">
        <f t="shared" si="513"/>
        <v>Action Figures|Action Figures|AF-7|Base</v>
      </c>
      <c r="T2529" s="57">
        <f>IF($S2529="","",IFERROR(VLOOKUP($S2529,'Pop Estimates (Non-#d)'!$N$2:$O$500,2,FALSE),""))</f>
        <v>6218</v>
      </c>
      <c r="U2529" s="57">
        <f t="shared" si="514"/>
        <v>6218</v>
      </c>
      <c r="V2529" s="53" t="str">
        <f t="shared" si="515"/>
        <v/>
      </c>
      <c r="W2529" s="53" t="str">
        <f t="shared" si="516"/>
        <v/>
      </c>
      <c r="X2529" s="53" t="str">
        <f t="shared" si="517"/>
        <v/>
      </c>
      <c r="Y2529" s="57" t="str">
        <f>IF($X2529="","",IFERROR(VLOOKUP($X2529,'Char Popularity'!$A$2:$C$500,2,FALSE),""))</f>
        <v/>
      </c>
      <c r="Z2529" s="56">
        <f>IF($X2529="",1,IFERROR(VLOOKUP($X2529,'Char Popularity'!$A$2:$C$500,3,FALSE),1))</f>
        <v>1</v>
      </c>
      <c r="AA2529" s="62">
        <f>IF($H2529&lt;&gt;"Y",0,(IF($F2529&lt;&gt;"",ROUND(Dashboard!$R$4/$F2529,1),IF(AND($I2529="Base",$E2529="Base"),Dashboard!$R$5,IF(AND($I2529="Base",$E2529="Red"),Dashboard!$R$6,IF(AND($I2529="Base",$E2529="Gold"),Dashboard!$R$7,VLOOKUP($I2529,Dashboard!$Q$16:$R$21,2,FALSE)))))*VLOOKUP($I2529,Dashboard!$Q$9:$R$13,2,FALSE)*IF(AND($I2529="Auto",$F2529="",OR($B2529="Autographs Duals",$B2529="Autographs Triples",$B2529="Autographs Quads",$B2529="Autographs Quads (Inscribed)")),IF($B2529="Autographs Duals",2,IF($B2529="Autographs Triples",3,4)),1)))</f>
        <v>6</v>
      </c>
      <c r="AB2529" s="62">
        <f t="shared" si="518"/>
        <v>6</v>
      </c>
      <c r="AC2529" s="62">
        <f t="shared" si="519"/>
        <v>0</v>
      </c>
    </row>
    <row r="2530" spans="1:29" ht="28.7" customHeight="1" x14ac:dyDescent="0.25">
      <c r="A2530" s="4" t="s">
        <v>41</v>
      </c>
      <c r="B2530" s="7" t="s">
        <v>41</v>
      </c>
      <c r="C2530" s="2" t="s">
        <v>679</v>
      </c>
      <c r="D2530" s="7" t="s">
        <v>441</v>
      </c>
      <c r="E2530" s="4" t="s">
        <v>60</v>
      </c>
      <c r="F2530" s="2"/>
      <c r="G2530" s="2" t="s">
        <v>1399</v>
      </c>
      <c r="H2530" s="2" t="s">
        <v>1400</v>
      </c>
      <c r="I2530" s="4" t="s">
        <v>62</v>
      </c>
      <c r="J2530" s="112">
        <f>IF($H2530&lt;&gt;"Y",0,ROUND(MIN(Dashboard!$R$24,IF(IFERROR(VLOOKUP($B2530,Dashboard!$Q$28:$S$60,2,FALSE),0)&gt;0,IFERROR(VLOOKUP($B2530,Dashboard!$Q$28:$S$60,2,FALSE),0),$Z2530*IF($U2530&lt;&gt;"",ROUND((Dashboard!$R$4/$U2530)*VLOOKUP($I2530,Dashboard!$Q$9:$R$13,2,FALSE)*IF(ISNUMBER(SEARCH("Duals",$B2530)),2,IF(ISNUMBER(SEARCH("Triples",$B2530)),3,IF(ISNUMBER(SEARCH("Quads",$B2530)),4,1))),2),ROUND(VLOOKUP($I2530,Dashboard!$Q$15:$R$20,2,FALSE)*IF($E2530="Red",Dashboard!$R$6,IF($E2530="Gold",Dashboard!$R$7,Dashboard!$R$5))*IF(ISNUMBER(SEARCH("Duals",$B2530)),2,IF(ISNUMBER(SEARCH("Triples",$B2530)),3,IF(ISNUMBER(SEARCH("Quads",$B2530)),4,1))),2))*IF(IFERROR(VLOOKUP($B2530,Dashboard!$Q$28:$S$60,3,FALSE),0)&gt;0,VLOOKUP($B2530,Dashboard!$Q$28:$S$60,3,FALSE),1))),0))</f>
        <v>1</v>
      </c>
      <c r="K2530" s="2" t="str">
        <f>IF('Action Figures'!C9="","",'Action Figures'!C9)</f>
        <v>V</v>
      </c>
      <c r="L2530" s="2">
        <f t="shared" si="507"/>
        <v>1</v>
      </c>
      <c r="M2530" s="2">
        <f t="shared" si="508"/>
        <v>0</v>
      </c>
      <c r="N2530" s="2">
        <f t="shared" si="509"/>
        <v>1</v>
      </c>
      <c r="O2530" s="2">
        <f t="shared" si="510"/>
        <v>0</v>
      </c>
      <c r="P2530" s="112">
        <f t="shared" si="511"/>
        <v>1</v>
      </c>
      <c r="Q2530" s="112">
        <f t="shared" si="512"/>
        <v>0</v>
      </c>
      <c r="R2530" s="53"/>
      <c r="S2530" s="53" t="str">
        <f t="shared" si="513"/>
        <v>Action Figures|Action Figures|AF-8|Base</v>
      </c>
      <c r="T2530" s="57">
        <f>IF($S2530="","",IFERROR(VLOOKUP($S2530,'Pop Estimates (Non-#d)'!$N$2:$O$500,2,FALSE),""))</f>
        <v>6218</v>
      </c>
      <c r="U2530" s="57">
        <f t="shared" si="514"/>
        <v>6218</v>
      </c>
      <c r="V2530" s="53" t="str">
        <f t="shared" si="515"/>
        <v/>
      </c>
      <c r="W2530" s="53" t="str">
        <f t="shared" si="516"/>
        <v/>
      </c>
      <c r="X2530" s="53" t="str">
        <f t="shared" si="517"/>
        <v/>
      </c>
      <c r="Y2530" s="57" t="str">
        <f>IF($X2530="","",IFERROR(VLOOKUP($X2530,'Char Popularity'!$A$2:$C$500,2,FALSE),""))</f>
        <v/>
      </c>
      <c r="Z2530" s="56">
        <f>IF($X2530="",1,IFERROR(VLOOKUP($X2530,'Char Popularity'!$A$2:$C$500,3,FALSE),1))</f>
        <v>1</v>
      </c>
      <c r="AA2530" s="62">
        <f>IF($H2530&lt;&gt;"Y",0,(IF($F2530&lt;&gt;"",ROUND(Dashboard!$R$4/$F2530,1),IF(AND($I2530="Base",$E2530="Base"),Dashboard!$R$5,IF(AND($I2530="Base",$E2530="Red"),Dashboard!$R$6,IF(AND($I2530="Base",$E2530="Gold"),Dashboard!$R$7,VLOOKUP($I2530,Dashboard!$Q$16:$R$21,2,FALSE)))))*VLOOKUP($I2530,Dashboard!$Q$9:$R$13,2,FALSE)*IF(AND($I2530="Auto",$F2530="",OR($B2530="Autographs Duals",$B2530="Autographs Triples",$B2530="Autographs Quads",$B2530="Autographs Quads (Inscribed)")),IF($B2530="Autographs Duals",2,IF($B2530="Autographs Triples",3,4)),1)))</f>
        <v>6</v>
      </c>
      <c r="AB2530" s="62">
        <f t="shared" si="518"/>
        <v>6</v>
      </c>
      <c r="AC2530" s="62">
        <f t="shared" si="519"/>
        <v>0</v>
      </c>
    </row>
    <row r="2531" spans="1:29" ht="28.7" customHeight="1" x14ac:dyDescent="0.25">
      <c r="A2531" s="4" t="s">
        <v>41</v>
      </c>
      <c r="B2531" s="7" t="s">
        <v>41</v>
      </c>
      <c r="C2531" s="2" t="s">
        <v>680</v>
      </c>
      <c r="D2531" s="7" t="s">
        <v>345</v>
      </c>
      <c r="E2531" s="4" t="s">
        <v>60</v>
      </c>
      <c r="F2531" s="2"/>
      <c r="G2531" s="2" t="s">
        <v>1399</v>
      </c>
      <c r="H2531" s="2" t="s">
        <v>1400</v>
      </c>
      <c r="I2531" s="4" t="s">
        <v>62</v>
      </c>
      <c r="J2531" s="112">
        <f>IF($H2531&lt;&gt;"Y",0,ROUND(MIN(Dashboard!$R$24,IF(IFERROR(VLOOKUP($B2531,Dashboard!$Q$28:$S$60,2,FALSE),0)&gt;0,IFERROR(VLOOKUP($B2531,Dashboard!$Q$28:$S$60,2,FALSE),0),$Z2531*IF($U2531&lt;&gt;"",ROUND((Dashboard!$R$4/$U2531)*VLOOKUP($I2531,Dashboard!$Q$9:$R$13,2,FALSE)*IF(ISNUMBER(SEARCH("Duals",$B2531)),2,IF(ISNUMBER(SEARCH("Triples",$B2531)),3,IF(ISNUMBER(SEARCH("Quads",$B2531)),4,1))),2),ROUND(VLOOKUP($I2531,Dashboard!$Q$15:$R$20,2,FALSE)*IF($E2531="Red",Dashboard!$R$6,IF($E2531="Gold",Dashboard!$R$7,Dashboard!$R$5))*IF(ISNUMBER(SEARCH("Duals",$B2531)),2,IF(ISNUMBER(SEARCH("Triples",$B2531)),3,IF(ISNUMBER(SEARCH("Quads",$B2531)),4,1))),2))*IF(IFERROR(VLOOKUP($B2531,Dashboard!$Q$28:$S$60,3,FALSE),0)&gt;0,VLOOKUP($B2531,Dashboard!$Q$28:$S$60,3,FALSE),1))),0))</f>
        <v>1</v>
      </c>
      <c r="K2531" s="2" t="str">
        <f>IF('Action Figures'!C10="","",'Action Figures'!C10)</f>
        <v>V</v>
      </c>
      <c r="L2531" s="2">
        <f t="shared" si="507"/>
        <v>1</v>
      </c>
      <c r="M2531" s="2">
        <f t="shared" si="508"/>
        <v>0</v>
      </c>
      <c r="N2531" s="2">
        <f t="shared" si="509"/>
        <v>1</v>
      </c>
      <c r="O2531" s="2">
        <f t="shared" si="510"/>
        <v>0</v>
      </c>
      <c r="P2531" s="112">
        <f t="shared" si="511"/>
        <v>1</v>
      </c>
      <c r="Q2531" s="112">
        <f t="shared" si="512"/>
        <v>0</v>
      </c>
      <c r="R2531" s="53"/>
      <c r="S2531" s="53" t="str">
        <f t="shared" si="513"/>
        <v>Action Figures|Action Figures|AF-9|Base</v>
      </c>
      <c r="T2531" s="57">
        <f>IF($S2531="","",IFERROR(VLOOKUP($S2531,'Pop Estimates (Non-#d)'!$N$2:$O$500,2,FALSE),""))</f>
        <v>6218</v>
      </c>
      <c r="U2531" s="57">
        <f t="shared" si="514"/>
        <v>6218</v>
      </c>
      <c r="V2531" s="53" t="str">
        <f t="shared" si="515"/>
        <v/>
      </c>
      <c r="W2531" s="53" t="str">
        <f t="shared" si="516"/>
        <v/>
      </c>
      <c r="X2531" s="53" t="str">
        <f t="shared" si="517"/>
        <v/>
      </c>
      <c r="Y2531" s="57" t="str">
        <f>IF($X2531="","",IFERROR(VLOOKUP($X2531,'Char Popularity'!$A$2:$C$500,2,FALSE),""))</f>
        <v/>
      </c>
      <c r="Z2531" s="56">
        <f>IF($X2531="",1,IFERROR(VLOOKUP($X2531,'Char Popularity'!$A$2:$C$500,3,FALSE),1))</f>
        <v>1</v>
      </c>
      <c r="AA2531" s="62">
        <f>IF($H2531&lt;&gt;"Y",0,(IF($F2531&lt;&gt;"",ROUND(Dashboard!$R$4/$F2531,1),IF(AND($I2531="Base",$E2531="Base"),Dashboard!$R$5,IF(AND($I2531="Base",$E2531="Red"),Dashboard!$R$6,IF(AND($I2531="Base",$E2531="Gold"),Dashboard!$R$7,VLOOKUP($I2531,Dashboard!$Q$16:$R$21,2,FALSE)))))*VLOOKUP($I2531,Dashboard!$Q$9:$R$13,2,FALSE)*IF(AND($I2531="Auto",$F2531="",OR($B2531="Autographs Duals",$B2531="Autographs Triples",$B2531="Autographs Quads",$B2531="Autographs Quads (Inscribed)")),IF($B2531="Autographs Duals",2,IF($B2531="Autographs Triples",3,4)),1)))</f>
        <v>6</v>
      </c>
      <c r="AB2531" s="62">
        <f t="shared" si="518"/>
        <v>6</v>
      </c>
      <c r="AC2531" s="62">
        <f t="shared" si="519"/>
        <v>0</v>
      </c>
    </row>
    <row r="2532" spans="1:29" ht="28.7" customHeight="1" x14ac:dyDescent="0.25">
      <c r="A2532" s="4" t="s">
        <v>41</v>
      </c>
      <c r="B2532" s="7" t="s">
        <v>41</v>
      </c>
      <c r="C2532" s="2" t="s">
        <v>667</v>
      </c>
      <c r="D2532" s="7" t="s">
        <v>454</v>
      </c>
      <c r="E2532" s="4" t="s">
        <v>60</v>
      </c>
      <c r="F2532" s="2"/>
      <c r="G2532" s="2" t="s">
        <v>1399</v>
      </c>
      <c r="H2532" s="2" t="s">
        <v>1400</v>
      </c>
      <c r="I2532" s="4" t="s">
        <v>62</v>
      </c>
      <c r="J2532" s="112">
        <f>IF($H2532&lt;&gt;"Y",0,ROUND(MIN(Dashboard!$R$24,IF(IFERROR(VLOOKUP($B2532,Dashboard!$Q$28:$S$60,2,FALSE),0)&gt;0,IFERROR(VLOOKUP($B2532,Dashboard!$Q$28:$S$60,2,FALSE),0),$Z2532*IF($U2532&lt;&gt;"",ROUND((Dashboard!$R$4/$U2532)*VLOOKUP($I2532,Dashboard!$Q$9:$R$13,2,FALSE)*IF(ISNUMBER(SEARCH("Duals",$B2532)),2,IF(ISNUMBER(SEARCH("Triples",$B2532)),3,IF(ISNUMBER(SEARCH("Quads",$B2532)),4,1))),2),ROUND(VLOOKUP($I2532,Dashboard!$Q$15:$R$20,2,FALSE)*IF($E2532="Red",Dashboard!$R$6,IF($E2532="Gold",Dashboard!$R$7,Dashboard!$R$5))*IF(ISNUMBER(SEARCH("Duals",$B2532)),2,IF(ISNUMBER(SEARCH("Triples",$B2532)),3,IF(ISNUMBER(SEARCH("Quads",$B2532)),4,1))),2))*IF(IFERROR(VLOOKUP($B2532,Dashboard!$Q$28:$S$60,3,FALSE),0)&gt;0,VLOOKUP($B2532,Dashboard!$Q$28:$S$60,3,FALSE),1))),0))</f>
        <v>1</v>
      </c>
      <c r="K2532" s="2" t="str">
        <f>IF('Action Figures'!C11="","",'Action Figures'!C11)</f>
        <v>V</v>
      </c>
      <c r="L2532" s="2">
        <f t="shared" si="507"/>
        <v>1</v>
      </c>
      <c r="M2532" s="2">
        <f t="shared" si="508"/>
        <v>0</v>
      </c>
      <c r="N2532" s="2">
        <f t="shared" si="509"/>
        <v>1</v>
      </c>
      <c r="O2532" s="2">
        <f t="shared" si="510"/>
        <v>0</v>
      </c>
      <c r="P2532" s="112">
        <f t="shared" si="511"/>
        <v>1</v>
      </c>
      <c r="Q2532" s="112">
        <f t="shared" si="512"/>
        <v>0</v>
      </c>
      <c r="R2532" s="53"/>
      <c r="S2532" s="53" t="str">
        <f t="shared" si="513"/>
        <v>Action Figures|Action Figures|AF-10|Base</v>
      </c>
      <c r="T2532" s="57">
        <f>IF($S2532="","",IFERROR(VLOOKUP($S2532,'Pop Estimates (Non-#d)'!$N$2:$O$500,2,FALSE),""))</f>
        <v>6218</v>
      </c>
      <c r="U2532" s="57">
        <f t="shared" si="514"/>
        <v>6218</v>
      </c>
      <c r="V2532" s="53" t="str">
        <f t="shared" si="515"/>
        <v/>
      </c>
      <c r="W2532" s="53" t="str">
        <f t="shared" si="516"/>
        <v/>
      </c>
      <c r="X2532" s="53" t="str">
        <f t="shared" si="517"/>
        <v/>
      </c>
      <c r="Y2532" s="57" t="str">
        <f>IF($X2532="","",IFERROR(VLOOKUP($X2532,'Char Popularity'!$A$2:$C$500,2,FALSE),""))</f>
        <v/>
      </c>
      <c r="Z2532" s="56">
        <f>IF($X2532="",1,IFERROR(VLOOKUP($X2532,'Char Popularity'!$A$2:$C$500,3,FALSE),1))</f>
        <v>1</v>
      </c>
      <c r="AA2532" s="62">
        <f>IF($H2532&lt;&gt;"Y",0,(IF($F2532&lt;&gt;"",ROUND(Dashboard!$R$4/$F2532,1),IF(AND($I2532="Base",$E2532="Base"),Dashboard!$R$5,IF(AND($I2532="Base",$E2532="Red"),Dashboard!$R$6,IF(AND($I2532="Base",$E2532="Gold"),Dashboard!$R$7,VLOOKUP($I2532,Dashboard!$Q$16:$R$21,2,FALSE)))))*VLOOKUP($I2532,Dashboard!$Q$9:$R$13,2,FALSE)*IF(AND($I2532="Auto",$F2532="",OR($B2532="Autographs Duals",$B2532="Autographs Triples",$B2532="Autographs Quads",$B2532="Autographs Quads (Inscribed)")),IF($B2532="Autographs Duals",2,IF($B2532="Autographs Triples",3,4)),1)))</f>
        <v>6</v>
      </c>
      <c r="AB2532" s="62">
        <f t="shared" si="518"/>
        <v>6</v>
      </c>
      <c r="AC2532" s="62">
        <f t="shared" si="519"/>
        <v>0</v>
      </c>
    </row>
    <row r="2533" spans="1:29" ht="28.7" customHeight="1" x14ac:dyDescent="0.25">
      <c r="A2533" s="4" t="s">
        <v>41</v>
      </c>
      <c r="B2533" s="7" t="s">
        <v>41</v>
      </c>
      <c r="C2533" s="2" t="s">
        <v>668</v>
      </c>
      <c r="D2533" s="7" t="s">
        <v>339</v>
      </c>
      <c r="E2533" s="4" t="s">
        <v>60</v>
      </c>
      <c r="F2533" s="2"/>
      <c r="G2533" s="2" t="s">
        <v>1399</v>
      </c>
      <c r="H2533" s="2" t="s">
        <v>1400</v>
      </c>
      <c r="I2533" s="4" t="s">
        <v>62</v>
      </c>
      <c r="J2533" s="112">
        <f>IF($H2533&lt;&gt;"Y",0,ROUND(MIN(Dashboard!$R$24,IF(IFERROR(VLOOKUP($B2533,Dashboard!$Q$28:$S$60,2,FALSE),0)&gt;0,IFERROR(VLOOKUP($B2533,Dashboard!$Q$28:$S$60,2,FALSE),0),$Z2533*IF($U2533&lt;&gt;"",ROUND((Dashboard!$R$4/$U2533)*VLOOKUP($I2533,Dashboard!$Q$9:$R$13,2,FALSE)*IF(ISNUMBER(SEARCH("Duals",$B2533)),2,IF(ISNUMBER(SEARCH("Triples",$B2533)),3,IF(ISNUMBER(SEARCH("Quads",$B2533)),4,1))),2),ROUND(VLOOKUP($I2533,Dashboard!$Q$15:$R$20,2,FALSE)*IF($E2533="Red",Dashboard!$R$6,IF($E2533="Gold",Dashboard!$R$7,Dashboard!$R$5))*IF(ISNUMBER(SEARCH("Duals",$B2533)),2,IF(ISNUMBER(SEARCH("Triples",$B2533)),3,IF(ISNUMBER(SEARCH("Quads",$B2533)),4,1))),2))*IF(IFERROR(VLOOKUP($B2533,Dashboard!$Q$28:$S$60,3,FALSE),0)&gt;0,VLOOKUP($B2533,Dashboard!$Q$28:$S$60,3,FALSE),1))),0))</f>
        <v>1</v>
      </c>
      <c r="K2533" s="2" t="str">
        <f>IF('Action Figures'!C12="","",'Action Figures'!C12)</f>
        <v>V</v>
      </c>
      <c r="L2533" s="2">
        <f t="shared" si="507"/>
        <v>1</v>
      </c>
      <c r="M2533" s="2">
        <f t="shared" si="508"/>
        <v>0</v>
      </c>
      <c r="N2533" s="2">
        <f t="shared" si="509"/>
        <v>1</v>
      </c>
      <c r="O2533" s="2">
        <f t="shared" si="510"/>
        <v>0</v>
      </c>
      <c r="P2533" s="112">
        <f t="shared" si="511"/>
        <v>1</v>
      </c>
      <c r="Q2533" s="112">
        <f t="shared" si="512"/>
        <v>0</v>
      </c>
      <c r="R2533" s="53"/>
      <c r="S2533" s="53" t="str">
        <f t="shared" si="513"/>
        <v>Action Figures|Action Figures|AF-11|Base</v>
      </c>
      <c r="T2533" s="57">
        <f>IF($S2533="","",IFERROR(VLOOKUP($S2533,'Pop Estimates (Non-#d)'!$N$2:$O$500,2,FALSE),""))</f>
        <v>6218</v>
      </c>
      <c r="U2533" s="57">
        <f t="shared" si="514"/>
        <v>6218</v>
      </c>
      <c r="V2533" s="53" t="str">
        <f t="shared" si="515"/>
        <v/>
      </c>
      <c r="W2533" s="53" t="str">
        <f t="shared" si="516"/>
        <v/>
      </c>
      <c r="X2533" s="53" t="str">
        <f t="shared" si="517"/>
        <v/>
      </c>
      <c r="Y2533" s="57" t="str">
        <f>IF($X2533="","",IFERROR(VLOOKUP($X2533,'Char Popularity'!$A$2:$C$500,2,FALSE),""))</f>
        <v/>
      </c>
      <c r="Z2533" s="56">
        <f>IF($X2533="",1,IFERROR(VLOOKUP($X2533,'Char Popularity'!$A$2:$C$500,3,FALSE),1))</f>
        <v>1</v>
      </c>
      <c r="AA2533" s="62">
        <f>IF($H2533&lt;&gt;"Y",0,(IF($F2533&lt;&gt;"",ROUND(Dashboard!$R$4/$F2533,1),IF(AND($I2533="Base",$E2533="Base"),Dashboard!$R$5,IF(AND($I2533="Base",$E2533="Red"),Dashboard!$R$6,IF(AND($I2533="Base",$E2533="Gold"),Dashboard!$R$7,VLOOKUP($I2533,Dashboard!$Q$16:$R$21,2,FALSE)))))*VLOOKUP($I2533,Dashboard!$Q$9:$R$13,2,FALSE)*IF(AND($I2533="Auto",$F2533="",OR($B2533="Autographs Duals",$B2533="Autographs Triples",$B2533="Autographs Quads",$B2533="Autographs Quads (Inscribed)")),IF($B2533="Autographs Duals",2,IF($B2533="Autographs Triples",3,4)),1)))</f>
        <v>6</v>
      </c>
      <c r="AB2533" s="62">
        <f t="shared" si="518"/>
        <v>6</v>
      </c>
      <c r="AC2533" s="62">
        <f t="shared" si="519"/>
        <v>0</v>
      </c>
    </row>
    <row r="2534" spans="1:29" ht="28.7" customHeight="1" x14ac:dyDescent="0.25">
      <c r="A2534" s="4" t="s">
        <v>41</v>
      </c>
      <c r="B2534" s="7" t="s">
        <v>41</v>
      </c>
      <c r="C2534" s="2" t="s">
        <v>669</v>
      </c>
      <c r="D2534" s="7" t="s">
        <v>343</v>
      </c>
      <c r="E2534" s="4" t="s">
        <v>60</v>
      </c>
      <c r="F2534" s="2"/>
      <c r="G2534" s="2" t="s">
        <v>1399</v>
      </c>
      <c r="H2534" s="2" t="s">
        <v>1400</v>
      </c>
      <c r="I2534" s="4" t="s">
        <v>62</v>
      </c>
      <c r="J2534" s="112">
        <f>IF($H2534&lt;&gt;"Y",0,ROUND(MIN(Dashboard!$R$24,IF(IFERROR(VLOOKUP($B2534,Dashboard!$Q$28:$S$60,2,FALSE),0)&gt;0,IFERROR(VLOOKUP($B2534,Dashboard!$Q$28:$S$60,2,FALSE),0),$Z2534*IF($U2534&lt;&gt;"",ROUND((Dashboard!$R$4/$U2534)*VLOOKUP($I2534,Dashboard!$Q$9:$R$13,2,FALSE)*IF(ISNUMBER(SEARCH("Duals",$B2534)),2,IF(ISNUMBER(SEARCH("Triples",$B2534)),3,IF(ISNUMBER(SEARCH("Quads",$B2534)),4,1))),2),ROUND(VLOOKUP($I2534,Dashboard!$Q$15:$R$20,2,FALSE)*IF($E2534="Red",Dashboard!$R$6,IF($E2534="Gold",Dashboard!$R$7,Dashboard!$R$5))*IF(ISNUMBER(SEARCH("Duals",$B2534)),2,IF(ISNUMBER(SEARCH("Triples",$B2534)),3,IF(ISNUMBER(SEARCH("Quads",$B2534)),4,1))),2))*IF(IFERROR(VLOOKUP($B2534,Dashboard!$Q$28:$S$60,3,FALSE),0)&gt;0,VLOOKUP($B2534,Dashboard!$Q$28:$S$60,3,FALSE),1))),0))</f>
        <v>1</v>
      </c>
      <c r="K2534" s="2" t="str">
        <f>IF('Action Figures'!C13="","",'Action Figures'!C13)</f>
        <v>V</v>
      </c>
      <c r="L2534" s="2">
        <f t="shared" si="507"/>
        <v>1</v>
      </c>
      <c r="M2534" s="2">
        <f t="shared" si="508"/>
        <v>0</v>
      </c>
      <c r="N2534" s="2">
        <f t="shared" si="509"/>
        <v>1</v>
      </c>
      <c r="O2534" s="2">
        <f t="shared" si="510"/>
        <v>0</v>
      </c>
      <c r="P2534" s="112">
        <f t="shared" si="511"/>
        <v>1</v>
      </c>
      <c r="Q2534" s="112">
        <f t="shared" si="512"/>
        <v>0</v>
      </c>
      <c r="R2534" s="53"/>
      <c r="S2534" s="53" t="str">
        <f t="shared" si="513"/>
        <v>Action Figures|Action Figures|AF-12|Base</v>
      </c>
      <c r="T2534" s="57">
        <f>IF($S2534="","",IFERROR(VLOOKUP($S2534,'Pop Estimates (Non-#d)'!$N$2:$O$500,2,FALSE),""))</f>
        <v>6218</v>
      </c>
      <c r="U2534" s="57">
        <f t="shared" si="514"/>
        <v>6218</v>
      </c>
      <c r="V2534" s="53" t="str">
        <f t="shared" si="515"/>
        <v/>
      </c>
      <c r="W2534" s="53" t="str">
        <f t="shared" si="516"/>
        <v/>
      </c>
      <c r="X2534" s="53" t="str">
        <f t="shared" si="517"/>
        <v/>
      </c>
      <c r="Y2534" s="57" t="str">
        <f>IF($X2534="","",IFERROR(VLOOKUP($X2534,'Char Popularity'!$A$2:$C$500,2,FALSE),""))</f>
        <v/>
      </c>
      <c r="Z2534" s="56">
        <f>IF($X2534="",1,IFERROR(VLOOKUP($X2534,'Char Popularity'!$A$2:$C$500,3,FALSE),1))</f>
        <v>1</v>
      </c>
      <c r="AA2534" s="62">
        <f>IF($H2534&lt;&gt;"Y",0,(IF($F2534&lt;&gt;"",ROUND(Dashboard!$R$4/$F2534,1),IF(AND($I2534="Base",$E2534="Base"),Dashboard!$R$5,IF(AND($I2534="Base",$E2534="Red"),Dashboard!$R$6,IF(AND($I2534="Base",$E2534="Gold"),Dashboard!$R$7,VLOOKUP($I2534,Dashboard!$Q$16:$R$21,2,FALSE)))))*VLOOKUP($I2534,Dashboard!$Q$9:$R$13,2,FALSE)*IF(AND($I2534="Auto",$F2534="",OR($B2534="Autographs Duals",$B2534="Autographs Triples",$B2534="Autographs Quads",$B2534="Autographs Quads (Inscribed)")),IF($B2534="Autographs Duals",2,IF($B2534="Autographs Triples",3,4)),1)))</f>
        <v>6</v>
      </c>
      <c r="AB2534" s="62">
        <f t="shared" si="518"/>
        <v>6</v>
      </c>
      <c r="AC2534" s="62">
        <f t="shared" si="519"/>
        <v>0</v>
      </c>
    </row>
    <row r="2535" spans="1:29" ht="28.7" customHeight="1" x14ac:dyDescent="0.25">
      <c r="A2535" s="4" t="s">
        <v>41</v>
      </c>
      <c r="B2535" s="7" t="s">
        <v>41</v>
      </c>
      <c r="C2535" s="2" t="s">
        <v>670</v>
      </c>
      <c r="D2535" s="7" t="s">
        <v>446</v>
      </c>
      <c r="E2535" s="4" t="s">
        <v>60</v>
      </c>
      <c r="F2535" s="2"/>
      <c r="G2535" s="2" t="s">
        <v>1399</v>
      </c>
      <c r="H2535" s="2" t="s">
        <v>1400</v>
      </c>
      <c r="I2535" s="4" t="s">
        <v>62</v>
      </c>
      <c r="J2535" s="112">
        <f>IF($H2535&lt;&gt;"Y",0,ROUND(MIN(Dashboard!$R$24,IF(IFERROR(VLOOKUP($B2535,Dashboard!$Q$28:$S$60,2,FALSE),0)&gt;0,IFERROR(VLOOKUP($B2535,Dashboard!$Q$28:$S$60,2,FALSE),0),$Z2535*IF($U2535&lt;&gt;"",ROUND((Dashboard!$R$4/$U2535)*VLOOKUP($I2535,Dashboard!$Q$9:$R$13,2,FALSE)*IF(ISNUMBER(SEARCH("Duals",$B2535)),2,IF(ISNUMBER(SEARCH("Triples",$B2535)),3,IF(ISNUMBER(SEARCH("Quads",$B2535)),4,1))),2),ROUND(VLOOKUP($I2535,Dashboard!$Q$15:$R$20,2,FALSE)*IF($E2535="Red",Dashboard!$R$6,IF($E2535="Gold",Dashboard!$R$7,Dashboard!$R$5))*IF(ISNUMBER(SEARCH("Duals",$B2535)),2,IF(ISNUMBER(SEARCH("Triples",$B2535)),3,IF(ISNUMBER(SEARCH("Quads",$B2535)),4,1))),2))*IF(IFERROR(VLOOKUP($B2535,Dashboard!$Q$28:$S$60,3,FALSE),0)&gt;0,VLOOKUP($B2535,Dashboard!$Q$28:$S$60,3,FALSE),1))),0))</f>
        <v>1</v>
      </c>
      <c r="K2535" s="2" t="str">
        <f>IF('Action Figures'!C14="","",'Action Figures'!C14)</f>
        <v>V</v>
      </c>
      <c r="L2535" s="2">
        <f t="shared" si="507"/>
        <v>1</v>
      </c>
      <c r="M2535" s="2">
        <f t="shared" si="508"/>
        <v>0</v>
      </c>
      <c r="N2535" s="2">
        <f t="shared" si="509"/>
        <v>1</v>
      </c>
      <c r="O2535" s="2">
        <f t="shared" si="510"/>
        <v>0</v>
      </c>
      <c r="P2535" s="112">
        <f t="shared" si="511"/>
        <v>1</v>
      </c>
      <c r="Q2535" s="112">
        <f t="shared" si="512"/>
        <v>0</v>
      </c>
      <c r="R2535" s="53"/>
      <c r="S2535" s="53" t="str">
        <f t="shared" si="513"/>
        <v>Action Figures|Action Figures|AF-13|Base</v>
      </c>
      <c r="T2535" s="57">
        <f>IF($S2535="","",IFERROR(VLOOKUP($S2535,'Pop Estimates (Non-#d)'!$N$2:$O$500,2,FALSE),""))</f>
        <v>6218</v>
      </c>
      <c r="U2535" s="57">
        <f t="shared" si="514"/>
        <v>6218</v>
      </c>
      <c r="V2535" s="53" t="str">
        <f t="shared" si="515"/>
        <v/>
      </c>
      <c r="W2535" s="53" t="str">
        <f t="shared" si="516"/>
        <v/>
      </c>
      <c r="X2535" s="53" t="str">
        <f t="shared" si="517"/>
        <v/>
      </c>
      <c r="Y2535" s="57" t="str">
        <f>IF($X2535="","",IFERROR(VLOOKUP($X2535,'Char Popularity'!$A$2:$C$500,2,FALSE),""))</f>
        <v/>
      </c>
      <c r="Z2535" s="56">
        <f>IF($X2535="",1,IFERROR(VLOOKUP($X2535,'Char Popularity'!$A$2:$C$500,3,FALSE),1))</f>
        <v>1</v>
      </c>
      <c r="AA2535" s="62">
        <f>IF($H2535&lt;&gt;"Y",0,(IF($F2535&lt;&gt;"",ROUND(Dashboard!$R$4/$F2535,1),IF(AND($I2535="Base",$E2535="Base"),Dashboard!$R$5,IF(AND($I2535="Base",$E2535="Red"),Dashboard!$R$6,IF(AND($I2535="Base",$E2535="Gold"),Dashboard!$R$7,VLOOKUP($I2535,Dashboard!$Q$16:$R$21,2,FALSE)))))*VLOOKUP($I2535,Dashboard!$Q$9:$R$13,2,FALSE)*IF(AND($I2535="Auto",$F2535="",OR($B2535="Autographs Duals",$B2535="Autographs Triples",$B2535="Autographs Quads",$B2535="Autographs Quads (Inscribed)")),IF($B2535="Autographs Duals",2,IF($B2535="Autographs Triples",3,4)),1)))</f>
        <v>6</v>
      </c>
      <c r="AB2535" s="62">
        <f t="shared" si="518"/>
        <v>6</v>
      </c>
      <c r="AC2535" s="62">
        <f t="shared" si="519"/>
        <v>0</v>
      </c>
    </row>
    <row r="2536" spans="1:29" ht="28.7" customHeight="1" x14ac:dyDescent="0.25">
      <c r="A2536" s="4" t="s">
        <v>41</v>
      </c>
      <c r="B2536" s="7" t="s">
        <v>41</v>
      </c>
      <c r="C2536" s="2" t="s">
        <v>671</v>
      </c>
      <c r="D2536" s="7" t="s">
        <v>389</v>
      </c>
      <c r="E2536" s="4" t="s">
        <v>60</v>
      </c>
      <c r="F2536" s="2"/>
      <c r="G2536" s="2" t="s">
        <v>1399</v>
      </c>
      <c r="H2536" s="2" t="s">
        <v>1400</v>
      </c>
      <c r="I2536" s="4" t="s">
        <v>62</v>
      </c>
      <c r="J2536" s="112">
        <f>IF($H2536&lt;&gt;"Y",0,ROUND(MIN(Dashboard!$R$24,IF(IFERROR(VLOOKUP($B2536,Dashboard!$Q$28:$S$60,2,FALSE),0)&gt;0,IFERROR(VLOOKUP($B2536,Dashboard!$Q$28:$S$60,2,FALSE),0),$Z2536*IF($U2536&lt;&gt;"",ROUND((Dashboard!$R$4/$U2536)*VLOOKUP($I2536,Dashboard!$Q$9:$R$13,2,FALSE)*IF(ISNUMBER(SEARCH("Duals",$B2536)),2,IF(ISNUMBER(SEARCH("Triples",$B2536)),3,IF(ISNUMBER(SEARCH("Quads",$B2536)),4,1))),2),ROUND(VLOOKUP($I2536,Dashboard!$Q$15:$R$20,2,FALSE)*IF($E2536="Red",Dashboard!$R$6,IF($E2536="Gold",Dashboard!$R$7,Dashboard!$R$5))*IF(ISNUMBER(SEARCH("Duals",$B2536)),2,IF(ISNUMBER(SEARCH("Triples",$B2536)),3,IF(ISNUMBER(SEARCH("Quads",$B2536)),4,1))),2))*IF(IFERROR(VLOOKUP($B2536,Dashboard!$Q$28:$S$60,3,FALSE),0)&gt;0,VLOOKUP($B2536,Dashboard!$Q$28:$S$60,3,FALSE),1))),0))</f>
        <v>1</v>
      </c>
      <c r="K2536" s="2" t="str">
        <f>IF('Action Figures'!C15="","",'Action Figures'!C15)</f>
        <v>V</v>
      </c>
      <c r="L2536" s="2">
        <f t="shared" si="507"/>
        <v>1</v>
      </c>
      <c r="M2536" s="2">
        <f t="shared" si="508"/>
        <v>0</v>
      </c>
      <c r="N2536" s="2">
        <f t="shared" si="509"/>
        <v>1</v>
      </c>
      <c r="O2536" s="2">
        <f t="shared" si="510"/>
        <v>0</v>
      </c>
      <c r="P2536" s="112">
        <f t="shared" si="511"/>
        <v>1</v>
      </c>
      <c r="Q2536" s="112">
        <f t="shared" si="512"/>
        <v>0</v>
      </c>
      <c r="R2536" s="53"/>
      <c r="S2536" s="53" t="str">
        <f t="shared" si="513"/>
        <v>Action Figures|Action Figures|AF-14|Base</v>
      </c>
      <c r="T2536" s="57">
        <f>IF($S2536="","",IFERROR(VLOOKUP($S2536,'Pop Estimates (Non-#d)'!$N$2:$O$500,2,FALSE),""))</f>
        <v>6218</v>
      </c>
      <c r="U2536" s="57">
        <f t="shared" si="514"/>
        <v>6218</v>
      </c>
      <c r="V2536" s="53" t="str">
        <f t="shared" si="515"/>
        <v/>
      </c>
      <c r="W2536" s="53" t="str">
        <f t="shared" si="516"/>
        <v/>
      </c>
      <c r="X2536" s="53" t="str">
        <f t="shared" si="517"/>
        <v/>
      </c>
      <c r="Y2536" s="57" t="str">
        <f>IF($X2536="","",IFERROR(VLOOKUP($X2536,'Char Popularity'!$A$2:$C$500,2,FALSE),""))</f>
        <v/>
      </c>
      <c r="Z2536" s="56">
        <f>IF($X2536="",1,IFERROR(VLOOKUP($X2536,'Char Popularity'!$A$2:$C$500,3,FALSE),1))</f>
        <v>1</v>
      </c>
      <c r="AA2536" s="62">
        <f>IF($H2536&lt;&gt;"Y",0,(IF($F2536&lt;&gt;"",ROUND(Dashboard!$R$4/$F2536,1),IF(AND($I2536="Base",$E2536="Base"),Dashboard!$R$5,IF(AND($I2536="Base",$E2536="Red"),Dashboard!$R$6,IF(AND($I2536="Base",$E2536="Gold"),Dashboard!$R$7,VLOOKUP($I2536,Dashboard!$Q$16:$R$21,2,FALSE)))))*VLOOKUP($I2536,Dashboard!$Q$9:$R$13,2,FALSE)*IF(AND($I2536="Auto",$F2536="",OR($B2536="Autographs Duals",$B2536="Autographs Triples",$B2536="Autographs Quads",$B2536="Autographs Quads (Inscribed)")),IF($B2536="Autographs Duals",2,IF($B2536="Autographs Triples",3,4)),1)))</f>
        <v>6</v>
      </c>
      <c r="AB2536" s="62">
        <f t="shared" si="518"/>
        <v>6</v>
      </c>
      <c r="AC2536" s="62">
        <f t="shared" si="519"/>
        <v>0</v>
      </c>
    </row>
    <row r="2537" spans="1:29" ht="28.7" customHeight="1" x14ac:dyDescent="0.25">
      <c r="A2537" s="4" t="s">
        <v>41</v>
      </c>
      <c r="B2537" s="7" t="s">
        <v>41</v>
      </c>
      <c r="C2537" s="2" t="s">
        <v>672</v>
      </c>
      <c r="D2537" s="7" t="s">
        <v>384</v>
      </c>
      <c r="E2537" s="4" t="s">
        <v>60</v>
      </c>
      <c r="F2537" s="2"/>
      <c r="G2537" s="2" t="s">
        <v>1399</v>
      </c>
      <c r="H2537" s="2" t="s">
        <v>1400</v>
      </c>
      <c r="I2537" s="4" t="s">
        <v>62</v>
      </c>
      <c r="J2537" s="112">
        <f>IF($H2537&lt;&gt;"Y",0,ROUND(MIN(Dashboard!$R$24,IF(IFERROR(VLOOKUP($B2537,Dashboard!$Q$28:$S$60,2,FALSE),0)&gt;0,IFERROR(VLOOKUP($B2537,Dashboard!$Q$28:$S$60,2,FALSE),0),$Z2537*IF($U2537&lt;&gt;"",ROUND((Dashboard!$R$4/$U2537)*VLOOKUP($I2537,Dashboard!$Q$9:$R$13,2,FALSE)*IF(ISNUMBER(SEARCH("Duals",$B2537)),2,IF(ISNUMBER(SEARCH("Triples",$B2537)),3,IF(ISNUMBER(SEARCH("Quads",$B2537)),4,1))),2),ROUND(VLOOKUP($I2537,Dashboard!$Q$15:$R$20,2,FALSE)*IF($E2537="Red",Dashboard!$R$6,IF($E2537="Gold",Dashboard!$R$7,Dashboard!$R$5))*IF(ISNUMBER(SEARCH("Duals",$B2537)),2,IF(ISNUMBER(SEARCH("Triples",$B2537)),3,IF(ISNUMBER(SEARCH("Quads",$B2537)),4,1))),2))*IF(IFERROR(VLOOKUP($B2537,Dashboard!$Q$28:$S$60,3,FALSE),0)&gt;0,VLOOKUP($B2537,Dashboard!$Q$28:$S$60,3,FALSE),1))),0))</f>
        <v>1</v>
      </c>
      <c r="K2537" s="2" t="str">
        <f>IF('Action Figures'!C16="","",'Action Figures'!C16)</f>
        <v>V</v>
      </c>
      <c r="L2537" s="2">
        <f t="shared" si="507"/>
        <v>1</v>
      </c>
      <c r="M2537" s="2">
        <f t="shared" si="508"/>
        <v>0</v>
      </c>
      <c r="N2537" s="2">
        <f t="shared" si="509"/>
        <v>1</v>
      </c>
      <c r="O2537" s="2">
        <f t="shared" si="510"/>
        <v>0</v>
      </c>
      <c r="P2537" s="112">
        <f t="shared" si="511"/>
        <v>1</v>
      </c>
      <c r="Q2537" s="112">
        <f t="shared" si="512"/>
        <v>0</v>
      </c>
      <c r="R2537" s="53"/>
      <c r="S2537" s="53" t="str">
        <f t="shared" si="513"/>
        <v>Action Figures|Action Figures|AF-15|Base</v>
      </c>
      <c r="T2537" s="57">
        <f>IF($S2537="","",IFERROR(VLOOKUP($S2537,'Pop Estimates (Non-#d)'!$N$2:$O$500,2,FALSE),""))</f>
        <v>6218</v>
      </c>
      <c r="U2537" s="57">
        <f t="shared" si="514"/>
        <v>6218</v>
      </c>
      <c r="V2537" s="53" t="str">
        <f t="shared" si="515"/>
        <v/>
      </c>
      <c r="W2537" s="53" t="str">
        <f t="shared" si="516"/>
        <v/>
      </c>
      <c r="X2537" s="53" t="str">
        <f t="shared" si="517"/>
        <v/>
      </c>
      <c r="Y2537" s="57" t="str">
        <f>IF($X2537="","",IFERROR(VLOOKUP($X2537,'Char Popularity'!$A$2:$C$500,2,FALSE),""))</f>
        <v/>
      </c>
      <c r="Z2537" s="56">
        <f>IF($X2537="",1,IFERROR(VLOOKUP($X2537,'Char Popularity'!$A$2:$C$500,3,FALSE),1))</f>
        <v>1</v>
      </c>
      <c r="AA2537" s="62">
        <f>IF($H2537&lt;&gt;"Y",0,(IF($F2537&lt;&gt;"",ROUND(Dashboard!$R$4/$F2537,1),IF(AND($I2537="Base",$E2537="Base"),Dashboard!$R$5,IF(AND($I2537="Base",$E2537="Red"),Dashboard!$R$6,IF(AND($I2537="Base",$E2537="Gold"),Dashboard!$R$7,VLOOKUP($I2537,Dashboard!$Q$16:$R$21,2,FALSE)))))*VLOOKUP($I2537,Dashboard!$Q$9:$R$13,2,FALSE)*IF(AND($I2537="Auto",$F2537="",OR($B2537="Autographs Duals",$B2537="Autographs Triples",$B2537="Autographs Quads",$B2537="Autographs Quads (Inscribed)")),IF($B2537="Autographs Duals",2,IF($B2537="Autographs Triples",3,4)),1)))</f>
        <v>6</v>
      </c>
      <c r="AB2537" s="62">
        <f t="shared" si="518"/>
        <v>6</v>
      </c>
      <c r="AC2537" s="62">
        <f t="shared" si="519"/>
        <v>0</v>
      </c>
    </row>
    <row r="2538" spans="1:29" ht="42.95" customHeight="1" x14ac:dyDescent="0.25">
      <c r="A2538" s="4" t="s">
        <v>41</v>
      </c>
      <c r="B2538" s="7" t="s">
        <v>129</v>
      </c>
      <c r="C2538" s="2" t="s">
        <v>367</v>
      </c>
      <c r="D2538" s="7" t="s">
        <v>216</v>
      </c>
      <c r="E2538" s="4" t="s">
        <v>368</v>
      </c>
      <c r="F2538" s="2"/>
      <c r="G2538" s="2" t="s">
        <v>1399</v>
      </c>
      <c r="H2538" s="2" t="s">
        <v>1400</v>
      </c>
      <c r="I2538" s="4" t="s">
        <v>68</v>
      </c>
      <c r="J2538" s="112">
        <f>IF($H2538&lt;&gt;"Y",0,ROUND(MIN(Dashboard!$R$24,IF(IFERROR(VLOOKUP($B2538,Dashboard!$Q$28:$S$60,2,FALSE),0)&gt;0,IFERROR(VLOOKUP($B2538,Dashboard!$Q$28:$S$60,2,FALSE),0),$Z2538*IF($U2538&lt;&gt;"",ROUND((Dashboard!$R$4/$U2538)*VLOOKUP($I2538,Dashboard!$Q$9:$R$13,2,FALSE)*IF(ISNUMBER(SEARCH("Duals",$B2538)),2,IF(ISNUMBER(SEARCH("Triples",$B2538)),3,IF(ISNUMBER(SEARCH("Quads",$B2538)),4,1))),2),ROUND(VLOOKUP($I2538,Dashboard!$Q$15:$R$20,2,FALSE)*IF($E2538="Red",Dashboard!$R$6,IF($E2538="Gold",Dashboard!$R$7,Dashboard!$R$5))*IF(ISNUMBER(SEARCH("Duals",$B2538)),2,IF(ISNUMBER(SEARCH("Triples",$B2538)),3,IF(ISNUMBER(SEARCH("Quads",$B2538)),4,1))),2))*IF(IFERROR(VLOOKUP($B2538,Dashboard!$Q$28:$S$60,3,FALSE),0)&gt;0,VLOOKUP($B2538,Dashboard!$Q$28:$S$60,3,FALSE),1))),0))</f>
        <v>9</v>
      </c>
      <c r="K2538" s="2" t="str">
        <f>IF('Action Figures'!D32="","",'Action Figures'!D32)</f>
        <v/>
      </c>
      <c r="L2538" s="2">
        <f t="shared" si="507"/>
        <v>0</v>
      </c>
      <c r="M2538" s="2">
        <f t="shared" si="508"/>
        <v>0</v>
      </c>
      <c r="N2538" s="2">
        <f t="shared" si="509"/>
        <v>0</v>
      </c>
      <c r="O2538" s="2">
        <f t="shared" si="510"/>
        <v>1</v>
      </c>
      <c r="P2538" s="112">
        <f t="shared" si="511"/>
        <v>0</v>
      </c>
      <c r="Q2538" s="112">
        <f t="shared" si="512"/>
        <v>0</v>
      </c>
      <c r="R2538" s="53"/>
      <c r="S2538" s="53" t="str">
        <f t="shared" si="513"/>
        <v>Action Figures|Action Figures Autographs|AF-AH|Autograph</v>
      </c>
      <c r="T2538" s="57">
        <f>IF($S2538="","",IFERROR(VLOOKUP($S2538,'Pop Estimates (Non-#d)'!$N$2:$O$500,2,FALSE),""))</f>
        <v>204</v>
      </c>
      <c r="U2538" s="57">
        <f t="shared" si="514"/>
        <v>204</v>
      </c>
      <c r="V2538" s="53" t="str">
        <f t="shared" si="515"/>
        <v>Translucent</v>
      </c>
      <c r="W2538" s="53" t="str">
        <f t="shared" si="516"/>
        <v>Translucent</v>
      </c>
      <c r="X2538" s="53" t="str">
        <f t="shared" si="517"/>
        <v>Translucent</v>
      </c>
      <c r="Y2538" s="57">
        <f>IF($X2538="","",IFERROR(VLOOKUP($X2538,'Char Popularity'!$A$2:$C$500,2,FALSE),""))</f>
        <v>2</v>
      </c>
      <c r="Z2538" s="56">
        <f>IF($X2538="",1,IFERROR(VLOOKUP($X2538,'Char Popularity'!$A$2:$C$500,3,FALSE),1))</f>
        <v>0.9</v>
      </c>
      <c r="AA2538" s="62">
        <f>IF($H2538&lt;&gt;"Y",0,(IF($F2538&lt;&gt;"",ROUND(Dashboard!$R$4/$F2538,1),IF(AND($I2538="Base",$E2538="Base"),Dashboard!$R$5,IF(AND($I2538="Base",$E2538="Red"),Dashboard!$R$6,IF(AND($I2538="Base",$E2538="Gold"),Dashboard!$R$7,VLOOKUP($I2538,Dashboard!$Q$16:$R$21,2,FALSE)))))*VLOOKUP($I2538,Dashboard!$Q$9:$R$13,2,FALSE)*IF(AND($I2538="Auto",$F2538="",OR($B2538="Autographs Duals",$B2538="Autographs Triples",$B2538="Autographs Quads",$B2538="Autographs Quads (Inscribed)")),IF($B2538="Autographs Duals",2,IF($B2538="Autographs Triples",3,4)),1)))</f>
        <v>50</v>
      </c>
      <c r="AB2538" s="62">
        <f t="shared" si="518"/>
        <v>0</v>
      </c>
      <c r="AC2538" s="62">
        <f t="shared" si="519"/>
        <v>0</v>
      </c>
    </row>
    <row r="2539" spans="1:29" ht="42.95" customHeight="1" x14ac:dyDescent="0.25">
      <c r="A2539" s="4" t="s">
        <v>41</v>
      </c>
      <c r="B2539" s="7" t="s">
        <v>129</v>
      </c>
      <c r="C2539" s="2" t="s">
        <v>369</v>
      </c>
      <c r="D2539" s="7" t="s">
        <v>222</v>
      </c>
      <c r="E2539" s="4" t="s">
        <v>368</v>
      </c>
      <c r="F2539" s="2"/>
      <c r="G2539" s="2" t="s">
        <v>1399</v>
      </c>
      <c r="H2539" s="2" t="s">
        <v>1400</v>
      </c>
      <c r="I2539" s="4" t="s">
        <v>68</v>
      </c>
      <c r="J2539" s="112">
        <f>IF($H2539&lt;&gt;"Y",0,ROUND(MIN(Dashboard!$R$24,IF(IFERROR(VLOOKUP($B2539,Dashboard!$Q$28:$S$60,2,FALSE),0)&gt;0,IFERROR(VLOOKUP($B2539,Dashboard!$Q$28:$S$60,2,FALSE),0),$Z2539*IF($U2539&lt;&gt;"",ROUND((Dashboard!$R$4/$U2539)*VLOOKUP($I2539,Dashboard!$Q$9:$R$13,2,FALSE)*IF(ISNUMBER(SEARCH("Duals",$B2539)),2,IF(ISNUMBER(SEARCH("Triples",$B2539)),3,IF(ISNUMBER(SEARCH("Quads",$B2539)),4,1))),2),ROUND(VLOOKUP($I2539,Dashboard!$Q$15:$R$20,2,FALSE)*IF($E2539="Red",Dashboard!$R$6,IF($E2539="Gold",Dashboard!$R$7,Dashboard!$R$5))*IF(ISNUMBER(SEARCH("Duals",$B2539)),2,IF(ISNUMBER(SEARCH("Triples",$B2539)),3,IF(ISNUMBER(SEARCH("Quads",$B2539)),4,1))),2))*IF(IFERROR(VLOOKUP($B2539,Dashboard!$Q$28:$S$60,3,FALSE),0)&gt;0,VLOOKUP($B2539,Dashboard!$Q$28:$S$60,3,FALSE),1))),0))</f>
        <v>12</v>
      </c>
      <c r="K2539" s="2" t="str">
        <f>IF('Action Figures'!D33="","",'Action Figures'!D33)</f>
        <v/>
      </c>
      <c r="L2539" s="2">
        <f t="shared" si="507"/>
        <v>0</v>
      </c>
      <c r="M2539" s="2">
        <f t="shared" si="508"/>
        <v>0</v>
      </c>
      <c r="N2539" s="2">
        <f t="shared" si="509"/>
        <v>0</v>
      </c>
      <c r="O2539" s="2">
        <f t="shared" si="510"/>
        <v>1</v>
      </c>
      <c r="P2539" s="112">
        <f t="shared" si="511"/>
        <v>0</v>
      </c>
      <c r="Q2539" s="112">
        <f t="shared" si="512"/>
        <v>0</v>
      </c>
      <c r="R2539" s="53"/>
      <c r="S2539" s="53" t="str">
        <f t="shared" si="513"/>
        <v>Action Figures|Action Figures Autographs|AF-AS|Autograph</v>
      </c>
      <c r="T2539" s="57">
        <f>IF($S2539="","",IFERROR(VLOOKUP($S2539,'Pop Estimates (Non-#d)'!$N$2:$O$500,2,FALSE),""))</f>
        <v>204</v>
      </c>
      <c r="U2539" s="57">
        <f t="shared" si="514"/>
        <v>204</v>
      </c>
      <c r="V2539" s="53" t="str">
        <f t="shared" si="515"/>
        <v>Homelander</v>
      </c>
      <c r="W2539" s="53" t="str">
        <f t="shared" si="516"/>
        <v>Homelander</v>
      </c>
      <c r="X2539" s="53" t="str">
        <f t="shared" si="517"/>
        <v>Homelander</v>
      </c>
      <c r="Y2539" s="57">
        <f>IF($X2539="","",IFERROR(VLOOKUP($X2539,'Char Popularity'!$A$2:$C$500,2,FALSE),""))</f>
        <v>5</v>
      </c>
      <c r="Z2539" s="56">
        <f>IF($X2539="",1,IFERROR(VLOOKUP($X2539,'Char Popularity'!$A$2:$C$500,3,FALSE),1))</f>
        <v>1.2</v>
      </c>
      <c r="AA2539" s="62">
        <f>IF($H2539&lt;&gt;"Y",0,(IF($F2539&lt;&gt;"",ROUND(Dashboard!$R$4/$F2539,1),IF(AND($I2539="Base",$E2539="Base"),Dashboard!$R$5,IF(AND($I2539="Base",$E2539="Red"),Dashboard!$R$6,IF(AND($I2539="Base",$E2539="Gold"),Dashboard!$R$7,VLOOKUP($I2539,Dashboard!$Q$16:$R$21,2,FALSE)))))*VLOOKUP($I2539,Dashboard!$Q$9:$R$13,2,FALSE)*IF(AND($I2539="Auto",$F2539="",OR($B2539="Autographs Duals",$B2539="Autographs Triples",$B2539="Autographs Quads",$B2539="Autographs Quads (Inscribed)")),IF($B2539="Autographs Duals",2,IF($B2539="Autographs Triples",3,4)),1)))</f>
        <v>50</v>
      </c>
      <c r="AB2539" s="62">
        <f t="shared" si="518"/>
        <v>0</v>
      </c>
      <c r="AC2539" s="62">
        <f t="shared" si="519"/>
        <v>0</v>
      </c>
    </row>
    <row r="2540" spans="1:29" ht="42.95" customHeight="1" x14ac:dyDescent="0.25">
      <c r="A2540" s="4" t="s">
        <v>41</v>
      </c>
      <c r="B2540" s="7" t="s">
        <v>129</v>
      </c>
      <c r="C2540" s="2" t="s">
        <v>370</v>
      </c>
      <c r="D2540" s="7" t="s">
        <v>224</v>
      </c>
      <c r="E2540" s="4" t="s">
        <v>368</v>
      </c>
      <c r="F2540" s="2"/>
      <c r="G2540" s="2" t="s">
        <v>1399</v>
      </c>
      <c r="H2540" s="2" t="s">
        <v>1400</v>
      </c>
      <c r="I2540" s="4" t="s">
        <v>68</v>
      </c>
      <c r="J2540" s="112">
        <f>IF($H2540&lt;&gt;"Y",0,ROUND(MIN(Dashboard!$R$24,IF(IFERROR(VLOOKUP($B2540,Dashboard!$Q$28:$S$60,2,FALSE),0)&gt;0,IFERROR(VLOOKUP($B2540,Dashboard!$Q$28:$S$60,2,FALSE),0),$Z2540*IF($U2540&lt;&gt;"",ROUND((Dashboard!$R$4/$U2540)*VLOOKUP($I2540,Dashboard!$Q$9:$R$13,2,FALSE)*IF(ISNUMBER(SEARCH("Duals",$B2540)),2,IF(ISNUMBER(SEARCH("Triples",$B2540)),3,IF(ISNUMBER(SEARCH("Quads",$B2540)),4,1))),2),ROUND(VLOOKUP($I2540,Dashboard!$Q$15:$R$20,2,FALSE)*IF($E2540="Red",Dashboard!$R$6,IF($E2540="Gold",Dashboard!$R$7,Dashboard!$R$5))*IF(ISNUMBER(SEARCH("Duals",$B2540)),2,IF(ISNUMBER(SEARCH("Triples",$B2540)),3,IF(ISNUMBER(SEARCH("Quads",$B2540)),4,1))),2))*IF(IFERROR(VLOOKUP($B2540,Dashboard!$Q$28:$S$60,3,FALSE),0)&gt;0,VLOOKUP($B2540,Dashboard!$Q$28:$S$60,3,FALSE),1))),0))</f>
        <v>9</v>
      </c>
      <c r="K2540" s="2" t="str">
        <f>IF('Action Figures'!D34="","",'Action Figures'!D34)</f>
        <v>C</v>
      </c>
      <c r="L2540" s="2">
        <f t="shared" si="507"/>
        <v>1</v>
      </c>
      <c r="M2540" s="2">
        <f t="shared" si="508"/>
        <v>0</v>
      </c>
      <c r="N2540" s="2">
        <f t="shared" si="509"/>
        <v>1</v>
      </c>
      <c r="O2540" s="2">
        <f t="shared" si="510"/>
        <v>0</v>
      </c>
      <c r="P2540" s="112">
        <f t="shared" si="511"/>
        <v>9</v>
      </c>
      <c r="Q2540" s="112">
        <f t="shared" si="512"/>
        <v>0</v>
      </c>
      <c r="R2540" s="53"/>
      <c r="S2540" s="53" t="str">
        <f t="shared" si="513"/>
        <v>Action Figures|Action Figures Autographs|AF-BA|Autograph</v>
      </c>
      <c r="T2540" s="57">
        <f>IF($S2540="","",IFERROR(VLOOKUP($S2540,'Pop Estimates (Non-#d)'!$N$2:$O$500,2,FALSE),""))</f>
        <v>204</v>
      </c>
      <c r="U2540" s="57">
        <f t="shared" si="514"/>
        <v>204</v>
      </c>
      <c r="V2540" s="53" t="str">
        <f t="shared" si="515"/>
        <v>Popclaw</v>
      </c>
      <c r="W2540" s="53" t="str">
        <f t="shared" si="516"/>
        <v>Popclaw</v>
      </c>
      <c r="X2540" s="53" t="str">
        <f t="shared" si="517"/>
        <v>Popclaw</v>
      </c>
      <c r="Y2540" s="57">
        <f>IF($X2540="","",IFERROR(VLOOKUP($X2540,'Char Popularity'!$A$2:$C$500,2,FALSE),""))</f>
        <v>2</v>
      </c>
      <c r="Z2540" s="56">
        <f>IF($X2540="",1,IFERROR(VLOOKUP($X2540,'Char Popularity'!$A$2:$C$500,3,FALSE),1))</f>
        <v>0.9</v>
      </c>
      <c r="AA2540" s="62">
        <f>IF($H2540&lt;&gt;"Y",0,(IF($F2540&lt;&gt;"",ROUND(Dashboard!$R$4/$F2540,1),IF(AND($I2540="Base",$E2540="Base"),Dashboard!$R$5,IF(AND($I2540="Base",$E2540="Red"),Dashboard!$R$6,IF(AND($I2540="Base",$E2540="Gold"),Dashboard!$R$7,VLOOKUP($I2540,Dashboard!$Q$16:$R$21,2,FALSE)))))*VLOOKUP($I2540,Dashboard!$Q$9:$R$13,2,FALSE)*IF(AND($I2540="Auto",$F2540="",OR($B2540="Autographs Duals",$B2540="Autographs Triples",$B2540="Autographs Quads",$B2540="Autographs Quads (Inscribed)")),IF($B2540="Autographs Duals",2,IF($B2540="Autographs Triples",3,4)),1)))</f>
        <v>50</v>
      </c>
      <c r="AB2540" s="62">
        <f t="shared" si="518"/>
        <v>50</v>
      </c>
      <c r="AC2540" s="62">
        <f t="shared" si="519"/>
        <v>0</v>
      </c>
    </row>
    <row r="2541" spans="1:29" ht="30" customHeight="1" x14ac:dyDescent="0.25">
      <c r="A2541" s="4" t="s">
        <v>41</v>
      </c>
      <c r="B2541" s="7" t="s">
        <v>129</v>
      </c>
      <c r="C2541" s="2" t="s">
        <v>371</v>
      </c>
      <c r="D2541" s="7" t="s">
        <v>372</v>
      </c>
      <c r="E2541" s="4" t="s">
        <v>368</v>
      </c>
      <c r="F2541" s="2"/>
      <c r="G2541" s="2" t="s">
        <v>1399</v>
      </c>
      <c r="H2541" s="2" t="s">
        <v>1400</v>
      </c>
      <c r="I2541" s="4" t="s">
        <v>68</v>
      </c>
      <c r="J2541" s="112">
        <f>IF($H2541&lt;&gt;"Y",0,ROUND(MIN(Dashboard!$R$24,IF(IFERROR(VLOOKUP($B2541,Dashboard!$Q$28:$S$60,2,FALSE),0)&gt;0,IFERROR(VLOOKUP($B2541,Dashboard!$Q$28:$S$60,2,FALSE),0),$Z2541*IF($U2541&lt;&gt;"",ROUND((Dashboard!$R$4/$U2541)*VLOOKUP($I2541,Dashboard!$Q$9:$R$13,2,FALSE)*IF(ISNUMBER(SEARCH("Duals",$B2541)),2,IF(ISNUMBER(SEARCH("Triples",$B2541)),3,IF(ISNUMBER(SEARCH("Quads",$B2541)),4,1))),2),ROUND(VLOOKUP($I2541,Dashboard!$Q$15:$R$20,2,FALSE)*IF($E2541="Red",Dashboard!$R$6,IF($E2541="Gold",Dashboard!$R$7,Dashboard!$R$5))*IF(ISNUMBER(SEARCH("Duals",$B2541)),2,IF(ISNUMBER(SEARCH("Triples",$B2541)),3,IF(ISNUMBER(SEARCH("Quads",$B2541)),4,1))),2))*IF(IFERROR(VLOOKUP($B2541,Dashboard!$Q$28:$S$60,3,FALSE),0)&gt;0,VLOOKUP($B2541,Dashboard!$Q$28:$S$60,3,FALSE),1))),0))</f>
        <v>11</v>
      </c>
      <c r="K2541" s="2" t="str">
        <f>IF('Action Figures'!D35="","",'Action Figures'!D35)</f>
        <v/>
      </c>
      <c r="L2541" s="2">
        <f t="shared" si="507"/>
        <v>0</v>
      </c>
      <c r="M2541" s="2">
        <f t="shared" si="508"/>
        <v>0</v>
      </c>
      <c r="N2541" s="2">
        <f t="shared" si="509"/>
        <v>0</v>
      </c>
      <c r="O2541" s="2">
        <f t="shared" si="510"/>
        <v>1</v>
      </c>
      <c r="P2541" s="112">
        <f t="shared" si="511"/>
        <v>0</v>
      </c>
      <c r="Q2541" s="112">
        <f t="shared" si="512"/>
        <v>0</v>
      </c>
      <c r="R2541" s="53" t="s">
        <v>689</v>
      </c>
      <c r="S2541" s="53" t="str">
        <f t="shared" si="513"/>
        <v>Action Figures|Action Figures Autographs|AF-CC|Autograph</v>
      </c>
      <c r="T2541" s="57">
        <f>IF($S2541="","",IFERROR(VLOOKUP($S2541,'Pop Estimates (Non-#d)'!$N$2:$O$500,2,FALSE),""))</f>
        <v>204</v>
      </c>
      <c r="U2541" s="57">
        <f t="shared" si="514"/>
        <v>204</v>
      </c>
      <c r="V2541" s="53" t="str">
        <f t="shared" si="515"/>
        <v>The Deep "The Seven"</v>
      </c>
      <c r="W2541" s="53" t="str">
        <f t="shared" si="516"/>
        <v>The Deep "The Seven"</v>
      </c>
      <c r="X2541" s="53" t="str">
        <f t="shared" si="517"/>
        <v>The Deep</v>
      </c>
      <c r="Y2541" s="57">
        <f>IF($X2541="","",IFERROR(VLOOKUP($X2541,'Char Popularity'!$A$2:$C$500,2,FALSE),""))</f>
        <v>4</v>
      </c>
      <c r="Z2541" s="56">
        <f>IF($X2541="",1,IFERROR(VLOOKUP($X2541,'Char Popularity'!$A$2:$C$500,3,FALSE),1))</f>
        <v>1.1000000000000001</v>
      </c>
      <c r="AA2541" s="62">
        <f>IF($H2541&lt;&gt;"Y",0,(IF($F2541&lt;&gt;"",ROUND(Dashboard!$R$4/$F2541,1),IF(AND($I2541="Base",$E2541="Base"),Dashboard!$R$5,IF(AND($I2541="Base",$E2541="Red"),Dashboard!$R$6,IF(AND($I2541="Base",$E2541="Gold"),Dashboard!$R$7,VLOOKUP($I2541,Dashboard!$Q$16:$R$21,2,FALSE)))))*VLOOKUP($I2541,Dashboard!$Q$9:$R$13,2,FALSE)*IF(AND($I2541="Auto",$F2541="",OR($B2541="Autographs Duals",$B2541="Autographs Triples",$B2541="Autographs Quads",$B2541="Autographs Quads (Inscribed)")),IF($B2541="Autographs Duals",2,IF($B2541="Autographs Triples",3,4)),1)))</f>
        <v>50</v>
      </c>
      <c r="AB2541" s="62">
        <f t="shared" si="518"/>
        <v>0</v>
      </c>
      <c r="AC2541" s="62">
        <f t="shared" si="519"/>
        <v>0</v>
      </c>
    </row>
    <row r="2542" spans="1:29" ht="42.95" customHeight="1" x14ac:dyDescent="0.25">
      <c r="A2542" s="4" t="s">
        <v>41</v>
      </c>
      <c r="B2542" s="7" t="s">
        <v>129</v>
      </c>
      <c r="C2542" s="2" t="s">
        <v>373</v>
      </c>
      <c r="D2542" s="7" t="s">
        <v>244</v>
      </c>
      <c r="E2542" s="4" t="s">
        <v>368</v>
      </c>
      <c r="F2542" s="2"/>
      <c r="G2542" s="2" t="s">
        <v>1399</v>
      </c>
      <c r="H2542" s="2" t="s">
        <v>1400</v>
      </c>
      <c r="I2542" s="4" t="s">
        <v>68</v>
      </c>
      <c r="J2542" s="112">
        <f>IF($H2542&lt;&gt;"Y",0,ROUND(MIN(Dashboard!$R$24,IF(IFERROR(VLOOKUP($B2542,Dashboard!$Q$28:$S$60,2,FALSE),0)&gt;0,IFERROR(VLOOKUP($B2542,Dashboard!$Q$28:$S$60,2,FALSE),0),$Z2542*IF($U2542&lt;&gt;"",ROUND((Dashboard!$R$4/$U2542)*VLOOKUP($I2542,Dashboard!$Q$9:$R$13,2,FALSE)*IF(ISNUMBER(SEARCH("Duals",$B2542)),2,IF(ISNUMBER(SEARCH("Triples",$B2542)),3,IF(ISNUMBER(SEARCH("Quads",$B2542)),4,1))),2),ROUND(VLOOKUP($I2542,Dashboard!$Q$15:$R$20,2,FALSE)*IF($E2542="Red",Dashboard!$R$6,IF($E2542="Gold",Dashboard!$R$7,Dashboard!$R$5))*IF(ISNUMBER(SEARCH("Duals",$B2542)),2,IF(ISNUMBER(SEARCH("Triples",$B2542)),3,IF(ISNUMBER(SEARCH("Quads",$B2542)),4,1))),2))*IF(IFERROR(VLOOKUP($B2542,Dashboard!$Q$28:$S$60,3,FALSE),0)&gt;0,VLOOKUP($B2542,Dashboard!$Q$28:$S$60,3,FALSE),1))),0))</f>
        <v>11</v>
      </c>
      <c r="K2542" s="2" t="str">
        <f>IF('Action Figures'!D36="","",'Action Figures'!D36)</f>
        <v/>
      </c>
      <c r="L2542" s="2">
        <f t="shared" si="507"/>
        <v>0</v>
      </c>
      <c r="M2542" s="2">
        <f t="shared" si="508"/>
        <v>0</v>
      </c>
      <c r="N2542" s="2">
        <f t="shared" si="509"/>
        <v>0</v>
      </c>
      <c r="O2542" s="2">
        <f t="shared" si="510"/>
        <v>1</v>
      </c>
      <c r="P2542" s="112">
        <f t="shared" si="511"/>
        <v>0</v>
      </c>
      <c r="Q2542" s="112">
        <f t="shared" si="512"/>
        <v>0</v>
      </c>
      <c r="R2542" s="53"/>
      <c r="S2542" s="53" t="str">
        <f t="shared" si="513"/>
        <v>Action Figures|Action Figures Autographs|AF-DM|Autograph</v>
      </c>
      <c r="T2542" s="57">
        <f>IF($S2542="","",IFERROR(VLOOKUP($S2542,'Pop Estimates (Non-#d)'!$N$2:$O$500,2,FALSE),""))</f>
        <v>204</v>
      </c>
      <c r="U2542" s="57">
        <f t="shared" si="514"/>
        <v>204</v>
      </c>
      <c r="V2542" s="53" t="str">
        <f t="shared" si="515"/>
        <v>Queen Maeve</v>
      </c>
      <c r="W2542" s="53" t="str">
        <f t="shared" si="516"/>
        <v>Queen Maeve</v>
      </c>
      <c r="X2542" s="53" t="str">
        <f t="shared" si="517"/>
        <v>Queen Maeve</v>
      </c>
      <c r="Y2542" s="57">
        <f>IF($X2542="","",IFERROR(VLOOKUP($X2542,'Char Popularity'!$A$2:$C$500,2,FALSE),""))</f>
        <v>4</v>
      </c>
      <c r="Z2542" s="56">
        <f>IF($X2542="",1,IFERROR(VLOOKUP($X2542,'Char Popularity'!$A$2:$C$500,3,FALSE),1))</f>
        <v>1.1000000000000001</v>
      </c>
      <c r="AA2542" s="62">
        <f>IF($H2542&lt;&gt;"Y",0,(IF($F2542&lt;&gt;"",ROUND(Dashboard!$R$4/$F2542,1),IF(AND($I2542="Base",$E2542="Base"),Dashboard!$R$5,IF(AND($I2542="Base",$E2542="Red"),Dashboard!$R$6,IF(AND($I2542="Base",$E2542="Gold"),Dashboard!$R$7,VLOOKUP($I2542,Dashboard!$Q$16:$R$21,2,FALSE)))))*VLOOKUP($I2542,Dashboard!$Q$9:$R$13,2,FALSE)*IF(AND($I2542="Auto",$F2542="",OR($B2542="Autographs Duals",$B2542="Autographs Triples",$B2542="Autographs Quads",$B2542="Autographs Quads (Inscribed)")),IF($B2542="Autographs Duals",2,IF($B2542="Autographs Triples",3,4)),1)))</f>
        <v>50</v>
      </c>
      <c r="AB2542" s="62">
        <f t="shared" si="518"/>
        <v>0</v>
      </c>
      <c r="AC2542" s="62">
        <f t="shared" si="519"/>
        <v>0</v>
      </c>
    </row>
    <row r="2543" spans="1:29" ht="42.95" customHeight="1" x14ac:dyDescent="0.25">
      <c r="A2543" s="4" t="s">
        <v>41</v>
      </c>
      <c r="B2543" s="7" t="s">
        <v>129</v>
      </c>
      <c r="C2543" s="2" t="s">
        <v>374</v>
      </c>
      <c r="D2543" s="7" t="s">
        <v>248</v>
      </c>
      <c r="E2543" s="4" t="s">
        <v>368</v>
      </c>
      <c r="F2543" s="2"/>
      <c r="G2543" s="2" t="s">
        <v>1399</v>
      </c>
      <c r="H2543" s="2" t="s">
        <v>1400</v>
      </c>
      <c r="I2543" s="4" t="s">
        <v>68</v>
      </c>
      <c r="J2543" s="112">
        <f>IF($H2543&lt;&gt;"Y",0,ROUND(MIN(Dashboard!$R$24,IF(IFERROR(VLOOKUP($B2543,Dashboard!$Q$28:$S$60,2,FALSE),0)&gt;0,IFERROR(VLOOKUP($B2543,Dashboard!$Q$28:$S$60,2,FALSE),0),$Z2543*IF($U2543&lt;&gt;"",ROUND((Dashboard!$R$4/$U2543)*VLOOKUP($I2543,Dashboard!$Q$9:$R$13,2,FALSE)*IF(ISNUMBER(SEARCH("Duals",$B2543)),2,IF(ISNUMBER(SEARCH("Triples",$B2543)),3,IF(ISNUMBER(SEARCH("Quads",$B2543)),4,1))),2),ROUND(VLOOKUP($I2543,Dashboard!$Q$15:$R$20,2,FALSE)*IF($E2543="Red",Dashboard!$R$6,IF($E2543="Gold",Dashboard!$R$7,Dashboard!$R$5))*IF(ISNUMBER(SEARCH("Duals",$B2543)),2,IF(ISNUMBER(SEARCH("Triples",$B2543)),3,IF(ISNUMBER(SEARCH("Quads",$B2543)),4,1))),2))*IF(IFERROR(VLOOKUP($B2543,Dashboard!$Q$28:$S$60,3,FALSE),0)&gt;0,VLOOKUP($B2543,Dashboard!$Q$28:$S$60,3,FALSE),1))),0))</f>
        <v>12</v>
      </c>
      <c r="K2543" s="2" t="str">
        <f>IF('Action Figures'!D37="","",'Action Figures'!D37)</f>
        <v/>
      </c>
      <c r="L2543" s="2">
        <f t="shared" si="507"/>
        <v>0</v>
      </c>
      <c r="M2543" s="2">
        <f t="shared" si="508"/>
        <v>0</v>
      </c>
      <c r="N2543" s="2">
        <f t="shared" si="509"/>
        <v>0</v>
      </c>
      <c r="O2543" s="2">
        <f t="shared" si="510"/>
        <v>1</v>
      </c>
      <c r="P2543" s="112">
        <f t="shared" si="511"/>
        <v>0</v>
      </c>
      <c r="Q2543" s="112">
        <f t="shared" si="512"/>
        <v>0</v>
      </c>
      <c r="R2543" s="53"/>
      <c r="S2543" s="53" t="str">
        <f t="shared" si="513"/>
        <v>Action Figures|Action Figures Autographs|AF-EM|Autograph</v>
      </c>
      <c r="T2543" s="57">
        <f>IF($S2543="","",IFERROR(VLOOKUP($S2543,'Pop Estimates (Non-#d)'!$N$2:$O$500,2,FALSE),""))</f>
        <v>204</v>
      </c>
      <c r="U2543" s="57">
        <f t="shared" si="514"/>
        <v>204</v>
      </c>
      <c r="V2543" s="53" t="str">
        <f t="shared" si="515"/>
        <v>Starlight</v>
      </c>
      <c r="W2543" s="53" t="str">
        <f t="shared" si="516"/>
        <v>Starlight</v>
      </c>
      <c r="X2543" s="53" t="str">
        <f t="shared" si="517"/>
        <v>Starlight</v>
      </c>
      <c r="Y2543" s="57">
        <f>IF($X2543="","",IFERROR(VLOOKUP($X2543,'Char Popularity'!$A$2:$C$500,2,FALSE),""))</f>
        <v>5</v>
      </c>
      <c r="Z2543" s="56">
        <f>IF($X2543="",1,IFERROR(VLOOKUP($X2543,'Char Popularity'!$A$2:$C$500,3,FALSE),1))</f>
        <v>1.2</v>
      </c>
      <c r="AA2543" s="62">
        <f>IF($H2543&lt;&gt;"Y",0,(IF($F2543&lt;&gt;"",ROUND(Dashboard!$R$4/$F2543,1),IF(AND($I2543="Base",$E2543="Base"),Dashboard!$R$5,IF(AND($I2543="Base",$E2543="Red"),Dashboard!$R$6,IF(AND($I2543="Base",$E2543="Gold"),Dashboard!$R$7,VLOOKUP($I2543,Dashboard!$Q$16:$R$21,2,FALSE)))))*VLOOKUP($I2543,Dashboard!$Q$9:$R$13,2,FALSE)*IF(AND($I2543="Auto",$F2543="",OR($B2543="Autographs Duals",$B2543="Autographs Triples",$B2543="Autographs Quads",$B2543="Autographs Quads (Inscribed)")),IF($B2543="Autographs Duals",2,IF($B2543="Autographs Triples",3,4)),1)))</f>
        <v>50</v>
      </c>
      <c r="AB2543" s="62">
        <f t="shared" si="518"/>
        <v>0</v>
      </c>
      <c r="AC2543" s="62">
        <f t="shared" si="519"/>
        <v>0</v>
      </c>
    </row>
    <row r="2544" spans="1:29" ht="42.95" customHeight="1" x14ac:dyDescent="0.25">
      <c r="A2544" s="4" t="s">
        <v>41</v>
      </c>
      <c r="B2544" s="7" t="s">
        <v>129</v>
      </c>
      <c r="C2544" s="2" t="s">
        <v>375</v>
      </c>
      <c r="D2544" s="7" t="s">
        <v>250</v>
      </c>
      <c r="E2544" s="4" t="s">
        <v>368</v>
      </c>
      <c r="F2544" s="2"/>
      <c r="G2544" s="2" t="s">
        <v>1399</v>
      </c>
      <c r="H2544" s="2" t="s">
        <v>1400</v>
      </c>
      <c r="I2544" s="4" t="s">
        <v>68</v>
      </c>
      <c r="J2544" s="112">
        <f>IF($H2544&lt;&gt;"Y",0,ROUND(MIN(Dashboard!$R$24,IF(IFERROR(VLOOKUP($B2544,Dashboard!$Q$28:$S$60,2,FALSE),0)&gt;0,IFERROR(VLOOKUP($B2544,Dashboard!$Q$28:$S$60,2,FALSE),0),$Z2544*IF($U2544&lt;&gt;"",ROUND((Dashboard!$R$4/$U2544)*VLOOKUP($I2544,Dashboard!$Q$9:$R$13,2,FALSE)*IF(ISNUMBER(SEARCH("Duals",$B2544)),2,IF(ISNUMBER(SEARCH("Triples",$B2544)),3,IF(ISNUMBER(SEARCH("Quads",$B2544)),4,1))),2),ROUND(VLOOKUP($I2544,Dashboard!$Q$15:$R$20,2,FALSE)*IF($E2544="Red",Dashboard!$R$6,IF($E2544="Gold",Dashboard!$R$7,Dashboard!$R$5))*IF(ISNUMBER(SEARCH("Duals",$B2544)),2,IF(ISNUMBER(SEARCH("Triples",$B2544)),3,IF(ISNUMBER(SEARCH("Quads",$B2544)),4,1))),2))*IF(IFERROR(VLOOKUP($B2544,Dashboard!$Q$28:$S$60,3,FALSE),0)&gt;0,VLOOKUP($B2544,Dashboard!$Q$28:$S$60,3,FALSE),1))),0))</f>
        <v>10</v>
      </c>
      <c r="K2544" s="2" t="str">
        <f>IF('Action Figures'!D38="","",'Action Figures'!D38)</f>
        <v/>
      </c>
      <c r="L2544" s="2">
        <f t="shared" si="507"/>
        <v>0</v>
      </c>
      <c r="M2544" s="2">
        <f t="shared" si="508"/>
        <v>0</v>
      </c>
      <c r="N2544" s="2">
        <f t="shared" si="509"/>
        <v>0</v>
      </c>
      <c r="O2544" s="2">
        <f t="shared" si="510"/>
        <v>1</v>
      </c>
      <c r="P2544" s="112">
        <f t="shared" si="511"/>
        <v>0</v>
      </c>
      <c r="Q2544" s="112">
        <f t="shared" si="512"/>
        <v>0</v>
      </c>
      <c r="R2544" s="53"/>
      <c r="S2544" s="53" t="str">
        <f t="shared" si="513"/>
        <v>Action Figures|Action Figures Autographs|AF-ES|Autograph</v>
      </c>
      <c r="T2544" s="57">
        <f>IF($S2544="","",IFERROR(VLOOKUP($S2544,'Pop Estimates (Non-#d)'!$N$2:$O$500,2,FALSE),""))</f>
        <v>204</v>
      </c>
      <c r="U2544" s="57">
        <f t="shared" si="514"/>
        <v>204</v>
      </c>
      <c r="V2544" s="53" t="str">
        <f t="shared" si="515"/>
        <v>Madelyn Stillwell</v>
      </c>
      <c r="W2544" s="53" t="str">
        <f t="shared" si="516"/>
        <v>Madelyn Stillwell</v>
      </c>
      <c r="X2544" s="53" t="str">
        <f t="shared" si="517"/>
        <v>Madelyn Stillwell</v>
      </c>
      <c r="Y2544" s="57">
        <f>IF($X2544="","",IFERROR(VLOOKUP($X2544,'Char Popularity'!$A$2:$C$500,2,FALSE),""))</f>
        <v>3</v>
      </c>
      <c r="Z2544" s="56">
        <f>IF($X2544="",1,IFERROR(VLOOKUP($X2544,'Char Popularity'!$A$2:$C$500,3,FALSE),1))</f>
        <v>1</v>
      </c>
      <c r="AA2544" s="62">
        <f>IF($H2544&lt;&gt;"Y",0,(IF($F2544&lt;&gt;"",ROUND(Dashboard!$R$4/$F2544,1),IF(AND($I2544="Base",$E2544="Base"),Dashboard!$R$5,IF(AND($I2544="Base",$E2544="Red"),Dashboard!$R$6,IF(AND($I2544="Base",$E2544="Gold"),Dashboard!$R$7,VLOOKUP($I2544,Dashboard!$Q$16:$R$21,2,FALSE)))))*VLOOKUP($I2544,Dashboard!$Q$9:$R$13,2,FALSE)*IF(AND($I2544="Auto",$F2544="",OR($B2544="Autographs Duals",$B2544="Autographs Triples",$B2544="Autographs Quads",$B2544="Autographs Quads (Inscribed)")),IF($B2544="Autographs Duals",2,IF($B2544="Autographs Triples",3,4)),1)))</f>
        <v>50</v>
      </c>
      <c r="AB2544" s="62">
        <f t="shared" si="518"/>
        <v>0</v>
      </c>
      <c r="AC2544" s="62">
        <f t="shared" si="519"/>
        <v>0</v>
      </c>
    </row>
    <row r="2545" spans="1:29" ht="42.95" customHeight="1" x14ac:dyDescent="0.25">
      <c r="A2545" s="4" t="s">
        <v>41</v>
      </c>
      <c r="B2545" s="7" t="s">
        <v>129</v>
      </c>
      <c r="C2545" s="2" t="s">
        <v>376</v>
      </c>
      <c r="D2545" s="7" t="s">
        <v>263</v>
      </c>
      <c r="E2545" s="4" t="s">
        <v>368</v>
      </c>
      <c r="F2545" s="2"/>
      <c r="G2545" s="2" t="s">
        <v>1399</v>
      </c>
      <c r="H2545" s="2" t="s">
        <v>1400</v>
      </c>
      <c r="I2545" s="4" t="s">
        <v>68</v>
      </c>
      <c r="J2545" s="112">
        <f>IF($H2545&lt;&gt;"Y",0,ROUND(MIN(Dashboard!$R$24,IF(IFERROR(VLOOKUP($B2545,Dashboard!$Q$28:$S$60,2,FALSE),0)&gt;0,IFERROR(VLOOKUP($B2545,Dashboard!$Q$28:$S$60,2,FALSE),0),$Z2545*IF($U2545&lt;&gt;"",ROUND((Dashboard!$R$4/$U2545)*VLOOKUP($I2545,Dashboard!$Q$9:$R$13,2,FALSE)*IF(ISNUMBER(SEARCH("Duals",$B2545)),2,IF(ISNUMBER(SEARCH("Triples",$B2545)),3,IF(ISNUMBER(SEARCH("Quads",$B2545)),4,1))),2),ROUND(VLOOKUP($I2545,Dashboard!$Q$15:$R$20,2,FALSE)*IF($E2545="Red",Dashboard!$R$6,IF($E2545="Gold",Dashboard!$R$7,Dashboard!$R$5))*IF(ISNUMBER(SEARCH("Duals",$B2545)),2,IF(ISNUMBER(SEARCH("Triples",$B2545)),3,IF(ISNUMBER(SEARCH("Quads",$B2545)),4,1))),2))*IF(IFERROR(VLOOKUP($B2545,Dashboard!$Q$28:$S$60,3,FALSE),0)&gt;0,VLOOKUP($B2545,Dashboard!$Q$28:$S$60,3,FALSE),1))),0))</f>
        <v>12</v>
      </c>
      <c r="K2545" s="2" t="str">
        <f>IF('Action Figures'!D39="","",'Action Figures'!D39)</f>
        <v>V</v>
      </c>
      <c r="L2545" s="2">
        <f t="shared" si="507"/>
        <v>1</v>
      </c>
      <c r="M2545" s="2">
        <f t="shared" si="508"/>
        <v>0</v>
      </c>
      <c r="N2545" s="2">
        <f t="shared" si="509"/>
        <v>1</v>
      </c>
      <c r="O2545" s="2">
        <f t="shared" si="510"/>
        <v>0</v>
      </c>
      <c r="P2545" s="112">
        <f t="shared" si="511"/>
        <v>12</v>
      </c>
      <c r="Q2545" s="112">
        <f t="shared" si="512"/>
        <v>0</v>
      </c>
      <c r="R2545" s="53"/>
      <c r="S2545" s="53" t="str">
        <f t="shared" si="513"/>
        <v>Action Figures|Action Figures Autographs|AF-JQ|Autograph</v>
      </c>
      <c r="T2545" s="57">
        <f>IF($S2545="","",IFERROR(VLOOKUP($S2545,'Pop Estimates (Non-#d)'!$N$2:$O$500,2,FALSE),""))</f>
        <v>204</v>
      </c>
      <c r="U2545" s="57">
        <f t="shared" si="514"/>
        <v>204</v>
      </c>
      <c r="V2545" s="53" t="str">
        <f t="shared" si="515"/>
        <v>Hughie Campbell</v>
      </c>
      <c r="W2545" s="53" t="str">
        <f t="shared" si="516"/>
        <v>Hughie Campbell</v>
      </c>
      <c r="X2545" s="53" t="str">
        <f t="shared" si="517"/>
        <v>Hughie Campbell</v>
      </c>
      <c r="Y2545" s="57">
        <f>IF($X2545="","",IFERROR(VLOOKUP($X2545,'Char Popularity'!$A$2:$C$500,2,FALSE),""))</f>
        <v>5</v>
      </c>
      <c r="Z2545" s="56">
        <f>IF($X2545="",1,IFERROR(VLOOKUP($X2545,'Char Popularity'!$A$2:$C$500,3,FALSE),1))</f>
        <v>1.2</v>
      </c>
      <c r="AA2545" s="62">
        <f>IF($H2545&lt;&gt;"Y",0,(IF($F2545&lt;&gt;"",ROUND(Dashboard!$R$4/$F2545,1),IF(AND($I2545="Base",$E2545="Base"),Dashboard!$R$5,IF(AND($I2545="Base",$E2545="Red"),Dashboard!$R$6,IF(AND($I2545="Base",$E2545="Gold"),Dashboard!$R$7,VLOOKUP($I2545,Dashboard!$Q$16:$R$21,2,FALSE)))))*VLOOKUP($I2545,Dashboard!$Q$9:$R$13,2,FALSE)*IF(AND($I2545="Auto",$F2545="",OR($B2545="Autographs Duals",$B2545="Autographs Triples",$B2545="Autographs Quads",$B2545="Autographs Quads (Inscribed)")),IF($B2545="Autographs Duals",2,IF($B2545="Autographs Triples",3,4)),1)))</f>
        <v>50</v>
      </c>
      <c r="AB2545" s="62">
        <f t="shared" si="518"/>
        <v>50</v>
      </c>
      <c r="AC2545" s="62">
        <f t="shared" si="519"/>
        <v>0</v>
      </c>
    </row>
    <row r="2546" spans="1:29" ht="42.95" customHeight="1" x14ac:dyDescent="0.25">
      <c r="A2546" s="4" t="s">
        <v>41</v>
      </c>
      <c r="B2546" s="7" t="s">
        <v>129</v>
      </c>
      <c r="C2546" s="2" t="s">
        <v>377</v>
      </c>
      <c r="D2546" s="7" t="s">
        <v>267</v>
      </c>
      <c r="E2546" s="4" t="s">
        <v>368</v>
      </c>
      <c r="F2546" s="2"/>
      <c r="G2546" s="2" t="s">
        <v>1399</v>
      </c>
      <c r="H2546" s="2" t="s">
        <v>1400</v>
      </c>
      <c r="I2546" s="4" t="s">
        <v>68</v>
      </c>
      <c r="J2546" s="112">
        <f>IF($H2546&lt;&gt;"Y",0,ROUND(MIN(Dashboard!$R$24,IF(IFERROR(VLOOKUP($B2546,Dashboard!$Q$28:$S$60,2,FALSE),0)&gt;0,IFERROR(VLOOKUP($B2546,Dashboard!$Q$28:$S$60,2,FALSE),0),$Z2546*IF($U2546&lt;&gt;"",ROUND((Dashboard!$R$4/$U2546)*VLOOKUP($I2546,Dashboard!$Q$9:$R$13,2,FALSE)*IF(ISNUMBER(SEARCH("Duals",$B2546)),2,IF(ISNUMBER(SEARCH("Triples",$B2546)),3,IF(ISNUMBER(SEARCH("Quads",$B2546)),4,1))),2),ROUND(VLOOKUP($I2546,Dashboard!$Q$15:$R$20,2,FALSE)*IF($E2546="Red",Dashboard!$R$6,IF($E2546="Gold",Dashboard!$R$7,Dashboard!$R$5))*IF(ISNUMBER(SEARCH("Duals",$B2546)),2,IF(ISNUMBER(SEARCH("Triples",$B2546)),3,IF(ISNUMBER(SEARCH("Quads",$B2546)),4,1))),2))*IF(IFERROR(VLOOKUP($B2546,Dashboard!$Q$28:$S$60,3,FALSE),0)&gt;0,VLOOKUP($B2546,Dashboard!$Q$28:$S$60,3,FALSE),1))),0))</f>
        <v>11</v>
      </c>
      <c r="K2546" s="2" t="str">
        <f>IF('Action Figures'!D40="","",'Action Figures'!D40)</f>
        <v/>
      </c>
      <c r="L2546" s="2">
        <f t="shared" si="507"/>
        <v>0</v>
      </c>
      <c r="M2546" s="2">
        <f t="shared" si="508"/>
        <v>0</v>
      </c>
      <c r="N2546" s="2">
        <f t="shared" si="509"/>
        <v>0</v>
      </c>
      <c r="O2546" s="2">
        <f t="shared" si="510"/>
        <v>1</v>
      </c>
      <c r="P2546" s="112">
        <f t="shared" si="511"/>
        <v>0</v>
      </c>
      <c r="Q2546" s="112">
        <f t="shared" si="512"/>
        <v>0</v>
      </c>
      <c r="R2546" s="53"/>
      <c r="S2546" s="53" t="str">
        <f t="shared" si="513"/>
        <v>Action Figures|Action Figures Autographs|AF-JT|Autograph</v>
      </c>
      <c r="T2546" s="57">
        <f>IF($S2546="","",IFERROR(VLOOKUP($S2546,'Pop Estimates (Non-#d)'!$N$2:$O$500,2,FALSE),""))</f>
        <v>204</v>
      </c>
      <c r="U2546" s="57">
        <f t="shared" si="514"/>
        <v>204</v>
      </c>
      <c r="V2546" s="53" t="str">
        <f t="shared" si="515"/>
        <v>A-Train</v>
      </c>
      <c r="W2546" s="53" t="str">
        <f t="shared" si="516"/>
        <v>A-Train</v>
      </c>
      <c r="X2546" s="53" t="str">
        <f t="shared" si="517"/>
        <v>A-Train</v>
      </c>
      <c r="Y2546" s="57">
        <f>IF($X2546="","",IFERROR(VLOOKUP($X2546,'Char Popularity'!$A$2:$C$500,2,FALSE),""))</f>
        <v>4</v>
      </c>
      <c r="Z2546" s="56">
        <f>IF($X2546="",1,IFERROR(VLOOKUP($X2546,'Char Popularity'!$A$2:$C$500,3,FALSE),1))</f>
        <v>1.1000000000000001</v>
      </c>
      <c r="AA2546" s="62">
        <f>IF($H2546&lt;&gt;"Y",0,(IF($F2546&lt;&gt;"",ROUND(Dashboard!$R$4/$F2546,1),IF(AND($I2546="Base",$E2546="Base"),Dashboard!$R$5,IF(AND($I2546="Base",$E2546="Red"),Dashboard!$R$6,IF(AND($I2546="Base",$E2546="Gold"),Dashboard!$R$7,VLOOKUP($I2546,Dashboard!$Q$16:$R$21,2,FALSE)))))*VLOOKUP($I2546,Dashboard!$Q$9:$R$13,2,FALSE)*IF(AND($I2546="Auto",$F2546="",OR($B2546="Autographs Duals",$B2546="Autographs Triples",$B2546="Autographs Quads",$B2546="Autographs Quads (Inscribed)")),IF($B2546="Autographs Duals",2,IF($B2546="Autographs Triples",3,4)),1)))</f>
        <v>50</v>
      </c>
      <c r="AB2546" s="62">
        <f t="shared" si="518"/>
        <v>0</v>
      </c>
      <c r="AC2546" s="62">
        <f t="shared" si="519"/>
        <v>0</v>
      </c>
    </row>
    <row r="2547" spans="1:29" ht="42.95" customHeight="1" x14ac:dyDescent="0.25">
      <c r="A2547" s="4" t="s">
        <v>41</v>
      </c>
      <c r="B2547" s="7" t="s">
        <v>129</v>
      </c>
      <c r="C2547" s="2" t="s">
        <v>378</v>
      </c>
      <c r="D2547" s="7" t="s">
        <v>270</v>
      </c>
      <c r="E2547" s="4" t="s">
        <v>368</v>
      </c>
      <c r="F2547" s="2"/>
      <c r="G2547" s="2" t="s">
        <v>1399</v>
      </c>
      <c r="H2547" s="2" t="s">
        <v>1400</v>
      </c>
      <c r="I2547" s="4" t="s">
        <v>68</v>
      </c>
      <c r="J2547" s="112">
        <f>IF($H2547&lt;&gt;"Y",0,ROUND(MIN(Dashboard!$R$24,IF(IFERROR(VLOOKUP($B2547,Dashboard!$Q$28:$S$60,2,FALSE),0)&gt;0,IFERROR(VLOOKUP($B2547,Dashboard!$Q$28:$S$60,2,FALSE),0),$Z2547*IF($U2547&lt;&gt;"",ROUND((Dashboard!$R$4/$U2547)*VLOOKUP($I2547,Dashboard!$Q$9:$R$13,2,FALSE)*IF(ISNUMBER(SEARCH("Duals",$B2547)),2,IF(ISNUMBER(SEARCH("Triples",$B2547)),3,IF(ISNUMBER(SEARCH("Quads",$B2547)),4,1))),2),ROUND(VLOOKUP($I2547,Dashboard!$Q$15:$R$20,2,FALSE)*IF($E2547="Red",Dashboard!$R$6,IF($E2547="Gold",Dashboard!$R$7,Dashboard!$R$5))*IF(ISNUMBER(SEARCH("Duals",$B2547)),2,IF(ISNUMBER(SEARCH("Triples",$B2547)),3,IF(ISNUMBER(SEARCH("Quads",$B2547)),4,1))),2))*IF(IFERROR(VLOOKUP($B2547,Dashboard!$Q$28:$S$60,3,FALSE),0)&gt;0,VLOOKUP($B2547,Dashboard!$Q$28:$S$60,3,FALSE),1))),0))</f>
        <v>11</v>
      </c>
      <c r="K2547" s="2" t="str">
        <f>IF('Action Figures'!D41="","",'Action Figures'!D41)</f>
        <v/>
      </c>
      <c r="L2547" s="2">
        <f t="shared" si="507"/>
        <v>0</v>
      </c>
      <c r="M2547" s="2">
        <f t="shared" si="508"/>
        <v>0</v>
      </c>
      <c r="N2547" s="2">
        <f t="shared" si="509"/>
        <v>0</v>
      </c>
      <c r="O2547" s="2">
        <f t="shared" si="510"/>
        <v>1</v>
      </c>
      <c r="P2547" s="112">
        <f t="shared" si="511"/>
        <v>0</v>
      </c>
      <c r="Q2547" s="112">
        <f t="shared" si="512"/>
        <v>0</v>
      </c>
      <c r="R2547" s="53"/>
      <c r="S2547" s="53" t="str">
        <f t="shared" si="513"/>
        <v>Action Figures|Action Figures Autographs|AF-KF|Autograph</v>
      </c>
      <c r="T2547" s="57">
        <f>IF($S2547="","",IFERROR(VLOOKUP($S2547,'Pop Estimates (Non-#d)'!$N$2:$O$500,2,FALSE),""))</f>
        <v>204</v>
      </c>
      <c r="U2547" s="57">
        <f t="shared" si="514"/>
        <v>204</v>
      </c>
      <c r="V2547" s="53" t="str">
        <f t="shared" si="515"/>
        <v>Kimiko</v>
      </c>
      <c r="W2547" s="53" t="str">
        <f t="shared" si="516"/>
        <v>Kimiko</v>
      </c>
      <c r="X2547" s="53" t="str">
        <f t="shared" si="517"/>
        <v>Kimiko</v>
      </c>
      <c r="Y2547" s="57">
        <f>IF($X2547="","",IFERROR(VLOOKUP($X2547,'Char Popularity'!$A$2:$C$500,2,FALSE),""))</f>
        <v>4</v>
      </c>
      <c r="Z2547" s="56">
        <f>IF($X2547="",1,IFERROR(VLOOKUP($X2547,'Char Popularity'!$A$2:$C$500,3,FALSE),1))</f>
        <v>1.1000000000000001</v>
      </c>
      <c r="AA2547" s="62">
        <f>IF($H2547&lt;&gt;"Y",0,(IF($F2547&lt;&gt;"",ROUND(Dashboard!$R$4/$F2547,1),IF(AND($I2547="Base",$E2547="Base"),Dashboard!$R$5,IF(AND($I2547="Base",$E2547="Red"),Dashboard!$R$6,IF(AND($I2547="Base",$E2547="Gold"),Dashboard!$R$7,VLOOKUP($I2547,Dashboard!$Q$16:$R$21,2,FALSE)))))*VLOOKUP($I2547,Dashboard!$Q$9:$R$13,2,FALSE)*IF(AND($I2547="Auto",$F2547="",OR($B2547="Autographs Duals",$B2547="Autographs Triples",$B2547="Autographs Quads",$B2547="Autographs Quads (Inscribed)")),IF($B2547="Autographs Duals",2,IF($B2547="Autographs Triples",3,4)),1)))</f>
        <v>50</v>
      </c>
      <c r="AB2547" s="62">
        <f t="shared" si="518"/>
        <v>0</v>
      </c>
      <c r="AC2547" s="62">
        <f t="shared" si="519"/>
        <v>0</v>
      </c>
    </row>
    <row r="2548" spans="1:29" ht="42.95" customHeight="1" x14ac:dyDescent="0.25">
      <c r="A2548" s="4" t="s">
        <v>41</v>
      </c>
      <c r="B2548" s="7" t="s">
        <v>129</v>
      </c>
      <c r="C2548" s="2" t="s">
        <v>379</v>
      </c>
      <c r="D2548" s="7" t="s">
        <v>276</v>
      </c>
      <c r="E2548" s="4" t="s">
        <v>368</v>
      </c>
      <c r="F2548" s="2"/>
      <c r="G2548" s="2" t="s">
        <v>1399</v>
      </c>
      <c r="H2548" s="2" t="s">
        <v>1400</v>
      </c>
      <c r="I2548" s="4" t="s">
        <v>68</v>
      </c>
      <c r="J2548" s="112">
        <f>IF($H2548&lt;&gt;"Y",0,ROUND(MIN(Dashboard!$R$24,IF(IFERROR(VLOOKUP($B2548,Dashboard!$Q$28:$S$60,2,FALSE),0)&gt;0,IFERROR(VLOOKUP($B2548,Dashboard!$Q$28:$S$60,2,FALSE),0),$Z2548*IF($U2548&lt;&gt;"",ROUND((Dashboard!$R$4/$U2548)*VLOOKUP($I2548,Dashboard!$Q$9:$R$13,2,FALSE)*IF(ISNUMBER(SEARCH("Duals",$B2548)),2,IF(ISNUMBER(SEARCH("Triples",$B2548)),3,IF(ISNUMBER(SEARCH("Quads",$B2548)),4,1))),2),ROUND(VLOOKUP($I2548,Dashboard!$Q$15:$R$20,2,FALSE)*IF($E2548="Red",Dashboard!$R$6,IF($E2548="Gold",Dashboard!$R$7,Dashboard!$R$5))*IF(ISNUMBER(SEARCH("Duals",$B2548)),2,IF(ISNUMBER(SEARCH("Triples",$B2548)),3,IF(ISNUMBER(SEARCH("Quads",$B2548)),4,1))),2))*IF(IFERROR(VLOOKUP($B2548,Dashboard!$Q$28:$S$60,3,FALSE),0)&gt;0,VLOOKUP($B2548,Dashboard!$Q$28:$S$60,3,FALSE),1))),0))</f>
        <v>11</v>
      </c>
      <c r="K2548" s="2" t="str">
        <f>IF('Action Figures'!D42="","",'Action Figures'!D42)</f>
        <v/>
      </c>
      <c r="L2548" s="2">
        <f t="shared" si="507"/>
        <v>0</v>
      </c>
      <c r="M2548" s="2">
        <f t="shared" si="508"/>
        <v>0</v>
      </c>
      <c r="N2548" s="2">
        <f t="shared" si="509"/>
        <v>0</v>
      </c>
      <c r="O2548" s="2">
        <f t="shared" si="510"/>
        <v>1</v>
      </c>
      <c r="P2548" s="112">
        <f t="shared" si="511"/>
        <v>0</v>
      </c>
      <c r="Q2548" s="112">
        <f t="shared" si="512"/>
        <v>0</v>
      </c>
      <c r="R2548" s="53"/>
      <c r="S2548" s="53" t="str">
        <f t="shared" si="513"/>
        <v>Action Figures|Action Figures Autographs|AF-LA|Autograph</v>
      </c>
      <c r="T2548" s="57">
        <f>IF($S2548="","",IFERROR(VLOOKUP($S2548,'Pop Estimates (Non-#d)'!$N$2:$O$500,2,FALSE),""))</f>
        <v>204</v>
      </c>
      <c r="U2548" s="57">
        <f t="shared" si="514"/>
        <v>204</v>
      </c>
      <c r="V2548" s="53" t="str">
        <f t="shared" si="515"/>
        <v>Mother's Milk</v>
      </c>
      <c r="W2548" s="53" t="str">
        <f t="shared" si="516"/>
        <v>Mother's Milk</v>
      </c>
      <c r="X2548" s="53" t="str">
        <f t="shared" si="517"/>
        <v>Mother's Milk</v>
      </c>
      <c r="Y2548" s="57">
        <f>IF($X2548="","",IFERROR(VLOOKUP($X2548,'Char Popularity'!$A$2:$C$500,2,FALSE),""))</f>
        <v>4</v>
      </c>
      <c r="Z2548" s="56">
        <f>IF($X2548="",1,IFERROR(VLOOKUP($X2548,'Char Popularity'!$A$2:$C$500,3,FALSE),1))</f>
        <v>1.1000000000000001</v>
      </c>
      <c r="AA2548" s="62">
        <f>IF($H2548&lt;&gt;"Y",0,(IF($F2548&lt;&gt;"",ROUND(Dashboard!$R$4/$F2548,1),IF(AND($I2548="Base",$E2548="Base"),Dashboard!$R$5,IF(AND($I2548="Base",$E2548="Red"),Dashboard!$R$6,IF(AND($I2548="Base",$E2548="Gold"),Dashboard!$R$7,VLOOKUP($I2548,Dashboard!$Q$16:$R$21,2,FALSE)))))*VLOOKUP($I2548,Dashboard!$Q$9:$R$13,2,FALSE)*IF(AND($I2548="Auto",$F2548="",OR($B2548="Autographs Duals",$B2548="Autographs Triples",$B2548="Autographs Quads",$B2548="Autographs Quads (Inscribed)")),IF($B2548="Autographs Duals",2,IF($B2548="Autographs Triples",3,4)),1)))</f>
        <v>50</v>
      </c>
      <c r="AB2548" s="62">
        <f t="shared" si="518"/>
        <v>0</v>
      </c>
      <c r="AC2548" s="62">
        <f t="shared" si="519"/>
        <v>0</v>
      </c>
    </row>
    <row r="2549" spans="1:29" ht="42.95" customHeight="1" x14ac:dyDescent="0.25">
      <c r="A2549" s="4" t="s">
        <v>41</v>
      </c>
      <c r="B2549" s="7" t="s">
        <v>129</v>
      </c>
      <c r="C2549" s="2" t="s">
        <v>380</v>
      </c>
      <c r="D2549" s="7" t="s">
        <v>283</v>
      </c>
      <c r="E2549" s="4" t="s">
        <v>368</v>
      </c>
      <c r="F2549" s="2"/>
      <c r="G2549" s="2" t="s">
        <v>1399</v>
      </c>
      <c r="H2549" s="2" t="s">
        <v>1400</v>
      </c>
      <c r="I2549" s="4" t="s">
        <v>68</v>
      </c>
      <c r="J2549" s="112">
        <f>IF($H2549&lt;&gt;"Y",0,ROUND(MIN(Dashboard!$R$24,IF(IFERROR(VLOOKUP($B2549,Dashboard!$Q$28:$S$60,2,FALSE),0)&gt;0,IFERROR(VLOOKUP($B2549,Dashboard!$Q$28:$S$60,2,FALSE),0),$Z2549*IF($U2549&lt;&gt;"",ROUND((Dashboard!$R$4/$U2549)*VLOOKUP($I2549,Dashboard!$Q$9:$R$13,2,FALSE)*IF(ISNUMBER(SEARCH("Duals",$B2549)),2,IF(ISNUMBER(SEARCH("Triples",$B2549)),3,IF(ISNUMBER(SEARCH("Quads",$B2549)),4,1))),2),ROUND(VLOOKUP($I2549,Dashboard!$Q$15:$R$20,2,FALSE)*IF($E2549="Red",Dashboard!$R$6,IF($E2549="Gold",Dashboard!$R$7,Dashboard!$R$5))*IF(ISNUMBER(SEARCH("Duals",$B2549)),2,IF(ISNUMBER(SEARCH("Triples",$B2549)),3,IF(ISNUMBER(SEARCH("Quads",$B2549)),4,1))),2))*IF(IFERROR(VLOOKUP($B2549,Dashboard!$Q$28:$S$60,3,FALSE),0)&gt;0,VLOOKUP($B2549,Dashboard!$Q$28:$S$60,3,FALSE),1))),0))</f>
        <v>11</v>
      </c>
      <c r="K2549" s="2" t="str">
        <f>IF('Action Figures'!D43="","",'Action Figures'!D43)</f>
        <v/>
      </c>
      <c r="L2549" s="2">
        <f t="shared" si="507"/>
        <v>0</v>
      </c>
      <c r="M2549" s="2">
        <f t="shared" si="508"/>
        <v>0</v>
      </c>
      <c r="N2549" s="2">
        <f t="shared" si="509"/>
        <v>0</v>
      </c>
      <c r="O2549" s="2">
        <f t="shared" si="510"/>
        <v>1</v>
      </c>
      <c r="P2549" s="112">
        <f t="shared" si="511"/>
        <v>0</v>
      </c>
      <c r="Q2549" s="112">
        <f t="shared" si="512"/>
        <v>0</v>
      </c>
      <c r="R2549" s="53"/>
      <c r="S2549" s="53" t="str">
        <f t="shared" si="513"/>
        <v>Action Figures|Action Figures Autographs|AF-NM|Autograph</v>
      </c>
      <c r="T2549" s="57">
        <f>IF($S2549="","",IFERROR(VLOOKUP($S2549,'Pop Estimates (Non-#d)'!$N$2:$O$500,2,FALSE),""))</f>
        <v>204</v>
      </c>
      <c r="U2549" s="57">
        <f t="shared" si="514"/>
        <v>204</v>
      </c>
      <c r="V2549" s="53" t="str">
        <f t="shared" si="515"/>
        <v>Black Noir</v>
      </c>
      <c r="W2549" s="53" t="str">
        <f t="shared" si="516"/>
        <v>Black Noir</v>
      </c>
      <c r="X2549" s="53" t="str">
        <f t="shared" si="517"/>
        <v>Black Noir</v>
      </c>
      <c r="Y2549" s="57">
        <f>IF($X2549="","",IFERROR(VLOOKUP($X2549,'Char Popularity'!$A$2:$C$500,2,FALSE),""))</f>
        <v>4</v>
      </c>
      <c r="Z2549" s="56">
        <f>IF($X2549="",1,IFERROR(VLOOKUP($X2549,'Char Popularity'!$A$2:$C$500,3,FALSE),1))</f>
        <v>1.1000000000000001</v>
      </c>
      <c r="AA2549" s="62">
        <f>IF($H2549&lt;&gt;"Y",0,(IF($F2549&lt;&gt;"",ROUND(Dashboard!$R$4/$F2549,1),IF(AND($I2549="Base",$E2549="Base"),Dashboard!$R$5,IF(AND($I2549="Base",$E2549="Red"),Dashboard!$R$6,IF(AND($I2549="Base",$E2549="Gold"),Dashboard!$R$7,VLOOKUP($I2549,Dashboard!$Q$16:$R$21,2,FALSE)))))*VLOOKUP($I2549,Dashboard!$Q$9:$R$13,2,FALSE)*IF(AND($I2549="Auto",$F2549="",OR($B2549="Autographs Duals",$B2549="Autographs Triples",$B2549="Autographs Quads",$B2549="Autographs Quads (Inscribed)")),IF($B2549="Autographs Duals",2,IF($B2549="Autographs Triples",3,4)),1)))</f>
        <v>50</v>
      </c>
      <c r="AB2549" s="62">
        <f t="shared" si="518"/>
        <v>0</v>
      </c>
      <c r="AC2549" s="62">
        <f t="shared" si="519"/>
        <v>0</v>
      </c>
    </row>
    <row r="2550" spans="1:29" ht="42.95" customHeight="1" x14ac:dyDescent="0.25">
      <c r="A2550" s="4" t="s">
        <v>41</v>
      </c>
      <c r="B2550" s="7" t="s">
        <v>129</v>
      </c>
      <c r="C2550" s="2" t="s">
        <v>381</v>
      </c>
      <c r="D2550" s="7" t="s">
        <v>301</v>
      </c>
      <c r="E2550" s="4" t="s">
        <v>368</v>
      </c>
      <c r="F2550" s="2"/>
      <c r="G2550" s="2" t="s">
        <v>1399</v>
      </c>
      <c r="H2550" s="2" t="s">
        <v>1400</v>
      </c>
      <c r="I2550" s="4" t="s">
        <v>68</v>
      </c>
      <c r="J2550" s="112">
        <f>IF($H2550&lt;&gt;"Y",0,ROUND(MIN(Dashboard!$R$24,IF(IFERROR(VLOOKUP($B2550,Dashboard!$Q$28:$S$60,2,FALSE),0)&gt;0,IFERROR(VLOOKUP($B2550,Dashboard!$Q$28:$S$60,2,FALSE),0),$Z2550*IF($U2550&lt;&gt;"",ROUND((Dashboard!$R$4/$U2550)*VLOOKUP($I2550,Dashboard!$Q$9:$R$13,2,FALSE)*IF(ISNUMBER(SEARCH("Duals",$B2550)),2,IF(ISNUMBER(SEARCH("Triples",$B2550)),3,IF(ISNUMBER(SEARCH("Quads",$B2550)),4,1))),2),ROUND(VLOOKUP($I2550,Dashboard!$Q$15:$R$20,2,FALSE)*IF($E2550="Red",Dashboard!$R$6,IF($E2550="Gold",Dashboard!$R$7,Dashboard!$R$5))*IF(ISNUMBER(SEARCH("Duals",$B2550)),2,IF(ISNUMBER(SEARCH("Triples",$B2550)),3,IF(ISNUMBER(SEARCH("Quads",$B2550)),4,1))),2))*IF(IFERROR(VLOOKUP($B2550,Dashboard!$Q$28:$S$60,3,FALSE),0)&gt;0,VLOOKUP($B2550,Dashboard!$Q$28:$S$60,3,FALSE),1))),0))</f>
        <v>9</v>
      </c>
      <c r="K2550" s="2" t="str">
        <f>IF('Action Figures'!D44="","",'Action Figures'!D44)</f>
        <v>V</v>
      </c>
      <c r="L2550" s="2">
        <f t="shared" si="507"/>
        <v>1</v>
      </c>
      <c r="M2550" s="2">
        <f t="shared" si="508"/>
        <v>0</v>
      </c>
      <c r="N2550" s="2">
        <f t="shared" si="509"/>
        <v>1</v>
      </c>
      <c r="O2550" s="2">
        <f t="shared" si="510"/>
        <v>0</v>
      </c>
      <c r="P2550" s="112">
        <f t="shared" si="511"/>
        <v>9</v>
      </c>
      <c r="Q2550" s="112">
        <f t="shared" si="512"/>
        <v>0</v>
      </c>
      <c r="R2550" s="53"/>
      <c r="S2550" s="53" t="str">
        <f t="shared" si="513"/>
        <v>Action Figures|Action Figures Autographs|AF-SA|Autograph</v>
      </c>
      <c r="T2550" s="57">
        <f>IF($S2550="","",IFERROR(VLOOKUP($S2550,'Pop Estimates (Non-#d)'!$N$2:$O$500,2,FALSE),""))</f>
        <v>204</v>
      </c>
      <c r="U2550" s="57">
        <f t="shared" si="514"/>
        <v>204</v>
      </c>
      <c r="V2550" s="53" t="str">
        <f t="shared" si="515"/>
        <v>Lamplighter</v>
      </c>
      <c r="W2550" s="53" t="str">
        <f t="shared" si="516"/>
        <v>Lamplighter</v>
      </c>
      <c r="X2550" s="53" t="str">
        <f t="shared" si="517"/>
        <v>Lamplighter</v>
      </c>
      <c r="Y2550" s="57">
        <f>IF($X2550="","",IFERROR(VLOOKUP($X2550,'Char Popularity'!$A$2:$C$500,2,FALSE),""))</f>
        <v>2</v>
      </c>
      <c r="Z2550" s="56">
        <f>IF($X2550="",1,IFERROR(VLOOKUP($X2550,'Char Popularity'!$A$2:$C$500,3,FALSE),1))</f>
        <v>0.9</v>
      </c>
      <c r="AA2550" s="62">
        <f>IF($H2550&lt;&gt;"Y",0,(IF($F2550&lt;&gt;"",ROUND(Dashboard!$R$4/$F2550,1),IF(AND($I2550="Base",$E2550="Base"),Dashboard!$R$5,IF(AND($I2550="Base",$E2550="Red"),Dashboard!$R$6,IF(AND($I2550="Base",$E2550="Gold"),Dashboard!$R$7,VLOOKUP($I2550,Dashboard!$Q$16:$R$21,2,FALSE)))))*VLOOKUP($I2550,Dashboard!$Q$9:$R$13,2,FALSE)*IF(AND($I2550="Auto",$F2550="",OR($B2550="Autographs Duals",$B2550="Autographs Triples",$B2550="Autographs Quads",$B2550="Autographs Quads (Inscribed)")),IF($B2550="Autographs Duals",2,IF($B2550="Autographs Triples",3,4)),1)))</f>
        <v>50</v>
      </c>
      <c r="AB2550" s="62">
        <f t="shared" si="518"/>
        <v>50</v>
      </c>
      <c r="AC2550" s="62">
        <f t="shared" si="519"/>
        <v>0</v>
      </c>
    </row>
    <row r="2551" spans="1:29" ht="42.95" customHeight="1" x14ac:dyDescent="0.25">
      <c r="A2551" s="4" t="s">
        <v>41</v>
      </c>
      <c r="B2551" s="7" t="s">
        <v>129</v>
      </c>
      <c r="C2551" s="2" t="s">
        <v>382</v>
      </c>
      <c r="D2551" s="7" t="s">
        <v>238</v>
      </c>
      <c r="E2551" s="4" t="s">
        <v>368</v>
      </c>
      <c r="F2551" s="2"/>
      <c r="G2551" s="2" t="s">
        <v>1399</v>
      </c>
      <c r="H2551" s="2" t="s">
        <v>1400</v>
      </c>
      <c r="I2551" s="4" t="s">
        <v>68</v>
      </c>
      <c r="J2551" s="112">
        <f>IF($H2551&lt;&gt;"Y",0,ROUND(MIN(Dashboard!$R$24,IF(IFERROR(VLOOKUP($B2551,Dashboard!$Q$28:$S$60,2,FALSE),0)&gt;0,IFERROR(VLOOKUP($B2551,Dashboard!$Q$28:$S$60,2,FALSE),0),$Z2551*IF($U2551&lt;&gt;"",ROUND((Dashboard!$R$4/$U2551)*VLOOKUP($I2551,Dashboard!$Q$9:$R$13,2,FALSE)*IF(ISNUMBER(SEARCH("Duals",$B2551)),2,IF(ISNUMBER(SEARCH("Triples",$B2551)),3,IF(ISNUMBER(SEARCH("Quads",$B2551)),4,1))),2),ROUND(VLOOKUP($I2551,Dashboard!$Q$15:$R$20,2,FALSE)*IF($E2551="Red",Dashboard!$R$6,IF($E2551="Gold",Dashboard!$R$7,Dashboard!$R$5))*IF(ISNUMBER(SEARCH("Duals",$B2551)),2,IF(ISNUMBER(SEARCH("Triples",$B2551)),3,IF(ISNUMBER(SEARCH("Quads",$B2551)),4,1))),2))*IF(IFERROR(VLOOKUP($B2551,Dashboard!$Q$28:$S$60,3,FALSE),0)&gt;0,VLOOKUP($B2551,Dashboard!$Q$28:$S$60,3,FALSE),1))),0))</f>
        <v>11</v>
      </c>
      <c r="K2551" s="2" t="str">
        <f>IF('Action Figures'!D45="","",'Action Figures'!D45)</f>
        <v/>
      </c>
      <c r="L2551" s="2">
        <f t="shared" si="507"/>
        <v>0</v>
      </c>
      <c r="M2551" s="2">
        <f t="shared" si="508"/>
        <v>0</v>
      </c>
      <c r="N2551" s="2">
        <f t="shared" si="509"/>
        <v>0</v>
      </c>
      <c r="O2551" s="2">
        <f t="shared" si="510"/>
        <v>1</v>
      </c>
      <c r="P2551" s="112">
        <f t="shared" si="511"/>
        <v>0</v>
      </c>
      <c r="Q2551" s="112">
        <f t="shared" si="512"/>
        <v>0</v>
      </c>
      <c r="R2551" s="53"/>
      <c r="S2551" s="53" t="str">
        <f t="shared" si="513"/>
        <v>Action Figures|Action Figures Autographs|AF-TC|Autograph</v>
      </c>
      <c r="T2551" s="57">
        <f>IF($S2551="","",IFERROR(VLOOKUP($S2551,'Pop Estimates (Non-#d)'!$N$2:$O$500,2,FALSE),""))</f>
        <v>204</v>
      </c>
      <c r="U2551" s="57">
        <f t="shared" si="514"/>
        <v>204</v>
      </c>
      <c r="V2551" s="53" t="str">
        <f t="shared" si="515"/>
        <v>Frenchie</v>
      </c>
      <c r="W2551" s="53" t="str">
        <f t="shared" si="516"/>
        <v>Frenchie</v>
      </c>
      <c r="X2551" s="53" t="str">
        <f t="shared" si="517"/>
        <v>Frenchie</v>
      </c>
      <c r="Y2551" s="57">
        <f>IF($X2551="","",IFERROR(VLOOKUP($X2551,'Char Popularity'!$A$2:$C$500,2,FALSE),""))</f>
        <v>4</v>
      </c>
      <c r="Z2551" s="56">
        <f>IF($X2551="",1,IFERROR(VLOOKUP($X2551,'Char Popularity'!$A$2:$C$500,3,FALSE),1))</f>
        <v>1.1000000000000001</v>
      </c>
      <c r="AA2551" s="62">
        <f>IF($H2551&lt;&gt;"Y",0,(IF($F2551&lt;&gt;"",ROUND(Dashboard!$R$4/$F2551,1),IF(AND($I2551="Base",$E2551="Base"),Dashboard!$R$5,IF(AND($I2551="Base",$E2551="Red"),Dashboard!$R$6,IF(AND($I2551="Base",$E2551="Gold"),Dashboard!$R$7,VLOOKUP($I2551,Dashboard!$Q$16:$R$21,2,FALSE)))))*VLOOKUP($I2551,Dashboard!$Q$9:$R$13,2,FALSE)*IF(AND($I2551="Auto",$F2551="",OR($B2551="Autographs Duals",$B2551="Autographs Triples",$B2551="Autographs Quads",$B2551="Autographs Quads (Inscribed)")),IF($B2551="Autographs Duals",2,IF($B2551="Autographs Triples",3,4)),1)))</f>
        <v>50</v>
      </c>
      <c r="AB2551" s="62">
        <f t="shared" si="518"/>
        <v>0</v>
      </c>
      <c r="AC2551" s="62">
        <f t="shared" si="519"/>
        <v>0</v>
      </c>
    </row>
    <row r="2552" spans="1:29" ht="30" customHeight="1" x14ac:dyDescent="0.25">
      <c r="A2552" s="4" t="s">
        <v>41</v>
      </c>
      <c r="B2552" s="7" t="s">
        <v>94</v>
      </c>
      <c r="C2552" s="2" t="s">
        <v>392</v>
      </c>
      <c r="D2552" s="7" t="s">
        <v>222</v>
      </c>
      <c r="E2552" s="4" t="s">
        <v>393</v>
      </c>
      <c r="F2552" s="2"/>
      <c r="G2552" s="2" t="s">
        <v>1399</v>
      </c>
      <c r="H2552" s="2" t="s">
        <v>1400</v>
      </c>
      <c r="I2552" s="4" t="s">
        <v>68</v>
      </c>
      <c r="J2552" s="112">
        <f>IF($H2552&lt;&gt;"Y",0,ROUND(MIN(Dashboard!$R$24,IF(IFERROR(VLOOKUP($B2552,Dashboard!$Q$28:$S$60,2,FALSE),0)&gt;0,IFERROR(VLOOKUP($B2552,Dashboard!$Q$28:$S$60,2,FALSE),0),$Z2552*IF($U2552&lt;&gt;"",ROUND((Dashboard!$R$4/$U2552)*VLOOKUP($I2552,Dashboard!$Q$9:$R$13,2,FALSE)*IF(ISNUMBER(SEARCH("Duals",$B2552)),2,IF(ISNUMBER(SEARCH("Triples",$B2552)),3,IF(ISNUMBER(SEARCH("Quads",$B2552)),4,1))),2),ROUND(VLOOKUP($I2552,Dashboard!$Q$15:$R$20,2,FALSE)*IF($E2552="Red",Dashboard!$R$6,IF($E2552="Gold",Dashboard!$R$7,Dashboard!$R$5))*IF(ISNUMBER(SEARCH("Duals",$B2552)),2,IF(ISNUMBER(SEARCH("Triples",$B2552)),3,IF(ISNUMBER(SEARCH("Quads",$B2552)),4,1))),2))*IF(IFERROR(VLOOKUP($B2552,Dashboard!$Q$28:$S$60,3,FALSE),0)&gt;0,VLOOKUP($B2552,Dashboard!$Q$28:$S$60,3,FALSE),1))),0))</f>
        <v>15</v>
      </c>
      <c r="K2552" s="2" t="str">
        <f>IF('Action Figures'!E46="","",'Action Figures'!E46)</f>
        <v/>
      </c>
      <c r="L2552" s="2">
        <f t="shared" si="507"/>
        <v>0</v>
      </c>
      <c r="M2552" s="2">
        <f t="shared" si="508"/>
        <v>0</v>
      </c>
      <c r="N2552" s="2">
        <f t="shared" si="509"/>
        <v>0</v>
      </c>
      <c r="O2552" s="2">
        <f t="shared" si="510"/>
        <v>1</v>
      </c>
      <c r="P2552" s="112">
        <f t="shared" si="511"/>
        <v>0</v>
      </c>
      <c r="Q2552" s="112">
        <f t="shared" si="512"/>
        <v>0</v>
      </c>
      <c r="R2552" s="53"/>
      <c r="S2552" s="53" t="str">
        <f t="shared" si="513"/>
        <v>Action Figures|Action Figures Autographs Variation|AFV-AS|Autograph Variation</v>
      </c>
      <c r="T2552" s="57">
        <f>IF($S2552="","",IFERROR(VLOOKUP($S2552,'Pop Estimates (Non-#d)'!$N$2:$O$500,2,FALSE),""))</f>
        <v>238</v>
      </c>
      <c r="U2552" s="57">
        <f t="shared" si="514"/>
        <v>238</v>
      </c>
      <c r="V2552" s="53" t="str">
        <f t="shared" si="515"/>
        <v>Homelander</v>
      </c>
      <c r="W2552" s="53" t="str">
        <f t="shared" si="516"/>
        <v>Homelander</v>
      </c>
      <c r="X2552" s="53" t="str">
        <f t="shared" si="517"/>
        <v>Homelander</v>
      </c>
      <c r="Y2552" s="57">
        <f>IF($X2552="","",IFERROR(VLOOKUP($X2552,'Char Popularity'!$A$2:$C$500,2,FALSE),""))</f>
        <v>5</v>
      </c>
      <c r="Z2552" s="56">
        <f>IF($X2552="",1,IFERROR(VLOOKUP($X2552,'Char Popularity'!$A$2:$C$500,3,FALSE),1))</f>
        <v>1.2</v>
      </c>
      <c r="AA2552" s="62">
        <f>IF($H2552&lt;&gt;"Y",0,(IF($F2552&lt;&gt;"",ROUND(Dashboard!$R$4/$F2552,1),IF(AND($I2552="Base",$E2552="Base"),Dashboard!$R$5,IF(AND($I2552="Base",$E2552="Red"),Dashboard!$R$6,IF(AND($I2552="Base",$E2552="Gold"),Dashboard!$R$7,VLOOKUP($I2552,Dashboard!$Q$16:$R$21,2,FALSE)))))*VLOOKUP($I2552,Dashboard!$Q$9:$R$13,2,FALSE)*IF(AND($I2552="Auto",$F2552="",OR($B2552="Autographs Duals",$B2552="Autographs Triples",$B2552="Autographs Quads",$B2552="Autographs Quads (Inscribed)")),IF($B2552="Autographs Duals",2,IF($B2552="Autographs Triples",3,4)),1)))</f>
        <v>50</v>
      </c>
      <c r="AB2552" s="62">
        <f t="shared" si="518"/>
        <v>0</v>
      </c>
      <c r="AC2552" s="62">
        <f t="shared" si="519"/>
        <v>0</v>
      </c>
    </row>
    <row r="2553" spans="1:29" ht="30" customHeight="1" x14ac:dyDescent="0.25">
      <c r="A2553" s="4" t="s">
        <v>41</v>
      </c>
      <c r="B2553" s="7" t="s">
        <v>94</v>
      </c>
      <c r="C2553" s="2" t="s">
        <v>394</v>
      </c>
      <c r="D2553" s="7" t="s">
        <v>230</v>
      </c>
      <c r="E2553" s="4" t="s">
        <v>393</v>
      </c>
      <c r="F2553" s="2"/>
      <c r="G2553" s="2" t="s">
        <v>1399</v>
      </c>
      <c r="H2553" s="2" t="s">
        <v>1400</v>
      </c>
      <c r="I2553" s="4" t="s">
        <v>68</v>
      </c>
      <c r="J2553" s="112">
        <f>IF($H2553&lt;&gt;"Y",0,ROUND(MIN(Dashboard!$R$24,IF(IFERROR(VLOOKUP($B2553,Dashboard!$Q$28:$S$60,2,FALSE),0)&gt;0,IFERROR(VLOOKUP($B2553,Dashboard!$Q$28:$S$60,2,FALSE),0),$Z2553*IF($U2553&lt;&gt;"",ROUND((Dashboard!$R$4/$U2553)*VLOOKUP($I2553,Dashboard!$Q$9:$R$13,2,FALSE)*IF(ISNUMBER(SEARCH("Duals",$B2553)),2,IF(ISNUMBER(SEARCH("Triples",$B2553)),3,IF(ISNUMBER(SEARCH("Quads",$B2553)),4,1))),2),ROUND(VLOOKUP($I2553,Dashboard!$Q$15:$R$20,2,FALSE)*IF($E2553="Red",Dashboard!$R$6,IF($E2553="Gold",Dashboard!$R$7,Dashboard!$R$5))*IF(ISNUMBER(SEARCH("Duals",$B2553)),2,IF(ISNUMBER(SEARCH("Triples",$B2553)),3,IF(ISNUMBER(SEARCH("Quads",$B2553)),4,1))),2))*IF(IFERROR(VLOOKUP($B2553,Dashboard!$Q$28:$S$60,3,FALSE),0)&gt;0,VLOOKUP($B2553,Dashboard!$Q$28:$S$60,3,FALSE),1))),0))</f>
        <v>14</v>
      </c>
      <c r="K2553" s="2" t="str">
        <f>IF('Action Figures'!E47="","",'Action Figures'!E47)</f>
        <v/>
      </c>
      <c r="L2553" s="2">
        <f t="shared" si="507"/>
        <v>0</v>
      </c>
      <c r="M2553" s="2">
        <f t="shared" si="508"/>
        <v>0</v>
      </c>
      <c r="N2553" s="2">
        <f t="shared" si="509"/>
        <v>0</v>
      </c>
      <c r="O2553" s="2">
        <f t="shared" si="510"/>
        <v>1</v>
      </c>
      <c r="P2553" s="112">
        <f t="shared" si="511"/>
        <v>0</v>
      </c>
      <c r="Q2553" s="112">
        <f t="shared" si="512"/>
        <v>0</v>
      </c>
      <c r="R2553" s="53"/>
      <c r="S2553" s="53" t="str">
        <f t="shared" si="513"/>
        <v>Action Figures|Action Figures Autographs Variation|AFV-CC|Autograph Variation</v>
      </c>
      <c r="T2553" s="57">
        <f>IF($S2553="","",IFERROR(VLOOKUP($S2553,'Pop Estimates (Non-#d)'!$N$2:$O$500,2,FALSE),""))</f>
        <v>238</v>
      </c>
      <c r="U2553" s="57">
        <f t="shared" si="514"/>
        <v>238</v>
      </c>
      <c r="V2553" s="53" t="str">
        <f t="shared" si="515"/>
        <v>The Deep</v>
      </c>
      <c r="W2553" s="53" t="str">
        <f t="shared" si="516"/>
        <v>The Deep</v>
      </c>
      <c r="X2553" s="53" t="str">
        <f t="shared" si="517"/>
        <v>The Deep</v>
      </c>
      <c r="Y2553" s="57">
        <f>IF($X2553="","",IFERROR(VLOOKUP($X2553,'Char Popularity'!$A$2:$C$500,2,FALSE),""))</f>
        <v>4</v>
      </c>
      <c r="Z2553" s="56">
        <f>IF($X2553="",1,IFERROR(VLOOKUP($X2553,'Char Popularity'!$A$2:$C$500,3,FALSE),1))</f>
        <v>1.1000000000000001</v>
      </c>
      <c r="AA2553" s="62">
        <f>IF($H2553&lt;&gt;"Y",0,(IF($F2553&lt;&gt;"",ROUND(Dashboard!$R$4/$F2553,1),IF(AND($I2553="Base",$E2553="Base"),Dashboard!$R$5,IF(AND($I2553="Base",$E2553="Red"),Dashboard!$R$6,IF(AND($I2553="Base",$E2553="Gold"),Dashboard!$R$7,VLOOKUP($I2553,Dashboard!$Q$16:$R$21,2,FALSE)))))*VLOOKUP($I2553,Dashboard!$Q$9:$R$13,2,FALSE)*IF(AND($I2553="Auto",$F2553="",OR($B2553="Autographs Duals",$B2553="Autographs Triples",$B2553="Autographs Quads",$B2553="Autographs Quads (Inscribed)")),IF($B2553="Autographs Duals",2,IF($B2553="Autographs Triples",3,4)),1)))</f>
        <v>50</v>
      </c>
      <c r="AB2553" s="62">
        <f t="shared" si="518"/>
        <v>0</v>
      </c>
      <c r="AC2553" s="62">
        <f t="shared" si="519"/>
        <v>0</v>
      </c>
    </row>
    <row r="2554" spans="1:29" ht="30" customHeight="1" x14ac:dyDescent="0.25">
      <c r="A2554" s="4" t="s">
        <v>41</v>
      </c>
      <c r="B2554" s="7" t="s">
        <v>94</v>
      </c>
      <c r="C2554" s="2" t="s">
        <v>395</v>
      </c>
      <c r="D2554" s="7" t="s">
        <v>244</v>
      </c>
      <c r="E2554" s="4" t="s">
        <v>393</v>
      </c>
      <c r="F2554" s="2"/>
      <c r="G2554" s="2" t="s">
        <v>1399</v>
      </c>
      <c r="H2554" s="2" t="s">
        <v>1400</v>
      </c>
      <c r="I2554" s="4" t="s">
        <v>68</v>
      </c>
      <c r="J2554" s="112">
        <f>IF($H2554&lt;&gt;"Y",0,ROUND(MIN(Dashboard!$R$24,IF(IFERROR(VLOOKUP($B2554,Dashboard!$Q$28:$S$60,2,FALSE),0)&gt;0,IFERROR(VLOOKUP($B2554,Dashboard!$Q$28:$S$60,2,FALSE),0),$Z2554*IF($U2554&lt;&gt;"",ROUND((Dashboard!$R$4/$U2554)*VLOOKUP($I2554,Dashboard!$Q$9:$R$13,2,FALSE)*IF(ISNUMBER(SEARCH("Duals",$B2554)),2,IF(ISNUMBER(SEARCH("Triples",$B2554)),3,IF(ISNUMBER(SEARCH("Quads",$B2554)),4,1))),2),ROUND(VLOOKUP($I2554,Dashboard!$Q$15:$R$20,2,FALSE)*IF($E2554="Red",Dashboard!$R$6,IF($E2554="Gold",Dashboard!$R$7,Dashboard!$R$5))*IF(ISNUMBER(SEARCH("Duals",$B2554)),2,IF(ISNUMBER(SEARCH("Triples",$B2554)),3,IF(ISNUMBER(SEARCH("Quads",$B2554)),4,1))),2))*IF(IFERROR(VLOOKUP($B2554,Dashboard!$Q$28:$S$60,3,FALSE),0)&gt;0,VLOOKUP($B2554,Dashboard!$Q$28:$S$60,3,FALSE),1))),0))</f>
        <v>14</v>
      </c>
      <c r="K2554" s="2" t="str">
        <f>IF('Action Figures'!E48="","",'Action Figures'!E48)</f>
        <v/>
      </c>
      <c r="L2554" s="2">
        <f t="shared" si="507"/>
        <v>0</v>
      </c>
      <c r="M2554" s="2">
        <f t="shared" si="508"/>
        <v>0</v>
      </c>
      <c r="N2554" s="2">
        <f t="shared" si="509"/>
        <v>0</v>
      </c>
      <c r="O2554" s="2">
        <f t="shared" si="510"/>
        <v>1</v>
      </c>
      <c r="P2554" s="112">
        <f t="shared" si="511"/>
        <v>0</v>
      </c>
      <c r="Q2554" s="112">
        <f t="shared" si="512"/>
        <v>0</v>
      </c>
      <c r="R2554" s="53"/>
      <c r="S2554" s="53" t="str">
        <f t="shared" si="513"/>
        <v>Action Figures|Action Figures Autographs Variation|AFV-DM|Autograph Variation</v>
      </c>
      <c r="T2554" s="57">
        <f>IF($S2554="","",IFERROR(VLOOKUP($S2554,'Pop Estimates (Non-#d)'!$N$2:$O$500,2,FALSE),""))</f>
        <v>238</v>
      </c>
      <c r="U2554" s="57">
        <f t="shared" si="514"/>
        <v>238</v>
      </c>
      <c r="V2554" s="53" t="str">
        <f t="shared" si="515"/>
        <v>Queen Maeve</v>
      </c>
      <c r="W2554" s="53" t="str">
        <f t="shared" si="516"/>
        <v>Queen Maeve</v>
      </c>
      <c r="X2554" s="53" t="str">
        <f t="shared" si="517"/>
        <v>Queen Maeve</v>
      </c>
      <c r="Y2554" s="57">
        <f>IF($X2554="","",IFERROR(VLOOKUP($X2554,'Char Popularity'!$A$2:$C$500,2,FALSE),""))</f>
        <v>4</v>
      </c>
      <c r="Z2554" s="56">
        <f>IF($X2554="",1,IFERROR(VLOOKUP($X2554,'Char Popularity'!$A$2:$C$500,3,FALSE),1))</f>
        <v>1.1000000000000001</v>
      </c>
      <c r="AA2554" s="62">
        <f>IF($H2554&lt;&gt;"Y",0,(IF($F2554&lt;&gt;"",ROUND(Dashboard!$R$4/$F2554,1),IF(AND($I2554="Base",$E2554="Base"),Dashboard!$R$5,IF(AND($I2554="Base",$E2554="Red"),Dashboard!$R$6,IF(AND($I2554="Base",$E2554="Gold"),Dashboard!$R$7,VLOOKUP($I2554,Dashboard!$Q$16:$R$21,2,FALSE)))))*VLOOKUP($I2554,Dashboard!$Q$9:$R$13,2,FALSE)*IF(AND($I2554="Auto",$F2554="",OR($B2554="Autographs Duals",$B2554="Autographs Triples",$B2554="Autographs Quads",$B2554="Autographs Quads (Inscribed)")),IF($B2554="Autographs Duals",2,IF($B2554="Autographs Triples",3,4)),1)))</f>
        <v>50</v>
      </c>
      <c r="AB2554" s="62">
        <f t="shared" si="518"/>
        <v>0</v>
      </c>
      <c r="AC2554" s="62">
        <f t="shared" si="519"/>
        <v>0</v>
      </c>
    </row>
    <row r="2555" spans="1:29" ht="30" customHeight="1" x14ac:dyDescent="0.25">
      <c r="A2555" s="4" t="s">
        <v>41</v>
      </c>
      <c r="B2555" s="7" t="s">
        <v>94</v>
      </c>
      <c r="C2555" s="2" t="s">
        <v>396</v>
      </c>
      <c r="D2555" s="7" t="s">
        <v>238</v>
      </c>
      <c r="E2555" s="4" t="s">
        <v>393</v>
      </c>
      <c r="F2555" s="2"/>
      <c r="G2555" s="2" t="s">
        <v>1399</v>
      </c>
      <c r="H2555" s="2" t="s">
        <v>1400</v>
      </c>
      <c r="I2555" s="4" t="s">
        <v>68</v>
      </c>
      <c r="J2555" s="112">
        <f>IF($H2555&lt;&gt;"Y",0,ROUND(MIN(Dashboard!$R$24,IF(IFERROR(VLOOKUP($B2555,Dashboard!$Q$28:$S$60,2,FALSE),0)&gt;0,IFERROR(VLOOKUP($B2555,Dashboard!$Q$28:$S$60,2,FALSE),0),$Z2555*IF($U2555&lt;&gt;"",ROUND((Dashboard!$R$4/$U2555)*VLOOKUP($I2555,Dashboard!$Q$9:$R$13,2,FALSE)*IF(ISNUMBER(SEARCH("Duals",$B2555)),2,IF(ISNUMBER(SEARCH("Triples",$B2555)),3,IF(ISNUMBER(SEARCH("Quads",$B2555)),4,1))),2),ROUND(VLOOKUP($I2555,Dashboard!$Q$15:$R$20,2,FALSE)*IF($E2555="Red",Dashboard!$R$6,IF($E2555="Gold",Dashboard!$R$7,Dashboard!$R$5))*IF(ISNUMBER(SEARCH("Duals",$B2555)),2,IF(ISNUMBER(SEARCH("Triples",$B2555)),3,IF(ISNUMBER(SEARCH("Quads",$B2555)),4,1))),2))*IF(IFERROR(VLOOKUP($B2555,Dashboard!$Q$28:$S$60,3,FALSE),0)&gt;0,VLOOKUP($B2555,Dashboard!$Q$28:$S$60,3,FALSE),1))),0))</f>
        <v>14</v>
      </c>
      <c r="K2555" s="2" t="str">
        <f>IF('Action Figures'!E49="","",'Action Figures'!E49)</f>
        <v/>
      </c>
      <c r="L2555" s="2">
        <f t="shared" si="507"/>
        <v>0</v>
      </c>
      <c r="M2555" s="2">
        <f t="shared" si="508"/>
        <v>0</v>
      </c>
      <c r="N2555" s="2">
        <f t="shared" si="509"/>
        <v>0</v>
      </c>
      <c r="O2555" s="2">
        <f t="shared" si="510"/>
        <v>1</v>
      </c>
      <c r="P2555" s="112">
        <f t="shared" si="511"/>
        <v>0</v>
      </c>
      <c r="Q2555" s="112">
        <f t="shared" si="512"/>
        <v>0</v>
      </c>
      <c r="R2555" s="53"/>
      <c r="S2555" s="53" t="str">
        <f t="shared" si="513"/>
        <v>Action Figures|Action Figures Autographs Variation|AFV-TC|Autograph Variation</v>
      </c>
      <c r="T2555" s="57">
        <f>IF($S2555="","",IFERROR(VLOOKUP($S2555,'Pop Estimates (Non-#d)'!$N$2:$O$500,2,FALSE),""))</f>
        <v>238</v>
      </c>
      <c r="U2555" s="57">
        <f t="shared" si="514"/>
        <v>238</v>
      </c>
      <c r="V2555" s="53" t="str">
        <f t="shared" si="515"/>
        <v>Frenchie</v>
      </c>
      <c r="W2555" s="53" t="str">
        <f t="shared" si="516"/>
        <v>Frenchie</v>
      </c>
      <c r="X2555" s="53" t="str">
        <f t="shared" si="517"/>
        <v>Frenchie</v>
      </c>
      <c r="Y2555" s="57">
        <f>IF($X2555="","",IFERROR(VLOOKUP($X2555,'Char Popularity'!$A$2:$C$500,2,FALSE),""))</f>
        <v>4</v>
      </c>
      <c r="Z2555" s="56">
        <f>IF($X2555="",1,IFERROR(VLOOKUP($X2555,'Char Popularity'!$A$2:$C$500,3,FALSE),1))</f>
        <v>1.1000000000000001</v>
      </c>
      <c r="AA2555" s="62">
        <f>IF($H2555&lt;&gt;"Y",0,(IF($F2555&lt;&gt;"",ROUND(Dashboard!$R$4/$F2555,1),IF(AND($I2555="Base",$E2555="Base"),Dashboard!$R$5,IF(AND($I2555="Base",$E2555="Red"),Dashboard!$R$6,IF(AND($I2555="Base",$E2555="Gold"),Dashboard!$R$7,VLOOKUP($I2555,Dashboard!$Q$16:$R$21,2,FALSE)))))*VLOOKUP($I2555,Dashboard!$Q$9:$R$13,2,FALSE)*IF(AND($I2555="Auto",$F2555="",OR($B2555="Autographs Duals",$B2555="Autographs Triples",$B2555="Autographs Quads",$B2555="Autographs Quads (Inscribed)")),IF($B2555="Autographs Duals",2,IF($B2555="Autographs Triples",3,4)),1)))</f>
        <v>50</v>
      </c>
      <c r="AB2555" s="62">
        <f t="shared" si="518"/>
        <v>0</v>
      </c>
      <c r="AC2555" s="62">
        <f t="shared" si="519"/>
        <v>0</v>
      </c>
    </row>
    <row r="2556" spans="1:29" ht="42.95" customHeight="1" x14ac:dyDescent="0.25">
      <c r="A2556" s="4" t="s">
        <v>41</v>
      </c>
      <c r="B2556" s="7" t="s">
        <v>128</v>
      </c>
      <c r="C2556" s="2" t="s">
        <v>613</v>
      </c>
      <c r="D2556" s="7" t="s">
        <v>337</v>
      </c>
      <c r="E2556" s="4" t="s">
        <v>60</v>
      </c>
      <c r="F2556" s="2"/>
      <c r="G2556" s="2" t="s">
        <v>1399</v>
      </c>
      <c r="H2556" s="2" t="s">
        <v>1400</v>
      </c>
      <c r="I2556" s="4" t="s">
        <v>62</v>
      </c>
      <c r="J2556" s="112">
        <f>IF($H2556&lt;&gt;"Y",0,ROUND(MIN(Dashboard!$R$24,IF(IFERROR(VLOOKUP($B2556,Dashboard!$Q$28:$S$60,2,FALSE),0)&gt;0,IFERROR(VLOOKUP($B2556,Dashboard!$Q$28:$S$60,2,FALSE),0),$Z2556*IF($U2556&lt;&gt;"",ROUND((Dashboard!$R$4/$U2556)*VLOOKUP($I2556,Dashboard!$Q$9:$R$13,2,FALSE)*IF(ISNUMBER(SEARCH("Duals",$B2556)),2,IF(ISNUMBER(SEARCH("Triples",$B2556)),3,IF(ISNUMBER(SEARCH("Quads",$B2556)),4,1))),2),ROUND(VLOOKUP($I2556,Dashboard!$Q$15:$R$20,2,FALSE)*IF($E2556="Red",Dashboard!$R$6,IF($E2556="Gold",Dashboard!$R$7,Dashboard!$R$5))*IF(ISNUMBER(SEARCH("Duals",$B2556)),2,IF(ISNUMBER(SEARCH("Triples",$B2556)),3,IF(ISNUMBER(SEARCH("Quads",$B2556)),4,1))),2))*IF(IFERROR(VLOOKUP($B2556,Dashboard!$Q$28:$S$60,3,FALSE),0)&gt;0,VLOOKUP($B2556,Dashboard!$Q$28:$S$60,3,FALSE),1))),0))</f>
        <v>2</v>
      </c>
      <c r="K2556" s="2" t="str">
        <f>IF('Action Figures'!C17="","",'Action Figures'!C17)</f>
        <v>C</v>
      </c>
      <c r="L2556" s="2">
        <f t="shared" si="507"/>
        <v>1</v>
      </c>
      <c r="M2556" s="2">
        <f t="shared" si="508"/>
        <v>0</v>
      </c>
      <c r="N2556" s="2">
        <f t="shared" si="509"/>
        <v>1</v>
      </c>
      <c r="O2556" s="2">
        <f t="shared" si="510"/>
        <v>0</v>
      </c>
      <c r="P2556" s="112">
        <f t="shared" si="511"/>
        <v>2</v>
      </c>
      <c r="Q2556" s="112">
        <f t="shared" si="512"/>
        <v>0</v>
      </c>
      <c r="R2556" s="53"/>
      <c r="S2556" s="53" t="str">
        <f t="shared" si="513"/>
        <v>Action Figures|Action Figures Variation|AFV-1|Base</v>
      </c>
      <c r="T2556" s="57">
        <f>IF($S2556="","",IFERROR(VLOOKUP($S2556,'Pop Estimates (Non-#d)'!$N$2:$O$500,2,FALSE),""))</f>
        <v>760</v>
      </c>
      <c r="U2556" s="57">
        <f t="shared" si="514"/>
        <v>760</v>
      </c>
      <c r="V2556" s="53" t="str">
        <f t="shared" si="515"/>
        <v/>
      </c>
      <c r="W2556" s="53" t="str">
        <f t="shared" si="516"/>
        <v/>
      </c>
      <c r="X2556" s="53" t="str">
        <f t="shared" si="517"/>
        <v/>
      </c>
      <c r="Y2556" s="57" t="str">
        <f>IF($X2556="","",IFERROR(VLOOKUP($X2556,'Char Popularity'!$A$2:$C$500,2,FALSE),""))</f>
        <v/>
      </c>
      <c r="Z2556" s="56">
        <f>IF($X2556="",1,IFERROR(VLOOKUP($X2556,'Char Popularity'!$A$2:$C$500,3,FALSE),1))</f>
        <v>1</v>
      </c>
      <c r="AA2556" s="62">
        <f>IF($H2556&lt;&gt;"Y",0,(IF($F2556&lt;&gt;"",ROUND(Dashboard!$R$4/$F2556,1),IF(AND($I2556="Base",$E2556="Base"),Dashboard!$R$5,IF(AND($I2556="Base",$E2556="Red"),Dashboard!$R$6,IF(AND($I2556="Base",$E2556="Gold"),Dashboard!$R$7,VLOOKUP($I2556,Dashboard!$Q$16:$R$21,2,FALSE)))))*VLOOKUP($I2556,Dashboard!$Q$9:$R$13,2,FALSE)*IF(AND($I2556="Auto",$F2556="",OR($B2556="Autographs Duals",$B2556="Autographs Triples",$B2556="Autographs Quads",$B2556="Autographs Quads (Inscribed)")),IF($B2556="Autographs Duals",2,IF($B2556="Autographs Triples",3,4)),1)))</f>
        <v>6</v>
      </c>
      <c r="AB2556" s="62">
        <f t="shared" si="518"/>
        <v>6</v>
      </c>
      <c r="AC2556" s="62">
        <f t="shared" si="519"/>
        <v>0</v>
      </c>
    </row>
    <row r="2557" spans="1:29" ht="42.95" customHeight="1" x14ac:dyDescent="0.25">
      <c r="A2557" s="4" t="s">
        <v>41</v>
      </c>
      <c r="B2557" s="7" t="s">
        <v>128</v>
      </c>
      <c r="C2557" s="2" t="s">
        <v>620</v>
      </c>
      <c r="D2557" s="7" t="s">
        <v>391</v>
      </c>
      <c r="E2557" s="4" t="s">
        <v>60</v>
      </c>
      <c r="F2557" s="2"/>
      <c r="G2557" s="2" t="s">
        <v>1399</v>
      </c>
      <c r="H2557" s="2" t="s">
        <v>1400</v>
      </c>
      <c r="I2557" s="4" t="s">
        <v>62</v>
      </c>
      <c r="J2557" s="112">
        <f>IF($H2557&lt;&gt;"Y",0,ROUND(MIN(Dashboard!$R$24,IF(IFERROR(VLOOKUP($B2557,Dashboard!$Q$28:$S$60,2,FALSE),0)&gt;0,IFERROR(VLOOKUP($B2557,Dashboard!$Q$28:$S$60,2,FALSE),0),$Z2557*IF($U2557&lt;&gt;"",ROUND((Dashboard!$R$4/$U2557)*VLOOKUP($I2557,Dashboard!$Q$9:$R$13,2,FALSE)*IF(ISNUMBER(SEARCH("Duals",$B2557)),2,IF(ISNUMBER(SEARCH("Triples",$B2557)),3,IF(ISNUMBER(SEARCH("Quads",$B2557)),4,1))),2),ROUND(VLOOKUP($I2557,Dashboard!$Q$15:$R$20,2,FALSE)*IF($E2557="Red",Dashboard!$R$6,IF($E2557="Gold",Dashboard!$R$7,Dashboard!$R$5))*IF(ISNUMBER(SEARCH("Duals",$B2557)),2,IF(ISNUMBER(SEARCH("Triples",$B2557)),3,IF(ISNUMBER(SEARCH("Quads",$B2557)),4,1))),2))*IF(IFERROR(VLOOKUP($B2557,Dashboard!$Q$28:$S$60,3,FALSE),0)&gt;0,VLOOKUP($B2557,Dashboard!$Q$28:$S$60,3,FALSE),1))),0))</f>
        <v>2</v>
      </c>
      <c r="K2557" s="2" t="str">
        <f>IF('Action Figures'!C18="","",'Action Figures'!C18)</f>
        <v>V</v>
      </c>
      <c r="L2557" s="2">
        <f t="shared" si="507"/>
        <v>1</v>
      </c>
      <c r="M2557" s="2">
        <f t="shared" si="508"/>
        <v>0</v>
      </c>
      <c r="N2557" s="2">
        <f t="shared" si="509"/>
        <v>1</v>
      </c>
      <c r="O2557" s="2">
        <f t="shared" si="510"/>
        <v>0</v>
      </c>
      <c r="P2557" s="112">
        <f t="shared" si="511"/>
        <v>2</v>
      </c>
      <c r="Q2557" s="112">
        <f t="shared" si="512"/>
        <v>0</v>
      </c>
      <c r="R2557" s="53"/>
      <c r="S2557" s="53" t="str">
        <f t="shared" si="513"/>
        <v>Action Figures|Action Figures Variation|AFV-2|Base</v>
      </c>
      <c r="T2557" s="57">
        <f>IF($S2557="","",IFERROR(VLOOKUP($S2557,'Pop Estimates (Non-#d)'!$N$2:$O$500,2,FALSE),""))</f>
        <v>760</v>
      </c>
      <c r="U2557" s="57">
        <f t="shared" si="514"/>
        <v>760</v>
      </c>
      <c r="V2557" s="53" t="str">
        <f t="shared" si="515"/>
        <v/>
      </c>
      <c r="W2557" s="53" t="str">
        <f t="shared" si="516"/>
        <v/>
      </c>
      <c r="X2557" s="53" t="str">
        <f t="shared" si="517"/>
        <v/>
      </c>
      <c r="Y2557" s="57" t="str">
        <f>IF($X2557="","",IFERROR(VLOOKUP($X2557,'Char Popularity'!$A$2:$C$500,2,FALSE),""))</f>
        <v/>
      </c>
      <c r="Z2557" s="56">
        <f>IF($X2557="",1,IFERROR(VLOOKUP($X2557,'Char Popularity'!$A$2:$C$500,3,FALSE),1))</f>
        <v>1</v>
      </c>
      <c r="AA2557" s="62">
        <f>IF($H2557&lt;&gt;"Y",0,(IF($F2557&lt;&gt;"",ROUND(Dashboard!$R$4/$F2557,1),IF(AND($I2557="Base",$E2557="Base"),Dashboard!$R$5,IF(AND($I2557="Base",$E2557="Red"),Dashboard!$R$6,IF(AND($I2557="Base",$E2557="Gold"),Dashboard!$R$7,VLOOKUP($I2557,Dashboard!$Q$16:$R$21,2,FALSE)))))*VLOOKUP($I2557,Dashboard!$Q$9:$R$13,2,FALSE)*IF(AND($I2557="Auto",$F2557="",OR($B2557="Autographs Duals",$B2557="Autographs Triples",$B2557="Autographs Quads",$B2557="Autographs Quads (Inscribed)")),IF($B2557="Autographs Duals",2,IF($B2557="Autographs Triples",3,4)),1)))</f>
        <v>6</v>
      </c>
      <c r="AB2557" s="62">
        <f t="shared" si="518"/>
        <v>6</v>
      </c>
      <c r="AC2557" s="62">
        <f t="shared" si="519"/>
        <v>0</v>
      </c>
    </row>
    <row r="2558" spans="1:29" ht="42.95" customHeight="1" x14ac:dyDescent="0.25">
      <c r="A2558" s="4" t="s">
        <v>41</v>
      </c>
      <c r="B2558" s="7" t="s">
        <v>128</v>
      </c>
      <c r="C2558" s="2" t="s">
        <v>621</v>
      </c>
      <c r="D2558" s="7" t="s">
        <v>387</v>
      </c>
      <c r="E2558" s="4" t="s">
        <v>60</v>
      </c>
      <c r="F2558" s="2"/>
      <c r="G2558" s="2" t="s">
        <v>1399</v>
      </c>
      <c r="H2558" s="2" t="s">
        <v>1400</v>
      </c>
      <c r="I2558" s="4" t="s">
        <v>62</v>
      </c>
      <c r="J2558" s="112">
        <f>IF($H2558&lt;&gt;"Y",0,ROUND(MIN(Dashboard!$R$24,IF(IFERROR(VLOOKUP($B2558,Dashboard!$Q$28:$S$60,2,FALSE),0)&gt;0,IFERROR(VLOOKUP($B2558,Dashboard!$Q$28:$S$60,2,FALSE),0),$Z2558*IF($U2558&lt;&gt;"",ROUND((Dashboard!$R$4/$U2558)*VLOOKUP($I2558,Dashboard!$Q$9:$R$13,2,FALSE)*IF(ISNUMBER(SEARCH("Duals",$B2558)),2,IF(ISNUMBER(SEARCH("Triples",$B2558)),3,IF(ISNUMBER(SEARCH("Quads",$B2558)),4,1))),2),ROUND(VLOOKUP($I2558,Dashboard!$Q$15:$R$20,2,FALSE)*IF($E2558="Red",Dashboard!$R$6,IF($E2558="Gold",Dashboard!$R$7,Dashboard!$R$5))*IF(ISNUMBER(SEARCH("Duals",$B2558)),2,IF(ISNUMBER(SEARCH("Triples",$B2558)),3,IF(ISNUMBER(SEARCH("Quads",$B2558)),4,1))),2))*IF(IFERROR(VLOOKUP($B2558,Dashboard!$Q$28:$S$60,3,FALSE),0)&gt;0,VLOOKUP($B2558,Dashboard!$Q$28:$S$60,3,FALSE),1))),0))</f>
        <v>2</v>
      </c>
      <c r="K2558" s="2" t="str">
        <f>IF('Action Figures'!C19="","",'Action Figures'!C19)</f>
        <v>V</v>
      </c>
      <c r="L2558" s="2">
        <f t="shared" si="507"/>
        <v>1</v>
      </c>
      <c r="M2558" s="2">
        <f t="shared" si="508"/>
        <v>0</v>
      </c>
      <c r="N2558" s="2">
        <f t="shared" si="509"/>
        <v>1</v>
      </c>
      <c r="O2558" s="2">
        <f t="shared" si="510"/>
        <v>0</v>
      </c>
      <c r="P2558" s="112">
        <f t="shared" si="511"/>
        <v>2</v>
      </c>
      <c r="Q2558" s="112">
        <f t="shared" si="512"/>
        <v>0</v>
      </c>
      <c r="R2558" s="53"/>
      <c r="S2558" s="53" t="str">
        <f t="shared" si="513"/>
        <v>Action Figures|Action Figures Variation|AFV-3|Base</v>
      </c>
      <c r="T2558" s="57">
        <f>IF($S2558="","",IFERROR(VLOOKUP($S2558,'Pop Estimates (Non-#d)'!$N$2:$O$500,2,FALSE),""))</f>
        <v>760</v>
      </c>
      <c r="U2558" s="57">
        <f t="shared" si="514"/>
        <v>760</v>
      </c>
      <c r="V2558" s="53" t="str">
        <f t="shared" si="515"/>
        <v/>
      </c>
      <c r="W2558" s="53" t="str">
        <f t="shared" si="516"/>
        <v/>
      </c>
      <c r="X2558" s="53" t="str">
        <f t="shared" si="517"/>
        <v/>
      </c>
      <c r="Y2558" s="57" t="str">
        <f>IF($X2558="","",IFERROR(VLOOKUP($X2558,'Char Popularity'!$A$2:$C$500,2,FALSE),""))</f>
        <v/>
      </c>
      <c r="Z2558" s="56">
        <f>IF($X2558="",1,IFERROR(VLOOKUP($X2558,'Char Popularity'!$A$2:$C$500,3,FALSE),1))</f>
        <v>1</v>
      </c>
      <c r="AA2558" s="62">
        <f>IF($H2558&lt;&gt;"Y",0,(IF($F2558&lt;&gt;"",ROUND(Dashboard!$R$4/$F2558,1),IF(AND($I2558="Base",$E2558="Base"),Dashboard!$R$5,IF(AND($I2558="Base",$E2558="Red"),Dashboard!$R$6,IF(AND($I2558="Base",$E2558="Gold"),Dashboard!$R$7,VLOOKUP($I2558,Dashboard!$Q$16:$R$21,2,FALSE)))))*VLOOKUP($I2558,Dashboard!$Q$9:$R$13,2,FALSE)*IF(AND($I2558="Auto",$F2558="",OR($B2558="Autographs Duals",$B2558="Autographs Triples",$B2558="Autographs Quads",$B2558="Autographs Quads (Inscribed)")),IF($B2558="Autographs Duals",2,IF($B2558="Autographs Triples",3,4)),1)))</f>
        <v>6</v>
      </c>
      <c r="AB2558" s="62">
        <f t="shared" si="518"/>
        <v>6</v>
      </c>
      <c r="AC2558" s="62">
        <f t="shared" si="519"/>
        <v>0</v>
      </c>
    </row>
    <row r="2559" spans="1:29" ht="42.95" customHeight="1" x14ac:dyDescent="0.25">
      <c r="A2559" s="4" t="s">
        <v>41</v>
      </c>
      <c r="B2559" s="7" t="s">
        <v>128</v>
      </c>
      <c r="C2559" s="2" t="s">
        <v>622</v>
      </c>
      <c r="D2559" s="7" t="s">
        <v>347</v>
      </c>
      <c r="E2559" s="4" t="s">
        <v>60</v>
      </c>
      <c r="F2559" s="2"/>
      <c r="G2559" s="2" t="s">
        <v>1399</v>
      </c>
      <c r="H2559" s="2" t="s">
        <v>1400</v>
      </c>
      <c r="I2559" s="4" t="s">
        <v>62</v>
      </c>
      <c r="J2559" s="112">
        <f>IF($H2559&lt;&gt;"Y",0,ROUND(MIN(Dashboard!$R$24,IF(IFERROR(VLOOKUP($B2559,Dashboard!$Q$28:$S$60,2,FALSE),0)&gt;0,IFERROR(VLOOKUP($B2559,Dashboard!$Q$28:$S$60,2,FALSE),0),$Z2559*IF($U2559&lt;&gt;"",ROUND((Dashboard!$R$4/$U2559)*VLOOKUP($I2559,Dashboard!$Q$9:$R$13,2,FALSE)*IF(ISNUMBER(SEARCH("Duals",$B2559)),2,IF(ISNUMBER(SEARCH("Triples",$B2559)),3,IF(ISNUMBER(SEARCH("Quads",$B2559)),4,1))),2),ROUND(VLOOKUP($I2559,Dashboard!$Q$15:$R$20,2,FALSE)*IF($E2559="Red",Dashboard!$R$6,IF($E2559="Gold",Dashboard!$R$7,Dashboard!$R$5))*IF(ISNUMBER(SEARCH("Duals",$B2559)),2,IF(ISNUMBER(SEARCH("Triples",$B2559)),3,IF(ISNUMBER(SEARCH("Quads",$B2559)),4,1))),2))*IF(IFERROR(VLOOKUP($B2559,Dashboard!$Q$28:$S$60,3,FALSE),0)&gt;0,VLOOKUP($B2559,Dashboard!$Q$28:$S$60,3,FALSE),1))),0))</f>
        <v>2</v>
      </c>
      <c r="K2559" s="2" t="str">
        <f>IF('Action Figures'!C20="","",'Action Figures'!C20)</f>
        <v>V</v>
      </c>
      <c r="L2559" s="2">
        <f t="shared" si="507"/>
        <v>1</v>
      </c>
      <c r="M2559" s="2">
        <f t="shared" si="508"/>
        <v>0</v>
      </c>
      <c r="N2559" s="2">
        <f t="shared" si="509"/>
        <v>1</v>
      </c>
      <c r="O2559" s="2">
        <f t="shared" si="510"/>
        <v>0</v>
      </c>
      <c r="P2559" s="112">
        <f t="shared" si="511"/>
        <v>2</v>
      </c>
      <c r="Q2559" s="112">
        <f t="shared" si="512"/>
        <v>0</v>
      </c>
      <c r="R2559" s="53"/>
      <c r="S2559" s="53" t="str">
        <f t="shared" si="513"/>
        <v>Action Figures|Action Figures Variation|AFV-4|Base</v>
      </c>
      <c r="T2559" s="57">
        <f>IF($S2559="","",IFERROR(VLOOKUP($S2559,'Pop Estimates (Non-#d)'!$N$2:$O$500,2,FALSE),""))</f>
        <v>760</v>
      </c>
      <c r="U2559" s="57">
        <f t="shared" si="514"/>
        <v>760</v>
      </c>
      <c r="V2559" s="53" t="str">
        <f t="shared" si="515"/>
        <v/>
      </c>
      <c r="W2559" s="53" t="str">
        <f t="shared" si="516"/>
        <v/>
      </c>
      <c r="X2559" s="53" t="str">
        <f t="shared" si="517"/>
        <v/>
      </c>
      <c r="Y2559" s="57" t="str">
        <f>IF($X2559="","",IFERROR(VLOOKUP($X2559,'Char Popularity'!$A$2:$C$500,2,FALSE),""))</f>
        <v/>
      </c>
      <c r="Z2559" s="56">
        <f>IF($X2559="",1,IFERROR(VLOOKUP($X2559,'Char Popularity'!$A$2:$C$500,3,FALSE),1))</f>
        <v>1</v>
      </c>
      <c r="AA2559" s="62">
        <f>IF($H2559&lt;&gt;"Y",0,(IF($F2559&lt;&gt;"",ROUND(Dashboard!$R$4/$F2559,1),IF(AND($I2559="Base",$E2559="Base"),Dashboard!$R$5,IF(AND($I2559="Base",$E2559="Red"),Dashboard!$R$6,IF(AND($I2559="Base",$E2559="Gold"),Dashboard!$R$7,VLOOKUP($I2559,Dashboard!$Q$16:$R$21,2,FALSE)))))*VLOOKUP($I2559,Dashboard!$Q$9:$R$13,2,FALSE)*IF(AND($I2559="Auto",$F2559="",OR($B2559="Autographs Duals",$B2559="Autographs Triples",$B2559="Autographs Quads",$B2559="Autographs Quads (Inscribed)")),IF($B2559="Autographs Duals",2,IF($B2559="Autographs Triples",3,4)),1)))</f>
        <v>6</v>
      </c>
      <c r="AB2559" s="62">
        <f t="shared" si="518"/>
        <v>6</v>
      </c>
      <c r="AC2559" s="62">
        <f t="shared" si="519"/>
        <v>0</v>
      </c>
    </row>
    <row r="2560" spans="1:29" ht="42.95" customHeight="1" x14ac:dyDescent="0.25">
      <c r="A2560" s="4" t="s">
        <v>41</v>
      </c>
      <c r="B2560" s="7" t="s">
        <v>128</v>
      </c>
      <c r="C2560" s="2" t="s">
        <v>623</v>
      </c>
      <c r="D2560" s="7" t="s">
        <v>458</v>
      </c>
      <c r="E2560" s="4" t="s">
        <v>60</v>
      </c>
      <c r="F2560" s="2"/>
      <c r="G2560" s="2" t="s">
        <v>1399</v>
      </c>
      <c r="H2560" s="2" t="s">
        <v>1400</v>
      </c>
      <c r="I2560" s="4" t="s">
        <v>62</v>
      </c>
      <c r="J2560" s="112">
        <f>IF($H2560&lt;&gt;"Y",0,ROUND(MIN(Dashboard!$R$24,IF(IFERROR(VLOOKUP($B2560,Dashboard!$Q$28:$S$60,2,FALSE),0)&gt;0,IFERROR(VLOOKUP($B2560,Dashboard!$Q$28:$S$60,2,FALSE),0),$Z2560*IF($U2560&lt;&gt;"",ROUND((Dashboard!$R$4/$U2560)*VLOOKUP($I2560,Dashboard!$Q$9:$R$13,2,FALSE)*IF(ISNUMBER(SEARCH("Duals",$B2560)),2,IF(ISNUMBER(SEARCH("Triples",$B2560)),3,IF(ISNUMBER(SEARCH("Quads",$B2560)),4,1))),2),ROUND(VLOOKUP($I2560,Dashboard!$Q$15:$R$20,2,FALSE)*IF($E2560="Red",Dashboard!$R$6,IF($E2560="Gold",Dashboard!$R$7,Dashboard!$R$5))*IF(ISNUMBER(SEARCH("Duals",$B2560)),2,IF(ISNUMBER(SEARCH("Triples",$B2560)),3,IF(ISNUMBER(SEARCH("Quads",$B2560)),4,1))),2))*IF(IFERROR(VLOOKUP($B2560,Dashboard!$Q$28:$S$60,3,FALSE),0)&gt;0,VLOOKUP($B2560,Dashboard!$Q$28:$S$60,3,FALSE),1))),0))</f>
        <v>2</v>
      </c>
      <c r="K2560" s="2" t="str">
        <f>IF('Action Figures'!C21="","",'Action Figures'!C21)</f>
        <v>V</v>
      </c>
      <c r="L2560" s="2">
        <f t="shared" si="507"/>
        <v>1</v>
      </c>
      <c r="M2560" s="2">
        <f t="shared" si="508"/>
        <v>0</v>
      </c>
      <c r="N2560" s="2">
        <f t="shared" si="509"/>
        <v>1</v>
      </c>
      <c r="O2560" s="2">
        <f t="shared" si="510"/>
        <v>0</v>
      </c>
      <c r="P2560" s="112">
        <f t="shared" si="511"/>
        <v>2</v>
      </c>
      <c r="Q2560" s="112">
        <f t="shared" si="512"/>
        <v>0</v>
      </c>
      <c r="R2560" s="53"/>
      <c r="S2560" s="53" t="str">
        <f t="shared" si="513"/>
        <v>Action Figures|Action Figures Variation|AFV-5|Base</v>
      </c>
      <c r="T2560" s="57">
        <f>IF($S2560="","",IFERROR(VLOOKUP($S2560,'Pop Estimates (Non-#d)'!$N$2:$O$500,2,FALSE),""))</f>
        <v>760</v>
      </c>
      <c r="U2560" s="57">
        <f t="shared" si="514"/>
        <v>760</v>
      </c>
      <c r="V2560" s="53" t="str">
        <f t="shared" si="515"/>
        <v/>
      </c>
      <c r="W2560" s="53" t="str">
        <f t="shared" si="516"/>
        <v/>
      </c>
      <c r="X2560" s="53" t="str">
        <f t="shared" si="517"/>
        <v/>
      </c>
      <c r="Y2560" s="57" t="str">
        <f>IF($X2560="","",IFERROR(VLOOKUP($X2560,'Char Popularity'!$A$2:$C$500,2,FALSE),""))</f>
        <v/>
      </c>
      <c r="Z2560" s="56">
        <f>IF($X2560="",1,IFERROR(VLOOKUP($X2560,'Char Popularity'!$A$2:$C$500,3,FALSE),1))</f>
        <v>1</v>
      </c>
      <c r="AA2560" s="62">
        <f>IF($H2560&lt;&gt;"Y",0,(IF($F2560&lt;&gt;"",ROUND(Dashboard!$R$4/$F2560,1),IF(AND($I2560="Base",$E2560="Base"),Dashboard!$R$5,IF(AND($I2560="Base",$E2560="Red"),Dashboard!$R$6,IF(AND($I2560="Base",$E2560="Gold"),Dashboard!$R$7,VLOOKUP($I2560,Dashboard!$Q$16:$R$21,2,FALSE)))))*VLOOKUP($I2560,Dashboard!$Q$9:$R$13,2,FALSE)*IF(AND($I2560="Auto",$F2560="",OR($B2560="Autographs Duals",$B2560="Autographs Triples",$B2560="Autographs Quads",$B2560="Autographs Quads (Inscribed)")),IF($B2560="Autographs Duals",2,IF($B2560="Autographs Triples",3,4)),1)))</f>
        <v>6</v>
      </c>
      <c r="AB2560" s="62">
        <f t="shared" si="518"/>
        <v>6</v>
      </c>
      <c r="AC2560" s="62">
        <f t="shared" si="519"/>
        <v>0</v>
      </c>
    </row>
    <row r="2561" spans="1:29" ht="42.95" customHeight="1" x14ac:dyDescent="0.25">
      <c r="A2561" s="4" t="s">
        <v>41</v>
      </c>
      <c r="B2561" s="7" t="s">
        <v>128</v>
      </c>
      <c r="C2561" s="2" t="s">
        <v>624</v>
      </c>
      <c r="D2561" s="7" t="s">
        <v>444</v>
      </c>
      <c r="E2561" s="4" t="s">
        <v>60</v>
      </c>
      <c r="F2561" s="2"/>
      <c r="G2561" s="2" t="s">
        <v>1399</v>
      </c>
      <c r="H2561" s="2" t="s">
        <v>1400</v>
      </c>
      <c r="I2561" s="4" t="s">
        <v>62</v>
      </c>
      <c r="J2561" s="112">
        <f>IF($H2561&lt;&gt;"Y",0,ROUND(MIN(Dashboard!$R$24,IF(IFERROR(VLOOKUP($B2561,Dashboard!$Q$28:$S$60,2,FALSE),0)&gt;0,IFERROR(VLOOKUP($B2561,Dashboard!$Q$28:$S$60,2,FALSE),0),$Z2561*IF($U2561&lt;&gt;"",ROUND((Dashboard!$R$4/$U2561)*VLOOKUP($I2561,Dashboard!$Q$9:$R$13,2,FALSE)*IF(ISNUMBER(SEARCH("Duals",$B2561)),2,IF(ISNUMBER(SEARCH("Triples",$B2561)),3,IF(ISNUMBER(SEARCH("Quads",$B2561)),4,1))),2),ROUND(VLOOKUP($I2561,Dashboard!$Q$15:$R$20,2,FALSE)*IF($E2561="Red",Dashboard!$R$6,IF($E2561="Gold",Dashboard!$R$7,Dashboard!$R$5))*IF(ISNUMBER(SEARCH("Duals",$B2561)),2,IF(ISNUMBER(SEARCH("Triples",$B2561)),3,IF(ISNUMBER(SEARCH("Quads",$B2561)),4,1))),2))*IF(IFERROR(VLOOKUP($B2561,Dashboard!$Q$28:$S$60,3,FALSE),0)&gt;0,VLOOKUP($B2561,Dashboard!$Q$28:$S$60,3,FALSE),1))),0))</f>
        <v>2</v>
      </c>
      <c r="K2561" s="2" t="str">
        <f>IF('Action Figures'!C22="","",'Action Figures'!C22)</f>
        <v>V</v>
      </c>
      <c r="L2561" s="2">
        <f t="shared" si="507"/>
        <v>1</v>
      </c>
      <c r="M2561" s="2">
        <f t="shared" si="508"/>
        <v>0</v>
      </c>
      <c r="N2561" s="2">
        <f t="shared" si="509"/>
        <v>1</v>
      </c>
      <c r="O2561" s="2">
        <f t="shared" si="510"/>
        <v>0</v>
      </c>
      <c r="P2561" s="112">
        <f t="shared" si="511"/>
        <v>2</v>
      </c>
      <c r="Q2561" s="112">
        <f t="shared" si="512"/>
        <v>0</v>
      </c>
      <c r="R2561" s="53"/>
      <c r="S2561" s="53" t="str">
        <f t="shared" si="513"/>
        <v>Action Figures|Action Figures Variation|AFV-6|Base</v>
      </c>
      <c r="T2561" s="57">
        <f>IF($S2561="","",IFERROR(VLOOKUP($S2561,'Pop Estimates (Non-#d)'!$N$2:$O$500,2,FALSE),""))</f>
        <v>760</v>
      </c>
      <c r="U2561" s="57">
        <f t="shared" si="514"/>
        <v>760</v>
      </c>
      <c r="V2561" s="53" t="str">
        <f t="shared" si="515"/>
        <v/>
      </c>
      <c r="W2561" s="53" t="str">
        <f t="shared" si="516"/>
        <v/>
      </c>
      <c r="X2561" s="53" t="str">
        <f t="shared" si="517"/>
        <v/>
      </c>
      <c r="Y2561" s="57" t="str">
        <f>IF($X2561="","",IFERROR(VLOOKUP($X2561,'Char Popularity'!$A$2:$C$500,2,FALSE),""))</f>
        <v/>
      </c>
      <c r="Z2561" s="56">
        <f>IF($X2561="",1,IFERROR(VLOOKUP($X2561,'Char Popularity'!$A$2:$C$500,3,FALSE),1))</f>
        <v>1</v>
      </c>
      <c r="AA2561" s="62">
        <f>IF($H2561&lt;&gt;"Y",0,(IF($F2561&lt;&gt;"",ROUND(Dashboard!$R$4/$F2561,1),IF(AND($I2561="Base",$E2561="Base"),Dashboard!$R$5,IF(AND($I2561="Base",$E2561="Red"),Dashboard!$R$6,IF(AND($I2561="Base",$E2561="Gold"),Dashboard!$R$7,VLOOKUP($I2561,Dashboard!$Q$16:$R$21,2,FALSE)))))*VLOOKUP($I2561,Dashboard!$Q$9:$R$13,2,FALSE)*IF(AND($I2561="Auto",$F2561="",OR($B2561="Autographs Duals",$B2561="Autographs Triples",$B2561="Autographs Quads",$B2561="Autographs Quads (Inscribed)")),IF($B2561="Autographs Duals",2,IF($B2561="Autographs Triples",3,4)),1)))</f>
        <v>6</v>
      </c>
      <c r="AB2561" s="62">
        <f t="shared" si="518"/>
        <v>6</v>
      </c>
      <c r="AC2561" s="62">
        <f t="shared" si="519"/>
        <v>0</v>
      </c>
    </row>
    <row r="2562" spans="1:29" ht="42.95" customHeight="1" x14ac:dyDescent="0.25">
      <c r="A2562" s="4" t="s">
        <v>41</v>
      </c>
      <c r="B2562" s="7" t="s">
        <v>128</v>
      </c>
      <c r="C2562" s="2" t="s">
        <v>625</v>
      </c>
      <c r="D2562" s="7" t="s">
        <v>341</v>
      </c>
      <c r="E2562" s="4" t="s">
        <v>60</v>
      </c>
      <c r="F2562" s="2"/>
      <c r="G2562" s="2" t="s">
        <v>1399</v>
      </c>
      <c r="H2562" s="2" t="s">
        <v>1400</v>
      </c>
      <c r="I2562" s="4" t="s">
        <v>62</v>
      </c>
      <c r="J2562" s="112">
        <f>IF($H2562&lt;&gt;"Y",0,ROUND(MIN(Dashboard!$R$24,IF(IFERROR(VLOOKUP($B2562,Dashboard!$Q$28:$S$60,2,FALSE),0)&gt;0,IFERROR(VLOOKUP($B2562,Dashboard!$Q$28:$S$60,2,FALSE),0),$Z2562*IF($U2562&lt;&gt;"",ROUND((Dashboard!$R$4/$U2562)*VLOOKUP($I2562,Dashboard!$Q$9:$R$13,2,FALSE)*IF(ISNUMBER(SEARCH("Duals",$B2562)),2,IF(ISNUMBER(SEARCH("Triples",$B2562)),3,IF(ISNUMBER(SEARCH("Quads",$B2562)),4,1))),2),ROUND(VLOOKUP($I2562,Dashboard!$Q$15:$R$20,2,FALSE)*IF($E2562="Red",Dashboard!$R$6,IF($E2562="Gold",Dashboard!$R$7,Dashboard!$R$5))*IF(ISNUMBER(SEARCH("Duals",$B2562)),2,IF(ISNUMBER(SEARCH("Triples",$B2562)),3,IF(ISNUMBER(SEARCH("Quads",$B2562)),4,1))),2))*IF(IFERROR(VLOOKUP($B2562,Dashboard!$Q$28:$S$60,3,FALSE),0)&gt;0,VLOOKUP($B2562,Dashboard!$Q$28:$S$60,3,FALSE),1))),0))</f>
        <v>2</v>
      </c>
      <c r="K2562" s="2" t="str">
        <f>IF('Action Figures'!C23="","",'Action Figures'!C23)</f>
        <v>C</v>
      </c>
      <c r="L2562" s="2">
        <f t="shared" ref="L2562:L2569" si="520">IF(AND($K2562&lt;&gt;"",LEFT($K2562,1)&lt;&gt;"Y"),1,0)</f>
        <v>1</v>
      </c>
      <c r="M2562" s="2">
        <f t="shared" ref="M2562:M2569" si="521">IF(LEFT($K2562,1)="Y",1,0)</f>
        <v>0</v>
      </c>
      <c r="N2562" s="2">
        <f t="shared" ref="N2562:N2569" si="522">$L2562+$M2562</f>
        <v>1</v>
      </c>
      <c r="O2562" s="2">
        <f t="shared" ref="O2562:O2569" si="523">IF($H2562="Y",1-$N2562,0)</f>
        <v>0</v>
      </c>
      <c r="P2562" s="112">
        <f t="shared" ref="P2562:P2569" si="524">IF($L2562=1,$J2562,0)</f>
        <v>2</v>
      </c>
      <c r="Q2562" s="112">
        <f t="shared" ref="Q2562:Q2569" si="525">IF($M2562=1,$J2562,0)</f>
        <v>0</v>
      </c>
      <c r="R2562" s="53"/>
      <c r="S2562" s="53" t="str">
        <f t="shared" ref="S2562:S2625" si="526">IF($A2562="","",$A2562&amp;"|"&amp;$B2562&amp;"|"&amp;$C2562&amp;"|"&amp;$E2562)</f>
        <v>Action Figures|Action Figures Variation|AFV-7|Base</v>
      </c>
      <c r="T2562" s="57">
        <f>IF($S2562="","",IFERROR(VLOOKUP($S2562,'Pop Estimates (Non-#d)'!$N$2:$O$500,2,FALSE),""))</f>
        <v>760</v>
      </c>
      <c r="U2562" s="57">
        <f t="shared" ref="U2562:U2625" si="527">IF($A2562="","",IF($F2562&lt;&gt;"",$F2562,$T2562))</f>
        <v>760</v>
      </c>
      <c r="V2562" s="53" t="str">
        <f t="shared" ref="V2562:V2625" si="528">IF($A2562="","",IF(ISNUMBER(SEARCH(" as ",$D2562)),MID($D2562,SEARCH(" as ",$D2562)+4,255),IF(ISNUMBER(SEARCH("/",$D2562)),LEFT($D2562,FIND("/",$D2562&amp;"/")-1),"")))</f>
        <v/>
      </c>
      <c r="W2562" s="53" t="str">
        <f t="shared" ref="W2562:W2625" si="529">IF($V2562="","",TRIM(IFERROR(MID($V2562,SEARCH("(", $V2562)+1,SEARCH(")",$V2562)-SEARCH("(", $V2562)-1),$V2562)))</f>
        <v/>
      </c>
      <c r="X2562" s="53" t="str">
        <f t="shared" ref="X2562:X2625" si="530">IF($W2562="","",TRIM(LEFT($W2562&amp;"""",FIND("""",$W2562&amp;"""")-1)))</f>
        <v/>
      </c>
      <c r="Y2562" s="57" t="str">
        <f>IF($X2562="","",IFERROR(VLOOKUP($X2562,'Char Popularity'!$A$2:$C$500,2,FALSE),""))</f>
        <v/>
      </c>
      <c r="Z2562" s="56">
        <f>IF($X2562="",1,IFERROR(VLOOKUP($X2562,'Char Popularity'!$A$2:$C$500,3,FALSE),1))</f>
        <v>1</v>
      </c>
      <c r="AA2562" s="62">
        <f>IF($H2562&lt;&gt;"Y",0,(IF($F2562&lt;&gt;"",ROUND(Dashboard!$R$4/$F2562,1),IF(AND($I2562="Base",$E2562="Base"),Dashboard!$R$5,IF(AND($I2562="Base",$E2562="Red"),Dashboard!$R$6,IF(AND($I2562="Base",$E2562="Gold"),Dashboard!$R$7,VLOOKUP($I2562,Dashboard!$Q$16:$R$21,2,FALSE)))))*VLOOKUP($I2562,Dashboard!$Q$9:$R$13,2,FALSE)*IF(AND($I2562="Auto",$F2562="",OR($B2562="Autographs Duals",$B2562="Autographs Triples",$B2562="Autographs Quads",$B2562="Autographs Quads (Inscribed)")),IF($B2562="Autographs Duals",2,IF($B2562="Autographs Triples",3,4)),1)))</f>
        <v>6</v>
      </c>
      <c r="AB2562" s="62">
        <f t="shared" ref="AB2562:AB2625" si="531">IF($L2562=1,$AA2562,0)</f>
        <v>6</v>
      </c>
      <c r="AC2562" s="62">
        <f t="shared" ref="AC2562:AC2625" si="532">IF($M2562=1,$AA2562,0)</f>
        <v>0</v>
      </c>
    </row>
    <row r="2563" spans="1:29" ht="42.95" customHeight="1" x14ac:dyDescent="0.25">
      <c r="A2563" s="4" t="s">
        <v>41</v>
      </c>
      <c r="B2563" s="7" t="s">
        <v>128</v>
      </c>
      <c r="C2563" s="2" t="s">
        <v>626</v>
      </c>
      <c r="D2563" s="7" t="s">
        <v>441</v>
      </c>
      <c r="E2563" s="4" t="s">
        <v>60</v>
      </c>
      <c r="F2563" s="2"/>
      <c r="G2563" s="2" t="s">
        <v>1399</v>
      </c>
      <c r="H2563" s="2" t="s">
        <v>1400</v>
      </c>
      <c r="I2563" s="4" t="s">
        <v>62</v>
      </c>
      <c r="J2563" s="112">
        <f>IF($H2563&lt;&gt;"Y",0,ROUND(MIN(Dashboard!$R$24,IF(IFERROR(VLOOKUP($B2563,Dashboard!$Q$28:$S$60,2,FALSE),0)&gt;0,IFERROR(VLOOKUP($B2563,Dashboard!$Q$28:$S$60,2,FALSE),0),$Z2563*IF($U2563&lt;&gt;"",ROUND((Dashboard!$R$4/$U2563)*VLOOKUP($I2563,Dashboard!$Q$9:$R$13,2,FALSE)*IF(ISNUMBER(SEARCH("Duals",$B2563)),2,IF(ISNUMBER(SEARCH("Triples",$B2563)),3,IF(ISNUMBER(SEARCH("Quads",$B2563)),4,1))),2),ROUND(VLOOKUP($I2563,Dashboard!$Q$15:$R$20,2,FALSE)*IF($E2563="Red",Dashboard!$R$6,IF($E2563="Gold",Dashboard!$R$7,Dashboard!$R$5))*IF(ISNUMBER(SEARCH("Duals",$B2563)),2,IF(ISNUMBER(SEARCH("Triples",$B2563)),3,IF(ISNUMBER(SEARCH("Quads",$B2563)),4,1))),2))*IF(IFERROR(VLOOKUP($B2563,Dashboard!$Q$28:$S$60,3,FALSE),0)&gt;0,VLOOKUP($B2563,Dashboard!$Q$28:$S$60,3,FALSE),1))),0))</f>
        <v>2</v>
      </c>
      <c r="K2563" s="2" t="str">
        <f>IF('Action Figures'!C24="","",'Action Figures'!C24)</f>
        <v>V</v>
      </c>
      <c r="L2563" s="2">
        <f t="shared" si="520"/>
        <v>1</v>
      </c>
      <c r="M2563" s="2">
        <f t="shared" si="521"/>
        <v>0</v>
      </c>
      <c r="N2563" s="2">
        <f t="shared" si="522"/>
        <v>1</v>
      </c>
      <c r="O2563" s="2">
        <f t="shared" si="523"/>
        <v>0</v>
      </c>
      <c r="P2563" s="112">
        <f t="shared" si="524"/>
        <v>2</v>
      </c>
      <c r="Q2563" s="112">
        <f t="shared" si="525"/>
        <v>0</v>
      </c>
      <c r="R2563" s="53"/>
      <c r="S2563" s="53" t="str">
        <f t="shared" si="526"/>
        <v>Action Figures|Action Figures Variation|AFV-8|Base</v>
      </c>
      <c r="T2563" s="57">
        <f>IF($S2563="","",IFERROR(VLOOKUP($S2563,'Pop Estimates (Non-#d)'!$N$2:$O$500,2,FALSE),""))</f>
        <v>760</v>
      </c>
      <c r="U2563" s="57">
        <f t="shared" si="527"/>
        <v>760</v>
      </c>
      <c r="V2563" s="53" t="str">
        <f t="shared" si="528"/>
        <v/>
      </c>
      <c r="W2563" s="53" t="str">
        <f t="shared" si="529"/>
        <v/>
      </c>
      <c r="X2563" s="53" t="str">
        <f t="shared" si="530"/>
        <v/>
      </c>
      <c r="Y2563" s="57" t="str">
        <f>IF($X2563="","",IFERROR(VLOOKUP($X2563,'Char Popularity'!$A$2:$C$500,2,FALSE),""))</f>
        <v/>
      </c>
      <c r="Z2563" s="56">
        <f>IF($X2563="",1,IFERROR(VLOOKUP($X2563,'Char Popularity'!$A$2:$C$500,3,FALSE),1))</f>
        <v>1</v>
      </c>
      <c r="AA2563" s="62">
        <f>IF($H2563&lt;&gt;"Y",0,(IF($F2563&lt;&gt;"",ROUND(Dashboard!$R$4/$F2563,1),IF(AND($I2563="Base",$E2563="Base"),Dashboard!$R$5,IF(AND($I2563="Base",$E2563="Red"),Dashboard!$R$6,IF(AND($I2563="Base",$E2563="Gold"),Dashboard!$R$7,VLOOKUP($I2563,Dashboard!$Q$16:$R$21,2,FALSE)))))*VLOOKUP($I2563,Dashboard!$Q$9:$R$13,2,FALSE)*IF(AND($I2563="Auto",$F2563="",OR($B2563="Autographs Duals",$B2563="Autographs Triples",$B2563="Autographs Quads",$B2563="Autographs Quads (Inscribed)")),IF($B2563="Autographs Duals",2,IF($B2563="Autographs Triples",3,4)),1)))</f>
        <v>6</v>
      </c>
      <c r="AB2563" s="62">
        <f t="shared" si="531"/>
        <v>6</v>
      </c>
      <c r="AC2563" s="62">
        <f t="shared" si="532"/>
        <v>0</v>
      </c>
    </row>
    <row r="2564" spans="1:29" ht="42.95" customHeight="1" x14ac:dyDescent="0.25">
      <c r="A2564" s="4" t="s">
        <v>41</v>
      </c>
      <c r="B2564" s="7" t="s">
        <v>128</v>
      </c>
      <c r="C2564" s="2" t="s">
        <v>627</v>
      </c>
      <c r="D2564" s="7" t="s">
        <v>345</v>
      </c>
      <c r="E2564" s="4" t="s">
        <v>60</v>
      </c>
      <c r="F2564" s="2"/>
      <c r="G2564" s="2" t="s">
        <v>1399</v>
      </c>
      <c r="H2564" s="2" t="s">
        <v>1400</v>
      </c>
      <c r="I2564" s="4" t="s">
        <v>62</v>
      </c>
      <c r="J2564" s="112">
        <f>IF($H2564&lt;&gt;"Y",0,ROUND(MIN(Dashboard!$R$24,IF(IFERROR(VLOOKUP($B2564,Dashboard!$Q$28:$S$60,2,FALSE),0)&gt;0,IFERROR(VLOOKUP($B2564,Dashboard!$Q$28:$S$60,2,FALSE),0),$Z2564*IF($U2564&lt;&gt;"",ROUND((Dashboard!$R$4/$U2564)*VLOOKUP($I2564,Dashboard!$Q$9:$R$13,2,FALSE)*IF(ISNUMBER(SEARCH("Duals",$B2564)),2,IF(ISNUMBER(SEARCH("Triples",$B2564)),3,IF(ISNUMBER(SEARCH("Quads",$B2564)),4,1))),2),ROUND(VLOOKUP($I2564,Dashboard!$Q$15:$R$20,2,FALSE)*IF($E2564="Red",Dashboard!$R$6,IF($E2564="Gold",Dashboard!$R$7,Dashboard!$R$5))*IF(ISNUMBER(SEARCH("Duals",$B2564)),2,IF(ISNUMBER(SEARCH("Triples",$B2564)),3,IF(ISNUMBER(SEARCH("Quads",$B2564)),4,1))),2))*IF(IFERROR(VLOOKUP($B2564,Dashboard!$Q$28:$S$60,3,FALSE),0)&gt;0,VLOOKUP($B2564,Dashboard!$Q$28:$S$60,3,FALSE),1))),0))</f>
        <v>2</v>
      </c>
      <c r="K2564" s="2" t="str">
        <f>IF('Action Figures'!C25="","",'Action Figures'!C25)</f>
        <v>C</v>
      </c>
      <c r="L2564" s="2">
        <f t="shared" si="520"/>
        <v>1</v>
      </c>
      <c r="M2564" s="2">
        <f t="shared" si="521"/>
        <v>0</v>
      </c>
      <c r="N2564" s="2">
        <f t="shared" si="522"/>
        <v>1</v>
      </c>
      <c r="O2564" s="2">
        <f t="shared" si="523"/>
        <v>0</v>
      </c>
      <c r="P2564" s="112">
        <f t="shared" si="524"/>
        <v>2</v>
      </c>
      <c r="Q2564" s="112">
        <f t="shared" si="525"/>
        <v>0</v>
      </c>
      <c r="R2564" s="53"/>
      <c r="S2564" s="53" t="str">
        <f t="shared" si="526"/>
        <v>Action Figures|Action Figures Variation|AFV-9|Base</v>
      </c>
      <c r="T2564" s="57">
        <f>IF($S2564="","",IFERROR(VLOOKUP($S2564,'Pop Estimates (Non-#d)'!$N$2:$O$500,2,FALSE),""))</f>
        <v>760</v>
      </c>
      <c r="U2564" s="57">
        <f t="shared" si="527"/>
        <v>760</v>
      </c>
      <c r="V2564" s="53" t="str">
        <f t="shared" si="528"/>
        <v/>
      </c>
      <c r="W2564" s="53" t="str">
        <f t="shared" si="529"/>
        <v/>
      </c>
      <c r="X2564" s="53" t="str">
        <f t="shared" si="530"/>
        <v/>
      </c>
      <c r="Y2564" s="57" t="str">
        <f>IF($X2564="","",IFERROR(VLOOKUP($X2564,'Char Popularity'!$A$2:$C$500,2,FALSE),""))</f>
        <v/>
      </c>
      <c r="Z2564" s="56">
        <f>IF($X2564="",1,IFERROR(VLOOKUP($X2564,'Char Popularity'!$A$2:$C$500,3,FALSE),1))</f>
        <v>1</v>
      </c>
      <c r="AA2564" s="62">
        <f>IF($H2564&lt;&gt;"Y",0,(IF($F2564&lt;&gt;"",ROUND(Dashboard!$R$4/$F2564,1),IF(AND($I2564="Base",$E2564="Base"),Dashboard!$R$5,IF(AND($I2564="Base",$E2564="Red"),Dashboard!$R$6,IF(AND($I2564="Base",$E2564="Gold"),Dashboard!$R$7,VLOOKUP($I2564,Dashboard!$Q$16:$R$21,2,FALSE)))))*VLOOKUP($I2564,Dashboard!$Q$9:$R$13,2,FALSE)*IF(AND($I2564="Auto",$F2564="",OR($B2564="Autographs Duals",$B2564="Autographs Triples",$B2564="Autographs Quads",$B2564="Autographs Quads (Inscribed)")),IF($B2564="Autographs Duals",2,IF($B2564="Autographs Triples",3,4)),1)))</f>
        <v>6</v>
      </c>
      <c r="AB2564" s="62">
        <f t="shared" si="531"/>
        <v>6</v>
      </c>
      <c r="AC2564" s="62">
        <f t="shared" si="532"/>
        <v>0</v>
      </c>
    </row>
    <row r="2565" spans="1:29" ht="42.95" customHeight="1" x14ac:dyDescent="0.25">
      <c r="A2565" s="4" t="s">
        <v>41</v>
      </c>
      <c r="B2565" s="7" t="s">
        <v>128</v>
      </c>
      <c r="C2565" s="2" t="s">
        <v>614</v>
      </c>
      <c r="D2565" s="7" t="s">
        <v>454</v>
      </c>
      <c r="E2565" s="4" t="s">
        <v>60</v>
      </c>
      <c r="F2565" s="2"/>
      <c r="G2565" s="2" t="s">
        <v>1399</v>
      </c>
      <c r="H2565" s="2" t="s">
        <v>1400</v>
      </c>
      <c r="I2565" s="4" t="s">
        <v>62</v>
      </c>
      <c r="J2565" s="112">
        <f>IF($H2565&lt;&gt;"Y",0,ROUND(MIN(Dashboard!$R$24,IF(IFERROR(VLOOKUP($B2565,Dashboard!$Q$28:$S$60,2,FALSE),0)&gt;0,IFERROR(VLOOKUP($B2565,Dashboard!$Q$28:$S$60,2,FALSE),0),$Z2565*IF($U2565&lt;&gt;"",ROUND((Dashboard!$R$4/$U2565)*VLOOKUP($I2565,Dashboard!$Q$9:$R$13,2,FALSE)*IF(ISNUMBER(SEARCH("Duals",$B2565)),2,IF(ISNUMBER(SEARCH("Triples",$B2565)),3,IF(ISNUMBER(SEARCH("Quads",$B2565)),4,1))),2),ROUND(VLOOKUP($I2565,Dashboard!$Q$15:$R$20,2,FALSE)*IF($E2565="Red",Dashboard!$R$6,IF($E2565="Gold",Dashboard!$R$7,Dashboard!$R$5))*IF(ISNUMBER(SEARCH("Duals",$B2565)),2,IF(ISNUMBER(SEARCH("Triples",$B2565)),3,IF(ISNUMBER(SEARCH("Quads",$B2565)),4,1))),2))*IF(IFERROR(VLOOKUP($B2565,Dashboard!$Q$28:$S$60,3,FALSE),0)&gt;0,VLOOKUP($B2565,Dashboard!$Q$28:$S$60,3,FALSE),1))),0))</f>
        <v>2</v>
      </c>
      <c r="K2565" s="2" t="str">
        <f>IF('Action Figures'!C26="","",'Action Figures'!C26)</f>
        <v>V</v>
      </c>
      <c r="L2565" s="2">
        <f t="shared" si="520"/>
        <v>1</v>
      </c>
      <c r="M2565" s="2">
        <f t="shared" si="521"/>
        <v>0</v>
      </c>
      <c r="N2565" s="2">
        <f t="shared" si="522"/>
        <v>1</v>
      </c>
      <c r="O2565" s="2">
        <f t="shared" si="523"/>
        <v>0</v>
      </c>
      <c r="P2565" s="112">
        <f t="shared" si="524"/>
        <v>2</v>
      </c>
      <c r="Q2565" s="112">
        <f t="shared" si="525"/>
        <v>0</v>
      </c>
      <c r="R2565" s="53"/>
      <c r="S2565" s="53" t="str">
        <f t="shared" si="526"/>
        <v>Action Figures|Action Figures Variation|AFV-10|Base</v>
      </c>
      <c r="T2565" s="57">
        <f>IF($S2565="","",IFERROR(VLOOKUP($S2565,'Pop Estimates (Non-#d)'!$N$2:$O$500,2,FALSE),""))</f>
        <v>760</v>
      </c>
      <c r="U2565" s="57">
        <f t="shared" si="527"/>
        <v>760</v>
      </c>
      <c r="V2565" s="53" t="str">
        <f t="shared" si="528"/>
        <v/>
      </c>
      <c r="W2565" s="53" t="str">
        <f t="shared" si="529"/>
        <v/>
      </c>
      <c r="X2565" s="53" t="str">
        <f t="shared" si="530"/>
        <v/>
      </c>
      <c r="Y2565" s="57" t="str">
        <f>IF($X2565="","",IFERROR(VLOOKUP($X2565,'Char Popularity'!$A$2:$C$500,2,FALSE),""))</f>
        <v/>
      </c>
      <c r="Z2565" s="56">
        <f>IF($X2565="",1,IFERROR(VLOOKUP($X2565,'Char Popularity'!$A$2:$C$500,3,FALSE),1))</f>
        <v>1</v>
      </c>
      <c r="AA2565" s="62">
        <f>IF($H2565&lt;&gt;"Y",0,(IF($F2565&lt;&gt;"",ROUND(Dashboard!$R$4/$F2565,1),IF(AND($I2565="Base",$E2565="Base"),Dashboard!$R$5,IF(AND($I2565="Base",$E2565="Red"),Dashboard!$R$6,IF(AND($I2565="Base",$E2565="Gold"),Dashboard!$R$7,VLOOKUP($I2565,Dashboard!$Q$16:$R$21,2,FALSE)))))*VLOOKUP($I2565,Dashboard!$Q$9:$R$13,2,FALSE)*IF(AND($I2565="Auto",$F2565="",OR($B2565="Autographs Duals",$B2565="Autographs Triples",$B2565="Autographs Quads",$B2565="Autographs Quads (Inscribed)")),IF($B2565="Autographs Duals",2,IF($B2565="Autographs Triples",3,4)),1)))</f>
        <v>6</v>
      </c>
      <c r="AB2565" s="62">
        <f t="shared" si="531"/>
        <v>6</v>
      </c>
      <c r="AC2565" s="62">
        <f t="shared" si="532"/>
        <v>0</v>
      </c>
    </row>
    <row r="2566" spans="1:29" ht="42.95" customHeight="1" x14ac:dyDescent="0.25">
      <c r="A2566" s="4" t="s">
        <v>41</v>
      </c>
      <c r="B2566" s="7" t="s">
        <v>128</v>
      </c>
      <c r="C2566" s="2" t="s">
        <v>615</v>
      </c>
      <c r="D2566" s="7" t="s">
        <v>339</v>
      </c>
      <c r="E2566" s="4" t="s">
        <v>60</v>
      </c>
      <c r="F2566" s="2"/>
      <c r="G2566" s="2" t="s">
        <v>1399</v>
      </c>
      <c r="H2566" s="2" t="s">
        <v>1400</v>
      </c>
      <c r="I2566" s="4" t="s">
        <v>62</v>
      </c>
      <c r="J2566" s="112">
        <f>IF($H2566&lt;&gt;"Y",0,ROUND(MIN(Dashboard!$R$24,IF(IFERROR(VLOOKUP($B2566,Dashboard!$Q$28:$S$60,2,FALSE),0)&gt;0,IFERROR(VLOOKUP($B2566,Dashboard!$Q$28:$S$60,2,FALSE),0),$Z2566*IF($U2566&lt;&gt;"",ROUND((Dashboard!$R$4/$U2566)*VLOOKUP($I2566,Dashboard!$Q$9:$R$13,2,FALSE)*IF(ISNUMBER(SEARCH("Duals",$B2566)),2,IF(ISNUMBER(SEARCH("Triples",$B2566)),3,IF(ISNUMBER(SEARCH("Quads",$B2566)),4,1))),2),ROUND(VLOOKUP($I2566,Dashboard!$Q$15:$R$20,2,FALSE)*IF($E2566="Red",Dashboard!$R$6,IF($E2566="Gold",Dashboard!$R$7,Dashboard!$R$5))*IF(ISNUMBER(SEARCH("Duals",$B2566)),2,IF(ISNUMBER(SEARCH("Triples",$B2566)),3,IF(ISNUMBER(SEARCH("Quads",$B2566)),4,1))),2))*IF(IFERROR(VLOOKUP($B2566,Dashboard!$Q$28:$S$60,3,FALSE),0)&gt;0,VLOOKUP($B2566,Dashboard!$Q$28:$S$60,3,FALSE),1))),0))</f>
        <v>2</v>
      </c>
      <c r="K2566" s="2" t="str">
        <f>IF('Action Figures'!C27="","",'Action Figures'!C27)</f>
        <v>C</v>
      </c>
      <c r="L2566" s="2">
        <f t="shared" si="520"/>
        <v>1</v>
      </c>
      <c r="M2566" s="2">
        <f t="shared" si="521"/>
        <v>0</v>
      </c>
      <c r="N2566" s="2">
        <f t="shared" si="522"/>
        <v>1</v>
      </c>
      <c r="O2566" s="2">
        <f t="shared" si="523"/>
        <v>0</v>
      </c>
      <c r="P2566" s="112">
        <f t="shared" si="524"/>
        <v>2</v>
      </c>
      <c r="Q2566" s="112">
        <f t="shared" si="525"/>
        <v>0</v>
      </c>
      <c r="R2566" s="53"/>
      <c r="S2566" s="53" t="str">
        <f t="shared" si="526"/>
        <v>Action Figures|Action Figures Variation|AFV-11|Base</v>
      </c>
      <c r="T2566" s="57">
        <f>IF($S2566="","",IFERROR(VLOOKUP($S2566,'Pop Estimates (Non-#d)'!$N$2:$O$500,2,FALSE),""))</f>
        <v>760</v>
      </c>
      <c r="U2566" s="57">
        <f t="shared" si="527"/>
        <v>760</v>
      </c>
      <c r="V2566" s="53" t="str">
        <f t="shared" si="528"/>
        <v/>
      </c>
      <c r="W2566" s="53" t="str">
        <f t="shared" si="529"/>
        <v/>
      </c>
      <c r="X2566" s="53" t="str">
        <f t="shared" si="530"/>
        <v/>
      </c>
      <c r="Y2566" s="57" t="str">
        <f>IF($X2566="","",IFERROR(VLOOKUP($X2566,'Char Popularity'!$A$2:$C$500,2,FALSE),""))</f>
        <v/>
      </c>
      <c r="Z2566" s="56">
        <f>IF($X2566="",1,IFERROR(VLOOKUP($X2566,'Char Popularity'!$A$2:$C$500,3,FALSE),1))</f>
        <v>1</v>
      </c>
      <c r="AA2566" s="62">
        <f>IF($H2566&lt;&gt;"Y",0,(IF($F2566&lt;&gt;"",ROUND(Dashboard!$R$4/$F2566,1),IF(AND($I2566="Base",$E2566="Base"),Dashboard!$R$5,IF(AND($I2566="Base",$E2566="Red"),Dashboard!$R$6,IF(AND($I2566="Base",$E2566="Gold"),Dashboard!$R$7,VLOOKUP($I2566,Dashboard!$Q$16:$R$21,2,FALSE)))))*VLOOKUP($I2566,Dashboard!$Q$9:$R$13,2,FALSE)*IF(AND($I2566="Auto",$F2566="",OR($B2566="Autographs Duals",$B2566="Autographs Triples",$B2566="Autographs Quads",$B2566="Autographs Quads (Inscribed)")),IF($B2566="Autographs Duals",2,IF($B2566="Autographs Triples",3,4)),1)))</f>
        <v>6</v>
      </c>
      <c r="AB2566" s="62">
        <f t="shared" si="531"/>
        <v>6</v>
      </c>
      <c r="AC2566" s="62">
        <f t="shared" si="532"/>
        <v>0</v>
      </c>
    </row>
    <row r="2567" spans="1:29" ht="42.95" customHeight="1" x14ac:dyDescent="0.25">
      <c r="A2567" s="4" t="s">
        <v>41</v>
      </c>
      <c r="B2567" s="7" t="s">
        <v>128</v>
      </c>
      <c r="C2567" s="2" t="s">
        <v>616</v>
      </c>
      <c r="D2567" s="7" t="s">
        <v>343</v>
      </c>
      <c r="E2567" s="4" t="s">
        <v>60</v>
      </c>
      <c r="F2567" s="2"/>
      <c r="G2567" s="2" t="s">
        <v>1399</v>
      </c>
      <c r="H2567" s="2" t="s">
        <v>1400</v>
      </c>
      <c r="I2567" s="4" t="s">
        <v>62</v>
      </c>
      <c r="J2567" s="112">
        <f>IF($H2567&lt;&gt;"Y",0,ROUND(MIN(Dashboard!$R$24,IF(IFERROR(VLOOKUP($B2567,Dashboard!$Q$28:$S$60,2,FALSE),0)&gt;0,IFERROR(VLOOKUP($B2567,Dashboard!$Q$28:$S$60,2,FALSE),0),$Z2567*IF($U2567&lt;&gt;"",ROUND((Dashboard!$R$4/$U2567)*VLOOKUP($I2567,Dashboard!$Q$9:$R$13,2,FALSE)*IF(ISNUMBER(SEARCH("Duals",$B2567)),2,IF(ISNUMBER(SEARCH("Triples",$B2567)),3,IF(ISNUMBER(SEARCH("Quads",$B2567)),4,1))),2),ROUND(VLOOKUP($I2567,Dashboard!$Q$15:$R$20,2,FALSE)*IF($E2567="Red",Dashboard!$R$6,IF($E2567="Gold",Dashboard!$R$7,Dashboard!$R$5))*IF(ISNUMBER(SEARCH("Duals",$B2567)),2,IF(ISNUMBER(SEARCH("Triples",$B2567)),3,IF(ISNUMBER(SEARCH("Quads",$B2567)),4,1))),2))*IF(IFERROR(VLOOKUP($B2567,Dashboard!$Q$28:$S$60,3,FALSE),0)&gt;0,VLOOKUP($B2567,Dashboard!$Q$28:$S$60,3,FALSE),1))),0))</f>
        <v>2</v>
      </c>
      <c r="K2567" s="2" t="str">
        <f>IF('Action Figures'!C28="","",'Action Figures'!C28)</f>
        <v>C</v>
      </c>
      <c r="L2567" s="2">
        <f t="shared" si="520"/>
        <v>1</v>
      </c>
      <c r="M2567" s="2">
        <f t="shared" si="521"/>
        <v>0</v>
      </c>
      <c r="N2567" s="2">
        <f t="shared" si="522"/>
        <v>1</v>
      </c>
      <c r="O2567" s="2">
        <f t="shared" si="523"/>
        <v>0</v>
      </c>
      <c r="P2567" s="112">
        <f t="shared" si="524"/>
        <v>2</v>
      </c>
      <c r="Q2567" s="112">
        <f t="shared" si="525"/>
        <v>0</v>
      </c>
      <c r="R2567" s="53"/>
      <c r="S2567" s="53" t="str">
        <f t="shared" si="526"/>
        <v>Action Figures|Action Figures Variation|AFV-12|Base</v>
      </c>
      <c r="T2567" s="57">
        <f>IF($S2567="","",IFERROR(VLOOKUP($S2567,'Pop Estimates (Non-#d)'!$N$2:$O$500,2,FALSE),""))</f>
        <v>760</v>
      </c>
      <c r="U2567" s="57">
        <f t="shared" si="527"/>
        <v>760</v>
      </c>
      <c r="V2567" s="53" t="str">
        <f t="shared" si="528"/>
        <v/>
      </c>
      <c r="W2567" s="53" t="str">
        <f t="shared" si="529"/>
        <v/>
      </c>
      <c r="X2567" s="53" t="str">
        <f t="shared" si="530"/>
        <v/>
      </c>
      <c r="Y2567" s="57" t="str">
        <f>IF($X2567="","",IFERROR(VLOOKUP($X2567,'Char Popularity'!$A$2:$C$500,2,FALSE),""))</f>
        <v/>
      </c>
      <c r="Z2567" s="56">
        <f>IF($X2567="",1,IFERROR(VLOOKUP($X2567,'Char Popularity'!$A$2:$C$500,3,FALSE),1))</f>
        <v>1</v>
      </c>
      <c r="AA2567" s="62">
        <f>IF($H2567&lt;&gt;"Y",0,(IF($F2567&lt;&gt;"",ROUND(Dashboard!$R$4/$F2567,1),IF(AND($I2567="Base",$E2567="Base"),Dashboard!$R$5,IF(AND($I2567="Base",$E2567="Red"),Dashboard!$R$6,IF(AND($I2567="Base",$E2567="Gold"),Dashboard!$R$7,VLOOKUP($I2567,Dashboard!$Q$16:$R$21,2,FALSE)))))*VLOOKUP($I2567,Dashboard!$Q$9:$R$13,2,FALSE)*IF(AND($I2567="Auto",$F2567="",OR($B2567="Autographs Duals",$B2567="Autographs Triples",$B2567="Autographs Quads",$B2567="Autographs Quads (Inscribed)")),IF($B2567="Autographs Duals",2,IF($B2567="Autographs Triples",3,4)),1)))</f>
        <v>6</v>
      </c>
      <c r="AB2567" s="62">
        <f t="shared" si="531"/>
        <v>6</v>
      </c>
      <c r="AC2567" s="62">
        <f t="shared" si="532"/>
        <v>0</v>
      </c>
    </row>
    <row r="2568" spans="1:29" ht="42.95" customHeight="1" x14ac:dyDescent="0.25">
      <c r="A2568" s="4" t="s">
        <v>41</v>
      </c>
      <c r="B2568" s="7" t="s">
        <v>128</v>
      </c>
      <c r="C2568" s="2" t="s">
        <v>617</v>
      </c>
      <c r="D2568" s="7" t="s">
        <v>446</v>
      </c>
      <c r="E2568" s="4" t="s">
        <v>60</v>
      </c>
      <c r="F2568" s="2"/>
      <c r="G2568" s="2" t="s">
        <v>1399</v>
      </c>
      <c r="H2568" s="2" t="s">
        <v>1400</v>
      </c>
      <c r="I2568" s="4" t="s">
        <v>62</v>
      </c>
      <c r="J2568" s="112">
        <f>IF($H2568&lt;&gt;"Y",0,ROUND(MIN(Dashboard!$R$24,IF(IFERROR(VLOOKUP($B2568,Dashboard!$Q$28:$S$60,2,FALSE),0)&gt;0,IFERROR(VLOOKUP($B2568,Dashboard!$Q$28:$S$60,2,FALSE),0),$Z2568*IF($U2568&lt;&gt;"",ROUND((Dashboard!$R$4/$U2568)*VLOOKUP($I2568,Dashboard!$Q$9:$R$13,2,FALSE)*IF(ISNUMBER(SEARCH("Duals",$B2568)),2,IF(ISNUMBER(SEARCH("Triples",$B2568)),3,IF(ISNUMBER(SEARCH("Quads",$B2568)),4,1))),2),ROUND(VLOOKUP($I2568,Dashboard!$Q$15:$R$20,2,FALSE)*IF($E2568="Red",Dashboard!$R$6,IF($E2568="Gold",Dashboard!$R$7,Dashboard!$R$5))*IF(ISNUMBER(SEARCH("Duals",$B2568)),2,IF(ISNUMBER(SEARCH("Triples",$B2568)),3,IF(ISNUMBER(SEARCH("Quads",$B2568)),4,1))),2))*IF(IFERROR(VLOOKUP($B2568,Dashboard!$Q$28:$S$60,3,FALSE),0)&gt;0,VLOOKUP($B2568,Dashboard!$Q$28:$S$60,3,FALSE),1))),0))</f>
        <v>2</v>
      </c>
      <c r="K2568" s="2" t="str">
        <f>IF('Action Figures'!C29="","",'Action Figures'!C29)</f>
        <v>V</v>
      </c>
      <c r="L2568" s="2">
        <f t="shared" si="520"/>
        <v>1</v>
      </c>
      <c r="M2568" s="2">
        <f t="shared" si="521"/>
        <v>0</v>
      </c>
      <c r="N2568" s="2">
        <f t="shared" si="522"/>
        <v>1</v>
      </c>
      <c r="O2568" s="2">
        <f t="shared" si="523"/>
        <v>0</v>
      </c>
      <c r="P2568" s="112">
        <f t="shared" si="524"/>
        <v>2</v>
      </c>
      <c r="Q2568" s="112">
        <f t="shared" si="525"/>
        <v>0</v>
      </c>
      <c r="R2568" s="53"/>
      <c r="S2568" s="53" t="str">
        <f t="shared" si="526"/>
        <v>Action Figures|Action Figures Variation|AFV-13|Base</v>
      </c>
      <c r="T2568" s="57">
        <f>IF($S2568="","",IFERROR(VLOOKUP($S2568,'Pop Estimates (Non-#d)'!$N$2:$O$500,2,FALSE),""))</f>
        <v>760</v>
      </c>
      <c r="U2568" s="57">
        <f t="shared" si="527"/>
        <v>760</v>
      </c>
      <c r="V2568" s="53" t="str">
        <f t="shared" si="528"/>
        <v/>
      </c>
      <c r="W2568" s="53" t="str">
        <f t="shared" si="529"/>
        <v/>
      </c>
      <c r="X2568" s="53" t="str">
        <f t="shared" si="530"/>
        <v/>
      </c>
      <c r="Y2568" s="57" t="str">
        <f>IF($X2568="","",IFERROR(VLOOKUP($X2568,'Char Popularity'!$A$2:$C$500,2,FALSE),""))</f>
        <v/>
      </c>
      <c r="Z2568" s="56">
        <f>IF($X2568="",1,IFERROR(VLOOKUP($X2568,'Char Popularity'!$A$2:$C$500,3,FALSE),1))</f>
        <v>1</v>
      </c>
      <c r="AA2568" s="62">
        <f>IF($H2568&lt;&gt;"Y",0,(IF($F2568&lt;&gt;"",ROUND(Dashboard!$R$4/$F2568,1),IF(AND($I2568="Base",$E2568="Base"),Dashboard!$R$5,IF(AND($I2568="Base",$E2568="Red"),Dashboard!$R$6,IF(AND($I2568="Base",$E2568="Gold"),Dashboard!$R$7,VLOOKUP($I2568,Dashboard!$Q$16:$R$21,2,FALSE)))))*VLOOKUP($I2568,Dashboard!$Q$9:$R$13,2,FALSE)*IF(AND($I2568="Auto",$F2568="",OR($B2568="Autographs Duals",$B2568="Autographs Triples",$B2568="Autographs Quads",$B2568="Autographs Quads (Inscribed)")),IF($B2568="Autographs Duals",2,IF($B2568="Autographs Triples",3,4)),1)))</f>
        <v>6</v>
      </c>
      <c r="AB2568" s="62">
        <f t="shared" si="531"/>
        <v>6</v>
      </c>
      <c r="AC2568" s="62">
        <f t="shared" si="532"/>
        <v>0</v>
      </c>
    </row>
    <row r="2569" spans="1:29" ht="42.95" customHeight="1" x14ac:dyDescent="0.25">
      <c r="A2569" s="4" t="s">
        <v>41</v>
      </c>
      <c r="B2569" s="7" t="s">
        <v>128</v>
      </c>
      <c r="C2569" s="2" t="s">
        <v>618</v>
      </c>
      <c r="D2569" s="7" t="s">
        <v>389</v>
      </c>
      <c r="E2569" s="4" t="s">
        <v>60</v>
      </c>
      <c r="F2569" s="2"/>
      <c r="G2569" s="2" t="s">
        <v>1399</v>
      </c>
      <c r="H2569" s="2" t="s">
        <v>1400</v>
      </c>
      <c r="I2569" s="4" t="s">
        <v>62</v>
      </c>
      <c r="J2569" s="112">
        <f>IF($H2569&lt;&gt;"Y",0,ROUND(MIN(Dashboard!$R$24,IF(IFERROR(VLOOKUP($B2569,Dashboard!$Q$28:$S$60,2,FALSE),0)&gt;0,IFERROR(VLOOKUP($B2569,Dashboard!$Q$28:$S$60,2,FALSE),0),$Z2569*IF($U2569&lt;&gt;"",ROUND((Dashboard!$R$4/$U2569)*VLOOKUP($I2569,Dashboard!$Q$9:$R$13,2,FALSE)*IF(ISNUMBER(SEARCH("Duals",$B2569)),2,IF(ISNUMBER(SEARCH("Triples",$B2569)),3,IF(ISNUMBER(SEARCH("Quads",$B2569)),4,1))),2),ROUND(VLOOKUP($I2569,Dashboard!$Q$15:$R$20,2,FALSE)*IF($E2569="Red",Dashboard!$R$6,IF($E2569="Gold",Dashboard!$R$7,Dashboard!$R$5))*IF(ISNUMBER(SEARCH("Duals",$B2569)),2,IF(ISNUMBER(SEARCH("Triples",$B2569)),3,IF(ISNUMBER(SEARCH("Quads",$B2569)),4,1))),2))*IF(IFERROR(VLOOKUP($B2569,Dashboard!$Q$28:$S$60,3,FALSE),0)&gt;0,VLOOKUP($B2569,Dashboard!$Q$28:$S$60,3,FALSE),1))),0))</f>
        <v>2</v>
      </c>
      <c r="K2569" s="2" t="str">
        <f>IF('Action Figures'!C30="","",'Action Figures'!C30)</f>
        <v>V</v>
      </c>
      <c r="L2569" s="2">
        <f t="shared" si="520"/>
        <v>1</v>
      </c>
      <c r="M2569" s="2">
        <f t="shared" si="521"/>
        <v>0</v>
      </c>
      <c r="N2569" s="2">
        <f t="shared" si="522"/>
        <v>1</v>
      </c>
      <c r="O2569" s="2">
        <f t="shared" si="523"/>
        <v>0</v>
      </c>
      <c r="P2569" s="112">
        <f t="shared" si="524"/>
        <v>2</v>
      </c>
      <c r="Q2569" s="112">
        <f t="shared" si="525"/>
        <v>0</v>
      </c>
      <c r="R2569" s="53"/>
      <c r="S2569" s="53" t="str">
        <f t="shared" si="526"/>
        <v>Action Figures|Action Figures Variation|AFV-14|Base</v>
      </c>
      <c r="T2569" s="57">
        <f>IF($S2569="","",IFERROR(VLOOKUP($S2569,'Pop Estimates (Non-#d)'!$N$2:$O$500,2,FALSE),""))</f>
        <v>760</v>
      </c>
      <c r="U2569" s="57">
        <f t="shared" si="527"/>
        <v>760</v>
      </c>
      <c r="V2569" s="53" t="str">
        <f t="shared" si="528"/>
        <v/>
      </c>
      <c r="W2569" s="53" t="str">
        <f t="shared" si="529"/>
        <v/>
      </c>
      <c r="X2569" s="53" t="str">
        <f t="shared" si="530"/>
        <v/>
      </c>
      <c r="Y2569" s="57" t="str">
        <f>IF($X2569="","",IFERROR(VLOOKUP($X2569,'Char Popularity'!$A$2:$C$500,2,FALSE),""))</f>
        <v/>
      </c>
      <c r="Z2569" s="56">
        <f>IF($X2569="",1,IFERROR(VLOOKUP($X2569,'Char Popularity'!$A$2:$C$500,3,FALSE),1))</f>
        <v>1</v>
      </c>
      <c r="AA2569" s="62">
        <f>IF($H2569&lt;&gt;"Y",0,(IF($F2569&lt;&gt;"",ROUND(Dashboard!$R$4/$F2569,1),IF(AND($I2569="Base",$E2569="Base"),Dashboard!$R$5,IF(AND($I2569="Base",$E2569="Red"),Dashboard!$R$6,IF(AND($I2569="Base",$E2569="Gold"),Dashboard!$R$7,VLOOKUP($I2569,Dashboard!$Q$16:$R$21,2,FALSE)))))*VLOOKUP($I2569,Dashboard!$Q$9:$R$13,2,FALSE)*IF(AND($I2569="Auto",$F2569="",OR($B2569="Autographs Duals",$B2569="Autographs Triples",$B2569="Autographs Quads",$B2569="Autographs Quads (Inscribed)")),IF($B2569="Autographs Duals",2,IF($B2569="Autographs Triples",3,4)),1)))</f>
        <v>6</v>
      </c>
      <c r="AB2569" s="62">
        <f t="shared" si="531"/>
        <v>6</v>
      </c>
      <c r="AC2569" s="62">
        <f t="shared" si="532"/>
        <v>0</v>
      </c>
    </row>
    <row r="2570" spans="1:29" ht="42.95" customHeight="1" x14ac:dyDescent="0.25">
      <c r="A2570" s="4" t="s">
        <v>41</v>
      </c>
      <c r="B2570" s="7" t="s">
        <v>128</v>
      </c>
      <c r="C2570" s="2" t="s">
        <v>619</v>
      </c>
      <c r="D2570" s="7" t="s">
        <v>384</v>
      </c>
      <c r="E2570" s="4" t="s">
        <v>60</v>
      </c>
      <c r="F2570" s="2"/>
      <c r="G2570" s="2" t="s">
        <v>1399</v>
      </c>
      <c r="H2570" s="2" t="s">
        <v>1400</v>
      </c>
      <c r="I2570" s="4" t="s">
        <v>62</v>
      </c>
      <c r="J2570" s="112">
        <f>IF($H2570&lt;&gt;"Y",0,ROUND(MIN(Dashboard!$R$24,IF(IFERROR(VLOOKUP($B2570,Dashboard!$Q$28:$S$60,2,FALSE),0)&gt;0,IFERROR(VLOOKUP($B2570,Dashboard!$Q$28:$S$60,2,FALSE),0),$Z2570*IF($U2570&lt;&gt;"",ROUND((Dashboard!$R$4/$U2570)*VLOOKUP($I2570,Dashboard!$Q$9:$R$13,2,FALSE)*IF(ISNUMBER(SEARCH("Duals",$B2570)),2,IF(ISNUMBER(SEARCH("Triples",$B2570)),3,IF(ISNUMBER(SEARCH("Quads",$B2570)),4,1))),2),ROUND(VLOOKUP($I2570,Dashboard!$Q$15:$R$20,2,FALSE)*IF($E2570="Red",Dashboard!$R$6,IF($E2570="Gold",Dashboard!$R$7,Dashboard!$R$5))*IF(ISNUMBER(SEARCH("Duals",$B2570)),2,IF(ISNUMBER(SEARCH("Triples",$B2570)),3,IF(ISNUMBER(SEARCH("Quads",$B2570)),4,1))),2))*IF(IFERROR(VLOOKUP($B2570,Dashboard!$Q$28:$S$60,3,FALSE),0)&gt;0,VLOOKUP($B2570,Dashboard!$Q$28:$S$60,3,FALSE),1))),0))</f>
        <v>2</v>
      </c>
      <c r="K2570" s="2" t="str">
        <f>IF('Action Figures'!C31="","",'Action Figures'!C31)</f>
        <v>C</v>
      </c>
      <c r="L2570" s="2">
        <f>IF(AND($K5000&lt;&gt;"",LEFT($K5000,1)&lt;&gt;"Y"),1,0)</f>
        <v>0</v>
      </c>
      <c r="M2570" s="2">
        <f>IF(LEFT($K5000,1)="Y",1,0)</f>
        <v>0</v>
      </c>
      <c r="N2570" s="2">
        <f>$L5000+$M5000</f>
        <v>0</v>
      </c>
      <c r="O2570" s="2">
        <f>IF($H5000="Y",1-$N5000,0)</f>
        <v>0</v>
      </c>
      <c r="P2570" s="112">
        <f>IF($L5000=1,$J5000,0)</f>
        <v>0</v>
      </c>
      <c r="Q2570" s="112">
        <f>IF($M5000=1,$J5000,0)</f>
        <v>0</v>
      </c>
      <c r="R2570" s="53"/>
      <c r="S2570" s="53" t="str">
        <f t="shared" si="526"/>
        <v>Action Figures|Action Figures Variation|AFV-15|Base</v>
      </c>
      <c r="T2570" s="57">
        <f>IF($S2570="","",IFERROR(VLOOKUP($S2570,'Pop Estimates (Non-#d)'!$N$2:$O$500,2,FALSE),""))</f>
        <v>760</v>
      </c>
      <c r="U2570" s="57">
        <f t="shared" si="527"/>
        <v>760</v>
      </c>
      <c r="V2570" s="53" t="str">
        <f t="shared" si="528"/>
        <v/>
      </c>
      <c r="W2570" s="53" t="str">
        <f t="shared" si="529"/>
        <v/>
      </c>
      <c r="X2570" s="53" t="str">
        <f t="shared" si="530"/>
        <v/>
      </c>
      <c r="Y2570" s="57" t="str">
        <f>IF($X2570="","",IFERROR(VLOOKUP($X2570,'Char Popularity'!$A$2:$C$500,2,FALSE),""))</f>
        <v/>
      </c>
      <c r="Z2570" s="56">
        <f>IF($X2570="",1,IFERROR(VLOOKUP($X2570,'Char Popularity'!$A$2:$C$500,3,FALSE),1))</f>
        <v>1</v>
      </c>
      <c r="AA2570" s="62">
        <f>IF($H2570&lt;&gt;"Y",0,(IF($F2570&lt;&gt;"",ROUND(Dashboard!$R$4/$F2570,1),IF(AND($I2570="Base",$E2570="Base"),Dashboard!$R$5,IF(AND($I2570="Base",$E2570="Red"),Dashboard!$R$6,IF(AND($I2570="Base",$E2570="Gold"),Dashboard!$R$7,VLOOKUP($I2570,Dashboard!$Q$16:$R$21,2,FALSE)))))*VLOOKUP($I2570,Dashboard!$Q$9:$R$13,2,FALSE)*IF(AND($I2570="Auto",$F2570="",OR($B2570="Autographs Duals",$B2570="Autographs Triples",$B2570="Autographs Quads",$B2570="Autographs Quads (Inscribed)")),IF($B2570="Autographs Duals",2,IF($B2570="Autographs Triples",3,4)),1)))</f>
        <v>6</v>
      </c>
      <c r="AB2570" s="62">
        <f t="shared" si="531"/>
        <v>0</v>
      </c>
      <c r="AC2570" s="62">
        <f t="shared" si="532"/>
        <v>0</v>
      </c>
    </row>
    <row r="2571" spans="1:29" ht="28.7" customHeight="1" x14ac:dyDescent="0.25">
      <c r="A2571" s="4" t="s">
        <v>17</v>
      </c>
      <c r="B2571" s="7" t="s">
        <v>67</v>
      </c>
      <c r="C2571" s="2" t="s">
        <v>1398</v>
      </c>
      <c r="D2571" s="7" t="s">
        <v>830</v>
      </c>
      <c r="E2571" s="4" t="s">
        <v>1602</v>
      </c>
      <c r="F2571" s="2"/>
      <c r="G2571" s="2" t="s">
        <v>1399</v>
      </c>
      <c r="H2571" s="2" t="s">
        <v>1400</v>
      </c>
      <c r="I2571" s="4" t="s">
        <v>60</v>
      </c>
      <c r="J2571" s="112">
        <f>IF($H2571&lt;&gt;"Y",0,ROUND(MIN(Dashboard!$R$24,IF(IFERROR(VLOOKUP($B2571,Dashboard!$Q$28:$S$60,2,FALSE),0)&gt;0,IFERROR(VLOOKUP($B2571,Dashboard!$Q$28:$S$60,2,FALSE),0),$Z2571*IF($U2571&lt;&gt;"",ROUND((Dashboard!$R$4/$U2571)*VLOOKUP($I2571,Dashboard!$Q$9:$R$13,2,FALSE)*IF(ISNUMBER(SEARCH("Duals",$B2571)),2,IF(ISNUMBER(SEARCH("Triples",$B2571)),3,IF(ISNUMBER(SEARCH("Quads",$B2571)),4,1))),2),ROUND(VLOOKUP($I2571,Dashboard!$Q$15:$R$20,2,FALSE)*IF($E2571="Red",Dashboard!$R$6,IF($E2571="Gold",Dashboard!$R$7,Dashboard!$R$5))*IF(ISNUMBER(SEARCH("Duals",$B2571)),2,IF(ISNUMBER(SEARCH("Triples",$B2571)),3,IF(ISNUMBER(SEARCH("Quads",$B2571)),4,1))),2))*IF(IFERROR(VLOOKUP($B2571,Dashboard!$Q$28:$S$60,3,FALSE),0)&gt;0,VLOOKUP($B2571,Dashboard!$Q$28:$S$60,3,FALSE),1))),0))</f>
        <v>3</v>
      </c>
      <c r="K2571" s="2" t="str">
        <f>IF('Base S1'!E2="","",'Base S1'!E2)</f>
        <v>C</v>
      </c>
      <c r="L2571" s="2">
        <f t="shared" ref="L2571:L2634" si="533">IF(AND($K2571&lt;&gt;"",LEFT($K2571,1)&lt;&gt;"Y"),1,0)</f>
        <v>1</v>
      </c>
      <c r="M2571" s="2">
        <f t="shared" ref="M2571:M2634" si="534">IF(LEFT($K2571,1)="Y",1,0)</f>
        <v>0</v>
      </c>
      <c r="N2571" s="2">
        <f t="shared" ref="N2571:N2634" si="535">$L2571+$M2571</f>
        <v>1</v>
      </c>
      <c r="O2571" s="2">
        <f t="shared" ref="O2571:O2634" si="536">IF($H2571="Y",1-$N2571,0)</f>
        <v>0</v>
      </c>
      <c r="P2571" s="112">
        <f t="shared" ref="P2571:P2634" si="537">IF($L2571=1,$J2571,0)</f>
        <v>3</v>
      </c>
      <c r="Q2571" s="112">
        <f t="shared" ref="Q2571:Q2634" si="538">IF($M2571=1,$J2571,0)</f>
        <v>0</v>
      </c>
      <c r="R2571" s="53"/>
      <c r="S2571" s="53" t="str">
        <f t="shared" si="526"/>
        <v>Base S1|Gold Parallel - Season 1|1|Gold</v>
      </c>
      <c r="T2571" s="57" t="str">
        <f>IF($S2571="","",IFERROR(VLOOKUP($S2571,'Pop Estimates (Non-#d)'!$N$2:$O$500,2,FALSE),""))</f>
        <v/>
      </c>
      <c r="U2571" s="57" t="str">
        <f t="shared" si="527"/>
        <v/>
      </c>
      <c r="V2571" s="53" t="str">
        <f t="shared" si="528"/>
        <v/>
      </c>
      <c r="W2571" s="53" t="str">
        <f t="shared" si="529"/>
        <v/>
      </c>
      <c r="X2571" s="53" t="str">
        <f t="shared" si="530"/>
        <v/>
      </c>
      <c r="Y2571" s="57" t="str">
        <f>IF($X2571="","",IFERROR(VLOOKUP($X2571,'Char Popularity'!$A$2:$C$500,2,FALSE),""))</f>
        <v/>
      </c>
      <c r="Z2571" s="56">
        <f>IF($X2571="",1,IFERROR(VLOOKUP($X2571,'Char Popularity'!$A$2:$C$500,3,FALSE),1))</f>
        <v>1</v>
      </c>
      <c r="AA2571" s="62">
        <f>IF($H2571&lt;&gt;"Y",0,(IF($F2571&lt;&gt;"",ROUND(Dashboard!$R$4/$F2571,1),IF(AND($I2571="Base",$E2571="Base"),Dashboard!$R$5,IF(AND($I2571="Base",$E2571="Red"),Dashboard!$R$6,IF(AND($I2571="Base",$E2571="Gold"),Dashboard!$R$7,VLOOKUP($I2571,Dashboard!$Q$16:$R$21,2,FALSE)))))*VLOOKUP($I2571,Dashboard!$Q$9:$R$13,2,FALSE)*IF(AND($I2571="Auto",$F2571="",OR($B2571="Autographs Duals",$B2571="Autographs Triples",$B2571="Autographs Quads",$B2571="Autographs Quads (Inscribed)")),IF($B2571="Autographs Duals",2,IF($B2571="Autographs Triples",3,4)),1)))</f>
        <v>3</v>
      </c>
      <c r="AB2571" s="62">
        <f t="shared" si="531"/>
        <v>3</v>
      </c>
      <c r="AC2571" s="62">
        <f t="shared" si="532"/>
        <v>0</v>
      </c>
    </row>
    <row r="2572" spans="1:29" ht="28.7" customHeight="1" x14ac:dyDescent="0.25">
      <c r="A2572" s="4" t="s">
        <v>17</v>
      </c>
      <c r="B2572" s="7" t="s">
        <v>67</v>
      </c>
      <c r="C2572" s="2" t="s">
        <v>1401</v>
      </c>
      <c r="D2572" s="7" t="s">
        <v>834</v>
      </c>
      <c r="E2572" s="4" t="s">
        <v>1602</v>
      </c>
      <c r="F2572" s="2"/>
      <c r="G2572" s="2" t="s">
        <v>1399</v>
      </c>
      <c r="H2572" s="2" t="s">
        <v>1400</v>
      </c>
      <c r="I2572" s="4" t="s">
        <v>60</v>
      </c>
      <c r="J2572" s="112">
        <f>IF($H2572&lt;&gt;"Y",0,ROUND(MIN(Dashboard!$R$24,IF(IFERROR(VLOOKUP($B2572,Dashboard!$Q$28:$S$60,2,FALSE),0)&gt;0,IFERROR(VLOOKUP($B2572,Dashboard!$Q$28:$S$60,2,FALSE),0),$Z2572*IF($U2572&lt;&gt;"",ROUND((Dashboard!$R$4/$U2572)*VLOOKUP($I2572,Dashboard!$Q$9:$R$13,2,FALSE)*IF(ISNUMBER(SEARCH("Duals",$B2572)),2,IF(ISNUMBER(SEARCH("Triples",$B2572)),3,IF(ISNUMBER(SEARCH("Quads",$B2572)),4,1))),2),ROUND(VLOOKUP($I2572,Dashboard!$Q$15:$R$20,2,FALSE)*IF($E2572="Red",Dashboard!$R$6,IF($E2572="Gold",Dashboard!$R$7,Dashboard!$R$5))*IF(ISNUMBER(SEARCH("Duals",$B2572)),2,IF(ISNUMBER(SEARCH("Triples",$B2572)),3,IF(ISNUMBER(SEARCH("Quads",$B2572)),4,1))),2))*IF(IFERROR(VLOOKUP($B2572,Dashboard!$Q$28:$S$60,3,FALSE),0)&gt;0,VLOOKUP($B2572,Dashboard!$Q$28:$S$60,3,FALSE),1))),0))</f>
        <v>3</v>
      </c>
      <c r="K2572" s="2" t="str">
        <f>IF('Base S1'!E3="","",'Base S1'!E3)</f>
        <v>C</v>
      </c>
      <c r="L2572" s="2">
        <f t="shared" si="533"/>
        <v>1</v>
      </c>
      <c r="M2572" s="2">
        <f t="shared" si="534"/>
        <v>0</v>
      </c>
      <c r="N2572" s="2">
        <f t="shared" si="535"/>
        <v>1</v>
      </c>
      <c r="O2572" s="2">
        <f t="shared" si="536"/>
        <v>0</v>
      </c>
      <c r="P2572" s="112">
        <f t="shared" si="537"/>
        <v>3</v>
      </c>
      <c r="Q2572" s="112">
        <f t="shared" si="538"/>
        <v>0</v>
      </c>
      <c r="R2572" s="53"/>
      <c r="S2572" s="53" t="str">
        <f t="shared" si="526"/>
        <v>Base S1|Gold Parallel - Season 1|2|Gold</v>
      </c>
      <c r="T2572" s="57" t="str">
        <f>IF($S2572="","",IFERROR(VLOOKUP($S2572,'Pop Estimates (Non-#d)'!$N$2:$O$500,2,FALSE),""))</f>
        <v/>
      </c>
      <c r="U2572" s="57" t="str">
        <f t="shared" si="527"/>
        <v/>
      </c>
      <c r="V2572" s="53" t="str">
        <f t="shared" si="528"/>
        <v/>
      </c>
      <c r="W2572" s="53" t="str">
        <f t="shared" si="529"/>
        <v/>
      </c>
      <c r="X2572" s="53" t="str">
        <f t="shared" si="530"/>
        <v/>
      </c>
      <c r="Y2572" s="57" t="str">
        <f>IF($X2572="","",IFERROR(VLOOKUP($X2572,'Char Popularity'!$A$2:$C$500,2,FALSE),""))</f>
        <v/>
      </c>
      <c r="Z2572" s="56">
        <f>IF($X2572="",1,IFERROR(VLOOKUP($X2572,'Char Popularity'!$A$2:$C$500,3,FALSE),1))</f>
        <v>1</v>
      </c>
      <c r="AA2572" s="62">
        <f>IF($H2572&lt;&gt;"Y",0,(IF($F2572&lt;&gt;"",ROUND(Dashboard!$R$4/$F2572,1),IF(AND($I2572="Base",$E2572="Base"),Dashboard!$R$5,IF(AND($I2572="Base",$E2572="Red"),Dashboard!$R$6,IF(AND($I2572="Base",$E2572="Gold"),Dashboard!$R$7,VLOOKUP($I2572,Dashboard!$Q$16:$R$21,2,FALSE)))))*VLOOKUP($I2572,Dashboard!$Q$9:$R$13,2,FALSE)*IF(AND($I2572="Auto",$F2572="",OR($B2572="Autographs Duals",$B2572="Autographs Triples",$B2572="Autographs Quads",$B2572="Autographs Quads (Inscribed)")),IF($B2572="Autographs Duals",2,IF($B2572="Autographs Triples",3,4)),1)))</f>
        <v>3</v>
      </c>
      <c r="AB2572" s="62">
        <f t="shared" si="531"/>
        <v>3</v>
      </c>
      <c r="AC2572" s="62">
        <f t="shared" si="532"/>
        <v>0</v>
      </c>
    </row>
    <row r="2573" spans="1:29" ht="28.7" customHeight="1" x14ac:dyDescent="0.25">
      <c r="A2573" s="4" t="s">
        <v>17</v>
      </c>
      <c r="B2573" s="7" t="s">
        <v>67</v>
      </c>
      <c r="C2573" s="2" t="s">
        <v>1402</v>
      </c>
      <c r="D2573" s="7" t="s">
        <v>837</v>
      </c>
      <c r="E2573" s="4" t="s">
        <v>1602</v>
      </c>
      <c r="F2573" s="2"/>
      <c r="G2573" s="2" t="s">
        <v>1399</v>
      </c>
      <c r="H2573" s="2" t="s">
        <v>1400</v>
      </c>
      <c r="I2573" s="4" t="s">
        <v>60</v>
      </c>
      <c r="J2573" s="112">
        <f>IF($H2573&lt;&gt;"Y",0,ROUND(MIN(Dashboard!$R$24,IF(IFERROR(VLOOKUP($B2573,Dashboard!$Q$28:$S$60,2,FALSE),0)&gt;0,IFERROR(VLOOKUP($B2573,Dashboard!$Q$28:$S$60,2,FALSE),0),$Z2573*IF($U2573&lt;&gt;"",ROUND((Dashboard!$R$4/$U2573)*VLOOKUP($I2573,Dashboard!$Q$9:$R$13,2,FALSE)*IF(ISNUMBER(SEARCH("Duals",$B2573)),2,IF(ISNUMBER(SEARCH("Triples",$B2573)),3,IF(ISNUMBER(SEARCH("Quads",$B2573)),4,1))),2),ROUND(VLOOKUP($I2573,Dashboard!$Q$15:$R$20,2,FALSE)*IF($E2573="Red",Dashboard!$R$6,IF($E2573="Gold",Dashboard!$R$7,Dashboard!$R$5))*IF(ISNUMBER(SEARCH("Duals",$B2573)),2,IF(ISNUMBER(SEARCH("Triples",$B2573)),3,IF(ISNUMBER(SEARCH("Quads",$B2573)),4,1))),2))*IF(IFERROR(VLOOKUP($B2573,Dashboard!$Q$28:$S$60,3,FALSE),0)&gt;0,VLOOKUP($B2573,Dashboard!$Q$28:$S$60,3,FALSE),1))),0))</f>
        <v>3</v>
      </c>
      <c r="K2573" s="2" t="str">
        <f>IF('Base S1'!E4="","",'Base S1'!E4)</f>
        <v>C</v>
      </c>
      <c r="L2573" s="2">
        <f t="shared" si="533"/>
        <v>1</v>
      </c>
      <c r="M2573" s="2">
        <f t="shared" si="534"/>
        <v>0</v>
      </c>
      <c r="N2573" s="2">
        <f t="shared" si="535"/>
        <v>1</v>
      </c>
      <c r="O2573" s="2">
        <f t="shared" si="536"/>
        <v>0</v>
      </c>
      <c r="P2573" s="112">
        <f t="shared" si="537"/>
        <v>3</v>
      </c>
      <c r="Q2573" s="112">
        <f t="shared" si="538"/>
        <v>0</v>
      </c>
      <c r="R2573" s="53"/>
      <c r="S2573" s="53" t="str">
        <f t="shared" si="526"/>
        <v>Base S1|Gold Parallel - Season 1|3|Gold</v>
      </c>
      <c r="T2573" s="57" t="str">
        <f>IF($S2573="","",IFERROR(VLOOKUP($S2573,'Pop Estimates (Non-#d)'!$N$2:$O$500,2,FALSE),""))</f>
        <v/>
      </c>
      <c r="U2573" s="57" t="str">
        <f t="shared" si="527"/>
        <v/>
      </c>
      <c r="V2573" s="53" t="str">
        <f t="shared" si="528"/>
        <v/>
      </c>
      <c r="W2573" s="53" t="str">
        <f t="shared" si="529"/>
        <v/>
      </c>
      <c r="X2573" s="53" t="str">
        <f t="shared" si="530"/>
        <v/>
      </c>
      <c r="Y2573" s="57" t="str">
        <f>IF($X2573="","",IFERROR(VLOOKUP($X2573,'Char Popularity'!$A$2:$C$500,2,FALSE),""))</f>
        <v/>
      </c>
      <c r="Z2573" s="56">
        <f>IF($X2573="",1,IFERROR(VLOOKUP($X2573,'Char Popularity'!$A$2:$C$500,3,FALSE),1))</f>
        <v>1</v>
      </c>
      <c r="AA2573" s="62">
        <f>IF($H2573&lt;&gt;"Y",0,(IF($F2573&lt;&gt;"",ROUND(Dashboard!$R$4/$F2573,1),IF(AND($I2573="Base",$E2573="Base"),Dashboard!$R$5,IF(AND($I2573="Base",$E2573="Red"),Dashboard!$R$6,IF(AND($I2573="Base",$E2573="Gold"),Dashboard!$R$7,VLOOKUP($I2573,Dashboard!$Q$16:$R$21,2,FALSE)))))*VLOOKUP($I2573,Dashboard!$Q$9:$R$13,2,FALSE)*IF(AND($I2573="Auto",$F2573="",OR($B2573="Autographs Duals",$B2573="Autographs Triples",$B2573="Autographs Quads",$B2573="Autographs Quads (Inscribed)")),IF($B2573="Autographs Duals",2,IF($B2573="Autographs Triples",3,4)),1)))</f>
        <v>3</v>
      </c>
      <c r="AB2573" s="62">
        <f t="shared" si="531"/>
        <v>3</v>
      </c>
      <c r="AC2573" s="62">
        <f t="shared" si="532"/>
        <v>0</v>
      </c>
    </row>
    <row r="2574" spans="1:29" ht="28.7" customHeight="1" x14ac:dyDescent="0.25">
      <c r="A2574" s="4" t="s">
        <v>17</v>
      </c>
      <c r="B2574" s="7" t="s">
        <v>67</v>
      </c>
      <c r="C2574" s="2" t="s">
        <v>1403</v>
      </c>
      <c r="D2574" s="7" t="s">
        <v>839</v>
      </c>
      <c r="E2574" s="4" t="s">
        <v>1602</v>
      </c>
      <c r="F2574" s="2"/>
      <c r="G2574" s="2" t="s">
        <v>1399</v>
      </c>
      <c r="H2574" s="2" t="s">
        <v>1400</v>
      </c>
      <c r="I2574" s="4" t="s">
        <v>60</v>
      </c>
      <c r="J2574" s="112">
        <f>IF($H2574&lt;&gt;"Y",0,ROUND(MIN(Dashboard!$R$24,IF(IFERROR(VLOOKUP($B2574,Dashboard!$Q$28:$S$60,2,FALSE),0)&gt;0,IFERROR(VLOOKUP($B2574,Dashboard!$Q$28:$S$60,2,FALSE),0),$Z2574*IF($U2574&lt;&gt;"",ROUND((Dashboard!$R$4/$U2574)*VLOOKUP($I2574,Dashboard!$Q$9:$R$13,2,FALSE)*IF(ISNUMBER(SEARCH("Duals",$B2574)),2,IF(ISNUMBER(SEARCH("Triples",$B2574)),3,IF(ISNUMBER(SEARCH("Quads",$B2574)),4,1))),2),ROUND(VLOOKUP($I2574,Dashboard!$Q$15:$R$20,2,FALSE)*IF($E2574="Red",Dashboard!$R$6,IF($E2574="Gold",Dashboard!$R$7,Dashboard!$R$5))*IF(ISNUMBER(SEARCH("Duals",$B2574)),2,IF(ISNUMBER(SEARCH("Triples",$B2574)),3,IF(ISNUMBER(SEARCH("Quads",$B2574)),4,1))),2))*IF(IFERROR(VLOOKUP($B2574,Dashboard!$Q$28:$S$60,3,FALSE),0)&gt;0,VLOOKUP($B2574,Dashboard!$Q$28:$S$60,3,FALSE),1))),0))</f>
        <v>3</v>
      </c>
      <c r="K2574" s="2" t="str">
        <f>IF('Base S1'!E5="","",'Base S1'!E5)</f>
        <v>C</v>
      </c>
      <c r="L2574" s="2">
        <f t="shared" si="533"/>
        <v>1</v>
      </c>
      <c r="M2574" s="2">
        <f t="shared" si="534"/>
        <v>0</v>
      </c>
      <c r="N2574" s="2">
        <f t="shared" si="535"/>
        <v>1</v>
      </c>
      <c r="O2574" s="2">
        <f t="shared" si="536"/>
        <v>0</v>
      </c>
      <c r="P2574" s="112">
        <f t="shared" si="537"/>
        <v>3</v>
      </c>
      <c r="Q2574" s="112">
        <f t="shared" si="538"/>
        <v>0</v>
      </c>
      <c r="R2574" s="53"/>
      <c r="S2574" s="53" t="str">
        <f t="shared" si="526"/>
        <v>Base S1|Gold Parallel - Season 1|4|Gold</v>
      </c>
      <c r="T2574" s="57" t="str">
        <f>IF($S2574="","",IFERROR(VLOOKUP($S2574,'Pop Estimates (Non-#d)'!$N$2:$O$500,2,FALSE),""))</f>
        <v/>
      </c>
      <c r="U2574" s="57" t="str">
        <f t="shared" si="527"/>
        <v/>
      </c>
      <c r="V2574" s="53" t="str">
        <f t="shared" si="528"/>
        <v/>
      </c>
      <c r="W2574" s="53" t="str">
        <f t="shared" si="529"/>
        <v/>
      </c>
      <c r="X2574" s="53" t="str">
        <f t="shared" si="530"/>
        <v/>
      </c>
      <c r="Y2574" s="57" t="str">
        <f>IF($X2574="","",IFERROR(VLOOKUP($X2574,'Char Popularity'!$A$2:$C$500,2,FALSE),""))</f>
        <v/>
      </c>
      <c r="Z2574" s="56">
        <f>IF($X2574="",1,IFERROR(VLOOKUP($X2574,'Char Popularity'!$A$2:$C$500,3,FALSE),1))</f>
        <v>1</v>
      </c>
      <c r="AA2574" s="62">
        <f>IF($H2574&lt;&gt;"Y",0,(IF($F2574&lt;&gt;"",ROUND(Dashboard!$R$4/$F2574,1),IF(AND($I2574="Base",$E2574="Base"),Dashboard!$R$5,IF(AND($I2574="Base",$E2574="Red"),Dashboard!$R$6,IF(AND($I2574="Base",$E2574="Gold"),Dashboard!$R$7,VLOOKUP($I2574,Dashboard!$Q$16:$R$21,2,FALSE)))))*VLOOKUP($I2574,Dashboard!$Q$9:$R$13,2,FALSE)*IF(AND($I2574="Auto",$F2574="",OR($B2574="Autographs Duals",$B2574="Autographs Triples",$B2574="Autographs Quads",$B2574="Autographs Quads (Inscribed)")),IF($B2574="Autographs Duals",2,IF($B2574="Autographs Triples",3,4)),1)))</f>
        <v>3</v>
      </c>
      <c r="AB2574" s="62">
        <f t="shared" si="531"/>
        <v>3</v>
      </c>
      <c r="AC2574" s="62">
        <f t="shared" si="532"/>
        <v>0</v>
      </c>
    </row>
    <row r="2575" spans="1:29" ht="28.7" customHeight="1" x14ac:dyDescent="0.25">
      <c r="A2575" s="4" t="s">
        <v>17</v>
      </c>
      <c r="B2575" s="7" t="s">
        <v>67</v>
      </c>
      <c r="C2575" s="2" t="s">
        <v>1404</v>
      </c>
      <c r="D2575" s="7" t="s">
        <v>841</v>
      </c>
      <c r="E2575" s="4" t="s">
        <v>1602</v>
      </c>
      <c r="F2575" s="2"/>
      <c r="G2575" s="2" t="s">
        <v>1399</v>
      </c>
      <c r="H2575" s="2" t="s">
        <v>1400</v>
      </c>
      <c r="I2575" s="4" t="s">
        <v>60</v>
      </c>
      <c r="J2575" s="112">
        <f>IF($H2575&lt;&gt;"Y",0,ROUND(MIN(Dashboard!$R$24,IF(IFERROR(VLOOKUP($B2575,Dashboard!$Q$28:$S$60,2,FALSE),0)&gt;0,IFERROR(VLOOKUP($B2575,Dashboard!$Q$28:$S$60,2,FALSE),0),$Z2575*IF($U2575&lt;&gt;"",ROUND((Dashboard!$R$4/$U2575)*VLOOKUP($I2575,Dashboard!$Q$9:$R$13,2,FALSE)*IF(ISNUMBER(SEARCH("Duals",$B2575)),2,IF(ISNUMBER(SEARCH("Triples",$B2575)),3,IF(ISNUMBER(SEARCH("Quads",$B2575)),4,1))),2),ROUND(VLOOKUP($I2575,Dashboard!$Q$15:$R$20,2,FALSE)*IF($E2575="Red",Dashboard!$R$6,IF($E2575="Gold",Dashboard!$R$7,Dashboard!$R$5))*IF(ISNUMBER(SEARCH("Duals",$B2575)),2,IF(ISNUMBER(SEARCH("Triples",$B2575)),3,IF(ISNUMBER(SEARCH("Quads",$B2575)),4,1))),2))*IF(IFERROR(VLOOKUP($B2575,Dashboard!$Q$28:$S$60,3,FALSE),0)&gt;0,VLOOKUP($B2575,Dashboard!$Q$28:$S$60,3,FALSE),1))),0))</f>
        <v>3</v>
      </c>
      <c r="K2575" s="2" t="str">
        <f>IF('Base S1'!E6="","",'Base S1'!E6)</f>
        <v>C</v>
      </c>
      <c r="L2575" s="2">
        <f t="shared" si="533"/>
        <v>1</v>
      </c>
      <c r="M2575" s="2">
        <f t="shared" si="534"/>
        <v>0</v>
      </c>
      <c r="N2575" s="2">
        <f t="shared" si="535"/>
        <v>1</v>
      </c>
      <c r="O2575" s="2">
        <f t="shared" si="536"/>
        <v>0</v>
      </c>
      <c r="P2575" s="112">
        <f t="shared" si="537"/>
        <v>3</v>
      </c>
      <c r="Q2575" s="112">
        <f t="shared" si="538"/>
        <v>0</v>
      </c>
      <c r="R2575" s="53"/>
      <c r="S2575" s="53" t="str">
        <f t="shared" si="526"/>
        <v>Base S1|Gold Parallel - Season 1|5|Gold</v>
      </c>
      <c r="T2575" s="57" t="str">
        <f>IF($S2575="","",IFERROR(VLOOKUP($S2575,'Pop Estimates (Non-#d)'!$N$2:$O$500,2,FALSE),""))</f>
        <v/>
      </c>
      <c r="U2575" s="57" t="str">
        <f t="shared" si="527"/>
        <v/>
      </c>
      <c r="V2575" s="53" t="str">
        <f t="shared" si="528"/>
        <v/>
      </c>
      <c r="W2575" s="53" t="str">
        <f t="shared" si="529"/>
        <v/>
      </c>
      <c r="X2575" s="53" t="str">
        <f t="shared" si="530"/>
        <v/>
      </c>
      <c r="Y2575" s="57" t="str">
        <f>IF($X2575="","",IFERROR(VLOOKUP($X2575,'Char Popularity'!$A$2:$C$500,2,FALSE),""))</f>
        <v/>
      </c>
      <c r="Z2575" s="56">
        <f>IF($X2575="",1,IFERROR(VLOOKUP($X2575,'Char Popularity'!$A$2:$C$500,3,FALSE),1))</f>
        <v>1</v>
      </c>
      <c r="AA2575" s="62">
        <f>IF($H2575&lt;&gt;"Y",0,(IF($F2575&lt;&gt;"",ROUND(Dashboard!$R$4/$F2575,1),IF(AND($I2575="Base",$E2575="Base"),Dashboard!$R$5,IF(AND($I2575="Base",$E2575="Red"),Dashboard!$R$6,IF(AND($I2575="Base",$E2575="Gold"),Dashboard!$R$7,VLOOKUP($I2575,Dashboard!$Q$16:$R$21,2,FALSE)))))*VLOOKUP($I2575,Dashboard!$Q$9:$R$13,2,FALSE)*IF(AND($I2575="Auto",$F2575="",OR($B2575="Autographs Duals",$B2575="Autographs Triples",$B2575="Autographs Quads",$B2575="Autographs Quads (Inscribed)")),IF($B2575="Autographs Duals",2,IF($B2575="Autographs Triples",3,4)),1)))</f>
        <v>3</v>
      </c>
      <c r="AB2575" s="62">
        <f t="shared" si="531"/>
        <v>3</v>
      </c>
      <c r="AC2575" s="62">
        <f t="shared" si="532"/>
        <v>0</v>
      </c>
    </row>
    <row r="2576" spans="1:29" ht="28.7" customHeight="1" x14ac:dyDescent="0.25">
      <c r="A2576" s="4" t="s">
        <v>17</v>
      </c>
      <c r="B2576" s="7" t="s">
        <v>67</v>
      </c>
      <c r="C2576" s="2" t="s">
        <v>1405</v>
      </c>
      <c r="D2576" s="7" t="s">
        <v>843</v>
      </c>
      <c r="E2576" s="4" t="s">
        <v>1602</v>
      </c>
      <c r="F2576" s="2"/>
      <c r="G2576" s="2" t="s">
        <v>1399</v>
      </c>
      <c r="H2576" s="2" t="s">
        <v>1400</v>
      </c>
      <c r="I2576" s="4" t="s">
        <v>60</v>
      </c>
      <c r="J2576" s="112">
        <f>IF($H2576&lt;&gt;"Y",0,ROUND(MIN(Dashboard!$R$24,IF(IFERROR(VLOOKUP($B2576,Dashboard!$Q$28:$S$60,2,FALSE),0)&gt;0,IFERROR(VLOOKUP($B2576,Dashboard!$Q$28:$S$60,2,FALSE),0),$Z2576*IF($U2576&lt;&gt;"",ROUND((Dashboard!$R$4/$U2576)*VLOOKUP($I2576,Dashboard!$Q$9:$R$13,2,FALSE)*IF(ISNUMBER(SEARCH("Duals",$B2576)),2,IF(ISNUMBER(SEARCH("Triples",$B2576)),3,IF(ISNUMBER(SEARCH("Quads",$B2576)),4,1))),2),ROUND(VLOOKUP($I2576,Dashboard!$Q$15:$R$20,2,FALSE)*IF($E2576="Red",Dashboard!$R$6,IF($E2576="Gold",Dashboard!$R$7,Dashboard!$R$5))*IF(ISNUMBER(SEARCH("Duals",$B2576)),2,IF(ISNUMBER(SEARCH("Triples",$B2576)),3,IF(ISNUMBER(SEARCH("Quads",$B2576)),4,1))),2))*IF(IFERROR(VLOOKUP($B2576,Dashboard!$Q$28:$S$60,3,FALSE),0)&gt;0,VLOOKUP($B2576,Dashboard!$Q$28:$S$60,3,FALSE),1))),0))</f>
        <v>3</v>
      </c>
      <c r="K2576" s="2" t="str">
        <f>IF('Base S1'!E7="","",'Base S1'!E7)</f>
        <v>C</v>
      </c>
      <c r="L2576" s="2">
        <f t="shared" si="533"/>
        <v>1</v>
      </c>
      <c r="M2576" s="2">
        <f t="shared" si="534"/>
        <v>0</v>
      </c>
      <c r="N2576" s="2">
        <f t="shared" si="535"/>
        <v>1</v>
      </c>
      <c r="O2576" s="2">
        <f t="shared" si="536"/>
        <v>0</v>
      </c>
      <c r="P2576" s="112">
        <f t="shared" si="537"/>
        <v>3</v>
      </c>
      <c r="Q2576" s="112">
        <f t="shared" si="538"/>
        <v>0</v>
      </c>
      <c r="R2576" s="53"/>
      <c r="S2576" s="53" t="str">
        <f t="shared" si="526"/>
        <v>Base S1|Gold Parallel - Season 1|6|Gold</v>
      </c>
      <c r="T2576" s="57" t="str">
        <f>IF($S2576="","",IFERROR(VLOOKUP($S2576,'Pop Estimates (Non-#d)'!$N$2:$O$500,2,FALSE),""))</f>
        <v/>
      </c>
      <c r="U2576" s="57" t="str">
        <f t="shared" si="527"/>
        <v/>
      </c>
      <c r="V2576" s="53" t="str">
        <f t="shared" si="528"/>
        <v/>
      </c>
      <c r="W2576" s="53" t="str">
        <f t="shared" si="529"/>
        <v/>
      </c>
      <c r="X2576" s="53" t="str">
        <f t="shared" si="530"/>
        <v/>
      </c>
      <c r="Y2576" s="57" t="str">
        <f>IF($X2576="","",IFERROR(VLOOKUP($X2576,'Char Popularity'!$A$2:$C$500,2,FALSE),""))</f>
        <v/>
      </c>
      <c r="Z2576" s="56">
        <f>IF($X2576="",1,IFERROR(VLOOKUP($X2576,'Char Popularity'!$A$2:$C$500,3,FALSE),1))</f>
        <v>1</v>
      </c>
      <c r="AA2576" s="62">
        <f>IF($H2576&lt;&gt;"Y",0,(IF($F2576&lt;&gt;"",ROUND(Dashboard!$R$4/$F2576,1),IF(AND($I2576="Base",$E2576="Base"),Dashboard!$R$5,IF(AND($I2576="Base",$E2576="Red"),Dashboard!$R$6,IF(AND($I2576="Base",$E2576="Gold"),Dashboard!$R$7,VLOOKUP($I2576,Dashboard!$Q$16:$R$21,2,FALSE)))))*VLOOKUP($I2576,Dashboard!$Q$9:$R$13,2,FALSE)*IF(AND($I2576="Auto",$F2576="",OR($B2576="Autographs Duals",$B2576="Autographs Triples",$B2576="Autographs Quads",$B2576="Autographs Quads (Inscribed)")),IF($B2576="Autographs Duals",2,IF($B2576="Autographs Triples",3,4)),1)))</f>
        <v>3</v>
      </c>
      <c r="AB2576" s="62">
        <f t="shared" si="531"/>
        <v>3</v>
      </c>
      <c r="AC2576" s="62">
        <f t="shared" si="532"/>
        <v>0</v>
      </c>
    </row>
    <row r="2577" spans="1:29" ht="28.7" customHeight="1" x14ac:dyDescent="0.25">
      <c r="A2577" s="4" t="s">
        <v>17</v>
      </c>
      <c r="B2577" s="7" t="s">
        <v>67</v>
      </c>
      <c r="C2577" s="2" t="s">
        <v>1406</v>
      </c>
      <c r="D2577" s="7" t="s">
        <v>845</v>
      </c>
      <c r="E2577" s="4" t="s">
        <v>1602</v>
      </c>
      <c r="F2577" s="2"/>
      <c r="G2577" s="2" t="s">
        <v>1399</v>
      </c>
      <c r="H2577" s="2" t="s">
        <v>1400</v>
      </c>
      <c r="I2577" s="4" t="s">
        <v>60</v>
      </c>
      <c r="J2577" s="112">
        <f>IF($H2577&lt;&gt;"Y",0,ROUND(MIN(Dashboard!$R$24,IF(IFERROR(VLOOKUP($B2577,Dashboard!$Q$28:$S$60,2,FALSE),0)&gt;0,IFERROR(VLOOKUP($B2577,Dashboard!$Q$28:$S$60,2,FALSE),0),$Z2577*IF($U2577&lt;&gt;"",ROUND((Dashboard!$R$4/$U2577)*VLOOKUP($I2577,Dashboard!$Q$9:$R$13,2,FALSE)*IF(ISNUMBER(SEARCH("Duals",$B2577)),2,IF(ISNUMBER(SEARCH("Triples",$B2577)),3,IF(ISNUMBER(SEARCH("Quads",$B2577)),4,1))),2),ROUND(VLOOKUP($I2577,Dashboard!$Q$15:$R$20,2,FALSE)*IF($E2577="Red",Dashboard!$R$6,IF($E2577="Gold",Dashboard!$R$7,Dashboard!$R$5))*IF(ISNUMBER(SEARCH("Duals",$B2577)),2,IF(ISNUMBER(SEARCH("Triples",$B2577)),3,IF(ISNUMBER(SEARCH("Quads",$B2577)),4,1))),2))*IF(IFERROR(VLOOKUP($B2577,Dashboard!$Q$28:$S$60,3,FALSE),0)&gt;0,VLOOKUP($B2577,Dashboard!$Q$28:$S$60,3,FALSE),1))),0))</f>
        <v>3</v>
      </c>
      <c r="K2577" s="2" t="str">
        <f>IF('Base S1'!E8="","",'Base S1'!E8)</f>
        <v>C</v>
      </c>
      <c r="L2577" s="2">
        <f t="shared" si="533"/>
        <v>1</v>
      </c>
      <c r="M2577" s="2">
        <f t="shared" si="534"/>
        <v>0</v>
      </c>
      <c r="N2577" s="2">
        <f t="shared" si="535"/>
        <v>1</v>
      </c>
      <c r="O2577" s="2">
        <f t="shared" si="536"/>
        <v>0</v>
      </c>
      <c r="P2577" s="112">
        <f t="shared" si="537"/>
        <v>3</v>
      </c>
      <c r="Q2577" s="112">
        <f t="shared" si="538"/>
        <v>0</v>
      </c>
      <c r="R2577" s="53"/>
      <c r="S2577" s="53" t="str">
        <f t="shared" si="526"/>
        <v>Base S1|Gold Parallel - Season 1|7|Gold</v>
      </c>
      <c r="T2577" s="57" t="str">
        <f>IF($S2577="","",IFERROR(VLOOKUP($S2577,'Pop Estimates (Non-#d)'!$N$2:$O$500,2,FALSE),""))</f>
        <v/>
      </c>
      <c r="U2577" s="57" t="str">
        <f t="shared" si="527"/>
        <v/>
      </c>
      <c r="V2577" s="53" t="str">
        <f t="shared" si="528"/>
        <v/>
      </c>
      <c r="W2577" s="53" t="str">
        <f t="shared" si="529"/>
        <v/>
      </c>
      <c r="X2577" s="53" t="str">
        <f t="shared" si="530"/>
        <v/>
      </c>
      <c r="Y2577" s="57" t="str">
        <f>IF($X2577="","",IFERROR(VLOOKUP($X2577,'Char Popularity'!$A$2:$C$500,2,FALSE),""))</f>
        <v/>
      </c>
      <c r="Z2577" s="56">
        <f>IF($X2577="",1,IFERROR(VLOOKUP($X2577,'Char Popularity'!$A$2:$C$500,3,FALSE),1))</f>
        <v>1</v>
      </c>
      <c r="AA2577" s="62">
        <f>IF($H2577&lt;&gt;"Y",0,(IF($F2577&lt;&gt;"",ROUND(Dashboard!$R$4/$F2577,1),IF(AND($I2577="Base",$E2577="Base"),Dashboard!$R$5,IF(AND($I2577="Base",$E2577="Red"),Dashboard!$R$6,IF(AND($I2577="Base",$E2577="Gold"),Dashboard!$R$7,VLOOKUP($I2577,Dashboard!$Q$16:$R$21,2,FALSE)))))*VLOOKUP($I2577,Dashboard!$Q$9:$R$13,2,FALSE)*IF(AND($I2577="Auto",$F2577="",OR($B2577="Autographs Duals",$B2577="Autographs Triples",$B2577="Autographs Quads",$B2577="Autographs Quads (Inscribed)")),IF($B2577="Autographs Duals",2,IF($B2577="Autographs Triples",3,4)),1)))</f>
        <v>3</v>
      </c>
      <c r="AB2577" s="62">
        <f t="shared" si="531"/>
        <v>3</v>
      </c>
      <c r="AC2577" s="62">
        <f t="shared" si="532"/>
        <v>0</v>
      </c>
    </row>
    <row r="2578" spans="1:29" ht="28.7" customHeight="1" x14ac:dyDescent="0.25">
      <c r="A2578" s="4" t="s">
        <v>17</v>
      </c>
      <c r="B2578" s="7" t="s">
        <v>67</v>
      </c>
      <c r="C2578" s="2" t="s">
        <v>1407</v>
      </c>
      <c r="D2578" s="7" t="s">
        <v>848</v>
      </c>
      <c r="E2578" s="4" t="s">
        <v>1602</v>
      </c>
      <c r="F2578" s="2"/>
      <c r="G2578" s="2" t="s">
        <v>1399</v>
      </c>
      <c r="H2578" s="2" t="s">
        <v>1400</v>
      </c>
      <c r="I2578" s="4" t="s">
        <v>60</v>
      </c>
      <c r="J2578" s="112">
        <f>IF($H2578&lt;&gt;"Y",0,ROUND(MIN(Dashboard!$R$24,IF(IFERROR(VLOOKUP($B2578,Dashboard!$Q$28:$S$60,2,FALSE),0)&gt;0,IFERROR(VLOOKUP($B2578,Dashboard!$Q$28:$S$60,2,FALSE),0),$Z2578*IF($U2578&lt;&gt;"",ROUND((Dashboard!$R$4/$U2578)*VLOOKUP($I2578,Dashboard!$Q$9:$R$13,2,FALSE)*IF(ISNUMBER(SEARCH("Duals",$B2578)),2,IF(ISNUMBER(SEARCH("Triples",$B2578)),3,IF(ISNUMBER(SEARCH("Quads",$B2578)),4,1))),2),ROUND(VLOOKUP($I2578,Dashboard!$Q$15:$R$20,2,FALSE)*IF($E2578="Red",Dashboard!$R$6,IF($E2578="Gold",Dashboard!$R$7,Dashboard!$R$5))*IF(ISNUMBER(SEARCH("Duals",$B2578)),2,IF(ISNUMBER(SEARCH("Triples",$B2578)),3,IF(ISNUMBER(SEARCH("Quads",$B2578)),4,1))),2))*IF(IFERROR(VLOOKUP($B2578,Dashboard!$Q$28:$S$60,3,FALSE),0)&gt;0,VLOOKUP($B2578,Dashboard!$Q$28:$S$60,3,FALSE),1))),0))</f>
        <v>3</v>
      </c>
      <c r="K2578" s="2" t="str">
        <f>IF('Base S1'!E9="","",'Base S1'!E9)</f>
        <v>C</v>
      </c>
      <c r="L2578" s="2">
        <f t="shared" si="533"/>
        <v>1</v>
      </c>
      <c r="M2578" s="2">
        <f t="shared" si="534"/>
        <v>0</v>
      </c>
      <c r="N2578" s="2">
        <f t="shared" si="535"/>
        <v>1</v>
      </c>
      <c r="O2578" s="2">
        <f t="shared" si="536"/>
        <v>0</v>
      </c>
      <c r="P2578" s="112">
        <f t="shared" si="537"/>
        <v>3</v>
      </c>
      <c r="Q2578" s="112">
        <f t="shared" si="538"/>
        <v>0</v>
      </c>
      <c r="R2578" s="53"/>
      <c r="S2578" s="53" t="str">
        <f t="shared" si="526"/>
        <v>Base S1|Gold Parallel - Season 1|8|Gold</v>
      </c>
      <c r="T2578" s="57" t="str">
        <f>IF($S2578="","",IFERROR(VLOOKUP($S2578,'Pop Estimates (Non-#d)'!$N$2:$O$500,2,FALSE),""))</f>
        <v/>
      </c>
      <c r="U2578" s="57" t="str">
        <f t="shared" si="527"/>
        <v/>
      </c>
      <c r="V2578" s="53" t="str">
        <f t="shared" si="528"/>
        <v/>
      </c>
      <c r="W2578" s="53" t="str">
        <f t="shared" si="529"/>
        <v/>
      </c>
      <c r="X2578" s="53" t="str">
        <f t="shared" si="530"/>
        <v/>
      </c>
      <c r="Y2578" s="57" t="str">
        <f>IF($X2578="","",IFERROR(VLOOKUP($X2578,'Char Popularity'!$A$2:$C$500,2,FALSE),""))</f>
        <v/>
      </c>
      <c r="Z2578" s="56">
        <f>IF($X2578="",1,IFERROR(VLOOKUP($X2578,'Char Popularity'!$A$2:$C$500,3,FALSE),1))</f>
        <v>1</v>
      </c>
      <c r="AA2578" s="62">
        <f>IF($H2578&lt;&gt;"Y",0,(IF($F2578&lt;&gt;"",ROUND(Dashboard!$R$4/$F2578,1),IF(AND($I2578="Base",$E2578="Base"),Dashboard!$R$5,IF(AND($I2578="Base",$E2578="Red"),Dashboard!$R$6,IF(AND($I2578="Base",$E2578="Gold"),Dashboard!$R$7,VLOOKUP($I2578,Dashboard!$Q$16:$R$21,2,FALSE)))))*VLOOKUP($I2578,Dashboard!$Q$9:$R$13,2,FALSE)*IF(AND($I2578="Auto",$F2578="",OR($B2578="Autographs Duals",$B2578="Autographs Triples",$B2578="Autographs Quads",$B2578="Autographs Quads (Inscribed)")),IF($B2578="Autographs Duals",2,IF($B2578="Autographs Triples",3,4)),1)))</f>
        <v>3</v>
      </c>
      <c r="AB2578" s="62">
        <f t="shared" si="531"/>
        <v>3</v>
      </c>
      <c r="AC2578" s="62">
        <f t="shared" si="532"/>
        <v>0</v>
      </c>
    </row>
    <row r="2579" spans="1:29" ht="28.7" customHeight="1" x14ac:dyDescent="0.25">
      <c r="A2579" s="4" t="s">
        <v>17</v>
      </c>
      <c r="B2579" s="7" t="s">
        <v>67</v>
      </c>
      <c r="C2579" s="2" t="s">
        <v>1408</v>
      </c>
      <c r="D2579" s="7" t="s">
        <v>850</v>
      </c>
      <c r="E2579" s="4" t="s">
        <v>1602</v>
      </c>
      <c r="F2579" s="2"/>
      <c r="G2579" s="2" t="s">
        <v>1399</v>
      </c>
      <c r="H2579" s="2" t="s">
        <v>1400</v>
      </c>
      <c r="I2579" s="4" t="s">
        <v>60</v>
      </c>
      <c r="J2579" s="112">
        <f>IF($H2579&lt;&gt;"Y",0,ROUND(MIN(Dashboard!$R$24,IF(IFERROR(VLOOKUP($B2579,Dashboard!$Q$28:$S$60,2,FALSE),0)&gt;0,IFERROR(VLOOKUP($B2579,Dashboard!$Q$28:$S$60,2,FALSE),0),$Z2579*IF($U2579&lt;&gt;"",ROUND((Dashboard!$R$4/$U2579)*VLOOKUP($I2579,Dashboard!$Q$9:$R$13,2,FALSE)*IF(ISNUMBER(SEARCH("Duals",$B2579)),2,IF(ISNUMBER(SEARCH("Triples",$B2579)),3,IF(ISNUMBER(SEARCH("Quads",$B2579)),4,1))),2),ROUND(VLOOKUP($I2579,Dashboard!$Q$15:$R$20,2,FALSE)*IF($E2579="Red",Dashboard!$R$6,IF($E2579="Gold",Dashboard!$R$7,Dashboard!$R$5))*IF(ISNUMBER(SEARCH("Duals",$B2579)),2,IF(ISNUMBER(SEARCH("Triples",$B2579)),3,IF(ISNUMBER(SEARCH("Quads",$B2579)),4,1))),2))*IF(IFERROR(VLOOKUP($B2579,Dashboard!$Q$28:$S$60,3,FALSE),0)&gt;0,VLOOKUP($B2579,Dashboard!$Q$28:$S$60,3,FALSE),1))),0))</f>
        <v>3</v>
      </c>
      <c r="K2579" s="2" t="str">
        <f>IF('Base S1'!E10="","",'Base S1'!E10)</f>
        <v>C</v>
      </c>
      <c r="L2579" s="2">
        <f t="shared" si="533"/>
        <v>1</v>
      </c>
      <c r="M2579" s="2">
        <f t="shared" si="534"/>
        <v>0</v>
      </c>
      <c r="N2579" s="2">
        <f t="shared" si="535"/>
        <v>1</v>
      </c>
      <c r="O2579" s="2">
        <f t="shared" si="536"/>
        <v>0</v>
      </c>
      <c r="P2579" s="112">
        <f t="shared" si="537"/>
        <v>3</v>
      </c>
      <c r="Q2579" s="112">
        <f t="shared" si="538"/>
        <v>0</v>
      </c>
      <c r="R2579" s="53"/>
      <c r="S2579" s="53" t="str">
        <f t="shared" si="526"/>
        <v>Base S1|Gold Parallel - Season 1|9|Gold</v>
      </c>
      <c r="T2579" s="57" t="str">
        <f>IF($S2579="","",IFERROR(VLOOKUP($S2579,'Pop Estimates (Non-#d)'!$N$2:$O$500,2,FALSE),""))</f>
        <v/>
      </c>
      <c r="U2579" s="57" t="str">
        <f t="shared" si="527"/>
        <v/>
      </c>
      <c r="V2579" s="53" t="str">
        <f t="shared" si="528"/>
        <v/>
      </c>
      <c r="W2579" s="53" t="str">
        <f t="shared" si="529"/>
        <v/>
      </c>
      <c r="X2579" s="53" t="str">
        <f t="shared" si="530"/>
        <v/>
      </c>
      <c r="Y2579" s="57" t="str">
        <f>IF($X2579="","",IFERROR(VLOOKUP($X2579,'Char Popularity'!$A$2:$C$500,2,FALSE),""))</f>
        <v/>
      </c>
      <c r="Z2579" s="56">
        <f>IF($X2579="",1,IFERROR(VLOOKUP($X2579,'Char Popularity'!$A$2:$C$500,3,FALSE),1))</f>
        <v>1</v>
      </c>
      <c r="AA2579" s="62">
        <f>IF($H2579&lt;&gt;"Y",0,(IF($F2579&lt;&gt;"",ROUND(Dashboard!$R$4/$F2579,1),IF(AND($I2579="Base",$E2579="Base"),Dashboard!$R$5,IF(AND($I2579="Base",$E2579="Red"),Dashboard!$R$6,IF(AND($I2579="Base",$E2579="Gold"),Dashboard!$R$7,VLOOKUP($I2579,Dashboard!$Q$16:$R$21,2,FALSE)))))*VLOOKUP($I2579,Dashboard!$Q$9:$R$13,2,FALSE)*IF(AND($I2579="Auto",$F2579="",OR($B2579="Autographs Duals",$B2579="Autographs Triples",$B2579="Autographs Quads",$B2579="Autographs Quads (Inscribed)")),IF($B2579="Autographs Duals",2,IF($B2579="Autographs Triples",3,4)),1)))</f>
        <v>3</v>
      </c>
      <c r="AB2579" s="62">
        <f t="shared" si="531"/>
        <v>3</v>
      </c>
      <c r="AC2579" s="62">
        <f t="shared" si="532"/>
        <v>0</v>
      </c>
    </row>
    <row r="2580" spans="1:29" ht="28.7" customHeight="1" x14ac:dyDescent="0.25">
      <c r="A2580" s="4" t="s">
        <v>17</v>
      </c>
      <c r="B2580" s="7" t="s">
        <v>67</v>
      </c>
      <c r="C2580" s="2" t="s">
        <v>1409</v>
      </c>
      <c r="D2580" s="7" t="s">
        <v>853</v>
      </c>
      <c r="E2580" s="4" t="s">
        <v>1602</v>
      </c>
      <c r="F2580" s="2"/>
      <c r="G2580" s="2" t="s">
        <v>1399</v>
      </c>
      <c r="H2580" s="2" t="s">
        <v>1400</v>
      </c>
      <c r="I2580" s="4" t="s">
        <v>60</v>
      </c>
      <c r="J2580" s="112">
        <f>IF($H2580&lt;&gt;"Y",0,ROUND(MIN(Dashboard!$R$24,IF(IFERROR(VLOOKUP($B2580,Dashboard!$Q$28:$S$60,2,FALSE),0)&gt;0,IFERROR(VLOOKUP($B2580,Dashboard!$Q$28:$S$60,2,FALSE),0),$Z2580*IF($U2580&lt;&gt;"",ROUND((Dashboard!$R$4/$U2580)*VLOOKUP($I2580,Dashboard!$Q$9:$R$13,2,FALSE)*IF(ISNUMBER(SEARCH("Duals",$B2580)),2,IF(ISNUMBER(SEARCH("Triples",$B2580)),3,IF(ISNUMBER(SEARCH("Quads",$B2580)),4,1))),2),ROUND(VLOOKUP($I2580,Dashboard!$Q$15:$R$20,2,FALSE)*IF($E2580="Red",Dashboard!$R$6,IF($E2580="Gold",Dashboard!$R$7,Dashboard!$R$5))*IF(ISNUMBER(SEARCH("Duals",$B2580)),2,IF(ISNUMBER(SEARCH("Triples",$B2580)),3,IF(ISNUMBER(SEARCH("Quads",$B2580)),4,1))),2))*IF(IFERROR(VLOOKUP($B2580,Dashboard!$Q$28:$S$60,3,FALSE),0)&gt;0,VLOOKUP($B2580,Dashboard!$Q$28:$S$60,3,FALSE),1))),0))</f>
        <v>3</v>
      </c>
      <c r="K2580" s="2" t="str">
        <f>IF('Base S1'!E11="","",'Base S1'!E11)</f>
        <v>C</v>
      </c>
      <c r="L2580" s="2">
        <f t="shared" si="533"/>
        <v>1</v>
      </c>
      <c r="M2580" s="2">
        <f t="shared" si="534"/>
        <v>0</v>
      </c>
      <c r="N2580" s="2">
        <f t="shared" si="535"/>
        <v>1</v>
      </c>
      <c r="O2580" s="2">
        <f t="shared" si="536"/>
        <v>0</v>
      </c>
      <c r="P2580" s="112">
        <f t="shared" si="537"/>
        <v>3</v>
      </c>
      <c r="Q2580" s="112">
        <f t="shared" si="538"/>
        <v>0</v>
      </c>
      <c r="R2580" s="53"/>
      <c r="S2580" s="53" t="str">
        <f t="shared" si="526"/>
        <v>Base S1|Gold Parallel - Season 1|10|Gold</v>
      </c>
      <c r="T2580" s="57" t="str">
        <f>IF($S2580="","",IFERROR(VLOOKUP($S2580,'Pop Estimates (Non-#d)'!$N$2:$O$500,2,FALSE),""))</f>
        <v/>
      </c>
      <c r="U2580" s="57" t="str">
        <f t="shared" si="527"/>
        <v/>
      </c>
      <c r="V2580" s="53" t="str">
        <f t="shared" si="528"/>
        <v/>
      </c>
      <c r="W2580" s="53" t="str">
        <f t="shared" si="529"/>
        <v/>
      </c>
      <c r="X2580" s="53" t="str">
        <f t="shared" si="530"/>
        <v/>
      </c>
      <c r="Y2580" s="57" t="str">
        <f>IF($X2580="","",IFERROR(VLOOKUP($X2580,'Char Popularity'!$A$2:$C$500,2,FALSE),""))</f>
        <v/>
      </c>
      <c r="Z2580" s="56">
        <f>IF($X2580="",1,IFERROR(VLOOKUP($X2580,'Char Popularity'!$A$2:$C$500,3,FALSE),1))</f>
        <v>1</v>
      </c>
      <c r="AA2580" s="62">
        <f>IF($H2580&lt;&gt;"Y",0,(IF($F2580&lt;&gt;"",ROUND(Dashboard!$R$4/$F2580,1),IF(AND($I2580="Base",$E2580="Base"),Dashboard!$R$5,IF(AND($I2580="Base",$E2580="Red"),Dashboard!$R$6,IF(AND($I2580="Base",$E2580="Gold"),Dashboard!$R$7,VLOOKUP($I2580,Dashboard!$Q$16:$R$21,2,FALSE)))))*VLOOKUP($I2580,Dashboard!$Q$9:$R$13,2,FALSE)*IF(AND($I2580="Auto",$F2580="",OR($B2580="Autographs Duals",$B2580="Autographs Triples",$B2580="Autographs Quads",$B2580="Autographs Quads (Inscribed)")),IF($B2580="Autographs Duals",2,IF($B2580="Autographs Triples",3,4)),1)))</f>
        <v>3</v>
      </c>
      <c r="AB2580" s="62">
        <f t="shared" si="531"/>
        <v>3</v>
      </c>
      <c r="AC2580" s="62">
        <f t="shared" si="532"/>
        <v>0</v>
      </c>
    </row>
    <row r="2581" spans="1:29" ht="28.7" customHeight="1" x14ac:dyDescent="0.25">
      <c r="A2581" s="4" t="s">
        <v>17</v>
      </c>
      <c r="B2581" s="7" t="s">
        <v>67</v>
      </c>
      <c r="C2581" s="2" t="s">
        <v>1410</v>
      </c>
      <c r="D2581" s="7" t="s">
        <v>856</v>
      </c>
      <c r="E2581" s="4" t="s">
        <v>1602</v>
      </c>
      <c r="F2581" s="2"/>
      <c r="G2581" s="2" t="s">
        <v>1399</v>
      </c>
      <c r="H2581" s="2" t="s">
        <v>1400</v>
      </c>
      <c r="I2581" s="4" t="s">
        <v>60</v>
      </c>
      <c r="J2581" s="112">
        <f>IF($H2581&lt;&gt;"Y",0,ROUND(MIN(Dashboard!$R$24,IF(IFERROR(VLOOKUP($B2581,Dashboard!$Q$28:$S$60,2,FALSE),0)&gt;0,IFERROR(VLOOKUP($B2581,Dashboard!$Q$28:$S$60,2,FALSE),0),$Z2581*IF($U2581&lt;&gt;"",ROUND((Dashboard!$R$4/$U2581)*VLOOKUP($I2581,Dashboard!$Q$9:$R$13,2,FALSE)*IF(ISNUMBER(SEARCH("Duals",$B2581)),2,IF(ISNUMBER(SEARCH("Triples",$B2581)),3,IF(ISNUMBER(SEARCH("Quads",$B2581)),4,1))),2),ROUND(VLOOKUP($I2581,Dashboard!$Q$15:$R$20,2,FALSE)*IF($E2581="Red",Dashboard!$R$6,IF($E2581="Gold",Dashboard!$R$7,Dashboard!$R$5))*IF(ISNUMBER(SEARCH("Duals",$B2581)),2,IF(ISNUMBER(SEARCH("Triples",$B2581)),3,IF(ISNUMBER(SEARCH("Quads",$B2581)),4,1))),2))*IF(IFERROR(VLOOKUP($B2581,Dashboard!$Q$28:$S$60,3,FALSE),0)&gt;0,VLOOKUP($B2581,Dashboard!$Q$28:$S$60,3,FALSE),1))),0))</f>
        <v>3</v>
      </c>
      <c r="K2581" s="2" t="str">
        <f>IF('Base S1'!E12="","",'Base S1'!E12)</f>
        <v>C</v>
      </c>
      <c r="L2581" s="2">
        <f t="shared" si="533"/>
        <v>1</v>
      </c>
      <c r="M2581" s="2">
        <f t="shared" si="534"/>
        <v>0</v>
      </c>
      <c r="N2581" s="2">
        <f t="shared" si="535"/>
        <v>1</v>
      </c>
      <c r="O2581" s="2">
        <f t="shared" si="536"/>
        <v>0</v>
      </c>
      <c r="P2581" s="112">
        <f t="shared" si="537"/>
        <v>3</v>
      </c>
      <c r="Q2581" s="112">
        <f t="shared" si="538"/>
        <v>0</v>
      </c>
      <c r="R2581" s="53"/>
      <c r="S2581" s="53" t="str">
        <f t="shared" si="526"/>
        <v>Base S1|Gold Parallel - Season 1|11|Gold</v>
      </c>
      <c r="T2581" s="57" t="str">
        <f>IF($S2581="","",IFERROR(VLOOKUP($S2581,'Pop Estimates (Non-#d)'!$N$2:$O$500,2,FALSE),""))</f>
        <v/>
      </c>
      <c r="U2581" s="57" t="str">
        <f t="shared" si="527"/>
        <v/>
      </c>
      <c r="V2581" s="53" t="str">
        <f t="shared" si="528"/>
        <v/>
      </c>
      <c r="W2581" s="53" t="str">
        <f t="shared" si="529"/>
        <v/>
      </c>
      <c r="X2581" s="53" t="str">
        <f t="shared" si="530"/>
        <v/>
      </c>
      <c r="Y2581" s="57" t="str">
        <f>IF($X2581="","",IFERROR(VLOOKUP($X2581,'Char Popularity'!$A$2:$C$500,2,FALSE),""))</f>
        <v/>
      </c>
      <c r="Z2581" s="56">
        <f>IF($X2581="",1,IFERROR(VLOOKUP($X2581,'Char Popularity'!$A$2:$C$500,3,FALSE),1))</f>
        <v>1</v>
      </c>
      <c r="AA2581" s="62">
        <f>IF($H2581&lt;&gt;"Y",0,(IF($F2581&lt;&gt;"",ROUND(Dashboard!$R$4/$F2581,1),IF(AND($I2581="Base",$E2581="Base"),Dashboard!$R$5,IF(AND($I2581="Base",$E2581="Red"),Dashboard!$R$6,IF(AND($I2581="Base",$E2581="Gold"),Dashboard!$R$7,VLOOKUP($I2581,Dashboard!$Q$16:$R$21,2,FALSE)))))*VLOOKUP($I2581,Dashboard!$Q$9:$R$13,2,FALSE)*IF(AND($I2581="Auto",$F2581="",OR($B2581="Autographs Duals",$B2581="Autographs Triples",$B2581="Autographs Quads",$B2581="Autographs Quads (Inscribed)")),IF($B2581="Autographs Duals",2,IF($B2581="Autographs Triples",3,4)),1)))</f>
        <v>3</v>
      </c>
      <c r="AB2581" s="62">
        <f t="shared" si="531"/>
        <v>3</v>
      </c>
      <c r="AC2581" s="62">
        <f t="shared" si="532"/>
        <v>0</v>
      </c>
    </row>
    <row r="2582" spans="1:29" ht="28.7" customHeight="1" x14ac:dyDescent="0.25">
      <c r="A2582" s="4" t="s">
        <v>17</v>
      </c>
      <c r="B2582" s="7" t="s">
        <v>67</v>
      </c>
      <c r="C2582" s="2" t="s">
        <v>1411</v>
      </c>
      <c r="D2582" s="7" t="s">
        <v>858</v>
      </c>
      <c r="E2582" s="4" t="s">
        <v>1602</v>
      </c>
      <c r="F2582" s="2"/>
      <c r="G2582" s="2" t="s">
        <v>1399</v>
      </c>
      <c r="H2582" s="2" t="s">
        <v>1400</v>
      </c>
      <c r="I2582" s="4" t="s">
        <v>60</v>
      </c>
      <c r="J2582" s="112">
        <f>IF($H2582&lt;&gt;"Y",0,ROUND(MIN(Dashboard!$R$24,IF(IFERROR(VLOOKUP($B2582,Dashboard!$Q$28:$S$60,2,FALSE),0)&gt;0,IFERROR(VLOOKUP($B2582,Dashboard!$Q$28:$S$60,2,FALSE),0),$Z2582*IF($U2582&lt;&gt;"",ROUND((Dashboard!$R$4/$U2582)*VLOOKUP($I2582,Dashboard!$Q$9:$R$13,2,FALSE)*IF(ISNUMBER(SEARCH("Duals",$B2582)),2,IF(ISNUMBER(SEARCH("Triples",$B2582)),3,IF(ISNUMBER(SEARCH("Quads",$B2582)),4,1))),2),ROUND(VLOOKUP($I2582,Dashboard!$Q$15:$R$20,2,FALSE)*IF($E2582="Red",Dashboard!$R$6,IF($E2582="Gold",Dashboard!$R$7,Dashboard!$R$5))*IF(ISNUMBER(SEARCH("Duals",$B2582)),2,IF(ISNUMBER(SEARCH("Triples",$B2582)),3,IF(ISNUMBER(SEARCH("Quads",$B2582)),4,1))),2))*IF(IFERROR(VLOOKUP($B2582,Dashboard!$Q$28:$S$60,3,FALSE),0)&gt;0,VLOOKUP($B2582,Dashboard!$Q$28:$S$60,3,FALSE),1))),0))</f>
        <v>3</v>
      </c>
      <c r="K2582" s="2" t="str">
        <f>IF('Base S1'!E13="","",'Base S1'!E13)</f>
        <v>C</v>
      </c>
      <c r="L2582" s="2">
        <f t="shared" si="533"/>
        <v>1</v>
      </c>
      <c r="M2582" s="2">
        <f t="shared" si="534"/>
        <v>0</v>
      </c>
      <c r="N2582" s="2">
        <f t="shared" si="535"/>
        <v>1</v>
      </c>
      <c r="O2582" s="2">
        <f t="shared" si="536"/>
        <v>0</v>
      </c>
      <c r="P2582" s="112">
        <f t="shared" si="537"/>
        <v>3</v>
      </c>
      <c r="Q2582" s="112">
        <f t="shared" si="538"/>
        <v>0</v>
      </c>
      <c r="R2582" s="53"/>
      <c r="S2582" s="53" t="str">
        <f t="shared" si="526"/>
        <v>Base S1|Gold Parallel - Season 1|12|Gold</v>
      </c>
      <c r="T2582" s="57" t="str">
        <f>IF($S2582="","",IFERROR(VLOOKUP($S2582,'Pop Estimates (Non-#d)'!$N$2:$O$500,2,FALSE),""))</f>
        <v/>
      </c>
      <c r="U2582" s="57" t="str">
        <f t="shared" si="527"/>
        <v/>
      </c>
      <c r="V2582" s="53" t="str">
        <f t="shared" si="528"/>
        <v/>
      </c>
      <c r="W2582" s="53" t="str">
        <f t="shared" si="529"/>
        <v/>
      </c>
      <c r="X2582" s="53" t="str">
        <f t="shared" si="530"/>
        <v/>
      </c>
      <c r="Y2582" s="57" t="str">
        <f>IF($X2582="","",IFERROR(VLOOKUP($X2582,'Char Popularity'!$A$2:$C$500,2,FALSE),""))</f>
        <v/>
      </c>
      <c r="Z2582" s="56">
        <f>IF($X2582="",1,IFERROR(VLOOKUP($X2582,'Char Popularity'!$A$2:$C$500,3,FALSE),1))</f>
        <v>1</v>
      </c>
      <c r="AA2582" s="62">
        <f>IF($H2582&lt;&gt;"Y",0,(IF($F2582&lt;&gt;"",ROUND(Dashboard!$R$4/$F2582,1),IF(AND($I2582="Base",$E2582="Base"),Dashboard!$R$5,IF(AND($I2582="Base",$E2582="Red"),Dashboard!$R$6,IF(AND($I2582="Base",$E2582="Gold"),Dashboard!$R$7,VLOOKUP($I2582,Dashboard!$Q$16:$R$21,2,FALSE)))))*VLOOKUP($I2582,Dashboard!$Q$9:$R$13,2,FALSE)*IF(AND($I2582="Auto",$F2582="",OR($B2582="Autographs Duals",$B2582="Autographs Triples",$B2582="Autographs Quads",$B2582="Autographs Quads (Inscribed)")),IF($B2582="Autographs Duals",2,IF($B2582="Autographs Triples",3,4)),1)))</f>
        <v>3</v>
      </c>
      <c r="AB2582" s="62">
        <f t="shared" si="531"/>
        <v>3</v>
      </c>
      <c r="AC2582" s="62">
        <f t="shared" si="532"/>
        <v>0</v>
      </c>
    </row>
    <row r="2583" spans="1:29" ht="28.7" customHeight="1" x14ac:dyDescent="0.25">
      <c r="A2583" s="4" t="s">
        <v>17</v>
      </c>
      <c r="B2583" s="7" t="s">
        <v>67</v>
      </c>
      <c r="C2583" s="2" t="s">
        <v>1412</v>
      </c>
      <c r="D2583" s="7" t="s">
        <v>861</v>
      </c>
      <c r="E2583" s="4" t="s">
        <v>1602</v>
      </c>
      <c r="F2583" s="2"/>
      <c r="G2583" s="2" t="s">
        <v>1399</v>
      </c>
      <c r="H2583" s="2" t="s">
        <v>1400</v>
      </c>
      <c r="I2583" s="4" t="s">
        <v>60</v>
      </c>
      <c r="J2583" s="112">
        <f>IF($H2583&lt;&gt;"Y",0,ROUND(MIN(Dashboard!$R$24,IF(IFERROR(VLOOKUP($B2583,Dashboard!$Q$28:$S$60,2,FALSE),0)&gt;0,IFERROR(VLOOKUP($B2583,Dashboard!$Q$28:$S$60,2,FALSE),0),$Z2583*IF($U2583&lt;&gt;"",ROUND((Dashboard!$R$4/$U2583)*VLOOKUP($I2583,Dashboard!$Q$9:$R$13,2,FALSE)*IF(ISNUMBER(SEARCH("Duals",$B2583)),2,IF(ISNUMBER(SEARCH("Triples",$B2583)),3,IF(ISNUMBER(SEARCH("Quads",$B2583)),4,1))),2),ROUND(VLOOKUP($I2583,Dashboard!$Q$15:$R$20,2,FALSE)*IF($E2583="Red",Dashboard!$R$6,IF($E2583="Gold",Dashboard!$R$7,Dashboard!$R$5))*IF(ISNUMBER(SEARCH("Duals",$B2583)),2,IF(ISNUMBER(SEARCH("Triples",$B2583)),3,IF(ISNUMBER(SEARCH("Quads",$B2583)),4,1))),2))*IF(IFERROR(VLOOKUP($B2583,Dashboard!$Q$28:$S$60,3,FALSE),0)&gt;0,VLOOKUP($B2583,Dashboard!$Q$28:$S$60,3,FALSE),1))),0))</f>
        <v>3</v>
      </c>
      <c r="K2583" s="2" t="str">
        <f>IF('Base S1'!E14="","",'Base S1'!E14)</f>
        <v>C</v>
      </c>
      <c r="L2583" s="2">
        <f t="shared" si="533"/>
        <v>1</v>
      </c>
      <c r="M2583" s="2">
        <f t="shared" si="534"/>
        <v>0</v>
      </c>
      <c r="N2583" s="2">
        <f t="shared" si="535"/>
        <v>1</v>
      </c>
      <c r="O2583" s="2">
        <f t="shared" si="536"/>
        <v>0</v>
      </c>
      <c r="P2583" s="112">
        <f t="shared" si="537"/>
        <v>3</v>
      </c>
      <c r="Q2583" s="112">
        <f t="shared" si="538"/>
        <v>0</v>
      </c>
      <c r="R2583" s="53"/>
      <c r="S2583" s="53" t="str">
        <f t="shared" si="526"/>
        <v>Base S1|Gold Parallel - Season 1|13|Gold</v>
      </c>
      <c r="T2583" s="57" t="str">
        <f>IF($S2583="","",IFERROR(VLOOKUP($S2583,'Pop Estimates (Non-#d)'!$N$2:$O$500,2,FALSE),""))</f>
        <v/>
      </c>
      <c r="U2583" s="57" t="str">
        <f t="shared" si="527"/>
        <v/>
      </c>
      <c r="V2583" s="53" t="str">
        <f t="shared" si="528"/>
        <v/>
      </c>
      <c r="W2583" s="53" t="str">
        <f t="shared" si="529"/>
        <v/>
      </c>
      <c r="X2583" s="53" t="str">
        <f t="shared" si="530"/>
        <v/>
      </c>
      <c r="Y2583" s="57" t="str">
        <f>IF($X2583="","",IFERROR(VLOOKUP($X2583,'Char Popularity'!$A$2:$C$500,2,FALSE),""))</f>
        <v/>
      </c>
      <c r="Z2583" s="56">
        <f>IF($X2583="",1,IFERROR(VLOOKUP($X2583,'Char Popularity'!$A$2:$C$500,3,FALSE),1))</f>
        <v>1</v>
      </c>
      <c r="AA2583" s="62">
        <f>IF($H2583&lt;&gt;"Y",0,(IF($F2583&lt;&gt;"",ROUND(Dashboard!$R$4/$F2583,1),IF(AND($I2583="Base",$E2583="Base"),Dashboard!$R$5,IF(AND($I2583="Base",$E2583="Red"),Dashboard!$R$6,IF(AND($I2583="Base",$E2583="Gold"),Dashboard!$R$7,VLOOKUP($I2583,Dashboard!$Q$16:$R$21,2,FALSE)))))*VLOOKUP($I2583,Dashboard!$Q$9:$R$13,2,FALSE)*IF(AND($I2583="Auto",$F2583="",OR($B2583="Autographs Duals",$B2583="Autographs Triples",$B2583="Autographs Quads",$B2583="Autographs Quads (Inscribed)")),IF($B2583="Autographs Duals",2,IF($B2583="Autographs Triples",3,4)),1)))</f>
        <v>3</v>
      </c>
      <c r="AB2583" s="62">
        <f t="shared" si="531"/>
        <v>3</v>
      </c>
      <c r="AC2583" s="62">
        <f t="shared" si="532"/>
        <v>0</v>
      </c>
    </row>
    <row r="2584" spans="1:29" ht="28.7" customHeight="1" x14ac:dyDescent="0.25">
      <c r="A2584" s="4" t="s">
        <v>17</v>
      </c>
      <c r="B2584" s="7" t="s">
        <v>67</v>
      </c>
      <c r="C2584" s="2" t="s">
        <v>1413</v>
      </c>
      <c r="D2584" s="7" t="s">
        <v>863</v>
      </c>
      <c r="E2584" s="4" t="s">
        <v>1602</v>
      </c>
      <c r="F2584" s="2"/>
      <c r="G2584" s="2" t="s">
        <v>1399</v>
      </c>
      <c r="H2584" s="2" t="s">
        <v>1400</v>
      </c>
      <c r="I2584" s="4" t="s">
        <v>60</v>
      </c>
      <c r="J2584" s="112">
        <f>IF($H2584&lt;&gt;"Y",0,ROUND(MIN(Dashboard!$R$24,IF(IFERROR(VLOOKUP($B2584,Dashboard!$Q$28:$S$60,2,FALSE),0)&gt;0,IFERROR(VLOOKUP($B2584,Dashboard!$Q$28:$S$60,2,FALSE),0),$Z2584*IF($U2584&lt;&gt;"",ROUND((Dashboard!$R$4/$U2584)*VLOOKUP($I2584,Dashboard!$Q$9:$R$13,2,FALSE)*IF(ISNUMBER(SEARCH("Duals",$B2584)),2,IF(ISNUMBER(SEARCH("Triples",$B2584)),3,IF(ISNUMBER(SEARCH("Quads",$B2584)),4,1))),2),ROUND(VLOOKUP($I2584,Dashboard!$Q$15:$R$20,2,FALSE)*IF($E2584="Red",Dashboard!$R$6,IF($E2584="Gold",Dashboard!$R$7,Dashboard!$R$5))*IF(ISNUMBER(SEARCH("Duals",$B2584)),2,IF(ISNUMBER(SEARCH("Triples",$B2584)),3,IF(ISNUMBER(SEARCH("Quads",$B2584)),4,1))),2))*IF(IFERROR(VLOOKUP($B2584,Dashboard!$Q$28:$S$60,3,FALSE),0)&gt;0,VLOOKUP($B2584,Dashboard!$Q$28:$S$60,3,FALSE),1))),0))</f>
        <v>3</v>
      </c>
      <c r="K2584" s="2" t="str">
        <f>IF('Base S1'!E15="","",'Base S1'!E15)</f>
        <v>C</v>
      </c>
      <c r="L2584" s="2">
        <f t="shared" si="533"/>
        <v>1</v>
      </c>
      <c r="M2584" s="2">
        <f t="shared" si="534"/>
        <v>0</v>
      </c>
      <c r="N2584" s="2">
        <f t="shared" si="535"/>
        <v>1</v>
      </c>
      <c r="O2584" s="2">
        <f t="shared" si="536"/>
        <v>0</v>
      </c>
      <c r="P2584" s="112">
        <f t="shared" si="537"/>
        <v>3</v>
      </c>
      <c r="Q2584" s="112">
        <f t="shared" si="538"/>
        <v>0</v>
      </c>
      <c r="R2584" s="53"/>
      <c r="S2584" s="53" t="str">
        <f t="shared" si="526"/>
        <v>Base S1|Gold Parallel - Season 1|14|Gold</v>
      </c>
      <c r="T2584" s="57" t="str">
        <f>IF($S2584="","",IFERROR(VLOOKUP($S2584,'Pop Estimates (Non-#d)'!$N$2:$O$500,2,FALSE),""))</f>
        <v/>
      </c>
      <c r="U2584" s="57" t="str">
        <f t="shared" si="527"/>
        <v/>
      </c>
      <c r="V2584" s="53" t="str">
        <f t="shared" si="528"/>
        <v/>
      </c>
      <c r="W2584" s="53" t="str">
        <f t="shared" si="529"/>
        <v/>
      </c>
      <c r="X2584" s="53" t="str">
        <f t="shared" si="530"/>
        <v/>
      </c>
      <c r="Y2584" s="57" t="str">
        <f>IF($X2584="","",IFERROR(VLOOKUP($X2584,'Char Popularity'!$A$2:$C$500,2,FALSE),""))</f>
        <v/>
      </c>
      <c r="Z2584" s="56">
        <f>IF($X2584="",1,IFERROR(VLOOKUP($X2584,'Char Popularity'!$A$2:$C$500,3,FALSE),1))</f>
        <v>1</v>
      </c>
      <c r="AA2584" s="62">
        <f>IF($H2584&lt;&gt;"Y",0,(IF($F2584&lt;&gt;"",ROUND(Dashboard!$R$4/$F2584,1),IF(AND($I2584="Base",$E2584="Base"),Dashboard!$R$5,IF(AND($I2584="Base",$E2584="Red"),Dashboard!$R$6,IF(AND($I2584="Base",$E2584="Gold"),Dashboard!$R$7,VLOOKUP($I2584,Dashboard!$Q$16:$R$21,2,FALSE)))))*VLOOKUP($I2584,Dashboard!$Q$9:$R$13,2,FALSE)*IF(AND($I2584="Auto",$F2584="",OR($B2584="Autographs Duals",$B2584="Autographs Triples",$B2584="Autographs Quads",$B2584="Autographs Quads (Inscribed)")),IF($B2584="Autographs Duals",2,IF($B2584="Autographs Triples",3,4)),1)))</f>
        <v>3</v>
      </c>
      <c r="AB2584" s="62">
        <f t="shared" si="531"/>
        <v>3</v>
      </c>
      <c r="AC2584" s="62">
        <f t="shared" si="532"/>
        <v>0</v>
      </c>
    </row>
    <row r="2585" spans="1:29" ht="28.7" customHeight="1" x14ac:dyDescent="0.25">
      <c r="A2585" s="4" t="s">
        <v>17</v>
      </c>
      <c r="B2585" s="7" t="s">
        <v>67</v>
      </c>
      <c r="C2585" s="2" t="s">
        <v>1414</v>
      </c>
      <c r="D2585" s="7" t="s">
        <v>866</v>
      </c>
      <c r="E2585" s="4" t="s">
        <v>1602</v>
      </c>
      <c r="F2585" s="2"/>
      <c r="G2585" s="2" t="s">
        <v>1399</v>
      </c>
      <c r="H2585" s="2" t="s">
        <v>1400</v>
      </c>
      <c r="I2585" s="4" t="s">
        <v>60</v>
      </c>
      <c r="J2585" s="112">
        <f>IF($H2585&lt;&gt;"Y",0,ROUND(MIN(Dashboard!$R$24,IF(IFERROR(VLOOKUP($B2585,Dashboard!$Q$28:$S$60,2,FALSE),0)&gt;0,IFERROR(VLOOKUP($B2585,Dashboard!$Q$28:$S$60,2,FALSE),0),$Z2585*IF($U2585&lt;&gt;"",ROUND((Dashboard!$R$4/$U2585)*VLOOKUP($I2585,Dashboard!$Q$9:$R$13,2,FALSE)*IF(ISNUMBER(SEARCH("Duals",$B2585)),2,IF(ISNUMBER(SEARCH("Triples",$B2585)),3,IF(ISNUMBER(SEARCH("Quads",$B2585)),4,1))),2),ROUND(VLOOKUP($I2585,Dashboard!$Q$15:$R$20,2,FALSE)*IF($E2585="Red",Dashboard!$R$6,IF($E2585="Gold",Dashboard!$R$7,Dashboard!$R$5))*IF(ISNUMBER(SEARCH("Duals",$B2585)),2,IF(ISNUMBER(SEARCH("Triples",$B2585)),3,IF(ISNUMBER(SEARCH("Quads",$B2585)),4,1))),2))*IF(IFERROR(VLOOKUP($B2585,Dashboard!$Q$28:$S$60,3,FALSE),0)&gt;0,VLOOKUP($B2585,Dashboard!$Q$28:$S$60,3,FALSE),1))),0))</f>
        <v>3</v>
      </c>
      <c r="K2585" s="2" t="str">
        <f>IF('Base S1'!E16="","",'Base S1'!E16)</f>
        <v>C</v>
      </c>
      <c r="L2585" s="2">
        <f t="shared" si="533"/>
        <v>1</v>
      </c>
      <c r="M2585" s="2">
        <f t="shared" si="534"/>
        <v>0</v>
      </c>
      <c r="N2585" s="2">
        <f t="shared" si="535"/>
        <v>1</v>
      </c>
      <c r="O2585" s="2">
        <f t="shared" si="536"/>
        <v>0</v>
      </c>
      <c r="P2585" s="112">
        <f t="shared" si="537"/>
        <v>3</v>
      </c>
      <c r="Q2585" s="112">
        <f t="shared" si="538"/>
        <v>0</v>
      </c>
      <c r="R2585" s="53"/>
      <c r="S2585" s="53" t="str">
        <f t="shared" si="526"/>
        <v>Base S1|Gold Parallel - Season 1|15|Gold</v>
      </c>
      <c r="T2585" s="57" t="str">
        <f>IF($S2585="","",IFERROR(VLOOKUP($S2585,'Pop Estimates (Non-#d)'!$N$2:$O$500,2,FALSE),""))</f>
        <v/>
      </c>
      <c r="U2585" s="57" t="str">
        <f t="shared" si="527"/>
        <v/>
      </c>
      <c r="V2585" s="53" t="str">
        <f t="shared" si="528"/>
        <v/>
      </c>
      <c r="W2585" s="53" t="str">
        <f t="shared" si="529"/>
        <v/>
      </c>
      <c r="X2585" s="53" t="str">
        <f t="shared" si="530"/>
        <v/>
      </c>
      <c r="Y2585" s="57" t="str">
        <f>IF($X2585="","",IFERROR(VLOOKUP($X2585,'Char Popularity'!$A$2:$C$500,2,FALSE),""))</f>
        <v/>
      </c>
      <c r="Z2585" s="56">
        <f>IF($X2585="",1,IFERROR(VLOOKUP($X2585,'Char Popularity'!$A$2:$C$500,3,FALSE),1))</f>
        <v>1</v>
      </c>
      <c r="AA2585" s="62">
        <f>IF($H2585&lt;&gt;"Y",0,(IF($F2585&lt;&gt;"",ROUND(Dashboard!$R$4/$F2585,1),IF(AND($I2585="Base",$E2585="Base"),Dashboard!$R$5,IF(AND($I2585="Base",$E2585="Red"),Dashboard!$R$6,IF(AND($I2585="Base",$E2585="Gold"),Dashboard!$R$7,VLOOKUP($I2585,Dashboard!$Q$16:$R$21,2,FALSE)))))*VLOOKUP($I2585,Dashboard!$Q$9:$R$13,2,FALSE)*IF(AND($I2585="Auto",$F2585="",OR($B2585="Autographs Duals",$B2585="Autographs Triples",$B2585="Autographs Quads",$B2585="Autographs Quads (Inscribed)")),IF($B2585="Autographs Duals",2,IF($B2585="Autographs Triples",3,4)),1)))</f>
        <v>3</v>
      </c>
      <c r="AB2585" s="62">
        <f t="shared" si="531"/>
        <v>3</v>
      </c>
      <c r="AC2585" s="62">
        <f t="shared" si="532"/>
        <v>0</v>
      </c>
    </row>
    <row r="2586" spans="1:29" ht="28.7" customHeight="1" x14ac:dyDescent="0.25">
      <c r="A2586" s="4" t="s">
        <v>17</v>
      </c>
      <c r="B2586" s="7" t="s">
        <v>67</v>
      </c>
      <c r="C2586" s="2" t="s">
        <v>1415</v>
      </c>
      <c r="D2586" s="7" t="s">
        <v>869</v>
      </c>
      <c r="E2586" s="4" t="s">
        <v>1602</v>
      </c>
      <c r="F2586" s="2"/>
      <c r="G2586" s="2" t="s">
        <v>1399</v>
      </c>
      <c r="H2586" s="2" t="s">
        <v>1400</v>
      </c>
      <c r="I2586" s="4" t="s">
        <v>60</v>
      </c>
      <c r="J2586" s="112">
        <f>IF($H2586&lt;&gt;"Y",0,ROUND(MIN(Dashboard!$R$24,IF(IFERROR(VLOOKUP($B2586,Dashboard!$Q$28:$S$60,2,FALSE),0)&gt;0,IFERROR(VLOOKUP($B2586,Dashboard!$Q$28:$S$60,2,FALSE),0),$Z2586*IF($U2586&lt;&gt;"",ROUND((Dashboard!$R$4/$U2586)*VLOOKUP($I2586,Dashboard!$Q$9:$R$13,2,FALSE)*IF(ISNUMBER(SEARCH("Duals",$B2586)),2,IF(ISNUMBER(SEARCH("Triples",$B2586)),3,IF(ISNUMBER(SEARCH("Quads",$B2586)),4,1))),2),ROUND(VLOOKUP($I2586,Dashboard!$Q$15:$R$20,2,FALSE)*IF($E2586="Red",Dashboard!$R$6,IF($E2586="Gold",Dashboard!$R$7,Dashboard!$R$5))*IF(ISNUMBER(SEARCH("Duals",$B2586)),2,IF(ISNUMBER(SEARCH("Triples",$B2586)),3,IF(ISNUMBER(SEARCH("Quads",$B2586)),4,1))),2))*IF(IFERROR(VLOOKUP($B2586,Dashboard!$Q$28:$S$60,3,FALSE),0)&gt;0,VLOOKUP($B2586,Dashboard!$Q$28:$S$60,3,FALSE),1))),0))</f>
        <v>3</v>
      </c>
      <c r="K2586" s="2" t="str">
        <f>IF('Base S1'!E17="","",'Base S1'!E17)</f>
        <v>C</v>
      </c>
      <c r="L2586" s="2">
        <f t="shared" si="533"/>
        <v>1</v>
      </c>
      <c r="M2586" s="2">
        <f t="shared" si="534"/>
        <v>0</v>
      </c>
      <c r="N2586" s="2">
        <f t="shared" si="535"/>
        <v>1</v>
      </c>
      <c r="O2586" s="2">
        <f t="shared" si="536"/>
        <v>0</v>
      </c>
      <c r="P2586" s="112">
        <f t="shared" si="537"/>
        <v>3</v>
      </c>
      <c r="Q2586" s="112">
        <f t="shared" si="538"/>
        <v>0</v>
      </c>
      <c r="R2586" s="53"/>
      <c r="S2586" s="53" t="str">
        <f t="shared" si="526"/>
        <v>Base S1|Gold Parallel - Season 1|16|Gold</v>
      </c>
      <c r="T2586" s="57" t="str">
        <f>IF($S2586="","",IFERROR(VLOOKUP($S2586,'Pop Estimates (Non-#d)'!$N$2:$O$500,2,FALSE),""))</f>
        <v/>
      </c>
      <c r="U2586" s="57" t="str">
        <f t="shared" si="527"/>
        <v/>
      </c>
      <c r="V2586" s="53" t="str">
        <f t="shared" si="528"/>
        <v/>
      </c>
      <c r="W2586" s="53" t="str">
        <f t="shared" si="529"/>
        <v/>
      </c>
      <c r="X2586" s="53" t="str">
        <f t="shared" si="530"/>
        <v/>
      </c>
      <c r="Y2586" s="57" t="str">
        <f>IF($X2586="","",IFERROR(VLOOKUP($X2586,'Char Popularity'!$A$2:$C$500,2,FALSE),""))</f>
        <v/>
      </c>
      <c r="Z2586" s="56">
        <f>IF($X2586="",1,IFERROR(VLOOKUP($X2586,'Char Popularity'!$A$2:$C$500,3,FALSE),1))</f>
        <v>1</v>
      </c>
      <c r="AA2586" s="62">
        <f>IF($H2586&lt;&gt;"Y",0,(IF($F2586&lt;&gt;"",ROUND(Dashboard!$R$4/$F2586,1),IF(AND($I2586="Base",$E2586="Base"),Dashboard!$R$5,IF(AND($I2586="Base",$E2586="Red"),Dashboard!$R$6,IF(AND($I2586="Base",$E2586="Gold"),Dashboard!$R$7,VLOOKUP($I2586,Dashboard!$Q$16:$R$21,2,FALSE)))))*VLOOKUP($I2586,Dashboard!$Q$9:$R$13,2,FALSE)*IF(AND($I2586="Auto",$F2586="",OR($B2586="Autographs Duals",$B2586="Autographs Triples",$B2586="Autographs Quads",$B2586="Autographs Quads (Inscribed)")),IF($B2586="Autographs Duals",2,IF($B2586="Autographs Triples",3,4)),1)))</f>
        <v>3</v>
      </c>
      <c r="AB2586" s="62">
        <f t="shared" si="531"/>
        <v>3</v>
      </c>
      <c r="AC2586" s="62">
        <f t="shared" si="532"/>
        <v>0</v>
      </c>
    </row>
    <row r="2587" spans="1:29" ht="28.7" customHeight="1" x14ac:dyDescent="0.25">
      <c r="A2587" s="4" t="s">
        <v>17</v>
      </c>
      <c r="B2587" s="7" t="s">
        <v>67</v>
      </c>
      <c r="C2587" s="2" t="s">
        <v>1416</v>
      </c>
      <c r="D2587" s="7" t="s">
        <v>874</v>
      </c>
      <c r="E2587" s="4" t="s">
        <v>1602</v>
      </c>
      <c r="F2587" s="2"/>
      <c r="G2587" s="2" t="s">
        <v>1399</v>
      </c>
      <c r="H2587" s="2" t="s">
        <v>1400</v>
      </c>
      <c r="I2587" s="4" t="s">
        <v>60</v>
      </c>
      <c r="J2587" s="112">
        <f>IF($H2587&lt;&gt;"Y",0,ROUND(MIN(Dashboard!$R$24,IF(IFERROR(VLOOKUP($B2587,Dashboard!$Q$28:$S$60,2,FALSE),0)&gt;0,IFERROR(VLOOKUP($B2587,Dashboard!$Q$28:$S$60,2,FALSE),0),$Z2587*IF($U2587&lt;&gt;"",ROUND((Dashboard!$R$4/$U2587)*VLOOKUP($I2587,Dashboard!$Q$9:$R$13,2,FALSE)*IF(ISNUMBER(SEARCH("Duals",$B2587)),2,IF(ISNUMBER(SEARCH("Triples",$B2587)),3,IF(ISNUMBER(SEARCH("Quads",$B2587)),4,1))),2),ROUND(VLOOKUP($I2587,Dashboard!$Q$15:$R$20,2,FALSE)*IF($E2587="Red",Dashboard!$R$6,IF($E2587="Gold",Dashboard!$R$7,Dashboard!$R$5))*IF(ISNUMBER(SEARCH("Duals",$B2587)),2,IF(ISNUMBER(SEARCH("Triples",$B2587)),3,IF(ISNUMBER(SEARCH("Quads",$B2587)),4,1))),2))*IF(IFERROR(VLOOKUP($B2587,Dashboard!$Q$28:$S$60,3,FALSE),0)&gt;0,VLOOKUP($B2587,Dashboard!$Q$28:$S$60,3,FALSE),1))),0))</f>
        <v>3</v>
      </c>
      <c r="K2587" s="2" t="str">
        <f>IF('Base S1'!E18="","",'Base S1'!E18)</f>
        <v>C</v>
      </c>
      <c r="L2587" s="2">
        <f t="shared" si="533"/>
        <v>1</v>
      </c>
      <c r="M2587" s="2">
        <f t="shared" si="534"/>
        <v>0</v>
      </c>
      <c r="N2587" s="2">
        <f t="shared" si="535"/>
        <v>1</v>
      </c>
      <c r="O2587" s="2">
        <f t="shared" si="536"/>
        <v>0</v>
      </c>
      <c r="P2587" s="112">
        <f t="shared" si="537"/>
        <v>3</v>
      </c>
      <c r="Q2587" s="112">
        <f t="shared" si="538"/>
        <v>0</v>
      </c>
      <c r="R2587" s="53"/>
      <c r="S2587" s="53" t="str">
        <f t="shared" si="526"/>
        <v>Base S1|Gold Parallel - Season 1|17|Gold</v>
      </c>
      <c r="T2587" s="57" t="str">
        <f>IF($S2587="","",IFERROR(VLOOKUP($S2587,'Pop Estimates (Non-#d)'!$N$2:$O$500,2,FALSE),""))</f>
        <v/>
      </c>
      <c r="U2587" s="57" t="str">
        <f t="shared" si="527"/>
        <v/>
      </c>
      <c r="V2587" s="53" t="str">
        <f t="shared" si="528"/>
        <v/>
      </c>
      <c r="W2587" s="53" t="str">
        <f t="shared" si="529"/>
        <v/>
      </c>
      <c r="X2587" s="53" t="str">
        <f t="shared" si="530"/>
        <v/>
      </c>
      <c r="Y2587" s="57" t="str">
        <f>IF($X2587="","",IFERROR(VLOOKUP($X2587,'Char Popularity'!$A$2:$C$500,2,FALSE),""))</f>
        <v/>
      </c>
      <c r="Z2587" s="56">
        <f>IF($X2587="",1,IFERROR(VLOOKUP($X2587,'Char Popularity'!$A$2:$C$500,3,FALSE),1))</f>
        <v>1</v>
      </c>
      <c r="AA2587" s="62">
        <f>IF($H2587&lt;&gt;"Y",0,(IF($F2587&lt;&gt;"",ROUND(Dashboard!$R$4/$F2587,1),IF(AND($I2587="Base",$E2587="Base"),Dashboard!$R$5,IF(AND($I2587="Base",$E2587="Red"),Dashboard!$R$6,IF(AND($I2587="Base",$E2587="Gold"),Dashboard!$R$7,VLOOKUP($I2587,Dashboard!$Q$16:$R$21,2,FALSE)))))*VLOOKUP($I2587,Dashboard!$Q$9:$R$13,2,FALSE)*IF(AND($I2587="Auto",$F2587="",OR($B2587="Autographs Duals",$B2587="Autographs Triples",$B2587="Autographs Quads",$B2587="Autographs Quads (Inscribed)")),IF($B2587="Autographs Duals",2,IF($B2587="Autographs Triples",3,4)),1)))</f>
        <v>3</v>
      </c>
      <c r="AB2587" s="62">
        <f t="shared" si="531"/>
        <v>3</v>
      </c>
      <c r="AC2587" s="62">
        <f t="shared" si="532"/>
        <v>0</v>
      </c>
    </row>
    <row r="2588" spans="1:29" ht="28.7" customHeight="1" x14ac:dyDescent="0.25">
      <c r="A2588" s="4" t="s">
        <v>17</v>
      </c>
      <c r="B2588" s="7" t="s">
        <v>67</v>
      </c>
      <c r="C2588" s="2" t="s">
        <v>1417</v>
      </c>
      <c r="D2588" s="7" t="s">
        <v>877</v>
      </c>
      <c r="E2588" s="4" t="s">
        <v>1602</v>
      </c>
      <c r="F2588" s="2"/>
      <c r="G2588" s="2" t="s">
        <v>1399</v>
      </c>
      <c r="H2588" s="2" t="s">
        <v>1400</v>
      </c>
      <c r="I2588" s="4" t="s">
        <v>60</v>
      </c>
      <c r="J2588" s="112">
        <f>IF($H2588&lt;&gt;"Y",0,ROUND(MIN(Dashboard!$R$24,IF(IFERROR(VLOOKUP($B2588,Dashboard!$Q$28:$S$60,2,FALSE),0)&gt;0,IFERROR(VLOOKUP($B2588,Dashboard!$Q$28:$S$60,2,FALSE),0),$Z2588*IF($U2588&lt;&gt;"",ROUND((Dashboard!$R$4/$U2588)*VLOOKUP($I2588,Dashboard!$Q$9:$R$13,2,FALSE)*IF(ISNUMBER(SEARCH("Duals",$B2588)),2,IF(ISNUMBER(SEARCH("Triples",$B2588)),3,IF(ISNUMBER(SEARCH("Quads",$B2588)),4,1))),2),ROUND(VLOOKUP($I2588,Dashboard!$Q$15:$R$20,2,FALSE)*IF($E2588="Red",Dashboard!$R$6,IF($E2588="Gold",Dashboard!$R$7,Dashboard!$R$5))*IF(ISNUMBER(SEARCH("Duals",$B2588)),2,IF(ISNUMBER(SEARCH("Triples",$B2588)),3,IF(ISNUMBER(SEARCH("Quads",$B2588)),4,1))),2))*IF(IFERROR(VLOOKUP($B2588,Dashboard!$Q$28:$S$60,3,FALSE),0)&gt;0,VLOOKUP($B2588,Dashboard!$Q$28:$S$60,3,FALSE),1))),0))</f>
        <v>3</v>
      </c>
      <c r="K2588" s="2" t="str">
        <f>IF('Base S1'!E19="","",'Base S1'!E19)</f>
        <v>C</v>
      </c>
      <c r="L2588" s="2">
        <f t="shared" si="533"/>
        <v>1</v>
      </c>
      <c r="M2588" s="2">
        <f t="shared" si="534"/>
        <v>0</v>
      </c>
      <c r="N2588" s="2">
        <f t="shared" si="535"/>
        <v>1</v>
      </c>
      <c r="O2588" s="2">
        <f t="shared" si="536"/>
        <v>0</v>
      </c>
      <c r="P2588" s="112">
        <f t="shared" si="537"/>
        <v>3</v>
      </c>
      <c r="Q2588" s="112">
        <f t="shared" si="538"/>
        <v>0</v>
      </c>
      <c r="R2588" s="53"/>
      <c r="S2588" s="53" t="str">
        <f t="shared" si="526"/>
        <v>Base S1|Gold Parallel - Season 1|18|Gold</v>
      </c>
      <c r="T2588" s="57" t="str">
        <f>IF($S2588="","",IFERROR(VLOOKUP($S2588,'Pop Estimates (Non-#d)'!$N$2:$O$500,2,FALSE),""))</f>
        <v/>
      </c>
      <c r="U2588" s="57" t="str">
        <f t="shared" si="527"/>
        <v/>
      </c>
      <c r="V2588" s="53" t="str">
        <f t="shared" si="528"/>
        <v/>
      </c>
      <c r="W2588" s="53" t="str">
        <f t="shared" si="529"/>
        <v/>
      </c>
      <c r="X2588" s="53" t="str">
        <f t="shared" si="530"/>
        <v/>
      </c>
      <c r="Y2588" s="57" t="str">
        <f>IF($X2588="","",IFERROR(VLOOKUP($X2588,'Char Popularity'!$A$2:$C$500,2,FALSE),""))</f>
        <v/>
      </c>
      <c r="Z2588" s="56">
        <f>IF($X2588="",1,IFERROR(VLOOKUP($X2588,'Char Popularity'!$A$2:$C$500,3,FALSE),1))</f>
        <v>1</v>
      </c>
      <c r="AA2588" s="62">
        <f>IF($H2588&lt;&gt;"Y",0,(IF($F2588&lt;&gt;"",ROUND(Dashboard!$R$4/$F2588,1),IF(AND($I2588="Base",$E2588="Base"),Dashboard!$R$5,IF(AND($I2588="Base",$E2588="Red"),Dashboard!$R$6,IF(AND($I2588="Base",$E2588="Gold"),Dashboard!$R$7,VLOOKUP($I2588,Dashboard!$Q$16:$R$21,2,FALSE)))))*VLOOKUP($I2588,Dashboard!$Q$9:$R$13,2,FALSE)*IF(AND($I2588="Auto",$F2588="",OR($B2588="Autographs Duals",$B2588="Autographs Triples",$B2588="Autographs Quads",$B2588="Autographs Quads (Inscribed)")),IF($B2588="Autographs Duals",2,IF($B2588="Autographs Triples",3,4)),1)))</f>
        <v>3</v>
      </c>
      <c r="AB2588" s="62">
        <f t="shared" si="531"/>
        <v>3</v>
      </c>
      <c r="AC2588" s="62">
        <f t="shared" si="532"/>
        <v>0</v>
      </c>
    </row>
    <row r="2589" spans="1:29" ht="28.7" customHeight="1" x14ac:dyDescent="0.25">
      <c r="A2589" s="4" t="s">
        <v>17</v>
      </c>
      <c r="B2589" s="7" t="s">
        <v>67</v>
      </c>
      <c r="C2589" s="2" t="s">
        <v>1418</v>
      </c>
      <c r="D2589" s="7" t="s">
        <v>879</v>
      </c>
      <c r="E2589" s="4" t="s">
        <v>1602</v>
      </c>
      <c r="F2589" s="2"/>
      <c r="G2589" s="2" t="s">
        <v>1399</v>
      </c>
      <c r="H2589" s="2" t="s">
        <v>1400</v>
      </c>
      <c r="I2589" s="4" t="s">
        <v>60</v>
      </c>
      <c r="J2589" s="112">
        <f>IF($H2589&lt;&gt;"Y",0,ROUND(MIN(Dashboard!$R$24,IF(IFERROR(VLOOKUP($B2589,Dashboard!$Q$28:$S$60,2,FALSE),0)&gt;0,IFERROR(VLOOKUP($B2589,Dashboard!$Q$28:$S$60,2,FALSE),0),$Z2589*IF($U2589&lt;&gt;"",ROUND((Dashboard!$R$4/$U2589)*VLOOKUP($I2589,Dashboard!$Q$9:$R$13,2,FALSE)*IF(ISNUMBER(SEARCH("Duals",$B2589)),2,IF(ISNUMBER(SEARCH("Triples",$B2589)),3,IF(ISNUMBER(SEARCH("Quads",$B2589)),4,1))),2),ROUND(VLOOKUP($I2589,Dashboard!$Q$15:$R$20,2,FALSE)*IF($E2589="Red",Dashboard!$R$6,IF($E2589="Gold",Dashboard!$R$7,Dashboard!$R$5))*IF(ISNUMBER(SEARCH("Duals",$B2589)),2,IF(ISNUMBER(SEARCH("Triples",$B2589)),3,IF(ISNUMBER(SEARCH("Quads",$B2589)),4,1))),2))*IF(IFERROR(VLOOKUP($B2589,Dashboard!$Q$28:$S$60,3,FALSE),0)&gt;0,VLOOKUP($B2589,Dashboard!$Q$28:$S$60,3,FALSE),1))),0))</f>
        <v>3</v>
      </c>
      <c r="K2589" s="2" t="str">
        <f>IF('Base S1'!E20="","",'Base S1'!E20)</f>
        <v>C</v>
      </c>
      <c r="L2589" s="2">
        <f t="shared" si="533"/>
        <v>1</v>
      </c>
      <c r="M2589" s="2">
        <f t="shared" si="534"/>
        <v>0</v>
      </c>
      <c r="N2589" s="2">
        <f t="shared" si="535"/>
        <v>1</v>
      </c>
      <c r="O2589" s="2">
        <f t="shared" si="536"/>
        <v>0</v>
      </c>
      <c r="P2589" s="112">
        <f t="shared" si="537"/>
        <v>3</v>
      </c>
      <c r="Q2589" s="112">
        <f t="shared" si="538"/>
        <v>0</v>
      </c>
      <c r="R2589" s="53"/>
      <c r="S2589" s="53" t="str">
        <f t="shared" si="526"/>
        <v>Base S1|Gold Parallel - Season 1|19|Gold</v>
      </c>
      <c r="T2589" s="57" t="str">
        <f>IF($S2589="","",IFERROR(VLOOKUP($S2589,'Pop Estimates (Non-#d)'!$N$2:$O$500,2,FALSE),""))</f>
        <v/>
      </c>
      <c r="U2589" s="57" t="str">
        <f t="shared" si="527"/>
        <v/>
      </c>
      <c r="V2589" s="53" t="str">
        <f t="shared" si="528"/>
        <v/>
      </c>
      <c r="W2589" s="53" t="str">
        <f t="shared" si="529"/>
        <v/>
      </c>
      <c r="X2589" s="53" t="str">
        <f t="shared" si="530"/>
        <v/>
      </c>
      <c r="Y2589" s="57" t="str">
        <f>IF($X2589="","",IFERROR(VLOOKUP($X2589,'Char Popularity'!$A$2:$C$500,2,FALSE),""))</f>
        <v/>
      </c>
      <c r="Z2589" s="56">
        <f>IF($X2589="",1,IFERROR(VLOOKUP($X2589,'Char Popularity'!$A$2:$C$500,3,FALSE),1))</f>
        <v>1</v>
      </c>
      <c r="AA2589" s="62">
        <f>IF($H2589&lt;&gt;"Y",0,(IF($F2589&lt;&gt;"",ROUND(Dashboard!$R$4/$F2589,1),IF(AND($I2589="Base",$E2589="Base"),Dashboard!$R$5,IF(AND($I2589="Base",$E2589="Red"),Dashboard!$R$6,IF(AND($I2589="Base",$E2589="Gold"),Dashboard!$R$7,VLOOKUP($I2589,Dashboard!$Q$16:$R$21,2,FALSE)))))*VLOOKUP($I2589,Dashboard!$Q$9:$R$13,2,FALSE)*IF(AND($I2589="Auto",$F2589="",OR($B2589="Autographs Duals",$B2589="Autographs Triples",$B2589="Autographs Quads",$B2589="Autographs Quads (Inscribed)")),IF($B2589="Autographs Duals",2,IF($B2589="Autographs Triples",3,4)),1)))</f>
        <v>3</v>
      </c>
      <c r="AB2589" s="62">
        <f t="shared" si="531"/>
        <v>3</v>
      </c>
      <c r="AC2589" s="62">
        <f t="shared" si="532"/>
        <v>0</v>
      </c>
    </row>
    <row r="2590" spans="1:29" ht="28.7" customHeight="1" x14ac:dyDescent="0.25">
      <c r="A2590" s="4" t="s">
        <v>17</v>
      </c>
      <c r="B2590" s="7" t="s">
        <v>67</v>
      </c>
      <c r="C2590" s="2" t="s">
        <v>1419</v>
      </c>
      <c r="D2590" s="7" t="s">
        <v>881</v>
      </c>
      <c r="E2590" s="4" t="s">
        <v>1602</v>
      </c>
      <c r="F2590" s="2"/>
      <c r="G2590" s="2" t="s">
        <v>1399</v>
      </c>
      <c r="H2590" s="2" t="s">
        <v>1400</v>
      </c>
      <c r="I2590" s="4" t="s">
        <v>60</v>
      </c>
      <c r="J2590" s="112">
        <f>IF($H2590&lt;&gt;"Y",0,ROUND(MIN(Dashboard!$R$24,IF(IFERROR(VLOOKUP($B2590,Dashboard!$Q$28:$S$60,2,FALSE),0)&gt;0,IFERROR(VLOOKUP($B2590,Dashboard!$Q$28:$S$60,2,FALSE),0),$Z2590*IF($U2590&lt;&gt;"",ROUND((Dashboard!$R$4/$U2590)*VLOOKUP($I2590,Dashboard!$Q$9:$R$13,2,FALSE)*IF(ISNUMBER(SEARCH("Duals",$B2590)),2,IF(ISNUMBER(SEARCH("Triples",$B2590)),3,IF(ISNUMBER(SEARCH("Quads",$B2590)),4,1))),2),ROUND(VLOOKUP($I2590,Dashboard!$Q$15:$R$20,2,FALSE)*IF($E2590="Red",Dashboard!$R$6,IF($E2590="Gold",Dashboard!$R$7,Dashboard!$R$5))*IF(ISNUMBER(SEARCH("Duals",$B2590)),2,IF(ISNUMBER(SEARCH("Triples",$B2590)),3,IF(ISNUMBER(SEARCH("Quads",$B2590)),4,1))),2))*IF(IFERROR(VLOOKUP($B2590,Dashboard!$Q$28:$S$60,3,FALSE),0)&gt;0,VLOOKUP($B2590,Dashboard!$Q$28:$S$60,3,FALSE),1))),0))</f>
        <v>3</v>
      </c>
      <c r="K2590" s="2" t="str">
        <f>IF('Base S1'!E21="","",'Base S1'!E21)</f>
        <v>C</v>
      </c>
      <c r="L2590" s="2">
        <f t="shared" si="533"/>
        <v>1</v>
      </c>
      <c r="M2590" s="2">
        <f t="shared" si="534"/>
        <v>0</v>
      </c>
      <c r="N2590" s="2">
        <f t="shared" si="535"/>
        <v>1</v>
      </c>
      <c r="O2590" s="2">
        <f t="shared" si="536"/>
        <v>0</v>
      </c>
      <c r="P2590" s="112">
        <f t="shared" si="537"/>
        <v>3</v>
      </c>
      <c r="Q2590" s="112">
        <f t="shared" si="538"/>
        <v>0</v>
      </c>
      <c r="R2590" s="53"/>
      <c r="S2590" s="53" t="str">
        <f t="shared" si="526"/>
        <v>Base S1|Gold Parallel - Season 1|20|Gold</v>
      </c>
      <c r="T2590" s="57" t="str">
        <f>IF($S2590="","",IFERROR(VLOOKUP($S2590,'Pop Estimates (Non-#d)'!$N$2:$O$500,2,FALSE),""))</f>
        <v/>
      </c>
      <c r="U2590" s="57" t="str">
        <f t="shared" si="527"/>
        <v/>
      </c>
      <c r="V2590" s="53" t="str">
        <f t="shared" si="528"/>
        <v/>
      </c>
      <c r="W2590" s="53" t="str">
        <f t="shared" si="529"/>
        <v/>
      </c>
      <c r="X2590" s="53" t="str">
        <f t="shared" si="530"/>
        <v/>
      </c>
      <c r="Y2590" s="57" t="str">
        <f>IF($X2590="","",IFERROR(VLOOKUP($X2590,'Char Popularity'!$A$2:$C$500,2,FALSE),""))</f>
        <v/>
      </c>
      <c r="Z2590" s="56">
        <f>IF($X2590="",1,IFERROR(VLOOKUP($X2590,'Char Popularity'!$A$2:$C$500,3,FALSE),1))</f>
        <v>1</v>
      </c>
      <c r="AA2590" s="62">
        <f>IF($H2590&lt;&gt;"Y",0,(IF($F2590&lt;&gt;"",ROUND(Dashboard!$R$4/$F2590,1),IF(AND($I2590="Base",$E2590="Base"),Dashboard!$R$5,IF(AND($I2590="Base",$E2590="Red"),Dashboard!$R$6,IF(AND($I2590="Base",$E2590="Gold"),Dashboard!$R$7,VLOOKUP($I2590,Dashboard!$Q$16:$R$21,2,FALSE)))))*VLOOKUP($I2590,Dashboard!$Q$9:$R$13,2,FALSE)*IF(AND($I2590="Auto",$F2590="",OR($B2590="Autographs Duals",$B2590="Autographs Triples",$B2590="Autographs Quads",$B2590="Autographs Quads (Inscribed)")),IF($B2590="Autographs Duals",2,IF($B2590="Autographs Triples",3,4)),1)))</f>
        <v>3</v>
      </c>
      <c r="AB2590" s="62">
        <f t="shared" si="531"/>
        <v>3</v>
      </c>
      <c r="AC2590" s="62">
        <f t="shared" si="532"/>
        <v>0</v>
      </c>
    </row>
    <row r="2591" spans="1:29" ht="28.7" customHeight="1" x14ac:dyDescent="0.25">
      <c r="A2591" s="4" t="s">
        <v>17</v>
      </c>
      <c r="B2591" s="7" t="s">
        <v>67</v>
      </c>
      <c r="C2591" s="2" t="s">
        <v>1420</v>
      </c>
      <c r="D2591" s="7" t="s">
        <v>883</v>
      </c>
      <c r="E2591" s="4" t="s">
        <v>1602</v>
      </c>
      <c r="F2591" s="2"/>
      <c r="G2591" s="2" t="s">
        <v>1399</v>
      </c>
      <c r="H2591" s="2" t="s">
        <v>1400</v>
      </c>
      <c r="I2591" s="4" t="s">
        <v>60</v>
      </c>
      <c r="J2591" s="112">
        <f>IF($H2591&lt;&gt;"Y",0,ROUND(MIN(Dashboard!$R$24,IF(IFERROR(VLOOKUP($B2591,Dashboard!$Q$28:$S$60,2,FALSE),0)&gt;0,IFERROR(VLOOKUP($B2591,Dashboard!$Q$28:$S$60,2,FALSE),0),$Z2591*IF($U2591&lt;&gt;"",ROUND((Dashboard!$R$4/$U2591)*VLOOKUP($I2591,Dashboard!$Q$9:$R$13,2,FALSE)*IF(ISNUMBER(SEARCH("Duals",$B2591)),2,IF(ISNUMBER(SEARCH("Triples",$B2591)),3,IF(ISNUMBER(SEARCH("Quads",$B2591)),4,1))),2),ROUND(VLOOKUP($I2591,Dashboard!$Q$15:$R$20,2,FALSE)*IF($E2591="Red",Dashboard!$R$6,IF($E2591="Gold",Dashboard!$R$7,Dashboard!$R$5))*IF(ISNUMBER(SEARCH("Duals",$B2591)),2,IF(ISNUMBER(SEARCH("Triples",$B2591)),3,IF(ISNUMBER(SEARCH("Quads",$B2591)),4,1))),2))*IF(IFERROR(VLOOKUP($B2591,Dashboard!$Q$28:$S$60,3,FALSE),0)&gt;0,VLOOKUP($B2591,Dashboard!$Q$28:$S$60,3,FALSE),1))),0))</f>
        <v>3</v>
      </c>
      <c r="K2591" s="2" t="str">
        <f>IF('Base S1'!E22="","",'Base S1'!E22)</f>
        <v>C</v>
      </c>
      <c r="L2591" s="2">
        <f t="shared" si="533"/>
        <v>1</v>
      </c>
      <c r="M2591" s="2">
        <f t="shared" si="534"/>
        <v>0</v>
      </c>
      <c r="N2591" s="2">
        <f t="shared" si="535"/>
        <v>1</v>
      </c>
      <c r="O2591" s="2">
        <f t="shared" si="536"/>
        <v>0</v>
      </c>
      <c r="P2591" s="112">
        <f t="shared" si="537"/>
        <v>3</v>
      </c>
      <c r="Q2591" s="112">
        <f t="shared" si="538"/>
        <v>0</v>
      </c>
      <c r="R2591" s="53"/>
      <c r="S2591" s="53" t="str">
        <f t="shared" si="526"/>
        <v>Base S1|Gold Parallel - Season 1|21|Gold</v>
      </c>
      <c r="T2591" s="57" t="str">
        <f>IF($S2591="","",IFERROR(VLOOKUP($S2591,'Pop Estimates (Non-#d)'!$N$2:$O$500,2,FALSE),""))</f>
        <v/>
      </c>
      <c r="U2591" s="57" t="str">
        <f t="shared" si="527"/>
        <v/>
      </c>
      <c r="V2591" s="53" t="str">
        <f t="shared" si="528"/>
        <v/>
      </c>
      <c r="W2591" s="53" t="str">
        <f t="shared" si="529"/>
        <v/>
      </c>
      <c r="X2591" s="53" t="str">
        <f t="shared" si="530"/>
        <v/>
      </c>
      <c r="Y2591" s="57" t="str">
        <f>IF($X2591="","",IFERROR(VLOOKUP($X2591,'Char Popularity'!$A$2:$C$500,2,FALSE),""))</f>
        <v/>
      </c>
      <c r="Z2591" s="56">
        <f>IF($X2591="",1,IFERROR(VLOOKUP($X2591,'Char Popularity'!$A$2:$C$500,3,FALSE),1))</f>
        <v>1</v>
      </c>
      <c r="AA2591" s="62">
        <f>IF($H2591&lt;&gt;"Y",0,(IF($F2591&lt;&gt;"",ROUND(Dashboard!$R$4/$F2591,1),IF(AND($I2591="Base",$E2591="Base"),Dashboard!$R$5,IF(AND($I2591="Base",$E2591="Red"),Dashboard!$R$6,IF(AND($I2591="Base",$E2591="Gold"),Dashboard!$R$7,VLOOKUP($I2591,Dashboard!$Q$16:$R$21,2,FALSE)))))*VLOOKUP($I2591,Dashboard!$Q$9:$R$13,2,FALSE)*IF(AND($I2591="Auto",$F2591="",OR($B2591="Autographs Duals",$B2591="Autographs Triples",$B2591="Autographs Quads",$B2591="Autographs Quads (Inscribed)")),IF($B2591="Autographs Duals",2,IF($B2591="Autographs Triples",3,4)),1)))</f>
        <v>3</v>
      </c>
      <c r="AB2591" s="62">
        <f t="shared" si="531"/>
        <v>3</v>
      </c>
      <c r="AC2591" s="62">
        <f t="shared" si="532"/>
        <v>0</v>
      </c>
    </row>
    <row r="2592" spans="1:29" ht="28.7" customHeight="1" x14ac:dyDescent="0.25">
      <c r="A2592" s="4" t="s">
        <v>17</v>
      </c>
      <c r="B2592" s="7" t="s">
        <v>67</v>
      </c>
      <c r="C2592" s="2" t="s">
        <v>1421</v>
      </c>
      <c r="D2592" s="7" t="s">
        <v>885</v>
      </c>
      <c r="E2592" s="4" t="s">
        <v>1602</v>
      </c>
      <c r="F2592" s="2"/>
      <c r="G2592" s="2" t="s">
        <v>1399</v>
      </c>
      <c r="H2592" s="2" t="s">
        <v>1400</v>
      </c>
      <c r="I2592" s="4" t="s">
        <v>60</v>
      </c>
      <c r="J2592" s="112">
        <f>IF($H2592&lt;&gt;"Y",0,ROUND(MIN(Dashboard!$R$24,IF(IFERROR(VLOOKUP($B2592,Dashboard!$Q$28:$S$60,2,FALSE),0)&gt;0,IFERROR(VLOOKUP($B2592,Dashboard!$Q$28:$S$60,2,FALSE),0),$Z2592*IF($U2592&lt;&gt;"",ROUND((Dashboard!$R$4/$U2592)*VLOOKUP($I2592,Dashboard!$Q$9:$R$13,2,FALSE)*IF(ISNUMBER(SEARCH("Duals",$B2592)),2,IF(ISNUMBER(SEARCH("Triples",$B2592)),3,IF(ISNUMBER(SEARCH("Quads",$B2592)),4,1))),2),ROUND(VLOOKUP($I2592,Dashboard!$Q$15:$R$20,2,FALSE)*IF($E2592="Red",Dashboard!$R$6,IF($E2592="Gold",Dashboard!$R$7,Dashboard!$R$5))*IF(ISNUMBER(SEARCH("Duals",$B2592)),2,IF(ISNUMBER(SEARCH("Triples",$B2592)),3,IF(ISNUMBER(SEARCH("Quads",$B2592)),4,1))),2))*IF(IFERROR(VLOOKUP($B2592,Dashboard!$Q$28:$S$60,3,FALSE),0)&gt;0,VLOOKUP($B2592,Dashboard!$Q$28:$S$60,3,FALSE),1))),0))</f>
        <v>3</v>
      </c>
      <c r="K2592" s="2" t="str">
        <f>IF('Base S1'!E23="","",'Base S1'!E23)</f>
        <v>C</v>
      </c>
      <c r="L2592" s="2">
        <f t="shared" si="533"/>
        <v>1</v>
      </c>
      <c r="M2592" s="2">
        <f t="shared" si="534"/>
        <v>0</v>
      </c>
      <c r="N2592" s="2">
        <f t="shared" si="535"/>
        <v>1</v>
      </c>
      <c r="O2592" s="2">
        <f t="shared" si="536"/>
        <v>0</v>
      </c>
      <c r="P2592" s="112">
        <f t="shared" si="537"/>
        <v>3</v>
      </c>
      <c r="Q2592" s="112">
        <f t="shared" si="538"/>
        <v>0</v>
      </c>
      <c r="R2592" s="53"/>
      <c r="S2592" s="53" t="str">
        <f t="shared" si="526"/>
        <v>Base S1|Gold Parallel - Season 1|22|Gold</v>
      </c>
      <c r="T2592" s="57" t="str">
        <f>IF($S2592="","",IFERROR(VLOOKUP($S2592,'Pop Estimates (Non-#d)'!$N$2:$O$500,2,FALSE),""))</f>
        <v/>
      </c>
      <c r="U2592" s="57" t="str">
        <f t="shared" si="527"/>
        <v/>
      </c>
      <c r="V2592" s="53" t="str">
        <f t="shared" si="528"/>
        <v/>
      </c>
      <c r="W2592" s="53" t="str">
        <f t="shared" si="529"/>
        <v/>
      </c>
      <c r="X2592" s="53" t="str">
        <f t="shared" si="530"/>
        <v/>
      </c>
      <c r="Y2592" s="57" t="str">
        <f>IF($X2592="","",IFERROR(VLOOKUP($X2592,'Char Popularity'!$A$2:$C$500,2,FALSE),""))</f>
        <v/>
      </c>
      <c r="Z2592" s="56">
        <f>IF($X2592="",1,IFERROR(VLOOKUP($X2592,'Char Popularity'!$A$2:$C$500,3,FALSE),1))</f>
        <v>1</v>
      </c>
      <c r="AA2592" s="62">
        <f>IF($H2592&lt;&gt;"Y",0,(IF($F2592&lt;&gt;"",ROUND(Dashboard!$R$4/$F2592,1),IF(AND($I2592="Base",$E2592="Base"),Dashboard!$R$5,IF(AND($I2592="Base",$E2592="Red"),Dashboard!$R$6,IF(AND($I2592="Base",$E2592="Gold"),Dashboard!$R$7,VLOOKUP($I2592,Dashboard!$Q$16:$R$21,2,FALSE)))))*VLOOKUP($I2592,Dashboard!$Q$9:$R$13,2,FALSE)*IF(AND($I2592="Auto",$F2592="",OR($B2592="Autographs Duals",$B2592="Autographs Triples",$B2592="Autographs Quads",$B2592="Autographs Quads (Inscribed)")),IF($B2592="Autographs Duals",2,IF($B2592="Autographs Triples",3,4)),1)))</f>
        <v>3</v>
      </c>
      <c r="AB2592" s="62">
        <f t="shared" si="531"/>
        <v>3</v>
      </c>
      <c r="AC2592" s="62">
        <f t="shared" si="532"/>
        <v>0</v>
      </c>
    </row>
    <row r="2593" spans="1:29" ht="28.7" customHeight="1" x14ac:dyDescent="0.25">
      <c r="A2593" s="4" t="s">
        <v>17</v>
      </c>
      <c r="B2593" s="7" t="s">
        <v>67</v>
      </c>
      <c r="C2593" s="2" t="s">
        <v>1422</v>
      </c>
      <c r="D2593" s="7" t="s">
        <v>888</v>
      </c>
      <c r="E2593" s="4" t="s">
        <v>1602</v>
      </c>
      <c r="F2593" s="2"/>
      <c r="G2593" s="2" t="s">
        <v>1399</v>
      </c>
      <c r="H2593" s="2" t="s">
        <v>1400</v>
      </c>
      <c r="I2593" s="4" t="s">
        <v>60</v>
      </c>
      <c r="J2593" s="112">
        <f>IF($H2593&lt;&gt;"Y",0,ROUND(MIN(Dashboard!$R$24,IF(IFERROR(VLOOKUP($B2593,Dashboard!$Q$28:$S$60,2,FALSE),0)&gt;0,IFERROR(VLOOKUP($B2593,Dashboard!$Q$28:$S$60,2,FALSE),0),$Z2593*IF($U2593&lt;&gt;"",ROUND((Dashboard!$R$4/$U2593)*VLOOKUP($I2593,Dashboard!$Q$9:$R$13,2,FALSE)*IF(ISNUMBER(SEARCH("Duals",$B2593)),2,IF(ISNUMBER(SEARCH("Triples",$B2593)),3,IF(ISNUMBER(SEARCH("Quads",$B2593)),4,1))),2),ROUND(VLOOKUP($I2593,Dashboard!$Q$15:$R$20,2,FALSE)*IF($E2593="Red",Dashboard!$R$6,IF($E2593="Gold",Dashboard!$R$7,Dashboard!$R$5))*IF(ISNUMBER(SEARCH("Duals",$B2593)),2,IF(ISNUMBER(SEARCH("Triples",$B2593)),3,IF(ISNUMBER(SEARCH("Quads",$B2593)),4,1))),2))*IF(IFERROR(VLOOKUP($B2593,Dashboard!$Q$28:$S$60,3,FALSE),0)&gt;0,VLOOKUP($B2593,Dashboard!$Q$28:$S$60,3,FALSE),1))),0))</f>
        <v>3</v>
      </c>
      <c r="K2593" s="2" t="str">
        <f>IF('Base S1'!E24="","",'Base S1'!E24)</f>
        <v>C</v>
      </c>
      <c r="L2593" s="2">
        <f t="shared" si="533"/>
        <v>1</v>
      </c>
      <c r="M2593" s="2">
        <f t="shared" si="534"/>
        <v>0</v>
      </c>
      <c r="N2593" s="2">
        <f t="shared" si="535"/>
        <v>1</v>
      </c>
      <c r="O2593" s="2">
        <f t="shared" si="536"/>
        <v>0</v>
      </c>
      <c r="P2593" s="112">
        <f t="shared" si="537"/>
        <v>3</v>
      </c>
      <c r="Q2593" s="112">
        <f t="shared" si="538"/>
        <v>0</v>
      </c>
      <c r="R2593" s="53"/>
      <c r="S2593" s="53" t="str">
        <f t="shared" si="526"/>
        <v>Base S1|Gold Parallel - Season 1|23|Gold</v>
      </c>
      <c r="T2593" s="57" t="str">
        <f>IF($S2593="","",IFERROR(VLOOKUP($S2593,'Pop Estimates (Non-#d)'!$N$2:$O$500,2,FALSE),""))</f>
        <v/>
      </c>
      <c r="U2593" s="57" t="str">
        <f t="shared" si="527"/>
        <v/>
      </c>
      <c r="V2593" s="53" t="str">
        <f t="shared" si="528"/>
        <v/>
      </c>
      <c r="W2593" s="53" t="str">
        <f t="shared" si="529"/>
        <v/>
      </c>
      <c r="X2593" s="53" t="str">
        <f t="shared" si="530"/>
        <v/>
      </c>
      <c r="Y2593" s="57" t="str">
        <f>IF($X2593="","",IFERROR(VLOOKUP($X2593,'Char Popularity'!$A$2:$C$500,2,FALSE),""))</f>
        <v/>
      </c>
      <c r="Z2593" s="56">
        <f>IF($X2593="",1,IFERROR(VLOOKUP($X2593,'Char Popularity'!$A$2:$C$500,3,FALSE),1))</f>
        <v>1</v>
      </c>
      <c r="AA2593" s="62">
        <f>IF($H2593&lt;&gt;"Y",0,(IF($F2593&lt;&gt;"",ROUND(Dashboard!$R$4/$F2593,1),IF(AND($I2593="Base",$E2593="Base"),Dashboard!$R$5,IF(AND($I2593="Base",$E2593="Red"),Dashboard!$R$6,IF(AND($I2593="Base",$E2593="Gold"),Dashboard!$R$7,VLOOKUP($I2593,Dashboard!$Q$16:$R$21,2,FALSE)))))*VLOOKUP($I2593,Dashboard!$Q$9:$R$13,2,FALSE)*IF(AND($I2593="Auto",$F2593="",OR($B2593="Autographs Duals",$B2593="Autographs Triples",$B2593="Autographs Quads",$B2593="Autographs Quads (Inscribed)")),IF($B2593="Autographs Duals",2,IF($B2593="Autographs Triples",3,4)),1)))</f>
        <v>3</v>
      </c>
      <c r="AB2593" s="62">
        <f t="shared" si="531"/>
        <v>3</v>
      </c>
      <c r="AC2593" s="62">
        <f t="shared" si="532"/>
        <v>0</v>
      </c>
    </row>
    <row r="2594" spans="1:29" ht="28.7" customHeight="1" x14ac:dyDescent="0.25">
      <c r="A2594" s="4" t="s">
        <v>17</v>
      </c>
      <c r="B2594" s="7" t="s">
        <v>67</v>
      </c>
      <c r="C2594" s="2" t="s">
        <v>1423</v>
      </c>
      <c r="D2594" s="7" t="s">
        <v>890</v>
      </c>
      <c r="E2594" s="4" t="s">
        <v>1602</v>
      </c>
      <c r="F2594" s="2"/>
      <c r="G2594" s="2" t="s">
        <v>1399</v>
      </c>
      <c r="H2594" s="2" t="s">
        <v>1400</v>
      </c>
      <c r="I2594" s="4" t="s">
        <v>60</v>
      </c>
      <c r="J2594" s="112">
        <f>IF($H2594&lt;&gt;"Y",0,ROUND(MIN(Dashboard!$R$24,IF(IFERROR(VLOOKUP($B2594,Dashboard!$Q$28:$S$60,2,FALSE),0)&gt;0,IFERROR(VLOOKUP($B2594,Dashboard!$Q$28:$S$60,2,FALSE),0),$Z2594*IF($U2594&lt;&gt;"",ROUND((Dashboard!$R$4/$U2594)*VLOOKUP($I2594,Dashboard!$Q$9:$R$13,2,FALSE)*IF(ISNUMBER(SEARCH("Duals",$B2594)),2,IF(ISNUMBER(SEARCH("Triples",$B2594)),3,IF(ISNUMBER(SEARCH("Quads",$B2594)),4,1))),2),ROUND(VLOOKUP($I2594,Dashboard!$Q$15:$R$20,2,FALSE)*IF($E2594="Red",Dashboard!$R$6,IF($E2594="Gold",Dashboard!$R$7,Dashboard!$R$5))*IF(ISNUMBER(SEARCH("Duals",$B2594)),2,IF(ISNUMBER(SEARCH("Triples",$B2594)),3,IF(ISNUMBER(SEARCH("Quads",$B2594)),4,1))),2))*IF(IFERROR(VLOOKUP($B2594,Dashboard!$Q$28:$S$60,3,FALSE),0)&gt;0,VLOOKUP($B2594,Dashboard!$Q$28:$S$60,3,FALSE),1))),0))</f>
        <v>3</v>
      </c>
      <c r="K2594" s="2" t="str">
        <f>IF('Base S1'!E25="","",'Base S1'!E25)</f>
        <v>C</v>
      </c>
      <c r="L2594" s="2">
        <f t="shared" si="533"/>
        <v>1</v>
      </c>
      <c r="M2594" s="2">
        <f t="shared" si="534"/>
        <v>0</v>
      </c>
      <c r="N2594" s="2">
        <f t="shared" si="535"/>
        <v>1</v>
      </c>
      <c r="O2594" s="2">
        <f t="shared" si="536"/>
        <v>0</v>
      </c>
      <c r="P2594" s="112">
        <f t="shared" si="537"/>
        <v>3</v>
      </c>
      <c r="Q2594" s="112">
        <f t="shared" si="538"/>
        <v>0</v>
      </c>
      <c r="R2594" s="53"/>
      <c r="S2594" s="53" t="str">
        <f t="shared" si="526"/>
        <v>Base S1|Gold Parallel - Season 1|24|Gold</v>
      </c>
      <c r="T2594" s="57" t="str">
        <f>IF($S2594="","",IFERROR(VLOOKUP($S2594,'Pop Estimates (Non-#d)'!$N$2:$O$500,2,FALSE),""))</f>
        <v/>
      </c>
      <c r="U2594" s="57" t="str">
        <f t="shared" si="527"/>
        <v/>
      </c>
      <c r="V2594" s="53" t="str">
        <f t="shared" si="528"/>
        <v/>
      </c>
      <c r="W2594" s="53" t="str">
        <f t="shared" si="529"/>
        <v/>
      </c>
      <c r="X2594" s="53" t="str">
        <f t="shared" si="530"/>
        <v/>
      </c>
      <c r="Y2594" s="57" t="str">
        <f>IF($X2594="","",IFERROR(VLOOKUP($X2594,'Char Popularity'!$A$2:$C$500,2,FALSE),""))</f>
        <v/>
      </c>
      <c r="Z2594" s="56">
        <f>IF($X2594="",1,IFERROR(VLOOKUP($X2594,'Char Popularity'!$A$2:$C$500,3,FALSE),1))</f>
        <v>1</v>
      </c>
      <c r="AA2594" s="62">
        <f>IF($H2594&lt;&gt;"Y",0,(IF($F2594&lt;&gt;"",ROUND(Dashboard!$R$4/$F2594,1),IF(AND($I2594="Base",$E2594="Base"),Dashboard!$R$5,IF(AND($I2594="Base",$E2594="Red"),Dashboard!$R$6,IF(AND($I2594="Base",$E2594="Gold"),Dashboard!$R$7,VLOOKUP($I2594,Dashboard!$Q$16:$R$21,2,FALSE)))))*VLOOKUP($I2594,Dashboard!$Q$9:$R$13,2,FALSE)*IF(AND($I2594="Auto",$F2594="",OR($B2594="Autographs Duals",$B2594="Autographs Triples",$B2594="Autographs Quads",$B2594="Autographs Quads (Inscribed)")),IF($B2594="Autographs Duals",2,IF($B2594="Autographs Triples",3,4)),1)))</f>
        <v>3</v>
      </c>
      <c r="AB2594" s="62">
        <f t="shared" si="531"/>
        <v>3</v>
      </c>
      <c r="AC2594" s="62">
        <f t="shared" si="532"/>
        <v>0</v>
      </c>
    </row>
    <row r="2595" spans="1:29" ht="28.7" customHeight="1" x14ac:dyDescent="0.25">
      <c r="A2595" s="4" t="s">
        <v>17</v>
      </c>
      <c r="B2595" s="7" t="s">
        <v>67</v>
      </c>
      <c r="C2595" s="2" t="s">
        <v>1424</v>
      </c>
      <c r="D2595" s="7" t="s">
        <v>892</v>
      </c>
      <c r="E2595" s="4" t="s">
        <v>1602</v>
      </c>
      <c r="F2595" s="2"/>
      <c r="G2595" s="2" t="s">
        <v>1399</v>
      </c>
      <c r="H2595" s="2" t="s">
        <v>1400</v>
      </c>
      <c r="I2595" s="4" t="s">
        <v>60</v>
      </c>
      <c r="J2595" s="112">
        <f>IF($H2595&lt;&gt;"Y",0,ROUND(MIN(Dashboard!$R$24,IF(IFERROR(VLOOKUP($B2595,Dashboard!$Q$28:$S$60,2,FALSE),0)&gt;0,IFERROR(VLOOKUP($B2595,Dashboard!$Q$28:$S$60,2,FALSE),0),$Z2595*IF($U2595&lt;&gt;"",ROUND((Dashboard!$R$4/$U2595)*VLOOKUP($I2595,Dashboard!$Q$9:$R$13,2,FALSE)*IF(ISNUMBER(SEARCH("Duals",$B2595)),2,IF(ISNUMBER(SEARCH("Triples",$B2595)),3,IF(ISNUMBER(SEARCH("Quads",$B2595)),4,1))),2),ROUND(VLOOKUP($I2595,Dashboard!$Q$15:$R$20,2,FALSE)*IF($E2595="Red",Dashboard!$R$6,IF($E2595="Gold",Dashboard!$R$7,Dashboard!$R$5))*IF(ISNUMBER(SEARCH("Duals",$B2595)),2,IF(ISNUMBER(SEARCH("Triples",$B2595)),3,IF(ISNUMBER(SEARCH("Quads",$B2595)),4,1))),2))*IF(IFERROR(VLOOKUP($B2595,Dashboard!$Q$28:$S$60,3,FALSE),0)&gt;0,VLOOKUP($B2595,Dashboard!$Q$28:$S$60,3,FALSE),1))),0))</f>
        <v>3</v>
      </c>
      <c r="K2595" s="2" t="str">
        <f>IF('Base S1'!E26="","",'Base S1'!E26)</f>
        <v>C</v>
      </c>
      <c r="L2595" s="2">
        <f t="shared" si="533"/>
        <v>1</v>
      </c>
      <c r="M2595" s="2">
        <f t="shared" si="534"/>
        <v>0</v>
      </c>
      <c r="N2595" s="2">
        <f t="shared" si="535"/>
        <v>1</v>
      </c>
      <c r="O2595" s="2">
        <f t="shared" si="536"/>
        <v>0</v>
      </c>
      <c r="P2595" s="112">
        <f t="shared" si="537"/>
        <v>3</v>
      </c>
      <c r="Q2595" s="112">
        <f t="shared" si="538"/>
        <v>0</v>
      </c>
      <c r="R2595" s="53"/>
      <c r="S2595" s="53" t="str">
        <f t="shared" si="526"/>
        <v>Base S1|Gold Parallel - Season 1|25|Gold</v>
      </c>
      <c r="T2595" s="57" t="str">
        <f>IF($S2595="","",IFERROR(VLOOKUP($S2595,'Pop Estimates (Non-#d)'!$N$2:$O$500,2,FALSE),""))</f>
        <v/>
      </c>
      <c r="U2595" s="57" t="str">
        <f t="shared" si="527"/>
        <v/>
      </c>
      <c r="V2595" s="53" t="str">
        <f t="shared" si="528"/>
        <v/>
      </c>
      <c r="W2595" s="53" t="str">
        <f t="shared" si="529"/>
        <v/>
      </c>
      <c r="X2595" s="53" t="str">
        <f t="shared" si="530"/>
        <v/>
      </c>
      <c r="Y2595" s="57" t="str">
        <f>IF($X2595="","",IFERROR(VLOOKUP($X2595,'Char Popularity'!$A$2:$C$500,2,FALSE),""))</f>
        <v/>
      </c>
      <c r="Z2595" s="56">
        <f>IF($X2595="",1,IFERROR(VLOOKUP($X2595,'Char Popularity'!$A$2:$C$500,3,FALSE),1))</f>
        <v>1</v>
      </c>
      <c r="AA2595" s="62">
        <f>IF($H2595&lt;&gt;"Y",0,(IF($F2595&lt;&gt;"",ROUND(Dashboard!$R$4/$F2595,1),IF(AND($I2595="Base",$E2595="Base"),Dashboard!$R$5,IF(AND($I2595="Base",$E2595="Red"),Dashboard!$R$6,IF(AND($I2595="Base",$E2595="Gold"),Dashboard!$R$7,VLOOKUP($I2595,Dashboard!$Q$16:$R$21,2,FALSE)))))*VLOOKUP($I2595,Dashboard!$Q$9:$R$13,2,FALSE)*IF(AND($I2595="Auto",$F2595="",OR($B2595="Autographs Duals",$B2595="Autographs Triples",$B2595="Autographs Quads",$B2595="Autographs Quads (Inscribed)")),IF($B2595="Autographs Duals",2,IF($B2595="Autographs Triples",3,4)),1)))</f>
        <v>3</v>
      </c>
      <c r="AB2595" s="62">
        <f t="shared" si="531"/>
        <v>3</v>
      </c>
      <c r="AC2595" s="62">
        <f t="shared" si="532"/>
        <v>0</v>
      </c>
    </row>
    <row r="2596" spans="1:29" ht="28.7" customHeight="1" x14ac:dyDescent="0.25">
      <c r="A2596" s="4" t="s">
        <v>17</v>
      </c>
      <c r="B2596" s="7" t="s">
        <v>67</v>
      </c>
      <c r="C2596" s="2" t="s">
        <v>1425</v>
      </c>
      <c r="D2596" s="7" t="s">
        <v>895</v>
      </c>
      <c r="E2596" s="4" t="s">
        <v>1602</v>
      </c>
      <c r="F2596" s="2"/>
      <c r="G2596" s="2" t="s">
        <v>1399</v>
      </c>
      <c r="H2596" s="2" t="s">
        <v>1400</v>
      </c>
      <c r="I2596" s="4" t="s">
        <v>60</v>
      </c>
      <c r="J2596" s="112">
        <f>IF($H2596&lt;&gt;"Y",0,ROUND(MIN(Dashboard!$R$24,IF(IFERROR(VLOOKUP($B2596,Dashboard!$Q$28:$S$60,2,FALSE),0)&gt;0,IFERROR(VLOOKUP($B2596,Dashboard!$Q$28:$S$60,2,FALSE),0),$Z2596*IF($U2596&lt;&gt;"",ROUND((Dashboard!$R$4/$U2596)*VLOOKUP($I2596,Dashboard!$Q$9:$R$13,2,FALSE)*IF(ISNUMBER(SEARCH("Duals",$B2596)),2,IF(ISNUMBER(SEARCH("Triples",$B2596)),3,IF(ISNUMBER(SEARCH("Quads",$B2596)),4,1))),2),ROUND(VLOOKUP($I2596,Dashboard!$Q$15:$R$20,2,FALSE)*IF($E2596="Red",Dashboard!$R$6,IF($E2596="Gold",Dashboard!$R$7,Dashboard!$R$5))*IF(ISNUMBER(SEARCH("Duals",$B2596)),2,IF(ISNUMBER(SEARCH("Triples",$B2596)),3,IF(ISNUMBER(SEARCH("Quads",$B2596)),4,1))),2))*IF(IFERROR(VLOOKUP($B2596,Dashboard!$Q$28:$S$60,3,FALSE),0)&gt;0,VLOOKUP($B2596,Dashboard!$Q$28:$S$60,3,FALSE),1))),0))</f>
        <v>3</v>
      </c>
      <c r="K2596" s="2" t="str">
        <f>IF('Base S1'!E27="","",'Base S1'!E27)</f>
        <v>C</v>
      </c>
      <c r="L2596" s="2">
        <f t="shared" si="533"/>
        <v>1</v>
      </c>
      <c r="M2596" s="2">
        <f t="shared" si="534"/>
        <v>0</v>
      </c>
      <c r="N2596" s="2">
        <f t="shared" si="535"/>
        <v>1</v>
      </c>
      <c r="O2596" s="2">
        <f t="shared" si="536"/>
        <v>0</v>
      </c>
      <c r="P2596" s="112">
        <f t="shared" si="537"/>
        <v>3</v>
      </c>
      <c r="Q2596" s="112">
        <f t="shared" si="538"/>
        <v>0</v>
      </c>
      <c r="R2596" s="53"/>
      <c r="S2596" s="53" t="str">
        <f t="shared" si="526"/>
        <v>Base S1|Gold Parallel - Season 1|26|Gold</v>
      </c>
      <c r="T2596" s="57" t="str">
        <f>IF($S2596="","",IFERROR(VLOOKUP($S2596,'Pop Estimates (Non-#d)'!$N$2:$O$500,2,FALSE),""))</f>
        <v/>
      </c>
      <c r="U2596" s="57" t="str">
        <f t="shared" si="527"/>
        <v/>
      </c>
      <c r="V2596" s="53" t="str">
        <f t="shared" si="528"/>
        <v/>
      </c>
      <c r="W2596" s="53" t="str">
        <f t="shared" si="529"/>
        <v/>
      </c>
      <c r="X2596" s="53" t="str">
        <f t="shared" si="530"/>
        <v/>
      </c>
      <c r="Y2596" s="57" t="str">
        <f>IF($X2596="","",IFERROR(VLOOKUP($X2596,'Char Popularity'!$A$2:$C$500,2,FALSE),""))</f>
        <v/>
      </c>
      <c r="Z2596" s="56">
        <f>IF($X2596="",1,IFERROR(VLOOKUP($X2596,'Char Popularity'!$A$2:$C$500,3,FALSE),1))</f>
        <v>1</v>
      </c>
      <c r="AA2596" s="62">
        <f>IF($H2596&lt;&gt;"Y",0,(IF($F2596&lt;&gt;"",ROUND(Dashboard!$R$4/$F2596,1),IF(AND($I2596="Base",$E2596="Base"),Dashboard!$R$5,IF(AND($I2596="Base",$E2596="Red"),Dashboard!$R$6,IF(AND($I2596="Base",$E2596="Gold"),Dashboard!$R$7,VLOOKUP($I2596,Dashboard!$Q$16:$R$21,2,FALSE)))))*VLOOKUP($I2596,Dashboard!$Q$9:$R$13,2,FALSE)*IF(AND($I2596="Auto",$F2596="",OR($B2596="Autographs Duals",$B2596="Autographs Triples",$B2596="Autographs Quads",$B2596="Autographs Quads (Inscribed)")),IF($B2596="Autographs Duals",2,IF($B2596="Autographs Triples",3,4)),1)))</f>
        <v>3</v>
      </c>
      <c r="AB2596" s="62">
        <f t="shared" si="531"/>
        <v>3</v>
      </c>
      <c r="AC2596" s="62">
        <f t="shared" si="532"/>
        <v>0</v>
      </c>
    </row>
    <row r="2597" spans="1:29" ht="28.7" customHeight="1" x14ac:dyDescent="0.25">
      <c r="A2597" s="4" t="s">
        <v>17</v>
      </c>
      <c r="B2597" s="7" t="s">
        <v>67</v>
      </c>
      <c r="C2597" s="2" t="s">
        <v>1426</v>
      </c>
      <c r="D2597" s="7" t="s">
        <v>897</v>
      </c>
      <c r="E2597" s="4" t="s">
        <v>1602</v>
      </c>
      <c r="F2597" s="2"/>
      <c r="G2597" s="2" t="s">
        <v>1399</v>
      </c>
      <c r="H2597" s="2" t="s">
        <v>1400</v>
      </c>
      <c r="I2597" s="4" t="s">
        <v>60</v>
      </c>
      <c r="J2597" s="112">
        <f>IF($H2597&lt;&gt;"Y",0,ROUND(MIN(Dashboard!$R$24,IF(IFERROR(VLOOKUP($B2597,Dashboard!$Q$28:$S$60,2,FALSE),0)&gt;0,IFERROR(VLOOKUP($B2597,Dashboard!$Q$28:$S$60,2,FALSE),0),$Z2597*IF($U2597&lt;&gt;"",ROUND((Dashboard!$R$4/$U2597)*VLOOKUP($I2597,Dashboard!$Q$9:$R$13,2,FALSE)*IF(ISNUMBER(SEARCH("Duals",$B2597)),2,IF(ISNUMBER(SEARCH("Triples",$B2597)),3,IF(ISNUMBER(SEARCH("Quads",$B2597)),4,1))),2),ROUND(VLOOKUP($I2597,Dashboard!$Q$15:$R$20,2,FALSE)*IF($E2597="Red",Dashboard!$R$6,IF($E2597="Gold",Dashboard!$R$7,Dashboard!$R$5))*IF(ISNUMBER(SEARCH("Duals",$B2597)),2,IF(ISNUMBER(SEARCH("Triples",$B2597)),3,IF(ISNUMBER(SEARCH("Quads",$B2597)),4,1))),2))*IF(IFERROR(VLOOKUP($B2597,Dashboard!$Q$28:$S$60,3,FALSE),0)&gt;0,VLOOKUP($B2597,Dashboard!$Q$28:$S$60,3,FALSE),1))),0))</f>
        <v>3</v>
      </c>
      <c r="K2597" s="2" t="str">
        <f>IF('Base S1'!E28="","",'Base S1'!E28)</f>
        <v>C</v>
      </c>
      <c r="L2597" s="2">
        <f t="shared" si="533"/>
        <v>1</v>
      </c>
      <c r="M2597" s="2">
        <f t="shared" si="534"/>
        <v>0</v>
      </c>
      <c r="N2597" s="2">
        <f t="shared" si="535"/>
        <v>1</v>
      </c>
      <c r="O2597" s="2">
        <f t="shared" si="536"/>
        <v>0</v>
      </c>
      <c r="P2597" s="112">
        <f t="shared" si="537"/>
        <v>3</v>
      </c>
      <c r="Q2597" s="112">
        <f t="shared" si="538"/>
        <v>0</v>
      </c>
      <c r="R2597" s="53"/>
      <c r="S2597" s="53" t="str">
        <f t="shared" si="526"/>
        <v>Base S1|Gold Parallel - Season 1|27|Gold</v>
      </c>
      <c r="T2597" s="57" t="str">
        <f>IF($S2597="","",IFERROR(VLOOKUP($S2597,'Pop Estimates (Non-#d)'!$N$2:$O$500,2,FALSE),""))</f>
        <v/>
      </c>
      <c r="U2597" s="57" t="str">
        <f t="shared" si="527"/>
        <v/>
      </c>
      <c r="V2597" s="53" t="str">
        <f t="shared" si="528"/>
        <v/>
      </c>
      <c r="W2597" s="53" t="str">
        <f t="shared" si="529"/>
        <v/>
      </c>
      <c r="X2597" s="53" t="str">
        <f t="shared" si="530"/>
        <v/>
      </c>
      <c r="Y2597" s="57" t="str">
        <f>IF($X2597="","",IFERROR(VLOOKUP($X2597,'Char Popularity'!$A$2:$C$500,2,FALSE),""))</f>
        <v/>
      </c>
      <c r="Z2597" s="56">
        <f>IF($X2597="",1,IFERROR(VLOOKUP($X2597,'Char Popularity'!$A$2:$C$500,3,FALSE),1))</f>
        <v>1</v>
      </c>
      <c r="AA2597" s="62">
        <f>IF($H2597&lt;&gt;"Y",0,(IF($F2597&lt;&gt;"",ROUND(Dashboard!$R$4/$F2597,1),IF(AND($I2597="Base",$E2597="Base"),Dashboard!$R$5,IF(AND($I2597="Base",$E2597="Red"),Dashboard!$R$6,IF(AND($I2597="Base",$E2597="Gold"),Dashboard!$R$7,VLOOKUP($I2597,Dashboard!$Q$16:$R$21,2,FALSE)))))*VLOOKUP($I2597,Dashboard!$Q$9:$R$13,2,FALSE)*IF(AND($I2597="Auto",$F2597="",OR($B2597="Autographs Duals",$B2597="Autographs Triples",$B2597="Autographs Quads",$B2597="Autographs Quads (Inscribed)")),IF($B2597="Autographs Duals",2,IF($B2597="Autographs Triples",3,4)),1)))</f>
        <v>3</v>
      </c>
      <c r="AB2597" s="62">
        <f t="shared" si="531"/>
        <v>3</v>
      </c>
      <c r="AC2597" s="62">
        <f t="shared" si="532"/>
        <v>0</v>
      </c>
    </row>
    <row r="2598" spans="1:29" ht="28.7" customHeight="1" x14ac:dyDescent="0.25">
      <c r="A2598" s="4" t="s">
        <v>17</v>
      </c>
      <c r="B2598" s="7" t="s">
        <v>67</v>
      </c>
      <c r="C2598" s="2" t="s">
        <v>1427</v>
      </c>
      <c r="D2598" s="7" t="s">
        <v>900</v>
      </c>
      <c r="E2598" s="4" t="s">
        <v>1602</v>
      </c>
      <c r="F2598" s="2"/>
      <c r="G2598" s="2" t="s">
        <v>1399</v>
      </c>
      <c r="H2598" s="2" t="s">
        <v>1400</v>
      </c>
      <c r="I2598" s="4" t="s">
        <v>60</v>
      </c>
      <c r="J2598" s="112">
        <f>IF($H2598&lt;&gt;"Y",0,ROUND(MIN(Dashboard!$R$24,IF(IFERROR(VLOOKUP($B2598,Dashboard!$Q$28:$S$60,2,FALSE),0)&gt;0,IFERROR(VLOOKUP($B2598,Dashboard!$Q$28:$S$60,2,FALSE),0),$Z2598*IF($U2598&lt;&gt;"",ROUND((Dashboard!$R$4/$U2598)*VLOOKUP($I2598,Dashboard!$Q$9:$R$13,2,FALSE)*IF(ISNUMBER(SEARCH("Duals",$B2598)),2,IF(ISNUMBER(SEARCH("Triples",$B2598)),3,IF(ISNUMBER(SEARCH("Quads",$B2598)),4,1))),2),ROUND(VLOOKUP($I2598,Dashboard!$Q$15:$R$20,2,FALSE)*IF($E2598="Red",Dashboard!$R$6,IF($E2598="Gold",Dashboard!$R$7,Dashboard!$R$5))*IF(ISNUMBER(SEARCH("Duals",$B2598)),2,IF(ISNUMBER(SEARCH("Triples",$B2598)),3,IF(ISNUMBER(SEARCH("Quads",$B2598)),4,1))),2))*IF(IFERROR(VLOOKUP($B2598,Dashboard!$Q$28:$S$60,3,FALSE),0)&gt;0,VLOOKUP($B2598,Dashboard!$Q$28:$S$60,3,FALSE),1))),0))</f>
        <v>3</v>
      </c>
      <c r="K2598" s="2" t="str">
        <f>IF('Base S1'!E29="","",'Base S1'!E29)</f>
        <v>C</v>
      </c>
      <c r="L2598" s="2">
        <f t="shared" si="533"/>
        <v>1</v>
      </c>
      <c r="M2598" s="2">
        <f t="shared" si="534"/>
        <v>0</v>
      </c>
      <c r="N2598" s="2">
        <f t="shared" si="535"/>
        <v>1</v>
      </c>
      <c r="O2598" s="2">
        <f t="shared" si="536"/>
        <v>0</v>
      </c>
      <c r="P2598" s="112">
        <f t="shared" si="537"/>
        <v>3</v>
      </c>
      <c r="Q2598" s="112">
        <f t="shared" si="538"/>
        <v>0</v>
      </c>
      <c r="R2598" s="53"/>
      <c r="S2598" s="53" t="str">
        <f t="shared" si="526"/>
        <v>Base S1|Gold Parallel - Season 1|28|Gold</v>
      </c>
      <c r="T2598" s="57" t="str">
        <f>IF($S2598="","",IFERROR(VLOOKUP($S2598,'Pop Estimates (Non-#d)'!$N$2:$O$500,2,FALSE),""))</f>
        <v/>
      </c>
      <c r="U2598" s="57" t="str">
        <f t="shared" si="527"/>
        <v/>
      </c>
      <c r="V2598" s="53" t="str">
        <f t="shared" si="528"/>
        <v/>
      </c>
      <c r="W2598" s="53" t="str">
        <f t="shared" si="529"/>
        <v/>
      </c>
      <c r="X2598" s="53" t="str">
        <f t="shared" si="530"/>
        <v/>
      </c>
      <c r="Y2598" s="57" t="str">
        <f>IF($X2598="","",IFERROR(VLOOKUP($X2598,'Char Popularity'!$A$2:$C$500,2,FALSE),""))</f>
        <v/>
      </c>
      <c r="Z2598" s="56">
        <f>IF($X2598="",1,IFERROR(VLOOKUP($X2598,'Char Popularity'!$A$2:$C$500,3,FALSE),1))</f>
        <v>1</v>
      </c>
      <c r="AA2598" s="62">
        <f>IF($H2598&lt;&gt;"Y",0,(IF($F2598&lt;&gt;"",ROUND(Dashboard!$R$4/$F2598,1),IF(AND($I2598="Base",$E2598="Base"),Dashboard!$R$5,IF(AND($I2598="Base",$E2598="Red"),Dashboard!$R$6,IF(AND($I2598="Base",$E2598="Gold"),Dashboard!$R$7,VLOOKUP($I2598,Dashboard!$Q$16:$R$21,2,FALSE)))))*VLOOKUP($I2598,Dashboard!$Q$9:$R$13,2,FALSE)*IF(AND($I2598="Auto",$F2598="",OR($B2598="Autographs Duals",$B2598="Autographs Triples",$B2598="Autographs Quads",$B2598="Autographs Quads (Inscribed)")),IF($B2598="Autographs Duals",2,IF($B2598="Autographs Triples",3,4)),1)))</f>
        <v>3</v>
      </c>
      <c r="AB2598" s="62">
        <f t="shared" si="531"/>
        <v>3</v>
      </c>
      <c r="AC2598" s="62">
        <f t="shared" si="532"/>
        <v>0</v>
      </c>
    </row>
    <row r="2599" spans="1:29" ht="28.7" customHeight="1" x14ac:dyDescent="0.25">
      <c r="A2599" s="4" t="s">
        <v>17</v>
      </c>
      <c r="B2599" s="7" t="s">
        <v>67</v>
      </c>
      <c r="C2599" s="2" t="s">
        <v>1428</v>
      </c>
      <c r="D2599" s="7" t="s">
        <v>902</v>
      </c>
      <c r="E2599" s="4" t="s">
        <v>1602</v>
      </c>
      <c r="F2599" s="2"/>
      <c r="G2599" s="2" t="s">
        <v>1399</v>
      </c>
      <c r="H2599" s="2" t="s">
        <v>1400</v>
      </c>
      <c r="I2599" s="4" t="s">
        <v>60</v>
      </c>
      <c r="J2599" s="112">
        <f>IF($H2599&lt;&gt;"Y",0,ROUND(MIN(Dashboard!$R$24,IF(IFERROR(VLOOKUP($B2599,Dashboard!$Q$28:$S$60,2,FALSE),0)&gt;0,IFERROR(VLOOKUP($B2599,Dashboard!$Q$28:$S$60,2,FALSE),0),$Z2599*IF($U2599&lt;&gt;"",ROUND((Dashboard!$R$4/$U2599)*VLOOKUP($I2599,Dashboard!$Q$9:$R$13,2,FALSE)*IF(ISNUMBER(SEARCH("Duals",$B2599)),2,IF(ISNUMBER(SEARCH("Triples",$B2599)),3,IF(ISNUMBER(SEARCH("Quads",$B2599)),4,1))),2),ROUND(VLOOKUP($I2599,Dashboard!$Q$15:$R$20,2,FALSE)*IF($E2599="Red",Dashboard!$R$6,IF($E2599="Gold",Dashboard!$R$7,Dashboard!$R$5))*IF(ISNUMBER(SEARCH("Duals",$B2599)),2,IF(ISNUMBER(SEARCH("Triples",$B2599)),3,IF(ISNUMBER(SEARCH("Quads",$B2599)),4,1))),2))*IF(IFERROR(VLOOKUP($B2599,Dashboard!$Q$28:$S$60,3,FALSE),0)&gt;0,VLOOKUP($B2599,Dashboard!$Q$28:$S$60,3,FALSE),1))),0))</f>
        <v>3</v>
      </c>
      <c r="K2599" s="2" t="str">
        <f>IF('Base S1'!E30="","",'Base S1'!E30)</f>
        <v>C</v>
      </c>
      <c r="L2599" s="2">
        <f t="shared" si="533"/>
        <v>1</v>
      </c>
      <c r="M2599" s="2">
        <f t="shared" si="534"/>
        <v>0</v>
      </c>
      <c r="N2599" s="2">
        <f t="shared" si="535"/>
        <v>1</v>
      </c>
      <c r="O2599" s="2">
        <f t="shared" si="536"/>
        <v>0</v>
      </c>
      <c r="P2599" s="112">
        <f t="shared" si="537"/>
        <v>3</v>
      </c>
      <c r="Q2599" s="112">
        <f t="shared" si="538"/>
        <v>0</v>
      </c>
      <c r="R2599" s="53"/>
      <c r="S2599" s="53" t="str">
        <f t="shared" si="526"/>
        <v>Base S1|Gold Parallel - Season 1|29|Gold</v>
      </c>
      <c r="T2599" s="57" t="str">
        <f>IF($S2599="","",IFERROR(VLOOKUP($S2599,'Pop Estimates (Non-#d)'!$N$2:$O$500,2,FALSE),""))</f>
        <v/>
      </c>
      <c r="U2599" s="57" t="str">
        <f t="shared" si="527"/>
        <v/>
      </c>
      <c r="V2599" s="53" t="str">
        <f t="shared" si="528"/>
        <v/>
      </c>
      <c r="W2599" s="53" t="str">
        <f t="shared" si="529"/>
        <v/>
      </c>
      <c r="X2599" s="53" t="str">
        <f t="shared" si="530"/>
        <v/>
      </c>
      <c r="Y2599" s="57" t="str">
        <f>IF($X2599="","",IFERROR(VLOOKUP($X2599,'Char Popularity'!$A$2:$C$500,2,FALSE),""))</f>
        <v/>
      </c>
      <c r="Z2599" s="56">
        <f>IF($X2599="",1,IFERROR(VLOOKUP($X2599,'Char Popularity'!$A$2:$C$500,3,FALSE),1))</f>
        <v>1</v>
      </c>
      <c r="AA2599" s="62">
        <f>IF($H2599&lt;&gt;"Y",0,(IF($F2599&lt;&gt;"",ROUND(Dashboard!$R$4/$F2599,1),IF(AND($I2599="Base",$E2599="Base"),Dashboard!$R$5,IF(AND($I2599="Base",$E2599="Red"),Dashboard!$R$6,IF(AND($I2599="Base",$E2599="Gold"),Dashboard!$R$7,VLOOKUP($I2599,Dashboard!$Q$16:$R$21,2,FALSE)))))*VLOOKUP($I2599,Dashboard!$Q$9:$R$13,2,FALSE)*IF(AND($I2599="Auto",$F2599="",OR($B2599="Autographs Duals",$B2599="Autographs Triples",$B2599="Autographs Quads",$B2599="Autographs Quads (Inscribed)")),IF($B2599="Autographs Duals",2,IF($B2599="Autographs Triples",3,4)),1)))</f>
        <v>3</v>
      </c>
      <c r="AB2599" s="62">
        <f t="shared" si="531"/>
        <v>3</v>
      </c>
      <c r="AC2599" s="62">
        <f t="shared" si="532"/>
        <v>0</v>
      </c>
    </row>
    <row r="2600" spans="1:29" ht="28.7" customHeight="1" x14ac:dyDescent="0.25">
      <c r="A2600" s="4" t="s">
        <v>17</v>
      </c>
      <c r="B2600" s="7" t="s">
        <v>67</v>
      </c>
      <c r="C2600" s="2" t="s">
        <v>1429</v>
      </c>
      <c r="D2600" s="7" t="s">
        <v>904</v>
      </c>
      <c r="E2600" s="4" t="s">
        <v>1602</v>
      </c>
      <c r="F2600" s="2"/>
      <c r="G2600" s="2" t="s">
        <v>1399</v>
      </c>
      <c r="H2600" s="2" t="s">
        <v>1400</v>
      </c>
      <c r="I2600" s="4" t="s">
        <v>60</v>
      </c>
      <c r="J2600" s="112">
        <f>IF($H2600&lt;&gt;"Y",0,ROUND(MIN(Dashboard!$R$24,IF(IFERROR(VLOOKUP($B2600,Dashboard!$Q$28:$S$60,2,FALSE),0)&gt;0,IFERROR(VLOOKUP($B2600,Dashboard!$Q$28:$S$60,2,FALSE),0),$Z2600*IF($U2600&lt;&gt;"",ROUND((Dashboard!$R$4/$U2600)*VLOOKUP($I2600,Dashboard!$Q$9:$R$13,2,FALSE)*IF(ISNUMBER(SEARCH("Duals",$B2600)),2,IF(ISNUMBER(SEARCH("Triples",$B2600)),3,IF(ISNUMBER(SEARCH("Quads",$B2600)),4,1))),2),ROUND(VLOOKUP($I2600,Dashboard!$Q$15:$R$20,2,FALSE)*IF($E2600="Red",Dashboard!$R$6,IF($E2600="Gold",Dashboard!$R$7,Dashboard!$R$5))*IF(ISNUMBER(SEARCH("Duals",$B2600)),2,IF(ISNUMBER(SEARCH("Triples",$B2600)),3,IF(ISNUMBER(SEARCH("Quads",$B2600)),4,1))),2))*IF(IFERROR(VLOOKUP($B2600,Dashboard!$Q$28:$S$60,3,FALSE),0)&gt;0,VLOOKUP($B2600,Dashboard!$Q$28:$S$60,3,FALSE),1))),0))</f>
        <v>3</v>
      </c>
      <c r="K2600" s="2" t="str">
        <f>IF('Base S1'!E31="","",'Base S1'!E31)</f>
        <v>C</v>
      </c>
      <c r="L2600" s="2">
        <f t="shared" si="533"/>
        <v>1</v>
      </c>
      <c r="M2600" s="2">
        <f t="shared" si="534"/>
        <v>0</v>
      </c>
      <c r="N2600" s="2">
        <f t="shared" si="535"/>
        <v>1</v>
      </c>
      <c r="O2600" s="2">
        <f t="shared" si="536"/>
        <v>0</v>
      </c>
      <c r="P2600" s="112">
        <f t="shared" si="537"/>
        <v>3</v>
      </c>
      <c r="Q2600" s="112">
        <f t="shared" si="538"/>
        <v>0</v>
      </c>
      <c r="R2600" s="53"/>
      <c r="S2600" s="53" t="str">
        <f t="shared" si="526"/>
        <v>Base S1|Gold Parallel - Season 1|30|Gold</v>
      </c>
      <c r="T2600" s="57" t="str">
        <f>IF($S2600="","",IFERROR(VLOOKUP($S2600,'Pop Estimates (Non-#d)'!$N$2:$O$500,2,FALSE),""))</f>
        <v/>
      </c>
      <c r="U2600" s="57" t="str">
        <f t="shared" si="527"/>
        <v/>
      </c>
      <c r="V2600" s="53" t="str">
        <f t="shared" si="528"/>
        <v/>
      </c>
      <c r="W2600" s="53" t="str">
        <f t="shared" si="529"/>
        <v/>
      </c>
      <c r="X2600" s="53" t="str">
        <f t="shared" si="530"/>
        <v/>
      </c>
      <c r="Y2600" s="57" t="str">
        <f>IF($X2600="","",IFERROR(VLOOKUP($X2600,'Char Popularity'!$A$2:$C$500,2,FALSE),""))</f>
        <v/>
      </c>
      <c r="Z2600" s="56">
        <f>IF($X2600="",1,IFERROR(VLOOKUP($X2600,'Char Popularity'!$A$2:$C$500,3,FALSE),1))</f>
        <v>1</v>
      </c>
      <c r="AA2600" s="62">
        <f>IF($H2600&lt;&gt;"Y",0,(IF($F2600&lt;&gt;"",ROUND(Dashboard!$R$4/$F2600,1),IF(AND($I2600="Base",$E2600="Base"),Dashboard!$R$5,IF(AND($I2600="Base",$E2600="Red"),Dashboard!$R$6,IF(AND($I2600="Base",$E2600="Gold"),Dashboard!$R$7,VLOOKUP($I2600,Dashboard!$Q$16:$R$21,2,FALSE)))))*VLOOKUP($I2600,Dashboard!$Q$9:$R$13,2,FALSE)*IF(AND($I2600="Auto",$F2600="",OR($B2600="Autographs Duals",$B2600="Autographs Triples",$B2600="Autographs Quads",$B2600="Autographs Quads (Inscribed)")),IF($B2600="Autographs Duals",2,IF($B2600="Autographs Triples",3,4)),1)))</f>
        <v>3</v>
      </c>
      <c r="AB2600" s="62">
        <f t="shared" si="531"/>
        <v>3</v>
      </c>
      <c r="AC2600" s="62">
        <f t="shared" si="532"/>
        <v>0</v>
      </c>
    </row>
    <row r="2601" spans="1:29" ht="28.7" customHeight="1" x14ac:dyDescent="0.25">
      <c r="A2601" s="4" t="s">
        <v>17</v>
      </c>
      <c r="B2601" s="7" t="s">
        <v>67</v>
      </c>
      <c r="C2601" s="2" t="s">
        <v>1430</v>
      </c>
      <c r="D2601" s="7" t="s">
        <v>906</v>
      </c>
      <c r="E2601" s="4" t="s">
        <v>1602</v>
      </c>
      <c r="F2601" s="2"/>
      <c r="G2601" s="2" t="s">
        <v>1399</v>
      </c>
      <c r="H2601" s="2" t="s">
        <v>1400</v>
      </c>
      <c r="I2601" s="4" t="s">
        <v>60</v>
      </c>
      <c r="J2601" s="112">
        <f>IF($H2601&lt;&gt;"Y",0,ROUND(MIN(Dashboard!$R$24,IF(IFERROR(VLOOKUP($B2601,Dashboard!$Q$28:$S$60,2,FALSE),0)&gt;0,IFERROR(VLOOKUP($B2601,Dashboard!$Q$28:$S$60,2,FALSE),0),$Z2601*IF($U2601&lt;&gt;"",ROUND((Dashboard!$R$4/$U2601)*VLOOKUP($I2601,Dashboard!$Q$9:$R$13,2,FALSE)*IF(ISNUMBER(SEARCH("Duals",$B2601)),2,IF(ISNUMBER(SEARCH("Triples",$B2601)),3,IF(ISNUMBER(SEARCH("Quads",$B2601)),4,1))),2),ROUND(VLOOKUP($I2601,Dashboard!$Q$15:$R$20,2,FALSE)*IF($E2601="Red",Dashboard!$R$6,IF($E2601="Gold",Dashboard!$R$7,Dashboard!$R$5))*IF(ISNUMBER(SEARCH("Duals",$B2601)),2,IF(ISNUMBER(SEARCH("Triples",$B2601)),3,IF(ISNUMBER(SEARCH("Quads",$B2601)),4,1))),2))*IF(IFERROR(VLOOKUP($B2601,Dashboard!$Q$28:$S$60,3,FALSE),0)&gt;0,VLOOKUP($B2601,Dashboard!$Q$28:$S$60,3,FALSE),1))),0))</f>
        <v>3</v>
      </c>
      <c r="K2601" s="2" t="str">
        <f>IF('Base S1'!E32="","",'Base S1'!E32)</f>
        <v>C</v>
      </c>
      <c r="L2601" s="2">
        <f t="shared" si="533"/>
        <v>1</v>
      </c>
      <c r="M2601" s="2">
        <f t="shared" si="534"/>
        <v>0</v>
      </c>
      <c r="N2601" s="2">
        <f t="shared" si="535"/>
        <v>1</v>
      </c>
      <c r="O2601" s="2">
        <f t="shared" si="536"/>
        <v>0</v>
      </c>
      <c r="P2601" s="112">
        <f t="shared" si="537"/>
        <v>3</v>
      </c>
      <c r="Q2601" s="112">
        <f t="shared" si="538"/>
        <v>0</v>
      </c>
      <c r="R2601" s="53"/>
      <c r="S2601" s="53" t="str">
        <f t="shared" si="526"/>
        <v>Base S1|Gold Parallel - Season 1|31|Gold</v>
      </c>
      <c r="T2601" s="57" t="str">
        <f>IF($S2601="","",IFERROR(VLOOKUP($S2601,'Pop Estimates (Non-#d)'!$N$2:$O$500,2,FALSE),""))</f>
        <v/>
      </c>
      <c r="U2601" s="57" t="str">
        <f t="shared" si="527"/>
        <v/>
      </c>
      <c r="V2601" s="53" t="str">
        <f t="shared" si="528"/>
        <v/>
      </c>
      <c r="W2601" s="53" t="str">
        <f t="shared" si="529"/>
        <v/>
      </c>
      <c r="X2601" s="53" t="str">
        <f t="shared" si="530"/>
        <v/>
      </c>
      <c r="Y2601" s="57" t="str">
        <f>IF($X2601="","",IFERROR(VLOOKUP($X2601,'Char Popularity'!$A$2:$C$500,2,FALSE),""))</f>
        <v/>
      </c>
      <c r="Z2601" s="56">
        <f>IF($X2601="",1,IFERROR(VLOOKUP($X2601,'Char Popularity'!$A$2:$C$500,3,FALSE),1))</f>
        <v>1</v>
      </c>
      <c r="AA2601" s="62">
        <f>IF($H2601&lt;&gt;"Y",0,(IF($F2601&lt;&gt;"",ROUND(Dashboard!$R$4/$F2601,1),IF(AND($I2601="Base",$E2601="Base"),Dashboard!$R$5,IF(AND($I2601="Base",$E2601="Red"),Dashboard!$R$6,IF(AND($I2601="Base",$E2601="Gold"),Dashboard!$R$7,VLOOKUP($I2601,Dashboard!$Q$16:$R$21,2,FALSE)))))*VLOOKUP($I2601,Dashboard!$Q$9:$R$13,2,FALSE)*IF(AND($I2601="Auto",$F2601="",OR($B2601="Autographs Duals",$B2601="Autographs Triples",$B2601="Autographs Quads",$B2601="Autographs Quads (Inscribed)")),IF($B2601="Autographs Duals",2,IF($B2601="Autographs Triples",3,4)),1)))</f>
        <v>3</v>
      </c>
      <c r="AB2601" s="62">
        <f t="shared" si="531"/>
        <v>3</v>
      </c>
      <c r="AC2601" s="62">
        <f t="shared" si="532"/>
        <v>0</v>
      </c>
    </row>
    <row r="2602" spans="1:29" ht="28.7" customHeight="1" x14ac:dyDescent="0.25">
      <c r="A2602" s="4" t="s">
        <v>17</v>
      </c>
      <c r="B2602" s="7" t="s">
        <v>67</v>
      </c>
      <c r="C2602" s="2" t="s">
        <v>1431</v>
      </c>
      <c r="D2602" s="7" t="s">
        <v>908</v>
      </c>
      <c r="E2602" s="4" t="s">
        <v>1602</v>
      </c>
      <c r="F2602" s="2"/>
      <c r="G2602" s="2" t="s">
        <v>1399</v>
      </c>
      <c r="H2602" s="2" t="s">
        <v>1400</v>
      </c>
      <c r="I2602" s="4" t="s">
        <v>60</v>
      </c>
      <c r="J2602" s="112">
        <f>IF($H2602&lt;&gt;"Y",0,ROUND(MIN(Dashboard!$R$24,IF(IFERROR(VLOOKUP($B2602,Dashboard!$Q$28:$S$60,2,FALSE),0)&gt;0,IFERROR(VLOOKUP($B2602,Dashboard!$Q$28:$S$60,2,FALSE),0),$Z2602*IF($U2602&lt;&gt;"",ROUND((Dashboard!$R$4/$U2602)*VLOOKUP($I2602,Dashboard!$Q$9:$R$13,2,FALSE)*IF(ISNUMBER(SEARCH("Duals",$B2602)),2,IF(ISNUMBER(SEARCH("Triples",$B2602)),3,IF(ISNUMBER(SEARCH("Quads",$B2602)),4,1))),2),ROUND(VLOOKUP($I2602,Dashboard!$Q$15:$R$20,2,FALSE)*IF($E2602="Red",Dashboard!$R$6,IF($E2602="Gold",Dashboard!$R$7,Dashboard!$R$5))*IF(ISNUMBER(SEARCH("Duals",$B2602)),2,IF(ISNUMBER(SEARCH("Triples",$B2602)),3,IF(ISNUMBER(SEARCH("Quads",$B2602)),4,1))),2))*IF(IFERROR(VLOOKUP($B2602,Dashboard!$Q$28:$S$60,3,FALSE),0)&gt;0,VLOOKUP($B2602,Dashboard!$Q$28:$S$60,3,FALSE),1))),0))</f>
        <v>3</v>
      </c>
      <c r="K2602" s="2" t="str">
        <f>IF('Base S1'!E33="","",'Base S1'!E33)</f>
        <v>C</v>
      </c>
      <c r="L2602" s="2">
        <f t="shared" si="533"/>
        <v>1</v>
      </c>
      <c r="M2602" s="2">
        <f t="shared" si="534"/>
        <v>0</v>
      </c>
      <c r="N2602" s="2">
        <f t="shared" si="535"/>
        <v>1</v>
      </c>
      <c r="O2602" s="2">
        <f t="shared" si="536"/>
        <v>0</v>
      </c>
      <c r="P2602" s="112">
        <f t="shared" si="537"/>
        <v>3</v>
      </c>
      <c r="Q2602" s="112">
        <f t="shared" si="538"/>
        <v>0</v>
      </c>
      <c r="R2602" s="53"/>
      <c r="S2602" s="53" t="str">
        <f t="shared" si="526"/>
        <v>Base S1|Gold Parallel - Season 1|32|Gold</v>
      </c>
      <c r="T2602" s="57" t="str">
        <f>IF($S2602="","",IFERROR(VLOOKUP($S2602,'Pop Estimates (Non-#d)'!$N$2:$O$500,2,FALSE),""))</f>
        <v/>
      </c>
      <c r="U2602" s="57" t="str">
        <f t="shared" si="527"/>
        <v/>
      </c>
      <c r="V2602" s="53" t="str">
        <f t="shared" si="528"/>
        <v/>
      </c>
      <c r="W2602" s="53" t="str">
        <f t="shared" si="529"/>
        <v/>
      </c>
      <c r="X2602" s="53" t="str">
        <f t="shared" si="530"/>
        <v/>
      </c>
      <c r="Y2602" s="57" t="str">
        <f>IF($X2602="","",IFERROR(VLOOKUP($X2602,'Char Popularity'!$A$2:$C$500,2,FALSE),""))</f>
        <v/>
      </c>
      <c r="Z2602" s="56">
        <f>IF($X2602="",1,IFERROR(VLOOKUP($X2602,'Char Popularity'!$A$2:$C$500,3,FALSE),1))</f>
        <v>1</v>
      </c>
      <c r="AA2602" s="62">
        <f>IF($H2602&lt;&gt;"Y",0,(IF($F2602&lt;&gt;"",ROUND(Dashboard!$R$4/$F2602,1),IF(AND($I2602="Base",$E2602="Base"),Dashboard!$R$5,IF(AND($I2602="Base",$E2602="Red"),Dashboard!$R$6,IF(AND($I2602="Base",$E2602="Gold"),Dashboard!$R$7,VLOOKUP($I2602,Dashboard!$Q$16:$R$21,2,FALSE)))))*VLOOKUP($I2602,Dashboard!$Q$9:$R$13,2,FALSE)*IF(AND($I2602="Auto",$F2602="",OR($B2602="Autographs Duals",$B2602="Autographs Triples",$B2602="Autographs Quads",$B2602="Autographs Quads (Inscribed)")),IF($B2602="Autographs Duals",2,IF($B2602="Autographs Triples",3,4)),1)))</f>
        <v>3</v>
      </c>
      <c r="AB2602" s="62">
        <f t="shared" si="531"/>
        <v>3</v>
      </c>
      <c r="AC2602" s="62">
        <f t="shared" si="532"/>
        <v>0</v>
      </c>
    </row>
    <row r="2603" spans="1:29" ht="28.7" customHeight="1" x14ac:dyDescent="0.25">
      <c r="A2603" s="4" t="s">
        <v>17</v>
      </c>
      <c r="B2603" s="7" t="s">
        <v>67</v>
      </c>
      <c r="C2603" s="2" t="s">
        <v>1432</v>
      </c>
      <c r="D2603" s="7" t="s">
        <v>910</v>
      </c>
      <c r="E2603" s="4" t="s">
        <v>1602</v>
      </c>
      <c r="F2603" s="2"/>
      <c r="G2603" s="2" t="s">
        <v>1399</v>
      </c>
      <c r="H2603" s="2" t="s">
        <v>1400</v>
      </c>
      <c r="I2603" s="4" t="s">
        <v>60</v>
      </c>
      <c r="J2603" s="112">
        <f>IF($H2603&lt;&gt;"Y",0,ROUND(MIN(Dashboard!$R$24,IF(IFERROR(VLOOKUP($B2603,Dashboard!$Q$28:$S$60,2,FALSE),0)&gt;0,IFERROR(VLOOKUP($B2603,Dashboard!$Q$28:$S$60,2,FALSE),0),$Z2603*IF($U2603&lt;&gt;"",ROUND((Dashboard!$R$4/$U2603)*VLOOKUP($I2603,Dashboard!$Q$9:$R$13,2,FALSE)*IF(ISNUMBER(SEARCH("Duals",$B2603)),2,IF(ISNUMBER(SEARCH("Triples",$B2603)),3,IF(ISNUMBER(SEARCH("Quads",$B2603)),4,1))),2),ROUND(VLOOKUP($I2603,Dashboard!$Q$15:$R$20,2,FALSE)*IF($E2603="Red",Dashboard!$R$6,IF($E2603="Gold",Dashboard!$R$7,Dashboard!$R$5))*IF(ISNUMBER(SEARCH("Duals",$B2603)),2,IF(ISNUMBER(SEARCH("Triples",$B2603)),3,IF(ISNUMBER(SEARCH("Quads",$B2603)),4,1))),2))*IF(IFERROR(VLOOKUP($B2603,Dashboard!$Q$28:$S$60,3,FALSE),0)&gt;0,VLOOKUP($B2603,Dashboard!$Q$28:$S$60,3,FALSE),1))),0))</f>
        <v>3</v>
      </c>
      <c r="K2603" s="2" t="str">
        <f>IF('Base S1'!E34="","",'Base S1'!E34)</f>
        <v>C</v>
      </c>
      <c r="L2603" s="2">
        <f t="shared" si="533"/>
        <v>1</v>
      </c>
      <c r="M2603" s="2">
        <f t="shared" si="534"/>
        <v>0</v>
      </c>
      <c r="N2603" s="2">
        <f t="shared" si="535"/>
        <v>1</v>
      </c>
      <c r="O2603" s="2">
        <f t="shared" si="536"/>
        <v>0</v>
      </c>
      <c r="P2603" s="112">
        <f t="shared" si="537"/>
        <v>3</v>
      </c>
      <c r="Q2603" s="112">
        <f t="shared" si="538"/>
        <v>0</v>
      </c>
      <c r="R2603" s="53"/>
      <c r="S2603" s="53" t="str">
        <f t="shared" si="526"/>
        <v>Base S1|Gold Parallel - Season 1|33|Gold</v>
      </c>
      <c r="T2603" s="57" t="str">
        <f>IF($S2603="","",IFERROR(VLOOKUP($S2603,'Pop Estimates (Non-#d)'!$N$2:$O$500,2,FALSE),""))</f>
        <v/>
      </c>
      <c r="U2603" s="57" t="str">
        <f t="shared" si="527"/>
        <v/>
      </c>
      <c r="V2603" s="53" t="str">
        <f t="shared" si="528"/>
        <v/>
      </c>
      <c r="W2603" s="53" t="str">
        <f t="shared" si="529"/>
        <v/>
      </c>
      <c r="X2603" s="53" t="str">
        <f t="shared" si="530"/>
        <v/>
      </c>
      <c r="Y2603" s="57" t="str">
        <f>IF($X2603="","",IFERROR(VLOOKUP($X2603,'Char Popularity'!$A$2:$C$500,2,FALSE),""))</f>
        <v/>
      </c>
      <c r="Z2603" s="56">
        <f>IF($X2603="",1,IFERROR(VLOOKUP($X2603,'Char Popularity'!$A$2:$C$500,3,FALSE),1))</f>
        <v>1</v>
      </c>
      <c r="AA2603" s="62">
        <f>IF($H2603&lt;&gt;"Y",0,(IF($F2603&lt;&gt;"",ROUND(Dashboard!$R$4/$F2603,1),IF(AND($I2603="Base",$E2603="Base"),Dashboard!$R$5,IF(AND($I2603="Base",$E2603="Red"),Dashboard!$R$6,IF(AND($I2603="Base",$E2603="Gold"),Dashboard!$R$7,VLOOKUP($I2603,Dashboard!$Q$16:$R$21,2,FALSE)))))*VLOOKUP($I2603,Dashboard!$Q$9:$R$13,2,FALSE)*IF(AND($I2603="Auto",$F2603="",OR($B2603="Autographs Duals",$B2603="Autographs Triples",$B2603="Autographs Quads",$B2603="Autographs Quads (Inscribed)")),IF($B2603="Autographs Duals",2,IF($B2603="Autographs Triples",3,4)),1)))</f>
        <v>3</v>
      </c>
      <c r="AB2603" s="62">
        <f t="shared" si="531"/>
        <v>3</v>
      </c>
      <c r="AC2603" s="62">
        <f t="shared" si="532"/>
        <v>0</v>
      </c>
    </row>
    <row r="2604" spans="1:29" ht="28.7" customHeight="1" x14ac:dyDescent="0.25">
      <c r="A2604" s="4" t="s">
        <v>17</v>
      </c>
      <c r="B2604" s="7" t="s">
        <v>67</v>
      </c>
      <c r="C2604" s="2" t="s">
        <v>1433</v>
      </c>
      <c r="D2604" s="7" t="s">
        <v>912</v>
      </c>
      <c r="E2604" s="4" t="s">
        <v>1602</v>
      </c>
      <c r="F2604" s="2"/>
      <c r="G2604" s="2" t="s">
        <v>1399</v>
      </c>
      <c r="H2604" s="2" t="s">
        <v>1400</v>
      </c>
      <c r="I2604" s="4" t="s">
        <v>60</v>
      </c>
      <c r="J2604" s="112">
        <f>IF($H2604&lt;&gt;"Y",0,ROUND(MIN(Dashboard!$R$24,IF(IFERROR(VLOOKUP($B2604,Dashboard!$Q$28:$S$60,2,FALSE),0)&gt;0,IFERROR(VLOOKUP($B2604,Dashboard!$Q$28:$S$60,2,FALSE),0),$Z2604*IF($U2604&lt;&gt;"",ROUND((Dashboard!$R$4/$U2604)*VLOOKUP($I2604,Dashboard!$Q$9:$R$13,2,FALSE)*IF(ISNUMBER(SEARCH("Duals",$B2604)),2,IF(ISNUMBER(SEARCH("Triples",$B2604)),3,IF(ISNUMBER(SEARCH("Quads",$B2604)),4,1))),2),ROUND(VLOOKUP($I2604,Dashboard!$Q$15:$R$20,2,FALSE)*IF($E2604="Red",Dashboard!$R$6,IF($E2604="Gold",Dashboard!$R$7,Dashboard!$R$5))*IF(ISNUMBER(SEARCH("Duals",$B2604)),2,IF(ISNUMBER(SEARCH("Triples",$B2604)),3,IF(ISNUMBER(SEARCH("Quads",$B2604)),4,1))),2))*IF(IFERROR(VLOOKUP($B2604,Dashboard!$Q$28:$S$60,3,FALSE),0)&gt;0,VLOOKUP($B2604,Dashboard!$Q$28:$S$60,3,FALSE),1))),0))</f>
        <v>3</v>
      </c>
      <c r="K2604" s="2" t="str">
        <f>IF('Base S1'!E35="","",'Base S1'!E35)</f>
        <v>C</v>
      </c>
      <c r="L2604" s="2">
        <f t="shared" si="533"/>
        <v>1</v>
      </c>
      <c r="M2604" s="2">
        <f t="shared" si="534"/>
        <v>0</v>
      </c>
      <c r="N2604" s="2">
        <f t="shared" si="535"/>
        <v>1</v>
      </c>
      <c r="O2604" s="2">
        <f t="shared" si="536"/>
        <v>0</v>
      </c>
      <c r="P2604" s="112">
        <f t="shared" si="537"/>
        <v>3</v>
      </c>
      <c r="Q2604" s="112">
        <f t="shared" si="538"/>
        <v>0</v>
      </c>
      <c r="R2604" s="53"/>
      <c r="S2604" s="53" t="str">
        <f t="shared" si="526"/>
        <v>Base S1|Gold Parallel - Season 1|34|Gold</v>
      </c>
      <c r="T2604" s="57" t="str">
        <f>IF($S2604="","",IFERROR(VLOOKUP($S2604,'Pop Estimates (Non-#d)'!$N$2:$O$500,2,FALSE),""))</f>
        <v/>
      </c>
      <c r="U2604" s="57" t="str">
        <f t="shared" si="527"/>
        <v/>
      </c>
      <c r="V2604" s="53" t="str">
        <f t="shared" si="528"/>
        <v/>
      </c>
      <c r="W2604" s="53" t="str">
        <f t="shared" si="529"/>
        <v/>
      </c>
      <c r="X2604" s="53" t="str">
        <f t="shared" si="530"/>
        <v/>
      </c>
      <c r="Y2604" s="57" t="str">
        <f>IF($X2604="","",IFERROR(VLOOKUP($X2604,'Char Popularity'!$A$2:$C$500,2,FALSE),""))</f>
        <v/>
      </c>
      <c r="Z2604" s="56">
        <f>IF($X2604="",1,IFERROR(VLOOKUP($X2604,'Char Popularity'!$A$2:$C$500,3,FALSE),1))</f>
        <v>1</v>
      </c>
      <c r="AA2604" s="62">
        <f>IF($H2604&lt;&gt;"Y",0,(IF($F2604&lt;&gt;"",ROUND(Dashboard!$R$4/$F2604,1),IF(AND($I2604="Base",$E2604="Base"),Dashboard!$R$5,IF(AND($I2604="Base",$E2604="Red"),Dashboard!$R$6,IF(AND($I2604="Base",$E2604="Gold"),Dashboard!$R$7,VLOOKUP($I2604,Dashboard!$Q$16:$R$21,2,FALSE)))))*VLOOKUP($I2604,Dashboard!$Q$9:$R$13,2,FALSE)*IF(AND($I2604="Auto",$F2604="",OR($B2604="Autographs Duals",$B2604="Autographs Triples",$B2604="Autographs Quads",$B2604="Autographs Quads (Inscribed)")),IF($B2604="Autographs Duals",2,IF($B2604="Autographs Triples",3,4)),1)))</f>
        <v>3</v>
      </c>
      <c r="AB2604" s="62">
        <f t="shared" si="531"/>
        <v>3</v>
      </c>
      <c r="AC2604" s="62">
        <f t="shared" si="532"/>
        <v>0</v>
      </c>
    </row>
    <row r="2605" spans="1:29" ht="28.7" customHeight="1" x14ac:dyDescent="0.25">
      <c r="A2605" s="4" t="s">
        <v>17</v>
      </c>
      <c r="B2605" s="7" t="s">
        <v>67</v>
      </c>
      <c r="C2605" s="2" t="s">
        <v>1434</v>
      </c>
      <c r="D2605" s="7" t="s">
        <v>914</v>
      </c>
      <c r="E2605" s="4" t="s">
        <v>1602</v>
      </c>
      <c r="F2605" s="2"/>
      <c r="G2605" s="2" t="s">
        <v>1399</v>
      </c>
      <c r="H2605" s="2" t="s">
        <v>1400</v>
      </c>
      <c r="I2605" s="4" t="s">
        <v>60</v>
      </c>
      <c r="J2605" s="112">
        <f>IF($H2605&lt;&gt;"Y",0,ROUND(MIN(Dashboard!$R$24,IF(IFERROR(VLOOKUP($B2605,Dashboard!$Q$28:$S$60,2,FALSE),0)&gt;0,IFERROR(VLOOKUP($B2605,Dashboard!$Q$28:$S$60,2,FALSE),0),$Z2605*IF($U2605&lt;&gt;"",ROUND((Dashboard!$R$4/$U2605)*VLOOKUP($I2605,Dashboard!$Q$9:$R$13,2,FALSE)*IF(ISNUMBER(SEARCH("Duals",$B2605)),2,IF(ISNUMBER(SEARCH("Triples",$B2605)),3,IF(ISNUMBER(SEARCH("Quads",$B2605)),4,1))),2),ROUND(VLOOKUP($I2605,Dashboard!$Q$15:$R$20,2,FALSE)*IF($E2605="Red",Dashboard!$R$6,IF($E2605="Gold",Dashboard!$R$7,Dashboard!$R$5))*IF(ISNUMBER(SEARCH("Duals",$B2605)),2,IF(ISNUMBER(SEARCH("Triples",$B2605)),3,IF(ISNUMBER(SEARCH("Quads",$B2605)),4,1))),2))*IF(IFERROR(VLOOKUP($B2605,Dashboard!$Q$28:$S$60,3,FALSE),0)&gt;0,VLOOKUP($B2605,Dashboard!$Q$28:$S$60,3,FALSE),1))),0))</f>
        <v>3</v>
      </c>
      <c r="K2605" s="2" t="str">
        <f>IF('Base S1'!E36="","",'Base S1'!E36)</f>
        <v>C</v>
      </c>
      <c r="L2605" s="2">
        <f t="shared" si="533"/>
        <v>1</v>
      </c>
      <c r="M2605" s="2">
        <f t="shared" si="534"/>
        <v>0</v>
      </c>
      <c r="N2605" s="2">
        <f t="shared" si="535"/>
        <v>1</v>
      </c>
      <c r="O2605" s="2">
        <f t="shared" si="536"/>
        <v>0</v>
      </c>
      <c r="P2605" s="112">
        <f t="shared" si="537"/>
        <v>3</v>
      </c>
      <c r="Q2605" s="112">
        <f t="shared" si="538"/>
        <v>0</v>
      </c>
      <c r="R2605" s="53"/>
      <c r="S2605" s="53" t="str">
        <f t="shared" si="526"/>
        <v>Base S1|Gold Parallel - Season 1|35|Gold</v>
      </c>
      <c r="T2605" s="57" t="str">
        <f>IF($S2605="","",IFERROR(VLOOKUP($S2605,'Pop Estimates (Non-#d)'!$N$2:$O$500,2,FALSE),""))</f>
        <v/>
      </c>
      <c r="U2605" s="57" t="str">
        <f t="shared" si="527"/>
        <v/>
      </c>
      <c r="V2605" s="53" t="str">
        <f t="shared" si="528"/>
        <v/>
      </c>
      <c r="W2605" s="53" t="str">
        <f t="shared" si="529"/>
        <v/>
      </c>
      <c r="X2605" s="53" t="str">
        <f t="shared" si="530"/>
        <v/>
      </c>
      <c r="Y2605" s="57" t="str">
        <f>IF($X2605="","",IFERROR(VLOOKUP($X2605,'Char Popularity'!$A$2:$C$500,2,FALSE),""))</f>
        <v/>
      </c>
      <c r="Z2605" s="56">
        <f>IF($X2605="",1,IFERROR(VLOOKUP($X2605,'Char Popularity'!$A$2:$C$500,3,FALSE),1))</f>
        <v>1</v>
      </c>
      <c r="AA2605" s="62">
        <f>IF($H2605&lt;&gt;"Y",0,(IF($F2605&lt;&gt;"",ROUND(Dashboard!$R$4/$F2605,1),IF(AND($I2605="Base",$E2605="Base"),Dashboard!$R$5,IF(AND($I2605="Base",$E2605="Red"),Dashboard!$R$6,IF(AND($I2605="Base",$E2605="Gold"),Dashboard!$R$7,VLOOKUP($I2605,Dashboard!$Q$16:$R$21,2,FALSE)))))*VLOOKUP($I2605,Dashboard!$Q$9:$R$13,2,FALSE)*IF(AND($I2605="Auto",$F2605="",OR($B2605="Autographs Duals",$B2605="Autographs Triples",$B2605="Autographs Quads",$B2605="Autographs Quads (Inscribed)")),IF($B2605="Autographs Duals",2,IF($B2605="Autographs Triples",3,4)),1)))</f>
        <v>3</v>
      </c>
      <c r="AB2605" s="62">
        <f t="shared" si="531"/>
        <v>3</v>
      </c>
      <c r="AC2605" s="62">
        <f t="shared" si="532"/>
        <v>0</v>
      </c>
    </row>
    <row r="2606" spans="1:29" ht="28.7" customHeight="1" x14ac:dyDescent="0.25">
      <c r="A2606" s="4" t="s">
        <v>17</v>
      </c>
      <c r="B2606" s="7" t="s">
        <v>67</v>
      </c>
      <c r="C2606" s="2" t="s">
        <v>1435</v>
      </c>
      <c r="D2606" s="7" t="s">
        <v>915</v>
      </c>
      <c r="E2606" s="4" t="s">
        <v>1602</v>
      </c>
      <c r="F2606" s="2"/>
      <c r="G2606" s="2" t="s">
        <v>1399</v>
      </c>
      <c r="H2606" s="2" t="s">
        <v>1400</v>
      </c>
      <c r="I2606" s="4" t="s">
        <v>60</v>
      </c>
      <c r="J2606" s="112">
        <f>IF($H2606&lt;&gt;"Y",0,ROUND(MIN(Dashboard!$R$24,IF(IFERROR(VLOOKUP($B2606,Dashboard!$Q$28:$S$60,2,FALSE),0)&gt;0,IFERROR(VLOOKUP($B2606,Dashboard!$Q$28:$S$60,2,FALSE),0),$Z2606*IF($U2606&lt;&gt;"",ROUND((Dashboard!$R$4/$U2606)*VLOOKUP($I2606,Dashboard!$Q$9:$R$13,2,FALSE)*IF(ISNUMBER(SEARCH("Duals",$B2606)),2,IF(ISNUMBER(SEARCH("Triples",$B2606)),3,IF(ISNUMBER(SEARCH("Quads",$B2606)),4,1))),2),ROUND(VLOOKUP($I2606,Dashboard!$Q$15:$R$20,2,FALSE)*IF($E2606="Red",Dashboard!$R$6,IF($E2606="Gold",Dashboard!$R$7,Dashboard!$R$5))*IF(ISNUMBER(SEARCH("Duals",$B2606)),2,IF(ISNUMBER(SEARCH("Triples",$B2606)),3,IF(ISNUMBER(SEARCH("Quads",$B2606)),4,1))),2))*IF(IFERROR(VLOOKUP($B2606,Dashboard!$Q$28:$S$60,3,FALSE),0)&gt;0,VLOOKUP($B2606,Dashboard!$Q$28:$S$60,3,FALSE),1))),0))</f>
        <v>3</v>
      </c>
      <c r="K2606" s="2" t="str">
        <f>IF('Base S1'!E37="","",'Base S1'!E37)</f>
        <v>C</v>
      </c>
      <c r="L2606" s="2">
        <f t="shared" si="533"/>
        <v>1</v>
      </c>
      <c r="M2606" s="2">
        <f t="shared" si="534"/>
        <v>0</v>
      </c>
      <c r="N2606" s="2">
        <f t="shared" si="535"/>
        <v>1</v>
      </c>
      <c r="O2606" s="2">
        <f t="shared" si="536"/>
        <v>0</v>
      </c>
      <c r="P2606" s="112">
        <f t="shared" si="537"/>
        <v>3</v>
      </c>
      <c r="Q2606" s="112">
        <f t="shared" si="538"/>
        <v>0</v>
      </c>
      <c r="R2606" s="53"/>
      <c r="S2606" s="53" t="str">
        <f t="shared" si="526"/>
        <v>Base S1|Gold Parallel - Season 1|36|Gold</v>
      </c>
      <c r="T2606" s="57" t="str">
        <f>IF($S2606="","",IFERROR(VLOOKUP($S2606,'Pop Estimates (Non-#d)'!$N$2:$O$500,2,FALSE),""))</f>
        <v/>
      </c>
      <c r="U2606" s="57" t="str">
        <f t="shared" si="527"/>
        <v/>
      </c>
      <c r="V2606" s="53" t="str">
        <f t="shared" si="528"/>
        <v/>
      </c>
      <c r="W2606" s="53" t="str">
        <f t="shared" si="529"/>
        <v/>
      </c>
      <c r="X2606" s="53" t="str">
        <f t="shared" si="530"/>
        <v/>
      </c>
      <c r="Y2606" s="57" t="str">
        <f>IF($X2606="","",IFERROR(VLOOKUP($X2606,'Char Popularity'!$A$2:$C$500,2,FALSE),""))</f>
        <v/>
      </c>
      <c r="Z2606" s="56">
        <f>IF($X2606="",1,IFERROR(VLOOKUP($X2606,'Char Popularity'!$A$2:$C$500,3,FALSE),1))</f>
        <v>1</v>
      </c>
      <c r="AA2606" s="62">
        <f>IF($H2606&lt;&gt;"Y",0,(IF($F2606&lt;&gt;"",ROUND(Dashboard!$R$4/$F2606,1),IF(AND($I2606="Base",$E2606="Base"),Dashboard!$R$5,IF(AND($I2606="Base",$E2606="Red"),Dashboard!$R$6,IF(AND($I2606="Base",$E2606="Gold"),Dashboard!$R$7,VLOOKUP($I2606,Dashboard!$Q$16:$R$21,2,FALSE)))))*VLOOKUP($I2606,Dashboard!$Q$9:$R$13,2,FALSE)*IF(AND($I2606="Auto",$F2606="",OR($B2606="Autographs Duals",$B2606="Autographs Triples",$B2606="Autographs Quads",$B2606="Autographs Quads (Inscribed)")),IF($B2606="Autographs Duals",2,IF($B2606="Autographs Triples",3,4)),1)))</f>
        <v>3</v>
      </c>
      <c r="AB2606" s="62">
        <f t="shared" si="531"/>
        <v>3</v>
      </c>
      <c r="AC2606" s="62">
        <f t="shared" si="532"/>
        <v>0</v>
      </c>
    </row>
    <row r="2607" spans="1:29" ht="28.7" customHeight="1" x14ac:dyDescent="0.25">
      <c r="A2607" s="4" t="s">
        <v>17</v>
      </c>
      <c r="B2607" s="7" t="s">
        <v>67</v>
      </c>
      <c r="C2607" s="2" t="s">
        <v>1436</v>
      </c>
      <c r="D2607" s="7" t="s">
        <v>917</v>
      </c>
      <c r="E2607" s="4" t="s">
        <v>1602</v>
      </c>
      <c r="F2607" s="2"/>
      <c r="G2607" s="2" t="s">
        <v>1399</v>
      </c>
      <c r="H2607" s="2" t="s">
        <v>1400</v>
      </c>
      <c r="I2607" s="4" t="s">
        <v>60</v>
      </c>
      <c r="J2607" s="112">
        <f>IF($H2607&lt;&gt;"Y",0,ROUND(MIN(Dashboard!$R$24,IF(IFERROR(VLOOKUP($B2607,Dashboard!$Q$28:$S$60,2,FALSE),0)&gt;0,IFERROR(VLOOKUP($B2607,Dashboard!$Q$28:$S$60,2,FALSE),0),$Z2607*IF($U2607&lt;&gt;"",ROUND((Dashboard!$R$4/$U2607)*VLOOKUP($I2607,Dashboard!$Q$9:$R$13,2,FALSE)*IF(ISNUMBER(SEARCH("Duals",$B2607)),2,IF(ISNUMBER(SEARCH("Triples",$B2607)),3,IF(ISNUMBER(SEARCH("Quads",$B2607)),4,1))),2),ROUND(VLOOKUP($I2607,Dashboard!$Q$15:$R$20,2,FALSE)*IF($E2607="Red",Dashboard!$R$6,IF($E2607="Gold",Dashboard!$R$7,Dashboard!$R$5))*IF(ISNUMBER(SEARCH("Duals",$B2607)),2,IF(ISNUMBER(SEARCH("Triples",$B2607)),3,IF(ISNUMBER(SEARCH("Quads",$B2607)),4,1))),2))*IF(IFERROR(VLOOKUP($B2607,Dashboard!$Q$28:$S$60,3,FALSE),0)&gt;0,VLOOKUP($B2607,Dashboard!$Q$28:$S$60,3,FALSE),1))),0))</f>
        <v>3</v>
      </c>
      <c r="K2607" s="2" t="str">
        <f>IF('Base S1'!E38="","",'Base S1'!E38)</f>
        <v>C</v>
      </c>
      <c r="L2607" s="2">
        <f t="shared" si="533"/>
        <v>1</v>
      </c>
      <c r="M2607" s="2">
        <f t="shared" si="534"/>
        <v>0</v>
      </c>
      <c r="N2607" s="2">
        <f t="shared" si="535"/>
        <v>1</v>
      </c>
      <c r="O2607" s="2">
        <f t="shared" si="536"/>
        <v>0</v>
      </c>
      <c r="P2607" s="112">
        <f t="shared" si="537"/>
        <v>3</v>
      </c>
      <c r="Q2607" s="112">
        <f t="shared" si="538"/>
        <v>0</v>
      </c>
      <c r="R2607" s="53"/>
      <c r="S2607" s="53" t="str">
        <f t="shared" si="526"/>
        <v>Base S1|Gold Parallel - Season 1|37|Gold</v>
      </c>
      <c r="T2607" s="57" t="str">
        <f>IF($S2607="","",IFERROR(VLOOKUP($S2607,'Pop Estimates (Non-#d)'!$N$2:$O$500,2,FALSE),""))</f>
        <v/>
      </c>
      <c r="U2607" s="57" t="str">
        <f t="shared" si="527"/>
        <v/>
      </c>
      <c r="V2607" s="53" t="str">
        <f t="shared" si="528"/>
        <v/>
      </c>
      <c r="W2607" s="53" t="str">
        <f t="shared" si="529"/>
        <v/>
      </c>
      <c r="X2607" s="53" t="str">
        <f t="shared" si="530"/>
        <v/>
      </c>
      <c r="Y2607" s="57" t="str">
        <f>IF($X2607="","",IFERROR(VLOOKUP($X2607,'Char Popularity'!$A$2:$C$500,2,FALSE),""))</f>
        <v/>
      </c>
      <c r="Z2607" s="56">
        <f>IF($X2607="",1,IFERROR(VLOOKUP($X2607,'Char Popularity'!$A$2:$C$500,3,FALSE),1))</f>
        <v>1</v>
      </c>
      <c r="AA2607" s="62">
        <f>IF($H2607&lt;&gt;"Y",0,(IF($F2607&lt;&gt;"",ROUND(Dashboard!$R$4/$F2607,1),IF(AND($I2607="Base",$E2607="Base"),Dashboard!$R$5,IF(AND($I2607="Base",$E2607="Red"),Dashboard!$R$6,IF(AND($I2607="Base",$E2607="Gold"),Dashboard!$R$7,VLOOKUP($I2607,Dashboard!$Q$16:$R$21,2,FALSE)))))*VLOOKUP($I2607,Dashboard!$Q$9:$R$13,2,FALSE)*IF(AND($I2607="Auto",$F2607="",OR($B2607="Autographs Duals",$B2607="Autographs Triples",$B2607="Autographs Quads",$B2607="Autographs Quads (Inscribed)")),IF($B2607="Autographs Duals",2,IF($B2607="Autographs Triples",3,4)),1)))</f>
        <v>3</v>
      </c>
      <c r="AB2607" s="62">
        <f t="shared" si="531"/>
        <v>3</v>
      </c>
      <c r="AC2607" s="62">
        <f t="shared" si="532"/>
        <v>0</v>
      </c>
    </row>
    <row r="2608" spans="1:29" ht="28.7" customHeight="1" x14ac:dyDescent="0.25">
      <c r="A2608" s="4" t="s">
        <v>17</v>
      </c>
      <c r="B2608" s="7" t="s">
        <v>67</v>
      </c>
      <c r="C2608" s="2" t="s">
        <v>1437</v>
      </c>
      <c r="D2608" s="7" t="s">
        <v>919</v>
      </c>
      <c r="E2608" s="4" t="s">
        <v>1602</v>
      </c>
      <c r="F2608" s="2"/>
      <c r="G2608" s="2" t="s">
        <v>1399</v>
      </c>
      <c r="H2608" s="2" t="s">
        <v>1400</v>
      </c>
      <c r="I2608" s="4" t="s">
        <v>60</v>
      </c>
      <c r="J2608" s="112">
        <f>IF($H2608&lt;&gt;"Y",0,ROUND(MIN(Dashboard!$R$24,IF(IFERROR(VLOOKUP($B2608,Dashboard!$Q$28:$S$60,2,FALSE),0)&gt;0,IFERROR(VLOOKUP($B2608,Dashboard!$Q$28:$S$60,2,FALSE),0),$Z2608*IF($U2608&lt;&gt;"",ROUND((Dashboard!$R$4/$U2608)*VLOOKUP($I2608,Dashboard!$Q$9:$R$13,2,FALSE)*IF(ISNUMBER(SEARCH("Duals",$B2608)),2,IF(ISNUMBER(SEARCH("Triples",$B2608)),3,IF(ISNUMBER(SEARCH("Quads",$B2608)),4,1))),2),ROUND(VLOOKUP($I2608,Dashboard!$Q$15:$R$20,2,FALSE)*IF($E2608="Red",Dashboard!$R$6,IF($E2608="Gold",Dashboard!$R$7,Dashboard!$R$5))*IF(ISNUMBER(SEARCH("Duals",$B2608)),2,IF(ISNUMBER(SEARCH("Triples",$B2608)),3,IF(ISNUMBER(SEARCH("Quads",$B2608)),4,1))),2))*IF(IFERROR(VLOOKUP($B2608,Dashboard!$Q$28:$S$60,3,FALSE),0)&gt;0,VLOOKUP($B2608,Dashboard!$Q$28:$S$60,3,FALSE),1))),0))</f>
        <v>3</v>
      </c>
      <c r="K2608" s="2" t="str">
        <f>IF('Base S1'!E39="","",'Base S1'!E39)</f>
        <v>C</v>
      </c>
      <c r="L2608" s="2">
        <f t="shared" si="533"/>
        <v>1</v>
      </c>
      <c r="M2608" s="2">
        <f t="shared" si="534"/>
        <v>0</v>
      </c>
      <c r="N2608" s="2">
        <f t="shared" si="535"/>
        <v>1</v>
      </c>
      <c r="O2608" s="2">
        <f t="shared" si="536"/>
        <v>0</v>
      </c>
      <c r="P2608" s="112">
        <f t="shared" si="537"/>
        <v>3</v>
      </c>
      <c r="Q2608" s="112">
        <f t="shared" si="538"/>
        <v>0</v>
      </c>
      <c r="R2608" s="53"/>
      <c r="S2608" s="53" t="str">
        <f t="shared" si="526"/>
        <v>Base S1|Gold Parallel - Season 1|38|Gold</v>
      </c>
      <c r="T2608" s="57" t="str">
        <f>IF($S2608="","",IFERROR(VLOOKUP($S2608,'Pop Estimates (Non-#d)'!$N$2:$O$500,2,FALSE),""))</f>
        <v/>
      </c>
      <c r="U2608" s="57" t="str">
        <f t="shared" si="527"/>
        <v/>
      </c>
      <c r="V2608" s="53" t="str">
        <f t="shared" si="528"/>
        <v/>
      </c>
      <c r="W2608" s="53" t="str">
        <f t="shared" si="529"/>
        <v/>
      </c>
      <c r="X2608" s="53" t="str">
        <f t="shared" si="530"/>
        <v/>
      </c>
      <c r="Y2608" s="57" t="str">
        <f>IF($X2608="","",IFERROR(VLOOKUP($X2608,'Char Popularity'!$A$2:$C$500,2,FALSE),""))</f>
        <v/>
      </c>
      <c r="Z2608" s="56">
        <f>IF($X2608="",1,IFERROR(VLOOKUP($X2608,'Char Popularity'!$A$2:$C$500,3,FALSE),1))</f>
        <v>1</v>
      </c>
      <c r="AA2608" s="62">
        <f>IF($H2608&lt;&gt;"Y",0,(IF($F2608&lt;&gt;"",ROUND(Dashboard!$R$4/$F2608,1),IF(AND($I2608="Base",$E2608="Base"),Dashboard!$R$5,IF(AND($I2608="Base",$E2608="Red"),Dashboard!$R$6,IF(AND($I2608="Base",$E2608="Gold"),Dashboard!$R$7,VLOOKUP($I2608,Dashboard!$Q$16:$R$21,2,FALSE)))))*VLOOKUP($I2608,Dashboard!$Q$9:$R$13,2,FALSE)*IF(AND($I2608="Auto",$F2608="",OR($B2608="Autographs Duals",$B2608="Autographs Triples",$B2608="Autographs Quads",$B2608="Autographs Quads (Inscribed)")),IF($B2608="Autographs Duals",2,IF($B2608="Autographs Triples",3,4)),1)))</f>
        <v>3</v>
      </c>
      <c r="AB2608" s="62">
        <f t="shared" si="531"/>
        <v>3</v>
      </c>
      <c r="AC2608" s="62">
        <f t="shared" si="532"/>
        <v>0</v>
      </c>
    </row>
    <row r="2609" spans="1:29" ht="28.7" customHeight="1" x14ac:dyDescent="0.25">
      <c r="A2609" s="4" t="s">
        <v>17</v>
      </c>
      <c r="B2609" s="7" t="s">
        <v>67</v>
      </c>
      <c r="C2609" s="2" t="s">
        <v>1438</v>
      </c>
      <c r="D2609" s="7" t="s">
        <v>920</v>
      </c>
      <c r="E2609" s="4" t="s">
        <v>1602</v>
      </c>
      <c r="F2609" s="2"/>
      <c r="G2609" s="2" t="s">
        <v>1399</v>
      </c>
      <c r="H2609" s="2" t="s">
        <v>1400</v>
      </c>
      <c r="I2609" s="4" t="s">
        <v>60</v>
      </c>
      <c r="J2609" s="112">
        <f>IF($H2609&lt;&gt;"Y",0,ROUND(MIN(Dashboard!$R$24,IF(IFERROR(VLOOKUP($B2609,Dashboard!$Q$28:$S$60,2,FALSE),0)&gt;0,IFERROR(VLOOKUP($B2609,Dashboard!$Q$28:$S$60,2,FALSE),0),$Z2609*IF($U2609&lt;&gt;"",ROUND((Dashboard!$R$4/$U2609)*VLOOKUP($I2609,Dashboard!$Q$9:$R$13,2,FALSE)*IF(ISNUMBER(SEARCH("Duals",$B2609)),2,IF(ISNUMBER(SEARCH("Triples",$B2609)),3,IF(ISNUMBER(SEARCH("Quads",$B2609)),4,1))),2),ROUND(VLOOKUP($I2609,Dashboard!$Q$15:$R$20,2,FALSE)*IF($E2609="Red",Dashboard!$R$6,IF($E2609="Gold",Dashboard!$R$7,Dashboard!$R$5))*IF(ISNUMBER(SEARCH("Duals",$B2609)),2,IF(ISNUMBER(SEARCH("Triples",$B2609)),3,IF(ISNUMBER(SEARCH("Quads",$B2609)),4,1))),2))*IF(IFERROR(VLOOKUP($B2609,Dashboard!$Q$28:$S$60,3,FALSE),0)&gt;0,VLOOKUP($B2609,Dashboard!$Q$28:$S$60,3,FALSE),1))),0))</f>
        <v>3</v>
      </c>
      <c r="K2609" s="2" t="str">
        <f>IF('Base S1'!E40="","",'Base S1'!E40)</f>
        <v>C</v>
      </c>
      <c r="L2609" s="2">
        <f t="shared" si="533"/>
        <v>1</v>
      </c>
      <c r="M2609" s="2">
        <f t="shared" si="534"/>
        <v>0</v>
      </c>
      <c r="N2609" s="2">
        <f t="shared" si="535"/>
        <v>1</v>
      </c>
      <c r="O2609" s="2">
        <f t="shared" si="536"/>
        <v>0</v>
      </c>
      <c r="P2609" s="112">
        <f t="shared" si="537"/>
        <v>3</v>
      </c>
      <c r="Q2609" s="112">
        <f t="shared" si="538"/>
        <v>0</v>
      </c>
      <c r="R2609" s="53"/>
      <c r="S2609" s="53" t="str">
        <f t="shared" si="526"/>
        <v>Base S1|Gold Parallel - Season 1|39|Gold</v>
      </c>
      <c r="T2609" s="57" t="str">
        <f>IF($S2609="","",IFERROR(VLOOKUP($S2609,'Pop Estimates (Non-#d)'!$N$2:$O$500,2,FALSE),""))</f>
        <v/>
      </c>
      <c r="U2609" s="57" t="str">
        <f t="shared" si="527"/>
        <v/>
      </c>
      <c r="V2609" s="53" t="str">
        <f t="shared" si="528"/>
        <v/>
      </c>
      <c r="W2609" s="53" t="str">
        <f t="shared" si="529"/>
        <v/>
      </c>
      <c r="X2609" s="53" t="str">
        <f t="shared" si="530"/>
        <v/>
      </c>
      <c r="Y2609" s="57" t="str">
        <f>IF($X2609="","",IFERROR(VLOOKUP($X2609,'Char Popularity'!$A$2:$C$500,2,FALSE),""))</f>
        <v/>
      </c>
      <c r="Z2609" s="56">
        <f>IF($X2609="",1,IFERROR(VLOOKUP($X2609,'Char Popularity'!$A$2:$C$500,3,FALSE),1))</f>
        <v>1</v>
      </c>
      <c r="AA2609" s="62">
        <f>IF($H2609&lt;&gt;"Y",0,(IF($F2609&lt;&gt;"",ROUND(Dashboard!$R$4/$F2609,1),IF(AND($I2609="Base",$E2609="Base"),Dashboard!$R$5,IF(AND($I2609="Base",$E2609="Red"),Dashboard!$R$6,IF(AND($I2609="Base",$E2609="Gold"),Dashboard!$R$7,VLOOKUP($I2609,Dashboard!$Q$16:$R$21,2,FALSE)))))*VLOOKUP($I2609,Dashboard!$Q$9:$R$13,2,FALSE)*IF(AND($I2609="Auto",$F2609="",OR($B2609="Autographs Duals",$B2609="Autographs Triples",$B2609="Autographs Quads",$B2609="Autographs Quads (Inscribed)")),IF($B2609="Autographs Duals",2,IF($B2609="Autographs Triples",3,4)),1)))</f>
        <v>3</v>
      </c>
      <c r="AB2609" s="62">
        <f t="shared" si="531"/>
        <v>3</v>
      </c>
      <c r="AC2609" s="62">
        <f t="shared" si="532"/>
        <v>0</v>
      </c>
    </row>
    <row r="2610" spans="1:29" ht="28.7" customHeight="1" x14ac:dyDescent="0.25">
      <c r="A2610" s="4" t="s">
        <v>17</v>
      </c>
      <c r="B2610" s="7" t="s">
        <v>67</v>
      </c>
      <c r="C2610" s="2" t="s">
        <v>1439</v>
      </c>
      <c r="D2610" s="7" t="s">
        <v>922</v>
      </c>
      <c r="E2610" s="4" t="s">
        <v>1602</v>
      </c>
      <c r="F2610" s="2"/>
      <c r="G2610" s="2" t="s">
        <v>1399</v>
      </c>
      <c r="H2610" s="2" t="s">
        <v>1400</v>
      </c>
      <c r="I2610" s="4" t="s">
        <v>60</v>
      </c>
      <c r="J2610" s="112">
        <f>IF($H2610&lt;&gt;"Y",0,ROUND(MIN(Dashboard!$R$24,IF(IFERROR(VLOOKUP($B2610,Dashboard!$Q$28:$S$60,2,FALSE),0)&gt;0,IFERROR(VLOOKUP($B2610,Dashboard!$Q$28:$S$60,2,FALSE),0),$Z2610*IF($U2610&lt;&gt;"",ROUND((Dashboard!$R$4/$U2610)*VLOOKUP($I2610,Dashboard!$Q$9:$R$13,2,FALSE)*IF(ISNUMBER(SEARCH("Duals",$B2610)),2,IF(ISNUMBER(SEARCH("Triples",$B2610)),3,IF(ISNUMBER(SEARCH("Quads",$B2610)),4,1))),2),ROUND(VLOOKUP($I2610,Dashboard!$Q$15:$R$20,2,FALSE)*IF($E2610="Red",Dashboard!$R$6,IF($E2610="Gold",Dashboard!$R$7,Dashboard!$R$5))*IF(ISNUMBER(SEARCH("Duals",$B2610)),2,IF(ISNUMBER(SEARCH("Triples",$B2610)),3,IF(ISNUMBER(SEARCH("Quads",$B2610)),4,1))),2))*IF(IFERROR(VLOOKUP($B2610,Dashboard!$Q$28:$S$60,3,FALSE),0)&gt;0,VLOOKUP($B2610,Dashboard!$Q$28:$S$60,3,FALSE),1))),0))</f>
        <v>3</v>
      </c>
      <c r="K2610" s="2" t="str">
        <f>IF('Base S1'!E41="","",'Base S1'!E41)</f>
        <v>C</v>
      </c>
      <c r="L2610" s="2">
        <f t="shared" si="533"/>
        <v>1</v>
      </c>
      <c r="M2610" s="2">
        <f t="shared" si="534"/>
        <v>0</v>
      </c>
      <c r="N2610" s="2">
        <f t="shared" si="535"/>
        <v>1</v>
      </c>
      <c r="O2610" s="2">
        <f t="shared" si="536"/>
        <v>0</v>
      </c>
      <c r="P2610" s="112">
        <f t="shared" si="537"/>
        <v>3</v>
      </c>
      <c r="Q2610" s="112">
        <f t="shared" si="538"/>
        <v>0</v>
      </c>
      <c r="R2610" s="53"/>
      <c r="S2610" s="53" t="str">
        <f t="shared" si="526"/>
        <v>Base S1|Gold Parallel - Season 1|40|Gold</v>
      </c>
      <c r="T2610" s="57" t="str">
        <f>IF($S2610="","",IFERROR(VLOOKUP($S2610,'Pop Estimates (Non-#d)'!$N$2:$O$500,2,FALSE),""))</f>
        <v/>
      </c>
      <c r="U2610" s="57" t="str">
        <f t="shared" si="527"/>
        <v/>
      </c>
      <c r="V2610" s="53" t="str">
        <f t="shared" si="528"/>
        <v/>
      </c>
      <c r="W2610" s="53" t="str">
        <f t="shared" si="529"/>
        <v/>
      </c>
      <c r="X2610" s="53" t="str">
        <f t="shared" si="530"/>
        <v/>
      </c>
      <c r="Y2610" s="57" t="str">
        <f>IF($X2610="","",IFERROR(VLOOKUP($X2610,'Char Popularity'!$A$2:$C$500,2,FALSE),""))</f>
        <v/>
      </c>
      <c r="Z2610" s="56">
        <f>IF($X2610="",1,IFERROR(VLOOKUP($X2610,'Char Popularity'!$A$2:$C$500,3,FALSE),1))</f>
        <v>1</v>
      </c>
      <c r="AA2610" s="62">
        <f>IF($H2610&lt;&gt;"Y",0,(IF($F2610&lt;&gt;"",ROUND(Dashboard!$R$4/$F2610,1),IF(AND($I2610="Base",$E2610="Base"),Dashboard!$R$5,IF(AND($I2610="Base",$E2610="Red"),Dashboard!$R$6,IF(AND($I2610="Base",$E2610="Gold"),Dashboard!$R$7,VLOOKUP($I2610,Dashboard!$Q$16:$R$21,2,FALSE)))))*VLOOKUP($I2610,Dashboard!$Q$9:$R$13,2,FALSE)*IF(AND($I2610="Auto",$F2610="",OR($B2610="Autographs Duals",$B2610="Autographs Triples",$B2610="Autographs Quads",$B2610="Autographs Quads (Inscribed)")),IF($B2610="Autographs Duals",2,IF($B2610="Autographs Triples",3,4)),1)))</f>
        <v>3</v>
      </c>
      <c r="AB2610" s="62">
        <f t="shared" si="531"/>
        <v>3</v>
      </c>
      <c r="AC2610" s="62">
        <f t="shared" si="532"/>
        <v>0</v>
      </c>
    </row>
    <row r="2611" spans="1:29" ht="28.7" customHeight="1" x14ac:dyDescent="0.25">
      <c r="A2611" s="4" t="s">
        <v>17</v>
      </c>
      <c r="B2611" s="7" t="s">
        <v>67</v>
      </c>
      <c r="C2611" s="2" t="s">
        <v>1440</v>
      </c>
      <c r="D2611" s="7" t="s">
        <v>925</v>
      </c>
      <c r="E2611" s="4" t="s">
        <v>1602</v>
      </c>
      <c r="F2611" s="2"/>
      <c r="G2611" s="2" t="s">
        <v>1399</v>
      </c>
      <c r="H2611" s="2" t="s">
        <v>1400</v>
      </c>
      <c r="I2611" s="4" t="s">
        <v>60</v>
      </c>
      <c r="J2611" s="112">
        <f>IF($H2611&lt;&gt;"Y",0,ROUND(MIN(Dashboard!$R$24,IF(IFERROR(VLOOKUP($B2611,Dashboard!$Q$28:$S$60,2,FALSE),0)&gt;0,IFERROR(VLOOKUP($B2611,Dashboard!$Q$28:$S$60,2,FALSE),0),$Z2611*IF($U2611&lt;&gt;"",ROUND((Dashboard!$R$4/$U2611)*VLOOKUP($I2611,Dashboard!$Q$9:$R$13,2,FALSE)*IF(ISNUMBER(SEARCH("Duals",$B2611)),2,IF(ISNUMBER(SEARCH("Triples",$B2611)),3,IF(ISNUMBER(SEARCH("Quads",$B2611)),4,1))),2),ROUND(VLOOKUP($I2611,Dashboard!$Q$15:$R$20,2,FALSE)*IF($E2611="Red",Dashboard!$R$6,IF($E2611="Gold",Dashboard!$R$7,Dashboard!$R$5))*IF(ISNUMBER(SEARCH("Duals",$B2611)),2,IF(ISNUMBER(SEARCH("Triples",$B2611)),3,IF(ISNUMBER(SEARCH("Quads",$B2611)),4,1))),2))*IF(IFERROR(VLOOKUP($B2611,Dashboard!$Q$28:$S$60,3,FALSE),0)&gt;0,VLOOKUP($B2611,Dashboard!$Q$28:$S$60,3,FALSE),1))),0))</f>
        <v>3</v>
      </c>
      <c r="K2611" s="2" t="str">
        <f>IF('Base S1'!E42="","",'Base S1'!E42)</f>
        <v>C</v>
      </c>
      <c r="L2611" s="2">
        <f t="shared" si="533"/>
        <v>1</v>
      </c>
      <c r="M2611" s="2">
        <f t="shared" si="534"/>
        <v>0</v>
      </c>
      <c r="N2611" s="2">
        <f t="shared" si="535"/>
        <v>1</v>
      </c>
      <c r="O2611" s="2">
        <f t="shared" si="536"/>
        <v>0</v>
      </c>
      <c r="P2611" s="112">
        <f t="shared" si="537"/>
        <v>3</v>
      </c>
      <c r="Q2611" s="112">
        <f t="shared" si="538"/>
        <v>0</v>
      </c>
      <c r="R2611" s="53"/>
      <c r="S2611" s="53" t="str">
        <f t="shared" si="526"/>
        <v>Base S1|Gold Parallel - Season 1|41|Gold</v>
      </c>
      <c r="T2611" s="57" t="str">
        <f>IF($S2611="","",IFERROR(VLOOKUP($S2611,'Pop Estimates (Non-#d)'!$N$2:$O$500,2,FALSE),""))</f>
        <v/>
      </c>
      <c r="U2611" s="57" t="str">
        <f t="shared" si="527"/>
        <v/>
      </c>
      <c r="V2611" s="53" t="str">
        <f t="shared" si="528"/>
        <v/>
      </c>
      <c r="W2611" s="53" t="str">
        <f t="shared" si="529"/>
        <v/>
      </c>
      <c r="X2611" s="53" t="str">
        <f t="shared" si="530"/>
        <v/>
      </c>
      <c r="Y2611" s="57" t="str">
        <f>IF($X2611="","",IFERROR(VLOOKUP($X2611,'Char Popularity'!$A$2:$C$500,2,FALSE),""))</f>
        <v/>
      </c>
      <c r="Z2611" s="56">
        <f>IF($X2611="",1,IFERROR(VLOOKUP($X2611,'Char Popularity'!$A$2:$C$500,3,FALSE),1))</f>
        <v>1</v>
      </c>
      <c r="AA2611" s="62">
        <f>IF($H2611&lt;&gt;"Y",0,(IF($F2611&lt;&gt;"",ROUND(Dashboard!$R$4/$F2611,1),IF(AND($I2611="Base",$E2611="Base"),Dashboard!$R$5,IF(AND($I2611="Base",$E2611="Red"),Dashboard!$R$6,IF(AND($I2611="Base",$E2611="Gold"),Dashboard!$R$7,VLOOKUP($I2611,Dashboard!$Q$16:$R$21,2,FALSE)))))*VLOOKUP($I2611,Dashboard!$Q$9:$R$13,2,FALSE)*IF(AND($I2611="Auto",$F2611="",OR($B2611="Autographs Duals",$B2611="Autographs Triples",$B2611="Autographs Quads",$B2611="Autographs Quads (Inscribed)")),IF($B2611="Autographs Duals",2,IF($B2611="Autographs Triples",3,4)),1)))</f>
        <v>3</v>
      </c>
      <c r="AB2611" s="62">
        <f t="shared" si="531"/>
        <v>3</v>
      </c>
      <c r="AC2611" s="62">
        <f t="shared" si="532"/>
        <v>0</v>
      </c>
    </row>
    <row r="2612" spans="1:29" ht="28.7" customHeight="1" x14ac:dyDescent="0.25">
      <c r="A2612" s="4" t="s">
        <v>17</v>
      </c>
      <c r="B2612" s="7" t="s">
        <v>67</v>
      </c>
      <c r="C2612" s="2" t="s">
        <v>1441</v>
      </c>
      <c r="D2612" s="7" t="s">
        <v>926</v>
      </c>
      <c r="E2612" s="4" t="s">
        <v>1602</v>
      </c>
      <c r="F2612" s="2"/>
      <c r="G2612" s="2" t="s">
        <v>1399</v>
      </c>
      <c r="H2612" s="2" t="s">
        <v>1400</v>
      </c>
      <c r="I2612" s="4" t="s">
        <v>60</v>
      </c>
      <c r="J2612" s="112">
        <f>IF($H2612&lt;&gt;"Y",0,ROUND(MIN(Dashboard!$R$24,IF(IFERROR(VLOOKUP($B2612,Dashboard!$Q$28:$S$60,2,FALSE),0)&gt;0,IFERROR(VLOOKUP($B2612,Dashboard!$Q$28:$S$60,2,FALSE),0),$Z2612*IF($U2612&lt;&gt;"",ROUND((Dashboard!$R$4/$U2612)*VLOOKUP($I2612,Dashboard!$Q$9:$R$13,2,FALSE)*IF(ISNUMBER(SEARCH("Duals",$B2612)),2,IF(ISNUMBER(SEARCH("Triples",$B2612)),3,IF(ISNUMBER(SEARCH("Quads",$B2612)),4,1))),2),ROUND(VLOOKUP($I2612,Dashboard!$Q$15:$R$20,2,FALSE)*IF($E2612="Red",Dashboard!$R$6,IF($E2612="Gold",Dashboard!$R$7,Dashboard!$R$5))*IF(ISNUMBER(SEARCH("Duals",$B2612)),2,IF(ISNUMBER(SEARCH("Triples",$B2612)),3,IF(ISNUMBER(SEARCH("Quads",$B2612)),4,1))),2))*IF(IFERROR(VLOOKUP($B2612,Dashboard!$Q$28:$S$60,3,FALSE),0)&gt;0,VLOOKUP($B2612,Dashboard!$Q$28:$S$60,3,FALSE),1))),0))</f>
        <v>3</v>
      </c>
      <c r="K2612" s="2" t="str">
        <f>IF('Base S1'!E43="","",'Base S1'!E43)</f>
        <v>C</v>
      </c>
      <c r="L2612" s="2">
        <f t="shared" si="533"/>
        <v>1</v>
      </c>
      <c r="M2612" s="2">
        <f t="shared" si="534"/>
        <v>0</v>
      </c>
      <c r="N2612" s="2">
        <f t="shared" si="535"/>
        <v>1</v>
      </c>
      <c r="O2612" s="2">
        <f t="shared" si="536"/>
        <v>0</v>
      </c>
      <c r="P2612" s="112">
        <f t="shared" si="537"/>
        <v>3</v>
      </c>
      <c r="Q2612" s="112">
        <f t="shared" si="538"/>
        <v>0</v>
      </c>
      <c r="R2612" s="53"/>
      <c r="S2612" s="53" t="str">
        <f t="shared" si="526"/>
        <v>Base S1|Gold Parallel - Season 1|42|Gold</v>
      </c>
      <c r="T2612" s="57" t="str">
        <f>IF($S2612="","",IFERROR(VLOOKUP($S2612,'Pop Estimates (Non-#d)'!$N$2:$O$500,2,FALSE),""))</f>
        <v/>
      </c>
      <c r="U2612" s="57" t="str">
        <f t="shared" si="527"/>
        <v/>
      </c>
      <c r="V2612" s="53" t="str">
        <f t="shared" si="528"/>
        <v/>
      </c>
      <c r="W2612" s="53" t="str">
        <f t="shared" si="529"/>
        <v/>
      </c>
      <c r="X2612" s="53" t="str">
        <f t="shared" si="530"/>
        <v/>
      </c>
      <c r="Y2612" s="57" t="str">
        <f>IF($X2612="","",IFERROR(VLOOKUP($X2612,'Char Popularity'!$A$2:$C$500,2,FALSE),""))</f>
        <v/>
      </c>
      <c r="Z2612" s="56">
        <f>IF($X2612="",1,IFERROR(VLOOKUP($X2612,'Char Popularity'!$A$2:$C$500,3,FALSE),1))</f>
        <v>1</v>
      </c>
      <c r="AA2612" s="62">
        <f>IF($H2612&lt;&gt;"Y",0,(IF($F2612&lt;&gt;"",ROUND(Dashboard!$R$4/$F2612,1),IF(AND($I2612="Base",$E2612="Base"),Dashboard!$R$5,IF(AND($I2612="Base",$E2612="Red"),Dashboard!$R$6,IF(AND($I2612="Base",$E2612="Gold"),Dashboard!$R$7,VLOOKUP($I2612,Dashboard!$Q$16:$R$21,2,FALSE)))))*VLOOKUP($I2612,Dashboard!$Q$9:$R$13,2,FALSE)*IF(AND($I2612="Auto",$F2612="",OR($B2612="Autographs Duals",$B2612="Autographs Triples",$B2612="Autographs Quads",$B2612="Autographs Quads (Inscribed)")),IF($B2612="Autographs Duals",2,IF($B2612="Autographs Triples",3,4)),1)))</f>
        <v>3</v>
      </c>
      <c r="AB2612" s="62">
        <f t="shared" si="531"/>
        <v>3</v>
      </c>
      <c r="AC2612" s="62">
        <f t="shared" si="532"/>
        <v>0</v>
      </c>
    </row>
    <row r="2613" spans="1:29" ht="28.7" customHeight="1" x14ac:dyDescent="0.25">
      <c r="A2613" s="4" t="s">
        <v>17</v>
      </c>
      <c r="B2613" s="7" t="s">
        <v>67</v>
      </c>
      <c r="C2613" s="2" t="s">
        <v>1442</v>
      </c>
      <c r="D2613" s="7" t="s">
        <v>928</v>
      </c>
      <c r="E2613" s="4" t="s">
        <v>1602</v>
      </c>
      <c r="F2613" s="2"/>
      <c r="G2613" s="2" t="s">
        <v>1399</v>
      </c>
      <c r="H2613" s="2" t="s">
        <v>1400</v>
      </c>
      <c r="I2613" s="4" t="s">
        <v>60</v>
      </c>
      <c r="J2613" s="112">
        <f>IF($H2613&lt;&gt;"Y",0,ROUND(MIN(Dashboard!$R$24,IF(IFERROR(VLOOKUP($B2613,Dashboard!$Q$28:$S$60,2,FALSE),0)&gt;0,IFERROR(VLOOKUP($B2613,Dashboard!$Q$28:$S$60,2,FALSE),0),$Z2613*IF($U2613&lt;&gt;"",ROUND((Dashboard!$R$4/$U2613)*VLOOKUP($I2613,Dashboard!$Q$9:$R$13,2,FALSE)*IF(ISNUMBER(SEARCH("Duals",$B2613)),2,IF(ISNUMBER(SEARCH("Triples",$B2613)),3,IF(ISNUMBER(SEARCH("Quads",$B2613)),4,1))),2),ROUND(VLOOKUP($I2613,Dashboard!$Q$15:$R$20,2,FALSE)*IF($E2613="Red",Dashboard!$R$6,IF($E2613="Gold",Dashboard!$R$7,Dashboard!$R$5))*IF(ISNUMBER(SEARCH("Duals",$B2613)),2,IF(ISNUMBER(SEARCH("Triples",$B2613)),3,IF(ISNUMBER(SEARCH("Quads",$B2613)),4,1))),2))*IF(IFERROR(VLOOKUP($B2613,Dashboard!$Q$28:$S$60,3,FALSE),0)&gt;0,VLOOKUP($B2613,Dashboard!$Q$28:$S$60,3,FALSE),1))),0))</f>
        <v>3</v>
      </c>
      <c r="K2613" s="2" t="str">
        <f>IF('Base S1'!E44="","",'Base S1'!E44)</f>
        <v>C</v>
      </c>
      <c r="L2613" s="2">
        <f t="shared" si="533"/>
        <v>1</v>
      </c>
      <c r="M2613" s="2">
        <f t="shared" si="534"/>
        <v>0</v>
      </c>
      <c r="N2613" s="2">
        <f t="shared" si="535"/>
        <v>1</v>
      </c>
      <c r="O2613" s="2">
        <f t="shared" si="536"/>
        <v>0</v>
      </c>
      <c r="P2613" s="112">
        <f t="shared" si="537"/>
        <v>3</v>
      </c>
      <c r="Q2613" s="112">
        <f t="shared" si="538"/>
        <v>0</v>
      </c>
      <c r="R2613" s="53"/>
      <c r="S2613" s="53" t="str">
        <f t="shared" si="526"/>
        <v>Base S1|Gold Parallel - Season 1|43|Gold</v>
      </c>
      <c r="T2613" s="57" t="str">
        <f>IF($S2613="","",IFERROR(VLOOKUP($S2613,'Pop Estimates (Non-#d)'!$N$2:$O$500,2,FALSE),""))</f>
        <v/>
      </c>
      <c r="U2613" s="57" t="str">
        <f t="shared" si="527"/>
        <v/>
      </c>
      <c r="V2613" s="53" t="str">
        <f t="shared" si="528"/>
        <v/>
      </c>
      <c r="W2613" s="53" t="str">
        <f t="shared" si="529"/>
        <v/>
      </c>
      <c r="X2613" s="53" t="str">
        <f t="shared" si="530"/>
        <v/>
      </c>
      <c r="Y2613" s="57" t="str">
        <f>IF($X2613="","",IFERROR(VLOOKUP($X2613,'Char Popularity'!$A$2:$C$500,2,FALSE),""))</f>
        <v/>
      </c>
      <c r="Z2613" s="56">
        <f>IF($X2613="",1,IFERROR(VLOOKUP($X2613,'Char Popularity'!$A$2:$C$500,3,FALSE),1))</f>
        <v>1</v>
      </c>
      <c r="AA2613" s="62">
        <f>IF($H2613&lt;&gt;"Y",0,(IF($F2613&lt;&gt;"",ROUND(Dashboard!$R$4/$F2613,1),IF(AND($I2613="Base",$E2613="Base"),Dashboard!$R$5,IF(AND($I2613="Base",$E2613="Red"),Dashboard!$R$6,IF(AND($I2613="Base",$E2613="Gold"),Dashboard!$R$7,VLOOKUP($I2613,Dashboard!$Q$16:$R$21,2,FALSE)))))*VLOOKUP($I2613,Dashboard!$Q$9:$R$13,2,FALSE)*IF(AND($I2613="Auto",$F2613="",OR($B2613="Autographs Duals",$B2613="Autographs Triples",$B2613="Autographs Quads",$B2613="Autographs Quads (Inscribed)")),IF($B2613="Autographs Duals",2,IF($B2613="Autographs Triples",3,4)),1)))</f>
        <v>3</v>
      </c>
      <c r="AB2613" s="62">
        <f t="shared" si="531"/>
        <v>3</v>
      </c>
      <c r="AC2613" s="62">
        <f t="shared" si="532"/>
        <v>0</v>
      </c>
    </row>
    <row r="2614" spans="1:29" ht="28.7" customHeight="1" x14ac:dyDescent="0.25">
      <c r="A2614" s="4" t="s">
        <v>17</v>
      </c>
      <c r="B2614" s="7" t="s">
        <v>67</v>
      </c>
      <c r="C2614" s="2" t="s">
        <v>1443</v>
      </c>
      <c r="D2614" s="7" t="s">
        <v>930</v>
      </c>
      <c r="E2614" s="4" t="s">
        <v>1602</v>
      </c>
      <c r="F2614" s="2"/>
      <c r="G2614" s="2" t="s">
        <v>1399</v>
      </c>
      <c r="H2614" s="2" t="s">
        <v>1400</v>
      </c>
      <c r="I2614" s="4" t="s">
        <v>60</v>
      </c>
      <c r="J2614" s="112">
        <f>IF($H2614&lt;&gt;"Y",0,ROUND(MIN(Dashboard!$R$24,IF(IFERROR(VLOOKUP($B2614,Dashboard!$Q$28:$S$60,2,FALSE),0)&gt;0,IFERROR(VLOOKUP($B2614,Dashboard!$Q$28:$S$60,2,FALSE),0),$Z2614*IF($U2614&lt;&gt;"",ROUND((Dashboard!$R$4/$U2614)*VLOOKUP($I2614,Dashboard!$Q$9:$R$13,2,FALSE)*IF(ISNUMBER(SEARCH("Duals",$B2614)),2,IF(ISNUMBER(SEARCH("Triples",$B2614)),3,IF(ISNUMBER(SEARCH("Quads",$B2614)),4,1))),2),ROUND(VLOOKUP($I2614,Dashboard!$Q$15:$R$20,2,FALSE)*IF($E2614="Red",Dashboard!$R$6,IF($E2614="Gold",Dashboard!$R$7,Dashboard!$R$5))*IF(ISNUMBER(SEARCH("Duals",$B2614)),2,IF(ISNUMBER(SEARCH("Triples",$B2614)),3,IF(ISNUMBER(SEARCH("Quads",$B2614)),4,1))),2))*IF(IFERROR(VLOOKUP($B2614,Dashboard!$Q$28:$S$60,3,FALSE),0)&gt;0,VLOOKUP($B2614,Dashboard!$Q$28:$S$60,3,FALSE),1))),0))</f>
        <v>3</v>
      </c>
      <c r="K2614" s="2" t="str">
        <f>IF('Base S1'!E45="","",'Base S1'!E45)</f>
        <v>C</v>
      </c>
      <c r="L2614" s="2">
        <f t="shared" si="533"/>
        <v>1</v>
      </c>
      <c r="M2614" s="2">
        <f t="shared" si="534"/>
        <v>0</v>
      </c>
      <c r="N2614" s="2">
        <f t="shared" si="535"/>
        <v>1</v>
      </c>
      <c r="O2614" s="2">
        <f t="shared" si="536"/>
        <v>0</v>
      </c>
      <c r="P2614" s="112">
        <f t="shared" si="537"/>
        <v>3</v>
      </c>
      <c r="Q2614" s="112">
        <f t="shared" si="538"/>
        <v>0</v>
      </c>
      <c r="R2614" s="53"/>
      <c r="S2614" s="53" t="str">
        <f t="shared" si="526"/>
        <v>Base S1|Gold Parallel - Season 1|44|Gold</v>
      </c>
      <c r="T2614" s="57" t="str">
        <f>IF($S2614="","",IFERROR(VLOOKUP($S2614,'Pop Estimates (Non-#d)'!$N$2:$O$500,2,FALSE),""))</f>
        <v/>
      </c>
      <c r="U2614" s="57" t="str">
        <f t="shared" si="527"/>
        <v/>
      </c>
      <c r="V2614" s="53" t="str">
        <f t="shared" si="528"/>
        <v/>
      </c>
      <c r="W2614" s="53" t="str">
        <f t="shared" si="529"/>
        <v/>
      </c>
      <c r="X2614" s="53" t="str">
        <f t="shared" si="530"/>
        <v/>
      </c>
      <c r="Y2614" s="57" t="str">
        <f>IF($X2614="","",IFERROR(VLOOKUP($X2614,'Char Popularity'!$A$2:$C$500,2,FALSE),""))</f>
        <v/>
      </c>
      <c r="Z2614" s="56">
        <f>IF($X2614="",1,IFERROR(VLOOKUP($X2614,'Char Popularity'!$A$2:$C$500,3,FALSE),1))</f>
        <v>1</v>
      </c>
      <c r="AA2614" s="62">
        <f>IF($H2614&lt;&gt;"Y",0,(IF($F2614&lt;&gt;"",ROUND(Dashboard!$R$4/$F2614,1),IF(AND($I2614="Base",$E2614="Base"),Dashboard!$R$5,IF(AND($I2614="Base",$E2614="Red"),Dashboard!$R$6,IF(AND($I2614="Base",$E2614="Gold"),Dashboard!$R$7,VLOOKUP($I2614,Dashboard!$Q$16:$R$21,2,FALSE)))))*VLOOKUP($I2614,Dashboard!$Q$9:$R$13,2,FALSE)*IF(AND($I2614="Auto",$F2614="",OR($B2614="Autographs Duals",$B2614="Autographs Triples",$B2614="Autographs Quads",$B2614="Autographs Quads (Inscribed)")),IF($B2614="Autographs Duals",2,IF($B2614="Autographs Triples",3,4)),1)))</f>
        <v>3</v>
      </c>
      <c r="AB2614" s="62">
        <f t="shared" si="531"/>
        <v>3</v>
      </c>
      <c r="AC2614" s="62">
        <f t="shared" si="532"/>
        <v>0</v>
      </c>
    </row>
    <row r="2615" spans="1:29" ht="28.7" customHeight="1" x14ac:dyDescent="0.25">
      <c r="A2615" s="4" t="s">
        <v>17</v>
      </c>
      <c r="B2615" s="7" t="s">
        <v>67</v>
      </c>
      <c r="C2615" s="2" t="s">
        <v>1444</v>
      </c>
      <c r="D2615" s="7" t="s">
        <v>932</v>
      </c>
      <c r="E2615" s="4" t="s">
        <v>1602</v>
      </c>
      <c r="F2615" s="2"/>
      <c r="G2615" s="2" t="s">
        <v>1399</v>
      </c>
      <c r="H2615" s="2" t="s">
        <v>1400</v>
      </c>
      <c r="I2615" s="4" t="s">
        <v>60</v>
      </c>
      <c r="J2615" s="112">
        <f>IF($H2615&lt;&gt;"Y",0,ROUND(MIN(Dashboard!$R$24,IF(IFERROR(VLOOKUP($B2615,Dashboard!$Q$28:$S$60,2,FALSE),0)&gt;0,IFERROR(VLOOKUP($B2615,Dashboard!$Q$28:$S$60,2,FALSE),0),$Z2615*IF($U2615&lt;&gt;"",ROUND((Dashboard!$R$4/$U2615)*VLOOKUP($I2615,Dashboard!$Q$9:$R$13,2,FALSE)*IF(ISNUMBER(SEARCH("Duals",$B2615)),2,IF(ISNUMBER(SEARCH("Triples",$B2615)),3,IF(ISNUMBER(SEARCH("Quads",$B2615)),4,1))),2),ROUND(VLOOKUP($I2615,Dashboard!$Q$15:$R$20,2,FALSE)*IF($E2615="Red",Dashboard!$R$6,IF($E2615="Gold",Dashboard!$R$7,Dashboard!$R$5))*IF(ISNUMBER(SEARCH("Duals",$B2615)),2,IF(ISNUMBER(SEARCH("Triples",$B2615)),3,IF(ISNUMBER(SEARCH("Quads",$B2615)),4,1))),2))*IF(IFERROR(VLOOKUP($B2615,Dashboard!$Q$28:$S$60,3,FALSE),0)&gt;0,VLOOKUP($B2615,Dashboard!$Q$28:$S$60,3,FALSE),1))),0))</f>
        <v>3</v>
      </c>
      <c r="K2615" s="2" t="str">
        <f>IF('Base S1'!E46="","",'Base S1'!E46)</f>
        <v>C</v>
      </c>
      <c r="L2615" s="2">
        <f t="shared" si="533"/>
        <v>1</v>
      </c>
      <c r="M2615" s="2">
        <f t="shared" si="534"/>
        <v>0</v>
      </c>
      <c r="N2615" s="2">
        <f t="shared" si="535"/>
        <v>1</v>
      </c>
      <c r="O2615" s="2">
        <f t="shared" si="536"/>
        <v>0</v>
      </c>
      <c r="P2615" s="112">
        <f t="shared" si="537"/>
        <v>3</v>
      </c>
      <c r="Q2615" s="112">
        <f t="shared" si="538"/>
        <v>0</v>
      </c>
      <c r="R2615" s="53"/>
      <c r="S2615" s="53" t="str">
        <f t="shared" si="526"/>
        <v>Base S1|Gold Parallel - Season 1|45|Gold</v>
      </c>
      <c r="T2615" s="57" t="str">
        <f>IF($S2615="","",IFERROR(VLOOKUP($S2615,'Pop Estimates (Non-#d)'!$N$2:$O$500,2,FALSE),""))</f>
        <v/>
      </c>
      <c r="U2615" s="57" t="str">
        <f t="shared" si="527"/>
        <v/>
      </c>
      <c r="V2615" s="53" t="str">
        <f t="shared" si="528"/>
        <v/>
      </c>
      <c r="W2615" s="53" t="str">
        <f t="shared" si="529"/>
        <v/>
      </c>
      <c r="X2615" s="53" t="str">
        <f t="shared" si="530"/>
        <v/>
      </c>
      <c r="Y2615" s="57" t="str">
        <f>IF($X2615="","",IFERROR(VLOOKUP($X2615,'Char Popularity'!$A$2:$C$500,2,FALSE),""))</f>
        <v/>
      </c>
      <c r="Z2615" s="56">
        <f>IF($X2615="",1,IFERROR(VLOOKUP($X2615,'Char Popularity'!$A$2:$C$500,3,FALSE),1))</f>
        <v>1</v>
      </c>
      <c r="AA2615" s="62">
        <f>IF($H2615&lt;&gt;"Y",0,(IF($F2615&lt;&gt;"",ROUND(Dashboard!$R$4/$F2615,1),IF(AND($I2615="Base",$E2615="Base"),Dashboard!$R$5,IF(AND($I2615="Base",$E2615="Red"),Dashboard!$R$6,IF(AND($I2615="Base",$E2615="Gold"),Dashboard!$R$7,VLOOKUP($I2615,Dashboard!$Q$16:$R$21,2,FALSE)))))*VLOOKUP($I2615,Dashboard!$Q$9:$R$13,2,FALSE)*IF(AND($I2615="Auto",$F2615="",OR($B2615="Autographs Duals",$B2615="Autographs Triples",$B2615="Autographs Quads",$B2615="Autographs Quads (Inscribed)")),IF($B2615="Autographs Duals",2,IF($B2615="Autographs Triples",3,4)),1)))</f>
        <v>3</v>
      </c>
      <c r="AB2615" s="62">
        <f t="shared" si="531"/>
        <v>3</v>
      </c>
      <c r="AC2615" s="62">
        <f t="shared" si="532"/>
        <v>0</v>
      </c>
    </row>
    <row r="2616" spans="1:29" ht="28.7" customHeight="1" x14ac:dyDescent="0.25">
      <c r="A2616" s="4" t="s">
        <v>17</v>
      </c>
      <c r="B2616" s="7" t="s">
        <v>67</v>
      </c>
      <c r="C2616" s="2" t="s">
        <v>1445</v>
      </c>
      <c r="D2616" s="7" t="s">
        <v>934</v>
      </c>
      <c r="E2616" s="4" t="s">
        <v>1602</v>
      </c>
      <c r="F2616" s="2"/>
      <c r="G2616" s="2" t="s">
        <v>1399</v>
      </c>
      <c r="H2616" s="2" t="s">
        <v>1400</v>
      </c>
      <c r="I2616" s="4" t="s">
        <v>60</v>
      </c>
      <c r="J2616" s="112">
        <f>IF($H2616&lt;&gt;"Y",0,ROUND(MIN(Dashboard!$R$24,IF(IFERROR(VLOOKUP($B2616,Dashboard!$Q$28:$S$60,2,FALSE),0)&gt;0,IFERROR(VLOOKUP($B2616,Dashboard!$Q$28:$S$60,2,FALSE),0),$Z2616*IF($U2616&lt;&gt;"",ROUND((Dashboard!$R$4/$U2616)*VLOOKUP($I2616,Dashboard!$Q$9:$R$13,2,FALSE)*IF(ISNUMBER(SEARCH("Duals",$B2616)),2,IF(ISNUMBER(SEARCH("Triples",$B2616)),3,IF(ISNUMBER(SEARCH("Quads",$B2616)),4,1))),2),ROUND(VLOOKUP($I2616,Dashboard!$Q$15:$R$20,2,FALSE)*IF($E2616="Red",Dashboard!$R$6,IF($E2616="Gold",Dashboard!$R$7,Dashboard!$R$5))*IF(ISNUMBER(SEARCH("Duals",$B2616)),2,IF(ISNUMBER(SEARCH("Triples",$B2616)),3,IF(ISNUMBER(SEARCH("Quads",$B2616)),4,1))),2))*IF(IFERROR(VLOOKUP($B2616,Dashboard!$Q$28:$S$60,3,FALSE),0)&gt;0,VLOOKUP($B2616,Dashboard!$Q$28:$S$60,3,FALSE),1))),0))</f>
        <v>3</v>
      </c>
      <c r="K2616" s="2" t="str">
        <f>IF('Base S1'!E47="","",'Base S1'!E47)</f>
        <v>C</v>
      </c>
      <c r="L2616" s="2">
        <f t="shared" si="533"/>
        <v>1</v>
      </c>
      <c r="M2616" s="2">
        <f t="shared" si="534"/>
        <v>0</v>
      </c>
      <c r="N2616" s="2">
        <f t="shared" si="535"/>
        <v>1</v>
      </c>
      <c r="O2616" s="2">
        <f t="shared" si="536"/>
        <v>0</v>
      </c>
      <c r="P2616" s="112">
        <f t="shared" si="537"/>
        <v>3</v>
      </c>
      <c r="Q2616" s="112">
        <f t="shared" si="538"/>
        <v>0</v>
      </c>
      <c r="R2616" s="53"/>
      <c r="S2616" s="53" t="str">
        <f t="shared" si="526"/>
        <v>Base S1|Gold Parallel - Season 1|46|Gold</v>
      </c>
      <c r="T2616" s="57" t="str">
        <f>IF($S2616="","",IFERROR(VLOOKUP($S2616,'Pop Estimates (Non-#d)'!$N$2:$O$500,2,FALSE),""))</f>
        <v/>
      </c>
      <c r="U2616" s="57" t="str">
        <f t="shared" si="527"/>
        <v/>
      </c>
      <c r="V2616" s="53" t="str">
        <f t="shared" si="528"/>
        <v/>
      </c>
      <c r="W2616" s="53" t="str">
        <f t="shared" si="529"/>
        <v/>
      </c>
      <c r="X2616" s="53" t="str">
        <f t="shared" si="530"/>
        <v/>
      </c>
      <c r="Y2616" s="57" t="str">
        <f>IF($X2616="","",IFERROR(VLOOKUP($X2616,'Char Popularity'!$A$2:$C$500,2,FALSE),""))</f>
        <v/>
      </c>
      <c r="Z2616" s="56">
        <f>IF($X2616="",1,IFERROR(VLOOKUP($X2616,'Char Popularity'!$A$2:$C$500,3,FALSE),1))</f>
        <v>1</v>
      </c>
      <c r="AA2616" s="62">
        <f>IF($H2616&lt;&gt;"Y",0,(IF($F2616&lt;&gt;"",ROUND(Dashboard!$R$4/$F2616,1),IF(AND($I2616="Base",$E2616="Base"),Dashboard!$R$5,IF(AND($I2616="Base",$E2616="Red"),Dashboard!$R$6,IF(AND($I2616="Base",$E2616="Gold"),Dashboard!$R$7,VLOOKUP($I2616,Dashboard!$Q$16:$R$21,2,FALSE)))))*VLOOKUP($I2616,Dashboard!$Q$9:$R$13,2,FALSE)*IF(AND($I2616="Auto",$F2616="",OR($B2616="Autographs Duals",$B2616="Autographs Triples",$B2616="Autographs Quads",$B2616="Autographs Quads (Inscribed)")),IF($B2616="Autographs Duals",2,IF($B2616="Autographs Triples",3,4)),1)))</f>
        <v>3</v>
      </c>
      <c r="AB2616" s="62">
        <f t="shared" si="531"/>
        <v>3</v>
      </c>
      <c r="AC2616" s="62">
        <f t="shared" si="532"/>
        <v>0</v>
      </c>
    </row>
    <row r="2617" spans="1:29" ht="28.7" customHeight="1" x14ac:dyDescent="0.25">
      <c r="A2617" s="4" t="s">
        <v>17</v>
      </c>
      <c r="B2617" s="7" t="s">
        <v>67</v>
      </c>
      <c r="C2617" s="2" t="s">
        <v>1446</v>
      </c>
      <c r="D2617" s="7" t="s">
        <v>562</v>
      </c>
      <c r="E2617" s="4" t="s">
        <v>1602</v>
      </c>
      <c r="F2617" s="2"/>
      <c r="G2617" s="2" t="s">
        <v>1399</v>
      </c>
      <c r="H2617" s="2" t="s">
        <v>1400</v>
      </c>
      <c r="I2617" s="4" t="s">
        <v>60</v>
      </c>
      <c r="J2617" s="112">
        <f>IF($H2617&lt;&gt;"Y",0,ROUND(MIN(Dashboard!$R$24,IF(IFERROR(VLOOKUP($B2617,Dashboard!$Q$28:$S$60,2,FALSE),0)&gt;0,IFERROR(VLOOKUP($B2617,Dashboard!$Q$28:$S$60,2,FALSE),0),$Z2617*IF($U2617&lt;&gt;"",ROUND((Dashboard!$R$4/$U2617)*VLOOKUP($I2617,Dashboard!$Q$9:$R$13,2,FALSE)*IF(ISNUMBER(SEARCH("Duals",$B2617)),2,IF(ISNUMBER(SEARCH("Triples",$B2617)),3,IF(ISNUMBER(SEARCH("Quads",$B2617)),4,1))),2),ROUND(VLOOKUP($I2617,Dashboard!$Q$15:$R$20,2,FALSE)*IF($E2617="Red",Dashboard!$R$6,IF($E2617="Gold",Dashboard!$R$7,Dashboard!$R$5))*IF(ISNUMBER(SEARCH("Duals",$B2617)),2,IF(ISNUMBER(SEARCH("Triples",$B2617)),3,IF(ISNUMBER(SEARCH("Quads",$B2617)),4,1))),2))*IF(IFERROR(VLOOKUP($B2617,Dashboard!$Q$28:$S$60,3,FALSE),0)&gt;0,VLOOKUP($B2617,Dashboard!$Q$28:$S$60,3,FALSE),1))),0))</f>
        <v>3</v>
      </c>
      <c r="K2617" s="2" t="str">
        <f>IF('Base S1'!E48="","",'Base S1'!E48)</f>
        <v>C</v>
      </c>
      <c r="L2617" s="2">
        <f t="shared" si="533"/>
        <v>1</v>
      </c>
      <c r="M2617" s="2">
        <f t="shared" si="534"/>
        <v>0</v>
      </c>
      <c r="N2617" s="2">
        <f t="shared" si="535"/>
        <v>1</v>
      </c>
      <c r="O2617" s="2">
        <f t="shared" si="536"/>
        <v>0</v>
      </c>
      <c r="P2617" s="112">
        <f t="shared" si="537"/>
        <v>3</v>
      </c>
      <c r="Q2617" s="112">
        <f t="shared" si="538"/>
        <v>0</v>
      </c>
      <c r="R2617" s="53"/>
      <c r="S2617" s="53" t="str">
        <f t="shared" si="526"/>
        <v>Base S1|Gold Parallel - Season 1|47|Gold</v>
      </c>
      <c r="T2617" s="57" t="str">
        <f>IF($S2617="","",IFERROR(VLOOKUP($S2617,'Pop Estimates (Non-#d)'!$N$2:$O$500,2,FALSE),""))</f>
        <v/>
      </c>
      <c r="U2617" s="57" t="str">
        <f t="shared" si="527"/>
        <v/>
      </c>
      <c r="V2617" s="53" t="str">
        <f t="shared" si="528"/>
        <v/>
      </c>
      <c r="W2617" s="53" t="str">
        <f t="shared" si="529"/>
        <v/>
      </c>
      <c r="X2617" s="53" t="str">
        <f t="shared" si="530"/>
        <v/>
      </c>
      <c r="Y2617" s="57" t="str">
        <f>IF($X2617="","",IFERROR(VLOOKUP($X2617,'Char Popularity'!$A$2:$C$500,2,FALSE),""))</f>
        <v/>
      </c>
      <c r="Z2617" s="56">
        <f>IF($X2617="",1,IFERROR(VLOOKUP($X2617,'Char Popularity'!$A$2:$C$500,3,FALSE),1))</f>
        <v>1</v>
      </c>
      <c r="AA2617" s="62">
        <f>IF($H2617&lt;&gt;"Y",0,(IF($F2617&lt;&gt;"",ROUND(Dashboard!$R$4/$F2617,1),IF(AND($I2617="Base",$E2617="Base"),Dashboard!$R$5,IF(AND($I2617="Base",$E2617="Red"),Dashboard!$R$6,IF(AND($I2617="Base",$E2617="Gold"),Dashboard!$R$7,VLOOKUP($I2617,Dashboard!$Q$16:$R$21,2,FALSE)))))*VLOOKUP($I2617,Dashboard!$Q$9:$R$13,2,FALSE)*IF(AND($I2617="Auto",$F2617="",OR($B2617="Autographs Duals",$B2617="Autographs Triples",$B2617="Autographs Quads",$B2617="Autographs Quads (Inscribed)")),IF($B2617="Autographs Duals",2,IF($B2617="Autographs Triples",3,4)),1)))</f>
        <v>3</v>
      </c>
      <c r="AB2617" s="62">
        <f t="shared" si="531"/>
        <v>3</v>
      </c>
      <c r="AC2617" s="62">
        <f t="shared" si="532"/>
        <v>0</v>
      </c>
    </row>
    <row r="2618" spans="1:29" ht="28.7" customHeight="1" x14ac:dyDescent="0.25">
      <c r="A2618" s="4" t="s">
        <v>17</v>
      </c>
      <c r="B2618" s="7" t="s">
        <v>67</v>
      </c>
      <c r="C2618" s="2" t="s">
        <v>1447</v>
      </c>
      <c r="D2618" s="7" t="s">
        <v>539</v>
      </c>
      <c r="E2618" s="4" t="s">
        <v>1602</v>
      </c>
      <c r="F2618" s="2"/>
      <c r="G2618" s="2" t="s">
        <v>1399</v>
      </c>
      <c r="H2618" s="2" t="s">
        <v>1400</v>
      </c>
      <c r="I2618" s="4" t="s">
        <v>60</v>
      </c>
      <c r="J2618" s="112">
        <f>IF($H2618&lt;&gt;"Y",0,ROUND(MIN(Dashboard!$R$24,IF(IFERROR(VLOOKUP($B2618,Dashboard!$Q$28:$S$60,2,FALSE),0)&gt;0,IFERROR(VLOOKUP($B2618,Dashboard!$Q$28:$S$60,2,FALSE),0),$Z2618*IF($U2618&lt;&gt;"",ROUND((Dashboard!$R$4/$U2618)*VLOOKUP($I2618,Dashboard!$Q$9:$R$13,2,FALSE)*IF(ISNUMBER(SEARCH("Duals",$B2618)),2,IF(ISNUMBER(SEARCH("Triples",$B2618)),3,IF(ISNUMBER(SEARCH("Quads",$B2618)),4,1))),2),ROUND(VLOOKUP($I2618,Dashboard!$Q$15:$R$20,2,FALSE)*IF($E2618="Red",Dashboard!$R$6,IF($E2618="Gold",Dashboard!$R$7,Dashboard!$R$5))*IF(ISNUMBER(SEARCH("Duals",$B2618)),2,IF(ISNUMBER(SEARCH("Triples",$B2618)),3,IF(ISNUMBER(SEARCH("Quads",$B2618)),4,1))),2))*IF(IFERROR(VLOOKUP($B2618,Dashboard!$Q$28:$S$60,3,FALSE),0)&gt;0,VLOOKUP($B2618,Dashboard!$Q$28:$S$60,3,FALSE),1))),0))</f>
        <v>3</v>
      </c>
      <c r="K2618" s="2" t="str">
        <f>IF('Base S1'!E49="","",'Base S1'!E49)</f>
        <v>C</v>
      </c>
      <c r="L2618" s="2">
        <f t="shared" si="533"/>
        <v>1</v>
      </c>
      <c r="M2618" s="2">
        <f t="shared" si="534"/>
        <v>0</v>
      </c>
      <c r="N2618" s="2">
        <f t="shared" si="535"/>
        <v>1</v>
      </c>
      <c r="O2618" s="2">
        <f t="shared" si="536"/>
        <v>0</v>
      </c>
      <c r="P2618" s="112">
        <f t="shared" si="537"/>
        <v>3</v>
      </c>
      <c r="Q2618" s="112">
        <f t="shared" si="538"/>
        <v>0</v>
      </c>
      <c r="R2618" s="53"/>
      <c r="S2618" s="53" t="str">
        <f t="shared" si="526"/>
        <v>Base S1|Gold Parallel - Season 1|48|Gold</v>
      </c>
      <c r="T2618" s="57" t="str">
        <f>IF($S2618="","",IFERROR(VLOOKUP($S2618,'Pop Estimates (Non-#d)'!$N$2:$O$500,2,FALSE),""))</f>
        <v/>
      </c>
      <c r="U2618" s="57" t="str">
        <f t="shared" si="527"/>
        <v/>
      </c>
      <c r="V2618" s="53" t="str">
        <f t="shared" si="528"/>
        <v/>
      </c>
      <c r="W2618" s="53" t="str">
        <f t="shared" si="529"/>
        <v/>
      </c>
      <c r="X2618" s="53" t="str">
        <f t="shared" si="530"/>
        <v/>
      </c>
      <c r="Y2618" s="57" t="str">
        <f>IF($X2618="","",IFERROR(VLOOKUP($X2618,'Char Popularity'!$A$2:$C$500,2,FALSE),""))</f>
        <v/>
      </c>
      <c r="Z2618" s="56">
        <f>IF($X2618="",1,IFERROR(VLOOKUP($X2618,'Char Popularity'!$A$2:$C$500,3,FALSE),1))</f>
        <v>1</v>
      </c>
      <c r="AA2618" s="62">
        <f>IF($H2618&lt;&gt;"Y",0,(IF($F2618&lt;&gt;"",ROUND(Dashboard!$R$4/$F2618,1),IF(AND($I2618="Base",$E2618="Base"),Dashboard!$R$5,IF(AND($I2618="Base",$E2618="Red"),Dashboard!$R$6,IF(AND($I2618="Base",$E2618="Gold"),Dashboard!$R$7,VLOOKUP($I2618,Dashboard!$Q$16:$R$21,2,FALSE)))))*VLOOKUP($I2618,Dashboard!$Q$9:$R$13,2,FALSE)*IF(AND($I2618="Auto",$F2618="",OR($B2618="Autographs Duals",$B2618="Autographs Triples",$B2618="Autographs Quads",$B2618="Autographs Quads (Inscribed)")),IF($B2618="Autographs Duals",2,IF($B2618="Autographs Triples",3,4)),1)))</f>
        <v>3</v>
      </c>
      <c r="AB2618" s="62">
        <f t="shared" si="531"/>
        <v>3</v>
      </c>
      <c r="AC2618" s="62">
        <f t="shared" si="532"/>
        <v>0</v>
      </c>
    </row>
    <row r="2619" spans="1:29" ht="28.7" customHeight="1" x14ac:dyDescent="0.25">
      <c r="A2619" s="4" t="s">
        <v>17</v>
      </c>
      <c r="B2619" s="7" t="s">
        <v>67</v>
      </c>
      <c r="C2619" s="2" t="s">
        <v>1448</v>
      </c>
      <c r="D2619" s="7" t="s">
        <v>938</v>
      </c>
      <c r="E2619" s="4" t="s">
        <v>1602</v>
      </c>
      <c r="F2619" s="2"/>
      <c r="G2619" s="2" t="s">
        <v>1399</v>
      </c>
      <c r="H2619" s="2" t="s">
        <v>1400</v>
      </c>
      <c r="I2619" s="4" t="s">
        <v>60</v>
      </c>
      <c r="J2619" s="112">
        <f>IF($H2619&lt;&gt;"Y",0,ROUND(MIN(Dashboard!$R$24,IF(IFERROR(VLOOKUP($B2619,Dashboard!$Q$28:$S$60,2,FALSE),0)&gt;0,IFERROR(VLOOKUP($B2619,Dashboard!$Q$28:$S$60,2,FALSE),0),$Z2619*IF($U2619&lt;&gt;"",ROUND((Dashboard!$R$4/$U2619)*VLOOKUP($I2619,Dashboard!$Q$9:$R$13,2,FALSE)*IF(ISNUMBER(SEARCH("Duals",$B2619)),2,IF(ISNUMBER(SEARCH("Triples",$B2619)),3,IF(ISNUMBER(SEARCH("Quads",$B2619)),4,1))),2),ROUND(VLOOKUP($I2619,Dashboard!$Q$15:$R$20,2,FALSE)*IF($E2619="Red",Dashboard!$R$6,IF($E2619="Gold",Dashboard!$R$7,Dashboard!$R$5))*IF(ISNUMBER(SEARCH("Duals",$B2619)),2,IF(ISNUMBER(SEARCH("Triples",$B2619)),3,IF(ISNUMBER(SEARCH("Quads",$B2619)),4,1))),2))*IF(IFERROR(VLOOKUP($B2619,Dashboard!$Q$28:$S$60,3,FALSE),0)&gt;0,VLOOKUP($B2619,Dashboard!$Q$28:$S$60,3,FALSE),1))),0))</f>
        <v>3</v>
      </c>
      <c r="K2619" s="2" t="str">
        <f>IF('Base S1'!E50="","",'Base S1'!E50)</f>
        <v>C</v>
      </c>
      <c r="L2619" s="2">
        <f t="shared" si="533"/>
        <v>1</v>
      </c>
      <c r="M2619" s="2">
        <f t="shared" si="534"/>
        <v>0</v>
      </c>
      <c r="N2619" s="2">
        <f t="shared" si="535"/>
        <v>1</v>
      </c>
      <c r="O2619" s="2">
        <f t="shared" si="536"/>
        <v>0</v>
      </c>
      <c r="P2619" s="112">
        <f t="shared" si="537"/>
        <v>3</v>
      </c>
      <c r="Q2619" s="112">
        <f t="shared" si="538"/>
        <v>0</v>
      </c>
      <c r="R2619" s="53"/>
      <c r="S2619" s="53" t="str">
        <f t="shared" si="526"/>
        <v>Base S1|Gold Parallel - Season 1|49|Gold</v>
      </c>
      <c r="T2619" s="57" t="str">
        <f>IF($S2619="","",IFERROR(VLOOKUP($S2619,'Pop Estimates (Non-#d)'!$N$2:$O$500,2,FALSE),""))</f>
        <v/>
      </c>
      <c r="U2619" s="57" t="str">
        <f t="shared" si="527"/>
        <v/>
      </c>
      <c r="V2619" s="53" t="str">
        <f t="shared" si="528"/>
        <v/>
      </c>
      <c r="W2619" s="53" t="str">
        <f t="shared" si="529"/>
        <v/>
      </c>
      <c r="X2619" s="53" t="str">
        <f t="shared" si="530"/>
        <v/>
      </c>
      <c r="Y2619" s="57" t="str">
        <f>IF($X2619="","",IFERROR(VLOOKUP($X2619,'Char Popularity'!$A$2:$C$500,2,FALSE),""))</f>
        <v/>
      </c>
      <c r="Z2619" s="56">
        <f>IF($X2619="",1,IFERROR(VLOOKUP($X2619,'Char Popularity'!$A$2:$C$500,3,FALSE),1))</f>
        <v>1</v>
      </c>
      <c r="AA2619" s="62">
        <f>IF($H2619&lt;&gt;"Y",0,(IF($F2619&lt;&gt;"",ROUND(Dashboard!$R$4/$F2619,1),IF(AND($I2619="Base",$E2619="Base"),Dashboard!$R$5,IF(AND($I2619="Base",$E2619="Red"),Dashboard!$R$6,IF(AND($I2619="Base",$E2619="Gold"),Dashboard!$R$7,VLOOKUP($I2619,Dashboard!$Q$16:$R$21,2,FALSE)))))*VLOOKUP($I2619,Dashboard!$Q$9:$R$13,2,FALSE)*IF(AND($I2619="Auto",$F2619="",OR($B2619="Autographs Duals",$B2619="Autographs Triples",$B2619="Autographs Quads",$B2619="Autographs Quads (Inscribed)")),IF($B2619="Autographs Duals",2,IF($B2619="Autographs Triples",3,4)),1)))</f>
        <v>3</v>
      </c>
      <c r="AB2619" s="62">
        <f t="shared" si="531"/>
        <v>3</v>
      </c>
      <c r="AC2619" s="62">
        <f t="shared" si="532"/>
        <v>0</v>
      </c>
    </row>
    <row r="2620" spans="1:29" ht="28.7" customHeight="1" x14ac:dyDescent="0.25">
      <c r="A2620" s="4" t="s">
        <v>17</v>
      </c>
      <c r="B2620" s="7" t="s">
        <v>67</v>
      </c>
      <c r="C2620" s="2" t="s">
        <v>1449</v>
      </c>
      <c r="D2620" s="7" t="s">
        <v>939</v>
      </c>
      <c r="E2620" s="4" t="s">
        <v>1602</v>
      </c>
      <c r="F2620" s="2"/>
      <c r="G2620" s="2" t="s">
        <v>1399</v>
      </c>
      <c r="H2620" s="2" t="s">
        <v>1400</v>
      </c>
      <c r="I2620" s="4" t="s">
        <v>60</v>
      </c>
      <c r="J2620" s="112">
        <f>IF($H2620&lt;&gt;"Y",0,ROUND(MIN(Dashboard!$R$24,IF(IFERROR(VLOOKUP($B2620,Dashboard!$Q$28:$S$60,2,FALSE),0)&gt;0,IFERROR(VLOOKUP($B2620,Dashboard!$Q$28:$S$60,2,FALSE),0),$Z2620*IF($U2620&lt;&gt;"",ROUND((Dashboard!$R$4/$U2620)*VLOOKUP($I2620,Dashboard!$Q$9:$R$13,2,FALSE)*IF(ISNUMBER(SEARCH("Duals",$B2620)),2,IF(ISNUMBER(SEARCH("Triples",$B2620)),3,IF(ISNUMBER(SEARCH("Quads",$B2620)),4,1))),2),ROUND(VLOOKUP($I2620,Dashboard!$Q$15:$R$20,2,FALSE)*IF($E2620="Red",Dashboard!$R$6,IF($E2620="Gold",Dashboard!$R$7,Dashboard!$R$5))*IF(ISNUMBER(SEARCH("Duals",$B2620)),2,IF(ISNUMBER(SEARCH("Triples",$B2620)),3,IF(ISNUMBER(SEARCH("Quads",$B2620)),4,1))),2))*IF(IFERROR(VLOOKUP($B2620,Dashboard!$Q$28:$S$60,3,FALSE),0)&gt;0,VLOOKUP($B2620,Dashboard!$Q$28:$S$60,3,FALSE),1))),0))</f>
        <v>3</v>
      </c>
      <c r="K2620" s="2" t="str">
        <f>IF('Base S1'!E51="","",'Base S1'!E51)</f>
        <v>C</v>
      </c>
      <c r="L2620" s="2">
        <f t="shared" si="533"/>
        <v>1</v>
      </c>
      <c r="M2620" s="2">
        <f t="shared" si="534"/>
        <v>0</v>
      </c>
      <c r="N2620" s="2">
        <f t="shared" si="535"/>
        <v>1</v>
      </c>
      <c r="O2620" s="2">
        <f t="shared" si="536"/>
        <v>0</v>
      </c>
      <c r="P2620" s="112">
        <f t="shared" si="537"/>
        <v>3</v>
      </c>
      <c r="Q2620" s="112">
        <f t="shared" si="538"/>
        <v>0</v>
      </c>
      <c r="R2620" s="53"/>
      <c r="S2620" s="53" t="str">
        <f t="shared" si="526"/>
        <v>Base S1|Gold Parallel - Season 1|50|Gold</v>
      </c>
      <c r="T2620" s="57" t="str">
        <f>IF($S2620="","",IFERROR(VLOOKUP($S2620,'Pop Estimates (Non-#d)'!$N$2:$O$500,2,FALSE),""))</f>
        <v/>
      </c>
      <c r="U2620" s="57" t="str">
        <f t="shared" si="527"/>
        <v/>
      </c>
      <c r="V2620" s="53" t="str">
        <f t="shared" si="528"/>
        <v/>
      </c>
      <c r="W2620" s="53" t="str">
        <f t="shared" si="529"/>
        <v/>
      </c>
      <c r="X2620" s="53" t="str">
        <f t="shared" si="530"/>
        <v/>
      </c>
      <c r="Y2620" s="57" t="str">
        <f>IF($X2620="","",IFERROR(VLOOKUP($X2620,'Char Popularity'!$A$2:$C$500,2,FALSE),""))</f>
        <v/>
      </c>
      <c r="Z2620" s="56">
        <f>IF($X2620="",1,IFERROR(VLOOKUP($X2620,'Char Popularity'!$A$2:$C$500,3,FALSE),1))</f>
        <v>1</v>
      </c>
      <c r="AA2620" s="62">
        <f>IF($H2620&lt;&gt;"Y",0,(IF($F2620&lt;&gt;"",ROUND(Dashboard!$R$4/$F2620,1),IF(AND($I2620="Base",$E2620="Base"),Dashboard!$R$5,IF(AND($I2620="Base",$E2620="Red"),Dashboard!$R$6,IF(AND($I2620="Base",$E2620="Gold"),Dashboard!$R$7,VLOOKUP($I2620,Dashboard!$Q$16:$R$21,2,FALSE)))))*VLOOKUP($I2620,Dashboard!$Q$9:$R$13,2,FALSE)*IF(AND($I2620="Auto",$F2620="",OR($B2620="Autographs Duals",$B2620="Autographs Triples",$B2620="Autographs Quads",$B2620="Autographs Quads (Inscribed)")),IF($B2620="Autographs Duals",2,IF($B2620="Autographs Triples",3,4)),1)))</f>
        <v>3</v>
      </c>
      <c r="AB2620" s="62">
        <f t="shared" si="531"/>
        <v>3</v>
      </c>
      <c r="AC2620" s="62">
        <f t="shared" si="532"/>
        <v>0</v>
      </c>
    </row>
    <row r="2621" spans="1:29" ht="28.7" customHeight="1" x14ac:dyDescent="0.25">
      <c r="A2621" s="4" t="s">
        <v>17</v>
      </c>
      <c r="B2621" s="7" t="s">
        <v>67</v>
      </c>
      <c r="C2621" s="2" t="s">
        <v>1450</v>
      </c>
      <c r="D2621" s="7" t="s">
        <v>941</v>
      </c>
      <c r="E2621" s="4" t="s">
        <v>1602</v>
      </c>
      <c r="F2621" s="2"/>
      <c r="G2621" s="2" t="s">
        <v>1399</v>
      </c>
      <c r="H2621" s="2" t="s">
        <v>1400</v>
      </c>
      <c r="I2621" s="4" t="s">
        <v>60</v>
      </c>
      <c r="J2621" s="112">
        <f>IF($H2621&lt;&gt;"Y",0,ROUND(MIN(Dashboard!$R$24,IF(IFERROR(VLOOKUP($B2621,Dashboard!$Q$28:$S$60,2,FALSE),0)&gt;0,IFERROR(VLOOKUP($B2621,Dashboard!$Q$28:$S$60,2,FALSE),0),$Z2621*IF($U2621&lt;&gt;"",ROUND((Dashboard!$R$4/$U2621)*VLOOKUP($I2621,Dashboard!$Q$9:$R$13,2,FALSE)*IF(ISNUMBER(SEARCH("Duals",$B2621)),2,IF(ISNUMBER(SEARCH("Triples",$B2621)),3,IF(ISNUMBER(SEARCH("Quads",$B2621)),4,1))),2),ROUND(VLOOKUP($I2621,Dashboard!$Q$15:$R$20,2,FALSE)*IF($E2621="Red",Dashboard!$R$6,IF($E2621="Gold",Dashboard!$R$7,Dashboard!$R$5))*IF(ISNUMBER(SEARCH("Duals",$B2621)),2,IF(ISNUMBER(SEARCH("Triples",$B2621)),3,IF(ISNUMBER(SEARCH("Quads",$B2621)),4,1))),2))*IF(IFERROR(VLOOKUP($B2621,Dashboard!$Q$28:$S$60,3,FALSE),0)&gt;0,VLOOKUP($B2621,Dashboard!$Q$28:$S$60,3,FALSE),1))),0))</f>
        <v>3</v>
      </c>
      <c r="K2621" s="2" t="str">
        <f>IF('Base S1'!E52="","",'Base S1'!E52)</f>
        <v>C</v>
      </c>
      <c r="L2621" s="2">
        <f t="shared" si="533"/>
        <v>1</v>
      </c>
      <c r="M2621" s="2">
        <f t="shared" si="534"/>
        <v>0</v>
      </c>
      <c r="N2621" s="2">
        <f t="shared" si="535"/>
        <v>1</v>
      </c>
      <c r="O2621" s="2">
        <f t="shared" si="536"/>
        <v>0</v>
      </c>
      <c r="P2621" s="112">
        <f t="shared" si="537"/>
        <v>3</v>
      </c>
      <c r="Q2621" s="112">
        <f t="shared" si="538"/>
        <v>0</v>
      </c>
      <c r="R2621" s="53"/>
      <c r="S2621" s="53" t="str">
        <f t="shared" si="526"/>
        <v>Base S1|Gold Parallel - Season 1|51|Gold</v>
      </c>
      <c r="T2621" s="57" t="str">
        <f>IF($S2621="","",IFERROR(VLOOKUP($S2621,'Pop Estimates (Non-#d)'!$N$2:$O$500,2,FALSE),""))</f>
        <v/>
      </c>
      <c r="U2621" s="57" t="str">
        <f t="shared" si="527"/>
        <v/>
      </c>
      <c r="V2621" s="53" t="str">
        <f t="shared" si="528"/>
        <v/>
      </c>
      <c r="W2621" s="53" t="str">
        <f t="shared" si="529"/>
        <v/>
      </c>
      <c r="X2621" s="53" t="str">
        <f t="shared" si="530"/>
        <v/>
      </c>
      <c r="Y2621" s="57" t="str">
        <f>IF($X2621="","",IFERROR(VLOOKUP($X2621,'Char Popularity'!$A$2:$C$500,2,FALSE),""))</f>
        <v/>
      </c>
      <c r="Z2621" s="56">
        <f>IF($X2621="",1,IFERROR(VLOOKUP($X2621,'Char Popularity'!$A$2:$C$500,3,FALSE),1))</f>
        <v>1</v>
      </c>
      <c r="AA2621" s="62">
        <f>IF($H2621&lt;&gt;"Y",0,(IF($F2621&lt;&gt;"",ROUND(Dashboard!$R$4/$F2621,1),IF(AND($I2621="Base",$E2621="Base"),Dashboard!$R$5,IF(AND($I2621="Base",$E2621="Red"),Dashboard!$R$6,IF(AND($I2621="Base",$E2621="Gold"),Dashboard!$R$7,VLOOKUP($I2621,Dashboard!$Q$16:$R$21,2,FALSE)))))*VLOOKUP($I2621,Dashboard!$Q$9:$R$13,2,FALSE)*IF(AND($I2621="Auto",$F2621="",OR($B2621="Autographs Duals",$B2621="Autographs Triples",$B2621="Autographs Quads",$B2621="Autographs Quads (Inscribed)")),IF($B2621="Autographs Duals",2,IF($B2621="Autographs Triples",3,4)),1)))</f>
        <v>3</v>
      </c>
      <c r="AB2621" s="62">
        <f t="shared" si="531"/>
        <v>3</v>
      </c>
      <c r="AC2621" s="62">
        <f t="shared" si="532"/>
        <v>0</v>
      </c>
    </row>
    <row r="2622" spans="1:29" ht="28.7" customHeight="1" x14ac:dyDescent="0.25">
      <c r="A2622" s="4" t="s">
        <v>17</v>
      </c>
      <c r="B2622" s="7" t="s">
        <v>67</v>
      </c>
      <c r="C2622" s="2" t="s">
        <v>1451</v>
      </c>
      <c r="D2622" s="7" t="s">
        <v>944</v>
      </c>
      <c r="E2622" s="4" t="s">
        <v>1602</v>
      </c>
      <c r="F2622" s="2"/>
      <c r="G2622" s="2" t="s">
        <v>1399</v>
      </c>
      <c r="H2622" s="2" t="s">
        <v>1400</v>
      </c>
      <c r="I2622" s="4" t="s">
        <v>60</v>
      </c>
      <c r="J2622" s="112">
        <f>IF($H2622&lt;&gt;"Y",0,ROUND(MIN(Dashboard!$R$24,IF(IFERROR(VLOOKUP($B2622,Dashboard!$Q$28:$S$60,2,FALSE),0)&gt;0,IFERROR(VLOOKUP($B2622,Dashboard!$Q$28:$S$60,2,FALSE),0),$Z2622*IF($U2622&lt;&gt;"",ROUND((Dashboard!$R$4/$U2622)*VLOOKUP($I2622,Dashboard!$Q$9:$R$13,2,FALSE)*IF(ISNUMBER(SEARCH("Duals",$B2622)),2,IF(ISNUMBER(SEARCH("Triples",$B2622)),3,IF(ISNUMBER(SEARCH("Quads",$B2622)),4,1))),2),ROUND(VLOOKUP($I2622,Dashboard!$Q$15:$R$20,2,FALSE)*IF($E2622="Red",Dashboard!$R$6,IF($E2622="Gold",Dashboard!$R$7,Dashboard!$R$5))*IF(ISNUMBER(SEARCH("Duals",$B2622)),2,IF(ISNUMBER(SEARCH("Triples",$B2622)),3,IF(ISNUMBER(SEARCH("Quads",$B2622)),4,1))),2))*IF(IFERROR(VLOOKUP($B2622,Dashboard!$Q$28:$S$60,3,FALSE),0)&gt;0,VLOOKUP($B2622,Dashboard!$Q$28:$S$60,3,FALSE),1))),0))</f>
        <v>3</v>
      </c>
      <c r="K2622" s="2" t="str">
        <f>IF('Base S1'!E53="","",'Base S1'!E53)</f>
        <v>C</v>
      </c>
      <c r="L2622" s="2">
        <f t="shared" si="533"/>
        <v>1</v>
      </c>
      <c r="M2622" s="2">
        <f t="shared" si="534"/>
        <v>0</v>
      </c>
      <c r="N2622" s="2">
        <f t="shared" si="535"/>
        <v>1</v>
      </c>
      <c r="O2622" s="2">
        <f t="shared" si="536"/>
        <v>0</v>
      </c>
      <c r="P2622" s="112">
        <f t="shared" si="537"/>
        <v>3</v>
      </c>
      <c r="Q2622" s="112">
        <f t="shared" si="538"/>
        <v>0</v>
      </c>
      <c r="R2622" s="53"/>
      <c r="S2622" s="53" t="str">
        <f t="shared" si="526"/>
        <v>Base S1|Gold Parallel - Season 1|52|Gold</v>
      </c>
      <c r="T2622" s="57" t="str">
        <f>IF($S2622="","",IFERROR(VLOOKUP($S2622,'Pop Estimates (Non-#d)'!$N$2:$O$500,2,FALSE),""))</f>
        <v/>
      </c>
      <c r="U2622" s="57" t="str">
        <f t="shared" si="527"/>
        <v/>
      </c>
      <c r="V2622" s="53" t="str">
        <f t="shared" si="528"/>
        <v/>
      </c>
      <c r="W2622" s="53" t="str">
        <f t="shared" si="529"/>
        <v/>
      </c>
      <c r="X2622" s="53" t="str">
        <f t="shared" si="530"/>
        <v/>
      </c>
      <c r="Y2622" s="57" t="str">
        <f>IF($X2622="","",IFERROR(VLOOKUP($X2622,'Char Popularity'!$A$2:$C$500,2,FALSE),""))</f>
        <v/>
      </c>
      <c r="Z2622" s="56">
        <f>IF($X2622="",1,IFERROR(VLOOKUP($X2622,'Char Popularity'!$A$2:$C$500,3,FALSE),1))</f>
        <v>1</v>
      </c>
      <c r="AA2622" s="62">
        <f>IF($H2622&lt;&gt;"Y",0,(IF($F2622&lt;&gt;"",ROUND(Dashboard!$R$4/$F2622,1),IF(AND($I2622="Base",$E2622="Base"),Dashboard!$R$5,IF(AND($I2622="Base",$E2622="Red"),Dashboard!$R$6,IF(AND($I2622="Base",$E2622="Gold"),Dashboard!$R$7,VLOOKUP($I2622,Dashboard!$Q$16:$R$21,2,FALSE)))))*VLOOKUP($I2622,Dashboard!$Q$9:$R$13,2,FALSE)*IF(AND($I2622="Auto",$F2622="",OR($B2622="Autographs Duals",$B2622="Autographs Triples",$B2622="Autographs Quads",$B2622="Autographs Quads (Inscribed)")),IF($B2622="Autographs Duals",2,IF($B2622="Autographs Triples",3,4)),1)))</f>
        <v>3</v>
      </c>
      <c r="AB2622" s="62">
        <f t="shared" si="531"/>
        <v>3</v>
      </c>
      <c r="AC2622" s="62">
        <f t="shared" si="532"/>
        <v>0</v>
      </c>
    </row>
    <row r="2623" spans="1:29" ht="28.7" customHeight="1" x14ac:dyDescent="0.25">
      <c r="A2623" s="4" t="s">
        <v>17</v>
      </c>
      <c r="B2623" s="7" t="s">
        <v>67</v>
      </c>
      <c r="C2623" s="2" t="s">
        <v>1452</v>
      </c>
      <c r="D2623" s="7" t="s">
        <v>946</v>
      </c>
      <c r="E2623" s="4" t="s">
        <v>1602</v>
      </c>
      <c r="F2623" s="2"/>
      <c r="G2623" s="2" t="s">
        <v>1399</v>
      </c>
      <c r="H2623" s="2" t="s">
        <v>1400</v>
      </c>
      <c r="I2623" s="4" t="s">
        <v>60</v>
      </c>
      <c r="J2623" s="112">
        <f>IF($H2623&lt;&gt;"Y",0,ROUND(MIN(Dashboard!$R$24,IF(IFERROR(VLOOKUP($B2623,Dashboard!$Q$28:$S$60,2,FALSE),0)&gt;0,IFERROR(VLOOKUP($B2623,Dashboard!$Q$28:$S$60,2,FALSE),0),$Z2623*IF($U2623&lt;&gt;"",ROUND((Dashboard!$R$4/$U2623)*VLOOKUP($I2623,Dashboard!$Q$9:$R$13,2,FALSE)*IF(ISNUMBER(SEARCH("Duals",$B2623)),2,IF(ISNUMBER(SEARCH("Triples",$B2623)),3,IF(ISNUMBER(SEARCH("Quads",$B2623)),4,1))),2),ROUND(VLOOKUP($I2623,Dashboard!$Q$15:$R$20,2,FALSE)*IF($E2623="Red",Dashboard!$R$6,IF($E2623="Gold",Dashboard!$R$7,Dashboard!$R$5))*IF(ISNUMBER(SEARCH("Duals",$B2623)),2,IF(ISNUMBER(SEARCH("Triples",$B2623)),3,IF(ISNUMBER(SEARCH("Quads",$B2623)),4,1))),2))*IF(IFERROR(VLOOKUP($B2623,Dashboard!$Q$28:$S$60,3,FALSE),0)&gt;0,VLOOKUP($B2623,Dashboard!$Q$28:$S$60,3,FALSE),1))),0))</f>
        <v>3</v>
      </c>
      <c r="K2623" s="2" t="str">
        <f>IF('Base S1'!E54="","",'Base S1'!E54)</f>
        <v>C</v>
      </c>
      <c r="L2623" s="2">
        <f t="shared" si="533"/>
        <v>1</v>
      </c>
      <c r="M2623" s="2">
        <f t="shared" si="534"/>
        <v>0</v>
      </c>
      <c r="N2623" s="2">
        <f t="shared" si="535"/>
        <v>1</v>
      </c>
      <c r="O2623" s="2">
        <f t="shared" si="536"/>
        <v>0</v>
      </c>
      <c r="P2623" s="112">
        <f t="shared" si="537"/>
        <v>3</v>
      </c>
      <c r="Q2623" s="112">
        <f t="shared" si="538"/>
        <v>0</v>
      </c>
      <c r="R2623" s="53"/>
      <c r="S2623" s="53" t="str">
        <f t="shared" si="526"/>
        <v>Base S1|Gold Parallel - Season 1|53|Gold</v>
      </c>
      <c r="T2623" s="57" t="str">
        <f>IF($S2623="","",IFERROR(VLOOKUP($S2623,'Pop Estimates (Non-#d)'!$N$2:$O$500,2,FALSE),""))</f>
        <v/>
      </c>
      <c r="U2623" s="57" t="str">
        <f t="shared" si="527"/>
        <v/>
      </c>
      <c r="V2623" s="53" t="str">
        <f t="shared" si="528"/>
        <v/>
      </c>
      <c r="W2623" s="53" t="str">
        <f t="shared" si="529"/>
        <v/>
      </c>
      <c r="X2623" s="53" t="str">
        <f t="shared" si="530"/>
        <v/>
      </c>
      <c r="Y2623" s="57" t="str">
        <f>IF($X2623="","",IFERROR(VLOOKUP($X2623,'Char Popularity'!$A$2:$C$500,2,FALSE),""))</f>
        <v/>
      </c>
      <c r="Z2623" s="56">
        <f>IF($X2623="",1,IFERROR(VLOOKUP($X2623,'Char Popularity'!$A$2:$C$500,3,FALSE),1))</f>
        <v>1</v>
      </c>
      <c r="AA2623" s="62">
        <f>IF($H2623&lt;&gt;"Y",0,(IF($F2623&lt;&gt;"",ROUND(Dashboard!$R$4/$F2623,1),IF(AND($I2623="Base",$E2623="Base"),Dashboard!$R$5,IF(AND($I2623="Base",$E2623="Red"),Dashboard!$R$6,IF(AND($I2623="Base",$E2623="Gold"),Dashboard!$R$7,VLOOKUP($I2623,Dashboard!$Q$16:$R$21,2,FALSE)))))*VLOOKUP($I2623,Dashboard!$Q$9:$R$13,2,FALSE)*IF(AND($I2623="Auto",$F2623="",OR($B2623="Autographs Duals",$B2623="Autographs Triples",$B2623="Autographs Quads",$B2623="Autographs Quads (Inscribed)")),IF($B2623="Autographs Duals",2,IF($B2623="Autographs Triples",3,4)),1)))</f>
        <v>3</v>
      </c>
      <c r="AB2623" s="62">
        <f t="shared" si="531"/>
        <v>3</v>
      </c>
      <c r="AC2623" s="62">
        <f t="shared" si="532"/>
        <v>0</v>
      </c>
    </row>
    <row r="2624" spans="1:29" ht="28.7" customHeight="1" x14ac:dyDescent="0.25">
      <c r="A2624" s="4" t="s">
        <v>17</v>
      </c>
      <c r="B2624" s="7" t="s">
        <v>67</v>
      </c>
      <c r="C2624" s="2" t="s">
        <v>1453</v>
      </c>
      <c r="D2624" s="7" t="s">
        <v>948</v>
      </c>
      <c r="E2624" s="4" t="s">
        <v>1602</v>
      </c>
      <c r="F2624" s="2"/>
      <c r="G2624" s="2" t="s">
        <v>1399</v>
      </c>
      <c r="H2624" s="2" t="s">
        <v>1400</v>
      </c>
      <c r="I2624" s="4" t="s">
        <v>60</v>
      </c>
      <c r="J2624" s="112">
        <f>IF($H2624&lt;&gt;"Y",0,ROUND(MIN(Dashboard!$R$24,IF(IFERROR(VLOOKUP($B2624,Dashboard!$Q$28:$S$60,2,FALSE),0)&gt;0,IFERROR(VLOOKUP($B2624,Dashboard!$Q$28:$S$60,2,FALSE),0),$Z2624*IF($U2624&lt;&gt;"",ROUND((Dashboard!$R$4/$U2624)*VLOOKUP($I2624,Dashboard!$Q$9:$R$13,2,FALSE)*IF(ISNUMBER(SEARCH("Duals",$B2624)),2,IF(ISNUMBER(SEARCH("Triples",$B2624)),3,IF(ISNUMBER(SEARCH("Quads",$B2624)),4,1))),2),ROUND(VLOOKUP($I2624,Dashboard!$Q$15:$R$20,2,FALSE)*IF($E2624="Red",Dashboard!$R$6,IF($E2624="Gold",Dashboard!$R$7,Dashboard!$R$5))*IF(ISNUMBER(SEARCH("Duals",$B2624)),2,IF(ISNUMBER(SEARCH("Triples",$B2624)),3,IF(ISNUMBER(SEARCH("Quads",$B2624)),4,1))),2))*IF(IFERROR(VLOOKUP($B2624,Dashboard!$Q$28:$S$60,3,FALSE),0)&gt;0,VLOOKUP($B2624,Dashboard!$Q$28:$S$60,3,FALSE),1))),0))</f>
        <v>3</v>
      </c>
      <c r="K2624" s="2" t="str">
        <f>IF('Base S1'!E55="","",'Base S1'!E55)</f>
        <v>C</v>
      </c>
      <c r="L2624" s="2">
        <f t="shared" si="533"/>
        <v>1</v>
      </c>
      <c r="M2624" s="2">
        <f t="shared" si="534"/>
        <v>0</v>
      </c>
      <c r="N2624" s="2">
        <f t="shared" si="535"/>
        <v>1</v>
      </c>
      <c r="O2624" s="2">
        <f t="shared" si="536"/>
        <v>0</v>
      </c>
      <c r="P2624" s="112">
        <f t="shared" si="537"/>
        <v>3</v>
      </c>
      <c r="Q2624" s="112">
        <f t="shared" si="538"/>
        <v>0</v>
      </c>
      <c r="R2624" s="53"/>
      <c r="S2624" s="53" t="str">
        <f t="shared" si="526"/>
        <v>Base S1|Gold Parallel - Season 1|54|Gold</v>
      </c>
      <c r="T2624" s="57" t="str">
        <f>IF($S2624="","",IFERROR(VLOOKUP($S2624,'Pop Estimates (Non-#d)'!$N$2:$O$500,2,FALSE),""))</f>
        <v/>
      </c>
      <c r="U2624" s="57" t="str">
        <f t="shared" si="527"/>
        <v/>
      </c>
      <c r="V2624" s="53" t="str">
        <f t="shared" si="528"/>
        <v/>
      </c>
      <c r="W2624" s="53" t="str">
        <f t="shared" si="529"/>
        <v/>
      </c>
      <c r="X2624" s="53" t="str">
        <f t="shared" si="530"/>
        <v/>
      </c>
      <c r="Y2624" s="57" t="str">
        <f>IF($X2624="","",IFERROR(VLOOKUP($X2624,'Char Popularity'!$A$2:$C$500,2,FALSE),""))</f>
        <v/>
      </c>
      <c r="Z2624" s="56">
        <f>IF($X2624="",1,IFERROR(VLOOKUP($X2624,'Char Popularity'!$A$2:$C$500,3,FALSE),1))</f>
        <v>1</v>
      </c>
      <c r="AA2624" s="62">
        <f>IF($H2624&lt;&gt;"Y",0,(IF($F2624&lt;&gt;"",ROUND(Dashboard!$R$4/$F2624,1),IF(AND($I2624="Base",$E2624="Base"),Dashboard!$R$5,IF(AND($I2624="Base",$E2624="Red"),Dashboard!$R$6,IF(AND($I2624="Base",$E2624="Gold"),Dashboard!$R$7,VLOOKUP($I2624,Dashboard!$Q$16:$R$21,2,FALSE)))))*VLOOKUP($I2624,Dashboard!$Q$9:$R$13,2,FALSE)*IF(AND($I2624="Auto",$F2624="",OR($B2624="Autographs Duals",$B2624="Autographs Triples",$B2624="Autographs Quads",$B2624="Autographs Quads (Inscribed)")),IF($B2624="Autographs Duals",2,IF($B2624="Autographs Triples",3,4)),1)))</f>
        <v>3</v>
      </c>
      <c r="AB2624" s="62">
        <f t="shared" si="531"/>
        <v>3</v>
      </c>
      <c r="AC2624" s="62">
        <f t="shared" si="532"/>
        <v>0</v>
      </c>
    </row>
    <row r="2625" spans="1:29" ht="28.7" customHeight="1" x14ac:dyDescent="0.25">
      <c r="A2625" s="4" t="s">
        <v>17</v>
      </c>
      <c r="B2625" s="7" t="s">
        <v>67</v>
      </c>
      <c r="C2625" s="2" t="s">
        <v>1454</v>
      </c>
      <c r="D2625" s="7" t="s">
        <v>950</v>
      </c>
      <c r="E2625" s="4" t="s">
        <v>1602</v>
      </c>
      <c r="F2625" s="2"/>
      <c r="G2625" s="2" t="s">
        <v>1399</v>
      </c>
      <c r="H2625" s="2" t="s">
        <v>1400</v>
      </c>
      <c r="I2625" s="4" t="s">
        <v>60</v>
      </c>
      <c r="J2625" s="112">
        <f>IF($H2625&lt;&gt;"Y",0,ROUND(MIN(Dashboard!$R$24,IF(IFERROR(VLOOKUP($B2625,Dashboard!$Q$28:$S$60,2,FALSE),0)&gt;0,IFERROR(VLOOKUP($B2625,Dashboard!$Q$28:$S$60,2,FALSE),0),$Z2625*IF($U2625&lt;&gt;"",ROUND((Dashboard!$R$4/$U2625)*VLOOKUP($I2625,Dashboard!$Q$9:$R$13,2,FALSE)*IF(ISNUMBER(SEARCH("Duals",$B2625)),2,IF(ISNUMBER(SEARCH("Triples",$B2625)),3,IF(ISNUMBER(SEARCH("Quads",$B2625)),4,1))),2),ROUND(VLOOKUP($I2625,Dashboard!$Q$15:$R$20,2,FALSE)*IF($E2625="Red",Dashboard!$R$6,IF($E2625="Gold",Dashboard!$R$7,Dashboard!$R$5))*IF(ISNUMBER(SEARCH("Duals",$B2625)),2,IF(ISNUMBER(SEARCH("Triples",$B2625)),3,IF(ISNUMBER(SEARCH("Quads",$B2625)),4,1))),2))*IF(IFERROR(VLOOKUP($B2625,Dashboard!$Q$28:$S$60,3,FALSE),0)&gt;0,VLOOKUP($B2625,Dashboard!$Q$28:$S$60,3,FALSE),1))),0))</f>
        <v>3</v>
      </c>
      <c r="K2625" s="2" t="str">
        <f>IF('Base S1'!E56="","",'Base S1'!E56)</f>
        <v>C</v>
      </c>
      <c r="L2625" s="2">
        <f t="shared" si="533"/>
        <v>1</v>
      </c>
      <c r="M2625" s="2">
        <f t="shared" si="534"/>
        <v>0</v>
      </c>
      <c r="N2625" s="2">
        <f t="shared" si="535"/>
        <v>1</v>
      </c>
      <c r="O2625" s="2">
        <f t="shared" si="536"/>
        <v>0</v>
      </c>
      <c r="P2625" s="112">
        <f t="shared" si="537"/>
        <v>3</v>
      </c>
      <c r="Q2625" s="112">
        <f t="shared" si="538"/>
        <v>0</v>
      </c>
      <c r="R2625" s="53"/>
      <c r="S2625" s="53" t="str">
        <f t="shared" si="526"/>
        <v>Base S1|Gold Parallel - Season 1|55|Gold</v>
      </c>
      <c r="T2625" s="57" t="str">
        <f>IF($S2625="","",IFERROR(VLOOKUP($S2625,'Pop Estimates (Non-#d)'!$N$2:$O$500,2,FALSE),""))</f>
        <v/>
      </c>
      <c r="U2625" s="57" t="str">
        <f t="shared" si="527"/>
        <v/>
      </c>
      <c r="V2625" s="53" t="str">
        <f t="shared" si="528"/>
        <v/>
      </c>
      <c r="W2625" s="53" t="str">
        <f t="shared" si="529"/>
        <v/>
      </c>
      <c r="X2625" s="53" t="str">
        <f t="shared" si="530"/>
        <v/>
      </c>
      <c r="Y2625" s="57" t="str">
        <f>IF($X2625="","",IFERROR(VLOOKUP($X2625,'Char Popularity'!$A$2:$C$500,2,FALSE),""))</f>
        <v/>
      </c>
      <c r="Z2625" s="56">
        <f>IF($X2625="",1,IFERROR(VLOOKUP($X2625,'Char Popularity'!$A$2:$C$500,3,FALSE),1))</f>
        <v>1</v>
      </c>
      <c r="AA2625" s="62">
        <f>IF($H2625&lt;&gt;"Y",0,(IF($F2625&lt;&gt;"",ROUND(Dashboard!$R$4/$F2625,1),IF(AND($I2625="Base",$E2625="Base"),Dashboard!$R$5,IF(AND($I2625="Base",$E2625="Red"),Dashboard!$R$6,IF(AND($I2625="Base",$E2625="Gold"),Dashboard!$R$7,VLOOKUP($I2625,Dashboard!$Q$16:$R$21,2,FALSE)))))*VLOOKUP($I2625,Dashboard!$Q$9:$R$13,2,FALSE)*IF(AND($I2625="Auto",$F2625="",OR($B2625="Autographs Duals",$B2625="Autographs Triples",$B2625="Autographs Quads",$B2625="Autographs Quads (Inscribed)")),IF($B2625="Autographs Duals",2,IF($B2625="Autographs Triples",3,4)),1)))</f>
        <v>3</v>
      </c>
      <c r="AB2625" s="62">
        <f t="shared" si="531"/>
        <v>3</v>
      </c>
      <c r="AC2625" s="62">
        <f t="shared" si="532"/>
        <v>0</v>
      </c>
    </row>
    <row r="2626" spans="1:29" ht="28.7" customHeight="1" x14ac:dyDescent="0.25">
      <c r="A2626" s="4" t="s">
        <v>17</v>
      </c>
      <c r="B2626" s="7" t="s">
        <v>67</v>
      </c>
      <c r="C2626" s="2" t="s">
        <v>1455</v>
      </c>
      <c r="D2626" s="7" t="s">
        <v>952</v>
      </c>
      <c r="E2626" s="4" t="s">
        <v>1602</v>
      </c>
      <c r="F2626" s="2"/>
      <c r="G2626" s="2" t="s">
        <v>1399</v>
      </c>
      <c r="H2626" s="2" t="s">
        <v>1400</v>
      </c>
      <c r="I2626" s="4" t="s">
        <v>60</v>
      </c>
      <c r="J2626" s="112">
        <f>IF($H2626&lt;&gt;"Y",0,ROUND(MIN(Dashboard!$R$24,IF(IFERROR(VLOOKUP($B2626,Dashboard!$Q$28:$S$60,2,FALSE),0)&gt;0,IFERROR(VLOOKUP($B2626,Dashboard!$Q$28:$S$60,2,FALSE),0),$Z2626*IF($U2626&lt;&gt;"",ROUND((Dashboard!$R$4/$U2626)*VLOOKUP($I2626,Dashboard!$Q$9:$R$13,2,FALSE)*IF(ISNUMBER(SEARCH("Duals",$B2626)),2,IF(ISNUMBER(SEARCH("Triples",$B2626)),3,IF(ISNUMBER(SEARCH("Quads",$B2626)),4,1))),2),ROUND(VLOOKUP($I2626,Dashboard!$Q$15:$R$20,2,FALSE)*IF($E2626="Red",Dashboard!$R$6,IF($E2626="Gold",Dashboard!$R$7,Dashboard!$R$5))*IF(ISNUMBER(SEARCH("Duals",$B2626)),2,IF(ISNUMBER(SEARCH("Triples",$B2626)),3,IF(ISNUMBER(SEARCH("Quads",$B2626)),4,1))),2))*IF(IFERROR(VLOOKUP($B2626,Dashboard!$Q$28:$S$60,3,FALSE),0)&gt;0,VLOOKUP($B2626,Dashboard!$Q$28:$S$60,3,FALSE),1))),0))</f>
        <v>3</v>
      </c>
      <c r="K2626" s="2" t="str">
        <f>IF('Base S1'!E57="","",'Base S1'!E57)</f>
        <v>C</v>
      </c>
      <c r="L2626" s="2">
        <f t="shared" si="533"/>
        <v>1</v>
      </c>
      <c r="M2626" s="2">
        <f t="shared" si="534"/>
        <v>0</v>
      </c>
      <c r="N2626" s="2">
        <f t="shared" si="535"/>
        <v>1</v>
      </c>
      <c r="O2626" s="2">
        <f t="shared" si="536"/>
        <v>0</v>
      </c>
      <c r="P2626" s="112">
        <f t="shared" si="537"/>
        <v>3</v>
      </c>
      <c r="Q2626" s="112">
        <f t="shared" si="538"/>
        <v>0</v>
      </c>
      <c r="R2626" s="53"/>
      <c r="S2626" s="53" t="str">
        <f t="shared" ref="S2626:S2689" si="539">IF($A2626="","",$A2626&amp;"|"&amp;$B2626&amp;"|"&amp;$C2626&amp;"|"&amp;$E2626)</f>
        <v>Base S1|Gold Parallel - Season 1|56|Gold</v>
      </c>
      <c r="T2626" s="57" t="str">
        <f>IF($S2626="","",IFERROR(VLOOKUP($S2626,'Pop Estimates (Non-#d)'!$N$2:$O$500,2,FALSE),""))</f>
        <v/>
      </c>
      <c r="U2626" s="57" t="str">
        <f t="shared" ref="U2626:U2689" si="540">IF($A2626="","",IF($F2626&lt;&gt;"",$F2626,$T2626))</f>
        <v/>
      </c>
      <c r="V2626" s="53" t="str">
        <f t="shared" ref="V2626:V2689" si="541">IF($A2626="","",IF(ISNUMBER(SEARCH(" as ",$D2626)),MID($D2626,SEARCH(" as ",$D2626)+4,255),IF(ISNUMBER(SEARCH("/",$D2626)),LEFT($D2626,FIND("/",$D2626&amp;"/")-1),"")))</f>
        <v/>
      </c>
      <c r="W2626" s="53" t="str">
        <f t="shared" ref="W2626:W2689" si="542">IF($V2626="","",TRIM(IFERROR(MID($V2626,SEARCH("(", $V2626)+1,SEARCH(")",$V2626)-SEARCH("(", $V2626)-1),$V2626)))</f>
        <v/>
      </c>
      <c r="X2626" s="53" t="str">
        <f t="shared" ref="X2626:X2689" si="543">IF($W2626="","",TRIM(LEFT($W2626&amp;"""",FIND("""",$W2626&amp;"""")-1)))</f>
        <v/>
      </c>
      <c r="Y2626" s="57" t="str">
        <f>IF($X2626="","",IFERROR(VLOOKUP($X2626,'Char Popularity'!$A$2:$C$500,2,FALSE),""))</f>
        <v/>
      </c>
      <c r="Z2626" s="56">
        <f>IF($X2626="",1,IFERROR(VLOOKUP($X2626,'Char Popularity'!$A$2:$C$500,3,FALSE),1))</f>
        <v>1</v>
      </c>
      <c r="AA2626" s="62">
        <f>IF($H2626&lt;&gt;"Y",0,(IF($F2626&lt;&gt;"",ROUND(Dashboard!$R$4/$F2626,1),IF(AND($I2626="Base",$E2626="Base"),Dashboard!$R$5,IF(AND($I2626="Base",$E2626="Red"),Dashboard!$R$6,IF(AND($I2626="Base",$E2626="Gold"),Dashboard!$R$7,VLOOKUP($I2626,Dashboard!$Q$16:$R$21,2,FALSE)))))*VLOOKUP($I2626,Dashboard!$Q$9:$R$13,2,FALSE)*IF(AND($I2626="Auto",$F2626="",OR($B2626="Autographs Duals",$B2626="Autographs Triples",$B2626="Autographs Quads",$B2626="Autographs Quads (Inscribed)")),IF($B2626="Autographs Duals",2,IF($B2626="Autographs Triples",3,4)),1)))</f>
        <v>3</v>
      </c>
      <c r="AB2626" s="62">
        <f t="shared" ref="AB2626:AB2689" si="544">IF($L2626=1,$AA2626,0)</f>
        <v>3</v>
      </c>
      <c r="AC2626" s="62">
        <f t="shared" ref="AC2626:AC2689" si="545">IF($M2626=1,$AA2626,0)</f>
        <v>0</v>
      </c>
    </row>
    <row r="2627" spans="1:29" ht="28.7" customHeight="1" x14ac:dyDescent="0.25">
      <c r="A2627" s="4" t="s">
        <v>17</v>
      </c>
      <c r="B2627" s="7" t="s">
        <v>67</v>
      </c>
      <c r="C2627" s="2" t="s">
        <v>1456</v>
      </c>
      <c r="D2627" s="7" t="s">
        <v>956</v>
      </c>
      <c r="E2627" s="4" t="s">
        <v>1602</v>
      </c>
      <c r="F2627" s="2"/>
      <c r="G2627" s="2" t="s">
        <v>1399</v>
      </c>
      <c r="H2627" s="2" t="s">
        <v>1400</v>
      </c>
      <c r="I2627" s="4" t="s">
        <v>60</v>
      </c>
      <c r="J2627" s="112">
        <f>IF($H2627&lt;&gt;"Y",0,ROUND(MIN(Dashboard!$R$24,IF(IFERROR(VLOOKUP($B2627,Dashboard!$Q$28:$S$60,2,FALSE),0)&gt;0,IFERROR(VLOOKUP($B2627,Dashboard!$Q$28:$S$60,2,FALSE),0),$Z2627*IF($U2627&lt;&gt;"",ROUND((Dashboard!$R$4/$U2627)*VLOOKUP($I2627,Dashboard!$Q$9:$R$13,2,FALSE)*IF(ISNUMBER(SEARCH("Duals",$B2627)),2,IF(ISNUMBER(SEARCH("Triples",$B2627)),3,IF(ISNUMBER(SEARCH("Quads",$B2627)),4,1))),2),ROUND(VLOOKUP($I2627,Dashboard!$Q$15:$R$20,2,FALSE)*IF($E2627="Red",Dashboard!$R$6,IF($E2627="Gold",Dashboard!$R$7,Dashboard!$R$5))*IF(ISNUMBER(SEARCH("Duals",$B2627)),2,IF(ISNUMBER(SEARCH("Triples",$B2627)),3,IF(ISNUMBER(SEARCH("Quads",$B2627)),4,1))),2))*IF(IFERROR(VLOOKUP($B2627,Dashboard!$Q$28:$S$60,3,FALSE),0)&gt;0,VLOOKUP($B2627,Dashboard!$Q$28:$S$60,3,FALSE),1))),0))</f>
        <v>3</v>
      </c>
      <c r="K2627" s="2" t="str">
        <f>IF('Base S1'!E58="","",'Base S1'!E58)</f>
        <v>C</v>
      </c>
      <c r="L2627" s="2">
        <f t="shared" si="533"/>
        <v>1</v>
      </c>
      <c r="M2627" s="2">
        <f t="shared" si="534"/>
        <v>0</v>
      </c>
      <c r="N2627" s="2">
        <f t="shared" si="535"/>
        <v>1</v>
      </c>
      <c r="O2627" s="2">
        <f t="shared" si="536"/>
        <v>0</v>
      </c>
      <c r="P2627" s="112">
        <f t="shared" si="537"/>
        <v>3</v>
      </c>
      <c r="Q2627" s="112">
        <f t="shared" si="538"/>
        <v>0</v>
      </c>
      <c r="R2627" s="53"/>
      <c r="S2627" s="53" t="str">
        <f t="shared" si="539"/>
        <v>Base S1|Gold Parallel - Season 1|57|Gold</v>
      </c>
      <c r="T2627" s="57" t="str">
        <f>IF($S2627="","",IFERROR(VLOOKUP($S2627,'Pop Estimates (Non-#d)'!$N$2:$O$500,2,FALSE),""))</f>
        <v/>
      </c>
      <c r="U2627" s="57" t="str">
        <f t="shared" si="540"/>
        <v/>
      </c>
      <c r="V2627" s="53" t="str">
        <f t="shared" si="541"/>
        <v/>
      </c>
      <c r="W2627" s="53" t="str">
        <f t="shared" si="542"/>
        <v/>
      </c>
      <c r="X2627" s="53" t="str">
        <f t="shared" si="543"/>
        <v/>
      </c>
      <c r="Y2627" s="57" t="str">
        <f>IF($X2627="","",IFERROR(VLOOKUP($X2627,'Char Popularity'!$A$2:$C$500,2,FALSE),""))</f>
        <v/>
      </c>
      <c r="Z2627" s="56">
        <f>IF($X2627="",1,IFERROR(VLOOKUP($X2627,'Char Popularity'!$A$2:$C$500,3,FALSE),1))</f>
        <v>1</v>
      </c>
      <c r="AA2627" s="62">
        <f>IF($H2627&lt;&gt;"Y",0,(IF($F2627&lt;&gt;"",ROUND(Dashboard!$R$4/$F2627,1),IF(AND($I2627="Base",$E2627="Base"),Dashboard!$R$5,IF(AND($I2627="Base",$E2627="Red"),Dashboard!$R$6,IF(AND($I2627="Base",$E2627="Gold"),Dashboard!$R$7,VLOOKUP($I2627,Dashboard!$Q$16:$R$21,2,FALSE)))))*VLOOKUP($I2627,Dashboard!$Q$9:$R$13,2,FALSE)*IF(AND($I2627="Auto",$F2627="",OR($B2627="Autographs Duals",$B2627="Autographs Triples",$B2627="Autographs Quads",$B2627="Autographs Quads (Inscribed)")),IF($B2627="Autographs Duals",2,IF($B2627="Autographs Triples",3,4)),1)))</f>
        <v>3</v>
      </c>
      <c r="AB2627" s="62">
        <f t="shared" si="544"/>
        <v>3</v>
      </c>
      <c r="AC2627" s="62">
        <f t="shared" si="545"/>
        <v>0</v>
      </c>
    </row>
    <row r="2628" spans="1:29" ht="28.7" customHeight="1" x14ac:dyDescent="0.25">
      <c r="A2628" s="4" t="s">
        <v>17</v>
      </c>
      <c r="B2628" s="7" t="s">
        <v>67</v>
      </c>
      <c r="C2628" s="2" t="s">
        <v>1457</v>
      </c>
      <c r="D2628" s="7" t="s">
        <v>957</v>
      </c>
      <c r="E2628" s="4" t="s">
        <v>1602</v>
      </c>
      <c r="F2628" s="2"/>
      <c r="G2628" s="2" t="s">
        <v>1399</v>
      </c>
      <c r="H2628" s="2" t="s">
        <v>1400</v>
      </c>
      <c r="I2628" s="4" t="s">
        <v>60</v>
      </c>
      <c r="J2628" s="112">
        <f>IF($H2628&lt;&gt;"Y",0,ROUND(MIN(Dashboard!$R$24,IF(IFERROR(VLOOKUP($B2628,Dashboard!$Q$28:$S$60,2,FALSE),0)&gt;0,IFERROR(VLOOKUP($B2628,Dashboard!$Q$28:$S$60,2,FALSE),0),$Z2628*IF($U2628&lt;&gt;"",ROUND((Dashboard!$R$4/$U2628)*VLOOKUP($I2628,Dashboard!$Q$9:$R$13,2,FALSE)*IF(ISNUMBER(SEARCH("Duals",$B2628)),2,IF(ISNUMBER(SEARCH("Triples",$B2628)),3,IF(ISNUMBER(SEARCH("Quads",$B2628)),4,1))),2),ROUND(VLOOKUP($I2628,Dashboard!$Q$15:$R$20,2,FALSE)*IF($E2628="Red",Dashboard!$R$6,IF($E2628="Gold",Dashboard!$R$7,Dashboard!$R$5))*IF(ISNUMBER(SEARCH("Duals",$B2628)),2,IF(ISNUMBER(SEARCH("Triples",$B2628)),3,IF(ISNUMBER(SEARCH("Quads",$B2628)),4,1))),2))*IF(IFERROR(VLOOKUP($B2628,Dashboard!$Q$28:$S$60,3,FALSE),0)&gt;0,VLOOKUP($B2628,Dashboard!$Q$28:$S$60,3,FALSE),1))),0))</f>
        <v>3</v>
      </c>
      <c r="K2628" s="2" t="str">
        <f>IF('Base S1'!E59="","",'Base S1'!E59)</f>
        <v>C</v>
      </c>
      <c r="L2628" s="2">
        <f t="shared" si="533"/>
        <v>1</v>
      </c>
      <c r="M2628" s="2">
        <f t="shared" si="534"/>
        <v>0</v>
      </c>
      <c r="N2628" s="2">
        <f t="shared" si="535"/>
        <v>1</v>
      </c>
      <c r="O2628" s="2">
        <f t="shared" si="536"/>
        <v>0</v>
      </c>
      <c r="P2628" s="112">
        <f t="shared" si="537"/>
        <v>3</v>
      </c>
      <c r="Q2628" s="112">
        <f t="shared" si="538"/>
        <v>0</v>
      </c>
      <c r="R2628" s="53"/>
      <c r="S2628" s="53" t="str">
        <f t="shared" si="539"/>
        <v>Base S1|Gold Parallel - Season 1|58|Gold</v>
      </c>
      <c r="T2628" s="57" t="str">
        <f>IF($S2628="","",IFERROR(VLOOKUP($S2628,'Pop Estimates (Non-#d)'!$N$2:$O$500,2,FALSE),""))</f>
        <v/>
      </c>
      <c r="U2628" s="57" t="str">
        <f t="shared" si="540"/>
        <v/>
      </c>
      <c r="V2628" s="53" t="str">
        <f t="shared" si="541"/>
        <v/>
      </c>
      <c r="W2628" s="53" t="str">
        <f t="shared" si="542"/>
        <v/>
      </c>
      <c r="X2628" s="53" t="str">
        <f t="shared" si="543"/>
        <v/>
      </c>
      <c r="Y2628" s="57" t="str">
        <f>IF($X2628="","",IFERROR(VLOOKUP($X2628,'Char Popularity'!$A$2:$C$500,2,FALSE),""))</f>
        <v/>
      </c>
      <c r="Z2628" s="56">
        <f>IF($X2628="",1,IFERROR(VLOOKUP($X2628,'Char Popularity'!$A$2:$C$500,3,FALSE),1))</f>
        <v>1</v>
      </c>
      <c r="AA2628" s="62">
        <f>IF($H2628&lt;&gt;"Y",0,(IF($F2628&lt;&gt;"",ROUND(Dashboard!$R$4/$F2628,1),IF(AND($I2628="Base",$E2628="Base"),Dashboard!$R$5,IF(AND($I2628="Base",$E2628="Red"),Dashboard!$R$6,IF(AND($I2628="Base",$E2628="Gold"),Dashboard!$R$7,VLOOKUP($I2628,Dashboard!$Q$16:$R$21,2,FALSE)))))*VLOOKUP($I2628,Dashboard!$Q$9:$R$13,2,FALSE)*IF(AND($I2628="Auto",$F2628="",OR($B2628="Autographs Duals",$B2628="Autographs Triples",$B2628="Autographs Quads",$B2628="Autographs Quads (Inscribed)")),IF($B2628="Autographs Duals",2,IF($B2628="Autographs Triples",3,4)),1)))</f>
        <v>3</v>
      </c>
      <c r="AB2628" s="62">
        <f t="shared" si="544"/>
        <v>3</v>
      </c>
      <c r="AC2628" s="62">
        <f t="shared" si="545"/>
        <v>0</v>
      </c>
    </row>
    <row r="2629" spans="1:29" ht="28.7" customHeight="1" x14ac:dyDescent="0.25">
      <c r="A2629" s="4" t="s">
        <v>17</v>
      </c>
      <c r="B2629" s="7" t="s">
        <v>67</v>
      </c>
      <c r="C2629" s="2" t="s">
        <v>1458</v>
      </c>
      <c r="D2629" s="7" t="s">
        <v>960</v>
      </c>
      <c r="E2629" s="4" t="s">
        <v>1602</v>
      </c>
      <c r="F2629" s="2"/>
      <c r="G2629" s="2" t="s">
        <v>1399</v>
      </c>
      <c r="H2629" s="2" t="s">
        <v>1400</v>
      </c>
      <c r="I2629" s="4" t="s">
        <v>60</v>
      </c>
      <c r="J2629" s="112">
        <f>IF($H2629&lt;&gt;"Y",0,ROUND(MIN(Dashboard!$R$24,IF(IFERROR(VLOOKUP($B2629,Dashboard!$Q$28:$S$60,2,FALSE),0)&gt;0,IFERROR(VLOOKUP($B2629,Dashboard!$Q$28:$S$60,2,FALSE),0),$Z2629*IF($U2629&lt;&gt;"",ROUND((Dashboard!$R$4/$U2629)*VLOOKUP($I2629,Dashboard!$Q$9:$R$13,2,FALSE)*IF(ISNUMBER(SEARCH("Duals",$B2629)),2,IF(ISNUMBER(SEARCH("Triples",$B2629)),3,IF(ISNUMBER(SEARCH("Quads",$B2629)),4,1))),2),ROUND(VLOOKUP($I2629,Dashboard!$Q$15:$R$20,2,FALSE)*IF($E2629="Red",Dashboard!$R$6,IF($E2629="Gold",Dashboard!$R$7,Dashboard!$R$5))*IF(ISNUMBER(SEARCH("Duals",$B2629)),2,IF(ISNUMBER(SEARCH("Triples",$B2629)),3,IF(ISNUMBER(SEARCH("Quads",$B2629)),4,1))),2))*IF(IFERROR(VLOOKUP($B2629,Dashboard!$Q$28:$S$60,3,FALSE),0)&gt;0,VLOOKUP($B2629,Dashboard!$Q$28:$S$60,3,FALSE),1))),0))</f>
        <v>3</v>
      </c>
      <c r="K2629" s="2" t="str">
        <f>IF('Base S1'!E60="","",'Base S1'!E60)</f>
        <v>C</v>
      </c>
      <c r="L2629" s="2">
        <f t="shared" si="533"/>
        <v>1</v>
      </c>
      <c r="M2629" s="2">
        <f t="shared" si="534"/>
        <v>0</v>
      </c>
      <c r="N2629" s="2">
        <f t="shared" si="535"/>
        <v>1</v>
      </c>
      <c r="O2629" s="2">
        <f t="shared" si="536"/>
        <v>0</v>
      </c>
      <c r="P2629" s="112">
        <f t="shared" si="537"/>
        <v>3</v>
      </c>
      <c r="Q2629" s="112">
        <f t="shared" si="538"/>
        <v>0</v>
      </c>
      <c r="R2629" s="53"/>
      <c r="S2629" s="53" t="str">
        <f t="shared" si="539"/>
        <v>Base S1|Gold Parallel - Season 1|59|Gold</v>
      </c>
      <c r="T2629" s="57" t="str">
        <f>IF($S2629="","",IFERROR(VLOOKUP($S2629,'Pop Estimates (Non-#d)'!$N$2:$O$500,2,FALSE),""))</f>
        <v/>
      </c>
      <c r="U2629" s="57" t="str">
        <f t="shared" si="540"/>
        <v/>
      </c>
      <c r="V2629" s="53" t="str">
        <f t="shared" si="541"/>
        <v/>
      </c>
      <c r="W2629" s="53" t="str">
        <f t="shared" si="542"/>
        <v/>
      </c>
      <c r="X2629" s="53" t="str">
        <f t="shared" si="543"/>
        <v/>
      </c>
      <c r="Y2629" s="57" t="str">
        <f>IF($X2629="","",IFERROR(VLOOKUP($X2629,'Char Popularity'!$A$2:$C$500,2,FALSE),""))</f>
        <v/>
      </c>
      <c r="Z2629" s="56">
        <f>IF($X2629="",1,IFERROR(VLOOKUP($X2629,'Char Popularity'!$A$2:$C$500,3,FALSE),1))</f>
        <v>1</v>
      </c>
      <c r="AA2629" s="62">
        <f>IF($H2629&lt;&gt;"Y",0,(IF($F2629&lt;&gt;"",ROUND(Dashboard!$R$4/$F2629,1),IF(AND($I2629="Base",$E2629="Base"),Dashboard!$R$5,IF(AND($I2629="Base",$E2629="Red"),Dashboard!$R$6,IF(AND($I2629="Base",$E2629="Gold"),Dashboard!$R$7,VLOOKUP($I2629,Dashboard!$Q$16:$R$21,2,FALSE)))))*VLOOKUP($I2629,Dashboard!$Q$9:$R$13,2,FALSE)*IF(AND($I2629="Auto",$F2629="",OR($B2629="Autographs Duals",$B2629="Autographs Triples",$B2629="Autographs Quads",$B2629="Autographs Quads (Inscribed)")),IF($B2629="Autographs Duals",2,IF($B2629="Autographs Triples",3,4)),1)))</f>
        <v>3</v>
      </c>
      <c r="AB2629" s="62">
        <f t="shared" si="544"/>
        <v>3</v>
      </c>
      <c r="AC2629" s="62">
        <f t="shared" si="545"/>
        <v>0</v>
      </c>
    </row>
    <row r="2630" spans="1:29" ht="28.7" customHeight="1" x14ac:dyDescent="0.25">
      <c r="A2630" s="4" t="s">
        <v>17</v>
      </c>
      <c r="B2630" s="7" t="s">
        <v>67</v>
      </c>
      <c r="C2630" s="2" t="s">
        <v>1459</v>
      </c>
      <c r="D2630" s="7" t="s">
        <v>961</v>
      </c>
      <c r="E2630" s="4" t="s">
        <v>1602</v>
      </c>
      <c r="F2630" s="2"/>
      <c r="G2630" s="2" t="s">
        <v>1399</v>
      </c>
      <c r="H2630" s="2" t="s">
        <v>1400</v>
      </c>
      <c r="I2630" s="4" t="s">
        <v>60</v>
      </c>
      <c r="J2630" s="112">
        <f>IF($H2630&lt;&gt;"Y",0,ROUND(MIN(Dashboard!$R$24,IF(IFERROR(VLOOKUP($B2630,Dashboard!$Q$28:$S$60,2,FALSE),0)&gt;0,IFERROR(VLOOKUP($B2630,Dashboard!$Q$28:$S$60,2,FALSE),0),$Z2630*IF($U2630&lt;&gt;"",ROUND((Dashboard!$R$4/$U2630)*VLOOKUP($I2630,Dashboard!$Q$9:$R$13,2,FALSE)*IF(ISNUMBER(SEARCH("Duals",$B2630)),2,IF(ISNUMBER(SEARCH("Triples",$B2630)),3,IF(ISNUMBER(SEARCH("Quads",$B2630)),4,1))),2),ROUND(VLOOKUP($I2630,Dashboard!$Q$15:$R$20,2,FALSE)*IF($E2630="Red",Dashboard!$R$6,IF($E2630="Gold",Dashboard!$R$7,Dashboard!$R$5))*IF(ISNUMBER(SEARCH("Duals",$B2630)),2,IF(ISNUMBER(SEARCH("Triples",$B2630)),3,IF(ISNUMBER(SEARCH("Quads",$B2630)),4,1))),2))*IF(IFERROR(VLOOKUP($B2630,Dashboard!$Q$28:$S$60,3,FALSE),0)&gt;0,VLOOKUP($B2630,Dashboard!$Q$28:$S$60,3,FALSE),1))),0))</f>
        <v>3</v>
      </c>
      <c r="K2630" s="2" t="str">
        <f>IF('Base S1'!E61="","",'Base S1'!E61)</f>
        <v>C</v>
      </c>
      <c r="L2630" s="2">
        <f t="shared" si="533"/>
        <v>1</v>
      </c>
      <c r="M2630" s="2">
        <f t="shared" si="534"/>
        <v>0</v>
      </c>
      <c r="N2630" s="2">
        <f t="shared" si="535"/>
        <v>1</v>
      </c>
      <c r="O2630" s="2">
        <f t="shared" si="536"/>
        <v>0</v>
      </c>
      <c r="P2630" s="112">
        <f t="shared" si="537"/>
        <v>3</v>
      </c>
      <c r="Q2630" s="112">
        <f t="shared" si="538"/>
        <v>0</v>
      </c>
      <c r="R2630" s="53"/>
      <c r="S2630" s="53" t="str">
        <f t="shared" si="539"/>
        <v>Base S1|Gold Parallel - Season 1|60|Gold</v>
      </c>
      <c r="T2630" s="57" t="str">
        <f>IF($S2630="","",IFERROR(VLOOKUP($S2630,'Pop Estimates (Non-#d)'!$N$2:$O$500,2,FALSE),""))</f>
        <v/>
      </c>
      <c r="U2630" s="57" t="str">
        <f t="shared" si="540"/>
        <v/>
      </c>
      <c r="V2630" s="53" t="str">
        <f t="shared" si="541"/>
        <v/>
      </c>
      <c r="W2630" s="53" t="str">
        <f t="shared" si="542"/>
        <v/>
      </c>
      <c r="X2630" s="53" t="str">
        <f t="shared" si="543"/>
        <v/>
      </c>
      <c r="Y2630" s="57" t="str">
        <f>IF($X2630="","",IFERROR(VLOOKUP($X2630,'Char Popularity'!$A$2:$C$500,2,FALSE),""))</f>
        <v/>
      </c>
      <c r="Z2630" s="56">
        <f>IF($X2630="",1,IFERROR(VLOOKUP($X2630,'Char Popularity'!$A$2:$C$500,3,FALSE),1))</f>
        <v>1</v>
      </c>
      <c r="AA2630" s="62">
        <f>IF($H2630&lt;&gt;"Y",0,(IF($F2630&lt;&gt;"",ROUND(Dashboard!$R$4/$F2630,1),IF(AND($I2630="Base",$E2630="Base"),Dashboard!$R$5,IF(AND($I2630="Base",$E2630="Red"),Dashboard!$R$6,IF(AND($I2630="Base",$E2630="Gold"),Dashboard!$R$7,VLOOKUP($I2630,Dashboard!$Q$16:$R$21,2,FALSE)))))*VLOOKUP($I2630,Dashboard!$Q$9:$R$13,2,FALSE)*IF(AND($I2630="Auto",$F2630="",OR($B2630="Autographs Duals",$B2630="Autographs Triples",$B2630="Autographs Quads",$B2630="Autographs Quads (Inscribed)")),IF($B2630="Autographs Duals",2,IF($B2630="Autographs Triples",3,4)),1)))</f>
        <v>3</v>
      </c>
      <c r="AB2630" s="62">
        <f t="shared" si="544"/>
        <v>3</v>
      </c>
      <c r="AC2630" s="62">
        <f t="shared" si="545"/>
        <v>0</v>
      </c>
    </row>
    <row r="2631" spans="1:29" ht="28.7" customHeight="1" x14ac:dyDescent="0.25">
      <c r="A2631" s="4" t="s">
        <v>17</v>
      </c>
      <c r="B2631" s="7" t="s">
        <v>67</v>
      </c>
      <c r="C2631" s="2" t="s">
        <v>1460</v>
      </c>
      <c r="D2631" s="7" t="s">
        <v>962</v>
      </c>
      <c r="E2631" s="4" t="s">
        <v>1602</v>
      </c>
      <c r="F2631" s="2"/>
      <c r="G2631" s="2" t="s">
        <v>1399</v>
      </c>
      <c r="H2631" s="2" t="s">
        <v>1400</v>
      </c>
      <c r="I2631" s="4" t="s">
        <v>60</v>
      </c>
      <c r="J2631" s="112">
        <f>IF($H2631&lt;&gt;"Y",0,ROUND(MIN(Dashboard!$R$24,IF(IFERROR(VLOOKUP($B2631,Dashboard!$Q$28:$S$60,2,FALSE),0)&gt;0,IFERROR(VLOOKUP($B2631,Dashboard!$Q$28:$S$60,2,FALSE),0),$Z2631*IF($U2631&lt;&gt;"",ROUND((Dashboard!$R$4/$U2631)*VLOOKUP($I2631,Dashboard!$Q$9:$R$13,2,FALSE)*IF(ISNUMBER(SEARCH("Duals",$B2631)),2,IF(ISNUMBER(SEARCH("Triples",$B2631)),3,IF(ISNUMBER(SEARCH("Quads",$B2631)),4,1))),2),ROUND(VLOOKUP($I2631,Dashboard!$Q$15:$R$20,2,FALSE)*IF($E2631="Red",Dashboard!$R$6,IF($E2631="Gold",Dashboard!$R$7,Dashboard!$R$5))*IF(ISNUMBER(SEARCH("Duals",$B2631)),2,IF(ISNUMBER(SEARCH("Triples",$B2631)),3,IF(ISNUMBER(SEARCH("Quads",$B2631)),4,1))),2))*IF(IFERROR(VLOOKUP($B2631,Dashboard!$Q$28:$S$60,3,FALSE),0)&gt;0,VLOOKUP($B2631,Dashboard!$Q$28:$S$60,3,FALSE),1))),0))</f>
        <v>3</v>
      </c>
      <c r="K2631" s="2" t="str">
        <f>IF('Base S1'!E62="","",'Base S1'!E62)</f>
        <v>C</v>
      </c>
      <c r="L2631" s="2">
        <f t="shared" si="533"/>
        <v>1</v>
      </c>
      <c r="M2631" s="2">
        <f t="shared" si="534"/>
        <v>0</v>
      </c>
      <c r="N2631" s="2">
        <f t="shared" si="535"/>
        <v>1</v>
      </c>
      <c r="O2631" s="2">
        <f t="shared" si="536"/>
        <v>0</v>
      </c>
      <c r="P2631" s="112">
        <f t="shared" si="537"/>
        <v>3</v>
      </c>
      <c r="Q2631" s="112">
        <f t="shared" si="538"/>
        <v>0</v>
      </c>
      <c r="R2631" s="53"/>
      <c r="S2631" s="53" t="str">
        <f t="shared" si="539"/>
        <v>Base S1|Gold Parallel - Season 1|61|Gold</v>
      </c>
      <c r="T2631" s="57" t="str">
        <f>IF($S2631="","",IFERROR(VLOOKUP($S2631,'Pop Estimates (Non-#d)'!$N$2:$O$500,2,FALSE),""))</f>
        <v/>
      </c>
      <c r="U2631" s="57" t="str">
        <f t="shared" si="540"/>
        <v/>
      </c>
      <c r="V2631" s="53" t="str">
        <f t="shared" si="541"/>
        <v/>
      </c>
      <c r="W2631" s="53" t="str">
        <f t="shared" si="542"/>
        <v/>
      </c>
      <c r="X2631" s="53" t="str">
        <f t="shared" si="543"/>
        <v/>
      </c>
      <c r="Y2631" s="57" t="str">
        <f>IF($X2631="","",IFERROR(VLOOKUP($X2631,'Char Popularity'!$A$2:$C$500,2,FALSE),""))</f>
        <v/>
      </c>
      <c r="Z2631" s="56">
        <f>IF($X2631="",1,IFERROR(VLOOKUP($X2631,'Char Popularity'!$A$2:$C$500,3,FALSE),1))</f>
        <v>1</v>
      </c>
      <c r="AA2631" s="62">
        <f>IF($H2631&lt;&gt;"Y",0,(IF($F2631&lt;&gt;"",ROUND(Dashboard!$R$4/$F2631,1),IF(AND($I2631="Base",$E2631="Base"),Dashboard!$R$5,IF(AND($I2631="Base",$E2631="Red"),Dashboard!$R$6,IF(AND($I2631="Base",$E2631="Gold"),Dashboard!$R$7,VLOOKUP($I2631,Dashboard!$Q$16:$R$21,2,FALSE)))))*VLOOKUP($I2631,Dashboard!$Q$9:$R$13,2,FALSE)*IF(AND($I2631="Auto",$F2631="",OR($B2631="Autographs Duals",$B2631="Autographs Triples",$B2631="Autographs Quads",$B2631="Autographs Quads (Inscribed)")),IF($B2631="Autographs Duals",2,IF($B2631="Autographs Triples",3,4)),1)))</f>
        <v>3</v>
      </c>
      <c r="AB2631" s="62">
        <f t="shared" si="544"/>
        <v>3</v>
      </c>
      <c r="AC2631" s="62">
        <f t="shared" si="545"/>
        <v>0</v>
      </c>
    </row>
    <row r="2632" spans="1:29" ht="28.7" customHeight="1" x14ac:dyDescent="0.25">
      <c r="A2632" s="4" t="s">
        <v>17</v>
      </c>
      <c r="B2632" s="7" t="s">
        <v>67</v>
      </c>
      <c r="C2632" s="2" t="s">
        <v>1461</v>
      </c>
      <c r="D2632" s="7" t="s">
        <v>963</v>
      </c>
      <c r="E2632" s="4" t="s">
        <v>1602</v>
      </c>
      <c r="F2632" s="2"/>
      <c r="G2632" s="2" t="s">
        <v>1399</v>
      </c>
      <c r="H2632" s="2" t="s">
        <v>1400</v>
      </c>
      <c r="I2632" s="4" t="s">
        <v>60</v>
      </c>
      <c r="J2632" s="112">
        <f>IF($H2632&lt;&gt;"Y",0,ROUND(MIN(Dashboard!$R$24,IF(IFERROR(VLOOKUP($B2632,Dashboard!$Q$28:$S$60,2,FALSE),0)&gt;0,IFERROR(VLOOKUP($B2632,Dashboard!$Q$28:$S$60,2,FALSE),0),$Z2632*IF($U2632&lt;&gt;"",ROUND((Dashboard!$R$4/$U2632)*VLOOKUP($I2632,Dashboard!$Q$9:$R$13,2,FALSE)*IF(ISNUMBER(SEARCH("Duals",$B2632)),2,IF(ISNUMBER(SEARCH("Triples",$B2632)),3,IF(ISNUMBER(SEARCH("Quads",$B2632)),4,1))),2),ROUND(VLOOKUP($I2632,Dashboard!$Q$15:$R$20,2,FALSE)*IF($E2632="Red",Dashboard!$R$6,IF($E2632="Gold",Dashboard!$R$7,Dashboard!$R$5))*IF(ISNUMBER(SEARCH("Duals",$B2632)),2,IF(ISNUMBER(SEARCH("Triples",$B2632)),3,IF(ISNUMBER(SEARCH("Quads",$B2632)),4,1))),2))*IF(IFERROR(VLOOKUP($B2632,Dashboard!$Q$28:$S$60,3,FALSE),0)&gt;0,VLOOKUP($B2632,Dashboard!$Q$28:$S$60,3,FALSE),1))),0))</f>
        <v>3</v>
      </c>
      <c r="K2632" s="2" t="str">
        <f>IF('Base S1'!E63="","",'Base S1'!E63)</f>
        <v>C</v>
      </c>
      <c r="L2632" s="2">
        <f t="shared" si="533"/>
        <v>1</v>
      </c>
      <c r="M2632" s="2">
        <f t="shared" si="534"/>
        <v>0</v>
      </c>
      <c r="N2632" s="2">
        <f t="shared" si="535"/>
        <v>1</v>
      </c>
      <c r="O2632" s="2">
        <f t="shared" si="536"/>
        <v>0</v>
      </c>
      <c r="P2632" s="112">
        <f t="shared" si="537"/>
        <v>3</v>
      </c>
      <c r="Q2632" s="112">
        <f t="shared" si="538"/>
        <v>0</v>
      </c>
      <c r="R2632" s="53"/>
      <c r="S2632" s="53" t="str">
        <f t="shared" si="539"/>
        <v>Base S1|Gold Parallel - Season 1|62|Gold</v>
      </c>
      <c r="T2632" s="57" t="str">
        <f>IF($S2632="","",IFERROR(VLOOKUP($S2632,'Pop Estimates (Non-#d)'!$N$2:$O$500,2,FALSE),""))</f>
        <v/>
      </c>
      <c r="U2632" s="57" t="str">
        <f t="shared" si="540"/>
        <v/>
      </c>
      <c r="V2632" s="53" t="str">
        <f t="shared" si="541"/>
        <v/>
      </c>
      <c r="W2632" s="53" t="str">
        <f t="shared" si="542"/>
        <v/>
      </c>
      <c r="X2632" s="53" t="str">
        <f t="shared" si="543"/>
        <v/>
      </c>
      <c r="Y2632" s="57" t="str">
        <f>IF($X2632="","",IFERROR(VLOOKUP($X2632,'Char Popularity'!$A$2:$C$500,2,FALSE),""))</f>
        <v/>
      </c>
      <c r="Z2632" s="56">
        <f>IF($X2632="",1,IFERROR(VLOOKUP($X2632,'Char Popularity'!$A$2:$C$500,3,FALSE),1))</f>
        <v>1</v>
      </c>
      <c r="AA2632" s="62">
        <f>IF($H2632&lt;&gt;"Y",0,(IF($F2632&lt;&gt;"",ROUND(Dashboard!$R$4/$F2632,1),IF(AND($I2632="Base",$E2632="Base"),Dashboard!$R$5,IF(AND($I2632="Base",$E2632="Red"),Dashboard!$R$6,IF(AND($I2632="Base",$E2632="Gold"),Dashboard!$R$7,VLOOKUP($I2632,Dashboard!$Q$16:$R$21,2,FALSE)))))*VLOOKUP($I2632,Dashboard!$Q$9:$R$13,2,FALSE)*IF(AND($I2632="Auto",$F2632="",OR($B2632="Autographs Duals",$B2632="Autographs Triples",$B2632="Autographs Quads",$B2632="Autographs Quads (Inscribed)")),IF($B2632="Autographs Duals",2,IF($B2632="Autographs Triples",3,4)),1)))</f>
        <v>3</v>
      </c>
      <c r="AB2632" s="62">
        <f t="shared" si="544"/>
        <v>3</v>
      </c>
      <c r="AC2632" s="62">
        <f t="shared" si="545"/>
        <v>0</v>
      </c>
    </row>
    <row r="2633" spans="1:29" ht="28.7" customHeight="1" x14ac:dyDescent="0.25">
      <c r="A2633" s="4" t="s">
        <v>17</v>
      </c>
      <c r="B2633" s="7" t="s">
        <v>67</v>
      </c>
      <c r="C2633" s="2" t="s">
        <v>1462</v>
      </c>
      <c r="D2633" s="7" t="s">
        <v>966</v>
      </c>
      <c r="E2633" s="4" t="s">
        <v>1602</v>
      </c>
      <c r="F2633" s="2"/>
      <c r="G2633" s="2" t="s">
        <v>1399</v>
      </c>
      <c r="H2633" s="2" t="s">
        <v>1400</v>
      </c>
      <c r="I2633" s="4" t="s">
        <v>60</v>
      </c>
      <c r="J2633" s="112">
        <f>IF($H2633&lt;&gt;"Y",0,ROUND(MIN(Dashboard!$R$24,IF(IFERROR(VLOOKUP($B2633,Dashboard!$Q$28:$S$60,2,FALSE),0)&gt;0,IFERROR(VLOOKUP($B2633,Dashboard!$Q$28:$S$60,2,FALSE),0),$Z2633*IF($U2633&lt;&gt;"",ROUND((Dashboard!$R$4/$U2633)*VLOOKUP($I2633,Dashboard!$Q$9:$R$13,2,FALSE)*IF(ISNUMBER(SEARCH("Duals",$B2633)),2,IF(ISNUMBER(SEARCH("Triples",$B2633)),3,IF(ISNUMBER(SEARCH("Quads",$B2633)),4,1))),2),ROUND(VLOOKUP($I2633,Dashboard!$Q$15:$R$20,2,FALSE)*IF($E2633="Red",Dashboard!$R$6,IF($E2633="Gold",Dashboard!$R$7,Dashboard!$R$5))*IF(ISNUMBER(SEARCH("Duals",$B2633)),2,IF(ISNUMBER(SEARCH("Triples",$B2633)),3,IF(ISNUMBER(SEARCH("Quads",$B2633)),4,1))),2))*IF(IFERROR(VLOOKUP($B2633,Dashboard!$Q$28:$S$60,3,FALSE),0)&gt;0,VLOOKUP($B2633,Dashboard!$Q$28:$S$60,3,FALSE),1))),0))</f>
        <v>3</v>
      </c>
      <c r="K2633" s="2" t="str">
        <f>IF('Base S1'!E64="","",'Base S1'!E64)</f>
        <v>C</v>
      </c>
      <c r="L2633" s="2">
        <f t="shared" si="533"/>
        <v>1</v>
      </c>
      <c r="M2633" s="2">
        <f t="shared" si="534"/>
        <v>0</v>
      </c>
      <c r="N2633" s="2">
        <f t="shared" si="535"/>
        <v>1</v>
      </c>
      <c r="O2633" s="2">
        <f t="shared" si="536"/>
        <v>0</v>
      </c>
      <c r="P2633" s="112">
        <f t="shared" si="537"/>
        <v>3</v>
      </c>
      <c r="Q2633" s="112">
        <f t="shared" si="538"/>
        <v>0</v>
      </c>
      <c r="R2633" s="53"/>
      <c r="S2633" s="53" t="str">
        <f t="shared" si="539"/>
        <v>Base S1|Gold Parallel - Season 1|63|Gold</v>
      </c>
      <c r="T2633" s="57" t="str">
        <f>IF($S2633="","",IFERROR(VLOOKUP($S2633,'Pop Estimates (Non-#d)'!$N$2:$O$500,2,FALSE),""))</f>
        <v/>
      </c>
      <c r="U2633" s="57" t="str">
        <f t="shared" si="540"/>
        <v/>
      </c>
      <c r="V2633" s="53" t="str">
        <f t="shared" si="541"/>
        <v/>
      </c>
      <c r="W2633" s="53" t="str">
        <f t="shared" si="542"/>
        <v/>
      </c>
      <c r="X2633" s="53" t="str">
        <f t="shared" si="543"/>
        <v/>
      </c>
      <c r="Y2633" s="57" t="str">
        <f>IF($X2633="","",IFERROR(VLOOKUP($X2633,'Char Popularity'!$A$2:$C$500,2,FALSE),""))</f>
        <v/>
      </c>
      <c r="Z2633" s="56">
        <f>IF($X2633="",1,IFERROR(VLOOKUP($X2633,'Char Popularity'!$A$2:$C$500,3,FALSE),1))</f>
        <v>1</v>
      </c>
      <c r="AA2633" s="62">
        <f>IF($H2633&lt;&gt;"Y",0,(IF($F2633&lt;&gt;"",ROUND(Dashboard!$R$4/$F2633,1),IF(AND($I2633="Base",$E2633="Base"),Dashboard!$R$5,IF(AND($I2633="Base",$E2633="Red"),Dashboard!$R$6,IF(AND($I2633="Base",$E2633="Gold"),Dashboard!$R$7,VLOOKUP($I2633,Dashboard!$Q$16:$R$21,2,FALSE)))))*VLOOKUP($I2633,Dashboard!$Q$9:$R$13,2,FALSE)*IF(AND($I2633="Auto",$F2633="",OR($B2633="Autographs Duals",$B2633="Autographs Triples",$B2633="Autographs Quads",$B2633="Autographs Quads (Inscribed)")),IF($B2633="Autographs Duals",2,IF($B2633="Autographs Triples",3,4)),1)))</f>
        <v>3</v>
      </c>
      <c r="AB2633" s="62">
        <f t="shared" si="544"/>
        <v>3</v>
      </c>
      <c r="AC2633" s="62">
        <f t="shared" si="545"/>
        <v>0</v>
      </c>
    </row>
    <row r="2634" spans="1:29" ht="28.7" customHeight="1" x14ac:dyDescent="0.25">
      <c r="A2634" s="4" t="s">
        <v>17</v>
      </c>
      <c r="B2634" s="7" t="s">
        <v>67</v>
      </c>
      <c r="C2634" s="2" t="s">
        <v>1463</v>
      </c>
      <c r="D2634" s="7" t="s">
        <v>968</v>
      </c>
      <c r="E2634" s="4" t="s">
        <v>1602</v>
      </c>
      <c r="F2634" s="2"/>
      <c r="G2634" s="2" t="s">
        <v>1399</v>
      </c>
      <c r="H2634" s="2" t="s">
        <v>1400</v>
      </c>
      <c r="I2634" s="4" t="s">
        <v>60</v>
      </c>
      <c r="J2634" s="112">
        <f>IF($H2634&lt;&gt;"Y",0,ROUND(MIN(Dashboard!$R$24,IF(IFERROR(VLOOKUP($B2634,Dashboard!$Q$28:$S$60,2,FALSE),0)&gt;0,IFERROR(VLOOKUP($B2634,Dashboard!$Q$28:$S$60,2,FALSE),0),$Z2634*IF($U2634&lt;&gt;"",ROUND((Dashboard!$R$4/$U2634)*VLOOKUP($I2634,Dashboard!$Q$9:$R$13,2,FALSE)*IF(ISNUMBER(SEARCH("Duals",$B2634)),2,IF(ISNUMBER(SEARCH("Triples",$B2634)),3,IF(ISNUMBER(SEARCH("Quads",$B2634)),4,1))),2),ROUND(VLOOKUP($I2634,Dashboard!$Q$15:$R$20,2,FALSE)*IF($E2634="Red",Dashboard!$R$6,IF($E2634="Gold",Dashboard!$R$7,Dashboard!$R$5))*IF(ISNUMBER(SEARCH("Duals",$B2634)),2,IF(ISNUMBER(SEARCH("Triples",$B2634)),3,IF(ISNUMBER(SEARCH("Quads",$B2634)),4,1))),2))*IF(IFERROR(VLOOKUP($B2634,Dashboard!$Q$28:$S$60,3,FALSE),0)&gt;0,VLOOKUP($B2634,Dashboard!$Q$28:$S$60,3,FALSE),1))),0))</f>
        <v>3</v>
      </c>
      <c r="K2634" s="2" t="str">
        <f>IF('Base S1'!E65="","",'Base S1'!E65)</f>
        <v>C</v>
      </c>
      <c r="L2634" s="2">
        <f t="shared" si="533"/>
        <v>1</v>
      </c>
      <c r="M2634" s="2">
        <f t="shared" si="534"/>
        <v>0</v>
      </c>
      <c r="N2634" s="2">
        <f t="shared" si="535"/>
        <v>1</v>
      </c>
      <c r="O2634" s="2">
        <f t="shared" si="536"/>
        <v>0</v>
      </c>
      <c r="P2634" s="112">
        <f t="shared" si="537"/>
        <v>3</v>
      </c>
      <c r="Q2634" s="112">
        <f t="shared" si="538"/>
        <v>0</v>
      </c>
      <c r="R2634" s="53"/>
      <c r="S2634" s="53" t="str">
        <f t="shared" si="539"/>
        <v>Base S1|Gold Parallel - Season 1|64|Gold</v>
      </c>
      <c r="T2634" s="57" t="str">
        <f>IF($S2634="","",IFERROR(VLOOKUP($S2634,'Pop Estimates (Non-#d)'!$N$2:$O$500,2,FALSE),""))</f>
        <v/>
      </c>
      <c r="U2634" s="57" t="str">
        <f t="shared" si="540"/>
        <v/>
      </c>
      <c r="V2634" s="53" t="str">
        <f t="shared" si="541"/>
        <v/>
      </c>
      <c r="W2634" s="53" t="str">
        <f t="shared" si="542"/>
        <v/>
      </c>
      <c r="X2634" s="53" t="str">
        <f t="shared" si="543"/>
        <v/>
      </c>
      <c r="Y2634" s="57" t="str">
        <f>IF($X2634="","",IFERROR(VLOOKUP($X2634,'Char Popularity'!$A$2:$C$500,2,FALSE),""))</f>
        <v/>
      </c>
      <c r="Z2634" s="56">
        <f>IF($X2634="",1,IFERROR(VLOOKUP($X2634,'Char Popularity'!$A$2:$C$500,3,FALSE),1))</f>
        <v>1</v>
      </c>
      <c r="AA2634" s="62">
        <f>IF($H2634&lt;&gt;"Y",0,(IF($F2634&lt;&gt;"",ROUND(Dashboard!$R$4/$F2634,1),IF(AND($I2634="Base",$E2634="Base"),Dashboard!$R$5,IF(AND($I2634="Base",$E2634="Red"),Dashboard!$R$6,IF(AND($I2634="Base",$E2634="Gold"),Dashboard!$R$7,VLOOKUP($I2634,Dashboard!$Q$16:$R$21,2,FALSE)))))*VLOOKUP($I2634,Dashboard!$Q$9:$R$13,2,FALSE)*IF(AND($I2634="Auto",$F2634="",OR($B2634="Autographs Duals",$B2634="Autographs Triples",$B2634="Autographs Quads",$B2634="Autographs Quads (Inscribed)")),IF($B2634="Autographs Duals",2,IF($B2634="Autographs Triples",3,4)),1)))</f>
        <v>3</v>
      </c>
      <c r="AB2634" s="62">
        <f t="shared" si="544"/>
        <v>3</v>
      </c>
      <c r="AC2634" s="62">
        <f t="shared" si="545"/>
        <v>0</v>
      </c>
    </row>
    <row r="2635" spans="1:29" ht="28.7" customHeight="1" x14ac:dyDescent="0.25">
      <c r="A2635" s="4" t="s">
        <v>17</v>
      </c>
      <c r="B2635" s="7" t="s">
        <v>67</v>
      </c>
      <c r="C2635" s="2" t="s">
        <v>1464</v>
      </c>
      <c r="D2635" s="7" t="s">
        <v>971</v>
      </c>
      <c r="E2635" s="4" t="s">
        <v>1602</v>
      </c>
      <c r="F2635" s="2"/>
      <c r="G2635" s="2" t="s">
        <v>1399</v>
      </c>
      <c r="H2635" s="2" t="s">
        <v>1400</v>
      </c>
      <c r="I2635" s="4" t="s">
        <v>60</v>
      </c>
      <c r="J2635" s="112">
        <f>IF($H2635&lt;&gt;"Y",0,ROUND(MIN(Dashboard!$R$24,IF(IFERROR(VLOOKUP($B2635,Dashboard!$Q$28:$S$60,2,FALSE),0)&gt;0,IFERROR(VLOOKUP($B2635,Dashboard!$Q$28:$S$60,2,FALSE),0),$Z2635*IF($U2635&lt;&gt;"",ROUND((Dashboard!$R$4/$U2635)*VLOOKUP($I2635,Dashboard!$Q$9:$R$13,2,FALSE)*IF(ISNUMBER(SEARCH("Duals",$B2635)),2,IF(ISNUMBER(SEARCH("Triples",$B2635)),3,IF(ISNUMBER(SEARCH("Quads",$B2635)),4,1))),2),ROUND(VLOOKUP($I2635,Dashboard!$Q$15:$R$20,2,FALSE)*IF($E2635="Red",Dashboard!$R$6,IF($E2635="Gold",Dashboard!$R$7,Dashboard!$R$5))*IF(ISNUMBER(SEARCH("Duals",$B2635)),2,IF(ISNUMBER(SEARCH("Triples",$B2635)),3,IF(ISNUMBER(SEARCH("Quads",$B2635)),4,1))),2))*IF(IFERROR(VLOOKUP($B2635,Dashboard!$Q$28:$S$60,3,FALSE),0)&gt;0,VLOOKUP($B2635,Dashboard!$Q$28:$S$60,3,FALSE),1))),0))</f>
        <v>3</v>
      </c>
      <c r="K2635" s="2" t="str">
        <f>IF('Base S1'!E66="","",'Base S1'!E66)</f>
        <v>C</v>
      </c>
      <c r="L2635" s="2">
        <f t="shared" ref="L2635:L2698" si="546">IF(AND($K2635&lt;&gt;"",LEFT($K2635,1)&lt;&gt;"Y"),1,0)</f>
        <v>1</v>
      </c>
      <c r="M2635" s="2">
        <f t="shared" ref="M2635:M2698" si="547">IF(LEFT($K2635,1)="Y",1,0)</f>
        <v>0</v>
      </c>
      <c r="N2635" s="2">
        <f t="shared" ref="N2635:N2698" si="548">$L2635+$M2635</f>
        <v>1</v>
      </c>
      <c r="O2635" s="2">
        <f t="shared" ref="O2635:O2698" si="549">IF($H2635="Y",1-$N2635,0)</f>
        <v>0</v>
      </c>
      <c r="P2635" s="112">
        <f t="shared" ref="P2635:P2698" si="550">IF($L2635=1,$J2635,0)</f>
        <v>3</v>
      </c>
      <c r="Q2635" s="112">
        <f t="shared" ref="Q2635:Q2698" si="551">IF($M2635=1,$J2635,0)</f>
        <v>0</v>
      </c>
      <c r="R2635" s="53"/>
      <c r="S2635" s="53" t="str">
        <f t="shared" si="539"/>
        <v>Base S1|Gold Parallel - Season 1|65|Gold</v>
      </c>
      <c r="T2635" s="57" t="str">
        <f>IF($S2635="","",IFERROR(VLOOKUP($S2635,'Pop Estimates (Non-#d)'!$N$2:$O$500,2,FALSE),""))</f>
        <v/>
      </c>
      <c r="U2635" s="57" t="str">
        <f t="shared" si="540"/>
        <v/>
      </c>
      <c r="V2635" s="53" t="str">
        <f t="shared" si="541"/>
        <v/>
      </c>
      <c r="W2635" s="53" t="str">
        <f t="shared" si="542"/>
        <v/>
      </c>
      <c r="X2635" s="53" t="str">
        <f t="shared" si="543"/>
        <v/>
      </c>
      <c r="Y2635" s="57" t="str">
        <f>IF($X2635="","",IFERROR(VLOOKUP($X2635,'Char Popularity'!$A$2:$C$500,2,FALSE),""))</f>
        <v/>
      </c>
      <c r="Z2635" s="56">
        <f>IF($X2635="",1,IFERROR(VLOOKUP($X2635,'Char Popularity'!$A$2:$C$500,3,FALSE),1))</f>
        <v>1</v>
      </c>
      <c r="AA2635" s="62">
        <f>IF($H2635&lt;&gt;"Y",0,(IF($F2635&lt;&gt;"",ROUND(Dashboard!$R$4/$F2635,1),IF(AND($I2635="Base",$E2635="Base"),Dashboard!$R$5,IF(AND($I2635="Base",$E2635="Red"),Dashboard!$R$6,IF(AND($I2635="Base",$E2635="Gold"),Dashboard!$R$7,VLOOKUP($I2635,Dashboard!$Q$16:$R$21,2,FALSE)))))*VLOOKUP($I2635,Dashboard!$Q$9:$R$13,2,FALSE)*IF(AND($I2635="Auto",$F2635="",OR($B2635="Autographs Duals",$B2635="Autographs Triples",$B2635="Autographs Quads",$B2635="Autographs Quads (Inscribed)")),IF($B2635="Autographs Duals",2,IF($B2635="Autographs Triples",3,4)),1)))</f>
        <v>3</v>
      </c>
      <c r="AB2635" s="62">
        <f t="shared" si="544"/>
        <v>3</v>
      </c>
      <c r="AC2635" s="62">
        <f t="shared" si="545"/>
        <v>0</v>
      </c>
    </row>
    <row r="2636" spans="1:29" ht="28.7" customHeight="1" x14ac:dyDescent="0.25">
      <c r="A2636" s="4" t="s">
        <v>17</v>
      </c>
      <c r="B2636" s="7" t="s">
        <v>67</v>
      </c>
      <c r="C2636" s="2" t="s">
        <v>1465</v>
      </c>
      <c r="D2636" s="7" t="s">
        <v>973</v>
      </c>
      <c r="E2636" s="4" t="s">
        <v>1602</v>
      </c>
      <c r="F2636" s="2"/>
      <c r="G2636" s="2" t="s">
        <v>1399</v>
      </c>
      <c r="H2636" s="2" t="s">
        <v>1400</v>
      </c>
      <c r="I2636" s="4" t="s">
        <v>60</v>
      </c>
      <c r="J2636" s="112">
        <f>IF($H2636&lt;&gt;"Y",0,ROUND(MIN(Dashboard!$R$24,IF(IFERROR(VLOOKUP($B2636,Dashboard!$Q$28:$S$60,2,FALSE),0)&gt;0,IFERROR(VLOOKUP($B2636,Dashboard!$Q$28:$S$60,2,FALSE),0),$Z2636*IF($U2636&lt;&gt;"",ROUND((Dashboard!$R$4/$U2636)*VLOOKUP($I2636,Dashboard!$Q$9:$R$13,2,FALSE)*IF(ISNUMBER(SEARCH("Duals",$B2636)),2,IF(ISNUMBER(SEARCH("Triples",$B2636)),3,IF(ISNUMBER(SEARCH("Quads",$B2636)),4,1))),2),ROUND(VLOOKUP($I2636,Dashboard!$Q$15:$R$20,2,FALSE)*IF($E2636="Red",Dashboard!$R$6,IF($E2636="Gold",Dashboard!$R$7,Dashboard!$R$5))*IF(ISNUMBER(SEARCH("Duals",$B2636)),2,IF(ISNUMBER(SEARCH("Triples",$B2636)),3,IF(ISNUMBER(SEARCH("Quads",$B2636)),4,1))),2))*IF(IFERROR(VLOOKUP($B2636,Dashboard!$Q$28:$S$60,3,FALSE),0)&gt;0,VLOOKUP($B2636,Dashboard!$Q$28:$S$60,3,FALSE),1))),0))</f>
        <v>3</v>
      </c>
      <c r="K2636" s="2" t="str">
        <f>IF('Base S1'!E67="","",'Base S1'!E67)</f>
        <v>C</v>
      </c>
      <c r="L2636" s="2">
        <f t="shared" si="546"/>
        <v>1</v>
      </c>
      <c r="M2636" s="2">
        <f t="shared" si="547"/>
        <v>0</v>
      </c>
      <c r="N2636" s="2">
        <f t="shared" si="548"/>
        <v>1</v>
      </c>
      <c r="O2636" s="2">
        <f t="shared" si="549"/>
        <v>0</v>
      </c>
      <c r="P2636" s="112">
        <f t="shared" si="550"/>
        <v>3</v>
      </c>
      <c r="Q2636" s="112">
        <f t="shared" si="551"/>
        <v>0</v>
      </c>
      <c r="R2636" s="53"/>
      <c r="S2636" s="53" t="str">
        <f t="shared" si="539"/>
        <v>Base S1|Gold Parallel - Season 1|66|Gold</v>
      </c>
      <c r="T2636" s="57" t="str">
        <f>IF($S2636="","",IFERROR(VLOOKUP($S2636,'Pop Estimates (Non-#d)'!$N$2:$O$500,2,FALSE),""))</f>
        <v/>
      </c>
      <c r="U2636" s="57" t="str">
        <f t="shared" si="540"/>
        <v/>
      </c>
      <c r="V2636" s="53" t="str">
        <f t="shared" si="541"/>
        <v/>
      </c>
      <c r="W2636" s="53" t="str">
        <f t="shared" si="542"/>
        <v/>
      </c>
      <c r="X2636" s="53" t="str">
        <f t="shared" si="543"/>
        <v/>
      </c>
      <c r="Y2636" s="57" t="str">
        <f>IF($X2636="","",IFERROR(VLOOKUP($X2636,'Char Popularity'!$A$2:$C$500,2,FALSE),""))</f>
        <v/>
      </c>
      <c r="Z2636" s="56">
        <f>IF($X2636="",1,IFERROR(VLOOKUP($X2636,'Char Popularity'!$A$2:$C$500,3,FALSE),1))</f>
        <v>1</v>
      </c>
      <c r="AA2636" s="62">
        <f>IF($H2636&lt;&gt;"Y",0,(IF($F2636&lt;&gt;"",ROUND(Dashboard!$R$4/$F2636,1),IF(AND($I2636="Base",$E2636="Base"),Dashboard!$R$5,IF(AND($I2636="Base",$E2636="Red"),Dashboard!$R$6,IF(AND($I2636="Base",$E2636="Gold"),Dashboard!$R$7,VLOOKUP($I2636,Dashboard!$Q$16:$R$21,2,FALSE)))))*VLOOKUP($I2636,Dashboard!$Q$9:$R$13,2,FALSE)*IF(AND($I2636="Auto",$F2636="",OR($B2636="Autographs Duals",$B2636="Autographs Triples",$B2636="Autographs Quads",$B2636="Autographs Quads (Inscribed)")),IF($B2636="Autographs Duals",2,IF($B2636="Autographs Triples",3,4)),1)))</f>
        <v>3</v>
      </c>
      <c r="AB2636" s="62">
        <f t="shared" si="544"/>
        <v>3</v>
      </c>
      <c r="AC2636" s="62">
        <f t="shared" si="545"/>
        <v>0</v>
      </c>
    </row>
    <row r="2637" spans="1:29" ht="28.7" customHeight="1" x14ac:dyDescent="0.25">
      <c r="A2637" s="4" t="s">
        <v>17</v>
      </c>
      <c r="B2637" s="7" t="s">
        <v>67</v>
      </c>
      <c r="C2637" s="2" t="s">
        <v>1466</v>
      </c>
      <c r="D2637" s="7" t="s">
        <v>974</v>
      </c>
      <c r="E2637" s="4" t="s">
        <v>1602</v>
      </c>
      <c r="F2637" s="2"/>
      <c r="G2637" s="2" t="s">
        <v>1399</v>
      </c>
      <c r="H2637" s="2" t="s">
        <v>1400</v>
      </c>
      <c r="I2637" s="4" t="s">
        <v>60</v>
      </c>
      <c r="J2637" s="112">
        <f>IF($H2637&lt;&gt;"Y",0,ROUND(MIN(Dashboard!$R$24,IF(IFERROR(VLOOKUP($B2637,Dashboard!$Q$28:$S$60,2,FALSE),0)&gt;0,IFERROR(VLOOKUP($B2637,Dashboard!$Q$28:$S$60,2,FALSE),0),$Z2637*IF($U2637&lt;&gt;"",ROUND((Dashboard!$R$4/$U2637)*VLOOKUP($I2637,Dashboard!$Q$9:$R$13,2,FALSE)*IF(ISNUMBER(SEARCH("Duals",$B2637)),2,IF(ISNUMBER(SEARCH("Triples",$B2637)),3,IF(ISNUMBER(SEARCH("Quads",$B2637)),4,1))),2),ROUND(VLOOKUP($I2637,Dashboard!$Q$15:$R$20,2,FALSE)*IF($E2637="Red",Dashboard!$R$6,IF($E2637="Gold",Dashboard!$R$7,Dashboard!$R$5))*IF(ISNUMBER(SEARCH("Duals",$B2637)),2,IF(ISNUMBER(SEARCH("Triples",$B2637)),3,IF(ISNUMBER(SEARCH("Quads",$B2637)),4,1))),2))*IF(IFERROR(VLOOKUP($B2637,Dashboard!$Q$28:$S$60,3,FALSE),0)&gt;0,VLOOKUP($B2637,Dashboard!$Q$28:$S$60,3,FALSE),1))),0))</f>
        <v>3</v>
      </c>
      <c r="K2637" s="2" t="str">
        <f>IF('Base S1'!E68="","",'Base S1'!E68)</f>
        <v>C</v>
      </c>
      <c r="L2637" s="2">
        <f t="shared" si="546"/>
        <v>1</v>
      </c>
      <c r="M2637" s="2">
        <f t="shared" si="547"/>
        <v>0</v>
      </c>
      <c r="N2637" s="2">
        <f t="shared" si="548"/>
        <v>1</v>
      </c>
      <c r="O2637" s="2">
        <f t="shared" si="549"/>
        <v>0</v>
      </c>
      <c r="P2637" s="112">
        <f t="shared" si="550"/>
        <v>3</v>
      </c>
      <c r="Q2637" s="112">
        <f t="shared" si="551"/>
        <v>0</v>
      </c>
      <c r="R2637" s="53"/>
      <c r="S2637" s="53" t="str">
        <f t="shared" si="539"/>
        <v>Base S1|Gold Parallel - Season 1|67|Gold</v>
      </c>
      <c r="T2637" s="57" t="str">
        <f>IF($S2637="","",IFERROR(VLOOKUP($S2637,'Pop Estimates (Non-#d)'!$N$2:$O$500,2,FALSE),""))</f>
        <v/>
      </c>
      <c r="U2637" s="57" t="str">
        <f t="shared" si="540"/>
        <v/>
      </c>
      <c r="V2637" s="53" t="str">
        <f t="shared" si="541"/>
        <v/>
      </c>
      <c r="W2637" s="53" t="str">
        <f t="shared" si="542"/>
        <v/>
      </c>
      <c r="X2637" s="53" t="str">
        <f t="shared" si="543"/>
        <v/>
      </c>
      <c r="Y2637" s="57" t="str">
        <f>IF($X2637="","",IFERROR(VLOOKUP($X2637,'Char Popularity'!$A$2:$C$500,2,FALSE),""))</f>
        <v/>
      </c>
      <c r="Z2637" s="56">
        <f>IF($X2637="",1,IFERROR(VLOOKUP($X2637,'Char Popularity'!$A$2:$C$500,3,FALSE),1))</f>
        <v>1</v>
      </c>
      <c r="AA2637" s="62">
        <f>IF($H2637&lt;&gt;"Y",0,(IF($F2637&lt;&gt;"",ROUND(Dashboard!$R$4/$F2637,1),IF(AND($I2637="Base",$E2637="Base"),Dashboard!$R$5,IF(AND($I2637="Base",$E2637="Red"),Dashboard!$R$6,IF(AND($I2637="Base",$E2637="Gold"),Dashboard!$R$7,VLOOKUP($I2637,Dashboard!$Q$16:$R$21,2,FALSE)))))*VLOOKUP($I2637,Dashboard!$Q$9:$R$13,2,FALSE)*IF(AND($I2637="Auto",$F2637="",OR($B2637="Autographs Duals",$B2637="Autographs Triples",$B2637="Autographs Quads",$B2637="Autographs Quads (Inscribed)")),IF($B2637="Autographs Duals",2,IF($B2637="Autographs Triples",3,4)),1)))</f>
        <v>3</v>
      </c>
      <c r="AB2637" s="62">
        <f t="shared" si="544"/>
        <v>3</v>
      </c>
      <c r="AC2637" s="62">
        <f t="shared" si="545"/>
        <v>0</v>
      </c>
    </row>
    <row r="2638" spans="1:29" ht="28.7" customHeight="1" x14ac:dyDescent="0.25">
      <c r="A2638" s="4" t="s">
        <v>17</v>
      </c>
      <c r="B2638" s="7" t="s">
        <v>67</v>
      </c>
      <c r="C2638" s="2" t="s">
        <v>1467</v>
      </c>
      <c r="D2638" s="7" t="s">
        <v>977</v>
      </c>
      <c r="E2638" s="4" t="s">
        <v>1602</v>
      </c>
      <c r="F2638" s="2"/>
      <c r="G2638" s="2" t="s">
        <v>1399</v>
      </c>
      <c r="H2638" s="2" t="s">
        <v>1400</v>
      </c>
      <c r="I2638" s="4" t="s">
        <v>60</v>
      </c>
      <c r="J2638" s="112">
        <f>IF($H2638&lt;&gt;"Y",0,ROUND(MIN(Dashboard!$R$24,IF(IFERROR(VLOOKUP($B2638,Dashboard!$Q$28:$S$60,2,FALSE),0)&gt;0,IFERROR(VLOOKUP($B2638,Dashboard!$Q$28:$S$60,2,FALSE),0),$Z2638*IF($U2638&lt;&gt;"",ROUND((Dashboard!$R$4/$U2638)*VLOOKUP($I2638,Dashboard!$Q$9:$R$13,2,FALSE)*IF(ISNUMBER(SEARCH("Duals",$B2638)),2,IF(ISNUMBER(SEARCH("Triples",$B2638)),3,IF(ISNUMBER(SEARCH("Quads",$B2638)),4,1))),2),ROUND(VLOOKUP($I2638,Dashboard!$Q$15:$R$20,2,FALSE)*IF($E2638="Red",Dashboard!$R$6,IF($E2638="Gold",Dashboard!$R$7,Dashboard!$R$5))*IF(ISNUMBER(SEARCH("Duals",$B2638)),2,IF(ISNUMBER(SEARCH("Triples",$B2638)),3,IF(ISNUMBER(SEARCH("Quads",$B2638)),4,1))),2))*IF(IFERROR(VLOOKUP($B2638,Dashboard!$Q$28:$S$60,3,FALSE),0)&gt;0,VLOOKUP($B2638,Dashboard!$Q$28:$S$60,3,FALSE),1))),0))</f>
        <v>3</v>
      </c>
      <c r="K2638" s="2" t="str">
        <f>IF('Base S1'!E69="","",'Base S1'!E69)</f>
        <v>C</v>
      </c>
      <c r="L2638" s="2">
        <f t="shared" si="546"/>
        <v>1</v>
      </c>
      <c r="M2638" s="2">
        <f t="shared" si="547"/>
        <v>0</v>
      </c>
      <c r="N2638" s="2">
        <f t="shared" si="548"/>
        <v>1</v>
      </c>
      <c r="O2638" s="2">
        <f t="shared" si="549"/>
        <v>0</v>
      </c>
      <c r="P2638" s="112">
        <f t="shared" si="550"/>
        <v>3</v>
      </c>
      <c r="Q2638" s="112">
        <f t="shared" si="551"/>
        <v>0</v>
      </c>
      <c r="R2638" s="53"/>
      <c r="S2638" s="53" t="str">
        <f t="shared" si="539"/>
        <v>Base S1|Gold Parallel - Season 1|68|Gold</v>
      </c>
      <c r="T2638" s="57" t="str">
        <f>IF($S2638="","",IFERROR(VLOOKUP($S2638,'Pop Estimates (Non-#d)'!$N$2:$O$500,2,FALSE),""))</f>
        <v/>
      </c>
      <c r="U2638" s="57" t="str">
        <f t="shared" si="540"/>
        <v/>
      </c>
      <c r="V2638" s="53" t="str">
        <f t="shared" si="541"/>
        <v/>
      </c>
      <c r="W2638" s="53" t="str">
        <f t="shared" si="542"/>
        <v/>
      </c>
      <c r="X2638" s="53" t="str">
        <f t="shared" si="543"/>
        <v/>
      </c>
      <c r="Y2638" s="57" t="str">
        <f>IF($X2638="","",IFERROR(VLOOKUP($X2638,'Char Popularity'!$A$2:$C$500,2,FALSE),""))</f>
        <v/>
      </c>
      <c r="Z2638" s="56">
        <f>IF($X2638="",1,IFERROR(VLOOKUP($X2638,'Char Popularity'!$A$2:$C$500,3,FALSE),1))</f>
        <v>1</v>
      </c>
      <c r="AA2638" s="62">
        <f>IF($H2638&lt;&gt;"Y",0,(IF($F2638&lt;&gt;"",ROUND(Dashboard!$R$4/$F2638,1),IF(AND($I2638="Base",$E2638="Base"),Dashboard!$R$5,IF(AND($I2638="Base",$E2638="Red"),Dashboard!$R$6,IF(AND($I2638="Base",$E2638="Gold"),Dashboard!$R$7,VLOOKUP($I2638,Dashboard!$Q$16:$R$21,2,FALSE)))))*VLOOKUP($I2638,Dashboard!$Q$9:$R$13,2,FALSE)*IF(AND($I2638="Auto",$F2638="",OR($B2638="Autographs Duals",$B2638="Autographs Triples",$B2638="Autographs Quads",$B2638="Autographs Quads (Inscribed)")),IF($B2638="Autographs Duals",2,IF($B2638="Autographs Triples",3,4)),1)))</f>
        <v>3</v>
      </c>
      <c r="AB2638" s="62">
        <f t="shared" si="544"/>
        <v>3</v>
      </c>
      <c r="AC2638" s="62">
        <f t="shared" si="545"/>
        <v>0</v>
      </c>
    </row>
    <row r="2639" spans="1:29" ht="28.7" customHeight="1" x14ac:dyDescent="0.25">
      <c r="A2639" s="4" t="s">
        <v>17</v>
      </c>
      <c r="B2639" s="7" t="s">
        <v>67</v>
      </c>
      <c r="C2639" s="2" t="s">
        <v>1468</v>
      </c>
      <c r="D2639" s="7" t="s">
        <v>979</v>
      </c>
      <c r="E2639" s="4" t="s">
        <v>1602</v>
      </c>
      <c r="F2639" s="2"/>
      <c r="G2639" s="2" t="s">
        <v>1399</v>
      </c>
      <c r="H2639" s="2" t="s">
        <v>1400</v>
      </c>
      <c r="I2639" s="4" t="s">
        <v>60</v>
      </c>
      <c r="J2639" s="112">
        <f>IF($H2639&lt;&gt;"Y",0,ROUND(MIN(Dashboard!$R$24,IF(IFERROR(VLOOKUP($B2639,Dashboard!$Q$28:$S$60,2,FALSE),0)&gt;0,IFERROR(VLOOKUP($B2639,Dashboard!$Q$28:$S$60,2,FALSE),0),$Z2639*IF($U2639&lt;&gt;"",ROUND((Dashboard!$R$4/$U2639)*VLOOKUP($I2639,Dashboard!$Q$9:$R$13,2,FALSE)*IF(ISNUMBER(SEARCH("Duals",$B2639)),2,IF(ISNUMBER(SEARCH("Triples",$B2639)),3,IF(ISNUMBER(SEARCH("Quads",$B2639)),4,1))),2),ROUND(VLOOKUP($I2639,Dashboard!$Q$15:$R$20,2,FALSE)*IF($E2639="Red",Dashboard!$R$6,IF($E2639="Gold",Dashboard!$R$7,Dashboard!$R$5))*IF(ISNUMBER(SEARCH("Duals",$B2639)),2,IF(ISNUMBER(SEARCH("Triples",$B2639)),3,IF(ISNUMBER(SEARCH("Quads",$B2639)),4,1))),2))*IF(IFERROR(VLOOKUP($B2639,Dashboard!$Q$28:$S$60,3,FALSE),0)&gt;0,VLOOKUP($B2639,Dashboard!$Q$28:$S$60,3,FALSE),1))),0))</f>
        <v>3</v>
      </c>
      <c r="K2639" s="2" t="str">
        <f>IF('Base S1'!E70="","",'Base S1'!E70)</f>
        <v>C</v>
      </c>
      <c r="L2639" s="2">
        <f t="shared" si="546"/>
        <v>1</v>
      </c>
      <c r="M2639" s="2">
        <f t="shared" si="547"/>
        <v>0</v>
      </c>
      <c r="N2639" s="2">
        <f t="shared" si="548"/>
        <v>1</v>
      </c>
      <c r="O2639" s="2">
        <f t="shared" si="549"/>
        <v>0</v>
      </c>
      <c r="P2639" s="112">
        <f t="shared" si="550"/>
        <v>3</v>
      </c>
      <c r="Q2639" s="112">
        <f t="shared" si="551"/>
        <v>0</v>
      </c>
      <c r="R2639" s="53"/>
      <c r="S2639" s="53" t="str">
        <f t="shared" si="539"/>
        <v>Base S1|Gold Parallel - Season 1|69|Gold</v>
      </c>
      <c r="T2639" s="57" t="str">
        <f>IF($S2639="","",IFERROR(VLOOKUP($S2639,'Pop Estimates (Non-#d)'!$N$2:$O$500,2,FALSE),""))</f>
        <v/>
      </c>
      <c r="U2639" s="57" t="str">
        <f t="shared" si="540"/>
        <v/>
      </c>
      <c r="V2639" s="53" t="str">
        <f t="shared" si="541"/>
        <v/>
      </c>
      <c r="W2639" s="53" t="str">
        <f t="shared" si="542"/>
        <v/>
      </c>
      <c r="X2639" s="53" t="str">
        <f t="shared" si="543"/>
        <v/>
      </c>
      <c r="Y2639" s="57" t="str">
        <f>IF($X2639="","",IFERROR(VLOOKUP($X2639,'Char Popularity'!$A$2:$C$500,2,FALSE),""))</f>
        <v/>
      </c>
      <c r="Z2639" s="56">
        <f>IF($X2639="",1,IFERROR(VLOOKUP($X2639,'Char Popularity'!$A$2:$C$500,3,FALSE),1))</f>
        <v>1</v>
      </c>
      <c r="AA2639" s="62">
        <f>IF($H2639&lt;&gt;"Y",0,(IF($F2639&lt;&gt;"",ROUND(Dashboard!$R$4/$F2639,1),IF(AND($I2639="Base",$E2639="Base"),Dashboard!$R$5,IF(AND($I2639="Base",$E2639="Red"),Dashboard!$R$6,IF(AND($I2639="Base",$E2639="Gold"),Dashboard!$R$7,VLOOKUP($I2639,Dashboard!$Q$16:$R$21,2,FALSE)))))*VLOOKUP($I2639,Dashboard!$Q$9:$R$13,2,FALSE)*IF(AND($I2639="Auto",$F2639="",OR($B2639="Autographs Duals",$B2639="Autographs Triples",$B2639="Autographs Quads",$B2639="Autographs Quads (Inscribed)")),IF($B2639="Autographs Duals",2,IF($B2639="Autographs Triples",3,4)),1)))</f>
        <v>3</v>
      </c>
      <c r="AB2639" s="62">
        <f t="shared" si="544"/>
        <v>3</v>
      </c>
      <c r="AC2639" s="62">
        <f t="shared" si="545"/>
        <v>0</v>
      </c>
    </row>
    <row r="2640" spans="1:29" ht="28.7" customHeight="1" x14ac:dyDescent="0.25">
      <c r="A2640" s="4" t="s">
        <v>17</v>
      </c>
      <c r="B2640" s="7" t="s">
        <v>67</v>
      </c>
      <c r="C2640" s="2" t="s">
        <v>1469</v>
      </c>
      <c r="D2640" s="7" t="s">
        <v>980</v>
      </c>
      <c r="E2640" s="4" t="s">
        <v>1602</v>
      </c>
      <c r="F2640" s="2"/>
      <c r="G2640" s="2" t="s">
        <v>1399</v>
      </c>
      <c r="H2640" s="2" t="s">
        <v>1400</v>
      </c>
      <c r="I2640" s="4" t="s">
        <v>60</v>
      </c>
      <c r="J2640" s="112">
        <f>IF($H2640&lt;&gt;"Y",0,ROUND(MIN(Dashboard!$R$24,IF(IFERROR(VLOOKUP($B2640,Dashboard!$Q$28:$S$60,2,FALSE),0)&gt;0,IFERROR(VLOOKUP($B2640,Dashboard!$Q$28:$S$60,2,FALSE),0),$Z2640*IF($U2640&lt;&gt;"",ROUND((Dashboard!$R$4/$U2640)*VLOOKUP($I2640,Dashboard!$Q$9:$R$13,2,FALSE)*IF(ISNUMBER(SEARCH("Duals",$B2640)),2,IF(ISNUMBER(SEARCH("Triples",$B2640)),3,IF(ISNUMBER(SEARCH("Quads",$B2640)),4,1))),2),ROUND(VLOOKUP($I2640,Dashboard!$Q$15:$R$20,2,FALSE)*IF($E2640="Red",Dashboard!$R$6,IF($E2640="Gold",Dashboard!$R$7,Dashboard!$R$5))*IF(ISNUMBER(SEARCH("Duals",$B2640)),2,IF(ISNUMBER(SEARCH("Triples",$B2640)),3,IF(ISNUMBER(SEARCH("Quads",$B2640)),4,1))),2))*IF(IFERROR(VLOOKUP($B2640,Dashboard!$Q$28:$S$60,3,FALSE),0)&gt;0,VLOOKUP($B2640,Dashboard!$Q$28:$S$60,3,FALSE),1))),0))</f>
        <v>3</v>
      </c>
      <c r="K2640" s="2" t="str">
        <f>IF('Base S1'!E71="","",'Base S1'!E71)</f>
        <v>C</v>
      </c>
      <c r="L2640" s="2">
        <f t="shared" si="546"/>
        <v>1</v>
      </c>
      <c r="M2640" s="2">
        <f t="shared" si="547"/>
        <v>0</v>
      </c>
      <c r="N2640" s="2">
        <f t="shared" si="548"/>
        <v>1</v>
      </c>
      <c r="O2640" s="2">
        <f t="shared" si="549"/>
        <v>0</v>
      </c>
      <c r="P2640" s="112">
        <f t="shared" si="550"/>
        <v>3</v>
      </c>
      <c r="Q2640" s="112">
        <f t="shared" si="551"/>
        <v>0</v>
      </c>
      <c r="R2640" s="53"/>
      <c r="S2640" s="53" t="str">
        <f t="shared" si="539"/>
        <v>Base S1|Gold Parallel - Season 1|70|Gold</v>
      </c>
      <c r="T2640" s="57" t="str">
        <f>IF($S2640="","",IFERROR(VLOOKUP($S2640,'Pop Estimates (Non-#d)'!$N$2:$O$500,2,FALSE),""))</f>
        <v/>
      </c>
      <c r="U2640" s="57" t="str">
        <f t="shared" si="540"/>
        <v/>
      </c>
      <c r="V2640" s="53" t="str">
        <f t="shared" si="541"/>
        <v/>
      </c>
      <c r="W2640" s="53" t="str">
        <f t="shared" si="542"/>
        <v/>
      </c>
      <c r="X2640" s="53" t="str">
        <f t="shared" si="543"/>
        <v/>
      </c>
      <c r="Y2640" s="57" t="str">
        <f>IF($X2640="","",IFERROR(VLOOKUP($X2640,'Char Popularity'!$A$2:$C$500,2,FALSE),""))</f>
        <v/>
      </c>
      <c r="Z2640" s="56">
        <f>IF($X2640="",1,IFERROR(VLOOKUP($X2640,'Char Popularity'!$A$2:$C$500,3,FALSE),1))</f>
        <v>1</v>
      </c>
      <c r="AA2640" s="62">
        <f>IF($H2640&lt;&gt;"Y",0,(IF($F2640&lt;&gt;"",ROUND(Dashboard!$R$4/$F2640,1),IF(AND($I2640="Base",$E2640="Base"),Dashboard!$R$5,IF(AND($I2640="Base",$E2640="Red"),Dashboard!$R$6,IF(AND($I2640="Base",$E2640="Gold"),Dashboard!$R$7,VLOOKUP($I2640,Dashboard!$Q$16:$R$21,2,FALSE)))))*VLOOKUP($I2640,Dashboard!$Q$9:$R$13,2,FALSE)*IF(AND($I2640="Auto",$F2640="",OR($B2640="Autographs Duals",$B2640="Autographs Triples",$B2640="Autographs Quads",$B2640="Autographs Quads (Inscribed)")),IF($B2640="Autographs Duals",2,IF($B2640="Autographs Triples",3,4)),1)))</f>
        <v>3</v>
      </c>
      <c r="AB2640" s="62">
        <f t="shared" si="544"/>
        <v>3</v>
      </c>
      <c r="AC2640" s="62">
        <f t="shared" si="545"/>
        <v>0</v>
      </c>
    </row>
    <row r="2641" spans="1:29" ht="28.7" customHeight="1" x14ac:dyDescent="0.25">
      <c r="A2641" s="4" t="s">
        <v>17</v>
      </c>
      <c r="B2641" s="7" t="s">
        <v>67</v>
      </c>
      <c r="C2641" s="2" t="s">
        <v>1470</v>
      </c>
      <c r="D2641" s="7" t="s">
        <v>981</v>
      </c>
      <c r="E2641" s="4" t="s">
        <v>1602</v>
      </c>
      <c r="F2641" s="2"/>
      <c r="G2641" s="2" t="s">
        <v>1399</v>
      </c>
      <c r="H2641" s="2" t="s">
        <v>1400</v>
      </c>
      <c r="I2641" s="4" t="s">
        <v>60</v>
      </c>
      <c r="J2641" s="112">
        <f>IF($H2641&lt;&gt;"Y",0,ROUND(MIN(Dashboard!$R$24,IF(IFERROR(VLOOKUP($B2641,Dashboard!$Q$28:$S$60,2,FALSE),0)&gt;0,IFERROR(VLOOKUP($B2641,Dashboard!$Q$28:$S$60,2,FALSE),0),$Z2641*IF($U2641&lt;&gt;"",ROUND((Dashboard!$R$4/$U2641)*VLOOKUP($I2641,Dashboard!$Q$9:$R$13,2,FALSE)*IF(ISNUMBER(SEARCH("Duals",$B2641)),2,IF(ISNUMBER(SEARCH("Triples",$B2641)),3,IF(ISNUMBER(SEARCH("Quads",$B2641)),4,1))),2),ROUND(VLOOKUP($I2641,Dashboard!$Q$15:$R$20,2,FALSE)*IF($E2641="Red",Dashboard!$R$6,IF($E2641="Gold",Dashboard!$R$7,Dashboard!$R$5))*IF(ISNUMBER(SEARCH("Duals",$B2641)),2,IF(ISNUMBER(SEARCH("Triples",$B2641)),3,IF(ISNUMBER(SEARCH("Quads",$B2641)),4,1))),2))*IF(IFERROR(VLOOKUP($B2641,Dashboard!$Q$28:$S$60,3,FALSE),0)&gt;0,VLOOKUP($B2641,Dashboard!$Q$28:$S$60,3,FALSE),1))),0))</f>
        <v>3</v>
      </c>
      <c r="K2641" s="2" t="str">
        <f>IF('Base S1'!E72="","",'Base S1'!E72)</f>
        <v>C</v>
      </c>
      <c r="L2641" s="2">
        <f t="shared" si="546"/>
        <v>1</v>
      </c>
      <c r="M2641" s="2">
        <f t="shared" si="547"/>
        <v>0</v>
      </c>
      <c r="N2641" s="2">
        <f t="shared" si="548"/>
        <v>1</v>
      </c>
      <c r="O2641" s="2">
        <f t="shared" si="549"/>
        <v>0</v>
      </c>
      <c r="P2641" s="112">
        <f t="shared" si="550"/>
        <v>3</v>
      </c>
      <c r="Q2641" s="112">
        <f t="shared" si="551"/>
        <v>0</v>
      </c>
      <c r="R2641" s="53"/>
      <c r="S2641" s="53" t="str">
        <f t="shared" si="539"/>
        <v>Base S1|Gold Parallel - Season 1|71|Gold</v>
      </c>
      <c r="T2641" s="57" t="str">
        <f>IF($S2641="","",IFERROR(VLOOKUP($S2641,'Pop Estimates (Non-#d)'!$N$2:$O$500,2,FALSE),""))</f>
        <v/>
      </c>
      <c r="U2641" s="57" t="str">
        <f t="shared" si="540"/>
        <v/>
      </c>
      <c r="V2641" s="53" t="str">
        <f t="shared" si="541"/>
        <v/>
      </c>
      <c r="W2641" s="53" t="str">
        <f t="shared" si="542"/>
        <v/>
      </c>
      <c r="X2641" s="53" t="str">
        <f t="shared" si="543"/>
        <v/>
      </c>
      <c r="Y2641" s="57" t="str">
        <f>IF($X2641="","",IFERROR(VLOOKUP($X2641,'Char Popularity'!$A$2:$C$500,2,FALSE),""))</f>
        <v/>
      </c>
      <c r="Z2641" s="56">
        <f>IF($X2641="",1,IFERROR(VLOOKUP($X2641,'Char Popularity'!$A$2:$C$500,3,FALSE),1))</f>
        <v>1</v>
      </c>
      <c r="AA2641" s="62">
        <f>IF($H2641&lt;&gt;"Y",0,(IF($F2641&lt;&gt;"",ROUND(Dashboard!$R$4/$F2641,1),IF(AND($I2641="Base",$E2641="Base"),Dashboard!$R$5,IF(AND($I2641="Base",$E2641="Red"),Dashboard!$R$6,IF(AND($I2641="Base",$E2641="Gold"),Dashboard!$R$7,VLOOKUP($I2641,Dashboard!$Q$16:$R$21,2,FALSE)))))*VLOOKUP($I2641,Dashboard!$Q$9:$R$13,2,FALSE)*IF(AND($I2641="Auto",$F2641="",OR($B2641="Autographs Duals",$B2641="Autographs Triples",$B2641="Autographs Quads",$B2641="Autographs Quads (Inscribed)")),IF($B2641="Autographs Duals",2,IF($B2641="Autographs Triples",3,4)),1)))</f>
        <v>3</v>
      </c>
      <c r="AB2641" s="62">
        <f t="shared" si="544"/>
        <v>3</v>
      </c>
      <c r="AC2641" s="62">
        <f t="shared" si="545"/>
        <v>0</v>
      </c>
    </row>
    <row r="2642" spans="1:29" ht="28.7" customHeight="1" x14ac:dyDescent="0.25">
      <c r="A2642" s="4" t="s">
        <v>17</v>
      </c>
      <c r="B2642" s="7" t="s">
        <v>67</v>
      </c>
      <c r="C2642" s="2" t="s">
        <v>1471</v>
      </c>
      <c r="D2642" s="7" t="s">
        <v>983</v>
      </c>
      <c r="E2642" s="4" t="s">
        <v>1602</v>
      </c>
      <c r="F2642" s="2"/>
      <c r="G2642" s="2" t="s">
        <v>1399</v>
      </c>
      <c r="H2642" s="2" t="s">
        <v>1400</v>
      </c>
      <c r="I2642" s="4" t="s">
        <v>60</v>
      </c>
      <c r="J2642" s="112">
        <f>IF($H2642&lt;&gt;"Y",0,ROUND(MIN(Dashboard!$R$24,IF(IFERROR(VLOOKUP($B2642,Dashboard!$Q$28:$S$60,2,FALSE),0)&gt;0,IFERROR(VLOOKUP($B2642,Dashboard!$Q$28:$S$60,2,FALSE),0),$Z2642*IF($U2642&lt;&gt;"",ROUND((Dashboard!$R$4/$U2642)*VLOOKUP($I2642,Dashboard!$Q$9:$R$13,2,FALSE)*IF(ISNUMBER(SEARCH("Duals",$B2642)),2,IF(ISNUMBER(SEARCH("Triples",$B2642)),3,IF(ISNUMBER(SEARCH("Quads",$B2642)),4,1))),2),ROUND(VLOOKUP($I2642,Dashboard!$Q$15:$R$20,2,FALSE)*IF($E2642="Red",Dashboard!$R$6,IF($E2642="Gold",Dashboard!$R$7,Dashboard!$R$5))*IF(ISNUMBER(SEARCH("Duals",$B2642)),2,IF(ISNUMBER(SEARCH("Triples",$B2642)),3,IF(ISNUMBER(SEARCH("Quads",$B2642)),4,1))),2))*IF(IFERROR(VLOOKUP($B2642,Dashboard!$Q$28:$S$60,3,FALSE),0)&gt;0,VLOOKUP($B2642,Dashboard!$Q$28:$S$60,3,FALSE),1))),0))</f>
        <v>3</v>
      </c>
      <c r="K2642" s="2" t="str">
        <f>IF('Base S1'!E73="","",'Base S1'!E73)</f>
        <v>C</v>
      </c>
      <c r="L2642" s="2">
        <f t="shared" si="546"/>
        <v>1</v>
      </c>
      <c r="M2642" s="2">
        <f t="shared" si="547"/>
        <v>0</v>
      </c>
      <c r="N2642" s="2">
        <f t="shared" si="548"/>
        <v>1</v>
      </c>
      <c r="O2642" s="2">
        <f t="shared" si="549"/>
        <v>0</v>
      </c>
      <c r="P2642" s="112">
        <f t="shared" si="550"/>
        <v>3</v>
      </c>
      <c r="Q2642" s="112">
        <f t="shared" si="551"/>
        <v>0</v>
      </c>
      <c r="R2642" s="53"/>
      <c r="S2642" s="53" t="str">
        <f t="shared" si="539"/>
        <v>Base S1|Gold Parallel - Season 1|72|Gold</v>
      </c>
      <c r="T2642" s="57" t="str">
        <f>IF($S2642="","",IFERROR(VLOOKUP($S2642,'Pop Estimates (Non-#d)'!$N$2:$O$500,2,FALSE),""))</f>
        <v/>
      </c>
      <c r="U2642" s="57" t="str">
        <f t="shared" si="540"/>
        <v/>
      </c>
      <c r="V2642" s="53" t="str">
        <f t="shared" si="541"/>
        <v/>
      </c>
      <c r="W2642" s="53" t="str">
        <f t="shared" si="542"/>
        <v/>
      </c>
      <c r="X2642" s="53" t="str">
        <f t="shared" si="543"/>
        <v/>
      </c>
      <c r="Y2642" s="57" t="str">
        <f>IF($X2642="","",IFERROR(VLOOKUP($X2642,'Char Popularity'!$A$2:$C$500,2,FALSE),""))</f>
        <v/>
      </c>
      <c r="Z2642" s="56">
        <f>IF($X2642="",1,IFERROR(VLOOKUP($X2642,'Char Popularity'!$A$2:$C$500,3,FALSE),1))</f>
        <v>1</v>
      </c>
      <c r="AA2642" s="62">
        <f>IF($H2642&lt;&gt;"Y",0,(IF($F2642&lt;&gt;"",ROUND(Dashboard!$R$4/$F2642,1),IF(AND($I2642="Base",$E2642="Base"),Dashboard!$R$5,IF(AND($I2642="Base",$E2642="Red"),Dashboard!$R$6,IF(AND($I2642="Base",$E2642="Gold"),Dashboard!$R$7,VLOOKUP($I2642,Dashboard!$Q$16:$R$21,2,FALSE)))))*VLOOKUP($I2642,Dashboard!$Q$9:$R$13,2,FALSE)*IF(AND($I2642="Auto",$F2642="",OR($B2642="Autographs Duals",$B2642="Autographs Triples",$B2642="Autographs Quads",$B2642="Autographs Quads (Inscribed)")),IF($B2642="Autographs Duals",2,IF($B2642="Autographs Triples",3,4)),1)))</f>
        <v>3</v>
      </c>
      <c r="AB2642" s="62">
        <f t="shared" si="544"/>
        <v>3</v>
      </c>
      <c r="AC2642" s="62">
        <f t="shared" si="545"/>
        <v>0</v>
      </c>
    </row>
    <row r="2643" spans="1:29" ht="28.7" customHeight="1" x14ac:dyDescent="0.25">
      <c r="A2643" s="4" t="s">
        <v>17</v>
      </c>
      <c r="B2643" s="7" t="s">
        <v>67</v>
      </c>
      <c r="C2643" s="2" t="s">
        <v>1472</v>
      </c>
      <c r="D2643" s="7" t="s">
        <v>985</v>
      </c>
      <c r="E2643" s="4" t="s">
        <v>1602</v>
      </c>
      <c r="F2643" s="2"/>
      <c r="G2643" s="2" t="s">
        <v>1399</v>
      </c>
      <c r="H2643" s="2" t="s">
        <v>1400</v>
      </c>
      <c r="I2643" s="4" t="s">
        <v>60</v>
      </c>
      <c r="J2643" s="112">
        <f>IF($H2643&lt;&gt;"Y",0,ROUND(MIN(Dashboard!$R$24,IF(IFERROR(VLOOKUP($B2643,Dashboard!$Q$28:$S$60,2,FALSE),0)&gt;0,IFERROR(VLOOKUP($B2643,Dashboard!$Q$28:$S$60,2,FALSE),0),$Z2643*IF($U2643&lt;&gt;"",ROUND((Dashboard!$R$4/$U2643)*VLOOKUP($I2643,Dashboard!$Q$9:$R$13,2,FALSE)*IF(ISNUMBER(SEARCH("Duals",$B2643)),2,IF(ISNUMBER(SEARCH("Triples",$B2643)),3,IF(ISNUMBER(SEARCH("Quads",$B2643)),4,1))),2),ROUND(VLOOKUP($I2643,Dashboard!$Q$15:$R$20,2,FALSE)*IF($E2643="Red",Dashboard!$R$6,IF($E2643="Gold",Dashboard!$R$7,Dashboard!$R$5))*IF(ISNUMBER(SEARCH("Duals",$B2643)),2,IF(ISNUMBER(SEARCH("Triples",$B2643)),3,IF(ISNUMBER(SEARCH("Quads",$B2643)),4,1))),2))*IF(IFERROR(VLOOKUP($B2643,Dashboard!$Q$28:$S$60,3,FALSE),0)&gt;0,VLOOKUP($B2643,Dashboard!$Q$28:$S$60,3,FALSE),1))),0))</f>
        <v>3</v>
      </c>
      <c r="K2643" s="2" t="str">
        <f>IF('Base S1'!E74="","",'Base S1'!E74)</f>
        <v>C</v>
      </c>
      <c r="L2643" s="2">
        <f t="shared" si="546"/>
        <v>1</v>
      </c>
      <c r="M2643" s="2">
        <f t="shared" si="547"/>
        <v>0</v>
      </c>
      <c r="N2643" s="2">
        <f t="shared" si="548"/>
        <v>1</v>
      </c>
      <c r="O2643" s="2">
        <f t="shared" si="549"/>
        <v>0</v>
      </c>
      <c r="P2643" s="112">
        <f t="shared" si="550"/>
        <v>3</v>
      </c>
      <c r="Q2643" s="112">
        <f t="shared" si="551"/>
        <v>0</v>
      </c>
      <c r="R2643" s="53"/>
      <c r="S2643" s="53" t="str">
        <f t="shared" si="539"/>
        <v>Base S1|Gold Parallel - Season 1|73|Gold</v>
      </c>
      <c r="T2643" s="57" t="str">
        <f>IF($S2643="","",IFERROR(VLOOKUP($S2643,'Pop Estimates (Non-#d)'!$N$2:$O$500,2,FALSE),""))</f>
        <v/>
      </c>
      <c r="U2643" s="57" t="str">
        <f t="shared" si="540"/>
        <v/>
      </c>
      <c r="V2643" s="53" t="str">
        <f t="shared" si="541"/>
        <v/>
      </c>
      <c r="W2643" s="53" t="str">
        <f t="shared" si="542"/>
        <v/>
      </c>
      <c r="X2643" s="53" t="str">
        <f t="shared" si="543"/>
        <v/>
      </c>
      <c r="Y2643" s="57" t="str">
        <f>IF($X2643="","",IFERROR(VLOOKUP($X2643,'Char Popularity'!$A$2:$C$500,2,FALSE),""))</f>
        <v/>
      </c>
      <c r="Z2643" s="56">
        <f>IF($X2643="",1,IFERROR(VLOOKUP($X2643,'Char Popularity'!$A$2:$C$500,3,FALSE),1))</f>
        <v>1</v>
      </c>
      <c r="AA2643" s="62">
        <f>IF($H2643&lt;&gt;"Y",0,(IF($F2643&lt;&gt;"",ROUND(Dashboard!$R$4/$F2643,1),IF(AND($I2643="Base",$E2643="Base"),Dashboard!$R$5,IF(AND($I2643="Base",$E2643="Red"),Dashboard!$R$6,IF(AND($I2643="Base",$E2643="Gold"),Dashboard!$R$7,VLOOKUP($I2643,Dashboard!$Q$16:$R$21,2,FALSE)))))*VLOOKUP($I2643,Dashboard!$Q$9:$R$13,2,FALSE)*IF(AND($I2643="Auto",$F2643="",OR($B2643="Autographs Duals",$B2643="Autographs Triples",$B2643="Autographs Quads",$B2643="Autographs Quads (Inscribed)")),IF($B2643="Autographs Duals",2,IF($B2643="Autographs Triples",3,4)),1)))</f>
        <v>3</v>
      </c>
      <c r="AB2643" s="62">
        <f t="shared" si="544"/>
        <v>3</v>
      </c>
      <c r="AC2643" s="62">
        <f t="shared" si="545"/>
        <v>0</v>
      </c>
    </row>
    <row r="2644" spans="1:29" ht="28.7" customHeight="1" x14ac:dyDescent="0.25">
      <c r="A2644" s="4" t="s">
        <v>17</v>
      </c>
      <c r="B2644" s="7" t="s">
        <v>67</v>
      </c>
      <c r="C2644" s="2" t="s">
        <v>1473</v>
      </c>
      <c r="D2644" s="7" t="s">
        <v>987</v>
      </c>
      <c r="E2644" s="4" t="s">
        <v>1602</v>
      </c>
      <c r="F2644" s="2"/>
      <c r="G2644" s="2" t="s">
        <v>1399</v>
      </c>
      <c r="H2644" s="2" t="s">
        <v>1400</v>
      </c>
      <c r="I2644" s="4" t="s">
        <v>60</v>
      </c>
      <c r="J2644" s="112">
        <f>IF($H2644&lt;&gt;"Y",0,ROUND(MIN(Dashboard!$R$24,IF(IFERROR(VLOOKUP($B2644,Dashboard!$Q$28:$S$60,2,FALSE),0)&gt;0,IFERROR(VLOOKUP($B2644,Dashboard!$Q$28:$S$60,2,FALSE),0),$Z2644*IF($U2644&lt;&gt;"",ROUND((Dashboard!$R$4/$U2644)*VLOOKUP($I2644,Dashboard!$Q$9:$R$13,2,FALSE)*IF(ISNUMBER(SEARCH("Duals",$B2644)),2,IF(ISNUMBER(SEARCH("Triples",$B2644)),3,IF(ISNUMBER(SEARCH("Quads",$B2644)),4,1))),2),ROUND(VLOOKUP($I2644,Dashboard!$Q$15:$R$20,2,FALSE)*IF($E2644="Red",Dashboard!$R$6,IF($E2644="Gold",Dashboard!$R$7,Dashboard!$R$5))*IF(ISNUMBER(SEARCH("Duals",$B2644)),2,IF(ISNUMBER(SEARCH("Triples",$B2644)),3,IF(ISNUMBER(SEARCH("Quads",$B2644)),4,1))),2))*IF(IFERROR(VLOOKUP($B2644,Dashboard!$Q$28:$S$60,3,FALSE),0)&gt;0,VLOOKUP($B2644,Dashboard!$Q$28:$S$60,3,FALSE),1))),0))</f>
        <v>3</v>
      </c>
      <c r="K2644" s="2" t="str">
        <f>IF('Base S1'!E75="","",'Base S1'!E75)</f>
        <v>C</v>
      </c>
      <c r="L2644" s="2">
        <f t="shared" si="546"/>
        <v>1</v>
      </c>
      <c r="M2644" s="2">
        <f t="shared" si="547"/>
        <v>0</v>
      </c>
      <c r="N2644" s="2">
        <f t="shared" si="548"/>
        <v>1</v>
      </c>
      <c r="O2644" s="2">
        <f t="shared" si="549"/>
        <v>0</v>
      </c>
      <c r="P2644" s="112">
        <f t="shared" si="550"/>
        <v>3</v>
      </c>
      <c r="Q2644" s="112">
        <f t="shared" si="551"/>
        <v>0</v>
      </c>
      <c r="R2644" s="53"/>
      <c r="S2644" s="53" t="str">
        <f t="shared" si="539"/>
        <v>Base S1|Gold Parallel - Season 1|74|Gold</v>
      </c>
      <c r="T2644" s="57" t="str">
        <f>IF($S2644="","",IFERROR(VLOOKUP($S2644,'Pop Estimates (Non-#d)'!$N$2:$O$500,2,FALSE),""))</f>
        <v/>
      </c>
      <c r="U2644" s="57" t="str">
        <f t="shared" si="540"/>
        <v/>
      </c>
      <c r="V2644" s="53" t="str">
        <f t="shared" si="541"/>
        <v/>
      </c>
      <c r="W2644" s="53" t="str">
        <f t="shared" si="542"/>
        <v/>
      </c>
      <c r="X2644" s="53" t="str">
        <f t="shared" si="543"/>
        <v/>
      </c>
      <c r="Y2644" s="57" t="str">
        <f>IF($X2644="","",IFERROR(VLOOKUP($X2644,'Char Popularity'!$A$2:$C$500,2,FALSE),""))</f>
        <v/>
      </c>
      <c r="Z2644" s="56">
        <f>IF($X2644="",1,IFERROR(VLOOKUP($X2644,'Char Popularity'!$A$2:$C$500,3,FALSE),1))</f>
        <v>1</v>
      </c>
      <c r="AA2644" s="62">
        <f>IF($H2644&lt;&gt;"Y",0,(IF($F2644&lt;&gt;"",ROUND(Dashboard!$R$4/$F2644,1),IF(AND($I2644="Base",$E2644="Base"),Dashboard!$R$5,IF(AND($I2644="Base",$E2644="Red"),Dashboard!$R$6,IF(AND($I2644="Base",$E2644="Gold"),Dashboard!$R$7,VLOOKUP($I2644,Dashboard!$Q$16:$R$21,2,FALSE)))))*VLOOKUP($I2644,Dashboard!$Q$9:$R$13,2,FALSE)*IF(AND($I2644="Auto",$F2644="",OR($B2644="Autographs Duals",$B2644="Autographs Triples",$B2644="Autographs Quads",$B2644="Autographs Quads (Inscribed)")),IF($B2644="Autographs Duals",2,IF($B2644="Autographs Triples",3,4)),1)))</f>
        <v>3</v>
      </c>
      <c r="AB2644" s="62">
        <f t="shared" si="544"/>
        <v>3</v>
      </c>
      <c r="AC2644" s="62">
        <f t="shared" si="545"/>
        <v>0</v>
      </c>
    </row>
    <row r="2645" spans="1:29" ht="28.7" customHeight="1" x14ac:dyDescent="0.25">
      <c r="A2645" s="4" t="s">
        <v>17</v>
      </c>
      <c r="B2645" s="7" t="s">
        <v>67</v>
      </c>
      <c r="C2645" s="2" t="s">
        <v>1474</v>
      </c>
      <c r="D2645" s="7" t="s">
        <v>989</v>
      </c>
      <c r="E2645" s="4" t="s">
        <v>1602</v>
      </c>
      <c r="F2645" s="2"/>
      <c r="G2645" s="2" t="s">
        <v>1399</v>
      </c>
      <c r="H2645" s="2" t="s">
        <v>1400</v>
      </c>
      <c r="I2645" s="4" t="s">
        <v>60</v>
      </c>
      <c r="J2645" s="112">
        <f>IF($H2645&lt;&gt;"Y",0,ROUND(MIN(Dashboard!$R$24,IF(IFERROR(VLOOKUP($B2645,Dashboard!$Q$28:$S$60,2,FALSE),0)&gt;0,IFERROR(VLOOKUP($B2645,Dashboard!$Q$28:$S$60,2,FALSE),0),$Z2645*IF($U2645&lt;&gt;"",ROUND((Dashboard!$R$4/$U2645)*VLOOKUP($I2645,Dashboard!$Q$9:$R$13,2,FALSE)*IF(ISNUMBER(SEARCH("Duals",$B2645)),2,IF(ISNUMBER(SEARCH("Triples",$B2645)),3,IF(ISNUMBER(SEARCH("Quads",$B2645)),4,1))),2),ROUND(VLOOKUP($I2645,Dashboard!$Q$15:$R$20,2,FALSE)*IF($E2645="Red",Dashboard!$R$6,IF($E2645="Gold",Dashboard!$R$7,Dashboard!$R$5))*IF(ISNUMBER(SEARCH("Duals",$B2645)),2,IF(ISNUMBER(SEARCH("Triples",$B2645)),3,IF(ISNUMBER(SEARCH("Quads",$B2645)),4,1))),2))*IF(IFERROR(VLOOKUP($B2645,Dashboard!$Q$28:$S$60,3,FALSE),0)&gt;0,VLOOKUP($B2645,Dashboard!$Q$28:$S$60,3,FALSE),1))),0))</f>
        <v>3</v>
      </c>
      <c r="K2645" s="2" t="str">
        <f>IF('Base S1'!E76="","",'Base S1'!E76)</f>
        <v>C</v>
      </c>
      <c r="L2645" s="2">
        <f t="shared" si="546"/>
        <v>1</v>
      </c>
      <c r="M2645" s="2">
        <f t="shared" si="547"/>
        <v>0</v>
      </c>
      <c r="N2645" s="2">
        <f t="shared" si="548"/>
        <v>1</v>
      </c>
      <c r="O2645" s="2">
        <f t="shared" si="549"/>
        <v>0</v>
      </c>
      <c r="P2645" s="112">
        <f t="shared" si="550"/>
        <v>3</v>
      </c>
      <c r="Q2645" s="112">
        <f t="shared" si="551"/>
        <v>0</v>
      </c>
      <c r="R2645" s="53"/>
      <c r="S2645" s="53" t="str">
        <f t="shared" si="539"/>
        <v>Base S1|Gold Parallel - Season 1|75|Gold</v>
      </c>
      <c r="T2645" s="57" t="str">
        <f>IF($S2645="","",IFERROR(VLOOKUP($S2645,'Pop Estimates (Non-#d)'!$N$2:$O$500,2,FALSE),""))</f>
        <v/>
      </c>
      <c r="U2645" s="57" t="str">
        <f t="shared" si="540"/>
        <v/>
      </c>
      <c r="V2645" s="53" t="str">
        <f t="shared" si="541"/>
        <v/>
      </c>
      <c r="W2645" s="53" t="str">
        <f t="shared" si="542"/>
        <v/>
      </c>
      <c r="X2645" s="53" t="str">
        <f t="shared" si="543"/>
        <v/>
      </c>
      <c r="Y2645" s="57" t="str">
        <f>IF($X2645="","",IFERROR(VLOOKUP($X2645,'Char Popularity'!$A$2:$C$500,2,FALSE),""))</f>
        <v/>
      </c>
      <c r="Z2645" s="56">
        <f>IF($X2645="",1,IFERROR(VLOOKUP($X2645,'Char Popularity'!$A$2:$C$500,3,FALSE),1))</f>
        <v>1</v>
      </c>
      <c r="AA2645" s="62">
        <f>IF($H2645&lt;&gt;"Y",0,(IF($F2645&lt;&gt;"",ROUND(Dashboard!$R$4/$F2645,1),IF(AND($I2645="Base",$E2645="Base"),Dashboard!$R$5,IF(AND($I2645="Base",$E2645="Red"),Dashboard!$R$6,IF(AND($I2645="Base",$E2645="Gold"),Dashboard!$R$7,VLOOKUP($I2645,Dashboard!$Q$16:$R$21,2,FALSE)))))*VLOOKUP($I2645,Dashboard!$Q$9:$R$13,2,FALSE)*IF(AND($I2645="Auto",$F2645="",OR($B2645="Autographs Duals",$B2645="Autographs Triples",$B2645="Autographs Quads",$B2645="Autographs Quads (Inscribed)")),IF($B2645="Autographs Duals",2,IF($B2645="Autographs Triples",3,4)),1)))</f>
        <v>3</v>
      </c>
      <c r="AB2645" s="62">
        <f t="shared" si="544"/>
        <v>3</v>
      </c>
      <c r="AC2645" s="62">
        <f t="shared" si="545"/>
        <v>0</v>
      </c>
    </row>
    <row r="2646" spans="1:29" ht="28.7" customHeight="1" x14ac:dyDescent="0.25">
      <c r="A2646" s="4" t="s">
        <v>17</v>
      </c>
      <c r="B2646" s="7" t="s">
        <v>67</v>
      </c>
      <c r="C2646" s="2" t="s">
        <v>1475</v>
      </c>
      <c r="D2646" s="7" t="s">
        <v>991</v>
      </c>
      <c r="E2646" s="4" t="s">
        <v>1602</v>
      </c>
      <c r="F2646" s="2"/>
      <c r="G2646" s="2" t="s">
        <v>1399</v>
      </c>
      <c r="H2646" s="2" t="s">
        <v>1400</v>
      </c>
      <c r="I2646" s="4" t="s">
        <v>60</v>
      </c>
      <c r="J2646" s="112">
        <f>IF($H2646&lt;&gt;"Y",0,ROUND(MIN(Dashboard!$R$24,IF(IFERROR(VLOOKUP($B2646,Dashboard!$Q$28:$S$60,2,FALSE),0)&gt;0,IFERROR(VLOOKUP($B2646,Dashboard!$Q$28:$S$60,2,FALSE),0),$Z2646*IF($U2646&lt;&gt;"",ROUND((Dashboard!$R$4/$U2646)*VLOOKUP($I2646,Dashboard!$Q$9:$R$13,2,FALSE)*IF(ISNUMBER(SEARCH("Duals",$B2646)),2,IF(ISNUMBER(SEARCH("Triples",$B2646)),3,IF(ISNUMBER(SEARCH("Quads",$B2646)),4,1))),2),ROUND(VLOOKUP($I2646,Dashboard!$Q$15:$R$20,2,FALSE)*IF($E2646="Red",Dashboard!$R$6,IF($E2646="Gold",Dashboard!$R$7,Dashboard!$R$5))*IF(ISNUMBER(SEARCH("Duals",$B2646)),2,IF(ISNUMBER(SEARCH("Triples",$B2646)),3,IF(ISNUMBER(SEARCH("Quads",$B2646)),4,1))),2))*IF(IFERROR(VLOOKUP($B2646,Dashboard!$Q$28:$S$60,3,FALSE),0)&gt;0,VLOOKUP($B2646,Dashboard!$Q$28:$S$60,3,FALSE),1))),0))</f>
        <v>3</v>
      </c>
      <c r="K2646" s="2" t="str">
        <f>IF('Base S1'!E77="","",'Base S1'!E77)</f>
        <v>C</v>
      </c>
      <c r="L2646" s="2">
        <f t="shared" si="546"/>
        <v>1</v>
      </c>
      <c r="M2646" s="2">
        <f t="shared" si="547"/>
        <v>0</v>
      </c>
      <c r="N2646" s="2">
        <f t="shared" si="548"/>
        <v>1</v>
      </c>
      <c r="O2646" s="2">
        <f t="shared" si="549"/>
        <v>0</v>
      </c>
      <c r="P2646" s="112">
        <f t="shared" si="550"/>
        <v>3</v>
      </c>
      <c r="Q2646" s="112">
        <f t="shared" si="551"/>
        <v>0</v>
      </c>
      <c r="R2646" s="53"/>
      <c r="S2646" s="53" t="str">
        <f t="shared" si="539"/>
        <v>Base S1|Gold Parallel - Season 1|76|Gold</v>
      </c>
      <c r="T2646" s="57" t="str">
        <f>IF($S2646="","",IFERROR(VLOOKUP($S2646,'Pop Estimates (Non-#d)'!$N$2:$O$500,2,FALSE),""))</f>
        <v/>
      </c>
      <c r="U2646" s="57" t="str">
        <f t="shared" si="540"/>
        <v/>
      </c>
      <c r="V2646" s="53" t="str">
        <f t="shared" si="541"/>
        <v/>
      </c>
      <c r="W2646" s="53" t="str">
        <f t="shared" si="542"/>
        <v/>
      </c>
      <c r="X2646" s="53" t="str">
        <f t="shared" si="543"/>
        <v/>
      </c>
      <c r="Y2646" s="57" t="str">
        <f>IF($X2646="","",IFERROR(VLOOKUP($X2646,'Char Popularity'!$A$2:$C$500,2,FALSE),""))</f>
        <v/>
      </c>
      <c r="Z2646" s="56">
        <f>IF($X2646="",1,IFERROR(VLOOKUP($X2646,'Char Popularity'!$A$2:$C$500,3,FALSE),1))</f>
        <v>1</v>
      </c>
      <c r="AA2646" s="62">
        <f>IF($H2646&lt;&gt;"Y",0,(IF($F2646&lt;&gt;"",ROUND(Dashboard!$R$4/$F2646,1),IF(AND($I2646="Base",$E2646="Base"),Dashboard!$R$5,IF(AND($I2646="Base",$E2646="Red"),Dashboard!$R$6,IF(AND($I2646="Base",$E2646="Gold"),Dashboard!$R$7,VLOOKUP($I2646,Dashboard!$Q$16:$R$21,2,FALSE)))))*VLOOKUP($I2646,Dashboard!$Q$9:$R$13,2,FALSE)*IF(AND($I2646="Auto",$F2646="",OR($B2646="Autographs Duals",$B2646="Autographs Triples",$B2646="Autographs Quads",$B2646="Autographs Quads (Inscribed)")),IF($B2646="Autographs Duals",2,IF($B2646="Autographs Triples",3,4)),1)))</f>
        <v>3</v>
      </c>
      <c r="AB2646" s="62">
        <f t="shared" si="544"/>
        <v>3</v>
      </c>
      <c r="AC2646" s="62">
        <f t="shared" si="545"/>
        <v>0</v>
      </c>
    </row>
    <row r="2647" spans="1:29" ht="28.7" customHeight="1" x14ac:dyDescent="0.25">
      <c r="A2647" s="4" t="s">
        <v>17</v>
      </c>
      <c r="B2647" s="7" t="s">
        <v>67</v>
      </c>
      <c r="C2647" s="2" t="s">
        <v>1476</v>
      </c>
      <c r="D2647" s="7" t="s">
        <v>993</v>
      </c>
      <c r="E2647" s="4" t="s">
        <v>1602</v>
      </c>
      <c r="F2647" s="2"/>
      <c r="G2647" s="2" t="s">
        <v>1399</v>
      </c>
      <c r="H2647" s="2" t="s">
        <v>1400</v>
      </c>
      <c r="I2647" s="4" t="s">
        <v>60</v>
      </c>
      <c r="J2647" s="112">
        <f>IF($H2647&lt;&gt;"Y",0,ROUND(MIN(Dashboard!$R$24,IF(IFERROR(VLOOKUP($B2647,Dashboard!$Q$28:$S$60,2,FALSE),0)&gt;0,IFERROR(VLOOKUP($B2647,Dashboard!$Q$28:$S$60,2,FALSE),0),$Z2647*IF($U2647&lt;&gt;"",ROUND((Dashboard!$R$4/$U2647)*VLOOKUP($I2647,Dashboard!$Q$9:$R$13,2,FALSE)*IF(ISNUMBER(SEARCH("Duals",$B2647)),2,IF(ISNUMBER(SEARCH("Triples",$B2647)),3,IF(ISNUMBER(SEARCH("Quads",$B2647)),4,1))),2),ROUND(VLOOKUP($I2647,Dashboard!$Q$15:$R$20,2,FALSE)*IF($E2647="Red",Dashboard!$R$6,IF($E2647="Gold",Dashboard!$R$7,Dashboard!$R$5))*IF(ISNUMBER(SEARCH("Duals",$B2647)),2,IF(ISNUMBER(SEARCH("Triples",$B2647)),3,IF(ISNUMBER(SEARCH("Quads",$B2647)),4,1))),2))*IF(IFERROR(VLOOKUP($B2647,Dashboard!$Q$28:$S$60,3,FALSE),0)&gt;0,VLOOKUP($B2647,Dashboard!$Q$28:$S$60,3,FALSE),1))),0))</f>
        <v>3</v>
      </c>
      <c r="K2647" s="2" t="str">
        <f>IF('Base S1'!E78="","",'Base S1'!E78)</f>
        <v>C</v>
      </c>
      <c r="L2647" s="2">
        <f t="shared" si="546"/>
        <v>1</v>
      </c>
      <c r="M2647" s="2">
        <f t="shared" si="547"/>
        <v>0</v>
      </c>
      <c r="N2647" s="2">
        <f t="shared" si="548"/>
        <v>1</v>
      </c>
      <c r="O2647" s="2">
        <f t="shared" si="549"/>
        <v>0</v>
      </c>
      <c r="P2647" s="112">
        <f t="shared" si="550"/>
        <v>3</v>
      </c>
      <c r="Q2647" s="112">
        <f t="shared" si="551"/>
        <v>0</v>
      </c>
      <c r="R2647" s="53"/>
      <c r="S2647" s="53" t="str">
        <f t="shared" si="539"/>
        <v>Base S1|Gold Parallel - Season 1|77|Gold</v>
      </c>
      <c r="T2647" s="57" t="str">
        <f>IF($S2647="","",IFERROR(VLOOKUP($S2647,'Pop Estimates (Non-#d)'!$N$2:$O$500,2,FALSE),""))</f>
        <v/>
      </c>
      <c r="U2647" s="57" t="str">
        <f t="shared" si="540"/>
        <v/>
      </c>
      <c r="V2647" s="53" t="str">
        <f t="shared" si="541"/>
        <v/>
      </c>
      <c r="W2647" s="53" t="str">
        <f t="shared" si="542"/>
        <v/>
      </c>
      <c r="X2647" s="53" t="str">
        <f t="shared" si="543"/>
        <v/>
      </c>
      <c r="Y2647" s="57" t="str">
        <f>IF($X2647="","",IFERROR(VLOOKUP($X2647,'Char Popularity'!$A$2:$C$500,2,FALSE),""))</f>
        <v/>
      </c>
      <c r="Z2647" s="56">
        <f>IF($X2647="",1,IFERROR(VLOOKUP($X2647,'Char Popularity'!$A$2:$C$500,3,FALSE),1))</f>
        <v>1</v>
      </c>
      <c r="AA2647" s="62">
        <f>IF($H2647&lt;&gt;"Y",0,(IF($F2647&lt;&gt;"",ROUND(Dashboard!$R$4/$F2647,1),IF(AND($I2647="Base",$E2647="Base"),Dashboard!$R$5,IF(AND($I2647="Base",$E2647="Red"),Dashboard!$R$6,IF(AND($I2647="Base",$E2647="Gold"),Dashboard!$R$7,VLOOKUP($I2647,Dashboard!$Q$16:$R$21,2,FALSE)))))*VLOOKUP($I2647,Dashboard!$Q$9:$R$13,2,FALSE)*IF(AND($I2647="Auto",$F2647="",OR($B2647="Autographs Duals",$B2647="Autographs Triples",$B2647="Autographs Quads",$B2647="Autographs Quads (Inscribed)")),IF($B2647="Autographs Duals",2,IF($B2647="Autographs Triples",3,4)),1)))</f>
        <v>3</v>
      </c>
      <c r="AB2647" s="62">
        <f t="shared" si="544"/>
        <v>3</v>
      </c>
      <c r="AC2647" s="62">
        <f t="shared" si="545"/>
        <v>0</v>
      </c>
    </row>
    <row r="2648" spans="1:29" ht="28.7" customHeight="1" x14ac:dyDescent="0.25">
      <c r="A2648" s="4" t="s">
        <v>17</v>
      </c>
      <c r="B2648" s="7" t="s">
        <v>67</v>
      </c>
      <c r="C2648" s="2" t="s">
        <v>1477</v>
      </c>
      <c r="D2648" s="7" t="s">
        <v>995</v>
      </c>
      <c r="E2648" s="4" t="s">
        <v>1602</v>
      </c>
      <c r="F2648" s="2"/>
      <c r="G2648" s="2" t="s">
        <v>1399</v>
      </c>
      <c r="H2648" s="2" t="s">
        <v>1400</v>
      </c>
      <c r="I2648" s="4" t="s">
        <v>60</v>
      </c>
      <c r="J2648" s="112">
        <f>IF($H2648&lt;&gt;"Y",0,ROUND(MIN(Dashboard!$R$24,IF(IFERROR(VLOOKUP($B2648,Dashboard!$Q$28:$S$60,2,FALSE),0)&gt;0,IFERROR(VLOOKUP($B2648,Dashboard!$Q$28:$S$60,2,FALSE),0),$Z2648*IF($U2648&lt;&gt;"",ROUND((Dashboard!$R$4/$U2648)*VLOOKUP($I2648,Dashboard!$Q$9:$R$13,2,FALSE)*IF(ISNUMBER(SEARCH("Duals",$B2648)),2,IF(ISNUMBER(SEARCH("Triples",$B2648)),3,IF(ISNUMBER(SEARCH("Quads",$B2648)),4,1))),2),ROUND(VLOOKUP($I2648,Dashboard!$Q$15:$R$20,2,FALSE)*IF($E2648="Red",Dashboard!$R$6,IF($E2648="Gold",Dashboard!$R$7,Dashboard!$R$5))*IF(ISNUMBER(SEARCH("Duals",$B2648)),2,IF(ISNUMBER(SEARCH("Triples",$B2648)),3,IF(ISNUMBER(SEARCH("Quads",$B2648)),4,1))),2))*IF(IFERROR(VLOOKUP($B2648,Dashboard!$Q$28:$S$60,3,FALSE),0)&gt;0,VLOOKUP($B2648,Dashboard!$Q$28:$S$60,3,FALSE),1))),0))</f>
        <v>3</v>
      </c>
      <c r="K2648" s="2" t="str">
        <f>IF('Base S1'!E79="","",'Base S1'!E79)</f>
        <v>C</v>
      </c>
      <c r="L2648" s="2">
        <f t="shared" si="546"/>
        <v>1</v>
      </c>
      <c r="M2648" s="2">
        <f t="shared" si="547"/>
        <v>0</v>
      </c>
      <c r="N2648" s="2">
        <f t="shared" si="548"/>
        <v>1</v>
      </c>
      <c r="O2648" s="2">
        <f t="shared" si="549"/>
        <v>0</v>
      </c>
      <c r="P2648" s="112">
        <f t="shared" si="550"/>
        <v>3</v>
      </c>
      <c r="Q2648" s="112">
        <f t="shared" si="551"/>
        <v>0</v>
      </c>
      <c r="R2648" s="53"/>
      <c r="S2648" s="53" t="str">
        <f t="shared" si="539"/>
        <v>Base S1|Gold Parallel - Season 1|78|Gold</v>
      </c>
      <c r="T2648" s="57" t="str">
        <f>IF($S2648="","",IFERROR(VLOOKUP($S2648,'Pop Estimates (Non-#d)'!$N$2:$O$500,2,FALSE),""))</f>
        <v/>
      </c>
      <c r="U2648" s="57" t="str">
        <f t="shared" si="540"/>
        <v/>
      </c>
      <c r="V2648" s="53" t="str">
        <f t="shared" si="541"/>
        <v/>
      </c>
      <c r="W2648" s="53" t="str">
        <f t="shared" si="542"/>
        <v/>
      </c>
      <c r="X2648" s="53" t="str">
        <f t="shared" si="543"/>
        <v/>
      </c>
      <c r="Y2648" s="57" t="str">
        <f>IF($X2648="","",IFERROR(VLOOKUP($X2648,'Char Popularity'!$A$2:$C$500,2,FALSE),""))</f>
        <v/>
      </c>
      <c r="Z2648" s="56">
        <f>IF($X2648="",1,IFERROR(VLOOKUP($X2648,'Char Popularity'!$A$2:$C$500,3,FALSE),1))</f>
        <v>1</v>
      </c>
      <c r="AA2648" s="62">
        <f>IF($H2648&lt;&gt;"Y",0,(IF($F2648&lt;&gt;"",ROUND(Dashboard!$R$4/$F2648,1),IF(AND($I2648="Base",$E2648="Base"),Dashboard!$R$5,IF(AND($I2648="Base",$E2648="Red"),Dashboard!$R$6,IF(AND($I2648="Base",$E2648="Gold"),Dashboard!$R$7,VLOOKUP($I2648,Dashboard!$Q$16:$R$21,2,FALSE)))))*VLOOKUP($I2648,Dashboard!$Q$9:$R$13,2,FALSE)*IF(AND($I2648="Auto",$F2648="",OR($B2648="Autographs Duals",$B2648="Autographs Triples",$B2648="Autographs Quads",$B2648="Autographs Quads (Inscribed)")),IF($B2648="Autographs Duals",2,IF($B2648="Autographs Triples",3,4)),1)))</f>
        <v>3</v>
      </c>
      <c r="AB2648" s="62">
        <f t="shared" si="544"/>
        <v>3</v>
      </c>
      <c r="AC2648" s="62">
        <f t="shared" si="545"/>
        <v>0</v>
      </c>
    </row>
    <row r="2649" spans="1:29" ht="28.7" customHeight="1" x14ac:dyDescent="0.25">
      <c r="A2649" s="4" t="s">
        <v>17</v>
      </c>
      <c r="B2649" s="7" t="s">
        <v>67</v>
      </c>
      <c r="C2649" s="2" t="s">
        <v>1478</v>
      </c>
      <c r="D2649" s="7" t="s">
        <v>998</v>
      </c>
      <c r="E2649" s="4" t="s">
        <v>1602</v>
      </c>
      <c r="F2649" s="2"/>
      <c r="G2649" s="2" t="s">
        <v>1399</v>
      </c>
      <c r="H2649" s="2" t="s">
        <v>1400</v>
      </c>
      <c r="I2649" s="4" t="s">
        <v>60</v>
      </c>
      <c r="J2649" s="112">
        <f>IF($H2649&lt;&gt;"Y",0,ROUND(MIN(Dashboard!$R$24,IF(IFERROR(VLOOKUP($B2649,Dashboard!$Q$28:$S$60,2,FALSE),0)&gt;0,IFERROR(VLOOKUP($B2649,Dashboard!$Q$28:$S$60,2,FALSE),0),$Z2649*IF($U2649&lt;&gt;"",ROUND((Dashboard!$R$4/$U2649)*VLOOKUP($I2649,Dashboard!$Q$9:$R$13,2,FALSE)*IF(ISNUMBER(SEARCH("Duals",$B2649)),2,IF(ISNUMBER(SEARCH("Triples",$B2649)),3,IF(ISNUMBER(SEARCH("Quads",$B2649)),4,1))),2),ROUND(VLOOKUP($I2649,Dashboard!$Q$15:$R$20,2,FALSE)*IF($E2649="Red",Dashboard!$R$6,IF($E2649="Gold",Dashboard!$R$7,Dashboard!$R$5))*IF(ISNUMBER(SEARCH("Duals",$B2649)),2,IF(ISNUMBER(SEARCH("Triples",$B2649)),3,IF(ISNUMBER(SEARCH("Quads",$B2649)),4,1))),2))*IF(IFERROR(VLOOKUP($B2649,Dashboard!$Q$28:$S$60,3,FALSE),0)&gt;0,VLOOKUP($B2649,Dashboard!$Q$28:$S$60,3,FALSE),1))),0))</f>
        <v>3</v>
      </c>
      <c r="K2649" s="2" t="str">
        <f>IF('Base S1'!E80="","",'Base S1'!E80)</f>
        <v>C</v>
      </c>
      <c r="L2649" s="2">
        <f t="shared" si="546"/>
        <v>1</v>
      </c>
      <c r="M2649" s="2">
        <f t="shared" si="547"/>
        <v>0</v>
      </c>
      <c r="N2649" s="2">
        <f t="shared" si="548"/>
        <v>1</v>
      </c>
      <c r="O2649" s="2">
        <f t="shared" si="549"/>
        <v>0</v>
      </c>
      <c r="P2649" s="112">
        <f t="shared" si="550"/>
        <v>3</v>
      </c>
      <c r="Q2649" s="112">
        <f t="shared" si="551"/>
        <v>0</v>
      </c>
      <c r="R2649" s="53"/>
      <c r="S2649" s="53" t="str">
        <f t="shared" si="539"/>
        <v>Base S1|Gold Parallel - Season 1|79|Gold</v>
      </c>
      <c r="T2649" s="57" t="str">
        <f>IF($S2649="","",IFERROR(VLOOKUP($S2649,'Pop Estimates (Non-#d)'!$N$2:$O$500,2,FALSE),""))</f>
        <v/>
      </c>
      <c r="U2649" s="57" t="str">
        <f t="shared" si="540"/>
        <v/>
      </c>
      <c r="V2649" s="53" t="str">
        <f t="shared" si="541"/>
        <v/>
      </c>
      <c r="W2649" s="53" t="str">
        <f t="shared" si="542"/>
        <v/>
      </c>
      <c r="X2649" s="53" t="str">
        <f t="shared" si="543"/>
        <v/>
      </c>
      <c r="Y2649" s="57" t="str">
        <f>IF($X2649="","",IFERROR(VLOOKUP($X2649,'Char Popularity'!$A$2:$C$500,2,FALSE),""))</f>
        <v/>
      </c>
      <c r="Z2649" s="56">
        <f>IF($X2649="",1,IFERROR(VLOOKUP($X2649,'Char Popularity'!$A$2:$C$500,3,FALSE),1))</f>
        <v>1</v>
      </c>
      <c r="AA2649" s="62">
        <f>IF($H2649&lt;&gt;"Y",0,(IF($F2649&lt;&gt;"",ROUND(Dashboard!$R$4/$F2649,1),IF(AND($I2649="Base",$E2649="Base"),Dashboard!$R$5,IF(AND($I2649="Base",$E2649="Red"),Dashboard!$R$6,IF(AND($I2649="Base",$E2649="Gold"),Dashboard!$R$7,VLOOKUP($I2649,Dashboard!$Q$16:$R$21,2,FALSE)))))*VLOOKUP($I2649,Dashboard!$Q$9:$R$13,2,FALSE)*IF(AND($I2649="Auto",$F2649="",OR($B2649="Autographs Duals",$B2649="Autographs Triples",$B2649="Autographs Quads",$B2649="Autographs Quads (Inscribed)")),IF($B2649="Autographs Duals",2,IF($B2649="Autographs Triples",3,4)),1)))</f>
        <v>3</v>
      </c>
      <c r="AB2649" s="62">
        <f t="shared" si="544"/>
        <v>3</v>
      </c>
      <c r="AC2649" s="62">
        <f t="shared" si="545"/>
        <v>0</v>
      </c>
    </row>
    <row r="2650" spans="1:29" ht="28.7" customHeight="1" x14ac:dyDescent="0.25">
      <c r="A2650" s="4" t="s">
        <v>17</v>
      </c>
      <c r="B2650" s="7" t="s">
        <v>67</v>
      </c>
      <c r="C2650" s="2" t="s">
        <v>1479</v>
      </c>
      <c r="D2650" s="7" t="s">
        <v>1000</v>
      </c>
      <c r="E2650" s="4" t="s">
        <v>1602</v>
      </c>
      <c r="F2650" s="2"/>
      <c r="G2650" s="2" t="s">
        <v>1399</v>
      </c>
      <c r="H2650" s="2" t="s">
        <v>1400</v>
      </c>
      <c r="I2650" s="4" t="s">
        <v>60</v>
      </c>
      <c r="J2650" s="112">
        <f>IF($H2650&lt;&gt;"Y",0,ROUND(MIN(Dashboard!$R$24,IF(IFERROR(VLOOKUP($B2650,Dashboard!$Q$28:$S$60,2,FALSE),0)&gt;0,IFERROR(VLOOKUP($B2650,Dashboard!$Q$28:$S$60,2,FALSE),0),$Z2650*IF($U2650&lt;&gt;"",ROUND((Dashboard!$R$4/$U2650)*VLOOKUP($I2650,Dashboard!$Q$9:$R$13,2,FALSE)*IF(ISNUMBER(SEARCH("Duals",$B2650)),2,IF(ISNUMBER(SEARCH("Triples",$B2650)),3,IF(ISNUMBER(SEARCH("Quads",$B2650)),4,1))),2),ROUND(VLOOKUP($I2650,Dashboard!$Q$15:$R$20,2,FALSE)*IF($E2650="Red",Dashboard!$R$6,IF($E2650="Gold",Dashboard!$R$7,Dashboard!$R$5))*IF(ISNUMBER(SEARCH("Duals",$B2650)),2,IF(ISNUMBER(SEARCH("Triples",$B2650)),3,IF(ISNUMBER(SEARCH("Quads",$B2650)),4,1))),2))*IF(IFERROR(VLOOKUP($B2650,Dashboard!$Q$28:$S$60,3,FALSE),0)&gt;0,VLOOKUP($B2650,Dashboard!$Q$28:$S$60,3,FALSE),1))),0))</f>
        <v>3</v>
      </c>
      <c r="K2650" s="2" t="str">
        <f>IF('Base S1'!E81="","",'Base S1'!E81)</f>
        <v>C</v>
      </c>
      <c r="L2650" s="2">
        <f t="shared" si="546"/>
        <v>1</v>
      </c>
      <c r="M2650" s="2">
        <f t="shared" si="547"/>
        <v>0</v>
      </c>
      <c r="N2650" s="2">
        <f t="shared" si="548"/>
        <v>1</v>
      </c>
      <c r="O2650" s="2">
        <f t="shared" si="549"/>
        <v>0</v>
      </c>
      <c r="P2650" s="112">
        <f t="shared" si="550"/>
        <v>3</v>
      </c>
      <c r="Q2650" s="112">
        <f t="shared" si="551"/>
        <v>0</v>
      </c>
      <c r="R2650" s="53"/>
      <c r="S2650" s="53" t="str">
        <f t="shared" si="539"/>
        <v>Base S1|Gold Parallel - Season 1|80|Gold</v>
      </c>
      <c r="T2650" s="57" t="str">
        <f>IF($S2650="","",IFERROR(VLOOKUP($S2650,'Pop Estimates (Non-#d)'!$N$2:$O$500,2,FALSE),""))</f>
        <v/>
      </c>
      <c r="U2650" s="57" t="str">
        <f t="shared" si="540"/>
        <v/>
      </c>
      <c r="V2650" s="53" t="str">
        <f t="shared" si="541"/>
        <v/>
      </c>
      <c r="W2650" s="53" t="str">
        <f t="shared" si="542"/>
        <v/>
      </c>
      <c r="X2650" s="53" t="str">
        <f t="shared" si="543"/>
        <v/>
      </c>
      <c r="Y2650" s="57" t="str">
        <f>IF($X2650="","",IFERROR(VLOOKUP($X2650,'Char Popularity'!$A$2:$C$500,2,FALSE),""))</f>
        <v/>
      </c>
      <c r="Z2650" s="56">
        <f>IF($X2650="",1,IFERROR(VLOOKUP($X2650,'Char Popularity'!$A$2:$C$500,3,FALSE),1))</f>
        <v>1</v>
      </c>
      <c r="AA2650" s="62">
        <f>IF($H2650&lt;&gt;"Y",0,(IF($F2650&lt;&gt;"",ROUND(Dashboard!$R$4/$F2650,1),IF(AND($I2650="Base",$E2650="Base"),Dashboard!$R$5,IF(AND($I2650="Base",$E2650="Red"),Dashboard!$R$6,IF(AND($I2650="Base",$E2650="Gold"),Dashboard!$R$7,VLOOKUP($I2650,Dashboard!$Q$16:$R$21,2,FALSE)))))*VLOOKUP($I2650,Dashboard!$Q$9:$R$13,2,FALSE)*IF(AND($I2650="Auto",$F2650="",OR($B2650="Autographs Duals",$B2650="Autographs Triples",$B2650="Autographs Quads",$B2650="Autographs Quads (Inscribed)")),IF($B2650="Autographs Duals",2,IF($B2650="Autographs Triples",3,4)),1)))</f>
        <v>3</v>
      </c>
      <c r="AB2650" s="62">
        <f t="shared" si="544"/>
        <v>3</v>
      </c>
      <c r="AC2650" s="62">
        <f t="shared" si="545"/>
        <v>0</v>
      </c>
    </row>
    <row r="2651" spans="1:29" ht="28.7" customHeight="1" x14ac:dyDescent="0.25">
      <c r="A2651" s="4" t="s">
        <v>17</v>
      </c>
      <c r="B2651" s="7" t="s">
        <v>67</v>
      </c>
      <c r="C2651" s="2" t="s">
        <v>1480</v>
      </c>
      <c r="D2651" s="7" t="s">
        <v>1003</v>
      </c>
      <c r="E2651" s="4" t="s">
        <v>1602</v>
      </c>
      <c r="F2651" s="2"/>
      <c r="G2651" s="2" t="s">
        <v>1399</v>
      </c>
      <c r="H2651" s="2" t="s">
        <v>1400</v>
      </c>
      <c r="I2651" s="4" t="s">
        <v>60</v>
      </c>
      <c r="J2651" s="112">
        <f>IF($H2651&lt;&gt;"Y",0,ROUND(MIN(Dashboard!$R$24,IF(IFERROR(VLOOKUP($B2651,Dashboard!$Q$28:$S$60,2,FALSE),0)&gt;0,IFERROR(VLOOKUP($B2651,Dashboard!$Q$28:$S$60,2,FALSE),0),$Z2651*IF($U2651&lt;&gt;"",ROUND((Dashboard!$R$4/$U2651)*VLOOKUP($I2651,Dashboard!$Q$9:$R$13,2,FALSE)*IF(ISNUMBER(SEARCH("Duals",$B2651)),2,IF(ISNUMBER(SEARCH("Triples",$B2651)),3,IF(ISNUMBER(SEARCH("Quads",$B2651)),4,1))),2),ROUND(VLOOKUP($I2651,Dashboard!$Q$15:$R$20,2,FALSE)*IF($E2651="Red",Dashboard!$R$6,IF($E2651="Gold",Dashboard!$R$7,Dashboard!$R$5))*IF(ISNUMBER(SEARCH("Duals",$B2651)),2,IF(ISNUMBER(SEARCH("Triples",$B2651)),3,IF(ISNUMBER(SEARCH("Quads",$B2651)),4,1))),2))*IF(IFERROR(VLOOKUP($B2651,Dashboard!$Q$28:$S$60,3,FALSE),0)&gt;0,VLOOKUP($B2651,Dashboard!$Q$28:$S$60,3,FALSE),1))),0))</f>
        <v>3</v>
      </c>
      <c r="K2651" s="2" t="str">
        <f>IF('Base S1'!E82="","",'Base S1'!E82)</f>
        <v>C</v>
      </c>
      <c r="L2651" s="2">
        <f t="shared" si="546"/>
        <v>1</v>
      </c>
      <c r="M2651" s="2">
        <f t="shared" si="547"/>
        <v>0</v>
      </c>
      <c r="N2651" s="2">
        <f t="shared" si="548"/>
        <v>1</v>
      </c>
      <c r="O2651" s="2">
        <f t="shared" si="549"/>
        <v>0</v>
      </c>
      <c r="P2651" s="112">
        <f t="shared" si="550"/>
        <v>3</v>
      </c>
      <c r="Q2651" s="112">
        <f t="shared" si="551"/>
        <v>0</v>
      </c>
      <c r="R2651" s="53"/>
      <c r="S2651" s="53" t="str">
        <f t="shared" si="539"/>
        <v>Base S1|Gold Parallel - Season 1|81|Gold</v>
      </c>
      <c r="T2651" s="57" t="str">
        <f>IF($S2651="","",IFERROR(VLOOKUP($S2651,'Pop Estimates (Non-#d)'!$N$2:$O$500,2,FALSE),""))</f>
        <v/>
      </c>
      <c r="U2651" s="57" t="str">
        <f t="shared" si="540"/>
        <v/>
      </c>
      <c r="V2651" s="53" t="str">
        <f t="shared" si="541"/>
        <v/>
      </c>
      <c r="W2651" s="53" t="str">
        <f t="shared" si="542"/>
        <v/>
      </c>
      <c r="X2651" s="53" t="str">
        <f t="shared" si="543"/>
        <v/>
      </c>
      <c r="Y2651" s="57" t="str">
        <f>IF($X2651="","",IFERROR(VLOOKUP($X2651,'Char Popularity'!$A$2:$C$500,2,FALSE),""))</f>
        <v/>
      </c>
      <c r="Z2651" s="56">
        <f>IF($X2651="",1,IFERROR(VLOOKUP($X2651,'Char Popularity'!$A$2:$C$500,3,FALSE),1))</f>
        <v>1</v>
      </c>
      <c r="AA2651" s="62">
        <f>IF($H2651&lt;&gt;"Y",0,(IF($F2651&lt;&gt;"",ROUND(Dashboard!$R$4/$F2651,1),IF(AND($I2651="Base",$E2651="Base"),Dashboard!$R$5,IF(AND($I2651="Base",$E2651="Red"),Dashboard!$R$6,IF(AND($I2651="Base",$E2651="Gold"),Dashboard!$R$7,VLOOKUP($I2651,Dashboard!$Q$16:$R$21,2,FALSE)))))*VLOOKUP($I2651,Dashboard!$Q$9:$R$13,2,FALSE)*IF(AND($I2651="Auto",$F2651="",OR($B2651="Autographs Duals",$B2651="Autographs Triples",$B2651="Autographs Quads",$B2651="Autographs Quads (Inscribed)")),IF($B2651="Autographs Duals",2,IF($B2651="Autographs Triples",3,4)),1)))</f>
        <v>3</v>
      </c>
      <c r="AB2651" s="62">
        <f t="shared" si="544"/>
        <v>3</v>
      </c>
      <c r="AC2651" s="62">
        <f t="shared" si="545"/>
        <v>0</v>
      </c>
    </row>
    <row r="2652" spans="1:29" ht="28.7" customHeight="1" x14ac:dyDescent="0.25">
      <c r="A2652" s="4" t="s">
        <v>17</v>
      </c>
      <c r="B2652" s="7" t="s">
        <v>67</v>
      </c>
      <c r="C2652" s="2" t="s">
        <v>1481</v>
      </c>
      <c r="D2652" s="7" t="s">
        <v>1005</v>
      </c>
      <c r="E2652" s="4" t="s">
        <v>1602</v>
      </c>
      <c r="F2652" s="2"/>
      <c r="G2652" s="2" t="s">
        <v>1399</v>
      </c>
      <c r="H2652" s="2" t="s">
        <v>1400</v>
      </c>
      <c r="I2652" s="4" t="s">
        <v>60</v>
      </c>
      <c r="J2652" s="112">
        <f>IF($H2652&lt;&gt;"Y",0,ROUND(MIN(Dashboard!$R$24,IF(IFERROR(VLOOKUP($B2652,Dashboard!$Q$28:$S$60,2,FALSE),0)&gt;0,IFERROR(VLOOKUP($B2652,Dashboard!$Q$28:$S$60,2,FALSE),0),$Z2652*IF($U2652&lt;&gt;"",ROUND((Dashboard!$R$4/$U2652)*VLOOKUP($I2652,Dashboard!$Q$9:$R$13,2,FALSE)*IF(ISNUMBER(SEARCH("Duals",$B2652)),2,IF(ISNUMBER(SEARCH("Triples",$B2652)),3,IF(ISNUMBER(SEARCH("Quads",$B2652)),4,1))),2),ROUND(VLOOKUP($I2652,Dashboard!$Q$15:$R$20,2,FALSE)*IF($E2652="Red",Dashboard!$R$6,IF($E2652="Gold",Dashboard!$R$7,Dashboard!$R$5))*IF(ISNUMBER(SEARCH("Duals",$B2652)),2,IF(ISNUMBER(SEARCH("Triples",$B2652)),3,IF(ISNUMBER(SEARCH("Quads",$B2652)),4,1))),2))*IF(IFERROR(VLOOKUP($B2652,Dashboard!$Q$28:$S$60,3,FALSE),0)&gt;0,VLOOKUP($B2652,Dashboard!$Q$28:$S$60,3,FALSE),1))),0))</f>
        <v>3</v>
      </c>
      <c r="K2652" s="2" t="str">
        <f>IF('Base S1'!E83="","",'Base S1'!E83)</f>
        <v>C</v>
      </c>
      <c r="L2652" s="2">
        <f t="shared" si="546"/>
        <v>1</v>
      </c>
      <c r="M2652" s="2">
        <f t="shared" si="547"/>
        <v>0</v>
      </c>
      <c r="N2652" s="2">
        <f t="shared" si="548"/>
        <v>1</v>
      </c>
      <c r="O2652" s="2">
        <f t="shared" si="549"/>
        <v>0</v>
      </c>
      <c r="P2652" s="112">
        <f t="shared" si="550"/>
        <v>3</v>
      </c>
      <c r="Q2652" s="112">
        <f t="shared" si="551"/>
        <v>0</v>
      </c>
      <c r="R2652" s="53"/>
      <c r="S2652" s="53" t="str">
        <f t="shared" si="539"/>
        <v>Base S1|Gold Parallel - Season 1|82|Gold</v>
      </c>
      <c r="T2652" s="57" t="str">
        <f>IF($S2652="","",IFERROR(VLOOKUP($S2652,'Pop Estimates (Non-#d)'!$N$2:$O$500,2,FALSE),""))</f>
        <v/>
      </c>
      <c r="U2652" s="57" t="str">
        <f t="shared" si="540"/>
        <v/>
      </c>
      <c r="V2652" s="53" t="str">
        <f t="shared" si="541"/>
        <v/>
      </c>
      <c r="W2652" s="53" t="str">
        <f t="shared" si="542"/>
        <v/>
      </c>
      <c r="X2652" s="53" t="str">
        <f t="shared" si="543"/>
        <v/>
      </c>
      <c r="Y2652" s="57" t="str">
        <f>IF($X2652="","",IFERROR(VLOOKUP($X2652,'Char Popularity'!$A$2:$C$500,2,FALSE),""))</f>
        <v/>
      </c>
      <c r="Z2652" s="56">
        <f>IF($X2652="",1,IFERROR(VLOOKUP($X2652,'Char Popularity'!$A$2:$C$500,3,FALSE),1))</f>
        <v>1</v>
      </c>
      <c r="AA2652" s="62">
        <f>IF($H2652&lt;&gt;"Y",0,(IF($F2652&lt;&gt;"",ROUND(Dashboard!$R$4/$F2652,1),IF(AND($I2652="Base",$E2652="Base"),Dashboard!$R$5,IF(AND($I2652="Base",$E2652="Red"),Dashboard!$R$6,IF(AND($I2652="Base",$E2652="Gold"),Dashboard!$R$7,VLOOKUP($I2652,Dashboard!$Q$16:$R$21,2,FALSE)))))*VLOOKUP($I2652,Dashboard!$Q$9:$R$13,2,FALSE)*IF(AND($I2652="Auto",$F2652="",OR($B2652="Autographs Duals",$B2652="Autographs Triples",$B2652="Autographs Quads",$B2652="Autographs Quads (Inscribed)")),IF($B2652="Autographs Duals",2,IF($B2652="Autographs Triples",3,4)),1)))</f>
        <v>3</v>
      </c>
      <c r="AB2652" s="62">
        <f t="shared" si="544"/>
        <v>3</v>
      </c>
      <c r="AC2652" s="62">
        <f t="shared" si="545"/>
        <v>0</v>
      </c>
    </row>
    <row r="2653" spans="1:29" ht="28.7" customHeight="1" x14ac:dyDescent="0.25">
      <c r="A2653" s="4" t="s">
        <v>17</v>
      </c>
      <c r="B2653" s="7" t="s">
        <v>67</v>
      </c>
      <c r="C2653" s="2" t="s">
        <v>1482</v>
      </c>
      <c r="D2653" s="7" t="s">
        <v>1008</v>
      </c>
      <c r="E2653" s="4" t="s">
        <v>1602</v>
      </c>
      <c r="F2653" s="2"/>
      <c r="G2653" s="2" t="s">
        <v>1399</v>
      </c>
      <c r="H2653" s="2" t="s">
        <v>1400</v>
      </c>
      <c r="I2653" s="4" t="s">
        <v>60</v>
      </c>
      <c r="J2653" s="112">
        <f>IF($H2653&lt;&gt;"Y",0,ROUND(MIN(Dashboard!$R$24,IF(IFERROR(VLOOKUP($B2653,Dashboard!$Q$28:$S$60,2,FALSE),0)&gt;0,IFERROR(VLOOKUP($B2653,Dashboard!$Q$28:$S$60,2,FALSE),0),$Z2653*IF($U2653&lt;&gt;"",ROUND((Dashboard!$R$4/$U2653)*VLOOKUP($I2653,Dashboard!$Q$9:$R$13,2,FALSE)*IF(ISNUMBER(SEARCH("Duals",$B2653)),2,IF(ISNUMBER(SEARCH("Triples",$B2653)),3,IF(ISNUMBER(SEARCH("Quads",$B2653)),4,1))),2),ROUND(VLOOKUP($I2653,Dashboard!$Q$15:$R$20,2,FALSE)*IF($E2653="Red",Dashboard!$R$6,IF($E2653="Gold",Dashboard!$R$7,Dashboard!$R$5))*IF(ISNUMBER(SEARCH("Duals",$B2653)),2,IF(ISNUMBER(SEARCH("Triples",$B2653)),3,IF(ISNUMBER(SEARCH("Quads",$B2653)),4,1))),2))*IF(IFERROR(VLOOKUP($B2653,Dashboard!$Q$28:$S$60,3,FALSE),0)&gt;0,VLOOKUP($B2653,Dashboard!$Q$28:$S$60,3,FALSE),1))),0))</f>
        <v>3</v>
      </c>
      <c r="K2653" s="2" t="str">
        <f>IF('Base S1'!E84="","",'Base S1'!E84)</f>
        <v>C</v>
      </c>
      <c r="L2653" s="2">
        <f t="shared" si="546"/>
        <v>1</v>
      </c>
      <c r="M2653" s="2">
        <f t="shared" si="547"/>
        <v>0</v>
      </c>
      <c r="N2653" s="2">
        <f t="shared" si="548"/>
        <v>1</v>
      </c>
      <c r="O2653" s="2">
        <f t="shared" si="549"/>
        <v>0</v>
      </c>
      <c r="P2653" s="112">
        <f t="shared" si="550"/>
        <v>3</v>
      </c>
      <c r="Q2653" s="112">
        <f t="shared" si="551"/>
        <v>0</v>
      </c>
      <c r="R2653" s="53"/>
      <c r="S2653" s="53" t="str">
        <f t="shared" si="539"/>
        <v>Base S1|Gold Parallel - Season 1|83|Gold</v>
      </c>
      <c r="T2653" s="57" t="str">
        <f>IF($S2653="","",IFERROR(VLOOKUP($S2653,'Pop Estimates (Non-#d)'!$N$2:$O$500,2,FALSE),""))</f>
        <v/>
      </c>
      <c r="U2653" s="57" t="str">
        <f t="shared" si="540"/>
        <v/>
      </c>
      <c r="V2653" s="53" t="str">
        <f t="shared" si="541"/>
        <v/>
      </c>
      <c r="W2653" s="53" t="str">
        <f t="shared" si="542"/>
        <v/>
      </c>
      <c r="X2653" s="53" t="str">
        <f t="shared" si="543"/>
        <v/>
      </c>
      <c r="Y2653" s="57" t="str">
        <f>IF($X2653="","",IFERROR(VLOOKUP($X2653,'Char Popularity'!$A$2:$C$500,2,FALSE),""))</f>
        <v/>
      </c>
      <c r="Z2653" s="56">
        <f>IF($X2653="",1,IFERROR(VLOOKUP($X2653,'Char Popularity'!$A$2:$C$500,3,FALSE),1))</f>
        <v>1</v>
      </c>
      <c r="AA2653" s="62">
        <f>IF($H2653&lt;&gt;"Y",0,(IF($F2653&lt;&gt;"",ROUND(Dashboard!$R$4/$F2653,1),IF(AND($I2653="Base",$E2653="Base"),Dashboard!$R$5,IF(AND($I2653="Base",$E2653="Red"),Dashboard!$R$6,IF(AND($I2653="Base",$E2653="Gold"),Dashboard!$R$7,VLOOKUP($I2653,Dashboard!$Q$16:$R$21,2,FALSE)))))*VLOOKUP($I2653,Dashboard!$Q$9:$R$13,2,FALSE)*IF(AND($I2653="Auto",$F2653="",OR($B2653="Autographs Duals",$B2653="Autographs Triples",$B2653="Autographs Quads",$B2653="Autographs Quads (Inscribed)")),IF($B2653="Autographs Duals",2,IF($B2653="Autographs Triples",3,4)),1)))</f>
        <v>3</v>
      </c>
      <c r="AB2653" s="62">
        <f t="shared" si="544"/>
        <v>3</v>
      </c>
      <c r="AC2653" s="62">
        <f t="shared" si="545"/>
        <v>0</v>
      </c>
    </row>
    <row r="2654" spans="1:29" ht="28.7" customHeight="1" x14ac:dyDescent="0.25">
      <c r="A2654" s="4" t="s">
        <v>17</v>
      </c>
      <c r="B2654" s="7" t="s">
        <v>67</v>
      </c>
      <c r="C2654" s="2" t="s">
        <v>1483</v>
      </c>
      <c r="D2654" s="7" t="s">
        <v>1010</v>
      </c>
      <c r="E2654" s="4" t="s">
        <v>1602</v>
      </c>
      <c r="F2654" s="2"/>
      <c r="G2654" s="2" t="s">
        <v>1399</v>
      </c>
      <c r="H2654" s="2" t="s">
        <v>1400</v>
      </c>
      <c r="I2654" s="4" t="s">
        <v>60</v>
      </c>
      <c r="J2654" s="112">
        <f>IF($H2654&lt;&gt;"Y",0,ROUND(MIN(Dashboard!$R$24,IF(IFERROR(VLOOKUP($B2654,Dashboard!$Q$28:$S$60,2,FALSE),0)&gt;0,IFERROR(VLOOKUP($B2654,Dashboard!$Q$28:$S$60,2,FALSE),0),$Z2654*IF($U2654&lt;&gt;"",ROUND((Dashboard!$R$4/$U2654)*VLOOKUP($I2654,Dashboard!$Q$9:$R$13,2,FALSE)*IF(ISNUMBER(SEARCH("Duals",$B2654)),2,IF(ISNUMBER(SEARCH("Triples",$B2654)),3,IF(ISNUMBER(SEARCH("Quads",$B2654)),4,1))),2),ROUND(VLOOKUP($I2654,Dashboard!$Q$15:$R$20,2,FALSE)*IF($E2654="Red",Dashboard!$R$6,IF($E2654="Gold",Dashboard!$R$7,Dashboard!$R$5))*IF(ISNUMBER(SEARCH("Duals",$B2654)),2,IF(ISNUMBER(SEARCH("Triples",$B2654)),3,IF(ISNUMBER(SEARCH("Quads",$B2654)),4,1))),2))*IF(IFERROR(VLOOKUP($B2654,Dashboard!$Q$28:$S$60,3,FALSE),0)&gt;0,VLOOKUP($B2654,Dashboard!$Q$28:$S$60,3,FALSE),1))),0))</f>
        <v>3</v>
      </c>
      <c r="K2654" s="2" t="str">
        <f>IF('Base S1'!E85="","",'Base S1'!E85)</f>
        <v>C</v>
      </c>
      <c r="L2654" s="2">
        <f t="shared" si="546"/>
        <v>1</v>
      </c>
      <c r="M2654" s="2">
        <f t="shared" si="547"/>
        <v>0</v>
      </c>
      <c r="N2654" s="2">
        <f t="shared" si="548"/>
        <v>1</v>
      </c>
      <c r="O2654" s="2">
        <f t="shared" si="549"/>
        <v>0</v>
      </c>
      <c r="P2654" s="112">
        <f t="shared" si="550"/>
        <v>3</v>
      </c>
      <c r="Q2654" s="112">
        <f t="shared" si="551"/>
        <v>0</v>
      </c>
      <c r="R2654" s="53"/>
      <c r="S2654" s="53" t="str">
        <f t="shared" si="539"/>
        <v>Base S1|Gold Parallel - Season 1|84|Gold</v>
      </c>
      <c r="T2654" s="57" t="str">
        <f>IF($S2654="","",IFERROR(VLOOKUP($S2654,'Pop Estimates (Non-#d)'!$N$2:$O$500,2,FALSE),""))</f>
        <v/>
      </c>
      <c r="U2654" s="57" t="str">
        <f t="shared" si="540"/>
        <v/>
      </c>
      <c r="V2654" s="53" t="str">
        <f t="shared" si="541"/>
        <v/>
      </c>
      <c r="W2654" s="53" t="str">
        <f t="shared" si="542"/>
        <v/>
      </c>
      <c r="X2654" s="53" t="str">
        <f t="shared" si="543"/>
        <v/>
      </c>
      <c r="Y2654" s="57" t="str">
        <f>IF($X2654="","",IFERROR(VLOOKUP($X2654,'Char Popularity'!$A$2:$C$500,2,FALSE),""))</f>
        <v/>
      </c>
      <c r="Z2654" s="56">
        <f>IF($X2654="",1,IFERROR(VLOOKUP($X2654,'Char Popularity'!$A$2:$C$500,3,FALSE),1))</f>
        <v>1</v>
      </c>
      <c r="AA2654" s="62">
        <f>IF($H2654&lt;&gt;"Y",0,(IF($F2654&lt;&gt;"",ROUND(Dashboard!$R$4/$F2654,1),IF(AND($I2654="Base",$E2654="Base"),Dashboard!$R$5,IF(AND($I2654="Base",$E2654="Red"),Dashboard!$R$6,IF(AND($I2654="Base",$E2654="Gold"),Dashboard!$R$7,VLOOKUP($I2654,Dashboard!$Q$16:$R$21,2,FALSE)))))*VLOOKUP($I2654,Dashboard!$Q$9:$R$13,2,FALSE)*IF(AND($I2654="Auto",$F2654="",OR($B2654="Autographs Duals",$B2654="Autographs Triples",$B2654="Autographs Quads",$B2654="Autographs Quads (Inscribed)")),IF($B2654="Autographs Duals",2,IF($B2654="Autographs Triples",3,4)),1)))</f>
        <v>3</v>
      </c>
      <c r="AB2654" s="62">
        <f t="shared" si="544"/>
        <v>3</v>
      </c>
      <c r="AC2654" s="62">
        <f t="shared" si="545"/>
        <v>0</v>
      </c>
    </row>
    <row r="2655" spans="1:29" ht="28.7" customHeight="1" x14ac:dyDescent="0.25">
      <c r="A2655" s="4" t="s">
        <v>17</v>
      </c>
      <c r="B2655" s="7" t="s">
        <v>67</v>
      </c>
      <c r="C2655" s="2" t="s">
        <v>1484</v>
      </c>
      <c r="D2655" s="7" t="s">
        <v>1012</v>
      </c>
      <c r="E2655" s="4" t="s">
        <v>1602</v>
      </c>
      <c r="F2655" s="2"/>
      <c r="G2655" s="2" t="s">
        <v>1399</v>
      </c>
      <c r="H2655" s="2" t="s">
        <v>1400</v>
      </c>
      <c r="I2655" s="4" t="s">
        <v>60</v>
      </c>
      <c r="J2655" s="112">
        <f>IF($H2655&lt;&gt;"Y",0,ROUND(MIN(Dashboard!$R$24,IF(IFERROR(VLOOKUP($B2655,Dashboard!$Q$28:$S$60,2,FALSE),0)&gt;0,IFERROR(VLOOKUP($B2655,Dashboard!$Q$28:$S$60,2,FALSE),0),$Z2655*IF($U2655&lt;&gt;"",ROUND((Dashboard!$R$4/$U2655)*VLOOKUP($I2655,Dashboard!$Q$9:$R$13,2,FALSE)*IF(ISNUMBER(SEARCH("Duals",$B2655)),2,IF(ISNUMBER(SEARCH("Triples",$B2655)),3,IF(ISNUMBER(SEARCH("Quads",$B2655)),4,1))),2),ROUND(VLOOKUP($I2655,Dashboard!$Q$15:$R$20,2,FALSE)*IF($E2655="Red",Dashboard!$R$6,IF($E2655="Gold",Dashboard!$R$7,Dashboard!$R$5))*IF(ISNUMBER(SEARCH("Duals",$B2655)),2,IF(ISNUMBER(SEARCH("Triples",$B2655)),3,IF(ISNUMBER(SEARCH("Quads",$B2655)),4,1))),2))*IF(IFERROR(VLOOKUP($B2655,Dashboard!$Q$28:$S$60,3,FALSE),0)&gt;0,VLOOKUP($B2655,Dashboard!$Q$28:$S$60,3,FALSE),1))),0))</f>
        <v>3</v>
      </c>
      <c r="K2655" s="2" t="str">
        <f>IF('Base S1'!E86="","",'Base S1'!E86)</f>
        <v>C</v>
      </c>
      <c r="L2655" s="2">
        <f t="shared" si="546"/>
        <v>1</v>
      </c>
      <c r="M2655" s="2">
        <f t="shared" si="547"/>
        <v>0</v>
      </c>
      <c r="N2655" s="2">
        <f t="shared" si="548"/>
        <v>1</v>
      </c>
      <c r="O2655" s="2">
        <f t="shared" si="549"/>
        <v>0</v>
      </c>
      <c r="P2655" s="112">
        <f t="shared" si="550"/>
        <v>3</v>
      </c>
      <c r="Q2655" s="112">
        <f t="shared" si="551"/>
        <v>0</v>
      </c>
      <c r="R2655" s="53"/>
      <c r="S2655" s="53" t="str">
        <f t="shared" si="539"/>
        <v>Base S1|Gold Parallel - Season 1|85|Gold</v>
      </c>
      <c r="T2655" s="57" t="str">
        <f>IF($S2655="","",IFERROR(VLOOKUP($S2655,'Pop Estimates (Non-#d)'!$N$2:$O$500,2,FALSE),""))</f>
        <v/>
      </c>
      <c r="U2655" s="57" t="str">
        <f t="shared" si="540"/>
        <v/>
      </c>
      <c r="V2655" s="53" t="str">
        <f t="shared" si="541"/>
        <v/>
      </c>
      <c r="W2655" s="53" t="str">
        <f t="shared" si="542"/>
        <v/>
      </c>
      <c r="X2655" s="53" t="str">
        <f t="shared" si="543"/>
        <v/>
      </c>
      <c r="Y2655" s="57" t="str">
        <f>IF($X2655="","",IFERROR(VLOOKUP($X2655,'Char Popularity'!$A$2:$C$500,2,FALSE),""))</f>
        <v/>
      </c>
      <c r="Z2655" s="56">
        <f>IF($X2655="",1,IFERROR(VLOOKUP($X2655,'Char Popularity'!$A$2:$C$500,3,FALSE),1))</f>
        <v>1</v>
      </c>
      <c r="AA2655" s="62">
        <f>IF($H2655&lt;&gt;"Y",0,(IF($F2655&lt;&gt;"",ROUND(Dashboard!$R$4/$F2655,1),IF(AND($I2655="Base",$E2655="Base"),Dashboard!$R$5,IF(AND($I2655="Base",$E2655="Red"),Dashboard!$R$6,IF(AND($I2655="Base",$E2655="Gold"),Dashboard!$R$7,VLOOKUP($I2655,Dashboard!$Q$16:$R$21,2,FALSE)))))*VLOOKUP($I2655,Dashboard!$Q$9:$R$13,2,FALSE)*IF(AND($I2655="Auto",$F2655="",OR($B2655="Autographs Duals",$B2655="Autographs Triples",$B2655="Autographs Quads",$B2655="Autographs Quads (Inscribed)")),IF($B2655="Autographs Duals",2,IF($B2655="Autographs Triples",3,4)),1)))</f>
        <v>3</v>
      </c>
      <c r="AB2655" s="62">
        <f t="shared" si="544"/>
        <v>3</v>
      </c>
      <c r="AC2655" s="62">
        <f t="shared" si="545"/>
        <v>0</v>
      </c>
    </row>
    <row r="2656" spans="1:29" ht="28.7" customHeight="1" x14ac:dyDescent="0.25">
      <c r="A2656" s="4" t="s">
        <v>17</v>
      </c>
      <c r="B2656" s="7" t="s">
        <v>67</v>
      </c>
      <c r="C2656" s="2" t="s">
        <v>1485</v>
      </c>
      <c r="D2656" s="7" t="s">
        <v>1013</v>
      </c>
      <c r="E2656" s="4" t="s">
        <v>1602</v>
      </c>
      <c r="F2656" s="2"/>
      <c r="G2656" s="2" t="s">
        <v>1399</v>
      </c>
      <c r="H2656" s="2" t="s">
        <v>1400</v>
      </c>
      <c r="I2656" s="4" t="s">
        <v>60</v>
      </c>
      <c r="J2656" s="112">
        <f>IF($H2656&lt;&gt;"Y",0,ROUND(MIN(Dashboard!$R$24,IF(IFERROR(VLOOKUP($B2656,Dashboard!$Q$28:$S$60,2,FALSE),0)&gt;0,IFERROR(VLOOKUP($B2656,Dashboard!$Q$28:$S$60,2,FALSE),0),$Z2656*IF($U2656&lt;&gt;"",ROUND((Dashboard!$R$4/$U2656)*VLOOKUP($I2656,Dashboard!$Q$9:$R$13,2,FALSE)*IF(ISNUMBER(SEARCH("Duals",$B2656)),2,IF(ISNUMBER(SEARCH("Triples",$B2656)),3,IF(ISNUMBER(SEARCH("Quads",$B2656)),4,1))),2),ROUND(VLOOKUP($I2656,Dashboard!$Q$15:$R$20,2,FALSE)*IF($E2656="Red",Dashboard!$R$6,IF($E2656="Gold",Dashboard!$R$7,Dashboard!$R$5))*IF(ISNUMBER(SEARCH("Duals",$B2656)),2,IF(ISNUMBER(SEARCH("Triples",$B2656)),3,IF(ISNUMBER(SEARCH("Quads",$B2656)),4,1))),2))*IF(IFERROR(VLOOKUP($B2656,Dashboard!$Q$28:$S$60,3,FALSE),0)&gt;0,VLOOKUP($B2656,Dashboard!$Q$28:$S$60,3,FALSE),1))),0))</f>
        <v>3</v>
      </c>
      <c r="K2656" s="2" t="str">
        <f>IF('Base S1'!E87="","",'Base S1'!E87)</f>
        <v>C</v>
      </c>
      <c r="L2656" s="2">
        <f t="shared" si="546"/>
        <v>1</v>
      </c>
      <c r="M2656" s="2">
        <f t="shared" si="547"/>
        <v>0</v>
      </c>
      <c r="N2656" s="2">
        <f t="shared" si="548"/>
        <v>1</v>
      </c>
      <c r="O2656" s="2">
        <f t="shared" si="549"/>
        <v>0</v>
      </c>
      <c r="P2656" s="112">
        <f t="shared" si="550"/>
        <v>3</v>
      </c>
      <c r="Q2656" s="112">
        <f t="shared" si="551"/>
        <v>0</v>
      </c>
      <c r="R2656" s="53"/>
      <c r="S2656" s="53" t="str">
        <f t="shared" si="539"/>
        <v>Base S1|Gold Parallel - Season 1|86|Gold</v>
      </c>
      <c r="T2656" s="57" t="str">
        <f>IF($S2656="","",IFERROR(VLOOKUP($S2656,'Pop Estimates (Non-#d)'!$N$2:$O$500,2,FALSE),""))</f>
        <v/>
      </c>
      <c r="U2656" s="57" t="str">
        <f t="shared" si="540"/>
        <v/>
      </c>
      <c r="V2656" s="53" t="str">
        <f t="shared" si="541"/>
        <v/>
      </c>
      <c r="W2656" s="53" t="str">
        <f t="shared" si="542"/>
        <v/>
      </c>
      <c r="X2656" s="53" t="str">
        <f t="shared" si="543"/>
        <v/>
      </c>
      <c r="Y2656" s="57" t="str">
        <f>IF($X2656="","",IFERROR(VLOOKUP($X2656,'Char Popularity'!$A$2:$C$500,2,FALSE),""))</f>
        <v/>
      </c>
      <c r="Z2656" s="56">
        <f>IF($X2656="",1,IFERROR(VLOOKUP($X2656,'Char Popularity'!$A$2:$C$500,3,FALSE),1))</f>
        <v>1</v>
      </c>
      <c r="AA2656" s="62">
        <f>IF($H2656&lt;&gt;"Y",0,(IF($F2656&lt;&gt;"",ROUND(Dashboard!$R$4/$F2656,1),IF(AND($I2656="Base",$E2656="Base"),Dashboard!$R$5,IF(AND($I2656="Base",$E2656="Red"),Dashboard!$R$6,IF(AND($I2656="Base",$E2656="Gold"),Dashboard!$R$7,VLOOKUP($I2656,Dashboard!$Q$16:$R$21,2,FALSE)))))*VLOOKUP($I2656,Dashboard!$Q$9:$R$13,2,FALSE)*IF(AND($I2656="Auto",$F2656="",OR($B2656="Autographs Duals",$B2656="Autographs Triples",$B2656="Autographs Quads",$B2656="Autographs Quads (Inscribed)")),IF($B2656="Autographs Duals",2,IF($B2656="Autographs Triples",3,4)),1)))</f>
        <v>3</v>
      </c>
      <c r="AB2656" s="62">
        <f t="shared" si="544"/>
        <v>3</v>
      </c>
      <c r="AC2656" s="62">
        <f t="shared" si="545"/>
        <v>0</v>
      </c>
    </row>
    <row r="2657" spans="1:29" ht="28.7" customHeight="1" x14ac:dyDescent="0.25">
      <c r="A2657" s="4" t="s">
        <v>17</v>
      </c>
      <c r="B2657" s="7" t="s">
        <v>67</v>
      </c>
      <c r="C2657" s="2" t="s">
        <v>1486</v>
      </c>
      <c r="D2657" s="7" t="s">
        <v>1015</v>
      </c>
      <c r="E2657" s="4" t="s">
        <v>1602</v>
      </c>
      <c r="F2657" s="2"/>
      <c r="G2657" s="2" t="s">
        <v>1399</v>
      </c>
      <c r="H2657" s="2" t="s">
        <v>1400</v>
      </c>
      <c r="I2657" s="4" t="s">
        <v>60</v>
      </c>
      <c r="J2657" s="112">
        <f>IF($H2657&lt;&gt;"Y",0,ROUND(MIN(Dashboard!$R$24,IF(IFERROR(VLOOKUP($B2657,Dashboard!$Q$28:$S$60,2,FALSE),0)&gt;0,IFERROR(VLOOKUP($B2657,Dashboard!$Q$28:$S$60,2,FALSE),0),$Z2657*IF($U2657&lt;&gt;"",ROUND((Dashboard!$R$4/$U2657)*VLOOKUP($I2657,Dashboard!$Q$9:$R$13,2,FALSE)*IF(ISNUMBER(SEARCH("Duals",$B2657)),2,IF(ISNUMBER(SEARCH("Triples",$B2657)),3,IF(ISNUMBER(SEARCH("Quads",$B2657)),4,1))),2),ROUND(VLOOKUP($I2657,Dashboard!$Q$15:$R$20,2,FALSE)*IF($E2657="Red",Dashboard!$R$6,IF($E2657="Gold",Dashboard!$R$7,Dashboard!$R$5))*IF(ISNUMBER(SEARCH("Duals",$B2657)),2,IF(ISNUMBER(SEARCH("Triples",$B2657)),3,IF(ISNUMBER(SEARCH("Quads",$B2657)),4,1))),2))*IF(IFERROR(VLOOKUP($B2657,Dashboard!$Q$28:$S$60,3,FALSE),0)&gt;0,VLOOKUP($B2657,Dashboard!$Q$28:$S$60,3,FALSE),1))),0))</f>
        <v>3</v>
      </c>
      <c r="K2657" s="2" t="str">
        <f>IF('Base S1'!E88="","",'Base S1'!E88)</f>
        <v>C</v>
      </c>
      <c r="L2657" s="2">
        <f t="shared" si="546"/>
        <v>1</v>
      </c>
      <c r="M2657" s="2">
        <f t="shared" si="547"/>
        <v>0</v>
      </c>
      <c r="N2657" s="2">
        <f t="shared" si="548"/>
        <v>1</v>
      </c>
      <c r="O2657" s="2">
        <f t="shared" si="549"/>
        <v>0</v>
      </c>
      <c r="P2657" s="112">
        <f t="shared" si="550"/>
        <v>3</v>
      </c>
      <c r="Q2657" s="112">
        <f t="shared" si="551"/>
        <v>0</v>
      </c>
      <c r="R2657" s="53"/>
      <c r="S2657" s="53" t="str">
        <f t="shared" si="539"/>
        <v>Base S1|Gold Parallel - Season 1|87|Gold</v>
      </c>
      <c r="T2657" s="57" t="str">
        <f>IF($S2657="","",IFERROR(VLOOKUP($S2657,'Pop Estimates (Non-#d)'!$N$2:$O$500,2,FALSE),""))</f>
        <v/>
      </c>
      <c r="U2657" s="57" t="str">
        <f t="shared" si="540"/>
        <v/>
      </c>
      <c r="V2657" s="53" t="str">
        <f t="shared" si="541"/>
        <v/>
      </c>
      <c r="W2657" s="53" t="str">
        <f t="shared" si="542"/>
        <v/>
      </c>
      <c r="X2657" s="53" t="str">
        <f t="shared" si="543"/>
        <v/>
      </c>
      <c r="Y2657" s="57" t="str">
        <f>IF($X2657="","",IFERROR(VLOOKUP($X2657,'Char Popularity'!$A$2:$C$500,2,FALSE),""))</f>
        <v/>
      </c>
      <c r="Z2657" s="56">
        <f>IF($X2657="",1,IFERROR(VLOOKUP($X2657,'Char Popularity'!$A$2:$C$500,3,FALSE),1))</f>
        <v>1</v>
      </c>
      <c r="AA2657" s="62">
        <f>IF($H2657&lt;&gt;"Y",0,(IF($F2657&lt;&gt;"",ROUND(Dashboard!$R$4/$F2657,1),IF(AND($I2657="Base",$E2657="Base"),Dashboard!$R$5,IF(AND($I2657="Base",$E2657="Red"),Dashboard!$R$6,IF(AND($I2657="Base",$E2657="Gold"),Dashboard!$R$7,VLOOKUP($I2657,Dashboard!$Q$16:$R$21,2,FALSE)))))*VLOOKUP($I2657,Dashboard!$Q$9:$R$13,2,FALSE)*IF(AND($I2657="Auto",$F2657="",OR($B2657="Autographs Duals",$B2657="Autographs Triples",$B2657="Autographs Quads",$B2657="Autographs Quads (Inscribed)")),IF($B2657="Autographs Duals",2,IF($B2657="Autographs Triples",3,4)),1)))</f>
        <v>3</v>
      </c>
      <c r="AB2657" s="62">
        <f t="shared" si="544"/>
        <v>3</v>
      </c>
      <c r="AC2657" s="62">
        <f t="shared" si="545"/>
        <v>0</v>
      </c>
    </row>
    <row r="2658" spans="1:29" ht="28.7" customHeight="1" x14ac:dyDescent="0.25">
      <c r="A2658" s="4" t="s">
        <v>17</v>
      </c>
      <c r="B2658" s="7" t="s">
        <v>67</v>
      </c>
      <c r="C2658" s="2" t="s">
        <v>1487</v>
      </c>
      <c r="D2658" s="7" t="s">
        <v>1018</v>
      </c>
      <c r="E2658" s="4" t="s">
        <v>1602</v>
      </c>
      <c r="F2658" s="2"/>
      <c r="G2658" s="2" t="s">
        <v>1399</v>
      </c>
      <c r="H2658" s="2" t="s">
        <v>1400</v>
      </c>
      <c r="I2658" s="4" t="s">
        <v>60</v>
      </c>
      <c r="J2658" s="112">
        <f>IF($H2658&lt;&gt;"Y",0,ROUND(MIN(Dashboard!$R$24,IF(IFERROR(VLOOKUP($B2658,Dashboard!$Q$28:$S$60,2,FALSE),0)&gt;0,IFERROR(VLOOKUP($B2658,Dashboard!$Q$28:$S$60,2,FALSE),0),$Z2658*IF($U2658&lt;&gt;"",ROUND((Dashboard!$R$4/$U2658)*VLOOKUP($I2658,Dashboard!$Q$9:$R$13,2,FALSE)*IF(ISNUMBER(SEARCH("Duals",$B2658)),2,IF(ISNUMBER(SEARCH("Triples",$B2658)),3,IF(ISNUMBER(SEARCH("Quads",$B2658)),4,1))),2),ROUND(VLOOKUP($I2658,Dashboard!$Q$15:$R$20,2,FALSE)*IF($E2658="Red",Dashboard!$R$6,IF($E2658="Gold",Dashboard!$R$7,Dashboard!$R$5))*IF(ISNUMBER(SEARCH("Duals",$B2658)),2,IF(ISNUMBER(SEARCH("Triples",$B2658)),3,IF(ISNUMBER(SEARCH("Quads",$B2658)),4,1))),2))*IF(IFERROR(VLOOKUP($B2658,Dashboard!$Q$28:$S$60,3,FALSE),0)&gt;0,VLOOKUP($B2658,Dashboard!$Q$28:$S$60,3,FALSE),1))),0))</f>
        <v>3</v>
      </c>
      <c r="K2658" s="2" t="str">
        <f>IF('Base S1'!E89="","",'Base S1'!E89)</f>
        <v>C</v>
      </c>
      <c r="L2658" s="2">
        <f t="shared" si="546"/>
        <v>1</v>
      </c>
      <c r="M2658" s="2">
        <f t="shared" si="547"/>
        <v>0</v>
      </c>
      <c r="N2658" s="2">
        <f t="shared" si="548"/>
        <v>1</v>
      </c>
      <c r="O2658" s="2">
        <f t="shared" si="549"/>
        <v>0</v>
      </c>
      <c r="P2658" s="112">
        <f t="shared" si="550"/>
        <v>3</v>
      </c>
      <c r="Q2658" s="112">
        <f t="shared" si="551"/>
        <v>0</v>
      </c>
      <c r="R2658" s="53"/>
      <c r="S2658" s="53" t="str">
        <f t="shared" si="539"/>
        <v>Base S1|Gold Parallel - Season 1|88|Gold</v>
      </c>
      <c r="T2658" s="57" t="str">
        <f>IF($S2658="","",IFERROR(VLOOKUP($S2658,'Pop Estimates (Non-#d)'!$N$2:$O$500,2,FALSE),""))</f>
        <v/>
      </c>
      <c r="U2658" s="57" t="str">
        <f t="shared" si="540"/>
        <v/>
      </c>
      <c r="V2658" s="53" t="str">
        <f t="shared" si="541"/>
        <v/>
      </c>
      <c r="W2658" s="53" t="str">
        <f t="shared" si="542"/>
        <v/>
      </c>
      <c r="X2658" s="53" t="str">
        <f t="shared" si="543"/>
        <v/>
      </c>
      <c r="Y2658" s="57" t="str">
        <f>IF($X2658="","",IFERROR(VLOOKUP($X2658,'Char Popularity'!$A$2:$C$500,2,FALSE),""))</f>
        <v/>
      </c>
      <c r="Z2658" s="56">
        <f>IF($X2658="",1,IFERROR(VLOOKUP($X2658,'Char Popularity'!$A$2:$C$500,3,FALSE),1))</f>
        <v>1</v>
      </c>
      <c r="AA2658" s="62">
        <f>IF($H2658&lt;&gt;"Y",0,(IF($F2658&lt;&gt;"",ROUND(Dashboard!$R$4/$F2658,1),IF(AND($I2658="Base",$E2658="Base"),Dashboard!$R$5,IF(AND($I2658="Base",$E2658="Red"),Dashboard!$R$6,IF(AND($I2658="Base",$E2658="Gold"),Dashboard!$R$7,VLOOKUP($I2658,Dashboard!$Q$16:$R$21,2,FALSE)))))*VLOOKUP($I2658,Dashboard!$Q$9:$R$13,2,FALSE)*IF(AND($I2658="Auto",$F2658="",OR($B2658="Autographs Duals",$B2658="Autographs Triples",$B2658="Autographs Quads",$B2658="Autographs Quads (Inscribed)")),IF($B2658="Autographs Duals",2,IF($B2658="Autographs Triples",3,4)),1)))</f>
        <v>3</v>
      </c>
      <c r="AB2658" s="62">
        <f t="shared" si="544"/>
        <v>3</v>
      </c>
      <c r="AC2658" s="62">
        <f t="shared" si="545"/>
        <v>0</v>
      </c>
    </row>
    <row r="2659" spans="1:29" ht="28.7" customHeight="1" x14ac:dyDescent="0.25">
      <c r="A2659" s="4" t="s">
        <v>17</v>
      </c>
      <c r="B2659" s="7" t="s">
        <v>67</v>
      </c>
      <c r="C2659" s="2" t="s">
        <v>1488</v>
      </c>
      <c r="D2659" s="7" t="s">
        <v>1021</v>
      </c>
      <c r="E2659" s="4" t="s">
        <v>1602</v>
      </c>
      <c r="F2659" s="2"/>
      <c r="G2659" s="2" t="s">
        <v>1399</v>
      </c>
      <c r="H2659" s="2" t="s">
        <v>1400</v>
      </c>
      <c r="I2659" s="4" t="s">
        <v>60</v>
      </c>
      <c r="J2659" s="112">
        <f>IF($H2659&lt;&gt;"Y",0,ROUND(MIN(Dashboard!$R$24,IF(IFERROR(VLOOKUP($B2659,Dashboard!$Q$28:$S$60,2,FALSE),0)&gt;0,IFERROR(VLOOKUP($B2659,Dashboard!$Q$28:$S$60,2,FALSE),0),$Z2659*IF($U2659&lt;&gt;"",ROUND((Dashboard!$R$4/$U2659)*VLOOKUP($I2659,Dashboard!$Q$9:$R$13,2,FALSE)*IF(ISNUMBER(SEARCH("Duals",$B2659)),2,IF(ISNUMBER(SEARCH("Triples",$B2659)),3,IF(ISNUMBER(SEARCH("Quads",$B2659)),4,1))),2),ROUND(VLOOKUP($I2659,Dashboard!$Q$15:$R$20,2,FALSE)*IF($E2659="Red",Dashboard!$R$6,IF($E2659="Gold",Dashboard!$R$7,Dashboard!$R$5))*IF(ISNUMBER(SEARCH("Duals",$B2659)),2,IF(ISNUMBER(SEARCH("Triples",$B2659)),3,IF(ISNUMBER(SEARCH("Quads",$B2659)),4,1))),2))*IF(IFERROR(VLOOKUP($B2659,Dashboard!$Q$28:$S$60,3,FALSE),0)&gt;0,VLOOKUP($B2659,Dashboard!$Q$28:$S$60,3,FALSE),1))),0))</f>
        <v>3</v>
      </c>
      <c r="K2659" s="2" t="str">
        <f>IF('Base S1'!E90="","",'Base S1'!E90)</f>
        <v>C</v>
      </c>
      <c r="L2659" s="2">
        <f t="shared" si="546"/>
        <v>1</v>
      </c>
      <c r="M2659" s="2">
        <f t="shared" si="547"/>
        <v>0</v>
      </c>
      <c r="N2659" s="2">
        <f t="shared" si="548"/>
        <v>1</v>
      </c>
      <c r="O2659" s="2">
        <f t="shared" si="549"/>
        <v>0</v>
      </c>
      <c r="P2659" s="112">
        <f t="shared" si="550"/>
        <v>3</v>
      </c>
      <c r="Q2659" s="112">
        <f t="shared" si="551"/>
        <v>0</v>
      </c>
      <c r="R2659" s="53"/>
      <c r="S2659" s="53" t="str">
        <f t="shared" si="539"/>
        <v>Base S1|Gold Parallel - Season 1|89|Gold</v>
      </c>
      <c r="T2659" s="57" t="str">
        <f>IF($S2659="","",IFERROR(VLOOKUP($S2659,'Pop Estimates (Non-#d)'!$N$2:$O$500,2,FALSE),""))</f>
        <v/>
      </c>
      <c r="U2659" s="57" t="str">
        <f t="shared" si="540"/>
        <v/>
      </c>
      <c r="V2659" s="53" t="str">
        <f t="shared" si="541"/>
        <v/>
      </c>
      <c r="W2659" s="53" t="str">
        <f t="shared" si="542"/>
        <v/>
      </c>
      <c r="X2659" s="53" t="str">
        <f t="shared" si="543"/>
        <v/>
      </c>
      <c r="Y2659" s="57" t="str">
        <f>IF($X2659="","",IFERROR(VLOOKUP($X2659,'Char Popularity'!$A$2:$C$500,2,FALSE),""))</f>
        <v/>
      </c>
      <c r="Z2659" s="56">
        <f>IF($X2659="",1,IFERROR(VLOOKUP($X2659,'Char Popularity'!$A$2:$C$500,3,FALSE),1))</f>
        <v>1</v>
      </c>
      <c r="AA2659" s="62">
        <f>IF($H2659&lt;&gt;"Y",0,(IF($F2659&lt;&gt;"",ROUND(Dashboard!$R$4/$F2659,1),IF(AND($I2659="Base",$E2659="Base"),Dashboard!$R$5,IF(AND($I2659="Base",$E2659="Red"),Dashboard!$R$6,IF(AND($I2659="Base",$E2659="Gold"),Dashboard!$R$7,VLOOKUP($I2659,Dashboard!$Q$16:$R$21,2,FALSE)))))*VLOOKUP($I2659,Dashboard!$Q$9:$R$13,2,FALSE)*IF(AND($I2659="Auto",$F2659="",OR($B2659="Autographs Duals",$B2659="Autographs Triples",$B2659="Autographs Quads",$B2659="Autographs Quads (Inscribed)")),IF($B2659="Autographs Duals",2,IF($B2659="Autographs Triples",3,4)),1)))</f>
        <v>3</v>
      </c>
      <c r="AB2659" s="62">
        <f t="shared" si="544"/>
        <v>3</v>
      </c>
      <c r="AC2659" s="62">
        <f t="shared" si="545"/>
        <v>0</v>
      </c>
    </row>
    <row r="2660" spans="1:29" ht="28.7" customHeight="1" x14ac:dyDescent="0.25">
      <c r="A2660" s="4" t="s">
        <v>17</v>
      </c>
      <c r="B2660" s="7" t="s">
        <v>67</v>
      </c>
      <c r="C2660" s="2" t="s">
        <v>1489</v>
      </c>
      <c r="D2660" s="7" t="s">
        <v>1023</v>
      </c>
      <c r="E2660" s="4" t="s">
        <v>1602</v>
      </c>
      <c r="F2660" s="2"/>
      <c r="G2660" s="2" t="s">
        <v>1399</v>
      </c>
      <c r="H2660" s="2" t="s">
        <v>1400</v>
      </c>
      <c r="I2660" s="4" t="s">
        <v>60</v>
      </c>
      <c r="J2660" s="112">
        <f>IF($H2660&lt;&gt;"Y",0,ROUND(MIN(Dashboard!$R$24,IF(IFERROR(VLOOKUP($B2660,Dashboard!$Q$28:$S$60,2,FALSE),0)&gt;0,IFERROR(VLOOKUP($B2660,Dashboard!$Q$28:$S$60,2,FALSE),0),$Z2660*IF($U2660&lt;&gt;"",ROUND((Dashboard!$R$4/$U2660)*VLOOKUP($I2660,Dashboard!$Q$9:$R$13,2,FALSE)*IF(ISNUMBER(SEARCH("Duals",$B2660)),2,IF(ISNUMBER(SEARCH("Triples",$B2660)),3,IF(ISNUMBER(SEARCH("Quads",$B2660)),4,1))),2),ROUND(VLOOKUP($I2660,Dashboard!$Q$15:$R$20,2,FALSE)*IF($E2660="Red",Dashboard!$R$6,IF($E2660="Gold",Dashboard!$R$7,Dashboard!$R$5))*IF(ISNUMBER(SEARCH("Duals",$B2660)),2,IF(ISNUMBER(SEARCH("Triples",$B2660)),3,IF(ISNUMBER(SEARCH("Quads",$B2660)),4,1))),2))*IF(IFERROR(VLOOKUP($B2660,Dashboard!$Q$28:$S$60,3,FALSE),0)&gt;0,VLOOKUP($B2660,Dashboard!$Q$28:$S$60,3,FALSE),1))),0))</f>
        <v>3</v>
      </c>
      <c r="K2660" s="2" t="str">
        <f>IF('Base S1'!E91="","",'Base S1'!E91)</f>
        <v>C</v>
      </c>
      <c r="L2660" s="2">
        <f t="shared" si="546"/>
        <v>1</v>
      </c>
      <c r="M2660" s="2">
        <f t="shared" si="547"/>
        <v>0</v>
      </c>
      <c r="N2660" s="2">
        <f t="shared" si="548"/>
        <v>1</v>
      </c>
      <c r="O2660" s="2">
        <f t="shared" si="549"/>
        <v>0</v>
      </c>
      <c r="P2660" s="112">
        <f t="shared" si="550"/>
        <v>3</v>
      </c>
      <c r="Q2660" s="112">
        <f t="shared" si="551"/>
        <v>0</v>
      </c>
      <c r="R2660" s="53"/>
      <c r="S2660" s="53" t="str">
        <f t="shared" si="539"/>
        <v>Base S1|Gold Parallel - Season 1|90|Gold</v>
      </c>
      <c r="T2660" s="57" t="str">
        <f>IF($S2660="","",IFERROR(VLOOKUP($S2660,'Pop Estimates (Non-#d)'!$N$2:$O$500,2,FALSE),""))</f>
        <v/>
      </c>
      <c r="U2660" s="57" t="str">
        <f t="shared" si="540"/>
        <v/>
      </c>
      <c r="V2660" s="53" t="str">
        <f t="shared" si="541"/>
        <v/>
      </c>
      <c r="W2660" s="53" t="str">
        <f t="shared" si="542"/>
        <v/>
      </c>
      <c r="X2660" s="53" t="str">
        <f t="shared" si="543"/>
        <v/>
      </c>
      <c r="Y2660" s="57" t="str">
        <f>IF($X2660="","",IFERROR(VLOOKUP($X2660,'Char Popularity'!$A$2:$C$500,2,FALSE),""))</f>
        <v/>
      </c>
      <c r="Z2660" s="56">
        <f>IF($X2660="",1,IFERROR(VLOOKUP($X2660,'Char Popularity'!$A$2:$C$500,3,FALSE),1))</f>
        <v>1</v>
      </c>
      <c r="AA2660" s="62">
        <f>IF($H2660&lt;&gt;"Y",0,(IF($F2660&lt;&gt;"",ROUND(Dashboard!$R$4/$F2660,1),IF(AND($I2660="Base",$E2660="Base"),Dashboard!$R$5,IF(AND($I2660="Base",$E2660="Red"),Dashboard!$R$6,IF(AND($I2660="Base",$E2660="Gold"),Dashboard!$R$7,VLOOKUP($I2660,Dashboard!$Q$16:$R$21,2,FALSE)))))*VLOOKUP($I2660,Dashboard!$Q$9:$R$13,2,FALSE)*IF(AND($I2660="Auto",$F2660="",OR($B2660="Autographs Duals",$B2660="Autographs Triples",$B2660="Autographs Quads",$B2660="Autographs Quads (Inscribed)")),IF($B2660="Autographs Duals",2,IF($B2660="Autographs Triples",3,4)),1)))</f>
        <v>3</v>
      </c>
      <c r="AB2660" s="62">
        <f t="shared" si="544"/>
        <v>3</v>
      </c>
      <c r="AC2660" s="62">
        <f t="shared" si="545"/>
        <v>0</v>
      </c>
    </row>
    <row r="2661" spans="1:29" ht="28.7" customHeight="1" x14ac:dyDescent="0.25">
      <c r="A2661" s="4" t="s">
        <v>17</v>
      </c>
      <c r="B2661" s="7" t="s">
        <v>67</v>
      </c>
      <c r="C2661" s="2" t="s">
        <v>1490</v>
      </c>
      <c r="D2661" s="7" t="s">
        <v>1025</v>
      </c>
      <c r="E2661" s="4" t="s">
        <v>1602</v>
      </c>
      <c r="F2661" s="2"/>
      <c r="G2661" s="2" t="s">
        <v>1399</v>
      </c>
      <c r="H2661" s="2" t="s">
        <v>1400</v>
      </c>
      <c r="I2661" s="4" t="s">
        <v>60</v>
      </c>
      <c r="J2661" s="112">
        <f>IF($H2661&lt;&gt;"Y",0,ROUND(MIN(Dashboard!$R$24,IF(IFERROR(VLOOKUP($B2661,Dashboard!$Q$28:$S$60,2,FALSE),0)&gt;0,IFERROR(VLOOKUP($B2661,Dashboard!$Q$28:$S$60,2,FALSE),0),$Z2661*IF($U2661&lt;&gt;"",ROUND((Dashboard!$R$4/$U2661)*VLOOKUP($I2661,Dashboard!$Q$9:$R$13,2,FALSE)*IF(ISNUMBER(SEARCH("Duals",$B2661)),2,IF(ISNUMBER(SEARCH("Triples",$B2661)),3,IF(ISNUMBER(SEARCH("Quads",$B2661)),4,1))),2),ROUND(VLOOKUP($I2661,Dashboard!$Q$15:$R$20,2,FALSE)*IF($E2661="Red",Dashboard!$R$6,IF($E2661="Gold",Dashboard!$R$7,Dashboard!$R$5))*IF(ISNUMBER(SEARCH("Duals",$B2661)),2,IF(ISNUMBER(SEARCH("Triples",$B2661)),3,IF(ISNUMBER(SEARCH("Quads",$B2661)),4,1))),2))*IF(IFERROR(VLOOKUP($B2661,Dashboard!$Q$28:$S$60,3,FALSE),0)&gt;0,VLOOKUP($B2661,Dashboard!$Q$28:$S$60,3,FALSE),1))),0))</f>
        <v>3</v>
      </c>
      <c r="K2661" s="2" t="str">
        <f>IF('Base S1'!E92="","",'Base S1'!E92)</f>
        <v>C</v>
      </c>
      <c r="L2661" s="2">
        <f t="shared" si="546"/>
        <v>1</v>
      </c>
      <c r="M2661" s="2">
        <f t="shared" si="547"/>
        <v>0</v>
      </c>
      <c r="N2661" s="2">
        <f t="shared" si="548"/>
        <v>1</v>
      </c>
      <c r="O2661" s="2">
        <f t="shared" si="549"/>
        <v>0</v>
      </c>
      <c r="P2661" s="112">
        <f t="shared" si="550"/>
        <v>3</v>
      </c>
      <c r="Q2661" s="112">
        <f t="shared" si="551"/>
        <v>0</v>
      </c>
      <c r="R2661" s="53"/>
      <c r="S2661" s="53" t="str">
        <f t="shared" si="539"/>
        <v>Base S1|Gold Parallel - Season 1|91|Gold</v>
      </c>
      <c r="T2661" s="57" t="str">
        <f>IF($S2661="","",IFERROR(VLOOKUP($S2661,'Pop Estimates (Non-#d)'!$N$2:$O$500,2,FALSE),""))</f>
        <v/>
      </c>
      <c r="U2661" s="57" t="str">
        <f t="shared" si="540"/>
        <v/>
      </c>
      <c r="V2661" s="53" t="str">
        <f t="shared" si="541"/>
        <v/>
      </c>
      <c r="W2661" s="53" t="str">
        <f t="shared" si="542"/>
        <v/>
      </c>
      <c r="X2661" s="53" t="str">
        <f t="shared" si="543"/>
        <v/>
      </c>
      <c r="Y2661" s="57" t="str">
        <f>IF($X2661="","",IFERROR(VLOOKUP($X2661,'Char Popularity'!$A$2:$C$500,2,FALSE),""))</f>
        <v/>
      </c>
      <c r="Z2661" s="56">
        <f>IF($X2661="",1,IFERROR(VLOOKUP($X2661,'Char Popularity'!$A$2:$C$500,3,FALSE),1))</f>
        <v>1</v>
      </c>
      <c r="AA2661" s="62">
        <f>IF($H2661&lt;&gt;"Y",0,(IF($F2661&lt;&gt;"",ROUND(Dashboard!$R$4/$F2661,1),IF(AND($I2661="Base",$E2661="Base"),Dashboard!$R$5,IF(AND($I2661="Base",$E2661="Red"),Dashboard!$R$6,IF(AND($I2661="Base",$E2661="Gold"),Dashboard!$R$7,VLOOKUP($I2661,Dashboard!$Q$16:$R$21,2,FALSE)))))*VLOOKUP($I2661,Dashboard!$Q$9:$R$13,2,FALSE)*IF(AND($I2661="Auto",$F2661="",OR($B2661="Autographs Duals",$B2661="Autographs Triples",$B2661="Autographs Quads",$B2661="Autographs Quads (Inscribed)")),IF($B2661="Autographs Duals",2,IF($B2661="Autographs Triples",3,4)),1)))</f>
        <v>3</v>
      </c>
      <c r="AB2661" s="62">
        <f t="shared" si="544"/>
        <v>3</v>
      </c>
      <c r="AC2661" s="62">
        <f t="shared" si="545"/>
        <v>0</v>
      </c>
    </row>
    <row r="2662" spans="1:29" ht="28.7" customHeight="1" x14ac:dyDescent="0.25">
      <c r="A2662" s="4" t="s">
        <v>17</v>
      </c>
      <c r="B2662" s="7" t="s">
        <v>67</v>
      </c>
      <c r="C2662" s="2" t="s">
        <v>1491</v>
      </c>
      <c r="D2662" s="7" t="s">
        <v>1027</v>
      </c>
      <c r="E2662" s="4" t="s">
        <v>1602</v>
      </c>
      <c r="F2662" s="2"/>
      <c r="G2662" s="2" t="s">
        <v>1399</v>
      </c>
      <c r="H2662" s="2" t="s">
        <v>1400</v>
      </c>
      <c r="I2662" s="4" t="s">
        <v>60</v>
      </c>
      <c r="J2662" s="112">
        <f>IF($H2662&lt;&gt;"Y",0,ROUND(MIN(Dashboard!$R$24,IF(IFERROR(VLOOKUP($B2662,Dashboard!$Q$28:$S$60,2,FALSE),0)&gt;0,IFERROR(VLOOKUP($B2662,Dashboard!$Q$28:$S$60,2,FALSE),0),$Z2662*IF($U2662&lt;&gt;"",ROUND((Dashboard!$R$4/$U2662)*VLOOKUP($I2662,Dashboard!$Q$9:$R$13,2,FALSE)*IF(ISNUMBER(SEARCH("Duals",$B2662)),2,IF(ISNUMBER(SEARCH("Triples",$B2662)),3,IF(ISNUMBER(SEARCH("Quads",$B2662)),4,1))),2),ROUND(VLOOKUP($I2662,Dashboard!$Q$15:$R$20,2,FALSE)*IF($E2662="Red",Dashboard!$R$6,IF($E2662="Gold",Dashboard!$R$7,Dashboard!$R$5))*IF(ISNUMBER(SEARCH("Duals",$B2662)),2,IF(ISNUMBER(SEARCH("Triples",$B2662)),3,IF(ISNUMBER(SEARCH("Quads",$B2662)),4,1))),2))*IF(IFERROR(VLOOKUP($B2662,Dashboard!$Q$28:$S$60,3,FALSE),0)&gt;0,VLOOKUP($B2662,Dashboard!$Q$28:$S$60,3,FALSE),1))),0))</f>
        <v>3</v>
      </c>
      <c r="K2662" s="2" t="str">
        <f>IF('Base S1'!E93="","",'Base S1'!E93)</f>
        <v>C</v>
      </c>
      <c r="L2662" s="2">
        <f t="shared" si="546"/>
        <v>1</v>
      </c>
      <c r="M2662" s="2">
        <f t="shared" si="547"/>
        <v>0</v>
      </c>
      <c r="N2662" s="2">
        <f t="shared" si="548"/>
        <v>1</v>
      </c>
      <c r="O2662" s="2">
        <f t="shared" si="549"/>
        <v>0</v>
      </c>
      <c r="P2662" s="112">
        <f t="shared" si="550"/>
        <v>3</v>
      </c>
      <c r="Q2662" s="112">
        <f t="shared" si="551"/>
        <v>0</v>
      </c>
      <c r="R2662" s="53"/>
      <c r="S2662" s="53" t="str">
        <f t="shared" si="539"/>
        <v>Base S1|Gold Parallel - Season 1|92|Gold</v>
      </c>
      <c r="T2662" s="57" t="str">
        <f>IF($S2662="","",IFERROR(VLOOKUP($S2662,'Pop Estimates (Non-#d)'!$N$2:$O$500,2,FALSE),""))</f>
        <v/>
      </c>
      <c r="U2662" s="57" t="str">
        <f t="shared" si="540"/>
        <v/>
      </c>
      <c r="V2662" s="53" t="str">
        <f t="shared" si="541"/>
        <v/>
      </c>
      <c r="W2662" s="53" t="str">
        <f t="shared" si="542"/>
        <v/>
      </c>
      <c r="X2662" s="53" t="str">
        <f t="shared" si="543"/>
        <v/>
      </c>
      <c r="Y2662" s="57" t="str">
        <f>IF($X2662="","",IFERROR(VLOOKUP($X2662,'Char Popularity'!$A$2:$C$500,2,FALSE),""))</f>
        <v/>
      </c>
      <c r="Z2662" s="56">
        <f>IF($X2662="",1,IFERROR(VLOOKUP($X2662,'Char Popularity'!$A$2:$C$500,3,FALSE),1))</f>
        <v>1</v>
      </c>
      <c r="AA2662" s="62">
        <f>IF($H2662&lt;&gt;"Y",0,(IF($F2662&lt;&gt;"",ROUND(Dashboard!$R$4/$F2662,1),IF(AND($I2662="Base",$E2662="Base"),Dashboard!$R$5,IF(AND($I2662="Base",$E2662="Red"),Dashboard!$R$6,IF(AND($I2662="Base",$E2662="Gold"),Dashboard!$R$7,VLOOKUP($I2662,Dashboard!$Q$16:$R$21,2,FALSE)))))*VLOOKUP($I2662,Dashboard!$Q$9:$R$13,2,FALSE)*IF(AND($I2662="Auto",$F2662="",OR($B2662="Autographs Duals",$B2662="Autographs Triples",$B2662="Autographs Quads",$B2662="Autographs Quads (Inscribed)")),IF($B2662="Autographs Duals",2,IF($B2662="Autographs Triples",3,4)),1)))</f>
        <v>3</v>
      </c>
      <c r="AB2662" s="62">
        <f t="shared" si="544"/>
        <v>3</v>
      </c>
      <c r="AC2662" s="62">
        <f t="shared" si="545"/>
        <v>0</v>
      </c>
    </row>
    <row r="2663" spans="1:29" ht="28.7" customHeight="1" x14ac:dyDescent="0.25">
      <c r="A2663" s="4" t="s">
        <v>17</v>
      </c>
      <c r="B2663" s="7" t="s">
        <v>67</v>
      </c>
      <c r="C2663" s="2" t="s">
        <v>1492</v>
      </c>
      <c r="D2663" s="7" t="s">
        <v>1029</v>
      </c>
      <c r="E2663" s="4" t="s">
        <v>1602</v>
      </c>
      <c r="F2663" s="2"/>
      <c r="G2663" s="2" t="s">
        <v>1399</v>
      </c>
      <c r="H2663" s="2" t="s">
        <v>1400</v>
      </c>
      <c r="I2663" s="4" t="s">
        <v>60</v>
      </c>
      <c r="J2663" s="112">
        <f>IF($H2663&lt;&gt;"Y",0,ROUND(MIN(Dashboard!$R$24,IF(IFERROR(VLOOKUP($B2663,Dashboard!$Q$28:$S$60,2,FALSE),0)&gt;0,IFERROR(VLOOKUP($B2663,Dashboard!$Q$28:$S$60,2,FALSE),0),$Z2663*IF($U2663&lt;&gt;"",ROUND((Dashboard!$R$4/$U2663)*VLOOKUP($I2663,Dashboard!$Q$9:$R$13,2,FALSE)*IF(ISNUMBER(SEARCH("Duals",$B2663)),2,IF(ISNUMBER(SEARCH("Triples",$B2663)),3,IF(ISNUMBER(SEARCH("Quads",$B2663)),4,1))),2),ROUND(VLOOKUP($I2663,Dashboard!$Q$15:$R$20,2,FALSE)*IF($E2663="Red",Dashboard!$R$6,IF($E2663="Gold",Dashboard!$R$7,Dashboard!$R$5))*IF(ISNUMBER(SEARCH("Duals",$B2663)),2,IF(ISNUMBER(SEARCH("Triples",$B2663)),3,IF(ISNUMBER(SEARCH("Quads",$B2663)),4,1))),2))*IF(IFERROR(VLOOKUP($B2663,Dashboard!$Q$28:$S$60,3,FALSE),0)&gt;0,VLOOKUP($B2663,Dashboard!$Q$28:$S$60,3,FALSE),1))),0))</f>
        <v>3</v>
      </c>
      <c r="K2663" s="2" t="str">
        <f>IF('Base S1'!E94="","",'Base S1'!E94)</f>
        <v>C</v>
      </c>
      <c r="L2663" s="2">
        <f t="shared" si="546"/>
        <v>1</v>
      </c>
      <c r="M2663" s="2">
        <f t="shared" si="547"/>
        <v>0</v>
      </c>
      <c r="N2663" s="2">
        <f t="shared" si="548"/>
        <v>1</v>
      </c>
      <c r="O2663" s="2">
        <f t="shared" si="549"/>
        <v>0</v>
      </c>
      <c r="P2663" s="112">
        <f t="shared" si="550"/>
        <v>3</v>
      </c>
      <c r="Q2663" s="112">
        <f t="shared" si="551"/>
        <v>0</v>
      </c>
      <c r="R2663" s="53"/>
      <c r="S2663" s="53" t="str">
        <f t="shared" si="539"/>
        <v>Base S1|Gold Parallel - Season 1|93|Gold</v>
      </c>
      <c r="T2663" s="57" t="str">
        <f>IF($S2663="","",IFERROR(VLOOKUP($S2663,'Pop Estimates (Non-#d)'!$N$2:$O$500,2,FALSE),""))</f>
        <v/>
      </c>
      <c r="U2663" s="57" t="str">
        <f t="shared" si="540"/>
        <v/>
      </c>
      <c r="V2663" s="53" t="str">
        <f t="shared" si="541"/>
        <v/>
      </c>
      <c r="W2663" s="53" t="str">
        <f t="shared" si="542"/>
        <v/>
      </c>
      <c r="X2663" s="53" t="str">
        <f t="shared" si="543"/>
        <v/>
      </c>
      <c r="Y2663" s="57" t="str">
        <f>IF($X2663="","",IFERROR(VLOOKUP($X2663,'Char Popularity'!$A$2:$C$500,2,FALSE),""))</f>
        <v/>
      </c>
      <c r="Z2663" s="56">
        <f>IF($X2663="",1,IFERROR(VLOOKUP($X2663,'Char Popularity'!$A$2:$C$500,3,FALSE),1))</f>
        <v>1</v>
      </c>
      <c r="AA2663" s="62">
        <f>IF($H2663&lt;&gt;"Y",0,(IF($F2663&lt;&gt;"",ROUND(Dashboard!$R$4/$F2663,1),IF(AND($I2663="Base",$E2663="Base"),Dashboard!$R$5,IF(AND($I2663="Base",$E2663="Red"),Dashboard!$R$6,IF(AND($I2663="Base",$E2663="Gold"),Dashboard!$R$7,VLOOKUP($I2663,Dashboard!$Q$16:$R$21,2,FALSE)))))*VLOOKUP($I2663,Dashboard!$Q$9:$R$13,2,FALSE)*IF(AND($I2663="Auto",$F2663="",OR($B2663="Autographs Duals",$B2663="Autographs Triples",$B2663="Autographs Quads",$B2663="Autographs Quads (Inscribed)")),IF($B2663="Autographs Duals",2,IF($B2663="Autographs Triples",3,4)),1)))</f>
        <v>3</v>
      </c>
      <c r="AB2663" s="62">
        <f t="shared" si="544"/>
        <v>3</v>
      </c>
      <c r="AC2663" s="62">
        <f t="shared" si="545"/>
        <v>0</v>
      </c>
    </row>
    <row r="2664" spans="1:29" ht="28.7" customHeight="1" x14ac:dyDescent="0.25">
      <c r="A2664" s="4" t="s">
        <v>17</v>
      </c>
      <c r="B2664" s="7" t="s">
        <v>67</v>
      </c>
      <c r="C2664" s="2" t="s">
        <v>1493</v>
      </c>
      <c r="D2664" s="7" t="s">
        <v>1031</v>
      </c>
      <c r="E2664" s="4" t="s">
        <v>1602</v>
      </c>
      <c r="F2664" s="2"/>
      <c r="G2664" s="2" t="s">
        <v>1399</v>
      </c>
      <c r="H2664" s="2" t="s">
        <v>1400</v>
      </c>
      <c r="I2664" s="4" t="s">
        <v>60</v>
      </c>
      <c r="J2664" s="112">
        <f>IF($H2664&lt;&gt;"Y",0,ROUND(MIN(Dashboard!$R$24,IF(IFERROR(VLOOKUP($B2664,Dashboard!$Q$28:$S$60,2,FALSE),0)&gt;0,IFERROR(VLOOKUP($B2664,Dashboard!$Q$28:$S$60,2,FALSE),0),$Z2664*IF($U2664&lt;&gt;"",ROUND((Dashboard!$R$4/$U2664)*VLOOKUP($I2664,Dashboard!$Q$9:$R$13,2,FALSE)*IF(ISNUMBER(SEARCH("Duals",$B2664)),2,IF(ISNUMBER(SEARCH("Triples",$B2664)),3,IF(ISNUMBER(SEARCH("Quads",$B2664)),4,1))),2),ROUND(VLOOKUP($I2664,Dashboard!$Q$15:$R$20,2,FALSE)*IF($E2664="Red",Dashboard!$R$6,IF($E2664="Gold",Dashboard!$R$7,Dashboard!$R$5))*IF(ISNUMBER(SEARCH("Duals",$B2664)),2,IF(ISNUMBER(SEARCH("Triples",$B2664)),3,IF(ISNUMBER(SEARCH("Quads",$B2664)),4,1))),2))*IF(IFERROR(VLOOKUP($B2664,Dashboard!$Q$28:$S$60,3,FALSE),0)&gt;0,VLOOKUP($B2664,Dashboard!$Q$28:$S$60,3,FALSE),1))),0))</f>
        <v>3</v>
      </c>
      <c r="K2664" s="2" t="str">
        <f>IF('Base S1'!E95="","",'Base S1'!E95)</f>
        <v>C</v>
      </c>
      <c r="L2664" s="2">
        <f t="shared" si="546"/>
        <v>1</v>
      </c>
      <c r="M2664" s="2">
        <f t="shared" si="547"/>
        <v>0</v>
      </c>
      <c r="N2664" s="2">
        <f t="shared" si="548"/>
        <v>1</v>
      </c>
      <c r="O2664" s="2">
        <f t="shared" si="549"/>
        <v>0</v>
      </c>
      <c r="P2664" s="112">
        <f t="shared" si="550"/>
        <v>3</v>
      </c>
      <c r="Q2664" s="112">
        <f t="shared" si="551"/>
        <v>0</v>
      </c>
      <c r="R2664" s="53"/>
      <c r="S2664" s="53" t="str">
        <f t="shared" si="539"/>
        <v>Base S1|Gold Parallel - Season 1|94|Gold</v>
      </c>
      <c r="T2664" s="57" t="str">
        <f>IF($S2664="","",IFERROR(VLOOKUP($S2664,'Pop Estimates (Non-#d)'!$N$2:$O$500,2,FALSE),""))</f>
        <v/>
      </c>
      <c r="U2664" s="57" t="str">
        <f t="shared" si="540"/>
        <v/>
      </c>
      <c r="V2664" s="53" t="str">
        <f t="shared" si="541"/>
        <v/>
      </c>
      <c r="W2664" s="53" t="str">
        <f t="shared" si="542"/>
        <v/>
      </c>
      <c r="X2664" s="53" t="str">
        <f t="shared" si="543"/>
        <v/>
      </c>
      <c r="Y2664" s="57" t="str">
        <f>IF($X2664="","",IFERROR(VLOOKUP($X2664,'Char Popularity'!$A$2:$C$500,2,FALSE),""))</f>
        <v/>
      </c>
      <c r="Z2664" s="56">
        <f>IF($X2664="",1,IFERROR(VLOOKUP($X2664,'Char Popularity'!$A$2:$C$500,3,FALSE),1))</f>
        <v>1</v>
      </c>
      <c r="AA2664" s="62">
        <f>IF($H2664&lt;&gt;"Y",0,(IF($F2664&lt;&gt;"",ROUND(Dashboard!$R$4/$F2664,1),IF(AND($I2664="Base",$E2664="Base"),Dashboard!$R$5,IF(AND($I2664="Base",$E2664="Red"),Dashboard!$R$6,IF(AND($I2664="Base",$E2664="Gold"),Dashboard!$R$7,VLOOKUP($I2664,Dashboard!$Q$16:$R$21,2,FALSE)))))*VLOOKUP($I2664,Dashboard!$Q$9:$R$13,2,FALSE)*IF(AND($I2664="Auto",$F2664="",OR($B2664="Autographs Duals",$B2664="Autographs Triples",$B2664="Autographs Quads",$B2664="Autographs Quads (Inscribed)")),IF($B2664="Autographs Duals",2,IF($B2664="Autographs Triples",3,4)),1)))</f>
        <v>3</v>
      </c>
      <c r="AB2664" s="62">
        <f t="shared" si="544"/>
        <v>3</v>
      </c>
      <c r="AC2664" s="62">
        <f t="shared" si="545"/>
        <v>0</v>
      </c>
    </row>
    <row r="2665" spans="1:29" ht="28.7" customHeight="1" x14ac:dyDescent="0.25">
      <c r="A2665" s="4" t="s">
        <v>17</v>
      </c>
      <c r="B2665" s="7" t="s">
        <v>67</v>
      </c>
      <c r="C2665" s="2" t="s">
        <v>1494</v>
      </c>
      <c r="D2665" s="7" t="s">
        <v>1032</v>
      </c>
      <c r="E2665" s="4" t="s">
        <v>1602</v>
      </c>
      <c r="F2665" s="2"/>
      <c r="G2665" s="2" t="s">
        <v>1399</v>
      </c>
      <c r="H2665" s="2" t="s">
        <v>1400</v>
      </c>
      <c r="I2665" s="4" t="s">
        <v>60</v>
      </c>
      <c r="J2665" s="112">
        <f>IF($H2665&lt;&gt;"Y",0,ROUND(MIN(Dashboard!$R$24,IF(IFERROR(VLOOKUP($B2665,Dashboard!$Q$28:$S$60,2,FALSE),0)&gt;0,IFERROR(VLOOKUP($B2665,Dashboard!$Q$28:$S$60,2,FALSE),0),$Z2665*IF($U2665&lt;&gt;"",ROUND((Dashboard!$R$4/$U2665)*VLOOKUP($I2665,Dashboard!$Q$9:$R$13,2,FALSE)*IF(ISNUMBER(SEARCH("Duals",$B2665)),2,IF(ISNUMBER(SEARCH("Triples",$B2665)),3,IF(ISNUMBER(SEARCH("Quads",$B2665)),4,1))),2),ROUND(VLOOKUP($I2665,Dashboard!$Q$15:$R$20,2,FALSE)*IF($E2665="Red",Dashboard!$R$6,IF($E2665="Gold",Dashboard!$R$7,Dashboard!$R$5))*IF(ISNUMBER(SEARCH("Duals",$B2665)),2,IF(ISNUMBER(SEARCH("Triples",$B2665)),3,IF(ISNUMBER(SEARCH("Quads",$B2665)),4,1))),2))*IF(IFERROR(VLOOKUP($B2665,Dashboard!$Q$28:$S$60,3,FALSE),0)&gt;0,VLOOKUP($B2665,Dashboard!$Q$28:$S$60,3,FALSE),1))),0))</f>
        <v>3</v>
      </c>
      <c r="K2665" s="2" t="str">
        <f>IF('Base S1'!E96="","",'Base S1'!E96)</f>
        <v>C</v>
      </c>
      <c r="L2665" s="2">
        <f t="shared" si="546"/>
        <v>1</v>
      </c>
      <c r="M2665" s="2">
        <f t="shared" si="547"/>
        <v>0</v>
      </c>
      <c r="N2665" s="2">
        <f t="shared" si="548"/>
        <v>1</v>
      </c>
      <c r="O2665" s="2">
        <f t="shared" si="549"/>
        <v>0</v>
      </c>
      <c r="P2665" s="112">
        <f t="shared" si="550"/>
        <v>3</v>
      </c>
      <c r="Q2665" s="112">
        <f t="shared" si="551"/>
        <v>0</v>
      </c>
      <c r="R2665" s="53"/>
      <c r="S2665" s="53" t="str">
        <f t="shared" si="539"/>
        <v>Base S1|Gold Parallel - Season 1|95|Gold</v>
      </c>
      <c r="T2665" s="57" t="str">
        <f>IF($S2665="","",IFERROR(VLOOKUP($S2665,'Pop Estimates (Non-#d)'!$N$2:$O$500,2,FALSE),""))</f>
        <v/>
      </c>
      <c r="U2665" s="57" t="str">
        <f t="shared" si="540"/>
        <v/>
      </c>
      <c r="V2665" s="53" t="str">
        <f t="shared" si="541"/>
        <v/>
      </c>
      <c r="W2665" s="53" t="str">
        <f t="shared" si="542"/>
        <v/>
      </c>
      <c r="X2665" s="53" t="str">
        <f t="shared" si="543"/>
        <v/>
      </c>
      <c r="Y2665" s="57" t="str">
        <f>IF($X2665="","",IFERROR(VLOOKUP($X2665,'Char Popularity'!$A$2:$C$500,2,FALSE),""))</f>
        <v/>
      </c>
      <c r="Z2665" s="56">
        <f>IF($X2665="",1,IFERROR(VLOOKUP($X2665,'Char Popularity'!$A$2:$C$500,3,FALSE),1))</f>
        <v>1</v>
      </c>
      <c r="AA2665" s="62">
        <f>IF($H2665&lt;&gt;"Y",0,(IF($F2665&lt;&gt;"",ROUND(Dashboard!$R$4/$F2665,1),IF(AND($I2665="Base",$E2665="Base"),Dashboard!$R$5,IF(AND($I2665="Base",$E2665="Red"),Dashboard!$R$6,IF(AND($I2665="Base",$E2665="Gold"),Dashboard!$R$7,VLOOKUP($I2665,Dashboard!$Q$16:$R$21,2,FALSE)))))*VLOOKUP($I2665,Dashboard!$Q$9:$R$13,2,FALSE)*IF(AND($I2665="Auto",$F2665="",OR($B2665="Autographs Duals",$B2665="Autographs Triples",$B2665="Autographs Quads",$B2665="Autographs Quads (Inscribed)")),IF($B2665="Autographs Duals",2,IF($B2665="Autographs Triples",3,4)),1)))</f>
        <v>3</v>
      </c>
      <c r="AB2665" s="62">
        <f t="shared" si="544"/>
        <v>3</v>
      </c>
      <c r="AC2665" s="62">
        <f t="shared" si="545"/>
        <v>0</v>
      </c>
    </row>
    <row r="2666" spans="1:29" ht="28.7" customHeight="1" x14ac:dyDescent="0.25">
      <c r="A2666" s="4" t="s">
        <v>17</v>
      </c>
      <c r="B2666" s="7" t="s">
        <v>67</v>
      </c>
      <c r="C2666" s="2" t="s">
        <v>1495</v>
      </c>
      <c r="D2666" s="7" t="s">
        <v>1034</v>
      </c>
      <c r="E2666" s="4" t="s">
        <v>1602</v>
      </c>
      <c r="F2666" s="2"/>
      <c r="G2666" s="2" t="s">
        <v>1399</v>
      </c>
      <c r="H2666" s="2" t="s">
        <v>1400</v>
      </c>
      <c r="I2666" s="4" t="s">
        <v>60</v>
      </c>
      <c r="J2666" s="112">
        <f>IF($H2666&lt;&gt;"Y",0,ROUND(MIN(Dashboard!$R$24,IF(IFERROR(VLOOKUP($B2666,Dashboard!$Q$28:$S$60,2,FALSE),0)&gt;0,IFERROR(VLOOKUP($B2666,Dashboard!$Q$28:$S$60,2,FALSE),0),$Z2666*IF($U2666&lt;&gt;"",ROUND((Dashboard!$R$4/$U2666)*VLOOKUP($I2666,Dashboard!$Q$9:$R$13,2,FALSE)*IF(ISNUMBER(SEARCH("Duals",$B2666)),2,IF(ISNUMBER(SEARCH("Triples",$B2666)),3,IF(ISNUMBER(SEARCH("Quads",$B2666)),4,1))),2),ROUND(VLOOKUP($I2666,Dashboard!$Q$15:$R$20,2,FALSE)*IF($E2666="Red",Dashboard!$R$6,IF($E2666="Gold",Dashboard!$R$7,Dashboard!$R$5))*IF(ISNUMBER(SEARCH("Duals",$B2666)),2,IF(ISNUMBER(SEARCH("Triples",$B2666)),3,IF(ISNUMBER(SEARCH("Quads",$B2666)),4,1))),2))*IF(IFERROR(VLOOKUP($B2666,Dashboard!$Q$28:$S$60,3,FALSE),0)&gt;0,VLOOKUP($B2666,Dashboard!$Q$28:$S$60,3,FALSE),1))),0))</f>
        <v>3</v>
      </c>
      <c r="K2666" s="2" t="str">
        <f>IF('Base S1'!E97="","",'Base S1'!E97)</f>
        <v>C</v>
      </c>
      <c r="L2666" s="2">
        <f t="shared" si="546"/>
        <v>1</v>
      </c>
      <c r="M2666" s="2">
        <f t="shared" si="547"/>
        <v>0</v>
      </c>
      <c r="N2666" s="2">
        <f t="shared" si="548"/>
        <v>1</v>
      </c>
      <c r="O2666" s="2">
        <f t="shared" si="549"/>
        <v>0</v>
      </c>
      <c r="P2666" s="112">
        <f t="shared" si="550"/>
        <v>3</v>
      </c>
      <c r="Q2666" s="112">
        <f t="shared" si="551"/>
        <v>0</v>
      </c>
      <c r="R2666" s="53"/>
      <c r="S2666" s="53" t="str">
        <f t="shared" si="539"/>
        <v>Base S1|Gold Parallel - Season 1|96|Gold</v>
      </c>
      <c r="T2666" s="57" t="str">
        <f>IF($S2666="","",IFERROR(VLOOKUP($S2666,'Pop Estimates (Non-#d)'!$N$2:$O$500,2,FALSE),""))</f>
        <v/>
      </c>
      <c r="U2666" s="57" t="str">
        <f t="shared" si="540"/>
        <v/>
      </c>
      <c r="V2666" s="53" t="str">
        <f t="shared" si="541"/>
        <v/>
      </c>
      <c r="W2666" s="53" t="str">
        <f t="shared" si="542"/>
        <v/>
      </c>
      <c r="X2666" s="53" t="str">
        <f t="shared" si="543"/>
        <v/>
      </c>
      <c r="Y2666" s="57" t="str">
        <f>IF($X2666="","",IFERROR(VLOOKUP($X2666,'Char Popularity'!$A$2:$C$500,2,FALSE),""))</f>
        <v/>
      </c>
      <c r="Z2666" s="56">
        <f>IF($X2666="",1,IFERROR(VLOOKUP($X2666,'Char Popularity'!$A$2:$C$500,3,FALSE),1))</f>
        <v>1</v>
      </c>
      <c r="AA2666" s="62">
        <f>IF($H2666&lt;&gt;"Y",0,(IF($F2666&lt;&gt;"",ROUND(Dashboard!$R$4/$F2666,1),IF(AND($I2666="Base",$E2666="Base"),Dashboard!$R$5,IF(AND($I2666="Base",$E2666="Red"),Dashboard!$R$6,IF(AND($I2666="Base",$E2666="Gold"),Dashboard!$R$7,VLOOKUP($I2666,Dashboard!$Q$16:$R$21,2,FALSE)))))*VLOOKUP($I2666,Dashboard!$Q$9:$R$13,2,FALSE)*IF(AND($I2666="Auto",$F2666="",OR($B2666="Autographs Duals",$B2666="Autographs Triples",$B2666="Autographs Quads",$B2666="Autographs Quads (Inscribed)")),IF($B2666="Autographs Duals",2,IF($B2666="Autographs Triples",3,4)),1)))</f>
        <v>3</v>
      </c>
      <c r="AB2666" s="62">
        <f t="shared" si="544"/>
        <v>3</v>
      </c>
      <c r="AC2666" s="62">
        <f t="shared" si="545"/>
        <v>0</v>
      </c>
    </row>
    <row r="2667" spans="1:29" ht="28.7" customHeight="1" x14ac:dyDescent="0.25">
      <c r="A2667" s="4" t="s">
        <v>17</v>
      </c>
      <c r="B2667" s="7" t="s">
        <v>67</v>
      </c>
      <c r="C2667" s="2" t="s">
        <v>1496</v>
      </c>
      <c r="D2667" s="7" t="s">
        <v>1036</v>
      </c>
      <c r="E2667" s="4" t="s">
        <v>1602</v>
      </c>
      <c r="F2667" s="2"/>
      <c r="G2667" s="2" t="s">
        <v>1399</v>
      </c>
      <c r="H2667" s="2" t="s">
        <v>1400</v>
      </c>
      <c r="I2667" s="4" t="s">
        <v>60</v>
      </c>
      <c r="J2667" s="112">
        <f>IF($H2667&lt;&gt;"Y",0,ROUND(MIN(Dashboard!$R$24,IF(IFERROR(VLOOKUP($B2667,Dashboard!$Q$28:$S$60,2,FALSE),0)&gt;0,IFERROR(VLOOKUP($B2667,Dashboard!$Q$28:$S$60,2,FALSE),0),$Z2667*IF($U2667&lt;&gt;"",ROUND((Dashboard!$R$4/$U2667)*VLOOKUP($I2667,Dashboard!$Q$9:$R$13,2,FALSE)*IF(ISNUMBER(SEARCH("Duals",$B2667)),2,IF(ISNUMBER(SEARCH("Triples",$B2667)),3,IF(ISNUMBER(SEARCH("Quads",$B2667)),4,1))),2),ROUND(VLOOKUP($I2667,Dashboard!$Q$15:$R$20,2,FALSE)*IF($E2667="Red",Dashboard!$R$6,IF($E2667="Gold",Dashboard!$R$7,Dashboard!$R$5))*IF(ISNUMBER(SEARCH("Duals",$B2667)),2,IF(ISNUMBER(SEARCH("Triples",$B2667)),3,IF(ISNUMBER(SEARCH("Quads",$B2667)),4,1))),2))*IF(IFERROR(VLOOKUP($B2667,Dashboard!$Q$28:$S$60,3,FALSE),0)&gt;0,VLOOKUP($B2667,Dashboard!$Q$28:$S$60,3,FALSE),1))),0))</f>
        <v>3</v>
      </c>
      <c r="K2667" s="2" t="str">
        <f>IF('Base S1'!E98="","",'Base S1'!E98)</f>
        <v>C</v>
      </c>
      <c r="L2667" s="2">
        <f t="shared" si="546"/>
        <v>1</v>
      </c>
      <c r="M2667" s="2">
        <f t="shared" si="547"/>
        <v>0</v>
      </c>
      <c r="N2667" s="2">
        <f t="shared" si="548"/>
        <v>1</v>
      </c>
      <c r="O2667" s="2">
        <f t="shared" si="549"/>
        <v>0</v>
      </c>
      <c r="P2667" s="112">
        <f t="shared" si="550"/>
        <v>3</v>
      </c>
      <c r="Q2667" s="112">
        <f t="shared" si="551"/>
        <v>0</v>
      </c>
      <c r="R2667" s="53"/>
      <c r="S2667" s="53" t="str">
        <f t="shared" si="539"/>
        <v>Base S1|Gold Parallel - Season 1|97|Gold</v>
      </c>
      <c r="T2667" s="57" t="str">
        <f>IF($S2667="","",IFERROR(VLOOKUP($S2667,'Pop Estimates (Non-#d)'!$N$2:$O$500,2,FALSE),""))</f>
        <v/>
      </c>
      <c r="U2667" s="57" t="str">
        <f t="shared" si="540"/>
        <v/>
      </c>
      <c r="V2667" s="53" t="str">
        <f t="shared" si="541"/>
        <v/>
      </c>
      <c r="W2667" s="53" t="str">
        <f t="shared" si="542"/>
        <v/>
      </c>
      <c r="X2667" s="53" t="str">
        <f t="shared" si="543"/>
        <v/>
      </c>
      <c r="Y2667" s="57" t="str">
        <f>IF($X2667="","",IFERROR(VLOOKUP($X2667,'Char Popularity'!$A$2:$C$500,2,FALSE),""))</f>
        <v/>
      </c>
      <c r="Z2667" s="56">
        <f>IF($X2667="",1,IFERROR(VLOOKUP($X2667,'Char Popularity'!$A$2:$C$500,3,FALSE),1))</f>
        <v>1</v>
      </c>
      <c r="AA2667" s="62">
        <f>IF($H2667&lt;&gt;"Y",0,(IF($F2667&lt;&gt;"",ROUND(Dashboard!$R$4/$F2667,1),IF(AND($I2667="Base",$E2667="Base"),Dashboard!$R$5,IF(AND($I2667="Base",$E2667="Red"),Dashboard!$R$6,IF(AND($I2667="Base",$E2667="Gold"),Dashboard!$R$7,VLOOKUP($I2667,Dashboard!$Q$16:$R$21,2,FALSE)))))*VLOOKUP($I2667,Dashboard!$Q$9:$R$13,2,FALSE)*IF(AND($I2667="Auto",$F2667="",OR($B2667="Autographs Duals",$B2667="Autographs Triples",$B2667="Autographs Quads",$B2667="Autographs Quads (Inscribed)")),IF($B2667="Autographs Duals",2,IF($B2667="Autographs Triples",3,4)),1)))</f>
        <v>3</v>
      </c>
      <c r="AB2667" s="62">
        <f t="shared" si="544"/>
        <v>3</v>
      </c>
      <c r="AC2667" s="62">
        <f t="shared" si="545"/>
        <v>0</v>
      </c>
    </row>
    <row r="2668" spans="1:29" ht="28.7" customHeight="1" x14ac:dyDescent="0.25">
      <c r="A2668" s="4" t="s">
        <v>17</v>
      </c>
      <c r="B2668" s="7" t="s">
        <v>67</v>
      </c>
      <c r="C2668" s="2" t="s">
        <v>1497</v>
      </c>
      <c r="D2668" s="7" t="s">
        <v>1037</v>
      </c>
      <c r="E2668" s="4" t="s">
        <v>1602</v>
      </c>
      <c r="F2668" s="2"/>
      <c r="G2668" s="2" t="s">
        <v>1399</v>
      </c>
      <c r="H2668" s="2" t="s">
        <v>1400</v>
      </c>
      <c r="I2668" s="4" t="s">
        <v>60</v>
      </c>
      <c r="J2668" s="112">
        <f>IF($H2668&lt;&gt;"Y",0,ROUND(MIN(Dashboard!$R$24,IF(IFERROR(VLOOKUP($B2668,Dashboard!$Q$28:$S$60,2,FALSE),0)&gt;0,IFERROR(VLOOKUP($B2668,Dashboard!$Q$28:$S$60,2,FALSE),0),$Z2668*IF($U2668&lt;&gt;"",ROUND((Dashboard!$R$4/$U2668)*VLOOKUP($I2668,Dashboard!$Q$9:$R$13,2,FALSE)*IF(ISNUMBER(SEARCH("Duals",$B2668)),2,IF(ISNUMBER(SEARCH("Triples",$B2668)),3,IF(ISNUMBER(SEARCH("Quads",$B2668)),4,1))),2),ROUND(VLOOKUP($I2668,Dashboard!$Q$15:$R$20,2,FALSE)*IF($E2668="Red",Dashboard!$R$6,IF($E2668="Gold",Dashboard!$R$7,Dashboard!$R$5))*IF(ISNUMBER(SEARCH("Duals",$B2668)),2,IF(ISNUMBER(SEARCH("Triples",$B2668)),3,IF(ISNUMBER(SEARCH("Quads",$B2668)),4,1))),2))*IF(IFERROR(VLOOKUP($B2668,Dashboard!$Q$28:$S$60,3,FALSE),0)&gt;0,VLOOKUP($B2668,Dashboard!$Q$28:$S$60,3,FALSE),1))),0))</f>
        <v>3</v>
      </c>
      <c r="K2668" s="2" t="str">
        <f>IF('Base S1'!E99="","",'Base S1'!E99)</f>
        <v>C</v>
      </c>
      <c r="L2668" s="2">
        <f t="shared" si="546"/>
        <v>1</v>
      </c>
      <c r="M2668" s="2">
        <f t="shared" si="547"/>
        <v>0</v>
      </c>
      <c r="N2668" s="2">
        <f t="shared" si="548"/>
        <v>1</v>
      </c>
      <c r="O2668" s="2">
        <f t="shared" si="549"/>
        <v>0</v>
      </c>
      <c r="P2668" s="112">
        <f t="shared" si="550"/>
        <v>3</v>
      </c>
      <c r="Q2668" s="112">
        <f t="shared" si="551"/>
        <v>0</v>
      </c>
      <c r="R2668" s="53"/>
      <c r="S2668" s="53" t="str">
        <f t="shared" si="539"/>
        <v>Base S1|Gold Parallel - Season 1|98|Gold</v>
      </c>
      <c r="T2668" s="57" t="str">
        <f>IF($S2668="","",IFERROR(VLOOKUP($S2668,'Pop Estimates (Non-#d)'!$N$2:$O$500,2,FALSE),""))</f>
        <v/>
      </c>
      <c r="U2668" s="57" t="str">
        <f t="shared" si="540"/>
        <v/>
      </c>
      <c r="V2668" s="53" t="str">
        <f t="shared" si="541"/>
        <v/>
      </c>
      <c r="W2668" s="53" t="str">
        <f t="shared" si="542"/>
        <v/>
      </c>
      <c r="X2668" s="53" t="str">
        <f t="shared" si="543"/>
        <v/>
      </c>
      <c r="Y2668" s="57" t="str">
        <f>IF($X2668="","",IFERROR(VLOOKUP($X2668,'Char Popularity'!$A$2:$C$500,2,FALSE),""))</f>
        <v/>
      </c>
      <c r="Z2668" s="56">
        <f>IF($X2668="",1,IFERROR(VLOOKUP($X2668,'Char Popularity'!$A$2:$C$500,3,FALSE),1))</f>
        <v>1</v>
      </c>
      <c r="AA2668" s="62">
        <f>IF($H2668&lt;&gt;"Y",0,(IF($F2668&lt;&gt;"",ROUND(Dashboard!$R$4/$F2668,1),IF(AND($I2668="Base",$E2668="Base"),Dashboard!$R$5,IF(AND($I2668="Base",$E2668="Red"),Dashboard!$R$6,IF(AND($I2668="Base",$E2668="Gold"),Dashboard!$R$7,VLOOKUP($I2668,Dashboard!$Q$16:$R$21,2,FALSE)))))*VLOOKUP($I2668,Dashboard!$Q$9:$R$13,2,FALSE)*IF(AND($I2668="Auto",$F2668="",OR($B2668="Autographs Duals",$B2668="Autographs Triples",$B2668="Autographs Quads",$B2668="Autographs Quads (Inscribed)")),IF($B2668="Autographs Duals",2,IF($B2668="Autographs Triples",3,4)),1)))</f>
        <v>3</v>
      </c>
      <c r="AB2668" s="62">
        <f t="shared" si="544"/>
        <v>3</v>
      </c>
      <c r="AC2668" s="62">
        <f t="shared" si="545"/>
        <v>0</v>
      </c>
    </row>
    <row r="2669" spans="1:29" ht="28.7" customHeight="1" x14ac:dyDescent="0.25">
      <c r="A2669" s="4" t="s">
        <v>17</v>
      </c>
      <c r="B2669" s="7" t="s">
        <v>67</v>
      </c>
      <c r="C2669" s="2" t="s">
        <v>1498</v>
      </c>
      <c r="D2669" s="7" t="s">
        <v>1039</v>
      </c>
      <c r="E2669" s="4" t="s">
        <v>1602</v>
      </c>
      <c r="F2669" s="2"/>
      <c r="G2669" s="2" t="s">
        <v>1399</v>
      </c>
      <c r="H2669" s="2" t="s">
        <v>1400</v>
      </c>
      <c r="I2669" s="4" t="s">
        <v>60</v>
      </c>
      <c r="J2669" s="112">
        <f>IF($H2669&lt;&gt;"Y",0,ROUND(MIN(Dashboard!$R$24,IF(IFERROR(VLOOKUP($B2669,Dashboard!$Q$28:$S$60,2,FALSE),0)&gt;0,IFERROR(VLOOKUP($B2669,Dashboard!$Q$28:$S$60,2,FALSE),0),$Z2669*IF($U2669&lt;&gt;"",ROUND((Dashboard!$R$4/$U2669)*VLOOKUP($I2669,Dashboard!$Q$9:$R$13,2,FALSE)*IF(ISNUMBER(SEARCH("Duals",$B2669)),2,IF(ISNUMBER(SEARCH("Triples",$B2669)),3,IF(ISNUMBER(SEARCH("Quads",$B2669)),4,1))),2),ROUND(VLOOKUP($I2669,Dashboard!$Q$15:$R$20,2,FALSE)*IF($E2669="Red",Dashboard!$R$6,IF($E2669="Gold",Dashboard!$R$7,Dashboard!$R$5))*IF(ISNUMBER(SEARCH("Duals",$B2669)),2,IF(ISNUMBER(SEARCH("Triples",$B2669)),3,IF(ISNUMBER(SEARCH("Quads",$B2669)),4,1))),2))*IF(IFERROR(VLOOKUP($B2669,Dashboard!$Q$28:$S$60,3,FALSE),0)&gt;0,VLOOKUP($B2669,Dashboard!$Q$28:$S$60,3,FALSE),1))),0))</f>
        <v>3</v>
      </c>
      <c r="K2669" s="2" t="str">
        <f>IF('Base S1'!E100="","",'Base S1'!E100)</f>
        <v>C</v>
      </c>
      <c r="L2669" s="2">
        <f t="shared" si="546"/>
        <v>1</v>
      </c>
      <c r="M2669" s="2">
        <f t="shared" si="547"/>
        <v>0</v>
      </c>
      <c r="N2669" s="2">
        <f t="shared" si="548"/>
        <v>1</v>
      </c>
      <c r="O2669" s="2">
        <f t="shared" si="549"/>
        <v>0</v>
      </c>
      <c r="P2669" s="112">
        <f t="shared" si="550"/>
        <v>3</v>
      </c>
      <c r="Q2669" s="112">
        <f t="shared" si="551"/>
        <v>0</v>
      </c>
      <c r="R2669" s="53"/>
      <c r="S2669" s="53" t="str">
        <f t="shared" si="539"/>
        <v>Base S1|Gold Parallel - Season 1|99|Gold</v>
      </c>
      <c r="T2669" s="57" t="str">
        <f>IF($S2669="","",IFERROR(VLOOKUP($S2669,'Pop Estimates (Non-#d)'!$N$2:$O$500,2,FALSE),""))</f>
        <v/>
      </c>
      <c r="U2669" s="57" t="str">
        <f t="shared" si="540"/>
        <v/>
      </c>
      <c r="V2669" s="53" t="str">
        <f t="shared" si="541"/>
        <v/>
      </c>
      <c r="W2669" s="53" t="str">
        <f t="shared" si="542"/>
        <v/>
      </c>
      <c r="X2669" s="53" t="str">
        <f t="shared" si="543"/>
        <v/>
      </c>
      <c r="Y2669" s="57" t="str">
        <f>IF($X2669="","",IFERROR(VLOOKUP($X2669,'Char Popularity'!$A$2:$C$500,2,FALSE),""))</f>
        <v/>
      </c>
      <c r="Z2669" s="56">
        <f>IF($X2669="",1,IFERROR(VLOOKUP($X2669,'Char Popularity'!$A$2:$C$500,3,FALSE),1))</f>
        <v>1</v>
      </c>
      <c r="AA2669" s="62">
        <f>IF($H2669&lt;&gt;"Y",0,(IF($F2669&lt;&gt;"",ROUND(Dashboard!$R$4/$F2669,1),IF(AND($I2669="Base",$E2669="Base"),Dashboard!$R$5,IF(AND($I2669="Base",$E2669="Red"),Dashboard!$R$6,IF(AND($I2669="Base",$E2669="Gold"),Dashboard!$R$7,VLOOKUP($I2669,Dashboard!$Q$16:$R$21,2,FALSE)))))*VLOOKUP($I2669,Dashboard!$Q$9:$R$13,2,FALSE)*IF(AND($I2669="Auto",$F2669="",OR($B2669="Autographs Duals",$B2669="Autographs Triples",$B2669="Autographs Quads",$B2669="Autographs Quads (Inscribed)")),IF($B2669="Autographs Duals",2,IF($B2669="Autographs Triples",3,4)),1)))</f>
        <v>3</v>
      </c>
      <c r="AB2669" s="62">
        <f t="shared" si="544"/>
        <v>3</v>
      </c>
      <c r="AC2669" s="62">
        <f t="shared" si="545"/>
        <v>0</v>
      </c>
    </row>
    <row r="2670" spans="1:29" ht="28.7" customHeight="1" x14ac:dyDescent="0.25">
      <c r="A2670" s="4" t="s">
        <v>17</v>
      </c>
      <c r="B2670" s="7" t="s">
        <v>67</v>
      </c>
      <c r="C2670" s="2" t="s">
        <v>1499</v>
      </c>
      <c r="D2670" s="7" t="s">
        <v>1041</v>
      </c>
      <c r="E2670" s="4" t="s">
        <v>1602</v>
      </c>
      <c r="F2670" s="2"/>
      <c r="G2670" s="2" t="s">
        <v>1399</v>
      </c>
      <c r="H2670" s="2" t="s">
        <v>1400</v>
      </c>
      <c r="I2670" s="4" t="s">
        <v>60</v>
      </c>
      <c r="J2670" s="112">
        <f>IF($H2670&lt;&gt;"Y",0,ROUND(MIN(Dashboard!$R$24,IF(IFERROR(VLOOKUP($B2670,Dashboard!$Q$28:$S$60,2,FALSE),0)&gt;0,IFERROR(VLOOKUP($B2670,Dashboard!$Q$28:$S$60,2,FALSE),0),$Z2670*IF($U2670&lt;&gt;"",ROUND((Dashboard!$R$4/$U2670)*VLOOKUP($I2670,Dashboard!$Q$9:$R$13,2,FALSE)*IF(ISNUMBER(SEARCH("Duals",$B2670)),2,IF(ISNUMBER(SEARCH("Triples",$B2670)),3,IF(ISNUMBER(SEARCH("Quads",$B2670)),4,1))),2),ROUND(VLOOKUP($I2670,Dashboard!$Q$15:$R$20,2,FALSE)*IF($E2670="Red",Dashboard!$R$6,IF($E2670="Gold",Dashboard!$R$7,Dashboard!$R$5))*IF(ISNUMBER(SEARCH("Duals",$B2670)),2,IF(ISNUMBER(SEARCH("Triples",$B2670)),3,IF(ISNUMBER(SEARCH("Quads",$B2670)),4,1))),2))*IF(IFERROR(VLOOKUP($B2670,Dashboard!$Q$28:$S$60,3,FALSE),0)&gt;0,VLOOKUP($B2670,Dashboard!$Q$28:$S$60,3,FALSE),1))),0))</f>
        <v>3</v>
      </c>
      <c r="K2670" s="2" t="str">
        <f>IF('Base S1'!E101="","",'Base S1'!E101)</f>
        <v>C</v>
      </c>
      <c r="L2670" s="2">
        <f t="shared" si="546"/>
        <v>1</v>
      </c>
      <c r="M2670" s="2">
        <f t="shared" si="547"/>
        <v>0</v>
      </c>
      <c r="N2670" s="2">
        <f t="shared" si="548"/>
        <v>1</v>
      </c>
      <c r="O2670" s="2">
        <f t="shared" si="549"/>
        <v>0</v>
      </c>
      <c r="P2670" s="112">
        <f t="shared" si="550"/>
        <v>3</v>
      </c>
      <c r="Q2670" s="112">
        <f t="shared" si="551"/>
        <v>0</v>
      </c>
      <c r="R2670" s="53"/>
      <c r="S2670" s="53" t="str">
        <f t="shared" si="539"/>
        <v>Base S1|Gold Parallel - Season 1|100|Gold</v>
      </c>
      <c r="T2670" s="57" t="str">
        <f>IF($S2670="","",IFERROR(VLOOKUP($S2670,'Pop Estimates (Non-#d)'!$N$2:$O$500,2,FALSE),""))</f>
        <v/>
      </c>
      <c r="U2670" s="57" t="str">
        <f t="shared" si="540"/>
        <v/>
      </c>
      <c r="V2670" s="53" t="str">
        <f t="shared" si="541"/>
        <v/>
      </c>
      <c r="W2670" s="53" t="str">
        <f t="shared" si="542"/>
        <v/>
      </c>
      <c r="X2670" s="53" t="str">
        <f t="shared" si="543"/>
        <v/>
      </c>
      <c r="Y2670" s="57" t="str">
        <f>IF($X2670="","",IFERROR(VLOOKUP($X2670,'Char Popularity'!$A$2:$C$500,2,FALSE),""))</f>
        <v/>
      </c>
      <c r="Z2670" s="56">
        <f>IF($X2670="",1,IFERROR(VLOOKUP($X2670,'Char Popularity'!$A$2:$C$500,3,FALSE),1))</f>
        <v>1</v>
      </c>
      <c r="AA2670" s="62">
        <f>IF($H2670&lt;&gt;"Y",0,(IF($F2670&lt;&gt;"",ROUND(Dashboard!$R$4/$F2670,1),IF(AND($I2670="Base",$E2670="Base"),Dashboard!$R$5,IF(AND($I2670="Base",$E2670="Red"),Dashboard!$R$6,IF(AND($I2670="Base",$E2670="Gold"),Dashboard!$R$7,VLOOKUP($I2670,Dashboard!$Q$16:$R$21,2,FALSE)))))*VLOOKUP($I2670,Dashboard!$Q$9:$R$13,2,FALSE)*IF(AND($I2670="Auto",$F2670="",OR($B2670="Autographs Duals",$B2670="Autographs Triples",$B2670="Autographs Quads",$B2670="Autographs Quads (Inscribed)")),IF($B2670="Autographs Duals",2,IF($B2670="Autographs Triples",3,4)),1)))</f>
        <v>3</v>
      </c>
      <c r="AB2670" s="62">
        <f t="shared" si="544"/>
        <v>3</v>
      </c>
      <c r="AC2670" s="62">
        <f t="shared" si="545"/>
        <v>0</v>
      </c>
    </row>
    <row r="2671" spans="1:29" ht="28.7" customHeight="1" x14ac:dyDescent="0.25">
      <c r="A2671" s="4" t="s">
        <v>19</v>
      </c>
      <c r="B2671" s="7" t="s">
        <v>77</v>
      </c>
      <c r="C2671" s="2" t="s">
        <v>1500</v>
      </c>
      <c r="D2671" s="7" t="s">
        <v>1043</v>
      </c>
      <c r="E2671" s="4" t="s">
        <v>1602</v>
      </c>
      <c r="F2671" s="2"/>
      <c r="G2671" s="2" t="s">
        <v>1399</v>
      </c>
      <c r="H2671" s="2" t="s">
        <v>1400</v>
      </c>
      <c r="I2671" s="4" t="s">
        <v>60</v>
      </c>
      <c r="J2671" s="112">
        <f>IF($H2671&lt;&gt;"Y",0,ROUND(MIN(Dashboard!$R$24,IF(IFERROR(VLOOKUP($B2671,Dashboard!$Q$28:$S$60,2,FALSE),0)&gt;0,IFERROR(VLOOKUP($B2671,Dashboard!$Q$28:$S$60,2,FALSE),0),$Z2671*IF($U2671&lt;&gt;"",ROUND((Dashboard!$R$4/$U2671)*VLOOKUP($I2671,Dashboard!$Q$9:$R$13,2,FALSE)*IF(ISNUMBER(SEARCH("Duals",$B2671)),2,IF(ISNUMBER(SEARCH("Triples",$B2671)),3,IF(ISNUMBER(SEARCH("Quads",$B2671)),4,1))),2),ROUND(VLOOKUP($I2671,Dashboard!$Q$15:$R$20,2,FALSE)*IF($E2671="Red",Dashboard!$R$6,IF($E2671="Gold",Dashboard!$R$7,Dashboard!$R$5))*IF(ISNUMBER(SEARCH("Duals",$B2671)),2,IF(ISNUMBER(SEARCH("Triples",$B2671)),3,IF(ISNUMBER(SEARCH("Quads",$B2671)),4,1))),2))*IF(IFERROR(VLOOKUP($B2671,Dashboard!$Q$28:$S$60,3,FALSE),0)&gt;0,VLOOKUP($B2671,Dashboard!$Q$28:$S$60,3,FALSE),1))),0))</f>
        <v>3</v>
      </c>
      <c r="K2671" s="2" t="str">
        <f>IF('Base S2'!E2="","",'Base S2'!E2)</f>
        <v>C</v>
      </c>
      <c r="L2671" s="2">
        <f t="shared" si="546"/>
        <v>1</v>
      </c>
      <c r="M2671" s="2">
        <f t="shared" si="547"/>
        <v>0</v>
      </c>
      <c r="N2671" s="2">
        <f t="shared" si="548"/>
        <v>1</v>
      </c>
      <c r="O2671" s="2">
        <f t="shared" si="549"/>
        <v>0</v>
      </c>
      <c r="P2671" s="112">
        <f t="shared" si="550"/>
        <v>3</v>
      </c>
      <c r="Q2671" s="112">
        <f t="shared" si="551"/>
        <v>0</v>
      </c>
      <c r="R2671" s="53"/>
      <c r="S2671" s="53" t="str">
        <f t="shared" si="539"/>
        <v>Base S2|Gold Parallel - Season 2|101|Gold</v>
      </c>
      <c r="T2671" s="57" t="str">
        <f>IF($S2671="","",IFERROR(VLOOKUP($S2671,'Pop Estimates (Non-#d)'!$N$2:$O$500,2,FALSE),""))</f>
        <v/>
      </c>
      <c r="U2671" s="57" t="str">
        <f t="shared" si="540"/>
        <v/>
      </c>
      <c r="V2671" s="53" t="str">
        <f t="shared" si="541"/>
        <v/>
      </c>
      <c r="W2671" s="53" t="str">
        <f t="shared" si="542"/>
        <v/>
      </c>
      <c r="X2671" s="53" t="str">
        <f t="shared" si="543"/>
        <v/>
      </c>
      <c r="Y2671" s="57" t="str">
        <f>IF($X2671="","",IFERROR(VLOOKUP($X2671,'Char Popularity'!$A$2:$C$500,2,FALSE),""))</f>
        <v/>
      </c>
      <c r="Z2671" s="56">
        <f>IF($X2671="",1,IFERROR(VLOOKUP($X2671,'Char Popularity'!$A$2:$C$500,3,FALSE),1))</f>
        <v>1</v>
      </c>
      <c r="AA2671" s="62">
        <f>IF($H2671&lt;&gt;"Y",0,(IF($F2671&lt;&gt;"",ROUND(Dashboard!$R$4/$F2671,1),IF(AND($I2671="Base",$E2671="Base"),Dashboard!$R$5,IF(AND($I2671="Base",$E2671="Red"),Dashboard!$R$6,IF(AND($I2671="Base",$E2671="Gold"),Dashboard!$R$7,VLOOKUP($I2671,Dashboard!$Q$16:$R$21,2,FALSE)))))*VLOOKUP($I2671,Dashboard!$Q$9:$R$13,2,FALSE)*IF(AND($I2671="Auto",$F2671="",OR($B2671="Autographs Duals",$B2671="Autographs Triples",$B2671="Autographs Quads",$B2671="Autographs Quads (Inscribed)")),IF($B2671="Autographs Duals",2,IF($B2671="Autographs Triples",3,4)),1)))</f>
        <v>3</v>
      </c>
      <c r="AB2671" s="62">
        <f t="shared" si="544"/>
        <v>3</v>
      </c>
      <c r="AC2671" s="62">
        <f t="shared" si="545"/>
        <v>0</v>
      </c>
    </row>
    <row r="2672" spans="1:29" ht="28.7" customHeight="1" x14ac:dyDescent="0.25">
      <c r="A2672" s="4" t="s">
        <v>19</v>
      </c>
      <c r="B2672" s="7" t="s">
        <v>77</v>
      </c>
      <c r="C2672" s="2" t="s">
        <v>1501</v>
      </c>
      <c r="D2672" s="7" t="s">
        <v>1045</v>
      </c>
      <c r="E2672" s="4" t="s">
        <v>1602</v>
      </c>
      <c r="F2672" s="2"/>
      <c r="G2672" s="2" t="s">
        <v>1399</v>
      </c>
      <c r="H2672" s="2" t="s">
        <v>1400</v>
      </c>
      <c r="I2672" s="4" t="s">
        <v>60</v>
      </c>
      <c r="J2672" s="112">
        <f>IF($H2672&lt;&gt;"Y",0,ROUND(MIN(Dashboard!$R$24,IF(IFERROR(VLOOKUP($B2672,Dashboard!$Q$28:$S$60,2,FALSE),0)&gt;0,IFERROR(VLOOKUP($B2672,Dashboard!$Q$28:$S$60,2,FALSE),0),$Z2672*IF($U2672&lt;&gt;"",ROUND((Dashboard!$R$4/$U2672)*VLOOKUP($I2672,Dashboard!$Q$9:$R$13,2,FALSE)*IF(ISNUMBER(SEARCH("Duals",$B2672)),2,IF(ISNUMBER(SEARCH("Triples",$B2672)),3,IF(ISNUMBER(SEARCH("Quads",$B2672)),4,1))),2),ROUND(VLOOKUP($I2672,Dashboard!$Q$15:$R$20,2,FALSE)*IF($E2672="Red",Dashboard!$R$6,IF($E2672="Gold",Dashboard!$R$7,Dashboard!$R$5))*IF(ISNUMBER(SEARCH("Duals",$B2672)),2,IF(ISNUMBER(SEARCH("Triples",$B2672)),3,IF(ISNUMBER(SEARCH("Quads",$B2672)),4,1))),2))*IF(IFERROR(VLOOKUP($B2672,Dashboard!$Q$28:$S$60,3,FALSE),0)&gt;0,VLOOKUP($B2672,Dashboard!$Q$28:$S$60,3,FALSE),1))),0))</f>
        <v>3</v>
      </c>
      <c r="K2672" s="2" t="str">
        <f>IF('Base S2'!E3="","",'Base S2'!E3)</f>
        <v>C</v>
      </c>
      <c r="L2672" s="2">
        <f t="shared" si="546"/>
        <v>1</v>
      </c>
      <c r="M2672" s="2">
        <f t="shared" si="547"/>
        <v>0</v>
      </c>
      <c r="N2672" s="2">
        <f t="shared" si="548"/>
        <v>1</v>
      </c>
      <c r="O2672" s="2">
        <f t="shared" si="549"/>
        <v>0</v>
      </c>
      <c r="P2672" s="112">
        <f t="shared" si="550"/>
        <v>3</v>
      </c>
      <c r="Q2672" s="112">
        <f t="shared" si="551"/>
        <v>0</v>
      </c>
      <c r="R2672" s="53"/>
      <c r="S2672" s="53" t="str">
        <f t="shared" si="539"/>
        <v>Base S2|Gold Parallel - Season 2|102|Gold</v>
      </c>
      <c r="T2672" s="57" t="str">
        <f>IF($S2672="","",IFERROR(VLOOKUP($S2672,'Pop Estimates (Non-#d)'!$N$2:$O$500,2,FALSE),""))</f>
        <v/>
      </c>
      <c r="U2672" s="57" t="str">
        <f t="shared" si="540"/>
        <v/>
      </c>
      <c r="V2672" s="53" t="str">
        <f t="shared" si="541"/>
        <v/>
      </c>
      <c r="W2672" s="53" t="str">
        <f t="shared" si="542"/>
        <v/>
      </c>
      <c r="X2672" s="53" t="str">
        <f t="shared" si="543"/>
        <v/>
      </c>
      <c r="Y2672" s="57" t="str">
        <f>IF($X2672="","",IFERROR(VLOOKUP($X2672,'Char Popularity'!$A$2:$C$500,2,FALSE),""))</f>
        <v/>
      </c>
      <c r="Z2672" s="56">
        <f>IF($X2672="",1,IFERROR(VLOOKUP($X2672,'Char Popularity'!$A$2:$C$500,3,FALSE),1))</f>
        <v>1</v>
      </c>
      <c r="AA2672" s="62">
        <f>IF($H2672&lt;&gt;"Y",0,(IF($F2672&lt;&gt;"",ROUND(Dashboard!$R$4/$F2672,1),IF(AND($I2672="Base",$E2672="Base"),Dashboard!$R$5,IF(AND($I2672="Base",$E2672="Red"),Dashboard!$R$6,IF(AND($I2672="Base",$E2672="Gold"),Dashboard!$R$7,VLOOKUP($I2672,Dashboard!$Q$16:$R$21,2,FALSE)))))*VLOOKUP($I2672,Dashboard!$Q$9:$R$13,2,FALSE)*IF(AND($I2672="Auto",$F2672="",OR($B2672="Autographs Duals",$B2672="Autographs Triples",$B2672="Autographs Quads",$B2672="Autographs Quads (Inscribed)")),IF($B2672="Autographs Duals",2,IF($B2672="Autographs Triples",3,4)),1)))</f>
        <v>3</v>
      </c>
      <c r="AB2672" s="62">
        <f t="shared" si="544"/>
        <v>3</v>
      </c>
      <c r="AC2672" s="62">
        <f t="shared" si="545"/>
        <v>0</v>
      </c>
    </row>
    <row r="2673" spans="1:29" ht="28.7" customHeight="1" x14ac:dyDescent="0.25">
      <c r="A2673" s="4" t="s">
        <v>19</v>
      </c>
      <c r="B2673" s="7" t="s">
        <v>77</v>
      </c>
      <c r="C2673" s="2" t="s">
        <v>1502</v>
      </c>
      <c r="D2673" s="7" t="s">
        <v>1047</v>
      </c>
      <c r="E2673" s="4" t="s">
        <v>1602</v>
      </c>
      <c r="F2673" s="2"/>
      <c r="G2673" s="2" t="s">
        <v>1399</v>
      </c>
      <c r="H2673" s="2" t="s">
        <v>1400</v>
      </c>
      <c r="I2673" s="4" t="s">
        <v>60</v>
      </c>
      <c r="J2673" s="112">
        <f>IF($H2673&lt;&gt;"Y",0,ROUND(MIN(Dashboard!$R$24,IF(IFERROR(VLOOKUP($B2673,Dashboard!$Q$28:$S$60,2,FALSE),0)&gt;0,IFERROR(VLOOKUP($B2673,Dashboard!$Q$28:$S$60,2,FALSE),0),$Z2673*IF($U2673&lt;&gt;"",ROUND((Dashboard!$R$4/$U2673)*VLOOKUP($I2673,Dashboard!$Q$9:$R$13,2,FALSE)*IF(ISNUMBER(SEARCH("Duals",$B2673)),2,IF(ISNUMBER(SEARCH("Triples",$B2673)),3,IF(ISNUMBER(SEARCH("Quads",$B2673)),4,1))),2),ROUND(VLOOKUP($I2673,Dashboard!$Q$15:$R$20,2,FALSE)*IF($E2673="Red",Dashboard!$R$6,IF($E2673="Gold",Dashboard!$R$7,Dashboard!$R$5))*IF(ISNUMBER(SEARCH("Duals",$B2673)),2,IF(ISNUMBER(SEARCH("Triples",$B2673)),3,IF(ISNUMBER(SEARCH("Quads",$B2673)),4,1))),2))*IF(IFERROR(VLOOKUP($B2673,Dashboard!$Q$28:$S$60,3,FALSE),0)&gt;0,VLOOKUP($B2673,Dashboard!$Q$28:$S$60,3,FALSE),1))),0))</f>
        <v>3</v>
      </c>
      <c r="K2673" s="2" t="str">
        <f>IF('Base S2'!E4="","",'Base S2'!E4)</f>
        <v>C</v>
      </c>
      <c r="L2673" s="2">
        <f t="shared" si="546"/>
        <v>1</v>
      </c>
      <c r="M2673" s="2">
        <f t="shared" si="547"/>
        <v>0</v>
      </c>
      <c r="N2673" s="2">
        <f t="shared" si="548"/>
        <v>1</v>
      </c>
      <c r="O2673" s="2">
        <f t="shared" si="549"/>
        <v>0</v>
      </c>
      <c r="P2673" s="112">
        <f t="shared" si="550"/>
        <v>3</v>
      </c>
      <c r="Q2673" s="112">
        <f t="shared" si="551"/>
        <v>0</v>
      </c>
      <c r="R2673" s="53"/>
      <c r="S2673" s="53" t="str">
        <f t="shared" si="539"/>
        <v>Base S2|Gold Parallel - Season 2|103|Gold</v>
      </c>
      <c r="T2673" s="57" t="str">
        <f>IF($S2673="","",IFERROR(VLOOKUP($S2673,'Pop Estimates (Non-#d)'!$N$2:$O$500,2,FALSE),""))</f>
        <v/>
      </c>
      <c r="U2673" s="57" t="str">
        <f t="shared" si="540"/>
        <v/>
      </c>
      <c r="V2673" s="53" t="str">
        <f t="shared" si="541"/>
        <v/>
      </c>
      <c r="W2673" s="53" t="str">
        <f t="shared" si="542"/>
        <v/>
      </c>
      <c r="X2673" s="53" t="str">
        <f t="shared" si="543"/>
        <v/>
      </c>
      <c r="Y2673" s="57" t="str">
        <f>IF($X2673="","",IFERROR(VLOOKUP($X2673,'Char Popularity'!$A$2:$C$500,2,FALSE),""))</f>
        <v/>
      </c>
      <c r="Z2673" s="56">
        <f>IF($X2673="",1,IFERROR(VLOOKUP($X2673,'Char Popularity'!$A$2:$C$500,3,FALSE),1))</f>
        <v>1</v>
      </c>
      <c r="AA2673" s="62">
        <f>IF($H2673&lt;&gt;"Y",0,(IF($F2673&lt;&gt;"",ROUND(Dashboard!$R$4/$F2673,1),IF(AND($I2673="Base",$E2673="Base"),Dashboard!$R$5,IF(AND($I2673="Base",$E2673="Red"),Dashboard!$R$6,IF(AND($I2673="Base",$E2673="Gold"),Dashboard!$R$7,VLOOKUP($I2673,Dashboard!$Q$16:$R$21,2,FALSE)))))*VLOOKUP($I2673,Dashboard!$Q$9:$R$13,2,FALSE)*IF(AND($I2673="Auto",$F2673="",OR($B2673="Autographs Duals",$B2673="Autographs Triples",$B2673="Autographs Quads",$B2673="Autographs Quads (Inscribed)")),IF($B2673="Autographs Duals",2,IF($B2673="Autographs Triples",3,4)),1)))</f>
        <v>3</v>
      </c>
      <c r="AB2673" s="62">
        <f t="shared" si="544"/>
        <v>3</v>
      </c>
      <c r="AC2673" s="62">
        <f t="shared" si="545"/>
        <v>0</v>
      </c>
    </row>
    <row r="2674" spans="1:29" ht="28.7" customHeight="1" x14ac:dyDescent="0.25">
      <c r="A2674" s="4" t="s">
        <v>19</v>
      </c>
      <c r="B2674" s="7" t="s">
        <v>77</v>
      </c>
      <c r="C2674" s="2" t="s">
        <v>1503</v>
      </c>
      <c r="D2674" s="7" t="s">
        <v>1048</v>
      </c>
      <c r="E2674" s="4" t="s">
        <v>1602</v>
      </c>
      <c r="F2674" s="2"/>
      <c r="G2674" s="2" t="s">
        <v>1399</v>
      </c>
      <c r="H2674" s="2" t="s">
        <v>1400</v>
      </c>
      <c r="I2674" s="4" t="s">
        <v>60</v>
      </c>
      <c r="J2674" s="112">
        <f>IF($H2674&lt;&gt;"Y",0,ROUND(MIN(Dashboard!$R$24,IF(IFERROR(VLOOKUP($B2674,Dashboard!$Q$28:$S$60,2,FALSE),0)&gt;0,IFERROR(VLOOKUP($B2674,Dashboard!$Q$28:$S$60,2,FALSE),0),$Z2674*IF($U2674&lt;&gt;"",ROUND((Dashboard!$R$4/$U2674)*VLOOKUP($I2674,Dashboard!$Q$9:$R$13,2,FALSE)*IF(ISNUMBER(SEARCH("Duals",$B2674)),2,IF(ISNUMBER(SEARCH("Triples",$B2674)),3,IF(ISNUMBER(SEARCH("Quads",$B2674)),4,1))),2),ROUND(VLOOKUP($I2674,Dashboard!$Q$15:$R$20,2,FALSE)*IF($E2674="Red",Dashboard!$R$6,IF($E2674="Gold",Dashboard!$R$7,Dashboard!$R$5))*IF(ISNUMBER(SEARCH("Duals",$B2674)),2,IF(ISNUMBER(SEARCH("Triples",$B2674)),3,IF(ISNUMBER(SEARCH("Quads",$B2674)),4,1))),2))*IF(IFERROR(VLOOKUP($B2674,Dashboard!$Q$28:$S$60,3,FALSE),0)&gt;0,VLOOKUP($B2674,Dashboard!$Q$28:$S$60,3,FALSE),1))),0))</f>
        <v>3</v>
      </c>
      <c r="K2674" s="2" t="str">
        <f>IF('Base S2'!E5="","",'Base S2'!E5)</f>
        <v>C</v>
      </c>
      <c r="L2674" s="2">
        <f t="shared" si="546"/>
        <v>1</v>
      </c>
      <c r="M2674" s="2">
        <f t="shared" si="547"/>
        <v>0</v>
      </c>
      <c r="N2674" s="2">
        <f t="shared" si="548"/>
        <v>1</v>
      </c>
      <c r="O2674" s="2">
        <f t="shared" si="549"/>
        <v>0</v>
      </c>
      <c r="P2674" s="112">
        <f t="shared" si="550"/>
        <v>3</v>
      </c>
      <c r="Q2674" s="112">
        <f t="shared" si="551"/>
        <v>0</v>
      </c>
      <c r="R2674" s="53"/>
      <c r="S2674" s="53" t="str">
        <f t="shared" si="539"/>
        <v>Base S2|Gold Parallel - Season 2|104|Gold</v>
      </c>
      <c r="T2674" s="57" t="str">
        <f>IF($S2674="","",IFERROR(VLOOKUP($S2674,'Pop Estimates (Non-#d)'!$N$2:$O$500,2,FALSE),""))</f>
        <v/>
      </c>
      <c r="U2674" s="57" t="str">
        <f t="shared" si="540"/>
        <v/>
      </c>
      <c r="V2674" s="53" t="str">
        <f t="shared" si="541"/>
        <v/>
      </c>
      <c r="W2674" s="53" t="str">
        <f t="shared" si="542"/>
        <v/>
      </c>
      <c r="X2674" s="53" t="str">
        <f t="shared" si="543"/>
        <v/>
      </c>
      <c r="Y2674" s="57" t="str">
        <f>IF($X2674="","",IFERROR(VLOOKUP($X2674,'Char Popularity'!$A$2:$C$500,2,FALSE),""))</f>
        <v/>
      </c>
      <c r="Z2674" s="56">
        <f>IF($X2674="",1,IFERROR(VLOOKUP($X2674,'Char Popularity'!$A$2:$C$500,3,FALSE),1))</f>
        <v>1</v>
      </c>
      <c r="AA2674" s="62">
        <f>IF($H2674&lt;&gt;"Y",0,(IF($F2674&lt;&gt;"",ROUND(Dashboard!$R$4/$F2674,1),IF(AND($I2674="Base",$E2674="Base"),Dashboard!$R$5,IF(AND($I2674="Base",$E2674="Red"),Dashboard!$R$6,IF(AND($I2674="Base",$E2674="Gold"),Dashboard!$R$7,VLOOKUP($I2674,Dashboard!$Q$16:$R$21,2,FALSE)))))*VLOOKUP($I2674,Dashboard!$Q$9:$R$13,2,FALSE)*IF(AND($I2674="Auto",$F2674="",OR($B2674="Autographs Duals",$B2674="Autographs Triples",$B2674="Autographs Quads",$B2674="Autographs Quads (Inscribed)")),IF($B2674="Autographs Duals",2,IF($B2674="Autographs Triples",3,4)),1)))</f>
        <v>3</v>
      </c>
      <c r="AB2674" s="62">
        <f t="shared" si="544"/>
        <v>3</v>
      </c>
      <c r="AC2674" s="62">
        <f t="shared" si="545"/>
        <v>0</v>
      </c>
    </row>
    <row r="2675" spans="1:29" ht="28.7" customHeight="1" x14ac:dyDescent="0.25">
      <c r="A2675" s="4" t="s">
        <v>19</v>
      </c>
      <c r="B2675" s="7" t="s">
        <v>77</v>
      </c>
      <c r="C2675" s="2" t="s">
        <v>1504</v>
      </c>
      <c r="D2675" s="7" t="s">
        <v>1049</v>
      </c>
      <c r="E2675" s="4" t="s">
        <v>1602</v>
      </c>
      <c r="F2675" s="2"/>
      <c r="G2675" s="2" t="s">
        <v>1399</v>
      </c>
      <c r="H2675" s="2" t="s">
        <v>1400</v>
      </c>
      <c r="I2675" s="4" t="s">
        <v>60</v>
      </c>
      <c r="J2675" s="112">
        <f>IF($H2675&lt;&gt;"Y",0,ROUND(MIN(Dashboard!$R$24,IF(IFERROR(VLOOKUP($B2675,Dashboard!$Q$28:$S$60,2,FALSE),0)&gt;0,IFERROR(VLOOKUP($B2675,Dashboard!$Q$28:$S$60,2,FALSE),0),$Z2675*IF($U2675&lt;&gt;"",ROUND((Dashboard!$R$4/$U2675)*VLOOKUP($I2675,Dashboard!$Q$9:$R$13,2,FALSE)*IF(ISNUMBER(SEARCH("Duals",$B2675)),2,IF(ISNUMBER(SEARCH("Triples",$B2675)),3,IF(ISNUMBER(SEARCH("Quads",$B2675)),4,1))),2),ROUND(VLOOKUP($I2675,Dashboard!$Q$15:$R$20,2,FALSE)*IF($E2675="Red",Dashboard!$R$6,IF($E2675="Gold",Dashboard!$R$7,Dashboard!$R$5))*IF(ISNUMBER(SEARCH("Duals",$B2675)),2,IF(ISNUMBER(SEARCH("Triples",$B2675)),3,IF(ISNUMBER(SEARCH("Quads",$B2675)),4,1))),2))*IF(IFERROR(VLOOKUP($B2675,Dashboard!$Q$28:$S$60,3,FALSE),0)&gt;0,VLOOKUP($B2675,Dashboard!$Q$28:$S$60,3,FALSE),1))),0))</f>
        <v>3</v>
      </c>
      <c r="K2675" s="2" t="str">
        <f>IF('Base S2'!E6="","",'Base S2'!E6)</f>
        <v>C</v>
      </c>
      <c r="L2675" s="2">
        <f t="shared" si="546"/>
        <v>1</v>
      </c>
      <c r="M2675" s="2">
        <f t="shared" si="547"/>
        <v>0</v>
      </c>
      <c r="N2675" s="2">
        <f t="shared" si="548"/>
        <v>1</v>
      </c>
      <c r="O2675" s="2">
        <f t="shared" si="549"/>
        <v>0</v>
      </c>
      <c r="P2675" s="112">
        <f t="shared" si="550"/>
        <v>3</v>
      </c>
      <c r="Q2675" s="112">
        <f t="shared" si="551"/>
        <v>0</v>
      </c>
      <c r="R2675" s="53"/>
      <c r="S2675" s="53" t="str">
        <f t="shared" si="539"/>
        <v>Base S2|Gold Parallel - Season 2|105|Gold</v>
      </c>
      <c r="T2675" s="57" t="str">
        <f>IF($S2675="","",IFERROR(VLOOKUP($S2675,'Pop Estimates (Non-#d)'!$N$2:$O$500,2,FALSE),""))</f>
        <v/>
      </c>
      <c r="U2675" s="57" t="str">
        <f t="shared" si="540"/>
        <v/>
      </c>
      <c r="V2675" s="53" t="str">
        <f t="shared" si="541"/>
        <v/>
      </c>
      <c r="W2675" s="53" t="str">
        <f t="shared" si="542"/>
        <v/>
      </c>
      <c r="X2675" s="53" t="str">
        <f t="shared" si="543"/>
        <v/>
      </c>
      <c r="Y2675" s="57" t="str">
        <f>IF($X2675="","",IFERROR(VLOOKUP($X2675,'Char Popularity'!$A$2:$C$500,2,FALSE),""))</f>
        <v/>
      </c>
      <c r="Z2675" s="56">
        <f>IF($X2675="",1,IFERROR(VLOOKUP($X2675,'Char Popularity'!$A$2:$C$500,3,FALSE),1))</f>
        <v>1</v>
      </c>
      <c r="AA2675" s="62">
        <f>IF($H2675&lt;&gt;"Y",0,(IF($F2675&lt;&gt;"",ROUND(Dashboard!$R$4/$F2675,1),IF(AND($I2675="Base",$E2675="Base"),Dashboard!$R$5,IF(AND($I2675="Base",$E2675="Red"),Dashboard!$R$6,IF(AND($I2675="Base",$E2675="Gold"),Dashboard!$R$7,VLOOKUP($I2675,Dashboard!$Q$16:$R$21,2,FALSE)))))*VLOOKUP($I2675,Dashboard!$Q$9:$R$13,2,FALSE)*IF(AND($I2675="Auto",$F2675="",OR($B2675="Autographs Duals",$B2675="Autographs Triples",$B2675="Autographs Quads",$B2675="Autographs Quads (Inscribed)")),IF($B2675="Autographs Duals",2,IF($B2675="Autographs Triples",3,4)),1)))</f>
        <v>3</v>
      </c>
      <c r="AB2675" s="62">
        <f t="shared" si="544"/>
        <v>3</v>
      </c>
      <c r="AC2675" s="62">
        <f t="shared" si="545"/>
        <v>0</v>
      </c>
    </row>
    <row r="2676" spans="1:29" ht="28.7" customHeight="1" x14ac:dyDescent="0.25">
      <c r="A2676" s="4" t="s">
        <v>19</v>
      </c>
      <c r="B2676" s="7" t="s">
        <v>77</v>
      </c>
      <c r="C2676" s="2" t="s">
        <v>1505</v>
      </c>
      <c r="D2676" s="7" t="s">
        <v>1050</v>
      </c>
      <c r="E2676" s="4" t="s">
        <v>1602</v>
      </c>
      <c r="F2676" s="2"/>
      <c r="G2676" s="2" t="s">
        <v>1399</v>
      </c>
      <c r="H2676" s="2" t="s">
        <v>1400</v>
      </c>
      <c r="I2676" s="4" t="s">
        <v>60</v>
      </c>
      <c r="J2676" s="112">
        <f>IF($H2676&lt;&gt;"Y",0,ROUND(MIN(Dashboard!$R$24,IF(IFERROR(VLOOKUP($B2676,Dashboard!$Q$28:$S$60,2,FALSE),0)&gt;0,IFERROR(VLOOKUP($B2676,Dashboard!$Q$28:$S$60,2,FALSE),0),$Z2676*IF($U2676&lt;&gt;"",ROUND((Dashboard!$R$4/$U2676)*VLOOKUP($I2676,Dashboard!$Q$9:$R$13,2,FALSE)*IF(ISNUMBER(SEARCH("Duals",$B2676)),2,IF(ISNUMBER(SEARCH("Triples",$B2676)),3,IF(ISNUMBER(SEARCH("Quads",$B2676)),4,1))),2),ROUND(VLOOKUP($I2676,Dashboard!$Q$15:$R$20,2,FALSE)*IF($E2676="Red",Dashboard!$R$6,IF($E2676="Gold",Dashboard!$R$7,Dashboard!$R$5))*IF(ISNUMBER(SEARCH("Duals",$B2676)),2,IF(ISNUMBER(SEARCH("Triples",$B2676)),3,IF(ISNUMBER(SEARCH("Quads",$B2676)),4,1))),2))*IF(IFERROR(VLOOKUP($B2676,Dashboard!$Q$28:$S$60,3,FALSE),0)&gt;0,VLOOKUP($B2676,Dashboard!$Q$28:$S$60,3,FALSE),1))),0))</f>
        <v>3</v>
      </c>
      <c r="K2676" s="2" t="str">
        <f>IF('Base S2'!E7="","",'Base S2'!E7)</f>
        <v>C</v>
      </c>
      <c r="L2676" s="2">
        <f t="shared" si="546"/>
        <v>1</v>
      </c>
      <c r="M2676" s="2">
        <f t="shared" si="547"/>
        <v>0</v>
      </c>
      <c r="N2676" s="2">
        <f t="shared" si="548"/>
        <v>1</v>
      </c>
      <c r="O2676" s="2">
        <f t="shared" si="549"/>
        <v>0</v>
      </c>
      <c r="P2676" s="112">
        <f t="shared" si="550"/>
        <v>3</v>
      </c>
      <c r="Q2676" s="112">
        <f t="shared" si="551"/>
        <v>0</v>
      </c>
      <c r="R2676" s="53"/>
      <c r="S2676" s="53" t="str">
        <f t="shared" si="539"/>
        <v>Base S2|Gold Parallel - Season 2|106|Gold</v>
      </c>
      <c r="T2676" s="57" t="str">
        <f>IF($S2676="","",IFERROR(VLOOKUP($S2676,'Pop Estimates (Non-#d)'!$N$2:$O$500,2,FALSE),""))</f>
        <v/>
      </c>
      <c r="U2676" s="57" t="str">
        <f t="shared" si="540"/>
        <v/>
      </c>
      <c r="V2676" s="53" t="str">
        <f t="shared" si="541"/>
        <v/>
      </c>
      <c r="W2676" s="53" t="str">
        <f t="shared" si="542"/>
        <v/>
      </c>
      <c r="X2676" s="53" t="str">
        <f t="shared" si="543"/>
        <v/>
      </c>
      <c r="Y2676" s="57" t="str">
        <f>IF($X2676="","",IFERROR(VLOOKUP($X2676,'Char Popularity'!$A$2:$C$500,2,FALSE),""))</f>
        <v/>
      </c>
      <c r="Z2676" s="56">
        <f>IF($X2676="",1,IFERROR(VLOOKUP($X2676,'Char Popularity'!$A$2:$C$500,3,FALSE),1))</f>
        <v>1</v>
      </c>
      <c r="AA2676" s="62">
        <f>IF($H2676&lt;&gt;"Y",0,(IF($F2676&lt;&gt;"",ROUND(Dashboard!$R$4/$F2676,1),IF(AND($I2676="Base",$E2676="Base"),Dashboard!$R$5,IF(AND($I2676="Base",$E2676="Red"),Dashboard!$R$6,IF(AND($I2676="Base",$E2676="Gold"),Dashboard!$R$7,VLOOKUP($I2676,Dashboard!$Q$16:$R$21,2,FALSE)))))*VLOOKUP($I2676,Dashboard!$Q$9:$R$13,2,FALSE)*IF(AND($I2676="Auto",$F2676="",OR($B2676="Autographs Duals",$B2676="Autographs Triples",$B2676="Autographs Quads",$B2676="Autographs Quads (Inscribed)")),IF($B2676="Autographs Duals",2,IF($B2676="Autographs Triples",3,4)),1)))</f>
        <v>3</v>
      </c>
      <c r="AB2676" s="62">
        <f t="shared" si="544"/>
        <v>3</v>
      </c>
      <c r="AC2676" s="62">
        <f t="shared" si="545"/>
        <v>0</v>
      </c>
    </row>
    <row r="2677" spans="1:29" ht="28.7" customHeight="1" x14ac:dyDescent="0.25">
      <c r="A2677" s="4" t="s">
        <v>19</v>
      </c>
      <c r="B2677" s="7" t="s">
        <v>77</v>
      </c>
      <c r="C2677" s="2" t="s">
        <v>1506</v>
      </c>
      <c r="D2677" s="7" t="s">
        <v>1051</v>
      </c>
      <c r="E2677" s="4" t="s">
        <v>1602</v>
      </c>
      <c r="F2677" s="2"/>
      <c r="G2677" s="2" t="s">
        <v>1399</v>
      </c>
      <c r="H2677" s="2" t="s">
        <v>1400</v>
      </c>
      <c r="I2677" s="4" t="s">
        <v>60</v>
      </c>
      <c r="J2677" s="112">
        <f>IF($H2677&lt;&gt;"Y",0,ROUND(MIN(Dashboard!$R$24,IF(IFERROR(VLOOKUP($B2677,Dashboard!$Q$28:$S$60,2,FALSE),0)&gt;0,IFERROR(VLOOKUP($B2677,Dashboard!$Q$28:$S$60,2,FALSE),0),$Z2677*IF($U2677&lt;&gt;"",ROUND((Dashboard!$R$4/$U2677)*VLOOKUP($I2677,Dashboard!$Q$9:$R$13,2,FALSE)*IF(ISNUMBER(SEARCH("Duals",$B2677)),2,IF(ISNUMBER(SEARCH("Triples",$B2677)),3,IF(ISNUMBER(SEARCH("Quads",$B2677)),4,1))),2),ROUND(VLOOKUP($I2677,Dashboard!$Q$15:$R$20,2,FALSE)*IF($E2677="Red",Dashboard!$R$6,IF($E2677="Gold",Dashboard!$R$7,Dashboard!$R$5))*IF(ISNUMBER(SEARCH("Duals",$B2677)),2,IF(ISNUMBER(SEARCH("Triples",$B2677)),3,IF(ISNUMBER(SEARCH("Quads",$B2677)),4,1))),2))*IF(IFERROR(VLOOKUP($B2677,Dashboard!$Q$28:$S$60,3,FALSE),0)&gt;0,VLOOKUP($B2677,Dashboard!$Q$28:$S$60,3,FALSE),1))),0))</f>
        <v>3</v>
      </c>
      <c r="K2677" s="2" t="str">
        <f>IF('Base S2'!E8="","",'Base S2'!E8)</f>
        <v>C</v>
      </c>
      <c r="L2677" s="2">
        <f t="shared" si="546"/>
        <v>1</v>
      </c>
      <c r="M2677" s="2">
        <f t="shared" si="547"/>
        <v>0</v>
      </c>
      <c r="N2677" s="2">
        <f t="shared" si="548"/>
        <v>1</v>
      </c>
      <c r="O2677" s="2">
        <f t="shared" si="549"/>
        <v>0</v>
      </c>
      <c r="P2677" s="112">
        <f t="shared" si="550"/>
        <v>3</v>
      </c>
      <c r="Q2677" s="112">
        <f t="shared" si="551"/>
        <v>0</v>
      </c>
      <c r="R2677" s="53"/>
      <c r="S2677" s="53" t="str">
        <f t="shared" si="539"/>
        <v>Base S2|Gold Parallel - Season 2|107|Gold</v>
      </c>
      <c r="T2677" s="57" t="str">
        <f>IF($S2677="","",IFERROR(VLOOKUP($S2677,'Pop Estimates (Non-#d)'!$N$2:$O$500,2,FALSE),""))</f>
        <v/>
      </c>
      <c r="U2677" s="57" t="str">
        <f t="shared" si="540"/>
        <v/>
      </c>
      <c r="V2677" s="53" t="str">
        <f t="shared" si="541"/>
        <v/>
      </c>
      <c r="W2677" s="53" t="str">
        <f t="shared" si="542"/>
        <v/>
      </c>
      <c r="X2677" s="53" t="str">
        <f t="shared" si="543"/>
        <v/>
      </c>
      <c r="Y2677" s="57" t="str">
        <f>IF($X2677="","",IFERROR(VLOOKUP($X2677,'Char Popularity'!$A$2:$C$500,2,FALSE),""))</f>
        <v/>
      </c>
      <c r="Z2677" s="56">
        <f>IF($X2677="",1,IFERROR(VLOOKUP($X2677,'Char Popularity'!$A$2:$C$500,3,FALSE),1))</f>
        <v>1</v>
      </c>
      <c r="AA2677" s="62">
        <f>IF($H2677&lt;&gt;"Y",0,(IF($F2677&lt;&gt;"",ROUND(Dashboard!$R$4/$F2677,1),IF(AND($I2677="Base",$E2677="Base"),Dashboard!$R$5,IF(AND($I2677="Base",$E2677="Red"),Dashboard!$R$6,IF(AND($I2677="Base",$E2677="Gold"),Dashboard!$R$7,VLOOKUP($I2677,Dashboard!$Q$16:$R$21,2,FALSE)))))*VLOOKUP($I2677,Dashboard!$Q$9:$R$13,2,FALSE)*IF(AND($I2677="Auto",$F2677="",OR($B2677="Autographs Duals",$B2677="Autographs Triples",$B2677="Autographs Quads",$B2677="Autographs Quads (Inscribed)")),IF($B2677="Autographs Duals",2,IF($B2677="Autographs Triples",3,4)),1)))</f>
        <v>3</v>
      </c>
      <c r="AB2677" s="62">
        <f t="shared" si="544"/>
        <v>3</v>
      </c>
      <c r="AC2677" s="62">
        <f t="shared" si="545"/>
        <v>0</v>
      </c>
    </row>
    <row r="2678" spans="1:29" ht="28.7" customHeight="1" x14ac:dyDescent="0.25">
      <c r="A2678" s="4" t="s">
        <v>19</v>
      </c>
      <c r="B2678" s="7" t="s">
        <v>77</v>
      </c>
      <c r="C2678" s="2" t="s">
        <v>1507</v>
      </c>
      <c r="D2678" s="7" t="s">
        <v>1053</v>
      </c>
      <c r="E2678" s="4" t="s">
        <v>1602</v>
      </c>
      <c r="F2678" s="2"/>
      <c r="G2678" s="2" t="s">
        <v>1399</v>
      </c>
      <c r="H2678" s="2" t="s">
        <v>1400</v>
      </c>
      <c r="I2678" s="4" t="s">
        <v>60</v>
      </c>
      <c r="J2678" s="112">
        <f>IF($H2678&lt;&gt;"Y",0,ROUND(MIN(Dashboard!$R$24,IF(IFERROR(VLOOKUP($B2678,Dashboard!$Q$28:$S$60,2,FALSE),0)&gt;0,IFERROR(VLOOKUP($B2678,Dashboard!$Q$28:$S$60,2,FALSE),0),$Z2678*IF($U2678&lt;&gt;"",ROUND((Dashboard!$R$4/$U2678)*VLOOKUP($I2678,Dashboard!$Q$9:$R$13,2,FALSE)*IF(ISNUMBER(SEARCH("Duals",$B2678)),2,IF(ISNUMBER(SEARCH("Triples",$B2678)),3,IF(ISNUMBER(SEARCH("Quads",$B2678)),4,1))),2),ROUND(VLOOKUP($I2678,Dashboard!$Q$15:$R$20,2,FALSE)*IF($E2678="Red",Dashboard!$R$6,IF($E2678="Gold",Dashboard!$R$7,Dashboard!$R$5))*IF(ISNUMBER(SEARCH("Duals",$B2678)),2,IF(ISNUMBER(SEARCH("Triples",$B2678)),3,IF(ISNUMBER(SEARCH("Quads",$B2678)),4,1))),2))*IF(IFERROR(VLOOKUP($B2678,Dashboard!$Q$28:$S$60,3,FALSE),0)&gt;0,VLOOKUP($B2678,Dashboard!$Q$28:$S$60,3,FALSE),1))),0))</f>
        <v>3</v>
      </c>
      <c r="K2678" s="2" t="str">
        <f>IF('Base S2'!E9="","",'Base S2'!E9)</f>
        <v>C</v>
      </c>
      <c r="L2678" s="2">
        <f t="shared" si="546"/>
        <v>1</v>
      </c>
      <c r="M2678" s="2">
        <f t="shared" si="547"/>
        <v>0</v>
      </c>
      <c r="N2678" s="2">
        <f t="shared" si="548"/>
        <v>1</v>
      </c>
      <c r="O2678" s="2">
        <f t="shared" si="549"/>
        <v>0</v>
      </c>
      <c r="P2678" s="112">
        <f t="shared" si="550"/>
        <v>3</v>
      </c>
      <c r="Q2678" s="112">
        <f t="shared" si="551"/>
        <v>0</v>
      </c>
      <c r="R2678" s="53"/>
      <c r="S2678" s="53" t="str">
        <f t="shared" si="539"/>
        <v>Base S2|Gold Parallel - Season 2|108|Gold</v>
      </c>
      <c r="T2678" s="57" t="str">
        <f>IF($S2678="","",IFERROR(VLOOKUP($S2678,'Pop Estimates (Non-#d)'!$N$2:$O$500,2,FALSE),""))</f>
        <v/>
      </c>
      <c r="U2678" s="57" t="str">
        <f t="shared" si="540"/>
        <v/>
      </c>
      <c r="V2678" s="53" t="str">
        <f t="shared" si="541"/>
        <v/>
      </c>
      <c r="W2678" s="53" t="str">
        <f t="shared" si="542"/>
        <v/>
      </c>
      <c r="X2678" s="53" t="str">
        <f t="shared" si="543"/>
        <v/>
      </c>
      <c r="Y2678" s="57" t="str">
        <f>IF($X2678="","",IFERROR(VLOOKUP($X2678,'Char Popularity'!$A$2:$C$500,2,FALSE),""))</f>
        <v/>
      </c>
      <c r="Z2678" s="56">
        <f>IF($X2678="",1,IFERROR(VLOOKUP($X2678,'Char Popularity'!$A$2:$C$500,3,FALSE),1))</f>
        <v>1</v>
      </c>
      <c r="AA2678" s="62">
        <f>IF($H2678&lt;&gt;"Y",0,(IF($F2678&lt;&gt;"",ROUND(Dashboard!$R$4/$F2678,1),IF(AND($I2678="Base",$E2678="Base"),Dashboard!$R$5,IF(AND($I2678="Base",$E2678="Red"),Dashboard!$R$6,IF(AND($I2678="Base",$E2678="Gold"),Dashboard!$R$7,VLOOKUP($I2678,Dashboard!$Q$16:$R$21,2,FALSE)))))*VLOOKUP($I2678,Dashboard!$Q$9:$R$13,2,FALSE)*IF(AND($I2678="Auto",$F2678="",OR($B2678="Autographs Duals",$B2678="Autographs Triples",$B2678="Autographs Quads",$B2678="Autographs Quads (Inscribed)")),IF($B2678="Autographs Duals",2,IF($B2678="Autographs Triples",3,4)),1)))</f>
        <v>3</v>
      </c>
      <c r="AB2678" s="62">
        <f t="shared" si="544"/>
        <v>3</v>
      </c>
      <c r="AC2678" s="62">
        <f t="shared" si="545"/>
        <v>0</v>
      </c>
    </row>
    <row r="2679" spans="1:29" ht="28.7" customHeight="1" x14ac:dyDescent="0.25">
      <c r="A2679" s="4" t="s">
        <v>19</v>
      </c>
      <c r="B2679" s="7" t="s">
        <v>77</v>
      </c>
      <c r="C2679" s="2" t="s">
        <v>1508</v>
      </c>
      <c r="D2679" s="7" t="s">
        <v>1056</v>
      </c>
      <c r="E2679" s="4" t="s">
        <v>1602</v>
      </c>
      <c r="F2679" s="2"/>
      <c r="G2679" s="2" t="s">
        <v>1399</v>
      </c>
      <c r="H2679" s="2" t="s">
        <v>1400</v>
      </c>
      <c r="I2679" s="4" t="s">
        <v>60</v>
      </c>
      <c r="J2679" s="112">
        <f>IF($H2679&lt;&gt;"Y",0,ROUND(MIN(Dashboard!$R$24,IF(IFERROR(VLOOKUP($B2679,Dashboard!$Q$28:$S$60,2,FALSE),0)&gt;0,IFERROR(VLOOKUP($B2679,Dashboard!$Q$28:$S$60,2,FALSE),0),$Z2679*IF($U2679&lt;&gt;"",ROUND((Dashboard!$R$4/$U2679)*VLOOKUP($I2679,Dashboard!$Q$9:$R$13,2,FALSE)*IF(ISNUMBER(SEARCH("Duals",$B2679)),2,IF(ISNUMBER(SEARCH("Triples",$B2679)),3,IF(ISNUMBER(SEARCH("Quads",$B2679)),4,1))),2),ROUND(VLOOKUP($I2679,Dashboard!$Q$15:$R$20,2,FALSE)*IF($E2679="Red",Dashboard!$R$6,IF($E2679="Gold",Dashboard!$R$7,Dashboard!$R$5))*IF(ISNUMBER(SEARCH("Duals",$B2679)),2,IF(ISNUMBER(SEARCH("Triples",$B2679)),3,IF(ISNUMBER(SEARCH("Quads",$B2679)),4,1))),2))*IF(IFERROR(VLOOKUP($B2679,Dashboard!$Q$28:$S$60,3,FALSE),0)&gt;0,VLOOKUP($B2679,Dashboard!$Q$28:$S$60,3,FALSE),1))),0))</f>
        <v>3</v>
      </c>
      <c r="K2679" s="2" t="str">
        <f>IF('Base S2'!E10="","",'Base S2'!E10)</f>
        <v>C</v>
      </c>
      <c r="L2679" s="2">
        <f t="shared" si="546"/>
        <v>1</v>
      </c>
      <c r="M2679" s="2">
        <f t="shared" si="547"/>
        <v>0</v>
      </c>
      <c r="N2679" s="2">
        <f t="shared" si="548"/>
        <v>1</v>
      </c>
      <c r="O2679" s="2">
        <f t="shared" si="549"/>
        <v>0</v>
      </c>
      <c r="P2679" s="112">
        <f t="shared" si="550"/>
        <v>3</v>
      </c>
      <c r="Q2679" s="112">
        <f t="shared" si="551"/>
        <v>0</v>
      </c>
      <c r="R2679" s="53"/>
      <c r="S2679" s="53" t="str">
        <f t="shared" si="539"/>
        <v>Base S2|Gold Parallel - Season 2|109|Gold</v>
      </c>
      <c r="T2679" s="57" t="str">
        <f>IF($S2679="","",IFERROR(VLOOKUP($S2679,'Pop Estimates (Non-#d)'!$N$2:$O$500,2,FALSE),""))</f>
        <v/>
      </c>
      <c r="U2679" s="57" t="str">
        <f t="shared" si="540"/>
        <v/>
      </c>
      <c r="V2679" s="53" t="str">
        <f t="shared" si="541"/>
        <v/>
      </c>
      <c r="W2679" s="53" t="str">
        <f t="shared" si="542"/>
        <v/>
      </c>
      <c r="X2679" s="53" t="str">
        <f t="shared" si="543"/>
        <v/>
      </c>
      <c r="Y2679" s="57" t="str">
        <f>IF($X2679="","",IFERROR(VLOOKUP($X2679,'Char Popularity'!$A$2:$C$500,2,FALSE),""))</f>
        <v/>
      </c>
      <c r="Z2679" s="56">
        <f>IF($X2679="",1,IFERROR(VLOOKUP($X2679,'Char Popularity'!$A$2:$C$500,3,FALSE),1))</f>
        <v>1</v>
      </c>
      <c r="AA2679" s="62">
        <f>IF($H2679&lt;&gt;"Y",0,(IF($F2679&lt;&gt;"",ROUND(Dashboard!$R$4/$F2679,1),IF(AND($I2679="Base",$E2679="Base"),Dashboard!$R$5,IF(AND($I2679="Base",$E2679="Red"),Dashboard!$R$6,IF(AND($I2679="Base",$E2679="Gold"),Dashboard!$R$7,VLOOKUP($I2679,Dashboard!$Q$16:$R$21,2,FALSE)))))*VLOOKUP($I2679,Dashboard!$Q$9:$R$13,2,FALSE)*IF(AND($I2679="Auto",$F2679="",OR($B2679="Autographs Duals",$B2679="Autographs Triples",$B2679="Autographs Quads",$B2679="Autographs Quads (Inscribed)")),IF($B2679="Autographs Duals",2,IF($B2679="Autographs Triples",3,4)),1)))</f>
        <v>3</v>
      </c>
      <c r="AB2679" s="62">
        <f t="shared" si="544"/>
        <v>3</v>
      </c>
      <c r="AC2679" s="62">
        <f t="shared" si="545"/>
        <v>0</v>
      </c>
    </row>
    <row r="2680" spans="1:29" ht="28.7" customHeight="1" x14ac:dyDescent="0.25">
      <c r="A2680" s="4" t="s">
        <v>19</v>
      </c>
      <c r="B2680" s="7" t="s">
        <v>77</v>
      </c>
      <c r="C2680" s="2" t="s">
        <v>1509</v>
      </c>
      <c r="D2680" s="7" t="s">
        <v>1059</v>
      </c>
      <c r="E2680" s="4" t="s">
        <v>1602</v>
      </c>
      <c r="F2680" s="2"/>
      <c r="G2680" s="2" t="s">
        <v>1399</v>
      </c>
      <c r="H2680" s="2" t="s">
        <v>1400</v>
      </c>
      <c r="I2680" s="4" t="s">
        <v>60</v>
      </c>
      <c r="J2680" s="112">
        <f>IF($H2680&lt;&gt;"Y",0,ROUND(MIN(Dashboard!$R$24,IF(IFERROR(VLOOKUP($B2680,Dashboard!$Q$28:$S$60,2,FALSE),0)&gt;0,IFERROR(VLOOKUP($B2680,Dashboard!$Q$28:$S$60,2,FALSE),0),$Z2680*IF($U2680&lt;&gt;"",ROUND((Dashboard!$R$4/$U2680)*VLOOKUP($I2680,Dashboard!$Q$9:$R$13,2,FALSE)*IF(ISNUMBER(SEARCH("Duals",$B2680)),2,IF(ISNUMBER(SEARCH("Triples",$B2680)),3,IF(ISNUMBER(SEARCH("Quads",$B2680)),4,1))),2),ROUND(VLOOKUP($I2680,Dashboard!$Q$15:$R$20,2,FALSE)*IF($E2680="Red",Dashboard!$R$6,IF($E2680="Gold",Dashboard!$R$7,Dashboard!$R$5))*IF(ISNUMBER(SEARCH("Duals",$B2680)),2,IF(ISNUMBER(SEARCH("Triples",$B2680)),3,IF(ISNUMBER(SEARCH("Quads",$B2680)),4,1))),2))*IF(IFERROR(VLOOKUP($B2680,Dashboard!$Q$28:$S$60,3,FALSE),0)&gt;0,VLOOKUP($B2680,Dashboard!$Q$28:$S$60,3,FALSE),1))),0))</f>
        <v>3</v>
      </c>
      <c r="K2680" s="2" t="str">
        <f>IF('Base S2'!E11="","",'Base S2'!E11)</f>
        <v>C</v>
      </c>
      <c r="L2680" s="2">
        <f t="shared" si="546"/>
        <v>1</v>
      </c>
      <c r="M2680" s="2">
        <f t="shared" si="547"/>
        <v>0</v>
      </c>
      <c r="N2680" s="2">
        <f t="shared" si="548"/>
        <v>1</v>
      </c>
      <c r="O2680" s="2">
        <f t="shared" si="549"/>
        <v>0</v>
      </c>
      <c r="P2680" s="112">
        <f t="shared" si="550"/>
        <v>3</v>
      </c>
      <c r="Q2680" s="112">
        <f t="shared" si="551"/>
        <v>0</v>
      </c>
      <c r="R2680" s="53"/>
      <c r="S2680" s="53" t="str">
        <f t="shared" si="539"/>
        <v>Base S2|Gold Parallel - Season 2|110|Gold</v>
      </c>
      <c r="T2680" s="57" t="str">
        <f>IF($S2680="","",IFERROR(VLOOKUP($S2680,'Pop Estimates (Non-#d)'!$N$2:$O$500,2,FALSE),""))</f>
        <v/>
      </c>
      <c r="U2680" s="57" t="str">
        <f t="shared" si="540"/>
        <v/>
      </c>
      <c r="V2680" s="53" t="str">
        <f t="shared" si="541"/>
        <v/>
      </c>
      <c r="W2680" s="53" t="str">
        <f t="shared" si="542"/>
        <v/>
      </c>
      <c r="X2680" s="53" t="str">
        <f t="shared" si="543"/>
        <v/>
      </c>
      <c r="Y2680" s="57" t="str">
        <f>IF($X2680="","",IFERROR(VLOOKUP($X2680,'Char Popularity'!$A$2:$C$500,2,FALSE),""))</f>
        <v/>
      </c>
      <c r="Z2680" s="56">
        <f>IF($X2680="",1,IFERROR(VLOOKUP($X2680,'Char Popularity'!$A$2:$C$500,3,FALSE),1))</f>
        <v>1</v>
      </c>
      <c r="AA2680" s="62">
        <f>IF($H2680&lt;&gt;"Y",0,(IF($F2680&lt;&gt;"",ROUND(Dashboard!$R$4/$F2680,1),IF(AND($I2680="Base",$E2680="Base"),Dashboard!$R$5,IF(AND($I2680="Base",$E2680="Red"),Dashboard!$R$6,IF(AND($I2680="Base",$E2680="Gold"),Dashboard!$R$7,VLOOKUP($I2680,Dashboard!$Q$16:$R$21,2,FALSE)))))*VLOOKUP($I2680,Dashboard!$Q$9:$R$13,2,FALSE)*IF(AND($I2680="Auto",$F2680="",OR($B2680="Autographs Duals",$B2680="Autographs Triples",$B2680="Autographs Quads",$B2680="Autographs Quads (Inscribed)")),IF($B2680="Autographs Duals",2,IF($B2680="Autographs Triples",3,4)),1)))</f>
        <v>3</v>
      </c>
      <c r="AB2680" s="62">
        <f t="shared" si="544"/>
        <v>3</v>
      </c>
      <c r="AC2680" s="62">
        <f t="shared" si="545"/>
        <v>0</v>
      </c>
    </row>
    <row r="2681" spans="1:29" ht="28.7" customHeight="1" x14ac:dyDescent="0.25">
      <c r="A2681" s="4" t="s">
        <v>19</v>
      </c>
      <c r="B2681" s="7" t="s">
        <v>77</v>
      </c>
      <c r="C2681" s="2" t="s">
        <v>1510</v>
      </c>
      <c r="D2681" s="7" t="s">
        <v>1061</v>
      </c>
      <c r="E2681" s="4" t="s">
        <v>1602</v>
      </c>
      <c r="F2681" s="2"/>
      <c r="G2681" s="2" t="s">
        <v>1399</v>
      </c>
      <c r="H2681" s="2" t="s">
        <v>1400</v>
      </c>
      <c r="I2681" s="4" t="s">
        <v>60</v>
      </c>
      <c r="J2681" s="112">
        <f>IF($H2681&lt;&gt;"Y",0,ROUND(MIN(Dashboard!$R$24,IF(IFERROR(VLOOKUP($B2681,Dashboard!$Q$28:$S$60,2,FALSE),0)&gt;0,IFERROR(VLOOKUP($B2681,Dashboard!$Q$28:$S$60,2,FALSE),0),$Z2681*IF($U2681&lt;&gt;"",ROUND((Dashboard!$R$4/$U2681)*VLOOKUP($I2681,Dashboard!$Q$9:$R$13,2,FALSE)*IF(ISNUMBER(SEARCH("Duals",$B2681)),2,IF(ISNUMBER(SEARCH("Triples",$B2681)),3,IF(ISNUMBER(SEARCH("Quads",$B2681)),4,1))),2),ROUND(VLOOKUP($I2681,Dashboard!$Q$15:$R$20,2,FALSE)*IF($E2681="Red",Dashboard!$R$6,IF($E2681="Gold",Dashboard!$R$7,Dashboard!$R$5))*IF(ISNUMBER(SEARCH("Duals",$B2681)),2,IF(ISNUMBER(SEARCH("Triples",$B2681)),3,IF(ISNUMBER(SEARCH("Quads",$B2681)),4,1))),2))*IF(IFERROR(VLOOKUP($B2681,Dashboard!$Q$28:$S$60,3,FALSE),0)&gt;0,VLOOKUP($B2681,Dashboard!$Q$28:$S$60,3,FALSE),1))),0))</f>
        <v>3</v>
      </c>
      <c r="K2681" s="2" t="str">
        <f>IF('Base S2'!E12="","",'Base S2'!E12)</f>
        <v>C</v>
      </c>
      <c r="L2681" s="2">
        <f t="shared" si="546"/>
        <v>1</v>
      </c>
      <c r="M2681" s="2">
        <f t="shared" si="547"/>
        <v>0</v>
      </c>
      <c r="N2681" s="2">
        <f t="shared" si="548"/>
        <v>1</v>
      </c>
      <c r="O2681" s="2">
        <f t="shared" si="549"/>
        <v>0</v>
      </c>
      <c r="P2681" s="112">
        <f t="shared" si="550"/>
        <v>3</v>
      </c>
      <c r="Q2681" s="112">
        <f t="shared" si="551"/>
        <v>0</v>
      </c>
      <c r="R2681" s="53"/>
      <c r="S2681" s="53" t="str">
        <f t="shared" si="539"/>
        <v>Base S2|Gold Parallel - Season 2|111|Gold</v>
      </c>
      <c r="T2681" s="57" t="str">
        <f>IF($S2681="","",IFERROR(VLOOKUP($S2681,'Pop Estimates (Non-#d)'!$N$2:$O$500,2,FALSE),""))</f>
        <v/>
      </c>
      <c r="U2681" s="57" t="str">
        <f t="shared" si="540"/>
        <v/>
      </c>
      <c r="V2681" s="53" t="str">
        <f t="shared" si="541"/>
        <v/>
      </c>
      <c r="W2681" s="53" t="str">
        <f t="shared" si="542"/>
        <v/>
      </c>
      <c r="X2681" s="53" t="str">
        <f t="shared" si="543"/>
        <v/>
      </c>
      <c r="Y2681" s="57" t="str">
        <f>IF($X2681="","",IFERROR(VLOOKUP($X2681,'Char Popularity'!$A$2:$C$500,2,FALSE),""))</f>
        <v/>
      </c>
      <c r="Z2681" s="56">
        <f>IF($X2681="",1,IFERROR(VLOOKUP($X2681,'Char Popularity'!$A$2:$C$500,3,FALSE),1))</f>
        <v>1</v>
      </c>
      <c r="AA2681" s="62">
        <f>IF($H2681&lt;&gt;"Y",0,(IF($F2681&lt;&gt;"",ROUND(Dashboard!$R$4/$F2681,1),IF(AND($I2681="Base",$E2681="Base"),Dashboard!$R$5,IF(AND($I2681="Base",$E2681="Red"),Dashboard!$R$6,IF(AND($I2681="Base",$E2681="Gold"),Dashboard!$R$7,VLOOKUP($I2681,Dashboard!$Q$16:$R$21,2,FALSE)))))*VLOOKUP($I2681,Dashboard!$Q$9:$R$13,2,FALSE)*IF(AND($I2681="Auto",$F2681="",OR($B2681="Autographs Duals",$B2681="Autographs Triples",$B2681="Autographs Quads",$B2681="Autographs Quads (Inscribed)")),IF($B2681="Autographs Duals",2,IF($B2681="Autographs Triples",3,4)),1)))</f>
        <v>3</v>
      </c>
      <c r="AB2681" s="62">
        <f t="shared" si="544"/>
        <v>3</v>
      </c>
      <c r="AC2681" s="62">
        <f t="shared" si="545"/>
        <v>0</v>
      </c>
    </row>
    <row r="2682" spans="1:29" ht="28.7" customHeight="1" x14ac:dyDescent="0.25">
      <c r="A2682" s="4" t="s">
        <v>19</v>
      </c>
      <c r="B2682" s="7" t="s">
        <v>77</v>
      </c>
      <c r="C2682" s="2" t="s">
        <v>1511</v>
      </c>
      <c r="D2682" s="7" t="s">
        <v>1063</v>
      </c>
      <c r="E2682" s="4" t="s">
        <v>1602</v>
      </c>
      <c r="F2682" s="2"/>
      <c r="G2682" s="2" t="s">
        <v>1399</v>
      </c>
      <c r="H2682" s="2" t="s">
        <v>1400</v>
      </c>
      <c r="I2682" s="4" t="s">
        <v>60</v>
      </c>
      <c r="J2682" s="112">
        <f>IF($H2682&lt;&gt;"Y",0,ROUND(MIN(Dashboard!$R$24,IF(IFERROR(VLOOKUP($B2682,Dashboard!$Q$28:$S$60,2,FALSE),0)&gt;0,IFERROR(VLOOKUP($B2682,Dashboard!$Q$28:$S$60,2,FALSE),0),$Z2682*IF($U2682&lt;&gt;"",ROUND((Dashboard!$R$4/$U2682)*VLOOKUP($I2682,Dashboard!$Q$9:$R$13,2,FALSE)*IF(ISNUMBER(SEARCH("Duals",$B2682)),2,IF(ISNUMBER(SEARCH("Triples",$B2682)),3,IF(ISNUMBER(SEARCH("Quads",$B2682)),4,1))),2),ROUND(VLOOKUP($I2682,Dashboard!$Q$15:$R$20,2,FALSE)*IF($E2682="Red",Dashboard!$R$6,IF($E2682="Gold",Dashboard!$R$7,Dashboard!$R$5))*IF(ISNUMBER(SEARCH("Duals",$B2682)),2,IF(ISNUMBER(SEARCH("Triples",$B2682)),3,IF(ISNUMBER(SEARCH("Quads",$B2682)),4,1))),2))*IF(IFERROR(VLOOKUP($B2682,Dashboard!$Q$28:$S$60,3,FALSE),0)&gt;0,VLOOKUP($B2682,Dashboard!$Q$28:$S$60,3,FALSE),1))),0))</f>
        <v>3</v>
      </c>
      <c r="K2682" s="2" t="str">
        <f>IF('Base S2'!E13="","",'Base S2'!E13)</f>
        <v>C</v>
      </c>
      <c r="L2682" s="2">
        <f t="shared" si="546"/>
        <v>1</v>
      </c>
      <c r="M2682" s="2">
        <f t="shared" si="547"/>
        <v>0</v>
      </c>
      <c r="N2682" s="2">
        <f t="shared" si="548"/>
        <v>1</v>
      </c>
      <c r="O2682" s="2">
        <f t="shared" si="549"/>
        <v>0</v>
      </c>
      <c r="P2682" s="112">
        <f t="shared" si="550"/>
        <v>3</v>
      </c>
      <c r="Q2682" s="112">
        <f t="shared" si="551"/>
        <v>0</v>
      </c>
      <c r="R2682" s="53"/>
      <c r="S2682" s="53" t="str">
        <f t="shared" si="539"/>
        <v>Base S2|Gold Parallel - Season 2|112|Gold</v>
      </c>
      <c r="T2682" s="57" t="str">
        <f>IF($S2682="","",IFERROR(VLOOKUP($S2682,'Pop Estimates (Non-#d)'!$N$2:$O$500,2,FALSE),""))</f>
        <v/>
      </c>
      <c r="U2682" s="57" t="str">
        <f t="shared" si="540"/>
        <v/>
      </c>
      <c r="V2682" s="53" t="str">
        <f t="shared" si="541"/>
        <v/>
      </c>
      <c r="W2682" s="53" t="str">
        <f t="shared" si="542"/>
        <v/>
      </c>
      <c r="X2682" s="53" t="str">
        <f t="shared" si="543"/>
        <v/>
      </c>
      <c r="Y2682" s="57" t="str">
        <f>IF($X2682="","",IFERROR(VLOOKUP($X2682,'Char Popularity'!$A$2:$C$500,2,FALSE),""))</f>
        <v/>
      </c>
      <c r="Z2682" s="56">
        <f>IF($X2682="",1,IFERROR(VLOOKUP($X2682,'Char Popularity'!$A$2:$C$500,3,FALSE),1))</f>
        <v>1</v>
      </c>
      <c r="AA2682" s="62">
        <f>IF($H2682&lt;&gt;"Y",0,(IF($F2682&lt;&gt;"",ROUND(Dashboard!$R$4/$F2682,1),IF(AND($I2682="Base",$E2682="Base"),Dashboard!$R$5,IF(AND($I2682="Base",$E2682="Red"),Dashboard!$R$6,IF(AND($I2682="Base",$E2682="Gold"),Dashboard!$R$7,VLOOKUP($I2682,Dashboard!$Q$16:$R$21,2,FALSE)))))*VLOOKUP($I2682,Dashboard!$Q$9:$R$13,2,FALSE)*IF(AND($I2682="Auto",$F2682="",OR($B2682="Autographs Duals",$B2682="Autographs Triples",$B2682="Autographs Quads",$B2682="Autographs Quads (Inscribed)")),IF($B2682="Autographs Duals",2,IF($B2682="Autographs Triples",3,4)),1)))</f>
        <v>3</v>
      </c>
      <c r="AB2682" s="62">
        <f t="shared" si="544"/>
        <v>3</v>
      </c>
      <c r="AC2682" s="62">
        <f t="shared" si="545"/>
        <v>0</v>
      </c>
    </row>
    <row r="2683" spans="1:29" ht="28.7" customHeight="1" x14ac:dyDescent="0.25">
      <c r="A2683" s="4" t="s">
        <v>19</v>
      </c>
      <c r="B2683" s="7" t="s">
        <v>77</v>
      </c>
      <c r="C2683" s="2" t="s">
        <v>1512</v>
      </c>
      <c r="D2683" s="7" t="s">
        <v>1065</v>
      </c>
      <c r="E2683" s="4" t="s">
        <v>1602</v>
      </c>
      <c r="F2683" s="2"/>
      <c r="G2683" s="2" t="s">
        <v>1399</v>
      </c>
      <c r="H2683" s="2" t="s">
        <v>1400</v>
      </c>
      <c r="I2683" s="4" t="s">
        <v>60</v>
      </c>
      <c r="J2683" s="112">
        <f>IF($H2683&lt;&gt;"Y",0,ROUND(MIN(Dashboard!$R$24,IF(IFERROR(VLOOKUP($B2683,Dashboard!$Q$28:$S$60,2,FALSE),0)&gt;0,IFERROR(VLOOKUP($B2683,Dashboard!$Q$28:$S$60,2,FALSE),0),$Z2683*IF($U2683&lt;&gt;"",ROUND((Dashboard!$R$4/$U2683)*VLOOKUP($I2683,Dashboard!$Q$9:$R$13,2,FALSE)*IF(ISNUMBER(SEARCH("Duals",$B2683)),2,IF(ISNUMBER(SEARCH("Triples",$B2683)),3,IF(ISNUMBER(SEARCH("Quads",$B2683)),4,1))),2),ROUND(VLOOKUP($I2683,Dashboard!$Q$15:$R$20,2,FALSE)*IF($E2683="Red",Dashboard!$R$6,IF($E2683="Gold",Dashboard!$R$7,Dashboard!$R$5))*IF(ISNUMBER(SEARCH("Duals",$B2683)),2,IF(ISNUMBER(SEARCH("Triples",$B2683)),3,IF(ISNUMBER(SEARCH("Quads",$B2683)),4,1))),2))*IF(IFERROR(VLOOKUP($B2683,Dashboard!$Q$28:$S$60,3,FALSE),0)&gt;0,VLOOKUP($B2683,Dashboard!$Q$28:$S$60,3,FALSE),1))),0))</f>
        <v>3</v>
      </c>
      <c r="K2683" s="2" t="str">
        <f>IF('Base S2'!E14="","",'Base S2'!E14)</f>
        <v>C</v>
      </c>
      <c r="L2683" s="2">
        <f t="shared" si="546"/>
        <v>1</v>
      </c>
      <c r="M2683" s="2">
        <f t="shared" si="547"/>
        <v>0</v>
      </c>
      <c r="N2683" s="2">
        <f t="shared" si="548"/>
        <v>1</v>
      </c>
      <c r="O2683" s="2">
        <f t="shared" si="549"/>
        <v>0</v>
      </c>
      <c r="P2683" s="112">
        <f t="shared" si="550"/>
        <v>3</v>
      </c>
      <c r="Q2683" s="112">
        <f t="shared" si="551"/>
        <v>0</v>
      </c>
      <c r="R2683" s="53"/>
      <c r="S2683" s="53" t="str">
        <f t="shared" si="539"/>
        <v>Base S2|Gold Parallel - Season 2|113|Gold</v>
      </c>
      <c r="T2683" s="57" t="str">
        <f>IF($S2683="","",IFERROR(VLOOKUP($S2683,'Pop Estimates (Non-#d)'!$N$2:$O$500,2,FALSE),""))</f>
        <v/>
      </c>
      <c r="U2683" s="57" t="str">
        <f t="shared" si="540"/>
        <v/>
      </c>
      <c r="V2683" s="53" t="str">
        <f t="shared" si="541"/>
        <v/>
      </c>
      <c r="W2683" s="53" t="str">
        <f t="shared" si="542"/>
        <v/>
      </c>
      <c r="X2683" s="53" t="str">
        <f t="shared" si="543"/>
        <v/>
      </c>
      <c r="Y2683" s="57" t="str">
        <f>IF($X2683="","",IFERROR(VLOOKUP($X2683,'Char Popularity'!$A$2:$C$500,2,FALSE),""))</f>
        <v/>
      </c>
      <c r="Z2683" s="56">
        <f>IF($X2683="",1,IFERROR(VLOOKUP($X2683,'Char Popularity'!$A$2:$C$500,3,FALSE),1))</f>
        <v>1</v>
      </c>
      <c r="AA2683" s="62">
        <f>IF($H2683&lt;&gt;"Y",0,(IF($F2683&lt;&gt;"",ROUND(Dashboard!$R$4/$F2683,1),IF(AND($I2683="Base",$E2683="Base"),Dashboard!$R$5,IF(AND($I2683="Base",$E2683="Red"),Dashboard!$R$6,IF(AND($I2683="Base",$E2683="Gold"),Dashboard!$R$7,VLOOKUP($I2683,Dashboard!$Q$16:$R$21,2,FALSE)))))*VLOOKUP($I2683,Dashboard!$Q$9:$R$13,2,FALSE)*IF(AND($I2683="Auto",$F2683="",OR($B2683="Autographs Duals",$B2683="Autographs Triples",$B2683="Autographs Quads",$B2683="Autographs Quads (Inscribed)")),IF($B2683="Autographs Duals",2,IF($B2683="Autographs Triples",3,4)),1)))</f>
        <v>3</v>
      </c>
      <c r="AB2683" s="62">
        <f t="shared" si="544"/>
        <v>3</v>
      </c>
      <c r="AC2683" s="62">
        <f t="shared" si="545"/>
        <v>0</v>
      </c>
    </row>
    <row r="2684" spans="1:29" ht="28.7" customHeight="1" x14ac:dyDescent="0.25">
      <c r="A2684" s="4" t="s">
        <v>19</v>
      </c>
      <c r="B2684" s="7" t="s">
        <v>77</v>
      </c>
      <c r="C2684" s="2" t="s">
        <v>1513</v>
      </c>
      <c r="D2684" s="7" t="s">
        <v>1067</v>
      </c>
      <c r="E2684" s="4" t="s">
        <v>1602</v>
      </c>
      <c r="F2684" s="2"/>
      <c r="G2684" s="2" t="s">
        <v>1399</v>
      </c>
      <c r="H2684" s="2" t="s">
        <v>1400</v>
      </c>
      <c r="I2684" s="4" t="s">
        <v>60</v>
      </c>
      <c r="J2684" s="112">
        <f>IF($H2684&lt;&gt;"Y",0,ROUND(MIN(Dashboard!$R$24,IF(IFERROR(VLOOKUP($B2684,Dashboard!$Q$28:$S$60,2,FALSE),0)&gt;0,IFERROR(VLOOKUP($B2684,Dashboard!$Q$28:$S$60,2,FALSE),0),$Z2684*IF($U2684&lt;&gt;"",ROUND((Dashboard!$R$4/$U2684)*VLOOKUP($I2684,Dashboard!$Q$9:$R$13,2,FALSE)*IF(ISNUMBER(SEARCH("Duals",$B2684)),2,IF(ISNUMBER(SEARCH("Triples",$B2684)),3,IF(ISNUMBER(SEARCH("Quads",$B2684)),4,1))),2),ROUND(VLOOKUP($I2684,Dashboard!$Q$15:$R$20,2,FALSE)*IF($E2684="Red",Dashboard!$R$6,IF($E2684="Gold",Dashboard!$R$7,Dashboard!$R$5))*IF(ISNUMBER(SEARCH("Duals",$B2684)),2,IF(ISNUMBER(SEARCH("Triples",$B2684)),3,IF(ISNUMBER(SEARCH("Quads",$B2684)),4,1))),2))*IF(IFERROR(VLOOKUP($B2684,Dashboard!$Q$28:$S$60,3,FALSE),0)&gt;0,VLOOKUP($B2684,Dashboard!$Q$28:$S$60,3,FALSE),1))),0))</f>
        <v>3</v>
      </c>
      <c r="K2684" s="2" t="str">
        <f>IF('Base S2'!E15="","",'Base S2'!E15)</f>
        <v>C</v>
      </c>
      <c r="L2684" s="2">
        <f t="shared" si="546"/>
        <v>1</v>
      </c>
      <c r="M2684" s="2">
        <f t="shared" si="547"/>
        <v>0</v>
      </c>
      <c r="N2684" s="2">
        <f t="shared" si="548"/>
        <v>1</v>
      </c>
      <c r="O2684" s="2">
        <f t="shared" si="549"/>
        <v>0</v>
      </c>
      <c r="P2684" s="112">
        <f t="shared" si="550"/>
        <v>3</v>
      </c>
      <c r="Q2684" s="112">
        <f t="shared" si="551"/>
        <v>0</v>
      </c>
      <c r="R2684" s="53"/>
      <c r="S2684" s="53" t="str">
        <f t="shared" si="539"/>
        <v>Base S2|Gold Parallel - Season 2|114|Gold</v>
      </c>
      <c r="T2684" s="57" t="str">
        <f>IF($S2684="","",IFERROR(VLOOKUP($S2684,'Pop Estimates (Non-#d)'!$N$2:$O$500,2,FALSE),""))</f>
        <v/>
      </c>
      <c r="U2684" s="57" t="str">
        <f t="shared" si="540"/>
        <v/>
      </c>
      <c r="V2684" s="53" t="str">
        <f t="shared" si="541"/>
        <v/>
      </c>
      <c r="W2684" s="53" t="str">
        <f t="shared" si="542"/>
        <v/>
      </c>
      <c r="X2684" s="53" t="str">
        <f t="shared" si="543"/>
        <v/>
      </c>
      <c r="Y2684" s="57" t="str">
        <f>IF($X2684="","",IFERROR(VLOOKUP($X2684,'Char Popularity'!$A$2:$C$500,2,FALSE),""))</f>
        <v/>
      </c>
      <c r="Z2684" s="56">
        <f>IF($X2684="",1,IFERROR(VLOOKUP($X2684,'Char Popularity'!$A$2:$C$500,3,FALSE),1))</f>
        <v>1</v>
      </c>
      <c r="AA2684" s="62">
        <f>IF($H2684&lt;&gt;"Y",0,(IF($F2684&lt;&gt;"",ROUND(Dashboard!$R$4/$F2684,1),IF(AND($I2684="Base",$E2684="Base"),Dashboard!$R$5,IF(AND($I2684="Base",$E2684="Red"),Dashboard!$R$6,IF(AND($I2684="Base",$E2684="Gold"),Dashboard!$R$7,VLOOKUP($I2684,Dashboard!$Q$16:$R$21,2,FALSE)))))*VLOOKUP($I2684,Dashboard!$Q$9:$R$13,2,FALSE)*IF(AND($I2684="Auto",$F2684="",OR($B2684="Autographs Duals",$B2684="Autographs Triples",$B2684="Autographs Quads",$B2684="Autographs Quads (Inscribed)")),IF($B2684="Autographs Duals",2,IF($B2684="Autographs Triples",3,4)),1)))</f>
        <v>3</v>
      </c>
      <c r="AB2684" s="62">
        <f t="shared" si="544"/>
        <v>3</v>
      </c>
      <c r="AC2684" s="62">
        <f t="shared" si="545"/>
        <v>0</v>
      </c>
    </row>
    <row r="2685" spans="1:29" ht="28.7" customHeight="1" x14ac:dyDescent="0.25">
      <c r="A2685" s="4" t="s">
        <v>19</v>
      </c>
      <c r="B2685" s="7" t="s">
        <v>77</v>
      </c>
      <c r="C2685" s="2" t="s">
        <v>1514</v>
      </c>
      <c r="D2685" s="7" t="s">
        <v>1069</v>
      </c>
      <c r="E2685" s="4" t="s">
        <v>1602</v>
      </c>
      <c r="F2685" s="2"/>
      <c r="G2685" s="2" t="s">
        <v>1399</v>
      </c>
      <c r="H2685" s="2" t="s">
        <v>1400</v>
      </c>
      <c r="I2685" s="4" t="s">
        <v>60</v>
      </c>
      <c r="J2685" s="112">
        <f>IF($H2685&lt;&gt;"Y",0,ROUND(MIN(Dashboard!$R$24,IF(IFERROR(VLOOKUP($B2685,Dashboard!$Q$28:$S$60,2,FALSE),0)&gt;0,IFERROR(VLOOKUP($B2685,Dashboard!$Q$28:$S$60,2,FALSE),0),$Z2685*IF($U2685&lt;&gt;"",ROUND((Dashboard!$R$4/$U2685)*VLOOKUP($I2685,Dashboard!$Q$9:$R$13,2,FALSE)*IF(ISNUMBER(SEARCH("Duals",$B2685)),2,IF(ISNUMBER(SEARCH("Triples",$B2685)),3,IF(ISNUMBER(SEARCH("Quads",$B2685)),4,1))),2),ROUND(VLOOKUP($I2685,Dashboard!$Q$15:$R$20,2,FALSE)*IF($E2685="Red",Dashboard!$R$6,IF($E2685="Gold",Dashboard!$R$7,Dashboard!$R$5))*IF(ISNUMBER(SEARCH("Duals",$B2685)),2,IF(ISNUMBER(SEARCH("Triples",$B2685)),3,IF(ISNUMBER(SEARCH("Quads",$B2685)),4,1))),2))*IF(IFERROR(VLOOKUP($B2685,Dashboard!$Q$28:$S$60,3,FALSE),0)&gt;0,VLOOKUP($B2685,Dashboard!$Q$28:$S$60,3,FALSE),1))),0))</f>
        <v>3</v>
      </c>
      <c r="K2685" s="2" t="str">
        <f>IF('Base S2'!E16="","",'Base S2'!E16)</f>
        <v>C</v>
      </c>
      <c r="L2685" s="2">
        <f t="shared" si="546"/>
        <v>1</v>
      </c>
      <c r="M2685" s="2">
        <f t="shared" si="547"/>
        <v>0</v>
      </c>
      <c r="N2685" s="2">
        <f t="shared" si="548"/>
        <v>1</v>
      </c>
      <c r="O2685" s="2">
        <f t="shared" si="549"/>
        <v>0</v>
      </c>
      <c r="P2685" s="112">
        <f t="shared" si="550"/>
        <v>3</v>
      </c>
      <c r="Q2685" s="112">
        <f t="shared" si="551"/>
        <v>0</v>
      </c>
      <c r="R2685" s="53"/>
      <c r="S2685" s="53" t="str">
        <f t="shared" si="539"/>
        <v>Base S2|Gold Parallel - Season 2|115|Gold</v>
      </c>
      <c r="T2685" s="57" t="str">
        <f>IF($S2685="","",IFERROR(VLOOKUP($S2685,'Pop Estimates (Non-#d)'!$N$2:$O$500,2,FALSE),""))</f>
        <v/>
      </c>
      <c r="U2685" s="57" t="str">
        <f t="shared" si="540"/>
        <v/>
      </c>
      <c r="V2685" s="53" t="str">
        <f t="shared" si="541"/>
        <v/>
      </c>
      <c r="W2685" s="53" t="str">
        <f t="shared" si="542"/>
        <v/>
      </c>
      <c r="X2685" s="53" t="str">
        <f t="shared" si="543"/>
        <v/>
      </c>
      <c r="Y2685" s="57" t="str">
        <f>IF($X2685="","",IFERROR(VLOOKUP($X2685,'Char Popularity'!$A$2:$C$500,2,FALSE),""))</f>
        <v/>
      </c>
      <c r="Z2685" s="56">
        <f>IF($X2685="",1,IFERROR(VLOOKUP($X2685,'Char Popularity'!$A$2:$C$500,3,FALSE),1))</f>
        <v>1</v>
      </c>
      <c r="AA2685" s="62">
        <f>IF($H2685&lt;&gt;"Y",0,(IF($F2685&lt;&gt;"",ROUND(Dashboard!$R$4/$F2685,1),IF(AND($I2685="Base",$E2685="Base"),Dashboard!$R$5,IF(AND($I2685="Base",$E2685="Red"),Dashboard!$R$6,IF(AND($I2685="Base",$E2685="Gold"),Dashboard!$R$7,VLOOKUP($I2685,Dashboard!$Q$16:$R$21,2,FALSE)))))*VLOOKUP($I2685,Dashboard!$Q$9:$R$13,2,FALSE)*IF(AND($I2685="Auto",$F2685="",OR($B2685="Autographs Duals",$B2685="Autographs Triples",$B2685="Autographs Quads",$B2685="Autographs Quads (Inscribed)")),IF($B2685="Autographs Duals",2,IF($B2685="Autographs Triples",3,4)),1)))</f>
        <v>3</v>
      </c>
      <c r="AB2685" s="62">
        <f t="shared" si="544"/>
        <v>3</v>
      </c>
      <c r="AC2685" s="62">
        <f t="shared" si="545"/>
        <v>0</v>
      </c>
    </row>
    <row r="2686" spans="1:29" ht="28.7" customHeight="1" x14ac:dyDescent="0.25">
      <c r="A2686" s="4" t="s">
        <v>19</v>
      </c>
      <c r="B2686" s="7" t="s">
        <v>77</v>
      </c>
      <c r="C2686" s="2" t="s">
        <v>1515</v>
      </c>
      <c r="D2686" s="7" t="s">
        <v>1070</v>
      </c>
      <c r="E2686" s="4" t="s">
        <v>1602</v>
      </c>
      <c r="F2686" s="2"/>
      <c r="G2686" s="2" t="s">
        <v>1399</v>
      </c>
      <c r="H2686" s="2" t="s">
        <v>1400</v>
      </c>
      <c r="I2686" s="4" t="s">
        <v>60</v>
      </c>
      <c r="J2686" s="112">
        <f>IF($H2686&lt;&gt;"Y",0,ROUND(MIN(Dashboard!$R$24,IF(IFERROR(VLOOKUP($B2686,Dashboard!$Q$28:$S$60,2,FALSE),0)&gt;0,IFERROR(VLOOKUP($B2686,Dashboard!$Q$28:$S$60,2,FALSE),0),$Z2686*IF($U2686&lt;&gt;"",ROUND((Dashboard!$R$4/$U2686)*VLOOKUP($I2686,Dashboard!$Q$9:$R$13,2,FALSE)*IF(ISNUMBER(SEARCH("Duals",$B2686)),2,IF(ISNUMBER(SEARCH("Triples",$B2686)),3,IF(ISNUMBER(SEARCH("Quads",$B2686)),4,1))),2),ROUND(VLOOKUP($I2686,Dashboard!$Q$15:$R$20,2,FALSE)*IF($E2686="Red",Dashboard!$R$6,IF($E2686="Gold",Dashboard!$R$7,Dashboard!$R$5))*IF(ISNUMBER(SEARCH("Duals",$B2686)),2,IF(ISNUMBER(SEARCH("Triples",$B2686)),3,IF(ISNUMBER(SEARCH("Quads",$B2686)),4,1))),2))*IF(IFERROR(VLOOKUP($B2686,Dashboard!$Q$28:$S$60,3,FALSE),0)&gt;0,VLOOKUP($B2686,Dashboard!$Q$28:$S$60,3,FALSE),1))),0))</f>
        <v>3</v>
      </c>
      <c r="K2686" s="2" t="str">
        <f>IF('Base S2'!E17="","",'Base S2'!E17)</f>
        <v>C</v>
      </c>
      <c r="L2686" s="2">
        <f t="shared" si="546"/>
        <v>1</v>
      </c>
      <c r="M2686" s="2">
        <f t="shared" si="547"/>
        <v>0</v>
      </c>
      <c r="N2686" s="2">
        <f t="shared" si="548"/>
        <v>1</v>
      </c>
      <c r="O2686" s="2">
        <f t="shared" si="549"/>
        <v>0</v>
      </c>
      <c r="P2686" s="112">
        <f t="shared" si="550"/>
        <v>3</v>
      </c>
      <c r="Q2686" s="112">
        <f t="shared" si="551"/>
        <v>0</v>
      </c>
      <c r="R2686" s="53"/>
      <c r="S2686" s="53" t="str">
        <f t="shared" si="539"/>
        <v>Base S2|Gold Parallel - Season 2|116|Gold</v>
      </c>
      <c r="T2686" s="57" t="str">
        <f>IF($S2686="","",IFERROR(VLOOKUP($S2686,'Pop Estimates (Non-#d)'!$N$2:$O$500,2,FALSE),""))</f>
        <v/>
      </c>
      <c r="U2686" s="57" t="str">
        <f t="shared" si="540"/>
        <v/>
      </c>
      <c r="V2686" s="53" t="str">
        <f t="shared" si="541"/>
        <v/>
      </c>
      <c r="W2686" s="53" t="str">
        <f t="shared" si="542"/>
        <v/>
      </c>
      <c r="X2686" s="53" t="str">
        <f t="shared" si="543"/>
        <v/>
      </c>
      <c r="Y2686" s="57" t="str">
        <f>IF($X2686="","",IFERROR(VLOOKUP($X2686,'Char Popularity'!$A$2:$C$500,2,FALSE),""))</f>
        <v/>
      </c>
      <c r="Z2686" s="56">
        <f>IF($X2686="",1,IFERROR(VLOOKUP($X2686,'Char Popularity'!$A$2:$C$500,3,FALSE),1))</f>
        <v>1</v>
      </c>
      <c r="AA2686" s="62">
        <f>IF($H2686&lt;&gt;"Y",0,(IF($F2686&lt;&gt;"",ROUND(Dashboard!$R$4/$F2686,1),IF(AND($I2686="Base",$E2686="Base"),Dashboard!$R$5,IF(AND($I2686="Base",$E2686="Red"),Dashboard!$R$6,IF(AND($I2686="Base",$E2686="Gold"),Dashboard!$R$7,VLOOKUP($I2686,Dashboard!$Q$16:$R$21,2,FALSE)))))*VLOOKUP($I2686,Dashboard!$Q$9:$R$13,2,FALSE)*IF(AND($I2686="Auto",$F2686="",OR($B2686="Autographs Duals",$B2686="Autographs Triples",$B2686="Autographs Quads",$B2686="Autographs Quads (Inscribed)")),IF($B2686="Autographs Duals",2,IF($B2686="Autographs Triples",3,4)),1)))</f>
        <v>3</v>
      </c>
      <c r="AB2686" s="62">
        <f t="shared" si="544"/>
        <v>3</v>
      </c>
      <c r="AC2686" s="62">
        <f t="shared" si="545"/>
        <v>0</v>
      </c>
    </row>
    <row r="2687" spans="1:29" ht="28.7" customHeight="1" x14ac:dyDescent="0.25">
      <c r="A2687" s="4" t="s">
        <v>19</v>
      </c>
      <c r="B2687" s="7" t="s">
        <v>77</v>
      </c>
      <c r="C2687" s="2" t="s">
        <v>1516</v>
      </c>
      <c r="D2687" s="7" t="s">
        <v>695</v>
      </c>
      <c r="E2687" s="4" t="s">
        <v>1602</v>
      </c>
      <c r="F2687" s="2"/>
      <c r="G2687" s="2" t="s">
        <v>1399</v>
      </c>
      <c r="H2687" s="2" t="s">
        <v>1400</v>
      </c>
      <c r="I2687" s="4" t="s">
        <v>60</v>
      </c>
      <c r="J2687" s="112">
        <f>IF($H2687&lt;&gt;"Y",0,ROUND(MIN(Dashboard!$R$24,IF(IFERROR(VLOOKUP($B2687,Dashboard!$Q$28:$S$60,2,FALSE),0)&gt;0,IFERROR(VLOOKUP($B2687,Dashboard!$Q$28:$S$60,2,FALSE),0),$Z2687*IF($U2687&lt;&gt;"",ROUND((Dashboard!$R$4/$U2687)*VLOOKUP($I2687,Dashboard!$Q$9:$R$13,2,FALSE)*IF(ISNUMBER(SEARCH("Duals",$B2687)),2,IF(ISNUMBER(SEARCH("Triples",$B2687)),3,IF(ISNUMBER(SEARCH("Quads",$B2687)),4,1))),2),ROUND(VLOOKUP($I2687,Dashboard!$Q$15:$R$20,2,FALSE)*IF($E2687="Red",Dashboard!$R$6,IF($E2687="Gold",Dashboard!$R$7,Dashboard!$R$5))*IF(ISNUMBER(SEARCH("Duals",$B2687)),2,IF(ISNUMBER(SEARCH("Triples",$B2687)),3,IF(ISNUMBER(SEARCH("Quads",$B2687)),4,1))),2))*IF(IFERROR(VLOOKUP($B2687,Dashboard!$Q$28:$S$60,3,FALSE),0)&gt;0,VLOOKUP($B2687,Dashboard!$Q$28:$S$60,3,FALSE),1))),0))</f>
        <v>3</v>
      </c>
      <c r="K2687" s="2" t="str">
        <f>IF('Base S2'!E18="","",'Base S2'!E18)</f>
        <v>C</v>
      </c>
      <c r="L2687" s="2">
        <f t="shared" si="546"/>
        <v>1</v>
      </c>
      <c r="M2687" s="2">
        <f t="shared" si="547"/>
        <v>0</v>
      </c>
      <c r="N2687" s="2">
        <f t="shared" si="548"/>
        <v>1</v>
      </c>
      <c r="O2687" s="2">
        <f t="shared" si="549"/>
        <v>0</v>
      </c>
      <c r="P2687" s="112">
        <f t="shared" si="550"/>
        <v>3</v>
      </c>
      <c r="Q2687" s="112">
        <f t="shared" si="551"/>
        <v>0</v>
      </c>
      <c r="R2687" s="53"/>
      <c r="S2687" s="53" t="str">
        <f t="shared" si="539"/>
        <v>Base S2|Gold Parallel - Season 2|117|Gold</v>
      </c>
      <c r="T2687" s="57" t="str">
        <f>IF($S2687="","",IFERROR(VLOOKUP($S2687,'Pop Estimates (Non-#d)'!$N$2:$O$500,2,FALSE),""))</f>
        <v/>
      </c>
      <c r="U2687" s="57" t="str">
        <f t="shared" si="540"/>
        <v/>
      </c>
      <c r="V2687" s="53" t="str">
        <f t="shared" si="541"/>
        <v/>
      </c>
      <c r="W2687" s="53" t="str">
        <f t="shared" si="542"/>
        <v/>
      </c>
      <c r="X2687" s="53" t="str">
        <f t="shared" si="543"/>
        <v/>
      </c>
      <c r="Y2687" s="57" t="str">
        <f>IF($X2687="","",IFERROR(VLOOKUP($X2687,'Char Popularity'!$A$2:$C$500,2,FALSE),""))</f>
        <v/>
      </c>
      <c r="Z2687" s="56">
        <f>IF($X2687="",1,IFERROR(VLOOKUP($X2687,'Char Popularity'!$A$2:$C$500,3,FALSE),1))</f>
        <v>1</v>
      </c>
      <c r="AA2687" s="62">
        <f>IF($H2687&lt;&gt;"Y",0,(IF($F2687&lt;&gt;"",ROUND(Dashboard!$R$4/$F2687,1),IF(AND($I2687="Base",$E2687="Base"),Dashboard!$R$5,IF(AND($I2687="Base",$E2687="Red"),Dashboard!$R$6,IF(AND($I2687="Base",$E2687="Gold"),Dashboard!$R$7,VLOOKUP($I2687,Dashboard!$Q$16:$R$21,2,FALSE)))))*VLOOKUP($I2687,Dashboard!$Q$9:$R$13,2,FALSE)*IF(AND($I2687="Auto",$F2687="",OR($B2687="Autographs Duals",$B2687="Autographs Triples",$B2687="Autographs Quads",$B2687="Autographs Quads (Inscribed)")),IF($B2687="Autographs Duals",2,IF($B2687="Autographs Triples",3,4)),1)))</f>
        <v>3</v>
      </c>
      <c r="AB2687" s="62">
        <f t="shared" si="544"/>
        <v>3</v>
      </c>
      <c r="AC2687" s="62">
        <f t="shared" si="545"/>
        <v>0</v>
      </c>
    </row>
    <row r="2688" spans="1:29" ht="28.7" customHeight="1" x14ac:dyDescent="0.25">
      <c r="A2688" s="4" t="s">
        <v>19</v>
      </c>
      <c r="B2688" s="7" t="s">
        <v>77</v>
      </c>
      <c r="C2688" s="2" t="s">
        <v>1517</v>
      </c>
      <c r="D2688" s="7" t="s">
        <v>1072</v>
      </c>
      <c r="E2688" s="4" t="s">
        <v>1602</v>
      </c>
      <c r="F2688" s="2"/>
      <c r="G2688" s="2" t="s">
        <v>1399</v>
      </c>
      <c r="H2688" s="2" t="s">
        <v>1400</v>
      </c>
      <c r="I2688" s="4" t="s">
        <v>60</v>
      </c>
      <c r="J2688" s="112">
        <f>IF($H2688&lt;&gt;"Y",0,ROUND(MIN(Dashboard!$R$24,IF(IFERROR(VLOOKUP($B2688,Dashboard!$Q$28:$S$60,2,FALSE),0)&gt;0,IFERROR(VLOOKUP($B2688,Dashboard!$Q$28:$S$60,2,FALSE),0),$Z2688*IF($U2688&lt;&gt;"",ROUND((Dashboard!$R$4/$U2688)*VLOOKUP($I2688,Dashboard!$Q$9:$R$13,2,FALSE)*IF(ISNUMBER(SEARCH("Duals",$B2688)),2,IF(ISNUMBER(SEARCH("Triples",$B2688)),3,IF(ISNUMBER(SEARCH("Quads",$B2688)),4,1))),2),ROUND(VLOOKUP($I2688,Dashboard!$Q$15:$R$20,2,FALSE)*IF($E2688="Red",Dashboard!$R$6,IF($E2688="Gold",Dashboard!$R$7,Dashboard!$R$5))*IF(ISNUMBER(SEARCH("Duals",$B2688)),2,IF(ISNUMBER(SEARCH("Triples",$B2688)),3,IF(ISNUMBER(SEARCH("Quads",$B2688)),4,1))),2))*IF(IFERROR(VLOOKUP($B2688,Dashboard!$Q$28:$S$60,3,FALSE),0)&gt;0,VLOOKUP($B2688,Dashboard!$Q$28:$S$60,3,FALSE),1))),0))</f>
        <v>3</v>
      </c>
      <c r="K2688" s="2" t="str">
        <f>IF('Base S2'!E19="","",'Base S2'!E19)</f>
        <v>C</v>
      </c>
      <c r="L2688" s="2">
        <f t="shared" si="546"/>
        <v>1</v>
      </c>
      <c r="M2688" s="2">
        <f t="shared" si="547"/>
        <v>0</v>
      </c>
      <c r="N2688" s="2">
        <f t="shared" si="548"/>
        <v>1</v>
      </c>
      <c r="O2688" s="2">
        <f t="shared" si="549"/>
        <v>0</v>
      </c>
      <c r="P2688" s="112">
        <f t="shared" si="550"/>
        <v>3</v>
      </c>
      <c r="Q2688" s="112">
        <f t="shared" si="551"/>
        <v>0</v>
      </c>
      <c r="R2688" s="53"/>
      <c r="S2688" s="53" t="str">
        <f t="shared" si="539"/>
        <v>Base S2|Gold Parallel - Season 2|118|Gold</v>
      </c>
      <c r="T2688" s="57" t="str">
        <f>IF($S2688="","",IFERROR(VLOOKUP($S2688,'Pop Estimates (Non-#d)'!$N$2:$O$500,2,FALSE),""))</f>
        <v/>
      </c>
      <c r="U2688" s="57" t="str">
        <f t="shared" si="540"/>
        <v/>
      </c>
      <c r="V2688" s="53" t="str">
        <f t="shared" si="541"/>
        <v/>
      </c>
      <c r="W2688" s="53" t="str">
        <f t="shared" si="542"/>
        <v/>
      </c>
      <c r="X2688" s="53" t="str">
        <f t="shared" si="543"/>
        <v/>
      </c>
      <c r="Y2688" s="57" t="str">
        <f>IF($X2688="","",IFERROR(VLOOKUP($X2688,'Char Popularity'!$A$2:$C$500,2,FALSE),""))</f>
        <v/>
      </c>
      <c r="Z2688" s="56">
        <f>IF($X2688="",1,IFERROR(VLOOKUP($X2688,'Char Popularity'!$A$2:$C$500,3,FALSE),1))</f>
        <v>1</v>
      </c>
      <c r="AA2688" s="62">
        <f>IF($H2688&lt;&gt;"Y",0,(IF($F2688&lt;&gt;"",ROUND(Dashboard!$R$4/$F2688,1),IF(AND($I2688="Base",$E2688="Base"),Dashboard!$R$5,IF(AND($I2688="Base",$E2688="Red"),Dashboard!$R$6,IF(AND($I2688="Base",$E2688="Gold"),Dashboard!$R$7,VLOOKUP($I2688,Dashboard!$Q$16:$R$21,2,FALSE)))))*VLOOKUP($I2688,Dashboard!$Q$9:$R$13,2,FALSE)*IF(AND($I2688="Auto",$F2688="",OR($B2688="Autographs Duals",$B2688="Autographs Triples",$B2688="Autographs Quads",$B2688="Autographs Quads (Inscribed)")),IF($B2688="Autographs Duals",2,IF($B2688="Autographs Triples",3,4)),1)))</f>
        <v>3</v>
      </c>
      <c r="AB2688" s="62">
        <f t="shared" si="544"/>
        <v>3</v>
      </c>
      <c r="AC2688" s="62">
        <f t="shared" si="545"/>
        <v>0</v>
      </c>
    </row>
    <row r="2689" spans="1:29" ht="28.7" customHeight="1" x14ac:dyDescent="0.25">
      <c r="A2689" s="4" t="s">
        <v>19</v>
      </c>
      <c r="B2689" s="7" t="s">
        <v>77</v>
      </c>
      <c r="C2689" s="2" t="s">
        <v>1518</v>
      </c>
      <c r="D2689" s="7" t="s">
        <v>1073</v>
      </c>
      <c r="E2689" s="4" t="s">
        <v>1602</v>
      </c>
      <c r="F2689" s="2"/>
      <c r="G2689" s="2" t="s">
        <v>1399</v>
      </c>
      <c r="H2689" s="2" t="s">
        <v>1400</v>
      </c>
      <c r="I2689" s="4" t="s">
        <v>60</v>
      </c>
      <c r="J2689" s="112">
        <f>IF($H2689&lt;&gt;"Y",0,ROUND(MIN(Dashboard!$R$24,IF(IFERROR(VLOOKUP($B2689,Dashboard!$Q$28:$S$60,2,FALSE),0)&gt;0,IFERROR(VLOOKUP($B2689,Dashboard!$Q$28:$S$60,2,FALSE),0),$Z2689*IF($U2689&lt;&gt;"",ROUND((Dashboard!$R$4/$U2689)*VLOOKUP($I2689,Dashboard!$Q$9:$R$13,2,FALSE)*IF(ISNUMBER(SEARCH("Duals",$B2689)),2,IF(ISNUMBER(SEARCH("Triples",$B2689)),3,IF(ISNUMBER(SEARCH("Quads",$B2689)),4,1))),2),ROUND(VLOOKUP($I2689,Dashboard!$Q$15:$R$20,2,FALSE)*IF($E2689="Red",Dashboard!$R$6,IF($E2689="Gold",Dashboard!$R$7,Dashboard!$R$5))*IF(ISNUMBER(SEARCH("Duals",$B2689)),2,IF(ISNUMBER(SEARCH("Triples",$B2689)),3,IF(ISNUMBER(SEARCH("Quads",$B2689)),4,1))),2))*IF(IFERROR(VLOOKUP($B2689,Dashboard!$Q$28:$S$60,3,FALSE),0)&gt;0,VLOOKUP($B2689,Dashboard!$Q$28:$S$60,3,FALSE),1))),0))</f>
        <v>3</v>
      </c>
      <c r="K2689" s="2" t="str">
        <f>IF('Base S2'!E20="","",'Base S2'!E20)</f>
        <v>C</v>
      </c>
      <c r="L2689" s="2">
        <f t="shared" si="546"/>
        <v>1</v>
      </c>
      <c r="M2689" s="2">
        <f t="shared" si="547"/>
        <v>0</v>
      </c>
      <c r="N2689" s="2">
        <f t="shared" si="548"/>
        <v>1</v>
      </c>
      <c r="O2689" s="2">
        <f t="shared" si="549"/>
        <v>0</v>
      </c>
      <c r="P2689" s="112">
        <f t="shared" si="550"/>
        <v>3</v>
      </c>
      <c r="Q2689" s="112">
        <f t="shared" si="551"/>
        <v>0</v>
      </c>
      <c r="R2689" s="53"/>
      <c r="S2689" s="53" t="str">
        <f t="shared" si="539"/>
        <v>Base S2|Gold Parallel - Season 2|119|Gold</v>
      </c>
      <c r="T2689" s="57" t="str">
        <f>IF($S2689="","",IFERROR(VLOOKUP($S2689,'Pop Estimates (Non-#d)'!$N$2:$O$500,2,FALSE),""))</f>
        <v/>
      </c>
      <c r="U2689" s="57" t="str">
        <f t="shared" si="540"/>
        <v/>
      </c>
      <c r="V2689" s="53" t="str">
        <f t="shared" si="541"/>
        <v/>
      </c>
      <c r="W2689" s="53" t="str">
        <f t="shared" si="542"/>
        <v/>
      </c>
      <c r="X2689" s="53" t="str">
        <f t="shared" si="543"/>
        <v/>
      </c>
      <c r="Y2689" s="57" t="str">
        <f>IF($X2689="","",IFERROR(VLOOKUP($X2689,'Char Popularity'!$A$2:$C$500,2,FALSE),""))</f>
        <v/>
      </c>
      <c r="Z2689" s="56">
        <f>IF($X2689="",1,IFERROR(VLOOKUP($X2689,'Char Popularity'!$A$2:$C$500,3,FALSE),1))</f>
        <v>1</v>
      </c>
      <c r="AA2689" s="62">
        <f>IF($H2689&lt;&gt;"Y",0,(IF($F2689&lt;&gt;"",ROUND(Dashboard!$R$4/$F2689,1),IF(AND($I2689="Base",$E2689="Base"),Dashboard!$R$5,IF(AND($I2689="Base",$E2689="Red"),Dashboard!$R$6,IF(AND($I2689="Base",$E2689="Gold"),Dashboard!$R$7,VLOOKUP($I2689,Dashboard!$Q$16:$R$21,2,FALSE)))))*VLOOKUP($I2689,Dashboard!$Q$9:$R$13,2,FALSE)*IF(AND($I2689="Auto",$F2689="",OR($B2689="Autographs Duals",$B2689="Autographs Triples",$B2689="Autographs Quads",$B2689="Autographs Quads (Inscribed)")),IF($B2689="Autographs Duals",2,IF($B2689="Autographs Triples",3,4)),1)))</f>
        <v>3</v>
      </c>
      <c r="AB2689" s="62">
        <f t="shared" si="544"/>
        <v>3</v>
      </c>
      <c r="AC2689" s="62">
        <f t="shared" si="545"/>
        <v>0</v>
      </c>
    </row>
    <row r="2690" spans="1:29" ht="28.7" customHeight="1" x14ac:dyDescent="0.25">
      <c r="A2690" s="4" t="s">
        <v>19</v>
      </c>
      <c r="B2690" s="7" t="s">
        <v>77</v>
      </c>
      <c r="C2690" s="2" t="s">
        <v>1519</v>
      </c>
      <c r="D2690" s="7" t="s">
        <v>1075</v>
      </c>
      <c r="E2690" s="4" t="s">
        <v>1602</v>
      </c>
      <c r="F2690" s="2"/>
      <c r="G2690" s="2" t="s">
        <v>1399</v>
      </c>
      <c r="H2690" s="2" t="s">
        <v>1400</v>
      </c>
      <c r="I2690" s="4" t="s">
        <v>60</v>
      </c>
      <c r="J2690" s="112">
        <f>IF($H2690&lt;&gt;"Y",0,ROUND(MIN(Dashboard!$R$24,IF(IFERROR(VLOOKUP($B2690,Dashboard!$Q$28:$S$60,2,FALSE),0)&gt;0,IFERROR(VLOOKUP($B2690,Dashboard!$Q$28:$S$60,2,FALSE),0),$Z2690*IF($U2690&lt;&gt;"",ROUND((Dashboard!$R$4/$U2690)*VLOOKUP($I2690,Dashboard!$Q$9:$R$13,2,FALSE)*IF(ISNUMBER(SEARCH("Duals",$B2690)),2,IF(ISNUMBER(SEARCH("Triples",$B2690)),3,IF(ISNUMBER(SEARCH("Quads",$B2690)),4,1))),2),ROUND(VLOOKUP($I2690,Dashboard!$Q$15:$R$20,2,FALSE)*IF($E2690="Red",Dashboard!$R$6,IF($E2690="Gold",Dashboard!$R$7,Dashboard!$R$5))*IF(ISNUMBER(SEARCH("Duals",$B2690)),2,IF(ISNUMBER(SEARCH("Triples",$B2690)),3,IF(ISNUMBER(SEARCH("Quads",$B2690)),4,1))),2))*IF(IFERROR(VLOOKUP($B2690,Dashboard!$Q$28:$S$60,3,FALSE),0)&gt;0,VLOOKUP($B2690,Dashboard!$Q$28:$S$60,3,FALSE),1))),0))</f>
        <v>3</v>
      </c>
      <c r="K2690" s="2" t="str">
        <f>IF('Base S2'!E21="","",'Base S2'!E21)</f>
        <v>C</v>
      </c>
      <c r="L2690" s="2">
        <f t="shared" si="546"/>
        <v>1</v>
      </c>
      <c r="M2690" s="2">
        <f t="shared" si="547"/>
        <v>0</v>
      </c>
      <c r="N2690" s="2">
        <f t="shared" si="548"/>
        <v>1</v>
      </c>
      <c r="O2690" s="2">
        <f t="shared" si="549"/>
        <v>0</v>
      </c>
      <c r="P2690" s="112">
        <f t="shared" si="550"/>
        <v>3</v>
      </c>
      <c r="Q2690" s="112">
        <f t="shared" si="551"/>
        <v>0</v>
      </c>
      <c r="R2690" s="53"/>
      <c r="S2690" s="53" t="str">
        <f t="shared" ref="S2690:S2753" si="552">IF($A2690="","",$A2690&amp;"|"&amp;$B2690&amp;"|"&amp;$C2690&amp;"|"&amp;$E2690)</f>
        <v>Base S2|Gold Parallel - Season 2|120|Gold</v>
      </c>
      <c r="T2690" s="57" t="str">
        <f>IF($S2690="","",IFERROR(VLOOKUP($S2690,'Pop Estimates (Non-#d)'!$N$2:$O$500,2,FALSE),""))</f>
        <v/>
      </c>
      <c r="U2690" s="57" t="str">
        <f t="shared" ref="U2690:U2753" si="553">IF($A2690="","",IF($F2690&lt;&gt;"",$F2690,$T2690))</f>
        <v/>
      </c>
      <c r="V2690" s="53" t="str">
        <f t="shared" ref="V2690:V2753" si="554">IF($A2690="","",IF(ISNUMBER(SEARCH(" as ",$D2690)),MID($D2690,SEARCH(" as ",$D2690)+4,255),IF(ISNUMBER(SEARCH("/",$D2690)),LEFT($D2690,FIND("/",$D2690&amp;"/")-1),"")))</f>
        <v/>
      </c>
      <c r="W2690" s="53" t="str">
        <f t="shared" ref="W2690:W2753" si="555">IF($V2690="","",TRIM(IFERROR(MID($V2690,SEARCH("(", $V2690)+1,SEARCH(")",$V2690)-SEARCH("(", $V2690)-1),$V2690)))</f>
        <v/>
      </c>
      <c r="X2690" s="53" t="str">
        <f t="shared" ref="X2690:X2753" si="556">IF($W2690="","",TRIM(LEFT($W2690&amp;"""",FIND("""",$W2690&amp;"""")-1)))</f>
        <v/>
      </c>
      <c r="Y2690" s="57" t="str">
        <f>IF($X2690="","",IFERROR(VLOOKUP($X2690,'Char Popularity'!$A$2:$C$500,2,FALSE),""))</f>
        <v/>
      </c>
      <c r="Z2690" s="56">
        <f>IF($X2690="",1,IFERROR(VLOOKUP($X2690,'Char Popularity'!$A$2:$C$500,3,FALSE),1))</f>
        <v>1</v>
      </c>
      <c r="AA2690" s="62">
        <f>IF($H2690&lt;&gt;"Y",0,(IF($F2690&lt;&gt;"",ROUND(Dashboard!$R$4/$F2690,1),IF(AND($I2690="Base",$E2690="Base"),Dashboard!$R$5,IF(AND($I2690="Base",$E2690="Red"),Dashboard!$R$6,IF(AND($I2690="Base",$E2690="Gold"),Dashboard!$R$7,VLOOKUP($I2690,Dashboard!$Q$16:$R$21,2,FALSE)))))*VLOOKUP($I2690,Dashboard!$Q$9:$R$13,2,FALSE)*IF(AND($I2690="Auto",$F2690="",OR($B2690="Autographs Duals",$B2690="Autographs Triples",$B2690="Autographs Quads",$B2690="Autographs Quads (Inscribed)")),IF($B2690="Autographs Duals",2,IF($B2690="Autographs Triples",3,4)),1)))</f>
        <v>3</v>
      </c>
      <c r="AB2690" s="62">
        <f t="shared" ref="AB2690:AB2753" si="557">IF($L2690=1,$AA2690,0)</f>
        <v>3</v>
      </c>
      <c r="AC2690" s="62">
        <f t="shared" ref="AC2690:AC2753" si="558">IF($M2690=1,$AA2690,0)</f>
        <v>0</v>
      </c>
    </row>
    <row r="2691" spans="1:29" ht="28.7" customHeight="1" x14ac:dyDescent="0.25">
      <c r="A2691" s="4" t="s">
        <v>19</v>
      </c>
      <c r="B2691" s="7" t="s">
        <v>77</v>
      </c>
      <c r="C2691" s="2" t="s">
        <v>1520</v>
      </c>
      <c r="D2691" s="7" t="s">
        <v>1077</v>
      </c>
      <c r="E2691" s="4" t="s">
        <v>1602</v>
      </c>
      <c r="F2691" s="2"/>
      <c r="G2691" s="2" t="s">
        <v>1399</v>
      </c>
      <c r="H2691" s="2" t="s">
        <v>1400</v>
      </c>
      <c r="I2691" s="4" t="s">
        <v>60</v>
      </c>
      <c r="J2691" s="112">
        <f>IF($H2691&lt;&gt;"Y",0,ROUND(MIN(Dashboard!$R$24,IF(IFERROR(VLOOKUP($B2691,Dashboard!$Q$28:$S$60,2,FALSE),0)&gt;0,IFERROR(VLOOKUP($B2691,Dashboard!$Q$28:$S$60,2,FALSE),0),$Z2691*IF($U2691&lt;&gt;"",ROUND((Dashboard!$R$4/$U2691)*VLOOKUP($I2691,Dashboard!$Q$9:$R$13,2,FALSE)*IF(ISNUMBER(SEARCH("Duals",$B2691)),2,IF(ISNUMBER(SEARCH("Triples",$B2691)),3,IF(ISNUMBER(SEARCH("Quads",$B2691)),4,1))),2),ROUND(VLOOKUP($I2691,Dashboard!$Q$15:$R$20,2,FALSE)*IF($E2691="Red",Dashboard!$R$6,IF($E2691="Gold",Dashboard!$R$7,Dashboard!$R$5))*IF(ISNUMBER(SEARCH("Duals",$B2691)),2,IF(ISNUMBER(SEARCH("Triples",$B2691)),3,IF(ISNUMBER(SEARCH("Quads",$B2691)),4,1))),2))*IF(IFERROR(VLOOKUP($B2691,Dashboard!$Q$28:$S$60,3,FALSE),0)&gt;0,VLOOKUP($B2691,Dashboard!$Q$28:$S$60,3,FALSE),1))),0))</f>
        <v>3</v>
      </c>
      <c r="K2691" s="2" t="str">
        <f>IF('Base S2'!E22="","",'Base S2'!E22)</f>
        <v>C</v>
      </c>
      <c r="L2691" s="2">
        <f t="shared" si="546"/>
        <v>1</v>
      </c>
      <c r="M2691" s="2">
        <f t="shared" si="547"/>
        <v>0</v>
      </c>
      <c r="N2691" s="2">
        <f t="shared" si="548"/>
        <v>1</v>
      </c>
      <c r="O2691" s="2">
        <f t="shared" si="549"/>
        <v>0</v>
      </c>
      <c r="P2691" s="112">
        <f t="shared" si="550"/>
        <v>3</v>
      </c>
      <c r="Q2691" s="112">
        <f t="shared" si="551"/>
        <v>0</v>
      </c>
      <c r="R2691" s="53"/>
      <c r="S2691" s="53" t="str">
        <f t="shared" si="552"/>
        <v>Base S2|Gold Parallel - Season 2|121|Gold</v>
      </c>
      <c r="T2691" s="57" t="str">
        <f>IF($S2691="","",IFERROR(VLOOKUP($S2691,'Pop Estimates (Non-#d)'!$N$2:$O$500,2,FALSE),""))</f>
        <v/>
      </c>
      <c r="U2691" s="57" t="str">
        <f t="shared" si="553"/>
        <v/>
      </c>
      <c r="V2691" s="53" t="str">
        <f t="shared" si="554"/>
        <v/>
      </c>
      <c r="W2691" s="53" t="str">
        <f t="shared" si="555"/>
        <v/>
      </c>
      <c r="X2691" s="53" t="str">
        <f t="shared" si="556"/>
        <v/>
      </c>
      <c r="Y2691" s="57" t="str">
        <f>IF($X2691="","",IFERROR(VLOOKUP($X2691,'Char Popularity'!$A$2:$C$500,2,FALSE),""))</f>
        <v/>
      </c>
      <c r="Z2691" s="56">
        <f>IF($X2691="",1,IFERROR(VLOOKUP($X2691,'Char Popularity'!$A$2:$C$500,3,FALSE),1))</f>
        <v>1</v>
      </c>
      <c r="AA2691" s="62">
        <f>IF($H2691&lt;&gt;"Y",0,(IF($F2691&lt;&gt;"",ROUND(Dashboard!$R$4/$F2691,1),IF(AND($I2691="Base",$E2691="Base"),Dashboard!$R$5,IF(AND($I2691="Base",$E2691="Red"),Dashboard!$R$6,IF(AND($I2691="Base",$E2691="Gold"),Dashboard!$R$7,VLOOKUP($I2691,Dashboard!$Q$16:$R$21,2,FALSE)))))*VLOOKUP($I2691,Dashboard!$Q$9:$R$13,2,FALSE)*IF(AND($I2691="Auto",$F2691="",OR($B2691="Autographs Duals",$B2691="Autographs Triples",$B2691="Autographs Quads",$B2691="Autographs Quads (Inscribed)")),IF($B2691="Autographs Duals",2,IF($B2691="Autographs Triples",3,4)),1)))</f>
        <v>3</v>
      </c>
      <c r="AB2691" s="62">
        <f t="shared" si="557"/>
        <v>3</v>
      </c>
      <c r="AC2691" s="62">
        <f t="shared" si="558"/>
        <v>0</v>
      </c>
    </row>
    <row r="2692" spans="1:29" ht="28.7" customHeight="1" x14ac:dyDescent="0.25">
      <c r="A2692" s="4" t="s">
        <v>19</v>
      </c>
      <c r="B2692" s="7" t="s">
        <v>77</v>
      </c>
      <c r="C2692" s="2" t="s">
        <v>1521</v>
      </c>
      <c r="D2692" s="7" t="s">
        <v>1079</v>
      </c>
      <c r="E2692" s="4" t="s">
        <v>1602</v>
      </c>
      <c r="F2692" s="2"/>
      <c r="G2692" s="2" t="s">
        <v>1399</v>
      </c>
      <c r="H2692" s="2" t="s">
        <v>1400</v>
      </c>
      <c r="I2692" s="4" t="s">
        <v>60</v>
      </c>
      <c r="J2692" s="112">
        <f>IF($H2692&lt;&gt;"Y",0,ROUND(MIN(Dashboard!$R$24,IF(IFERROR(VLOOKUP($B2692,Dashboard!$Q$28:$S$60,2,FALSE),0)&gt;0,IFERROR(VLOOKUP($B2692,Dashboard!$Q$28:$S$60,2,FALSE),0),$Z2692*IF($U2692&lt;&gt;"",ROUND((Dashboard!$R$4/$U2692)*VLOOKUP($I2692,Dashboard!$Q$9:$R$13,2,FALSE)*IF(ISNUMBER(SEARCH("Duals",$B2692)),2,IF(ISNUMBER(SEARCH("Triples",$B2692)),3,IF(ISNUMBER(SEARCH("Quads",$B2692)),4,1))),2),ROUND(VLOOKUP($I2692,Dashboard!$Q$15:$R$20,2,FALSE)*IF($E2692="Red",Dashboard!$R$6,IF($E2692="Gold",Dashboard!$R$7,Dashboard!$R$5))*IF(ISNUMBER(SEARCH("Duals",$B2692)),2,IF(ISNUMBER(SEARCH("Triples",$B2692)),3,IF(ISNUMBER(SEARCH("Quads",$B2692)),4,1))),2))*IF(IFERROR(VLOOKUP($B2692,Dashboard!$Q$28:$S$60,3,FALSE),0)&gt;0,VLOOKUP($B2692,Dashboard!$Q$28:$S$60,3,FALSE),1))),0))</f>
        <v>3</v>
      </c>
      <c r="K2692" s="2" t="str">
        <f>IF('Base S2'!E23="","",'Base S2'!E23)</f>
        <v>C</v>
      </c>
      <c r="L2692" s="2">
        <f t="shared" si="546"/>
        <v>1</v>
      </c>
      <c r="M2692" s="2">
        <f t="shared" si="547"/>
        <v>0</v>
      </c>
      <c r="N2692" s="2">
        <f t="shared" si="548"/>
        <v>1</v>
      </c>
      <c r="O2692" s="2">
        <f t="shared" si="549"/>
        <v>0</v>
      </c>
      <c r="P2692" s="112">
        <f t="shared" si="550"/>
        <v>3</v>
      </c>
      <c r="Q2692" s="112">
        <f t="shared" si="551"/>
        <v>0</v>
      </c>
      <c r="R2692" s="53"/>
      <c r="S2692" s="53" t="str">
        <f t="shared" si="552"/>
        <v>Base S2|Gold Parallel - Season 2|122|Gold</v>
      </c>
      <c r="T2692" s="57" t="str">
        <f>IF($S2692="","",IFERROR(VLOOKUP($S2692,'Pop Estimates (Non-#d)'!$N$2:$O$500,2,FALSE),""))</f>
        <v/>
      </c>
      <c r="U2692" s="57" t="str">
        <f t="shared" si="553"/>
        <v/>
      </c>
      <c r="V2692" s="53" t="str">
        <f t="shared" si="554"/>
        <v/>
      </c>
      <c r="W2692" s="53" t="str">
        <f t="shared" si="555"/>
        <v/>
      </c>
      <c r="X2692" s="53" t="str">
        <f t="shared" si="556"/>
        <v/>
      </c>
      <c r="Y2692" s="57" t="str">
        <f>IF($X2692="","",IFERROR(VLOOKUP($X2692,'Char Popularity'!$A$2:$C$500,2,FALSE),""))</f>
        <v/>
      </c>
      <c r="Z2692" s="56">
        <f>IF($X2692="",1,IFERROR(VLOOKUP($X2692,'Char Popularity'!$A$2:$C$500,3,FALSE),1))</f>
        <v>1</v>
      </c>
      <c r="AA2692" s="62">
        <f>IF($H2692&lt;&gt;"Y",0,(IF($F2692&lt;&gt;"",ROUND(Dashboard!$R$4/$F2692,1),IF(AND($I2692="Base",$E2692="Base"),Dashboard!$R$5,IF(AND($I2692="Base",$E2692="Red"),Dashboard!$R$6,IF(AND($I2692="Base",$E2692="Gold"),Dashboard!$R$7,VLOOKUP($I2692,Dashboard!$Q$16:$R$21,2,FALSE)))))*VLOOKUP($I2692,Dashboard!$Q$9:$R$13,2,FALSE)*IF(AND($I2692="Auto",$F2692="",OR($B2692="Autographs Duals",$B2692="Autographs Triples",$B2692="Autographs Quads",$B2692="Autographs Quads (Inscribed)")),IF($B2692="Autographs Duals",2,IF($B2692="Autographs Triples",3,4)),1)))</f>
        <v>3</v>
      </c>
      <c r="AB2692" s="62">
        <f t="shared" si="557"/>
        <v>3</v>
      </c>
      <c r="AC2692" s="62">
        <f t="shared" si="558"/>
        <v>0</v>
      </c>
    </row>
    <row r="2693" spans="1:29" ht="28.7" customHeight="1" x14ac:dyDescent="0.25">
      <c r="A2693" s="4" t="s">
        <v>19</v>
      </c>
      <c r="B2693" s="7" t="s">
        <v>77</v>
      </c>
      <c r="C2693" s="2" t="s">
        <v>1522</v>
      </c>
      <c r="D2693" s="7" t="s">
        <v>1080</v>
      </c>
      <c r="E2693" s="4" t="s">
        <v>1602</v>
      </c>
      <c r="F2693" s="2"/>
      <c r="G2693" s="2" t="s">
        <v>1399</v>
      </c>
      <c r="H2693" s="2" t="s">
        <v>1400</v>
      </c>
      <c r="I2693" s="4" t="s">
        <v>60</v>
      </c>
      <c r="J2693" s="112">
        <f>IF($H2693&lt;&gt;"Y",0,ROUND(MIN(Dashboard!$R$24,IF(IFERROR(VLOOKUP($B2693,Dashboard!$Q$28:$S$60,2,FALSE),0)&gt;0,IFERROR(VLOOKUP($B2693,Dashboard!$Q$28:$S$60,2,FALSE),0),$Z2693*IF($U2693&lt;&gt;"",ROUND((Dashboard!$R$4/$U2693)*VLOOKUP($I2693,Dashboard!$Q$9:$R$13,2,FALSE)*IF(ISNUMBER(SEARCH("Duals",$B2693)),2,IF(ISNUMBER(SEARCH("Triples",$B2693)),3,IF(ISNUMBER(SEARCH("Quads",$B2693)),4,1))),2),ROUND(VLOOKUP($I2693,Dashboard!$Q$15:$R$20,2,FALSE)*IF($E2693="Red",Dashboard!$R$6,IF($E2693="Gold",Dashboard!$R$7,Dashboard!$R$5))*IF(ISNUMBER(SEARCH("Duals",$B2693)),2,IF(ISNUMBER(SEARCH("Triples",$B2693)),3,IF(ISNUMBER(SEARCH("Quads",$B2693)),4,1))),2))*IF(IFERROR(VLOOKUP($B2693,Dashboard!$Q$28:$S$60,3,FALSE),0)&gt;0,VLOOKUP($B2693,Dashboard!$Q$28:$S$60,3,FALSE),1))),0))</f>
        <v>3</v>
      </c>
      <c r="K2693" s="2" t="str">
        <f>IF('Base S2'!E24="","",'Base S2'!E24)</f>
        <v>C</v>
      </c>
      <c r="L2693" s="2">
        <f t="shared" si="546"/>
        <v>1</v>
      </c>
      <c r="M2693" s="2">
        <f t="shared" si="547"/>
        <v>0</v>
      </c>
      <c r="N2693" s="2">
        <f t="shared" si="548"/>
        <v>1</v>
      </c>
      <c r="O2693" s="2">
        <f t="shared" si="549"/>
        <v>0</v>
      </c>
      <c r="P2693" s="112">
        <f t="shared" si="550"/>
        <v>3</v>
      </c>
      <c r="Q2693" s="112">
        <f t="shared" si="551"/>
        <v>0</v>
      </c>
      <c r="R2693" s="53"/>
      <c r="S2693" s="53" t="str">
        <f t="shared" si="552"/>
        <v>Base S2|Gold Parallel - Season 2|123|Gold</v>
      </c>
      <c r="T2693" s="57" t="str">
        <f>IF($S2693="","",IFERROR(VLOOKUP($S2693,'Pop Estimates (Non-#d)'!$N$2:$O$500,2,FALSE),""))</f>
        <v/>
      </c>
      <c r="U2693" s="57" t="str">
        <f t="shared" si="553"/>
        <v/>
      </c>
      <c r="V2693" s="53" t="str">
        <f t="shared" si="554"/>
        <v/>
      </c>
      <c r="W2693" s="53" t="str">
        <f t="shared" si="555"/>
        <v/>
      </c>
      <c r="X2693" s="53" t="str">
        <f t="shared" si="556"/>
        <v/>
      </c>
      <c r="Y2693" s="57" t="str">
        <f>IF($X2693="","",IFERROR(VLOOKUP($X2693,'Char Popularity'!$A$2:$C$500,2,FALSE),""))</f>
        <v/>
      </c>
      <c r="Z2693" s="56">
        <f>IF($X2693="",1,IFERROR(VLOOKUP($X2693,'Char Popularity'!$A$2:$C$500,3,FALSE),1))</f>
        <v>1</v>
      </c>
      <c r="AA2693" s="62">
        <f>IF($H2693&lt;&gt;"Y",0,(IF($F2693&lt;&gt;"",ROUND(Dashboard!$R$4/$F2693,1),IF(AND($I2693="Base",$E2693="Base"),Dashboard!$R$5,IF(AND($I2693="Base",$E2693="Red"),Dashboard!$R$6,IF(AND($I2693="Base",$E2693="Gold"),Dashboard!$R$7,VLOOKUP($I2693,Dashboard!$Q$16:$R$21,2,FALSE)))))*VLOOKUP($I2693,Dashboard!$Q$9:$R$13,2,FALSE)*IF(AND($I2693="Auto",$F2693="",OR($B2693="Autographs Duals",$B2693="Autographs Triples",$B2693="Autographs Quads",$B2693="Autographs Quads (Inscribed)")),IF($B2693="Autographs Duals",2,IF($B2693="Autographs Triples",3,4)),1)))</f>
        <v>3</v>
      </c>
      <c r="AB2693" s="62">
        <f t="shared" si="557"/>
        <v>3</v>
      </c>
      <c r="AC2693" s="62">
        <f t="shared" si="558"/>
        <v>0</v>
      </c>
    </row>
    <row r="2694" spans="1:29" ht="28.7" customHeight="1" x14ac:dyDescent="0.25">
      <c r="A2694" s="4" t="s">
        <v>19</v>
      </c>
      <c r="B2694" s="7" t="s">
        <v>77</v>
      </c>
      <c r="C2694" s="2" t="s">
        <v>1523</v>
      </c>
      <c r="D2694" s="7" t="s">
        <v>1081</v>
      </c>
      <c r="E2694" s="4" t="s">
        <v>1602</v>
      </c>
      <c r="F2694" s="2"/>
      <c r="G2694" s="2" t="s">
        <v>1399</v>
      </c>
      <c r="H2694" s="2" t="s">
        <v>1400</v>
      </c>
      <c r="I2694" s="4" t="s">
        <v>60</v>
      </c>
      <c r="J2694" s="112">
        <f>IF($H2694&lt;&gt;"Y",0,ROUND(MIN(Dashboard!$R$24,IF(IFERROR(VLOOKUP($B2694,Dashboard!$Q$28:$S$60,2,FALSE),0)&gt;0,IFERROR(VLOOKUP($B2694,Dashboard!$Q$28:$S$60,2,FALSE),0),$Z2694*IF($U2694&lt;&gt;"",ROUND((Dashboard!$R$4/$U2694)*VLOOKUP($I2694,Dashboard!$Q$9:$R$13,2,FALSE)*IF(ISNUMBER(SEARCH("Duals",$B2694)),2,IF(ISNUMBER(SEARCH("Triples",$B2694)),3,IF(ISNUMBER(SEARCH("Quads",$B2694)),4,1))),2),ROUND(VLOOKUP($I2694,Dashboard!$Q$15:$R$20,2,FALSE)*IF($E2694="Red",Dashboard!$R$6,IF($E2694="Gold",Dashboard!$R$7,Dashboard!$R$5))*IF(ISNUMBER(SEARCH("Duals",$B2694)),2,IF(ISNUMBER(SEARCH("Triples",$B2694)),3,IF(ISNUMBER(SEARCH("Quads",$B2694)),4,1))),2))*IF(IFERROR(VLOOKUP($B2694,Dashboard!$Q$28:$S$60,3,FALSE),0)&gt;0,VLOOKUP($B2694,Dashboard!$Q$28:$S$60,3,FALSE),1))),0))</f>
        <v>3</v>
      </c>
      <c r="K2694" s="2" t="str">
        <f>IF('Base S2'!E25="","",'Base S2'!E25)</f>
        <v>C</v>
      </c>
      <c r="L2694" s="2">
        <f t="shared" si="546"/>
        <v>1</v>
      </c>
      <c r="M2694" s="2">
        <f t="shared" si="547"/>
        <v>0</v>
      </c>
      <c r="N2694" s="2">
        <f t="shared" si="548"/>
        <v>1</v>
      </c>
      <c r="O2694" s="2">
        <f t="shared" si="549"/>
        <v>0</v>
      </c>
      <c r="P2694" s="112">
        <f t="shared" si="550"/>
        <v>3</v>
      </c>
      <c r="Q2694" s="112">
        <f t="shared" si="551"/>
        <v>0</v>
      </c>
      <c r="R2694" s="53"/>
      <c r="S2694" s="53" t="str">
        <f t="shared" si="552"/>
        <v>Base S2|Gold Parallel - Season 2|124|Gold</v>
      </c>
      <c r="T2694" s="57" t="str">
        <f>IF($S2694="","",IFERROR(VLOOKUP($S2694,'Pop Estimates (Non-#d)'!$N$2:$O$500,2,FALSE),""))</f>
        <v/>
      </c>
      <c r="U2694" s="57" t="str">
        <f t="shared" si="553"/>
        <v/>
      </c>
      <c r="V2694" s="53" t="str">
        <f t="shared" si="554"/>
        <v/>
      </c>
      <c r="W2694" s="53" t="str">
        <f t="shared" si="555"/>
        <v/>
      </c>
      <c r="X2694" s="53" t="str">
        <f t="shared" si="556"/>
        <v/>
      </c>
      <c r="Y2694" s="57" t="str">
        <f>IF($X2694="","",IFERROR(VLOOKUP($X2694,'Char Popularity'!$A$2:$C$500,2,FALSE),""))</f>
        <v/>
      </c>
      <c r="Z2694" s="56">
        <f>IF($X2694="",1,IFERROR(VLOOKUP($X2694,'Char Popularity'!$A$2:$C$500,3,FALSE),1))</f>
        <v>1</v>
      </c>
      <c r="AA2694" s="62">
        <f>IF($H2694&lt;&gt;"Y",0,(IF($F2694&lt;&gt;"",ROUND(Dashboard!$R$4/$F2694,1),IF(AND($I2694="Base",$E2694="Base"),Dashboard!$R$5,IF(AND($I2694="Base",$E2694="Red"),Dashboard!$R$6,IF(AND($I2694="Base",$E2694="Gold"),Dashboard!$R$7,VLOOKUP($I2694,Dashboard!$Q$16:$R$21,2,FALSE)))))*VLOOKUP($I2694,Dashboard!$Q$9:$R$13,2,FALSE)*IF(AND($I2694="Auto",$F2694="",OR($B2694="Autographs Duals",$B2694="Autographs Triples",$B2694="Autographs Quads",$B2694="Autographs Quads (Inscribed)")),IF($B2694="Autographs Duals",2,IF($B2694="Autographs Triples",3,4)),1)))</f>
        <v>3</v>
      </c>
      <c r="AB2694" s="62">
        <f t="shared" si="557"/>
        <v>3</v>
      </c>
      <c r="AC2694" s="62">
        <f t="shared" si="558"/>
        <v>0</v>
      </c>
    </row>
    <row r="2695" spans="1:29" ht="28.7" customHeight="1" x14ac:dyDescent="0.25">
      <c r="A2695" s="4" t="s">
        <v>19</v>
      </c>
      <c r="B2695" s="7" t="s">
        <v>77</v>
      </c>
      <c r="C2695" s="2" t="s">
        <v>1524</v>
      </c>
      <c r="D2695" s="7" t="s">
        <v>1082</v>
      </c>
      <c r="E2695" s="4" t="s">
        <v>1602</v>
      </c>
      <c r="F2695" s="2"/>
      <c r="G2695" s="2" t="s">
        <v>1399</v>
      </c>
      <c r="H2695" s="2" t="s">
        <v>1400</v>
      </c>
      <c r="I2695" s="4" t="s">
        <v>60</v>
      </c>
      <c r="J2695" s="112">
        <f>IF($H2695&lt;&gt;"Y",0,ROUND(MIN(Dashboard!$R$24,IF(IFERROR(VLOOKUP($B2695,Dashboard!$Q$28:$S$60,2,FALSE),0)&gt;0,IFERROR(VLOOKUP($B2695,Dashboard!$Q$28:$S$60,2,FALSE),0),$Z2695*IF($U2695&lt;&gt;"",ROUND((Dashboard!$R$4/$U2695)*VLOOKUP($I2695,Dashboard!$Q$9:$R$13,2,FALSE)*IF(ISNUMBER(SEARCH("Duals",$B2695)),2,IF(ISNUMBER(SEARCH("Triples",$B2695)),3,IF(ISNUMBER(SEARCH("Quads",$B2695)),4,1))),2),ROUND(VLOOKUP($I2695,Dashboard!$Q$15:$R$20,2,FALSE)*IF($E2695="Red",Dashboard!$R$6,IF($E2695="Gold",Dashboard!$R$7,Dashboard!$R$5))*IF(ISNUMBER(SEARCH("Duals",$B2695)),2,IF(ISNUMBER(SEARCH("Triples",$B2695)),3,IF(ISNUMBER(SEARCH("Quads",$B2695)),4,1))),2))*IF(IFERROR(VLOOKUP($B2695,Dashboard!$Q$28:$S$60,3,FALSE),0)&gt;0,VLOOKUP($B2695,Dashboard!$Q$28:$S$60,3,FALSE),1))),0))</f>
        <v>3</v>
      </c>
      <c r="K2695" s="2" t="str">
        <f>IF('Base S2'!E26="","",'Base S2'!E26)</f>
        <v>C</v>
      </c>
      <c r="L2695" s="2">
        <f t="shared" si="546"/>
        <v>1</v>
      </c>
      <c r="M2695" s="2">
        <f t="shared" si="547"/>
        <v>0</v>
      </c>
      <c r="N2695" s="2">
        <f t="shared" si="548"/>
        <v>1</v>
      </c>
      <c r="O2695" s="2">
        <f t="shared" si="549"/>
        <v>0</v>
      </c>
      <c r="P2695" s="112">
        <f t="shared" si="550"/>
        <v>3</v>
      </c>
      <c r="Q2695" s="112">
        <f t="shared" si="551"/>
        <v>0</v>
      </c>
      <c r="R2695" s="53"/>
      <c r="S2695" s="53" t="str">
        <f t="shared" si="552"/>
        <v>Base S2|Gold Parallel - Season 2|125|Gold</v>
      </c>
      <c r="T2695" s="57" t="str">
        <f>IF($S2695="","",IFERROR(VLOOKUP($S2695,'Pop Estimates (Non-#d)'!$N$2:$O$500,2,FALSE),""))</f>
        <v/>
      </c>
      <c r="U2695" s="57" t="str">
        <f t="shared" si="553"/>
        <v/>
      </c>
      <c r="V2695" s="53" t="str">
        <f t="shared" si="554"/>
        <v/>
      </c>
      <c r="W2695" s="53" t="str">
        <f t="shared" si="555"/>
        <v/>
      </c>
      <c r="X2695" s="53" t="str">
        <f t="shared" si="556"/>
        <v/>
      </c>
      <c r="Y2695" s="57" t="str">
        <f>IF($X2695="","",IFERROR(VLOOKUP($X2695,'Char Popularity'!$A$2:$C$500,2,FALSE),""))</f>
        <v/>
      </c>
      <c r="Z2695" s="56">
        <f>IF($X2695="",1,IFERROR(VLOOKUP($X2695,'Char Popularity'!$A$2:$C$500,3,FALSE),1))</f>
        <v>1</v>
      </c>
      <c r="AA2695" s="62">
        <f>IF($H2695&lt;&gt;"Y",0,(IF($F2695&lt;&gt;"",ROUND(Dashboard!$R$4/$F2695,1),IF(AND($I2695="Base",$E2695="Base"),Dashboard!$R$5,IF(AND($I2695="Base",$E2695="Red"),Dashboard!$R$6,IF(AND($I2695="Base",$E2695="Gold"),Dashboard!$R$7,VLOOKUP($I2695,Dashboard!$Q$16:$R$21,2,FALSE)))))*VLOOKUP($I2695,Dashboard!$Q$9:$R$13,2,FALSE)*IF(AND($I2695="Auto",$F2695="",OR($B2695="Autographs Duals",$B2695="Autographs Triples",$B2695="Autographs Quads",$B2695="Autographs Quads (Inscribed)")),IF($B2695="Autographs Duals",2,IF($B2695="Autographs Triples",3,4)),1)))</f>
        <v>3</v>
      </c>
      <c r="AB2695" s="62">
        <f t="shared" si="557"/>
        <v>3</v>
      </c>
      <c r="AC2695" s="62">
        <f t="shared" si="558"/>
        <v>0</v>
      </c>
    </row>
    <row r="2696" spans="1:29" ht="28.7" customHeight="1" x14ac:dyDescent="0.25">
      <c r="A2696" s="4" t="s">
        <v>19</v>
      </c>
      <c r="B2696" s="7" t="s">
        <v>77</v>
      </c>
      <c r="C2696" s="2" t="s">
        <v>1525</v>
      </c>
      <c r="D2696" s="7" t="s">
        <v>1083</v>
      </c>
      <c r="E2696" s="4" t="s">
        <v>1602</v>
      </c>
      <c r="F2696" s="2"/>
      <c r="G2696" s="2" t="s">
        <v>1399</v>
      </c>
      <c r="H2696" s="2" t="s">
        <v>1400</v>
      </c>
      <c r="I2696" s="4" t="s">
        <v>60</v>
      </c>
      <c r="J2696" s="112">
        <f>IF($H2696&lt;&gt;"Y",0,ROUND(MIN(Dashboard!$R$24,IF(IFERROR(VLOOKUP($B2696,Dashboard!$Q$28:$S$60,2,FALSE),0)&gt;0,IFERROR(VLOOKUP($B2696,Dashboard!$Q$28:$S$60,2,FALSE),0),$Z2696*IF($U2696&lt;&gt;"",ROUND((Dashboard!$R$4/$U2696)*VLOOKUP($I2696,Dashboard!$Q$9:$R$13,2,FALSE)*IF(ISNUMBER(SEARCH("Duals",$B2696)),2,IF(ISNUMBER(SEARCH("Triples",$B2696)),3,IF(ISNUMBER(SEARCH("Quads",$B2696)),4,1))),2),ROUND(VLOOKUP($I2696,Dashboard!$Q$15:$R$20,2,FALSE)*IF($E2696="Red",Dashboard!$R$6,IF($E2696="Gold",Dashboard!$R$7,Dashboard!$R$5))*IF(ISNUMBER(SEARCH("Duals",$B2696)),2,IF(ISNUMBER(SEARCH("Triples",$B2696)),3,IF(ISNUMBER(SEARCH("Quads",$B2696)),4,1))),2))*IF(IFERROR(VLOOKUP($B2696,Dashboard!$Q$28:$S$60,3,FALSE),0)&gt;0,VLOOKUP($B2696,Dashboard!$Q$28:$S$60,3,FALSE),1))),0))</f>
        <v>3</v>
      </c>
      <c r="K2696" s="2" t="str">
        <f>IF('Base S2'!E27="","",'Base S2'!E27)</f>
        <v>C</v>
      </c>
      <c r="L2696" s="2">
        <f t="shared" si="546"/>
        <v>1</v>
      </c>
      <c r="M2696" s="2">
        <f t="shared" si="547"/>
        <v>0</v>
      </c>
      <c r="N2696" s="2">
        <f t="shared" si="548"/>
        <v>1</v>
      </c>
      <c r="O2696" s="2">
        <f t="shared" si="549"/>
        <v>0</v>
      </c>
      <c r="P2696" s="112">
        <f t="shared" si="550"/>
        <v>3</v>
      </c>
      <c r="Q2696" s="112">
        <f t="shared" si="551"/>
        <v>0</v>
      </c>
      <c r="R2696" s="53"/>
      <c r="S2696" s="53" t="str">
        <f t="shared" si="552"/>
        <v>Base S2|Gold Parallel - Season 2|126|Gold</v>
      </c>
      <c r="T2696" s="57" t="str">
        <f>IF($S2696="","",IFERROR(VLOOKUP($S2696,'Pop Estimates (Non-#d)'!$N$2:$O$500,2,FALSE),""))</f>
        <v/>
      </c>
      <c r="U2696" s="57" t="str">
        <f t="shared" si="553"/>
        <v/>
      </c>
      <c r="V2696" s="53" t="str">
        <f t="shared" si="554"/>
        <v/>
      </c>
      <c r="W2696" s="53" t="str">
        <f t="shared" si="555"/>
        <v/>
      </c>
      <c r="X2696" s="53" t="str">
        <f t="shared" si="556"/>
        <v/>
      </c>
      <c r="Y2696" s="57" t="str">
        <f>IF($X2696="","",IFERROR(VLOOKUP($X2696,'Char Popularity'!$A$2:$C$500,2,FALSE),""))</f>
        <v/>
      </c>
      <c r="Z2696" s="56">
        <f>IF($X2696="",1,IFERROR(VLOOKUP($X2696,'Char Popularity'!$A$2:$C$500,3,FALSE),1))</f>
        <v>1</v>
      </c>
      <c r="AA2696" s="62">
        <f>IF($H2696&lt;&gt;"Y",0,(IF($F2696&lt;&gt;"",ROUND(Dashboard!$R$4/$F2696,1),IF(AND($I2696="Base",$E2696="Base"),Dashboard!$R$5,IF(AND($I2696="Base",$E2696="Red"),Dashboard!$R$6,IF(AND($I2696="Base",$E2696="Gold"),Dashboard!$R$7,VLOOKUP($I2696,Dashboard!$Q$16:$R$21,2,FALSE)))))*VLOOKUP($I2696,Dashboard!$Q$9:$R$13,2,FALSE)*IF(AND($I2696="Auto",$F2696="",OR($B2696="Autographs Duals",$B2696="Autographs Triples",$B2696="Autographs Quads",$B2696="Autographs Quads (Inscribed)")),IF($B2696="Autographs Duals",2,IF($B2696="Autographs Triples",3,4)),1)))</f>
        <v>3</v>
      </c>
      <c r="AB2696" s="62">
        <f t="shared" si="557"/>
        <v>3</v>
      </c>
      <c r="AC2696" s="62">
        <f t="shared" si="558"/>
        <v>0</v>
      </c>
    </row>
    <row r="2697" spans="1:29" ht="28.7" customHeight="1" x14ac:dyDescent="0.25">
      <c r="A2697" s="4" t="s">
        <v>19</v>
      </c>
      <c r="B2697" s="7" t="s">
        <v>77</v>
      </c>
      <c r="C2697" s="2" t="s">
        <v>1526</v>
      </c>
      <c r="D2697" s="7" t="s">
        <v>1085</v>
      </c>
      <c r="E2697" s="4" t="s">
        <v>1602</v>
      </c>
      <c r="F2697" s="2"/>
      <c r="G2697" s="2" t="s">
        <v>1399</v>
      </c>
      <c r="H2697" s="2" t="s">
        <v>1400</v>
      </c>
      <c r="I2697" s="4" t="s">
        <v>60</v>
      </c>
      <c r="J2697" s="112">
        <f>IF($H2697&lt;&gt;"Y",0,ROUND(MIN(Dashboard!$R$24,IF(IFERROR(VLOOKUP($B2697,Dashboard!$Q$28:$S$60,2,FALSE),0)&gt;0,IFERROR(VLOOKUP($B2697,Dashboard!$Q$28:$S$60,2,FALSE),0),$Z2697*IF($U2697&lt;&gt;"",ROUND((Dashboard!$R$4/$U2697)*VLOOKUP($I2697,Dashboard!$Q$9:$R$13,2,FALSE)*IF(ISNUMBER(SEARCH("Duals",$B2697)),2,IF(ISNUMBER(SEARCH("Triples",$B2697)),3,IF(ISNUMBER(SEARCH("Quads",$B2697)),4,1))),2),ROUND(VLOOKUP($I2697,Dashboard!$Q$15:$R$20,2,FALSE)*IF($E2697="Red",Dashboard!$R$6,IF($E2697="Gold",Dashboard!$R$7,Dashboard!$R$5))*IF(ISNUMBER(SEARCH("Duals",$B2697)),2,IF(ISNUMBER(SEARCH("Triples",$B2697)),3,IF(ISNUMBER(SEARCH("Quads",$B2697)),4,1))),2))*IF(IFERROR(VLOOKUP($B2697,Dashboard!$Q$28:$S$60,3,FALSE),0)&gt;0,VLOOKUP($B2697,Dashboard!$Q$28:$S$60,3,FALSE),1))),0))</f>
        <v>3</v>
      </c>
      <c r="K2697" s="2" t="str">
        <f>IF('Base S2'!E28="","",'Base S2'!E28)</f>
        <v>C</v>
      </c>
      <c r="L2697" s="2">
        <f t="shared" si="546"/>
        <v>1</v>
      </c>
      <c r="M2697" s="2">
        <f t="shared" si="547"/>
        <v>0</v>
      </c>
      <c r="N2697" s="2">
        <f t="shared" si="548"/>
        <v>1</v>
      </c>
      <c r="O2697" s="2">
        <f t="shared" si="549"/>
        <v>0</v>
      </c>
      <c r="P2697" s="112">
        <f t="shared" si="550"/>
        <v>3</v>
      </c>
      <c r="Q2697" s="112">
        <f t="shared" si="551"/>
        <v>0</v>
      </c>
      <c r="R2697" s="53"/>
      <c r="S2697" s="53" t="str">
        <f t="shared" si="552"/>
        <v>Base S2|Gold Parallel - Season 2|127|Gold</v>
      </c>
      <c r="T2697" s="57" t="str">
        <f>IF($S2697="","",IFERROR(VLOOKUP($S2697,'Pop Estimates (Non-#d)'!$N$2:$O$500,2,FALSE),""))</f>
        <v/>
      </c>
      <c r="U2697" s="57" t="str">
        <f t="shared" si="553"/>
        <v/>
      </c>
      <c r="V2697" s="53" t="str">
        <f t="shared" si="554"/>
        <v/>
      </c>
      <c r="W2697" s="53" t="str">
        <f t="shared" si="555"/>
        <v/>
      </c>
      <c r="X2697" s="53" t="str">
        <f t="shared" si="556"/>
        <v/>
      </c>
      <c r="Y2697" s="57" t="str">
        <f>IF($X2697="","",IFERROR(VLOOKUP($X2697,'Char Popularity'!$A$2:$C$500,2,FALSE),""))</f>
        <v/>
      </c>
      <c r="Z2697" s="56">
        <f>IF($X2697="",1,IFERROR(VLOOKUP($X2697,'Char Popularity'!$A$2:$C$500,3,FALSE),1))</f>
        <v>1</v>
      </c>
      <c r="AA2697" s="62">
        <f>IF($H2697&lt;&gt;"Y",0,(IF($F2697&lt;&gt;"",ROUND(Dashboard!$R$4/$F2697,1),IF(AND($I2697="Base",$E2697="Base"),Dashboard!$R$5,IF(AND($I2697="Base",$E2697="Red"),Dashboard!$R$6,IF(AND($I2697="Base",$E2697="Gold"),Dashboard!$R$7,VLOOKUP($I2697,Dashboard!$Q$16:$R$21,2,FALSE)))))*VLOOKUP($I2697,Dashboard!$Q$9:$R$13,2,FALSE)*IF(AND($I2697="Auto",$F2697="",OR($B2697="Autographs Duals",$B2697="Autographs Triples",$B2697="Autographs Quads",$B2697="Autographs Quads (Inscribed)")),IF($B2697="Autographs Duals",2,IF($B2697="Autographs Triples",3,4)),1)))</f>
        <v>3</v>
      </c>
      <c r="AB2697" s="62">
        <f t="shared" si="557"/>
        <v>3</v>
      </c>
      <c r="AC2697" s="62">
        <f t="shared" si="558"/>
        <v>0</v>
      </c>
    </row>
    <row r="2698" spans="1:29" ht="28.7" customHeight="1" x14ac:dyDescent="0.25">
      <c r="A2698" s="4" t="s">
        <v>19</v>
      </c>
      <c r="B2698" s="7" t="s">
        <v>77</v>
      </c>
      <c r="C2698" s="2" t="s">
        <v>1527</v>
      </c>
      <c r="D2698" s="7" t="s">
        <v>1086</v>
      </c>
      <c r="E2698" s="4" t="s">
        <v>1602</v>
      </c>
      <c r="F2698" s="2"/>
      <c r="G2698" s="2" t="s">
        <v>1399</v>
      </c>
      <c r="H2698" s="2" t="s">
        <v>1400</v>
      </c>
      <c r="I2698" s="4" t="s">
        <v>60</v>
      </c>
      <c r="J2698" s="112">
        <f>IF($H2698&lt;&gt;"Y",0,ROUND(MIN(Dashboard!$R$24,IF(IFERROR(VLOOKUP($B2698,Dashboard!$Q$28:$S$60,2,FALSE),0)&gt;0,IFERROR(VLOOKUP($B2698,Dashboard!$Q$28:$S$60,2,FALSE),0),$Z2698*IF($U2698&lt;&gt;"",ROUND((Dashboard!$R$4/$U2698)*VLOOKUP($I2698,Dashboard!$Q$9:$R$13,2,FALSE)*IF(ISNUMBER(SEARCH("Duals",$B2698)),2,IF(ISNUMBER(SEARCH("Triples",$B2698)),3,IF(ISNUMBER(SEARCH("Quads",$B2698)),4,1))),2),ROUND(VLOOKUP($I2698,Dashboard!$Q$15:$R$20,2,FALSE)*IF($E2698="Red",Dashboard!$R$6,IF($E2698="Gold",Dashboard!$R$7,Dashboard!$R$5))*IF(ISNUMBER(SEARCH("Duals",$B2698)),2,IF(ISNUMBER(SEARCH("Triples",$B2698)),3,IF(ISNUMBER(SEARCH("Quads",$B2698)),4,1))),2))*IF(IFERROR(VLOOKUP($B2698,Dashboard!$Q$28:$S$60,3,FALSE),0)&gt;0,VLOOKUP($B2698,Dashboard!$Q$28:$S$60,3,FALSE),1))),0))</f>
        <v>3</v>
      </c>
      <c r="K2698" s="2" t="str">
        <f>IF('Base S2'!E29="","",'Base S2'!E29)</f>
        <v>C</v>
      </c>
      <c r="L2698" s="2">
        <f t="shared" si="546"/>
        <v>1</v>
      </c>
      <c r="M2698" s="2">
        <f t="shared" si="547"/>
        <v>0</v>
      </c>
      <c r="N2698" s="2">
        <f t="shared" si="548"/>
        <v>1</v>
      </c>
      <c r="O2698" s="2">
        <f t="shared" si="549"/>
        <v>0</v>
      </c>
      <c r="P2698" s="112">
        <f t="shared" si="550"/>
        <v>3</v>
      </c>
      <c r="Q2698" s="112">
        <f t="shared" si="551"/>
        <v>0</v>
      </c>
      <c r="R2698" s="53"/>
      <c r="S2698" s="53" t="str">
        <f t="shared" si="552"/>
        <v>Base S2|Gold Parallel - Season 2|128|Gold</v>
      </c>
      <c r="T2698" s="57" t="str">
        <f>IF($S2698="","",IFERROR(VLOOKUP($S2698,'Pop Estimates (Non-#d)'!$N$2:$O$500,2,FALSE),""))</f>
        <v/>
      </c>
      <c r="U2698" s="57" t="str">
        <f t="shared" si="553"/>
        <v/>
      </c>
      <c r="V2698" s="53" t="str">
        <f t="shared" si="554"/>
        <v/>
      </c>
      <c r="W2698" s="53" t="str">
        <f t="shared" si="555"/>
        <v/>
      </c>
      <c r="X2698" s="53" t="str">
        <f t="shared" si="556"/>
        <v/>
      </c>
      <c r="Y2698" s="57" t="str">
        <f>IF($X2698="","",IFERROR(VLOOKUP($X2698,'Char Popularity'!$A$2:$C$500,2,FALSE),""))</f>
        <v/>
      </c>
      <c r="Z2698" s="56">
        <f>IF($X2698="",1,IFERROR(VLOOKUP($X2698,'Char Popularity'!$A$2:$C$500,3,FALSE),1))</f>
        <v>1</v>
      </c>
      <c r="AA2698" s="62">
        <f>IF($H2698&lt;&gt;"Y",0,(IF($F2698&lt;&gt;"",ROUND(Dashboard!$R$4/$F2698,1),IF(AND($I2698="Base",$E2698="Base"),Dashboard!$R$5,IF(AND($I2698="Base",$E2698="Red"),Dashboard!$R$6,IF(AND($I2698="Base",$E2698="Gold"),Dashboard!$R$7,VLOOKUP($I2698,Dashboard!$Q$16:$R$21,2,FALSE)))))*VLOOKUP($I2698,Dashboard!$Q$9:$R$13,2,FALSE)*IF(AND($I2698="Auto",$F2698="",OR($B2698="Autographs Duals",$B2698="Autographs Triples",$B2698="Autographs Quads",$B2698="Autographs Quads (Inscribed)")),IF($B2698="Autographs Duals",2,IF($B2698="Autographs Triples",3,4)),1)))</f>
        <v>3</v>
      </c>
      <c r="AB2698" s="62">
        <f t="shared" si="557"/>
        <v>3</v>
      </c>
      <c r="AC2698" s="62">
        <f t="shared" si="558"/>
        <v>0</v>
      </c>
    </row>
    <row r="2699" spans="1:29" ht="28.7" customHeight="1" x14ac:dyDescent="0.25">
      <c r="A2699" s="4" t="s">
        <v>19</v>
      </c>
      <c r="B2699" s="7" t="s">
        <v>77</v>
      </c>
      <c r="C2699" s="2" t="s">
        <v>1528</v>
      </c>
      <c r="D2699" s="7" t="s">
        <v>1088</v>
      </c>
      <c r="E2699" s="4" t="s">
        <v>1602</v>
      </c>
      <c r="F2699" s="2"/>
      <c r="G2699" s="2" t="s">
        <v>1399</v>
      </c>
      <c r="H2699" s="2" t="s">
        <v>1400</v>
      </c>
      <c r="I2699" s="4" t="s">
        <v>60</v>
      </c>
      <c r="J2699" s="112">
        <f>IF($H2699&lt;&gt;"Y",0,ROUND(MIN(Dashboard!$R$24,IF(IFERROR(VLOOKUP($B2699,Dashboard!$Q$28:$S$60,2,FALSE),0)&gt;0,IFERROR(VLOOKUP($B2699,Dashboard!$Q$28:$S$60,2,FALSE),0),$Z2699*IF($U2699&lt;&gt;"",ROUND((Dashboard!$R$4/$U2699)*VLOOKUP($I2699,Dashboard!$Q$9:$R$13,2,FALSE)*IF(ISNUMBER(SEARCH("Duals",$B2699)),2,IF(ISNUMBER(SEARCH("Triples",$B2699)),3,IF(ISNUMBER(SEARCH("Quads",$B2699)),4,1))),2),ROUND(VLOOKUP($I2699,Dashboard!$Q$15:$R$20,2,FALSE)*IF($E2699="Red",Dashboard!$R$6,IF($E2699="Gold",Dashboard!$R$7,Dashboard!$R$5))*IF(ISNUMBER(SEARCH("Duals",$B2699)),2,IF(ISNUMBER(SEARCH("Triples",$B2699)),3,IF(ISNUMBER(SEARCH("Quads",$B2699)),4,1))),2))*IF(IFERROR(VLOOKUP($B2699,Dashboard!$Q$28:$S$60,3,FALSE),0)&gt;0,VLOOKUP($B2699,Dashboard!$Q$28:$S$60,3,FALSE),1))),0))</f>
        <v>3</v>
      </c>
      <c r="K2699" s="2" t="str">
        <f>IF('Base S2'!E30="","",'Base S2'!E30)</f>
        <v>C</v>
      </c>
      <c r="L2699" s="2">
        <f t="shared" ref="L2699:L2762" si="559">IF(AND($K2699&lt;&gt;"",LEFT($K2699,1)&lt;&gt;"Y"),1,0)</f>
        <v>1</v>
      </c>
      <c r="M2699" s="2">
        <f t="shared" ref="M2699:M2762" si="560">IF(LEFT($K2699,1)="Y",1,0)</f>
        <v>0</v>
      </c>
      <c r="N2699" s="2">
        <f t="shared" ref="N2699:N2762" si="561">$L2699+$M2699</f>
        <v>1</v>
      </c>
      <c r="O2699" s="2">
        <f t="shared" ref="O2699:O2762" si="562">IF($H2699="Y",1-$N2699,0)</f>
        <v>0</v>
      </c>
      <c r="P2699" s="112">
        <f t="shared" ref="P2699:P2762" si="563">IF($L2699=1,$J2699,0)</f>
        <v>3</v>
      </c>
      <c r="Q2699" s="112">
        <f t="shared" ref="Q2699:Q2762" si="564">IF($M2699=1,$J2699,0)</f>
        <v>0</v>
      </c>
      <c r="R2699" s="53"/>
      <c r="S2699" s="53" t="str">
        <f t="shared" si="552"/>
        <v>Base S2|Gold Parallel - Season 2|129|Gold</v>
      </c>
      <c r="T2699" s="57" t="str">
        <f>IF($S2699="","",IFERROR(VLOOKUP($S2699,'Pop Estimates (Non-#d)'!$N$2:$O$500,2,FALSE),""))</f>
        <v/>
      </c>
      <c r="U2699" s="57" t="str">
        <f t="shared" si="553"/>
        <v/>
      </c>
      <c r="V2699" s="53" t="str">
        <f t="shared" si="554"/>
        <v/>
      </c>
      <c r="W2699" s="53" t="str">
        <f t="shared" si="555"/>
        <v/>
      </c>
      <c r="X2699" s="53" t="str">
        <f t="shared" si="556"/>
        <v/>
      </c>
      <c r="Y2699" s="57" t="str">
        <f>IF($X2699="","",IFERROR(VLOOKUP($X2699,'Char Popularity'!$A$2:$C$500,2,FALSE),""))</f>
        <v/>
      </c>
      <c r="Z2699" s="56">
        <f>IF($X2699="",1,IFERROR(VLOOKUP($X2699,'Char Popularity'!$A$2:$C$500,3,FALSE),1))</f>
        <v>1</v>
      </c>
      <c r="AA2699" s="62">
        <f>IF($H2699&lt;&gt;"Y",0,(IF($F2699&lt;&gt;"",ROUND(Dashboard!$R$4/$F2699,1),IF(AND($I2699="Base",$E2699="Base"),Dashboard!$R$5,IF(AND($I2699="Base",$E2699="Red"),Dashboard!$R$6,IF(AND($I2699="Base",$E2699="Gold"),Dashboard!$R$7,VLOOKUP($I2699,Dashboard!$Q$16:$R$21,2,FALSE)))))*VLOOKUP($I2699,Dashboard!$Q$9:$R$13,2,FALSE)*IF(AND($I2699="Auto",$F2699="",OR($B2699="Autographs Duals",$B2699="Autographs Triples",$B2699="Autographs Quads",$B2699="Autographs Quads (Inscribed)")),IF($B2699="Autographs Duals",2,IF($B2699="Autographs Triples",3,4)),1)))</f>
        <v>3</v>
      </c>
      <c r="AB2699" s="62">
        <f t="shared" si="557"/>
        <v>3</v>
      </c>
      <c r="AC2699" s="62">
        <f t="shared" si="558"/>
        <v>0</v>
      </c>
    </row>
    <row r="2700" spans="1:29" ht="28.7" customHeight="1" x14ac:dyDescent="0.25">
      <c r="A2700" s="4" t="s">
        <v>19</v>
      </c>
      <c r="B2700" s="7" t="s">
        <v>77</v>
      </c>
      <c r="C2700" s="2" t="s">
        <v>1529</v>
      </c>
      <c r="D2700" s="7" t="s">
        <v>1091</v>
      </c>
      <c r="E2700" s="4" t="s">
        <v>1602</v>
      </c>
      <c r="F2700" s="2"/>
      <c r="G2700" s="2" t="s">
        <v>1399</v>
      </c>
      <c r="H2700" s="2" t="s">
        <v>1400</v>
      </c>
      <c r="I2700" s="4" t="s">
        <v>60</v>
      </c>
      <c r="J2700" s="112">
        <f>IF($H2700&lt;&gt;"Y",0,ROUND(MIN(Dashboard!$R$24,IF(IFERROR(VLOOKUP($B2700,Dashboard!$Q$28:$S$60,2,FALSE),0)&gt;0,IFERROR(VLOOKUP($B2700,Dashboard!$Q$28:$S$60,2,FALSE),0),$Z2700*IF($U2700&lt;&gt;"",ROUND((Dashboard!$R$4/$U2700)*VLOOKUP($I2700,Dashboard!$Q$9:$R$13,2,FALSE)*IF(ISNUMBER(SEARCH("Duals",$B2700)),2,IF(ISNUMBER(SEARCH("Triples",$B2700)),3,IF(ISNUMBER(SEARCH("Quads",$B2700)),4,1))),2),ROUND(VLOOKUP($I2700,Dashboard!$Q$15:$R$20,2,FALSE)*IF($E2700="Red",Dashboard!$R$6,IF($E2700="Gold",Dashboard!$R$7,Dashboard!$R$5))*IF(ISNUMBER(SEARCH("Duals",$B2700)),2,IF(ISNUMBER(SEARCH("Triples",$B2700)),3,IF(ISNUMBER(SEARCH("Quads",$B2700)),4,1))),2))*IF(IFERROR(VLOOKUP($B2700,Dashboard!$Q$28:$S$60,3,FALSE),0)&gt;0,VLOOKUP($B2700,Dashboard!$Q$28:$S$60,3,FALSE),1))),0))</f>
        <v>3</v>
      </c>
      <c r="K2700" s="2" t="str">
        <f>IF('Base S2'!E31="","",'Base S2'!E31)</f>
        <v>C</v>
      </c>
      <c r="L2700" s="2">
        <f t="shared" si="559"/>
        <v>1</v>
      </c>
      <c r="M2700" s="2">
        <f t="shared" si="560"/>
        <v>0</v>
      </c>
      <c r="N2700" s="2">
        <f t="shared" si="561"/>
        <v>1</v>
      </c>
      <c r="O2700" s="2">
        <f t="shared" si="562"/>
        <v>0</v>
      </c>
      <c r="P2700" s="112">
        <f t="shared" si="563"/>
        <v>3</v>
      </c>
      <c r="Q2700" s="112">
        <f t="shared" si="564"/>
        <v>0</v>
      </c>
      <c r="R2700" s="53"/>
      <c r="S2700" s="53" t="str">
        <f t="shared" si="552"/>
        <v>Base S2|Gold Parallel - Season 2|130|Gold</v>
      </c>
      <c r="T2700" s="57" t="str">
        <f>IF($S2700="","",IFERROR(VLOOKUP($S2700,'Pop Estimates (Non-#d)'!$N$2:$O$500,2,FALSE),""))</f>
        <v/>
      </c>
      <c r="U2700" s="57" t="str">
        <f t="shared" si="553"/>
        <v/>
      </c>
      <c r="V2700" s="53" t="str">
        <f t="shared" si="554"/>
        <v/>
      </c>
      <c r="W2700" s="53" t="str">
        <f t="shared" si="555"/>
        <v/>
      </c>
      <c r="X2700" s="53" t="str">
        <f t="shared" si="556"/>
        <v/>
      </c>
      <c r="Y2700" s="57" t="str">
        <f>IF($X2700="","",IFERROR(VLOOKUP($X2700,'Char Popularity'!$A$2:$C$500,2,FALSE),""))</f>
        <v/>
      </c>
      <c r="Z2700" s="56">
        <f>IF($X2700="",1,IFERROR(VLOOKUP($X2700,'Char Popularity'!$A$2:$C$500,3,FALSE),1))</f>
        <v>1</v>
      </c>
      <c r="AA2700" s="62">
        <f>IF($H2700&lt;&gt;"Y",0,(IF($F2700&lt;&gt;"",ROUND(Dashboard!$R$4/$F2700,1),IF(AND($I2700="Base",$E2700="Base"),Dashboard!$R$5,IF(AND($I2700="Base",$E2700="Red"),Dashboard!$R$6,IF(AND($I2700="Base",$E2700="Gold"),Dashboard!$R$7,VLOOKUP($I2700,Dashboard!$Q$16:$R$21,2,FALSE)))))*VLOOKUP($I2700,Dashboard!$Q$9:$R$13,2,FALSE)*IF(AND($I2700="Auto",$F2700="",OR($B2700="Autographs Duals",$B2700="Autographs Triples",$B2700="Autographs Quads",$B2700="Autographs Quads (Inscribed)")),IF($B2700="Autographs Duals",2,IF($B2700="Autographs Triples",3,4)),1)))</f>
        <v>3</v>
      </c>
      <c r="AB2700" s="62">
        <f t="shared" si="557"/>
        <v>3</v>
      </c>
      <c r="AC2700" s="62">
        <f t="shared" si="558"/>
        <v>0</v>
      </c>
    </row>
    <row r="2701" spans="1:29" ht="28.7" customHeight="1" x14ac:dyDescent="0.25">
      <c r="A2701" s="4" t="s">
        <v>19</v>
      </c>
      <c r="B2701" s="7" t="s">
        <v>77</v>
      </c>
      <c r="C2701" s="2" t="s">
        <v>1530</v>
      </c>
      <c r="D2701" s="7" t="s">
        <v>1093</v>
      </c>
      <c r="E2701" s="4" t="s">
        <v>1602</v>
      </c>
      <c r="F2701" s="2"/>
      <c r="G2701" s="2" t="s">
        <v>1399</v>
      </c>
      <c r="H2701" s="2" t="s">
        <v>1400</v>
      </c>
      <c r="I2701" s="4" t="s">
        <v>60</v>
      </c>
      <c r="J2701" s="112">
        <f>IF($H2701&lt;&gt;"Y",0,ROUND(MIN(Dashboard!$R$24,IF(IFERROR(VLOOKUP($B2701,Dashboard!$Q$28:$S$60,2,FALSE),0)&gt;0,IFERROR(VLOOKUP($B2701,Dashboard!$Q$28:$S$60,2,FALSE),0),$Z2701*IF($U2701&lt;&gt;"",ROUND((Dashboard!$R$4/$U2701)*VLOOKUP($I2701,Dashboard!$Q$9:$R$13,2,FALSE)*IF(ISNUMBER(SEARCH("Duals",$B2701)),2,IF(ISNUMBER(SEARCH("Triples",$B2701)),3,IF(ISNUMBER(SEARCH("Quads",$B2701)),4,1))),2),ROUND(VLOOKUP($I2701,Dashboard!$Q$15:$R$20,2,FALSE)*IF($E2701="Red",Dashboard!$R$6,IF($E2701="Gold",Dashboard!$R$7,Dashboard!$R$5))*IF(ISNUMBER(SEARCH("Duals",$B2701)),2,IF(ISNUMBER(SEARCH("Triples",$B2701)),3,IF(ISNUMBER(SEARCH("Quads",$B2701)),4,1))),2))*IF(IFERROR(VLOOKUP($B2701,Dashboard!$Q$28:$S$60,3,FALSE),0)&gt;0,VLOOKUP($B2701,Dashboard!$Q$28:$S$60,3,FALSE),1))),0))</f>
        <v>3</v>
      </c>
      <c r="K2701" s="2" t="str">
        <f>IF('Base S2'!E32="","",'Base S2'!E32)</f>
        <v>C</v>
      </c>
      <c r="L2701" s="2">
        <f t="shared" si="559"/>
        <v>1</v>
      </c>
      <c r="M2701" s="2">
        <f t="shared" si="560"/>
        <v>0</v>
      </c>
      <c r="N2701" s="2">
        <f t="shared" si="561"/>
        <v>1</v>
      </c>
      <c r="O2701" s="2">
        <f t="shared" si="562"/>
        <v>0</v>
      </c>
      <c r="P2701" s="112">
        <f t="shared" si="563"/>
        <v>3</v>
      </c>
      <c r="Q2701" s="112">
        <f t="shared" si="564"/>
        <v>0</v>
      </c>
      <c r="R2701" s="53"/>
      <c r="S2701" s="53" t="str">
        <f t="shared" si="552"/>
        <v>Base S2|Gold Parallel - Season 2|131|Gold</v>
      </c>
      <c r="T2701" s="57" t="str">
        <f>IF($S2701="","",IFERROR(VLOOKUP($S2701,'Pop Estimates (Non-#d)'!$N$2:$O$500,2,FALSE),""))</f>
        <v/>
      </c>
      <c r="U2701" s="57" t="str">
        <f t="shared" si="553"/>
        <v/>
      </c>
      <c r="V2701" s="53" t="str">
        <f t="shared" si="554"/>
        <v/>
      </c>
      <c r="W2701" s="53" t="str">
        <f t="shared" si="555"/>
        <v/>
      </c>
      <c r="X2701" s="53" t="str">
        <f t="shared" si="556"/>
        <v/>
      </c>
      <c r="Y2701" s="57" t="str">
        <f>IF($X2701="","",IFERROR(VLOOKUP($X2701,'Char Popularity'!$A$2:$C$500,2,FALSE),""))</f>
        <v/>
      </c>
      <c r="Z2701" s="56">
        <f>IF($X2701="",1,IFERROR(VLOOKUP($X2701,'Char Popularity'!$A$2:$C$500,3,FALSE),1))</f>
        <v>1</v>
      </c>
      <c r="AA2701" s="62">
        <f>IF($H2701&lt;&gt;"Y",0,(IF($F2701&lt;&gt;"",ROUND(Dashboard!$R$4/$F2701,1),IF(AND($I2701="Base",$E2701="Base"),Dashboard!$R$5,IF(AND($I2701="Base",$E2701="Red"),Dashboard!$R$6,IF(AND($I2701="Base",$E2701="Gold"),Dashboard!$R$7,VLOOKUP($I2701,Dashboard!$Q$16:$R$21,2,FALSE)))))*VLOOKUP($I2701,Dashboard!$Q$9:$R$13,2,FALSE)*IF(AND($I2701="Auto",$F2701="",OR($B2701="Autographs Duals",$B2701="Autographs Triples",$B2701="Autographs Quads",$B2701="Autographs Quads (Inscribed)")),IF($B2701="Autographs Duals",2,IF($B2701="Autographs Triples",3,4)),1)))</f>
        <v>3</v>
      </c>
      <c r="AB2701" s="62">
        <f t="shared" si="557"/>
        <v>3</v>
      </c>
      <c r="AC2701" s="62">
        <f t="shared" si="558"/>
        <v>0</v>
      </c>
    </row>
    <row r="2702" spans="1:29" ht="28.7" customHeight="1" x14ac:dyDescent="0.25">
      <c r="A2702" s="4" t="s">
        <v>19</v>
      </c>
      <c r="B2702" s="7" t="s">
        <v>77</v>
      </c>
      <c r="C2702" s="2" t="s">
        <v>1531</v>
      </c>
      <c r="D2702" s="7" t="s">
        <v>1096</v>
      </c>
      <c r="E2702" s="4" t="s">
        <v>1602</v>
      </c>
      <c r="F2702" s="2"/>
      <c r="G2702" s="2" t="s">
        <v>1399</v>
      </c>
      <c r="H2702" s="2" t="s">
        <v>1400</v>
      </c>
      <c r="I2702" s="4" t="s">
        <v>60</v>
      </c>
      <c r="J2702" s="112">
        <f>IF($H2702&lt;&gt;"Y",0,ROUND(MIN(Dashboard!$R$24,IF(IFERROR(VLOOKUP($B2702,Dashboard!$Q$28:$S$60,2,FALSE),0)&gt;0,IFERROR(VLOOKUP($B2702,Dashboard!$Q$28:$S$60,2,FALSE),0),$Z2702*IF($U2702&lt;&gt;"",ROUND((Dashboard!$R$4/$U2702)*VLOOKUP($I2702,Dashboard!$Q$9:$R$13,2,FALSE)*IF(ISNUMBER(SEARCH("Duals",$B2702)),2,IF(ISNUMBER(SEARCH("Triples",$B2702)),3,IF(ISNUMBER(SEARCH("Quads",$B2702)),4,1))),2),ROUND(VLOOKUP($I2702,Dashboard!$Q$15:$R$20,2,FALSE)*IF($E2702="Red",Dashboard!$R$6,IF($E2702="Gold",Dashboard!$R$7,Dashboard!$R$5))*IF(ISNUMBER(SEARCH("Duals",$B2702)),2,IF(ISNUMBER(SEARCH("Triples",$B2702)),3,IF(ISNUMBER(SEARCH("Quads",$B2702)),4,1))),2))*IF(IFERROR(VLOOKUP($B2702,Dashboard!$Q$28:$S$60,3,FALSE),0)&gt;0,VLOOKUP($B2702,Dashboard!$Q$28:$S$60,3,FALSE),1))),0))</f>
        <v>3</v>
      </c>
      <c r="K2702" s="2" t="str">
        <f>IF('Base S2'!E33="","",'Base S2'!E33)</f>
        <v>C</v>
      </c>
      <c r="L2702" s="2">
        <f t="shared" si="559"/>
        <v>1</v>
      </c>
      <c r="M2702" s="2">
        <f t="shared" si="560"/>
        <v>0</v>
      </c>
      <c r="N2702" s="2">
        <f t="shared" si="561"/>
        <v>1</v>
      </c>
      <c r="O2702" s="2">
        <f t="shared" si="562"/>
        <v>0</v>
      </c>
      <c r="P2702" s="112">
        <f t="shared" si="563"/>
        <v>3</v>
      </c>
      <c r="Q2702" s="112">
        <f t="shared" si="564"/>
        <v>0</v>
      </c>
      <c r="R2702" s="53"/>
      <c r="S2702" s="53" t="str">
        <f t="shared" si="552"/>
        <v>Base S2|Gold Parallel - Season 2|132|Gold</v>
      </c>
      <c r="T2702" s="57" t="str">
        <f>IF($S2702="","",IFERROR(VLOOKUP($S2702,'Pop Estimates (Non-#d)'!$N$2:$O$500,2,FALSE),""))</f>
        <v/>
      </c>
      <c r="U2702" s="57" t="str">
        <f t="shared" si="553"/>
        <v/>
      </c>
      <c r="V2702" s="53" t="str">
        <f t="shared" si="554"/>
        <v/>
      </c>
      <c r="W2702" s="53" t="str">
        <f t="shared" si="555"/>
        <v/>
      </c>
      <c r="X2702" s="53" t="str">
        <f t="shared" si="556"/>
        <v/>
      </c>
      <c r="Y2702" s="57" t="str">
        <f>IF($X2702="","",IFERROR(VLOOKUP($X2702,'Char Popularity'!$A$2:$C$500,2,FALSE),""))</f>
        <v/>
      </c>
      <c r="Z2702" s="56">
        <f>IF($X2702="",1,IFERROR(VLOOKUP($X2702,'Char Popularity'!$A$2:$C$500,3,FALSE),1))</f>
        <v>1</v>
      </c>
      <c r="AA2702" s="62">
        <f>IF($H2702&lt;&gt;"Y",0,(IF($F2702&lt;&gt;"",ROUND(Dashboard!$R$4/$F2702,1),IF(AND($I2702="Base",$E2702="Base"),Dashboard!$R$5,IF(AND($I2702="Base",$E2702="Red"),Dashboard!$R$6,IF(AND($I2702="Base",$E2702="Gold"),Dashboard!$R$7,VLOOKUP($I2702,Dashboard!$Q$16:$R$21,2,FALSE)))))*VLOOKUP($I2702,Dashboard!$Q$9:$R$13,2,FALSE)*IF(AND($I2702="Auto",$F2702="",OR($B2702="Autographs Duals",$B2702="Autographs Triples",$B2702="Autographs Quads",$B2702="Autographs Quads (Inscribed)")),IF($B2702="Autographs Duals",2,IF($B2702="Autographs Triples",3,4)),1)))</f>
        <v>3</v>
      </c>
      <c r="AB2702" s="62">
        <f t="shared" si="557"/>
        <v>3</v>
      </c>
      <c r="AC2702" s="62">
        <f t="shared" si="558"/>
        <v>0</v>
      </c>
    </row>
    <row r="2703" spans="1:29" ht="28.7" customHeight="1" x14ac:dyDescent="0.25">
      <c r="A2703" s="4" t="s">
        <v>19</v>
      </c>
      <c r="B2703" s="7" t="s">
        <v>77</v>
      </c>
      <c r="C2703" s="2" t="s">
        <v>1532</v>
      </c>
      <c r="D2703" s="7" t="s">
        <v>1097</v>
      </c>
      <c r="E2703" s="4" t="s">
        <v>1602</v>
      </c>
      <c r="F2703" s="2"/>
      <c r="G2703" s="2" t="s">
        <v>1399</v>
      </c>
      <c r="H2703" s="2" t="s">
        <v>1400</v>
      </c>
      <c r="I2703" s="4" t="s">
        <v>60</v>
      </c>
      <c r="J2703" s="112">
        <f>IF($H2703&lt;&gt;"Y",0,ROUND(MIN(Dashboard!$R$24,IF(IFERROR(VLOOKUP($B2703,Dashboard!$Q$28:$S$60,2,FALSE),0)&gt;0,IFERROR(VLOOKUP($B2703,Dashboard!$Q$28:$S$60,2,FALSE),0),$Z2703*IF($U2703&lt;&gt;"",ROUND((Dashboard!$R$4/$U2703)*VLOOKUP($I2703,Dashboard!$Q$9:$R$13,2,FALSE)*IF(ISNUMBER(SEARCH("Duals",$B2703)),2,IF(ISNUMBER(SEARCH("Triples",$B2703)),3,IF(ISNUMBER(SEARCH("Quads",$B2703)),4,1))),2),ROUND(VLOOKUP($I2703,Dashboard!$Q$15:$R$20,2,FALSE)*IF($E2703="Red",Dashboard!$R$6,IF($E2703="Gold",Dashboard!$R$7,Dashboard!$R$5))*IF(ISNUMBER(SEARCH("Duals",$B2703)),2,IF(ISNUMBER(SEARCH("Triples",$B2703)),3,IF(ISNUMBER(SEARCH("Quads",$B2703)),4,1))),2))*IF(IFERROR(VLOOKUP($B2703,Dashboard!$Q$28:$S$60,3,FALSE),0)&gt;0,VLOOKUP($B2703,Dashboard!$Q$28:$S$60,3,FALSE),1))),0))</f>
        <v>3</v>
      </c>
      <c r="K2703" s="2" t="str">
        <f>IF('Base S2'!E34="","",'Base S2'!E34)</f>
        <v>C</v>
      </c>
      <c r="L2703" s="2">
        <f t="shared" si="559"/>
        <v>1</v>
      </c>
      <c r="M2703" s="2">
        <f t="shared" si="560"/>
        <v>0</v>
      </c>
      <c r="N2703" s="2">
        <f t="shared" si="561"/>
        <v>1</v>
      </c>
      <c r="O2703" s="2">
        <f t="shared" si="562"/>
        <v>0</v>
      </c>
      <c r="P2703" s="112">
        <f t="shared" si="563"/>
        <v>3</v>
      </c>
      <c r="Q2703" s="112">
        <f t="shared" si="564"/>
        <v>0</v>
      </c>
      <c r="R2703" s="53"/>
      <c r="S2703" s="53" t="str">
        <f t="shared" si="552"/>
        <v>Base S2|Gold Parallel - Season 2|133|Gold</v>
      </c>
      <c r="T2703" s="57" t="str">
        <f>IF($S2703="","",IFERROR(VLOOKUP($S2703,'Pop Estimates (Non-#d)'!$N$2:$O$500,2,FALSE),""))</f>
        <v/>
      </c>
      <c r="U2703" s="57" t="str">
        <f t="shared" si="553"/>
        <v/>
      </c>
      <c r="V2703" s="53" t="str">
        <f t="shared" si="554"/>
        <v/>
      </c>
      <c r="W2703" s="53" t="str">
        <f t="shared" si="555"/>
        <v/>
      </c>
      <c r="X2703" s="53" t="str">
        <f t="shared" si="556"/>
        <v/>
      </c>
      <c r="Y2703" s="57" t="str">
        <f>IF($X2703="","",IFERROR(VLOOKUP($X2703,'Char Popularity'!$A$2:$C$500,2,FALSE),""))</f>
        <v/>
      </c>
      <c r="Z2703" s="56">
        <f>IF($X2703="",1,IFERROR(VLOOKUP($X2703,'Char Popularity'!$A$2:$C$500,3,FALSE),1))</f>
        <v>1</v>
      </c>
      <c r="AA2703" s="62">
        <f>IF($H2703&lt;&gt;"Y",0,(IF($F2703&lt;&gt;"",ROUND(Dashboard!$R$4/$F2703,1),IF(AND($I2703="Base",$E2703="Base"),Dashboard!$R$5,IF(AND($I2703="Base",$E2703="Red"),Dashboard!$R$6,IF(AND($I2703="Base",$E2703="Gold"),Dashboard!$R$7,VLOOKUP($I2703,Dashboard!$Q$16:$R$21,2,FALSE)))))*VLOOKUP($I2703,Dashboard!$Q$9:$R$13,2,FALSE)*IF(AND($I2703="Auto",$F2703="",OR($B2703="Autographs Duals",$B2703="Autographs Triples",$B2703="Autographs Quads",$B2703="Autographs Quads (Inscribed)")),IF($B2703="Autographs Duals",2,IF($B2703="Autographs Triples",3,4)),1)))</f>
        <v>3</v>
      </c>
      <c r="AB2703" s="62">
        <f t="shared" si="557"/>
        <v>3</v>
      </c>
      <c r="AC2703" s="62">
        <f t="shared" si="558"/>
        <v>0</v>
      </c>
    </row>
    <row r="2704" spans="1:29" ht="28.7" customHeight="1" x14ac:dyDescent="0.25">
      <c r="A2704" s="4" t="s">
        <v>19</v>
      </c>
      <c r="B2704" s="7" t="s">
        <v>77</v>
      </c>
      <c r="C2704" s="2" t="s">
        <v>1533</v>
      </c>
      <c r="D2704" s="7" t="s">
        <v>1099</v>
      </c>
      <c r="E2704" s="4" t="s">
        <v>1602</v>
      </c>
      <c r="F2704" s="2"/>
      <c r="G2704" s="2" t="s">
        <v>1399</v>
      </c>
      <c r="H2704" s="2" t="s">
        <v>1400</v>
      </c>
      <c r="I2704" s="4" t="s">
        <v>60</v>
      </c>
      <c r="J2704" s="112">
        <f>IF($H2704&lt;&gt;"Y",0,ROUND(MIN(Dashboard!$R$24,IF(IFERROR(VLOOKUP($B2704,Dashboard!$Q$28:$S$60,2,FALSE),0)&gt;0,IFERROR(VLOOKUP($B2704,Dashboard!$Q$28:$S$60,2,FALSE),0),$Z2704*IF($U2704&lt;&gt;"",ROUND((Dashboard!$R$4/$U2704)*VLOOKUP($I2704,Dashboard!$Q$9:$R$13,2,FALSE)*IF(ISNUMBER(SEARCH("Duals",$B2704)),2,IF(ISNUMBER(SEARCH("Triples",$B2704)),3,IF(ISNUMBER(SEARCH("Quads",$B2704)),4,1))),2),ROUND(VLOOKUP($I2704,Dashboard!$Q$15:$R$20,2,FALSE)*IF($E2704="Red",Dashboard!$R$6,IF($E2704="Gold",Dashboard!$R$7,Dashboard!$R$5))*IF(ISNUMBER(SEARCH("Duals",$B2704)),2,IF(ISNUMBER(SEARCH("Triples",$B2704)),3,IF(ISNUMBER(SEARCH("Quads",$B2704)),4,1))),2))*IF(IFERROR(VLOOKUP($B2704,Dashboard!$Q$28:$S$60,3,FALSE),0)&gt;0,VLOOKUP($B2704,Dashboard!$Q$28:$S$60,3,FALSE),1))),0))</f>
        <v>3</v>
      </c>
      <c r="K2704" s="2" t="str">
        <f>IF('Base S2'!E35="","",'Base S2'!E35)</f>
        <v>C</v>
      </c>
      <c r="L2704" s="2">
        <f t="shared" si="559"/>
        <v>1</v>
      </c>
      <c r="M2704" s="2">
        <f t="shared" si="560"/>
        <v>0</v>
      </c>
      <c r="N2704" s="2">
        <f t="shared" si="561"/>
        <v>1</v>
      </c>
      <c r="O2704" s="2">
        <f t="shared" si="562"/>
        <v>0</v>
      </c>
      <c r="P2704" s="112">
        <f t="shared" si="563"/>
        <v>3</v>
      </c>
      <c r="Q2704" s="112">
        <f t="shared" si="564"/>
        <v>0</v>
      </c>
      <c r="R2704" s="53"/>
      <c r="S2704" s="53" t="str">
        <f t="shared" si="552"/>
        <v>Base S2|Gold Parallel - Season 2|134|Gold</v>
      </c>
      <c r="T2704" s="57" t="str">
        <f>IF($S2704="","",IFERROR(VLOOKUP($S2704,'Pop Estimates (Non-#d)'!$N$2:$O$500,2,FALSE),""))</f>
        <v/>
      </c>
      <c r="U2704" s="57" t="str">
        <f t="shared" si="553"/>
        <v/>
      </c>
      <c r="V2704" s="53" t="str">
        <f t="shared" si="554"/>
        <v/>
      </c>
      <c r="W2704" s="53" t="str">
        <f t="shared" si="555"/>
        <v/>
      </c>
      <c r="X2704" s="53" t="str">
        <f t="shared" si="556"/>
        <v/>
      </c>
      <c r="Y2704" s="57" t="str">
        <f>IF($X2704="","",IFERROR(VLOOKUP($X2704,'Char Popularity'!$A$2:$C$500,2,FALSE),""))</f>
        <v/>
      </c>
      <c r="Z2704" s="56">
        <f>IF($X2704="",1,IFERROR(VLOOKUP($X2704,'Char Popularity'!$A$2:$C$500,3,FALSE),1))</f>
        <v>1</v>
      </c>
      <c r="AA2704" s="62">
        <f>IF($H2704&lt;&gt;"Y",0,(IF($F2704&lt;&gt;"",ROUND(Dashboard!$R$4/$F2704,1),IF(AND($I2704="Base",$E2704="Base"),Dashboard!$R$5,IF(AND($I2704="Base",$E2704="Red"),Dashboard!$R$6,IF(AND($I2704="Base",$E2704="Gold"),Dashboard!$R$7,VLOOKUP($I2704,Dashboard!$Q$16:$R$21,2,FALSE)))))*VLOOKUP($I2704,Dashboard!$Q$9:$R$13,2,FALSE)*IF(AND($I2704="Auto",$F2704="",OR($B2704="Autographs Duals",$B2704="Autographs Triples",$B2704="Autographs Quads",$B2704="Autographs Quads (Inscribed)")),IF($B2704="Autographs Duals",2,IF($B2704="Autographs Triples",3,4)),1)))</f>
        <v>3</v>
      </c>
      <c r="AB2704" s="62">
        <f t="shared" si="557"/>
        <v>3</v>
      </c>
      <c r="AC2704" s="62">
        <f t="shared" si="558"/>
        <v>0</v>
      </c>
    </row>
    <row r="2705" spans="1:29" ht="28.7" customHeight="1" x14ac:dyDescent="0.25">
      <c r="A2705" s="4" t="s">
        <v>19</v>
      </c>
      <c r="B2705" s="7" t="s">
        <v>77</v>
      </c>
      <c r="C2705" s="2" t="s">
        <v>1534</v>
      </c>
      <c r="D2705" s="7" t="s">
        <v>1100</v>
      </c>
      <c r="E2705" s="4" t="s">
        <v>1602</v>
      </c>
      <c r="F2705" s="2"/>
      <c r="G2705" s="2" t="s">
        <v>1399</v>
      </c>
      <c r="H2705" s="2" t="s">
        <v>1400</v>
      </c>
      <c r="I2705" s="4" t="s">
        <v>60</v>
      </c>
      <c r="J2705" s="112">
        <f>IF($H2705&lt;&gt;"Y",0,ROUND(MIN(Dashboard!$R$24,IF(IFERROR(VLOOKUP($B2705,Dashboard!$Q$28:$S$60,2,FALSE),0)&gt;0,IFERROR(VLOOKUP($B2705,Dashboard!$Q$28:$S$60,2,FALSE),0),$Z2705*IF($U2705&lt;&gt;"",ROUND((Dashboard!$R$4/$U2705)*VLOOKUP($I2705,Dashboard!$Q$9:$R$13,2,FALSE)*IF(ISNUMBER(SEARCH("Duals",$B2705)),2,IF(ISNUMBER(SEARCH("Triples",$B2705)),3,IF(ISNUMBER(SEARCH("Quads",$B2705)),4,1))),2),ROUND(VLOOKUP($I2705,Dashboard!$Q$15:$R$20,2,FALSE)*IF($E2705="Red",Dashboard!$R$6,IF($E2705="Gold",Dashboard!$R$7,Dashboard!$R$5))*IF(ISNUMBER(SEARCH("Duals",$B2705)),2,IF(ISNUMBER(SEARCH("Triples",$B2705)),3,IF(ISNUMBER(SEARCH("Quads",$B2705)),4,1))),2))*IF(IFERROR(VLOOKUP($B2705,Dashboard!$Q$28:$S$60,3,FALSE),0)&gt;0,VLOOKUP($B2705,Dashboard!$Q$28:$S$60,3,FALSE),1))),0))</f>
        <v>3</v>
      </c>
      <c r="K2705" s="2" t="str">
        <f>IF('Base S2'!E36="","",'Base S2'!E36)</f>
        <v>C</v>
      </c>
      <c r="L2705" s="2">
        <f t="shared" si="559"/>
        <v>1</v>
      </c>
      <c r="M2705" s="2">
        <f t="shared" si="560"/>
        <v>0</v>
      </c>
      <c r="N2705" s="2">
        <f t="shared" si="561"/>
        <v>1</v>
      </c>
      <c r="O2705" s="2">
        <f t="shared" si="562"/>
        <v>0</v>
      </c>
      <c r="P2705" s="112">
        <f t="shared" si="563"/>
        <v>3</v>
      </c>
      <c r="Q2705" s="112">
        <f t="shared" si="564"/>
        <v>0</v>
      </c>
      <c r="R2705" s="53"/>
      <c r="S2705" s="53" t="str">
        <f t="shared" si="552"/>
        <v>Base S2|Gold Parallel - Season 2|135|Gold</v>
      </c>
      <c r="T2705" s="57" t="str">
        <f>IF($S2705="","",IFERROR(VLOOKUP($S2705,'Pop Estimates (Non-#d)'!$N$2:$O$500,2,FALSE),""))</f>
        <v/>
      </c>
      <c r="U2705" s="57" t="str">
        <f t="shared" si="553"/>
        <v/>
      </c>
      <c r="V2705" s="53" t="str">
        <f t="shared" si="554"/>
        <v/>
      </c>
      <c r="W2705" s="53" t="str">
        <f t="shared" si="555"/>
        <v/>
      </c>
      <c r="X2705" s="53" t="str">
        <f t="shared" si="556"/>
        <v/>
      </c>
      <c r="Y2705" s="57" t="str">
        <f>IF($X2705="","",IFERROR(VLOOKUP($X2705,'Char Popularity'!$A$2:$C$500,2,FALSE),""))</f>
        <v/>
      </c>
      <c r="Z2705" s="56">
        <f>IF($X2705="",1,IFERROR(VLOOKUP($X2705,'Char Popularity'!$A$2:$C$500,3,FALSE),1))</f>
        <v>1</v>
      </c>
      <c r="AA2705" s="62">
        <f>IF($H2705&lt;&gt;"Y",0,(IF($F2705&lt;&gt;"",ROUND(Dashboard!$R$4/$F2705,1),IF(AND($I2705="Base",$E2705="Base"),Dashboard!$R$5,IF(AND($I2705="Base",$E2705="Red"),Dashboard!$R$6,IF(AND($I2705="Base",$E2705="Gold"),Dashboard!$R$7,VLOOKUP($I2705,Dashboard!$Q$16:$R$21,2,FALSE)))))*VLOOKUP($I2705,Dashboard!$Q$9:$R$13,2,FALSE)*IF(AND($I2705="Auto",$F2705="",OR($B2705="Autographs Duals",$B2705="Autographs Triples",$B2705="Autographs Quads",$B2705="Autographs Quads (Inscribed)")),IF($B2705="Autographs Duals",2,IF($B2705="Autographs Triples",3,4)),1)))</f>
        <v>3</v>
      </c>
      <c r="AB2705" s="62">
        <f t="shared" si="557"/>
        <v>3</v>
      </c>
      <c r="AC2705" s="62">
        <f t="shared" si="558"/>
        <v>0</v>
      </c>
    </row>
    <row r="2706" spans="1:29" ht="28.7" customHeight="1" x14ac:dyDescent="0.25">
      <c r="A2706" s="4" t="s">
        <v>19</v>
      </c>
      <c r="B2706" s="7" t="s">
        <v>77</v>
      </c>
      <c r="C2706" s="2" t="s">
        <v>1535</v>
      </c>
      <c r="D2706" s="7" t="s">
        <v>1101</v>
      </c>
      <c r="E2706" s="4" t="s">
        <v>1602</v>
      </c>
      <c r="F2706" s="2"/>
      <c r="G2706" s="2" t="s">
        <v>1399</v>
      </c>
      <c r="H2706" s="2" t="s">
        <v>1400</v>
      </c>
      <c r="I2706" s="4" t="s">
        <v>60</v>
      </c>
      <c r="J2706" s="112">
        <f>IF($H2706&lt;&gt;"Y",0,ROUND(MIN(Dashboard!$R$24,IF(IFERROR(VLOOKUP($B2706,Dashboard!$Q$28:$S$60,2,FALSE),0)&gt;0,IFERROR(VLOOKUP($B2706,Dashboard!$Q$28:$S$60,2,FALSE),0),$Z2706*IF($U2706&lt;&gt;"",ROUND((Dashboard!$R$4/$U2706)*VLOOKUP($I2706,Dashboard!$Q$9:$R$13,2,FALSE)*IF(ISNUMBER(SEARCH("Duals",$B2706)),2,IF(ISNUMBER(SEARCH("Triples",$B2706)),3,IF(ISNUMBER(SEARCH("Quads",$B2706)),4,1))),2),ROUND(VLOOKUP($I2706,Dashboard!$Q$15:$R$20,2,FALSE)*IF($E2706="Red",Dashboard!$R$6,IF($E2706="Gold",Dashboard!$R$7,Dashboard!$R$5))*IF(ISNUMBER(SEARCH("Duals",$B2706)),2,IF(ISNUMBER(SEARCH("Triples",$B2706)),3,IF(ISNUMBER(SEARCH("Quads",$B2706)),4,1))),2))*IF(IFERROR(VLOOKUP($B2706,Dashboard!$Q$28:$S$60,3,FALSE),0)&gt;0,VLOOKUP($B2706,Dashboard!$Q$28:$S$60,3,FALSE),1))),0))</f>
        <v>3</v>
      </c>
      <c r="K2706" s="2" t="str">
        <f>IF('Base S2'!E37="","",'Base S2'!E37)</f>
        <v>C</v>
      </c>
      <c r="L2706" s="2">
        <f t="shared" si="559"/>
        <v>1</v>
      </c>
      <c r="M2706" s="2">
        <f t="shared" si="560"/>
        <v>0</v>
      </c>
      <c r="N2706" s="2">
        <f t="shared" si="561"/>
        <v>1</v>
      </c>
      <c r="O2706" s="2">
        <f t="shared" si="562"/>
        <v>0</v>
      </c>
      <c r="P2706" s="112">
        <f t="shared" si="563"/>
        <v>3</v>
      </c>
      <c r="Q2706" s="112">
        <f t="shared" si="564"/>
        <v>0</v>
      </c>
      <c r="R2706" s="53"/>
      <c r="S2706" s="53" t="str">
        <f t="shared" si="552"/>
        <v>Base S2|Gold Parallel - Season 2|136|Gold</v>
      </c>
      <c r="T2706" s="57" t="str">
        <f>IF($S2706="","",IFERROR(VLOOKUP($S2706,'Pop Estimates (Non-#d)'!$N$2:$O$500,2,FALSE),""))</f>
        <v/>
      </c>
      <c r="U2706" s="57" t="str">
        <f t="shared" si="553"/>
        <v/>
      </c>
      <c r="V2706" s="53" t="str">
        <f t="shared" si="554"/>
        <v/>
      </c>
      <c r="W2706" s="53" t="str">
        <f t="shared" si="555"/>
        <v/>
      </c>
      <c r="X2706" s="53" t="str">
        <f t="shared" si="556"/>
        <v/>
      </c>
      <c r="Y2706" s="57" t="str">
        <f>IF($X2706="","",IFERROR(VLOOKUP($X2706,'Char Popularity'!$A$2:$C$500,2,FALSE),""))</f>
        <v/>
      </c>
      <c r="Z2706" s="56">
        <f>IF($X2706="",1,IFERROR(VLOOKUP($X2706,'Char Popularity'!$A$2:$C$500,3,FALSE),1))</f>
        <v>1</v>
      </c>
      <c r="AA2706" s="62">
        <f>IF($H2706&lt;&gt;"Y",0,(IF($F2706&lt;&gt;"",ROUND(Dashboard!$R$4/$F2706,1),IF(AND($I2706="Base",$E2706="Base"),Dashboard!$R$5,IF(AND($I2706="Base",$E2706="Red"),Dashboard!$R$6,IF(AND($I2706="Base",$E2706="Gold"),Dashboard!$R$7,VLOOKUP($I2706,Dashboard!$Q$16:$R$21,2,FALSE)))))*VLOOKUP($I2706,Dashboard!$Q$9:$R$13,2,FALSE)*IF(AND($I2706="Auto",$F2706="",OR($B2706="Autographs Duals",$B2706="Autographs Triples",$B2706="Autographs Quads",$B2706="Autographs Quads (Inscribed)")),IF($B2706="Autographs Duals",2,IF($B2706="Autographs Triples",3,4)),1)))</f>
        <v>3</v>
      </c>
      <c r="AB2706" s="62">
        <f t="shared" si="557"/>
        <v>3</v>
      </c>
      <c r="AC2706" s="62">
        <f t="shared" si="558"/>
        <v>0</v>
      </c>
    </row>
    <row r="2707" spans="1:29" ht="28.7" customHeight="1" x14ac:dyDescent="0.25">
      <c r="A2707" s="4" t="s">
        <v>19</v>
      </c>
      <c r="B2707" s="7" t="s">
        <v>77</v>
      </c>
      <c r="C2707" s="2" t="s">
        <v>1536</v>
      </c>
      <c r="D2707" s="7" t="s">
        <v>1103</v>
      </c>
      <c r="E2707" s="4" t="s">
        <v>1602</v>
      </c>
      <c r="F2707" s="2"/>
      <c r="G2707" s="2" t="s">
        <v>1399</v>
      </c>
      <c r="H2707" s="2" t="s">
        <v>1400</v>
      </c>
      <c r="I2707" s="4" t="s">
        <v>60</v>
      </c>
      <c r="J2707" s="112">
        <f>IF($H2707&lt;&gt;"Y",0,ROUND(MIN(Dashboard!$R$24,IF(IFERROR(VLOOKUP($B2707,Dashboard!$Q$28:$S$60,2,FALSE),0)&gt;0,IFERROR(VLOOKUP($B2707,Dashboard!$Q$28:$S$60,2,FALSE),0),$Z2707*IF($U2707&lt;&gt;"",ROUND((Dashboard!$R$4/$U2707)*VLOOKUP($I2707,Dashboard!$Q$9:$R$13,2,FALSE)*IF(ISNUMBER(SEARCH("Duals",$B2707)),2,IF(ISNUMBER(SEARCH("Triples",$B2707)),3,IF(ISNUMBER(SEARCH("Quads",$B2707)),4,1))),2),ROUND(VLOOKUP($I2707,Dashboard!$Q$15:$R$20,2,FALSE)*IF($E2707="Red",Dashboard!$R$6,IF($E2707="Gold",Dashboard!$R$7,Dashboard!$R$5))*IF(ISNUMBER(SEARCH("Duals",$B2707)),2,IF(ISNUMBER(SEARCH("Triples",$B2707)),3,IF(ISNUMBER(SEARCH("Quads",$B2707)),4,1))),2))*IF(IFERROR(VLOOKUP($B2707,Dashboard!$Q$28:$S$60,3,FALSE),0)&gt;0,VLOOKUP($B2707,Dashboard!$Q$28:$S$60,3,FALSE),1))),0))</f>
        <v>3</v>
      </c>
      <c r="K2707" s="2" t="str">
        <f>IF('Base S2'!E38="","",'Base S2'!E38)</f>
        <v>C</v>
      </c>
      <c r="L2707" s="2">
        <f t="shared" si="559"/>
        <v>1</v>
      </c>
      <c r="M2707" s="2">
        <f t="shared" si="560"/>
        <v>0</v>
      </c>
      <c r="N2707" s="2">
        <f t="shared" si="561"/>
        <v>1</v>
      </c>
      <c r="O2707" s="2">
        <f t="shared" si="562"/>
        <v>0</v>
      </c>
      <c r="P2707" s="112">
        <f t="shared" si="563"/>
        <v>3</v>
      </c>
      <c r="Q2707" s="112">
        <f t="shared" si="564"/>
        <v>0</v>
      </c>
      <c r="R2707" s="53"/>
      <c r="S2707" s="53" t="str">
        <f t="shared" si="552"/>
        <v>Base S2|Gold Parallel - Season 2|137|Gold</v>
      </c>
      <c r="T2707" s="57" t="str">
        <f>IF($S2707="","",IFERROR(VLOOKUP($S2707,'Pop Estimates (Non-#d)'!$N$2:$O$500,2,FALSE),""))</f>
        <v/>
      </c>
      <c r="U2707" s="57" t="str">
        <f t="shared" si="553"/>
        <v/>
      </c>
      <c r="V2707" s="53" t="str">
        <f t="shared" si="554"/>
        <v/>
      </c>
      <c r="W2707" s="53" t="str">
        <f t="shared" si="555"/>
        <v/>
      </c>
      <c r="X2707" s="53" t="str">
        <f t="shared" si="556"/>
        <v/>
      </c>
      <c r="Y2707" s="57" t="str">
        <f>IF($X2707="","",IFERROR(VLOOKUP($X2707,'Char Popularity'!$A$2:$C$500,2,FALSE),""))</f>
        <v/>
      </c>
      <c r="Z2707" s="56">
        <f>IF($X2707="",1,IFERROR(VLOOKUP($X2707,'Char Popularity'!$A$2:$C$500,3,FALSE),1))</f>
        <v>1</v>
      </c>
      <c r="AA2707" s="62">
        <f>IF($H2707&lt;&gt;"Y",0,(IF($F2707&lt;&gt;"",ROUND(Dashboard!$R$4/$F2707,1),IF(AND($I2707="Base",$E2707="Base"),Dashboard!$R$5,IF(AND($I2707="Base",$E2707="Red"),Dashboard!$R$6,IF(AND($I2707="Base",$E2707="Gold"),Dashboard!$R$7,VLOOKUP($I2707,Dashboard!$Q$16:$R$21,2,FALSE)))))*VLOOKUP($I2707,Dashboard!$Q$9:$R$13,2,FALSE)*IF(AND($I2707="Auto",$F2707="",OR($B2707="Autographs Duals",$B2707="Autographs Triples",$B2707="Autographs Quads",$B2707="Autographs Quads (Inscribed)")),IF($B2707="Autographs Duals",2,IF($B2707="Autographs Triples",3,4)),1)))</f>
        <v>3</v>
      </c>
      <c r="AB2707" s="62">
        <f t="shared" si="557"/>
        <v>3</v>
      </c>
      <c r="AC2707" s="62">
        <f t="shared" si="558"/>
        <v>0</v>
      </c>
    </row>
    <row r="2708" spans="1:29" ht="28.7" customHeight="1" x14ac:dyDescent="0.25">
      <c r="A2708" s="4" t="s">
        <v>19</v>
      </c>
      <c r="B2708" s="7" t="s">
        <v>77</v>
      </c>
      <c r="C2708" s="2" t="s">
        <v>1537</v>
      </c>
      <c r="D2708" s="7" t="s">
        <v>1104</v>
      </c>
      <c r="E2708" s="4" t="s">
        <v>1602</v>
      </c>
      <c r="F2708" s="2"/>
      <c r="G2708" s="2" t="s">
        <v>1399</v>
      </c>
      <c r="H2708" s="2" t="s">
        <v>1400</v>
      </c>
      <c r="I2708" s="4" t="s">
        <v>60</v>
      </c>
      <c r="J2708" s="112">
        <f>IF($H2708&lt;&gt;"Y",0,ROUND(MIN(Dashboard!$R$24,IF(IFERROR(VLOOKUP($B2708,Dashboard!$Q$28:$S$60,2,FALSE),0)&gt;0,IFERROR(VLOOKUP($B2708,Dashboard!$Q$28:$S$60,2,FALSE),0),$Z2708*IF($U2708&lt;&gt;"",ROUND((Dashboard!$R$4/$U2708)*VLOOKUP($I2708,Dashboard!$Q$9:$R$13,2,FALSE)*IF(ISNUMBER(SEARCH("Duals",$B2708)),2,IF(ISNUMBER(SEARCH("Triples",$B2708)),3,IF(ISNUMBER(SEARCH("Quads",$B2708)),4,1))),2),ROUND(VLOOKUP($I2708,Dashboard!$Q$15:$R$20,2,FALSE)*IF($E2708="Red",Dashboard!$R$6,IF($E2708="Gold",Dashboard!$R$7,Dashboard!$R$5))*IF(ISNUMBER(SEARCH("Duals",$B2708)),2,IF(ISNUMBER(SEARCH("Triples",$B2708)),3,IF(ISNUMBER(SEARCH("Quads",$B2708)),4,1))),2))*IF(IFERROR(VLOOKUP($B2708,Dashboard!$Q$28:$S$60,3,FALSE),0)&gt;0,VLOOKUP($B2708,Dashboard!$Q$28:$S$60,3,FALSE),1))),0))</f>
        <v>3</v>
      </c>
      <c r="K2708" s="2" t="str">
        <f>IF('Base S2'!E39="","",'Base S2'!E39)</f>
        <v>C</v>
      </c>
      <c r="L2708" s="2">
        <f t="shared" si="559"/>
        <v>1</v>
      </c>
      <c r="M2708" s="2">
        <f t="shared" si="560"/>
        <v>0</v>
      </c>
      <c r="N2708" s="2">
        <f t="shared" si="561"/>
        <v>1</v>
      </c>
      <c r="O2708" s="2">
        <f t="shared" si="562"/>
        <v>0</v>
      </c>
      <c r="P2708" s="112">
        <f t="shared" si="563"/>
        <v>3</v>
      </c>
      <c r="Q2708" s="112">
        <f t="shared" si="564"/>
        <v>0</v>
      </c>
      <c r="R2708" s="53"/>
      <c r="S2708" s="53" t="str">
        <f t="shared" si="552"/>
        <v>Base S2|Gold Parallel - Season 2|138|Gold</v>
      </c>
      <c r="T2708" s="57" t="str">
        <f>IF($S2708="","",IFERROR(VLOOKUP($S2708,'Pop Estimates (Non-#d)'!$N$2:$O$500,2,FALSE),""))</f>
        <v/>
      </c>
      <c r="U2708" s="57" t="str">
        <f t="shared" si="553"/>
        <v/>
      </c>
      <c r="V2708" s="53" t="str">
        <f t="shared" si="554"/>
        <v/>
      </c>
      <c r="W2708" s="53" t="str">
        <f t="shared" si="555"/>
        <v/>
      </c>
      <c r="X2708" s="53" t="str">
        <f t="shared" si="556"/>
        <v/>
      </c>
      <c r="Y2708" s="57" t="str">
        <f>IF($X2708="","",IFERROR(VLOOKUP($X2708,'Char Popularity'!$A$2:$C$500,2,FALSE),""))</f>
        <v/>
      </c>
      <c r="Z2708" s="56">
        <f>IF($X2708="",1,IFERROR(VLOOKUP($X2708,'Char Popularity'!$A$2:$C$500,3,FALSE),1))</f>
        <v>1</v>
      </c>
      <c r="AA2708" s="62">
        <f>IF($H2708&lt;&gt;"Y",0,(IF($F2708&lt;&gt;"",ROUND(Dashboard!$R$4/$F2708,1),IF(AND($I2708="Base",$E2708="Base"),Dashboard!$R$5,IF(AND($I2708="Base",$E2708="Red"),Dashboard!$R$6,IF(AND($I2708="Base",$E2708="Gold"),Dashboard!$R$7,VLOOKUP($I2708,Dashboard!$Q$16:$R$21,2,FALSE)))))*VLOOKUP($I2708,Dashboard!$Q$9:$R$13,2,FALSE)*IF(AND($I2708="Auto",$F2708="",OR($B2708="Autographs Duals",$B2708="Autographs Triples",$B2708="Autographs Quads",$B2708="Autographs Quads (Inscribed)")),IF($B2708="Autographs Duals",2,IF($B2708="Autographs Triples",3,4)),1)))</f>
        <v>3</v>
      </c>
      <c r="AB2708" s="62">
        <f t="shared" si="557"/>
        <v>3</v>
      </c>
      <c r="AC2708" s="62">
        <f t="shared" si="558"/>
        <v>0</v>
      </c>
    </row>
    <row r="2709" spans="1:29" ht="28.7" customHeight="1" x14ac:dyDescent="0.25">
      <c r="A2709" s="4" t="s">
        <v>19</v>
      </c>
      <c r="B2709" s="7" t="s">
        <v>77</v>
      </c>
      <c r="C2709" s="2" t="s">
        <v>1538</v>
      </c>
      <c r="D2709" s="7" t="s">
        <v>1106</v>
      </c>
      <c r="E2709" s="4" t="s">
        <v>1602</v>
      </c>
      <c r="F2709" s="2"/>
      <c r="G2709" s="2" t="s">
        <v>1399</v>
      </c>
      <c r="H2709" s="2" t="s">
        <v>1400</v>
      </c>
      <c r="I2709" s="4" t="s">
        <v>60</v>
      </c>
      <c r="J2709" s="112">
        <f>IF($H2709&lt;&gt;"Y",0,ROUND(MIN(Dashboard!$R$24,IF(IFERROR(VLOOKUP($B2709,Dashboard!$Q$28:$S$60,2,FALSE),0)&gt;0,IFERROR(VLOOKUP($B2709,Dashboard!$Q$28:$S$60,2,FALSE),0),$Z2709*IF($U2709&lt;&gt;"",ROUND((Dashboard!$R$4/$U2709)*VLOOKUP($I2709,Dashboard!$Q$9:$R$13,2,FALSE)*IF(ISNUMBER(SEARCH("Duals",$B2709)),2,IF(ISNUMBER(SEARCH("Triples",$B2709)),3,IF(ISNUMBER(SEARCH("Quads",$B2709)),4,1))),2),ROUND(VLOOKUP($I2709,Dashboard!$Q$15:$R$20,2,FALSE)*IF($E2709="Red",Dashboard!$R$6,IF($E2709="Gold",Dashboard!$R$7,Dashboard!$R$5))*IF(ISNUMBER(SEARCH("Duals",$B2709)),2,IF(ISNUMBER(SEARCH("Triples",$B2709)),3,IF(ISNUMBER(SEARCH("Quads",$B2709)),4,1))),2))*IF(IFERROR(VLOOKUP($B2709,Dashboard!$Q$28:$S$60,3,FALSE),0)&gt;0,VLOOKUP($B2709,Dashboard!$Q$28:$S$60,3,FALSE),1))),0))</f>
        <v>3</v>
      </c>
      <c r="K2709" s="2" t="str">
        <f>IF('Base S2'!E40="","",'Base S2'!E40)</f>
        <v>C</v>
      </c>
      <c r="L2709" s="2">
        <f t="shared" si="559"/>
        <v>1</v>
      </c>
      <c r="M2709" s="2">
        <f t="shared" si="560"/>
        <v>0</v>
      </c>
      <c r="N2709" s="2">
        <f t="shared" si="561"/>
        <v>1</v>
      </c>
      <c r="O2709" s="2">
        <f t="shared" si="562"/>
        <v>0</v>
      </c>
      <c r="P2709" s="112">
        <f t="shared" si="563"/>
        <v>3</v>
      </c>
      <c r="Q2709" s="112">
        <f t="shared" si="564"/>
        <v>0</v>
      </c>
      <c r="R2709" s="53"/>
      <c r="S2709" s="53" t="str">
        <f t="shared" si="552"/>
        <v>Base S2|Gold Parallel - Season 2|139|Gold</v>
      </c>
      <c r="T2709" s="57" t="str">
        <f>IF($S2709="","",IFERROR(VLOOKUP($S2709,'Pop Estimates (Non-#d)'!$N$2:$O$500,2,FALSE),""))</f>
        <v/>
      </c>
      <c r="U2709" s="57" t="str">
        <f t="shared" si="553"/>
        <v/>
      </c>
      <c r="V2709" s="53" t="str">
        <f t="shared" si="554"/>
        <v/>
      </c>
      <c r="W2709" s="53" t="str">
        <f t="shared" si="555"/>
        <v/>
      </c>
      <c r="X2709" s="53" t="str">
        <f t="shared" si="556"/>
        <v/>
      </c>
      <c r="Y2709" s="57" t="str">
        <f>IF($X2709="","",IFERROR(VLOOKUP($X2709,'Char Popularity'!$A$2:$C$500,2,FALSE),""))</f>
        <v/>
      </c>
      <c r="Z2709" s="56">
        <f>IF($X2709="",1,IFERROR(VLOOKUP($X2709,'Char Popularity'!$A$2:$C$500,3,FALSE),1))</f>
        <v>1</v>
      </c>
      <c r="AA2709" s="62">
        <f>IF($H2709&lt;&gt;"Y",0,(IF($F2709&lt;&gt;"",ROUND(Dashboard!$R$4/$F2709,1),IF(AND($I2709="Base",$E2709="Base"),Dashboard!$R$5,IF(AND($I2709="Base",$E2709="Red"),Dashboard!$R$6,IF(AND($I2709="Base",$E2709="Gold"),Dashboard!$R$7,VLOOKUP($I2709,Dashboard!$Q$16:$R$21,2,FALSE)))))*VLOOKUP($I2709,Dashboard!$Q$9:$R$13,2,FALSE)*IF(AND($I2709="Auto",$F2709="",OR($B2709="Autographs Duals",$B2709="Autographs Triples",$B2709="Autographs Quads",$B2709="Autographs Quads (Inscribed)")),IF($B2709="Autographs Duals",2,IF($B2709="Autographs Triples",3,4)),1)))</f>
        <v>3</v>
      </c>
      <c r="AB2709" s="62">
        <f t="shared" si="557"/>
        <v>3</v>
      </c>
      <c r="AC2709" s="62">
        <f t="shared" si="558"/>
        <v>0</v>
      </c>
    </row>
    <row r="2710" spans="1:29" ht="28.7" customHeight="1" x14ac:dyDescent="0.25">
      <c r="A2710" s="4" t="s">
        <v>19</v>
      </c>
      <c r="B2710" s="7" t="s">
        <v>77</v>
      </c>
      <c r="C2710" s="2" t="s">
        <v>1539</v>
      </c>
      <c r="D2710" s="7" t="s">
        <v>1108</v>
      </c>
      <c r="E2710" s="4" t="s">
        <v>1602</v>
      </c>
      <c r="F2710" s="2"/>
      <c r="G2710" s="2" t="s">
        <v>1399</v>
      </c>
      <c r="H2710" s="2" t="s">
        <v>1400</v>
      </c>
      <c r="I2710" s="4" t="s">
        <v>60</v>
      </c>
      <c r="J2710" s="112">
        <f>IF($H2710&lt;&gt;"Y",0,ROUND(MIN(Dashboard!$R$24,IF(IFERROR(VLOOKUP($B2710,Dashboard!$Q$28:$S$60,2,FALSE),0)&gt;0,IFERROR(VLOOKUP($B2710,Dashboard!$Q$28:$S$60,2,FALSE),0),$Z2710*IF($U2710&lt;&gt;"",ROUND((Dashboard!$R$4/$U2710)*VLOOKUP($I2710,Dashboard!$Q$9:$R$13,2,FALSE)*IF(ISNUMBER(SEARCH("Duals",$B2710)),2,IF(ISNUMBER(SEARCH("Triples",$B2710)),3,IF(ISNUMBER(SEARCH("Quads",$B2710)),4,1))),2),ROUND(VLOOKUP($I2710,Dashboard!$Q$15:$R$20,2,FALSE)*IF($E2710="Red",Dashboard!$R$6,IF($E2710="Gold",Dashboard!$R$7,Dashboard!$R$5))*IF(ISNUMBER(SEARCH("Duals",$B2710)),2,IF(ISNUMBER(SEARCH("Triples",$B2710)),3,IF(ISNUMBER(SEARCH("Quads",$B2710)),4,1))),2))*IF(IFERROR(VLOOKUP($B2710,Dashboard!$Q$28:$S$60,3,FALSE),0)&gt;0,VLOOKUP($B2710,Dashboard!$Q$28:$S$60,3,FALSE),1))),0))</f>
        <v>3</v>
      </c>
      <c r="K2710" s="2" t="str">
        <f>IF('Base S2'!E41="","",'Base S2'!E41)</f>
        <v>C</v>
      </c>
      <c r="L2710" s="2">
        <f t="shared" si="559"/>
        <v>1</v>
      </c>
      <c r="M2710" s="2">
        <f t="shared" si="560"/>
        <v>0</v>
      </c>
      <c r="N2710" s="2">
        <f t="shared" si="561"/>
        <v>1</v>
      </c>
      <c r="O2710" s="2">
        <f t="shared" si="562"/>
        <v>0</v>
      </c>
      <c r="P2710" s="112">
        <f t="shared" si="563"/>
        <v>3</v>
      </c>
      <c r="Q2710" s="112">
        <f t="shared" si="564"/>
        <v>0</v>
      </c>
      <c r="R2710" s="53"/>
      <c r="S2710" s="53" t="str">
        <f t="shared" si="552"/>
        <v>Base S2|Gold Parallel - Season 2|140|Gold</v>
      </c>
      <c r="T2710" s="57" t="str">
        <f>IF($S2710="","",IFERROR(VLOOKUP($S2710,'Pop Estimates (Non-#d)'!$N$2:$O$500,2,FALSE),""))</f>
        <v/>
      </c>
      <c r="U2710" s="57" t="str">
        <f t="shared" si="553"/>
        <v/>
      </c>
      <c r="V2710" s="53" t="str">
        <f t="shared" si="554"/>
        <v/>
      </c>
      <c r="W2710" s="53" t="str">
        <f t="shared" si="555"/>
        <v/>
      </c>
      <c r="X2710" s="53" t="str">
        <f t="shared" si="556"/>
        <v/>
      </c>
      <c r="Y2710" s="57" t="str">
        <f>IF($X2710="","",IFERROR(VLOOKUP($X2710,'Char Popularity'!$A$2:$C$500,2,FALSE),""))</f>
        <v/>
      </c>
      <c r="Z2710" s="56">
        <f>IF($X2710="",1,IFERROR(VLOOKUP($X2710,'Char Popularity'!$A$2:$C$500,3,FALSE),1))</f>
        <v>1</v>
      </c>
      <c r="AA2710" s="62">
        <f>IF($H2710&lt;&gt;"Y",0,(IF($F2710&lt;&gt;"",ROUND(Dashboard!$R$4/$F2710,1),IF(AND($I2710="Base",$E2710="Base"),Dashboard!$R$5,IF(AND($I2710="Base",$E2710="Red"),Dashboard!$R$6,IF(AND($I2710="Base",$E2710="Gold"),Dashboard!$R$7,VLOOKUP($I2710,Dashboard!$Q$16:$R$21,2,FALSE)))))*VLOOKUP($I2710,Dashboard!$Q$9:$R$13,2,FALSE)*IF(AND($I2710="Auto",$F2710="",OR($B2710="Autographs Duals",$B2710="Autographs Triples",$B2710="Autographs Quads",$B2710="Autographs Quads (Inscribed)")),IF($B2710="Autographs Duals",2,IF($B2710="Autographs Triples",3,4)),1)))</f>
        <v>3</v>
      </c>
      <c r="AB2710" s="62">
        <f t="shared" si="557"/>
        <v>3</v>
      </c>
      <c r="AC2710" s="62">
        <f t="shared" si="558"/>
        <v>0</v>
      </c>
    </row>
    <row r="2711" spans="1:29" ht="28.7" customHeight="1" x14ac:dyDescent="0.25">
      <c r="A2711" s="4" t="s">
        <v>19</v>
      </c>
      <c r="B2711" s="7" t="s">
        <v>77</v>
      </c>
      <c r="C2711" s="2" t="s">
        <v>1540</v>
      </c>
      <c r="D2711" s="7" t="s">
        <v>1109</v>
      </c>
      <c r="E2711" s="4" t="s">
        <v>1602</v>
      </c>
      <c r="F2711" s="2"/>
      <c r="G2711" s="2" t="s">
        <v>1399</v>
      </c>
      <c r="H2711" s="2" t="s">
        <v>1400</v>
      </c>
      <c r="I2711" s="4" t="s">
        <v>60</v>
      </c>
      <c r="J2711" s="112">
        <f>IF($H2711&lt;&gt;"Y",0,ROUND(MIN(Dashboard!$R$24,IF(IFERROR(VLOOKUP($B2711,Dashboard!$Q$28:$S$60,2,FALSE),0)&gt;0,IFERROR(VLOOKUP($B2711,Dashboard!$Q$28:$S$60,2,FALSE),0),$Z2711*IF($U2711&lt;&gt;"",ROUND((Dashboard!$R$4/$U2711)*VLOOKUP($I2711,Dashboard!$Q$9:$R$13,2,FALSE)*IF(ISNUMBER(SEARCH("Duals",$B2711)),2,IF(ISNUMBER(SEARCH("Triples",$B2711)),3,IF(ISNUMBER(SEARCH("Quads",$B2711)),4,1))),2),ROUND(VLOOKUP($I2711,Dashboard!$Q$15:$R$20,2,FALSE)*IF($E2711="Red",Dashboard!$R$6,IF($E2711="Gold",Dashboard!$R$7,Dashboard!$R$5))*IF(ISNUMBER(SEARCH("Duals",$B2711)),2,IF(ISNUMBER(SEARCH("Triples",$B2711)),3,IF(ISNUMBER(SEARCH("Quads",$B2711)),4,1))),2))*IF(IFERROR(VLOOKUP($B2711,Dashboard!$Q$28:$S$60,3,FALSE),0)&gt;0,VLOOKUP($B2711,Dashboard!$Q$28:$S$60,3,FALSE),1))),0))</f>
        <v>3</v>
      </c>
      <c r="K2711" s="2" t="str">
        <f>IF('Base S2'!E42="","",'Base S2'!E42)</f>
        <v>C</v>
      </c>
      <c r="L2711" s="2">
        <f t="shared" si="559"/>
        <v>1</v>
      </c>
      <c r="M2711" s="2">
        <f t="shared" si="560"/>
        <v>0</v>
      </c>
      <c r="N2711" s="2">
        <f t="shared" si="561"/>
        <v>1</v>
      </c>
      <c r="O2711" s="2">
        <f t="shared" si="562"/>
        <v>0</v>
      </c>
      <c r="P2711" s="112">
        <f t="shared" si="563"/>
        <v>3</v>
      </c>
      <c r="Q2711" s="112">
        <f t="shared" si="564"/>
        <v>0</v>
      </c>
      <c r="R2711" s="53"/>
      <c r="S2711" s="53" t="str">
        <f t="shared" si="552"/>
        <v>Base S2|Gold Parallel - Season 2|141|Gold</v>
      </c>
      <c r="T2711" s="57" t="str">
        <f>IF($S2711="","",IFERROR(VLOOKUP($S2711,'Pop Estimates (Non-#d)'!$N$2:$O$500,2,FALSE),""))</f>
        <v/>
      </c>
      <c r="U2711" s="57" t="str">
        <f t="shared" si="553"/>
        <v/>
      </c>
      <c r="V2711" s="53" t="str">
        <f t="shared" si="554"/>
        <v/>
      </c>
      <c r="W2711" s="53" t="str">
        <f t="shared" si="555"/>
        <v/>
      </c>
      <c r="X2711" s="53" t="str">
        <f t="shared" si="556"/>
        <v/>
      </c>
      <c r="Y2711" s="57" t="str">
        <f>IF($X2711="","",IFERROR(VLOOKUP($X2711,'Char Popularity'!$A$2:$C$500,2,FALSE),""))</f>
        <v/>
      </c>
      <c r="Z2711" s="56">
        <f>IF($X2711="",1,IFERROR(VLOOKUP($X2711,'Char Popularity'!$A$2:$C$500,3,FALSE),1))</f>
        <v>1</v>
      </c>
      <c r="AA2711" s="62">
        <f>IF($H2711&lt;&gt;"Y",0,(IF($F2711&lt;&gt;"",ROUND(Dashboard!$R$4/$F2711,1),IF(AND($I2711="Base",$E2711="Base"),Dashboard!$R$5,IF(AND($I2711="Base",$E2711="Red"),Dashboard!$R$6,IF(AND($I2711="Base",$E2711="Gold"),Dashboard!$R$7,VLOOKUP($I2711,Dashboard!$Q$16:$R$21,2,FALSE)))))*VLOOKUP($I2711,Dashboard!$Q$9:$R$13,2,FALSE)*IF(AND($I2711="Auto",$F2711="",OR($B2711="Autographs Duals",$B2711="Autographs Triples",$B2711="Autographs Quads",$B2711="Autographs Quads (Inscribed)")),IF($B2711="Autographs Duals",2,IF($B2711="Autographs Triples",3,4)),1)))</f>
        <v>3</v>
      </c>
      <c r="AB2711" s="62">
        <f t="shared" si="557"/>
        <v>3</v>
      </c>
      <c r="AC2711" s="62">
        <f t="shared" si="558"/>
        <v>0</v>
      </c>
    </row>
    <row r="2712" spans="1:29" ht="28.7" customHeight="1" x14ac:dyDescent="0.25">
      <c r="A2712" s="4" t="s">
        <v>19</v>
      </c>
      <c r="B2712" s="7" t="s">
        <v>77</v>
      </c>
      <c r="C2712" s="2" t="s">
        <v>1541</v>
      </c>
      <c r="D2712" s="7" t="s">
        <v>1110</v>
      </c>
      <c r="E2712" s="4" t="s">
        <v>1602</v>
      </c>
      <c r="F2712" s="2"/>
      <c r="G2712" s="2" t="s">
        <v>1399</v>
      </c>
      <c r="H2712" s="2" t="s">
        <v>1400</v>
      </c>
      <c r="I2712" s="4" t="s">
        <v>60</v>
      </c>
      <c r="J2712" s="112">
        <f>IF($H2712&lt;&gt;"Y",0,ROUND(MIN(Dashboard!$R$24,IF(IFERROR(VLOOKUP($B2712,Dashboard!$Q$28:$S$60,2,FALSE),0)&gt;0,IFERROR(VLOOKUP($B2712,Dashboard!$Q$28:$S$60,2,FALSE),0),$Z2712*IF($U2712&lt;&gt;"",ROUND((Dashboard!$R$4/$U2712)*VLOOKUP($I2712,Dashboard!$Q$9:$R$13,2,FALSE)*IF(ISNUMBER(SEARCH("Duals",$B2712)),2,IF(ISNUMBER(SEARCH("Triples",$B2712)),3,IF(ISNUMBER(SEARCH("Quads",$B2712)),4,1))),2),ROUND(VLOOKUP($I2712,Dashboard!$Q$15:$R$20,2,FALSE)*IF($E2712="Red",Dashboard!$R$6,IF($E2712="Gold",Dashboard!$R$7,Dashboard!$R$5))*IF(ISNUMBER(SEARCH("Duals",$B2712)),2,IF(ISNUMBER(SEARCH("Triples",$B2712)),3,IF(ISNUMBER(SEARCH("Quads",$B2712)),4,1))),2))*IF(IFERROR(VLOOKUP($B2712,Dashboard!$Q$28:$S$60,3,FALSE),0)&gt;0,VLOOKUP($B2712,Dashboard!$Q$28:$S$60,3,FALSE),1))),0))</f>
        <v>3</v>
      </c>
      <c r="K2712" s="2" t="str">
        <f>IF('Base S2'!E43="","",'Base S2'!E43)</f>
        <v>C</v>
      </c>
      <c r="L2712" s="2">
        <f t="shared" si="559"/>
        <v>1</v>
      </c>
      <c r="M2712" s="2">
        <f t="shared" si="560"/>
        <v>0</v>
      </c>
      <c r="N2712" s="2">
        <f t="shared" si="561"/>
        <v>1</v>
      </c>
      <c r="O2712" s="2">
        <f t="shared" si="562"/>
        <v>0</v>
      </c>
      <c r="P2712" s="112">
        <f t="shared" si="563"/>
        <v>3</v>
      </c>
      <c r="Q2712" s="112">
        <f t="shared" si="564"/>
        <v>0</v>
      </c>
      <c r="R2712" s="53"/>
      <c r="S2712" s="53" t="str">
        <f t="shared" si="552"/>
        <v>Base S2|Gold Parallel - Season 2|142|Gold</v>
      </c>
      <c r="T2712" s="57" t="str">
        <f>IF($S2712="","",IFERROR(VLOOKUP($S2712,'Pop Estimates (Non-#d)'!$N$2:$O$500,2,FALSE),""))</f>
        <v/>
      </c>
      <c r="U2712" s="57" t="str">
        <f t="shared" si="553"/>
        <v/>
      </c>
      <c r="V2712" s="53" t="str">
        <f t="shared" si="554"/>
        <v/>
      </c>
      <c r="W2712" s="53" t="str">
        <f t="shared" si="555"/>
        <v/>
      </c>
      <c r="X2712" s="53" t="str">
        <f t="shared" si="556"/>
        <v/>
      </c>
      <c r="Y2712" s="57" t="str">
        <f>IF($X2712="","",IFERROR(VLOOKUP($X2712,'Char Popularity'!$A$2:$C$500,2,FALSE),""))</f>
        <v/>
      </c>
      <c r="Z2712" s="56">
        <f>IF($X2712="",1,IFERROR(VLOOKUP($X2712,'Char Popularity'!$A$2:$C$500,3,FALSE),1))</f>
        <v>1</v>
      </c>
      <c r="AA2712" s="62">
        <f>IF($H2712&lt;&gt;"Y",0,(IF($F2712&lt;&gt;"",ROUND(Dashboard!$R$4/$F2712,1),IF(AND($I2712="Base",$E2712="Base"),Dashboard!$R$5,IF(AND($I2712="Base",$E2712="Red"),Dashboard!$R$6,IF(AND($I2712="Base",$E2712="Gold"),Dashboard!$R$7,VLOOKUP($I2712,Dashboard!$Q$16:$R$21,2,FALSE)))))*VLOOKUP($I2712,Dashboard!$Q$9:$R$13,2,FALSE)*IF(AND($I2712="Auto",$F2712="",OR($B2712="Autographs Duals",$B2712="Autographs Triples",$B2712="Autographs Quads",$B2712="Autographs Quads (Inscribed)")),IF($B2712="Autographs Duals",2,IF($B2712="Autographs Triples",3,4)),1)))</f>
        <v>3</v>
      </c>
      <c r="AB2712" s="62">
        <f t="shared" si="557"/>
        <v>3</v>
      </c>
      <c r="AC2712" s="62">
        <f t="shared" si="558"/>
        <v>0</v>
      </c>
    </row>
    <row r="2713" spans="1:29" ht="28.7" customHeight="1" x14ac:dyDescent="0.25">
      <c r="A2713" s="4" t="s">
        <v>19</v>
      </c>
      <c r="B2713" s="7" t="s">
        <v>77</v>
      </c>
      <c r="C2713" s="2" t="s">
        <v>1542</v>
      </c>
      <c r="D2713" s="7" t="s">
        <v>1111</v>
      </c>
      <c r="E2713" s="4" t="s">
        <v>1602</v>
      </c>
      <c r="F2713" s="2"/>
      <c r="G2713" s="2" t="s">
        <v>1399</v>
      </c>
      <c r="H2713" s="2" t="s">
        <v>1400</v>
      </c>
      <c r="I2713" s="4" t="s">
        <v>60</v>
      </c>
      <c r="J2713" s="112">
        <f>IF($H2713&lt;&gt;"Y",0,ROUND(MIN(Dashboard!$R$24,IF(IFERROR(VLOOKUP($B2713,Dashboard!$Q$28:$S$60,2,FALSE),0)&gt;0,IFERROR(VLOOKUP($B2713,Dashboard!$Q$28:$S$60,2,FALSE),0),$Z2713*IF($U2713&lt;&gt;"",ROUND((Dashboard!$R$4/$U2713)*VLOOKUP($I2713,Dashboard!$Q$9:$R$13,2,FALSE)*IF(ISNUMBER(SEARCH("Duals",$B2713)),2,IF(ISNUMBER(SEARCH("Triples",$B2713)),3,IF(ISNUMBER(SEARCH("Quads",$B2713)),4,1))),2),ROUND(VLOOKUP($I2713,Dashboard!$Q$15:$R$20,2,FALSE)*IF($E2713="Red",Dashboard!$R$6,IF($E2713="Gold",Dashboard!$R$7,Dashboard!$R$5))*IF(ISNUMBER(SEARCH("Duals",$B2713)),2,IF(ISNUMBER(SEARCH("Triples",$B2713)),3,IF(ISNUMBER(SEARCH("Quads",$B2713)),4,1))),2))*IF(IFERROR(VLOOKUP($B2713,Dashboard!$Q$28:$S$60,3,FALSE),0)&gt;0,VLOOKUP($B2713,Dashboard!$Q$28:$S$60,3,FALSE),1))),0))</f>
        <v>3</v>
      </c>
      <c r="K2713" s="2" t="str">
        <f>IF('Base S2'!E44="","",'Base S2'!E44)</f>
        <v>C</v>
      </c>
      <c r="L2713" s="2">
        <f t="shared" si="559"/>
        <v>1</v>
      </c>
      <c r="M2713" s="2">
        <f t="shared" si="560"/>
        <v>0</v>
      </c>
      <c r="N2713" s="2">
        <f t="shared" si="561"/>
        <v>1</v>
      </c>
      <c r="O2713" s="2">
        <f t="shared" si="562"/>
        <v>0</v>
      </c>
      <c r="P2713" s="112">
        <f t="shared" si="563"/>
        <v>3</v>
      </c>
      <c r="Q2713" s="112">
        <f t="shared" si="564"/>
        <v>0</v>
      </c>
      <c r="R2713" s="53"/>
      <c r="S2713" s="53" t="str">
        <f t="shared" si="552"/>
        <v>Base S2|Gold Parallel - Season 2|143|Gold</v>
      </c>
      <c r="T2713" s="57" t="str">
        <f>IF($S2713="","",IFERROR(VLOOKUP($S2713,'Pop Estimates (Non-#d)'!$N$2:$O$500,2,FALSE),""))</f>
        <v/>
      </c>
      <c r="U2713" s="57" t="str">
        <f t="shared" si="553"/>
        <v/>
      </c>
      <c r="V2713" s="53" t="str">
        <f t="shared" si="554"/>
        <v/>
      </c>
      <c r="W2713" s="53" t="str">
        <f t="shared" si="555"/>
        <v/>
      </c>
      <c r="X2713" s="53" t="str">
        <f t="shared" si="556"/>
        <v/>
      </c>
      <c r="Y2713" s="57" t="str">
        <f>IF($X2713="","",IFERROR(VLOOKUP($X2713,'Char Popularity'!$A$2:$C$500,2,FALSE),""))</f>
        <v/>
      </c>
      <c r="Z2713" s="56">
        <f>IF($X2713="",1,IFERROR(VLOOKUP($X2713,'Char Popularity'!$A$2:$C$500,3,FALSE),1))</f>
        <v>1</v>
      </c>
      <c r="AA2713" s="62">
        <f>IF($H2713&lt;&gt;"Y",0,(IF($F2713&lt;&gt;"",ROUND(Dashboard!$R$4/$F2713,1),IF(AND($I2713="Base",$E2713="Base"),Dashboard!$R$5,IF(AND($I2713="Base",$E2713="Red"),Dashboard!$R$6,IF(AND($I2713="Base",$E2713="Gold"),Dashboard!$R$7,VLOOKUP($I2713,Dashboard!$Q$16:$R$21,2,FALSE)))))*VLOOKUP($I2713,Dashboard!$Q$9:$R$13,2,FALSE)*IF(AND($I2713="Auto",$F2713="",OR($B2713="Autographs Duals",$B2713="Autographs Triples",$B2713="Autographs Quads",$B2713="Autographs Quads (Inscribed)")),IF($B2713="Autographs Duals",2,IF($B2713="Autographs Triples",3,4)),1)))</f>
        <v>3</v>
      </c>
      <c r="AB2713" s="62">
        <f t="shared" si="557"/>
        <v>3</v>
      </c>
      <c r="AC2713" s="62">
        <f t="shared" si="558"/>
        <v>0</v>
      </c>
    </row>
    <row r="2714" spans="1:29" ht="28.7" customHeight="1" x14ac:dyDescent="0.25">
      <c r="A2714" s="4" t="s">
        <v>19</v>
      </c>
      <c r="B2714" s="7" t="s">
        <v>77</v>
      </c>
      <c r="C2714" s="2" t="s">
        <v>1543</v>
      </c>
      <c r="D2714" s="7" t="s">
        <v>1113</v>
      </c>
      <c r="E2714" s="4" t="s">
        <v>1602</v>
      </c>
      <c r="F2714" s="2"/>
      <c r="G2714" s="2" t="s">
        <v>1399</v>
      </c>
      <c r="H2714" s="2" t="s">
        <v>1400</v>
      </c>
      <c r="I2714" s="4" t="s">
        <v>60</v>
      </c>
      <c r="J2714" s="112">
        <f>IF($H2714&lt;&gt;"Y",0,ROUND(MIN(Dashboard!$R$24,IF(IFERROR(VLOOKUP($B2714,Dashboard!$Q$28:$S$60,2,FALSE),0)&gt;0,IFERROR(VLOOKUP($B2714,Dashboard!$Q$28:$S$60,2,FALSE),0),$Z2714*IF($U2714&lt;&gt;"",ROUND((Dashboard!$R$4/$U2714)*VLOOKUP($I2714,Dashboard!$Q$9:$R$13,2,FALSE)*IF(ISNUMBER(SEARCH("Duals",$B2714)),2,IF(ISNUMBER(SEARCH("Triples",$B2714)),3,IF(ISNUMBER(SEARCH("Quads",$B2714)),4,1))),2),ROUND(VLOOKUP($I2714,Dashboard!$Q$15:$R$20,2,FALSE)*IF($E2714="Red",Dashboard!$R$6,IF($E2714="Gold",Dashboard!$R$7,Dashboard!$R$5))*IF(ISNUMBER(SEARCH("Duals",$B2714)),2,IF(ISNUMBER(SEARCH("Triples",$B2714)),3,IF(ISNUMBER(SEARCH("Quads",$B2714)),4,1))),2))*IF(IFERROR(VLOOKUP($B2714,Dashboard!$Q$28:$S$60,3,FALSE),0)&gt;0,VLOOKUP($B2714,Dashboard!$Q$28:$S$60,3,FALSE),1))),0))</f>
        <v>3</v>
      </c>
      <c r="K2714" s="2" t="str">
        <f>IF('Base S2'!E45="","",'Base S2'!E45)</f>
        <v>C</v>
      </c>
      <c r="L2714" s="2">
        <f t="shared" si="559"/>
        <v>1</v>
      </c>
      <c r="M2714" s="2">
        <f t="shared" si="560"/>
        <v>0</v>
      </c>
      <c r="N2714" s="2">
        <f t="shared" si="561"/>
        <v>1</v>
      </c>
      <c r="O2714" s="2">
        <f t="shared" si="562"/>
        <v>0</v>
      </c>
      <c r="P2714" s="112">
        <f t="shared" si="563"/>
        <v>3</v>
      </c>
      <c r="Q2714" s="112">
        <f t="shared" si="564"/>
        <v>0</v>
      </c>
      <c r="R2714" s="53"/>
      <c r="S2714" s="53" t="str">
        <f t="shared" si="552"/>
        <v>Base S2|Gold Parallel - Season 2|144|Gold</v>
      </c>
      <c r="T2714" s="57" t="str">
        <f>IF($S2714="","",IFERROR(VLOOKUP($S2714,'Pop Estimates (Non-#d)'!$N$2:$O$500,2,FALSE),""))</f>
        <v/>
      </c>
      <c r="U2714" s="57" t="str">
        <f t="shared" si="553"/>
        <v/>
      </c>
      <c r="V2714" s="53" t="str">
        <f t="shared" si="554"/>
        <v/>
      </c>
      <c r="W2714" s="53" t="str">
        <f t="shared" si="555"/>
        <v/>
      </c>
      <c r="X2714" s="53" t="str">
        <f t="shared" si="556"/>
        <v/>
      </c>
      <c r="Y2714" s="57" t="str">
        <f>IF($X2714="","",IFERROR(VLOOKUP($X2714,'Char Popularity'!$A$2:$C$500,2,FALSE),""))</f>
        <v/>
      </c>
      <c r="Z2714" s="56">
        <f>IF($X2714="",1,IFERROR(VLOOKUP($X2714,'Char Popularity'!$A$2:$C$500,3,FALSE),1))</f>
        <v>1</v>
      </c>
      <c r="AA2714" s="62">
        <f>IF($H2714&lt;&gt;"Y",0,(IF($F2714&lt;&gt;"",ROUND(Dashboard!$R$4/$F2714,1),IF(AND($I2714="Base",$E2714="Base"),Dashboard!$R$5,IF(AND($I2714="Base",$E2714="Red"),Dashboard!$R$6,IF(AND($I2714="Base",$E2714="Gold"),Dashboard!$R$7,VLOOKUP($I2714,Dashboard!$Q$16:$R$21,2,FALSE)))))*VLOOKUP($I2714,Dashboard!$Q$9:$R$13,2,FALSE)*IF(AND($I2714="Auto",$F2714="",OR($B2714="Autographs Duals",$B2714="Autographs Triples",$B2714="Autographs Quads",$B2714="Autographs Quads (Inscribed)")),IF($B2714="Autographs Duals",2,IF($B2714="Autographs Triples",3,4)),1)))</f>
        <v>3</v>
      </c>
      <c r="AB2714" s="62">
        <f t="shared" si="557"/>
        <v>3</v>
      </c>
      <c r="AC2714" s="62">
        <f t="shared" si="558"/>
        <v>0</v>
      </c>
    </row>
    <row r="2715" spans="1:29" ht="28.7" customHeight="1" x14ac:dyDescent="0.25">
      <c r="A2715" s="4" t="s">
        <v>19</v>
      </c>
      <c r="B2715" s="7" t="s">
        <v>77</v>
      </c>
      <c r="C2715" s="2" t="s">
        <v>1544</v>
      </c>
      <c r="D2715" s="7" t="s">
        <v>1114</v>
      </c>
      <c r="E2715" s="4" t="s">
        <v>1602</v>
      </c>
      <c r="F2715" s="2"/>
      <c r="G2715" s="2" t="s">
        <v>1399</v>
      </c>
      <c r="H2715" s="2" t="s">
        <v>1400</v>
      </c>
      <c r="I2715" s="4" t="s">
        <v>60</v>
      </c>
      <c r="J2715" s="112">
        <f>IF($H2715&lt;&gt;"Y",0,ROUND(MIN(Dashboard!$R$24,IF(IFERROR(VLOOKUP($B2715,Dashboard!$Q$28:$S$60,2,FALSE),0)&gt;0,IFERROR(VLOOKUP($B2715,Dashboard!$Q$28:$S$60,2,FALSE),0),$Z2715*IF($U2715&lt;&gt;"",ROUND((Dashboard!$R$4/$U2715)*VLOOKUP($I2715,Dashboard!$Q$9:$R$13,2,FALSE)*IF(ISNUMBER(SEARCH("Duals",$B2715)),2,IF(ISNUMBER(SEARCH("Triples",$B2715)),3,IF(ISNUMBER(SEARCH("Quads",$B2715)),4,1))),2),ROUND(VLOOKUP($I2715,Dashboard!$Q$15:$R$20,2,FALSE)*IF($E2715="Red",Dashboard!$R$6,IF($E2715="Gold",Dashboard!$R$7,Dashboard!$R$5))*IF(ISNUMBER(SEARCH("Duals",$B2715)),2,IF(ISNUMBER(SEARCH("Triples",$B2715)),3,IF(ISNUMBER(SEARCH("Quads",$B2715)),4,1))),2))*IF(IFERROR(VLOOKUP($B2715,Dashboard!$Q$28:$S$60,3,FALSE),0)&gt;0,VLOOKUP($B2715,Dashboard!$Q$28:$S$60,3,FALSE),1))),0))</f>
        <v>3</v>
      </c>
      <c r="K2715" s="2" t="str">
        <f>IF('Base S2'!E46="","",'Base S2'!E46)</f>
        <v>C</v>
      </c>
      <c r="L2715" s="2">
        <f t="shared" si="559"/>
        <v>1</v>
      </c>
      <c r="M2715" s="2">
        <f t="shared" si="560"/>
        <v>0</v>
      </c>
      <c r="N2715" s="2">
        <f t="shared" si="561"/>
        <v>1</v>
      </c>
      <c r="O2715" s="2">
        <f t="shared" si="562"/>
        <v>0</v>
      </c>
      <c r="P2715" s="112">
        <f t="shared" si="563"/>
        <v>3</v>
      </c>
      <c r="Q2715" s="112">
        <f t="shared" si="564"/>
        <v>0</v>
      </c>
      <c r="R2715" s="53"/>
      <c r="S2715" s="53" t="str">
        <f t="shared" si="552"/>
        <v>Base S2|Gold Parallel - Season 2|145|Gold</v>
      </c>
      <c r="T2715" s="57" t="str">
        <f>IF($S2715="","",IFERROR(VLOOKUP($S2715,'Pop Estimates (Non-#d)'!$N$2:$O$500,2,FALSE),""))</f>
        <v/>
      </c>
      <c r="U2715" s="57" t="str">
        <f t="shared" si="553"/>
        <v/>
      </c>
      <c r="V2715" s="53" t="str">
        <f t="shared" si="554"/>
        <v/>
      </c>
      <c r="W2715" s="53" t="str">
        <f t="shared" si="555"/>
        <v/>
      </c>
      <c r="X2715" s="53" t="str">
        <f t="shared" si="556"/>
        <v/>
      </c>
      <c r="Y2715" s="57" t="str">
        <f>IF($X2715="","",IFERROR(VLOOKUP($X2715,'Char Popularity'!$A$2:$C$500,2,FALSE),""))</f>
        <v/>
      </c>
      <c r="Z2715" s="56">
        <f>IF($X2715="",1,IFERROR(VLOOKUP($X2715,'Char Popularity'!$A$2:$C$500,3,FALSE),1))</f>
        <v>1</v>
      </c>
      <c r="AA2715" s="62">
        <f>IF($H2715&lt;&gt;"Y",0,(IF($F2715&lt;&gt;"",ROUND(Dashboard!$R$4/$F2715,1),IF(AND($I2715="Base",$E2715="Base"),Dashboard!$R$5,IF(AND($I2715="Base",$E2715="Red"),Dashboard!$R$6,IF(AND($I2715="Base",$E2715="Gold"),Dashboard!$R$7,VLOOKUP($I2715,Dashboard!$Q$16:$R$21,2,FALSE)))))*VLOOKUP($I2715,Dashboard!$Q$9:$R$13,2,FALSE)*IF(AND($I2715="Auto",$F2715="",OR($B2715="Autographs Duals",$B2715="Autographs Triples",$B2715="Autographs Quads",$B2715="Autographs Quads (Inscribed)")),IF($B2715="Autographs Duals",2,IF($B2715="Autographs Triples",3,4)),1)))</f>
        <v>3</v>
      </c>
      <c r="AB2715" s="62">
        <f t="shared" si="557"/>
        <v>3</v>
      </c>
      <c r="AC2715" s="62">
        <f t="shared" si="558"/>
        <v>0</v>
      </c>
    </row>
    <row r="2716" spans="1:29" ht="28.7" customHeight="1" x14ac:dyDescent="0.25">
      <c r="A2716" s="4" t="s">
        <v>19</v>
      </c>
      <c r="B2716" s="7" t="s">
        <v>77</v>
      </c>
      <c r="C2716" s="2" t="s">
        <v>1545</v>
      </c>
      <c r="D2716" s="7" t="s">
        <v>1116</v>
      </c>
      <c r="E2716" s="4" t="s">
        <v>1602</v>
      </c>
      <c r="F2716" s="2"/>
      <c r="G2716" s="2" t="s">
        <v>1399</v>
      </c>
      <c r="H2716" s="2" t="s">
        <v>1400</v>
      </c>
      <c r="I2716" s="4" t="s">
        <v>60</v>
      </c>
      <c r="J2716" s="112">
        <f>IF($H2716&lt;&gt;"Y",0,ROUND(MIN(Dashboard!$R$24,IF(IFERROR(VLOOKUP($B2716,Dashboard!$Q$28:$S$60,2,FALSE),0)&gt;0,IFERROR(VLOOKUP($B2716,Dashboard!$Q$28:$S$60,2,FALSE),0),$Z2716*IF($U2716&lt;&gt;"",ROUND((Dashboard!$R$4/$U2716)*VLOOKUP($I2716,Dashboard!$Q$9:$R$13,2,FALSE)*IF(ISNUMBER(SEARCH("Duals",$B2716)),2,IF(ISNUMBER(SEARCH("Triples",$B2716)),3,IF(ISNUMBER(SEARCH("Quads",$B2716)),4,1))),2),ROUND(VLOOKUP($I2716,Dashboard!$Q$15:$R$20,2,FALSE)*IF($E2716="Red",Dashboard!$R$6,IF($E2716="Gold",Dashboard!$R$7,Dashboard!$R$5))*IF(ISNUMBER(SEARCH("Duals",$B2716)),2,IF(ISNUMBER(SEARCH("Triples",$B2716)),3,IF(ISNUMBER(SEARCH("Quads",$B2716)),4,1))),2))*IF(IFERROR(VLOOKUP($B2716,Dashboard!$Q$28:$S$60,3,FALSE),0)&gt;0,VLOOKUP($B2716,Dashboard!$Q$28:$S$60,3,FALSE),1))),0))</f>
        <v>3</v>
      </c>
      <c r="K2716" s="2" t="str">
        <f>IF('Base S2'!E47="","",'Base S2'!E47)</f>
        <v>C</v>
      </c>
      <c r="L2716" s="2">
        <f t="shared" si="559"/>
        <v>1</v>
      </c>
      <c r="M2716" s="2">
        <f t="shared" si="560"/>
        <v>0</v>
      </c>
      <c r="N2716" s="2">
        <f t="shared" si="561"/>
        <v>1</v>
      </c>
      <c r="O2716" s="2">
        <f t="shared" si="562"/>
        <v>0</v>
      </c>
      <c r="P2716" s="112">
        <f t="shared" si="563"/>
        <v>3</v>
      </c>
      <c r="Q2716" s="112">
        <f t="shared" si="564"/>
        <v>0</v>
      </c>
      <c r="R2716" s="53"/>
      <c r="S2716" s="53" t="str">
        <f t="shared" si="552"/>
        <v>Base S2|Gold Parallel - Season 2|146|Gold</v>
      </c>
      <c r="T2716" s="57" t="str">
        <f>IF($S2716="","",IFERROR(VLOOKUP($S2716,'Pop Estimates (Non-#d)'!$N$2:$O$500,2,FALSE),""))</f>
        <v/>
      </c>
      <c r="U2716" s="57" t="str">
        <f t="shared" si="553"/>
        <v/>
      </c>
      <c r="V2716" s="53" t="str">
        <f t="shared" si="554"/>
        <v/>
      </c>
      <c r="W2716" s="53" t="str">
        <f t="shared" si="555"/>
        <v/>
      </c>
      <c r="X2716" s="53" t="str">
        <f t="shared" si="556"/>
        <v/>
      </c>
      <c r="Y2716" s="57" t="str">
        <f>IF($X2716="","",IFERROR(VLOOKUP($X2716,'Char Popularity'!$A$2:$C$500,2,FALSE),""))</f>
        <v/>
      </c>
      <c r="Z2716" s="56">
        <f>IF($X2716="",1,IFERROR(VLOOKUP($X2716,'Char Popularity'!$A$2:$C$500,3,FALSE),1))</f>
        <v>1</v>
      </c>
      <c r="AA2716" s="62">
        <f>IF($H2716&lt;&gt;"Y",0,(IF($F2716&lt;&gt;"",ROUND(Dashboard!$R$4/$F2716,1),IF(AND($I2716="Base",$E2716="Base"),Dashboard!$R$5,IF(AND($I2716="Base",$E2716="Red"),Dashboard!$R$6,IF(AND($I2716="Base",$E2716="Gold"),Dashboard!$R$7,VLOOKUP($I2716,Dashboard!$Q$16:$R$21,2,FALSE)))))*VLOOKUP($I2716,Dashboard!$Q$9:$R$13,2,FALSE)*IF(AND($I2716="Auto",$F2716="",OR($B2716="Autographs Duals",$B2716="Autographs Triples",$B2716="Autographs Quads",$B2716="Autographs Quads (Inscribed)")),IF($B2716="Autographs Duals",2,IF($B2716="Autographs Triples",3,4)),1)))</f>
        <v>3</v>
      </c>
      <c r="AB2716" s="62">
        <f t="shared" si="557"/>
        <v>3</v>
      </c>
      <c r="AC2716" s="62">
        <f t="shared" si="558"/>
        <v>0</v>
      </c>
    </row>
    <row r="2717" spans="1:29" ht="28.7" customHeight="1" x14ac:dyDescent="0.25">
      <c r="A2717" s="4" t="s">
        <v>19</v>
      </c>
      <c r="B2717" s="7" t="s">
        <v>77</v>
      </c>
      <c r="C2717" s="2" t="s">
        <v>1546</v>
      </c>
      <c r="D2717" s="7" t="s">
        <v>1118</v>
      </c>
      <c r="E2717" s="4" t="s">
        <v>1602</v>
      </c>
      <c r="F2717" s="2"/>
      <c r="G2717" s="2" t="s">
        <v>1399</v>
      </c>
      <c r="H2717" s="2" t="s">
        <v>1400</v>
      </c>
      <c r="I2717" s="4" t="s">
        <v>60</v>
      </c>
      <c r="J2717" s="112">
        <f>IF($H2717&lt;&gt;"Y",0,ROUND(MIN(Dashboard!$R$24,IF(IFERROR(VLOOKUP($B2717,Dashboard!$Q$28:$S$60,2,FALSE),0)&gt;0,IFERROR(VLOOKUP($B2717,Dashboard!$Q$28:$S$60,2,FALSE),0),$Z2717*IF($U2717&lt;&gt;"",ROUND((Dashboard!$R$4/$U2717)*VLOOKUP($I2717,Dashboard!$Q$9:$R$13,2,FALSE)*IF(ISNUMBER(SEARCH("Duals",$B2717)),2,IF(ISNUMBER(SEARCH("Triples",$B2717)),3,IF(ISNUMBER(SEARCH("Quads",$B2717)),4,1))),2),ROUND(VLOOKUP($I2717,Dashboard!$Q$15:$R$20,2,FALSE)*IF($E2717="Red",Dashboard!$R$6,IF($E2717="Gold",Dashboard!$R$7,Dashboard!$R$5))*IF(ISNUMBER(SEARCH("Duals",$B2717)),2,IF(ISNUMBER(SEARCH("Triples",$B2717)),3,IF(ISNUMBER(SEARCH("Quads",$B2717)),4,1))),2))*IF(IFERROR(VLOOKUP($B2717,Dashboard!$Q$28:$S$60,3,FALSE),0)&gt;0,VLOOKUP($B2717,Dashboard!$Q$28:$S$60,3,FALSE),1))),0))</f>
        <v>3</v>
      </c>
      <c r="K2717" s="2" t="str">
        <f>IF('Base S2'!E48="","",'Base S2'!E48)</f>
        <v>C</v>
      </c>
      <c r="L2717" s="2">
        <f t="shared" si="559"/>
        <v>1</v>
      </c>
      <c r="M2717" s="2">
        <f t="shared" si="560"/>
        <v>0</v>
      </c>
      <c r="N2717" s="2">
        <f t="shared" si="561"/>
        <v>1</v>
      </c>
      <c r="O2717" s="2">
        <f t="shared" si="562"/>
        <v>0</v>
      </c>
      <c r="P2717" s="112">
        <f t="shared" si="563"/>
        <v>3</v>
      </c>
      <c r="Q2717" s="112">
        <f t="shared" si="564"/>
        <v>0</v>
      </c>
      <c r="R2717" s="53"/>
      <c r="S2717" s="53" t="str">
        <f t="shared" si="552"/>
        <v>Base S2|Gold Parallel - Season 2|147|Gold</v>
      </c>
      <c r="T2717" s="57" t="str">
        <f>IF($S2717="","",IFERROR(VLOOKUP($S2717,'Pop Estimates (Non-#d)'!$N$2:$O$500,2,FALSE),""))</f>
        <v/>
      </c>
      <c r="U2717" s="57" t="str">
        <f t="shared" si="553"/>
        <v/>
      </c>
      <c r="V2717" s="53" t="str">
        <f t="shared" si="554"/>
        <v/>
      </c>
      <c r="W2717" s="53" t="str">
        <f t="shared" si="555"/>
        <v/>
      </c>
      <c r="X2717" s="53" t="str">
        <f t="shared" si="556"/>
        <v/>
      </c>
      <c r="Y2717" s="57" t="str">
        <f>IF($X2717="","",IFERROR(VLOOKUP($X2717,'Char Popularity'!$A$2:$C$500,2,FALSE),""))</f>
        <v/>
      </c>
      <c r="Z2717" s="56">
        <f>IF($X2717="",1,IFERROR(VLOOKUP($X2717,'Char Popularity'!$A$2:$C$500,3,FALSE),1))</f>
        <v>1</v>
      </c>
      <c r="AA2717" s="62">
        <f>IF($H2717&lt;&gt;"Y",0,(IF($F2717&lt;&gt;"",ROUND(Dashboard!$R$4/$F2717,1),IF(AND($I2717="Base",$E2717="Base"),Dashboard!$R$5,IF(AND($I2717="Base",$E2717="Red"),Dashboard!$R$6,IF(AND($I2717="Base",$E2717="Gold"),Dashboard!$R$7,VLOOKUP($I2717,Dashboard!$Q$16:$R$21,2,FALSE)))))*VLOOKUP($I2717,Dashboard!$Q$9:$R$13,2,FALSE)*IF(AND($I2717="Auto",$F2717="",OR($B2717="Autographs Duals",$B2717="Autographs Triples",$B2717="Autographs Quads",$B2717="Autographs Quads (Inscribed)")),IF($B2717="Autographs Duals",2,IF($B2717="Autographs Triples",3,4)),1)))</f>
        <v>3</v>
      </c>
      <c r="AB2717" s="62">
        <f t="shared" si="557"/>
        <v>3</v>
      </c>
      <c r="AC2717" s="62">
        <f t="shared" si="558"/>
        <v>0</v>
      </c>
    </row>
    <row r="2718" spans="1:29" ht="28.7" customHeight="1" x14ac:dyDescent="0.25">
      <c r="A2718" s="4" t="s">
        <v>19</v>
      </c>
      <c r="B2718" s="7" t="s">
        <v>77</v>
      </c>
      <c r="C2718" s="2" t="s">
        <v>1547</v>
      </c>
      <c r="D2718" s="7" t="s">
        <v>1120</v>
      </c>
      <c r="E2718" s="4" t="s">
        <v>1602</v>
      </c>
      <c r="F2718" s="2"/>
      <c r="G2718" s="2" t="s">
        <v>1399</v>
      </c>
      <c r="H2718" s="2" t="s">
        <v>1400</v>
      </c>
      <c r="I2718" s="4" t="s">
        <v>60</v>
      </c>
      <c r="J2718" s="112">
        <f>IF($H2718&lt;&gt;"Y",0,ROUND(MIN(Dashboard!$R$24,IF(IFERROR(VLOOKUP($B2718,Dashboard!$Q$28:$S$60,2,FALSE),0)&gt;0,IFERROR(VLOOKUP($B2718,Dashboard!$Q$28:$S$60,2,FALSE),0),$Z2718*IF($U2718&lt;&gt;"",ROUND((Dashboard!$R$4/$U2718)*VLOOKUP($I2718,Dashboard!$Q$9:$R$13,2,FALSE)*IF(ISNUMBER(SEARCH("Duals",$B2718)),2,IF(ISNUMBER(SEARCH("Triples",$B2718)),3,IF(ISNUMBER(SEARCH("Quads",$B2718)),4,1))),2),ROUND(VLOOKUP($I2718,Dashboard!$Q$15:$R$20,2,FALSE)*IF($E2718="Red",Dashboard!$R$6,IF($E2718="Gold",Dashboard!$R$7,Dashboard!$R$5))*IF(ISNUMBER(SEARCH("Duals",$B2718)),2,IF(ISNUMBER(SEARCH("Triples",$B2718)),3,IF(ISNUMBER(SEARCH("Quads",$B2718)),4,1))),2))*IF(IFERROR(VLOOKUP($B2718,Dashboard!$Q$28:$S$60,3,FALSE),0)&gt;0,VLOOKUP($B2718,Dashboard!$Q$28:$S$60,3,FALSE),1))),0))</f>
        <v>3</v>
      </c>
      <c r="K2718" s="2" t="str">
        <f>IF('Base S2'!E49="","",'Base S2'!E49)</f>
        <v>C</v>
      </c>
      <c r="L2718" s="2">
        <f t="shared" si="559"/>
        <v>1</v>
      </c>
      <c r="M2718" s="2">
        <f t="shared" si="560"/>
        <v>0</v>
      </c>
      <c r="N2718" s="2">
        <f t="shared" si="561"/>
        <v>1</v>
      </c>
      <c r="O2718" s="2">
        <f t="shared" si="562"/>
        <v>0</v>
      </c>
      <c r="P2718" s="112">
        <f t="shared" si="563"/>
        <v>3</v>
      </c>
      <c r="Q2718" s="112">
        <f t="shared" si="564"/>
        <v>0</v>
      </c>
      <c r="R2718" s="53"/>
      <c r="S2718" s="53" t="str">
        <f t="shared" si="552"/>
        <v>Base S2|Gold Parallel - Season 2|148|Gold</v>
      </c>
      <c r="T2718" s="57" t="str">
        <f>IF($S2718="","",IFERROR(VLOOKUP($S2718,'Pop Estimates (Non-#d)'!$N$2:$O$500,2,FALSE),""))</f>
        <v/>
      </c>
      <c r="U2718" s="57" t="str">
        <f t="shared" si="553"/>
        <v/>
      </c>
      <c r="V2718" s="53" t="str">
        <f t="shared" si="554"/>
        <v/>
      </c>
      <c r="W2718" s="53" t="str">
        <f t="shared" si="555"/>
        <v/>
      </c>
      <c r="X2718" s="53" t="str">
        <f t="shared" si="556"/>
        <v/>
      </c>
      <c r="Y2718" s="57" t="str">
        <f>IF($X2718="","",IFERROR(VLOOKUP($X2718,'Char Popularity'!$A$2:$C$500,2,FALSE),""))</f>
        <v/>
      </c>
      <c r="Z2718" s="56">
        <f>IF($X2718="",1,IFERROR(VLOOKUP($X2718,'Char Popularity'!$A$2:$C$500,3,FALSE),1))</f>
        <v>1</v>
      </c>
      <c r="AA2718" s="62">
        <f>IF($H2718&lt;&gt;"Y",0,(IF($F2718&lt;&gt;"",ROUND(Dashboard!$R$4/$F2718,1),IF(AND($I2718="Base",$E2718="Base"),Dashboard!$R$5,IF(AND($I2718="Base",$E2718="Red"),Dashboard!$R$6,IF(AND($I2718="Base",$E2718="Gold"),Dashboard!$R$7,VLOOKUP($I2718,Dashboard!$Q$16:$R$21,2,FALSE)))))*VLOOKUP($I2718,Dashboard!$Q$9:$R$13,2,FALSE)*IF(AND($I2718="Auto",$F2718="",OR($B2718="Autographs Duals",$B2718="Autographs Triples",$B2718="Autographs Quads",$B2718="Autographs Quads (Inscribed)")),IF($B2718="Autographs Duals",2,IF($B2718="Autographs Triples",3,4)),1)))</f>
        <v>3</v>
      </c>
      <c r="AB2718" s="62">
        <f t="shared" si="557"/>
        <v>3</v>
      </c>
      <c r="AC2718" s="62">
        <f t="shared" si="558"/>
        <v>0</v>
      </c>
    </row>
    <row r="2719" spans="1:29" ht="28.7" customHeight="1" x14ac:dyDescent="0.25">
      <c r="A2719" s="4" t="s">
        <v>19</v>
      </c>
      <c r="B2719" s="7" t="s">
        <v>77</v>
      </c>
      <c r="C2719" s="2" t="s">
        <v>1548</v>
      </c>
      <c r="D2719" s="7" t="s">
        <v>1122</v>
      </c>
      <c r="E2719" s="4" t="s">
        <v>1602</v>
      </c>
      <c r="F2719" s="2"/>
      <c r="G2719" s="2" t="s">
        <v>1399</v>
      </c>
      <c r="H2719" s="2" t="s">
        <v>1400</v>
      </c>
      <c r="I2719" s="4" t="s">
        <v>60</v>
      </c>
      <c r="J2719" s="112">
        <f>IF($H2719&lt;&gt;"Y",0,ROUND(MIN(Dashboard!$R$24,IF(IFERROR(VLOOKUP($B2719,Dashboard!$Q$28:$S$60,2,FALSE),0)&gt;0,IFERROR(VLOOKUP($B2719,Dashboard!$Q$28:$S$60,2,FALSE),0),$Z2719*IF($U2719&lt;&gt;"",ROUND((Dashboard!$R$4/$U2719)*VLOOKUP($I2719,Dashboard!$Q$9:$R$13,2,FALSE)*IF(ISNUMBER(SEARCH("Duals",$B2719)),2,IF(ISNUMBER(SEARCH("Triples",$B2719)),3,IF(ISNUMBER(SEARCH("Quads",$B2719)),4,1))),2),ROUND(VLOOKUP($I2719,Dashboard!$Q$15:$R$20,2,FALSE)*IF($E2719="Red",Dashboard!$R$6,IF($E2719="Gold",Dashboard!$R$7,Dashboard!$R$5))*IF(ISNUMBER(SEARCH("Duals",$B2719)),2,IF(ISNUMBER(SEARCH("Triples",$B2719)),3,IF(ISNUMBER(SEARCH("Quads",$B2719)),4,1))),2))*IF(IFERROR(VLOOKUP($B2719,Dashboard!$Q$28:$S$60,3,FALSE),0)&gt;0,VLOOKUP($B2719,Dashboard!$Q$28:$S$60,3,FALSE),1))),0))</f>
        <v>3</v>
      </c>
      <c r="K2719" s="2" t="str">
        <f>IF('Base S2'!E50="","",'Base S2'!E50)</f>
        <v>C</v>
      </c>
      <c r="L2719" s="2">
        <f t="shared" si="559"/>
        <v>1</v>
      </c>
      <c r="M2719" s="2">
        <f t="shared" si="560"/>
        <v>0</v>
      </c>
      <c r="N2719" s="2">
        <f t="shared" si="561"/>
        <v>1</v>
      </c>
      <c r="O2719" s="2">
        <f t="shared" si="562"/>
        <v>0</v>
      </c>
      <c r="P2719" s="112">
        <f t="shared" si="563"/>
        <v>3</v>
      </c>
      <c r="Q2719" s="112">
        <f t="shared" si="564"/>
        <v>0</v>
      </c>
      <c r="R2719" s="53"/>
      <c r="S2719" s="53" t="str">
        <f t="shared" si="552"/>
        <v>Base S2|Gold Parallel - Season 2|149|Gold</v>
      </c>
      <c r="T2719" s="57" t="str">
        <f>IF($S2719="","",IFERROR(VLOOKUP($S2719,'Pop Estimates (Non-#d)'!$N$2:$O$500,2,FALSE),""))</f>
        <v/>
      </c>
      <c r="U2719" s="57" t="str">
        <f t="shared" si="553"/>
        <v/>
      </c>
      <c r="V2719" s="53" t="str">
        <f t="shared" si="554"/>
        <v/>
      </c>
      <c r="W2719" s="53" t="str">
        <f t="shared" si="555"/>
        <v/>
      </c>
      <c r="X2719" s="53" t="str">
        <f t="shared" si="556"/>
        <v/>
      </c>
      <c r="Y2719" s="57" t="str">
        <f>IF($X2719="","",IFERROR(VLOOKUP($X2719,'Char Popularity'!$A$2:$C$500,2,FALSE),""))</f>
        <v/>
      </c>
      <c r="Z2719" s="56">
        <f>IF($X2719="",1,IFERROR(VLOOKUP($X2719,'Char Popularity'!$A$2:$C$500,3,FALSE),1))</f>
        <v>1</v>
      </c>
      <c r="AA2719" s="62">
        <f>IF($H2719&lt;&gt;"Y",0,(IF($F2719&lt;&gt;"",ROUND(Dashboard!$R$4/$F2719,1),IF(AND($I2719="Base",$E2719="Base"),Dashboard!$R$5,IF(AND($I2719="Base",$E2719="Red"),Dashboard!$R$6,IF(AND($I2719="Base",$E2719="Gold"),Dashboard!$R$7,VLOOKUP($I2719,Dashboard!$Q$16:$R$21,2,FALSE)))))*VLOOKUP($I2719,Dashboard!$Q$9:$R$13,2,FALSE)*IF(AND($I2719="Auto",$F2719="",OR($B2719="Autographs Duals",$B2719="Autographs Triples",$B2719="Autographs Quads",$B2719="Autographs Quads (Inscribed)")),IF($B2719="Autographs Duals",2,IF($B2719="Autographs Triples",3,4)),1)))</f>
        <v>3</v>
      </c>
      <c r="AB2719" s="62">
        <f t="shared" si="557"/>
        <v>3</v>
      </c>
      <c r="AC2719" s="62">
        <f t="shared" si="558"/>
        <v>0</v>
      </c>
    </row>
    <row r="2720" spans="1:29" ht="28.7" customHeight="1" x14ac:dyDescent="0.25">
      <c r="A2720" s="4" t="s">
        <v>19</v>
      </c>
      <c r="B2720" s="7" t="s">
        <v>77</v>
      </c>
      <c r="C2720" s="2" t="s">
        <v>1549</v>
      </c>
      <c r="D2720" s="7" t="s">
        <v>1123</v>
      </c>
      <c r="E2720" s="4" t="s">
        <v>1602</v>
      </c>
      <c r="F2720" s="2"/>
      <c r="G2720" s="2" t="s">
        <v>1399</v>
      </c>
      <c r="H2720" s="2" t="s">
        <v>1400</v>
      </c>
      <c r="I2720" s="4" t="s">
        <v>60</v>
      </c>
      <c r="J2720" s="112">
        <f>IF($H2720&lt;&gt;"Y",0,ROUND(MIN(Dashboard!$R$24,IF(IFERROR(VLOOKUP($B2720,Dashboard!$Q$28:$S$60,2,FALSE),0)&gt;0,IFERROR(VLOOKUP($B2720,Dashboard!$Q$28:$S$60,2,FALSE),0),$Z2720*IF($U2720&lt;&gt;"",ROUND((Dashboard!$R$4/$U2720)*VLOOKUP($I2720,Dashboard!$Q$9:$R$13,2,FALSE)*IF(ISNUMBER(SEARCH("Duals",$B2720)),2,IF(ISNUMBER(SEARCH("Triples",$B2720)),3,IF(ISNUMBER(SEARCH("Quads",$B2720)),4,1))),2),ROUND(VLOOKUP($I2720,Dashboard!$Q$15:$R$20,2,FALSE)*IF($E2720="Red",Dashboard!$R$6,IF($E2720="Gold",Dashboard!$R$7,Dashboard!$R$5))*IF(ISNUMBER(SEARCH("Duals",$B2720)),2,IF(ISNUMBER(SEARCH("Triples",$B2720)),3,IF(ISNUMBER(SEARCH("Quads",$B2720)),4,1))),2))*IF(IFERROR(VLOOKUP($B2720,Dashboard!$Q$28:$S$60,3,FALSE),0)&gt;0,VLOOKUP($B2720,Dashboard!$Q$28:$S$60,3,FALSE),1))),0))</f>
        <v>3</v>
      </c>
      <c r="K2720" s="2" t="str">
        <f>IF('Base S2'!E51="","",'Base S2'!E51)</f>
        <v>C</v>
      </c>
      <c r="L2720" s="2">
        <f t="shared" si="559"/>
        <v>1</v>
      </c>
      <c r="M2720" s="2">
        <f t="shared" si="560"/>
        <v>0</v>
      </c>
      <c r="N2720" s="2">
        <f t="shared" si="561"/>
        <v>1</v>
      </c>
      <c r="O2720" s="2">
        <f t="shared" si="562"/>
        <v>0</v>
      </c>
      <c r="P2720" s="112">
        <f t="shared" si="563"/>
        <v>3</v>
      </c>
      <c r="Q2720" s="112">
        <f t="shared" si="564"/>
        <v>0</v>
      </c>
      <c r="R2720" s="53"/>
      <c r="S2720" s="53" t="str">
        <f t="shared" si="552"/>
        <v>Base S2|Gold Parallel - Season 2|150|Gold</v>
      </c>
      <c r="T2720" s="57" t="str">
        <f>IF($S2720="","",IFERROR(VLOOKUP($S2720,'Pop Estimates (Non-#d)'!$N$2:$O$500,2,FALSE),""))</f>
        <v/>
      </c>
      <c r="U2720" s="57" t="str">
        <f t="shared" si="553"/>
        <v/>
      </c>
      <c r="V2720" s="53" t="str">
        <f t="shared" si="554"/>
        <v/>
      </c>
      <c r="W2720" s="53" t="str">
        <f t="shared" si="555"/>
        <v/>
      </c>
      <c r="X2720" s="53" t="str">
        <f t="shared" si="556"/>
        <v/>
      </c>
      <c r="Y2720" s="57" t="str">
        <f>IF($X2720="","",IFERROR(VLOOKUP($X2720,'Char Popularity'!$A$2:$C$500,2,FALSE),""))</f>
        <v/>
      </c>
      <c r="Z2720" s="56">
        <f>IF($X2720="",1,IFERROR(VLOOKUP($X2720,'Char Popularity'!$A$2:$C$500,3,FALSE),1))</f>
        <v>1</v>
      </c>
      <c r="AA2720" s="62">
        <f>IF($H2720&lt;&gt;"Y",0,(IF($F2720&lt;&gt;"",ROUND(Dashboard!$R$4/$F2720,1),IF(AND($I2720="Base",$E2720="Base"),Dashboard!$R$5,IF(AND($I2720="Base",$E2720="Red"),Dashboard!$R$6,IF(AND($I2720="Base",$E2720="Gold"),Dashboard!$R$7,VLOOKUP($I2720,Dashboard!$Q$16:$R$21,2,FALSE)))))*VLOOKUP($I2720,Dashboard!$Q$9:$R$13,2,FALSE)*IF(AND($I2720="Auto",$F2720="",OR($B2720="Autographs Duals",$B2720="Autographs Triples",$B2720="Autographs Quads",$B2720="Autographs Quads (Inscribed)")),IF($B2720="Autographs Duals",2,IF($B2720="Autographs Triples",3,4)),1)))</f>
        <v>3</v>
      </c>
      <c r="AB2720" s="62">
        <f t="shared" si="557"/>
        <v>3</v>
      </c>
      <c r="AC2720" s="62">
        <f t="shared" si="558"/>
        <v>0</v>
      </c>
    </row>
    <row r="2721" spans="1:29" ht="28.7" customHeight="1" x14ac:dyDescent="0.25">
      <c r="A2721" s="4" t="s">
        <v>19</v>
      </c>
      <c r="B2721" s="7" t="s">
        <v>77</v>
      </c>
      <c r="C2721" s="2" t="s">
        <v>1550</v>
      </c>
      <c r="D2721" s="7" t="s">
        <v>1125</v>
      </c>
      <c r="E2721" s="4" t="s">
        <v>1602</v>
      </c>
      <c r="F2721" s="2"/>
      <c r="G2721" s="2" t="s">
        <v>1399</v>
      </c>
      <c r="H2721" s="2" t="s">
        <v>1400</v>
      </c>
      <c r="I2721" s="4" t="s">
        <v>60</v>
      </c>
      <c r="J2721" s="112">
        <f>IF($H2721&lt;&gt;"Y",0,ROUND(MIN(Dashboard!$R$24,IF(IFERROR(VLOOKUP($B2721,Dashboard!$Q$28:$S$60,2,FALSE),0)&gt;0,IFERROR(VLOOKUP($B2721,Dashboard!$Q$28:$S$60,2,FALSE),0),$Z2721*IF($U2721&lt;&gt;"",ROUND((Dashboard!$R$4/$U2721)*VLOOKUP($I2721,Dashboard!$Q$9:$R$13,2,FALSE)*IF(ISNUMBER(SEARCH("Duals",$B2721)),2,IF(ISNUMBER(SEARCH("Triples",$B2721)),3,IF(ISNUMBER(SEARCH("Quads",$B2721)),4,1))),2),ROUND(VLOOKUP($I2721,Dashboard!$Q$15:$R$20,2,FALSE)*IF($E2721="Red",Dashboard!$R$6,IF($E2721="Gold",Dashboard!$R$7,Dashboard!$R$5))*IF(ISNUMBER(SEARCH("Duals",$B2721)),2,IF(ISNUMBER(SEARCH("Triples",$B2721)),3,IF(ISNUMBER(SEARCH("Quads",$B2721)),4,1))),2))*IF(IFERROR(VLOOKUP($B2721,Dashboard!$Q$28:$S$60,3,FALSE),0)&gt;0,VLOOKUP($B2721,Dashboard!$Q$28:$S$60,3,FALSE),1))),0))</f>
        <v>3</v>
      </c>
      <c r="K2721" s="2" t="str">
        <f>IF('Base S2'!E52="","",'Base S2'!E52)</f>
        <v>C</v>
      </c>
      <c r="L2721" s="2">
        <f t="shared" si="559"/>
        <v>1</v>
      </c>
      <c r="M2721" s="2">
        <f t="shared" si="560"/>
        <v>0</v>
      </c>
      <c r="N2721" s="2">
        <f t="shared" si="561"/>
        <v>1</v>
      </c>
      <c r="O2721" s="2">
        <f t="shared" si="562"/>
        <v>0</v>
      </c>
      <c r="P2721" s="112">
        <f t="shared" si="563"/>
        <v>3</v>
      </c>
      <c r="Q2721" s="112">
        <f t="shared" si="564"/>
        <v>0</v>
      </c>
      <c r="R2721" s="53"/>
      <c r="S2721" s="53" t="str">
        <f t="shared" si="552"/>
        <v>Base S2|Gold Parallel - Season 2|151|Gold</v>
      </c>
      <c r="T2721" s="57" t="str">
        <f>IF($S2721="","",IFERROR(VLOOKUP($S2721,'Pop Estimates (Non-#d)'!$N$2:$O$500,2,FALSE),""))</f>
        <v/>
      </c>
      <c r="U2721" s="57" t="str">
        <f t="shared" si="553"/>
        <v/>
      </c>
      <c r="V2721" s="53" t="str">
        <f t="shared" si="554"/>
        <v/>
      </c>
      <c r="W2721" s="53" t="str">
        <f t="shared" si="555"/>
        <v/>
      </c>
      <c r="X2721" s="53" t="str">
        <f t="shared" si="556"/>
        <v/>
      </c>
      <c r="Y2721" s="57" t="str">
        <f>IF($X2721="","",IFERROR(VLOOKUP($X2721,'Char Popularity'!$A$2:$C$500,2,FALSE),""))</f>
        <v/>
      </c>
      <c r="Z2721" s="56">
        <f>IF($X2721="",1,IFERROR(VLOOKUP($X2721,'Char Popularity'!$A$2:$C$500,3,FALSE),1))</f>
        <v>1</v>
      </c>
      <c r="AA2721" s="62">
        <f>IF($H2721&lt;&gt;"Y",0,(IF($F2721&lt;&gt;"",ROUND(Dashboard!$R$4/$F2721,1),IF(AND($I2721="Base",$E2721="Base"),Dashboard!$R$5,IF(AND($I2721="Base",$E2721="Red"),Dashboard!$R$6,IF(AND($I2721="Base",$E2721="Gold"),Dashboard!$R$7,VLOOKUP($I2721,Dashboard!$Q$16:$R$21,2,FALSE)))))*VLOOKUP($I2721,Dashboard!$Q$9:$R$13,2,FALSE)*IF(AND($I2721="Auto",$F2721="",OR($B2721="Autographs Duals",$B2721="Autographs Triples",$B2721="Autographs Quads",$B2721="Autographs Quads (Inscribed)")),IF($B2721="Autographs Duals",2,IF($B2721="Autographs Triples",3,4)),1)))</f>
        <v>3</v>
      </c>
      <c r="AB2721" s="62">
        <f t="shared" si="557"/>
        <v>3</v>
      </c>
      <c r="AC2721" s="62">
        <f t="shared" si="558"/>
        <v>0</v>
      </c>
    </row>
    <row r="2722" spans="1:29" ht="28.7" customHeight="1" x14ac:dyDescent="0.25">
      <c r="A2722" s="4" t="s">
        <v>19</v>
      </c>
      <c r="B2722" s="7" t="s">
        <v>77</v>
      </c>
      <c r="C2722" s="2" t="s">
        <v>1551</v>
      </c>
      <c r="D2722" s="7" t="s">
        <v>1126</v>
      </c>
      <c r="E2722" s="4" t="s">
        <v>1602</v>
      </c>
      <c r="F2722" s="2"/>
      <c r="G2722" s="2" t="s">
        <v>1399</v>
      </c>
      <c r="H2722" s="2" t="s">
        <v>1400</v>
      </c>
      <c r="I2722" s="4" t="s">
        <v>60</v>
      </c>
      <c r="J2722" s="112">
        <f>IF($H2722&lt;&gt;"Y",0,ROUND(MIN(Dashboard!$R$24,IF(IFERROR(VLOOKUP($B2722,Dashboard!$Q$28:$S$60,2,FALSE),0)&gt;0,IFERROR(VLOOKUP($B2722,Dashboard!$Q$28:$S$60,2,FALSE),0),$Z2722*IF($U2722&lt;&gt;"",ROUND((Dashboard!$R$4/$U2722)*VLOOKUP($I2722,Dashboard!$Q$9:$R$13,2,FALSE)*IF(ISNUMBER(SEARCH("Duals",$B2722)),2,IF(ISNUMBER(SEARCH("Triples",$B2722)),3,IF(ISNUMBER(SEARCH("Quads",$B2722)),4,1))),2),ROUND(VLOOKUP($I2722,Dashboard!$Q$15:$R$20,2,FALSE)*IF($E2722="Red",Dashboard!$R$6,IF($E2722="Gold",Dashboard!$R$7,Dashboard!$R$5))*IF(ISNUMBER(SEARCH("Duals",$B2722)),2,IF(ISNUMBER(SEARCH("Triples",$B2722)),3,IF(ISNUMBER(SEARCH("Quads",$B2722)),4,1))),2))*IF(IFERROR(VLOOKUP($B2722,Dashboard!$Q$28:$S$60,3,FALSE),0)&gt;0,VLOOKUP($B2722,Dashboard!$Q$28:$S$60,3,FALSE),1))),0))</f>
        <v>3</v>
      </c>
      <c r="K2722" s="2" t="str">
        <f>IF('Base S2'!E53="","",'Base S2'!E53)</f>
        <v>C</v>
      </c>
      <c r="L2722" s="2">
        <f t="shared" si="559"/>
        <v>1</v>
      </c>
      <c r="M2722" s="2">
        <f t="shared" si="560"/>
        <v>0</v>
      </c>
      <c r="N2722" s="2">
        <f t="shared" si="561"/>
        <v>1</v>
      </c>
      <c r="O2722" s="2">
        <f t="shared" si="562"/>
        <v>0</v>
      </c>
      <c r="P2722" s="112">
        <f t="shared" si="563"/>
        <v>3</v>
      </c>
      <c r="Q2722" s="112">
        <f t="shared" si="564"/>
        <v>0</v>
      </c>
      <c r="R2722" s="53"/>
      <c r="S2722" s="53" t="str">
        <f t="shared" si="552"/>
        <v>Base S2|Gold Parallel - Season 2|152|Gold</v>
      </c>
      <c r="T2722" s="57" t="str">
        <f>IF($S2722="","",IFERROR(VLOOKUP($S2722,'Pop Estimates (Non-#d)'!$N$2:$O$500,2,FALSE),""))</f>
        <v/>
      </c>
      <c r="U2722" s="57" t="str">
        <f t="shared" si="553"/>
        <v/>
      </c>
      <c r="V2722" s="53" t="str">
        <f t="shared" si="554"/>
        <v/>
      </c>
      <c r="W2722" s="53" t="str">
        <f t="shared" si="555"/>
        <v/>
      </c>
      <c r="X2722" s="53" t="str">
        <f t="shared" si="556"/>
        <v/>
      </c>
      <c r="Y2722" s="57" t="str">
        <f>IF($X2722="","",IFERROR(VLOOKUP($X2722,'Char Popularity'!$A$2:$C$500,2,FALSE),""))</f>
        <v/>
      </c>
      <c r="Z2722" s="56">
        <f>IF($X2722="",1,IFERROR(VLOOKUP($X2722,'Char Popularity'!$A$2:$C$500,3,FALSE),1))</f>
        <v>1</v>
      </c>
      <c r="AA2722" s="62">
        <f>IF($H2722&lt;&gt;"Y",0,(IF($F2722&lt;&gt;"",ROUND(Dashboard!$R$4/$F2722,1),IF(AND($I2722="Base",$E2722="Base"),Dashboard!$R$5,IF(AND($I2722="Base",$E2722="Red"),Dashboard!$R$6,IF(AND($I2722="Base",$E2722="Gold"),Dashboard!$R$7,VLOOKUP($I2722,Dashboard!$Q$16:$R$21,2,FALSE)))))*VLOOKUP($I2722,Dashboard!$Q$9:$R$13,2,FALSE)*IF(AND($I2722="Auto",$F2722="",OR($B2722="Autographs Duals",$B2722="Autographs Triples",$B2722="Autographs Quads",$B2722="Autographs Quads (Inscribed)")),IF($B2722="Autographs Duals",2,IF($B2722="Autographs Triples",3,4)),1)))</f>
        <v>3</v>
      </c>
      <c r="AB2722" s="62">
        <f t="shared" si="557"/>
        <v>3</v>
      </c>
      <c r="AC2722" s="62">
        <f t="shared" si="558"/>
        <v>0</v>
      </c>
    </row>
    <row r="2723" spans="1:29" ht="28.7" customHeight="1" x14ac:dyDescent="0.25">
      <c r="A2723" s="4" t="s">
        <v>19</v>
      </c>
      <c r="B2723" s="7" t="s">
        <v>77</v>
      </c>
      <c r="C2723" s="2" t="s">
        <v>1552</v>
      </c>
      <c r="D2723" s="7" t="s">
        <v>335</v>
      </c>
      <c r="E2723" s="4" t="s">
        <v>1602</v>
      </c>
      <c r="F2723" s="2"/>
      <c r="G2723" s="2" t="s">
        <v>1399</v>
      </c>
      <c r="H2723" s="2" t="s">
        <v>1400</v>
      </c>
      <c r="I2723" s="4" t="s">
        <v>60</v>
      </c>
      <c r="J2723" s="112">
        <f>IF($H2723&lt;&gt;"Y",0,ROUND(MIN(Dashboard!$R$24,IF(IFERROR(VLOOKUP($B2723,Dashboard!$Q$28:$S$60,2,FALSE),0)&gt;0,IFERROR(VLOOKUP($B2723,Dashboard!$Q$28:$S$60,2,FALSE),0),$Z2723*IF($U2723&lt;&gt;"",ROUND((Dashboard!$R$4/$U2723)*VLOOKUP($I2723,Dashboard!$Q$9:$R$13,2,FALSE)*IF(ISNUMBER(SEARCH("Duals",$B2723)),2,IF(ISNUMBER(SEARCH("Triples",$B2723)),3,IF(ISNUMBER(SEARCH("Quads",$B2723)),4,1))),2),ROUND(VLOOKUP($I2723,Dashboard!$Q$15:$R$20,2,FALSE)*IF($E2723="Red",Dashboard!$R$6,IF($E2723="Gold",Dashboard!$R$7,Dashboard!$R$5))*IF(ISNUMBER(SEARCH("Duals",$B2723)),2,IF(ISNUMBER(SEARCH("Triples",$B2723)),3,IF(ISNUMBER(SEARCH("Quads",$B2723)),4,1))),2))*IF(IFERROR(VLOOKUP($B2723,Dashboard!$Q$28:$S$60,3,FALSE),0)&gt;0,VLOOKUP($B2723,Dashboard!$Q$28:$S$60,3,FALSE),1))),0))</f>
        <v>3</v>
      </c>
      <c r="K2723" s="2" t="str">
        <f>IF('Base S2'!E54="","",'Base S2'!E54)</f>
        <v>C</v>
      </c>
      <c r="L2723" s="2">
        <f t="shared" si="559"/>
        <v>1</v>
      </c>
      <c r="M2723" s="2">
        <f t="shared" si="560"/>
        <v>0</v>
      </c>
      <c r="N2723" s="2">
        <f t="shared" si="561"/>
        <v>1</v>
      </c>
      <c r="O2723" s="2">
        <f t="shared" si="562"/>
        <v>0</v>
      </c>
      <c r="P2723" s="112">
        <f t="shared" si="563"/>
        <v>3</v>
      </c>
      <c r="Q2723" s="112">
        <f t="shared" si="564"/>
        <v>0</v>
      </c>
      <c r="R2723" s="53"/>
      <c r="S2723" s="53" t="str">
        <f t="shared" si="552"/>
        <v>Base S2|Gold Parallel - Season 2|153|Gold</v>
      </c>
      <c r="T2723" s="57" t="str">
        <f>IF($S2723="","",IFERROR(VLOOKUP($S2723,'Pop Estimates (Non-#d)'!$N$2:$O$500,2,FALSE),""))</f>
        <v/>
      </c>
      <c r="U2723" s="57" t="str">
        <f t="shared" si="553"/>
        <v/>
      </c>
      <c r="V2723" s="53" t="str">
        <f t="shared" si="554"/>
        <v/>
      </c>
      <c r="W2723" s="53" t="str">
        <f t="shared" si="555"/>
        <v/>
      </c>
      <c r="X2723" s="53" t="str">
        <f t="shared" si="556"/>
        <v/>
      </c>
      <c r="Y2723" s="57" t="str">
        <f>IF($X2723="","",IFERROR(VLOOKUP($X2723,'Char Popularity'!$A$2:$C$500,2,FALSE),""))</f>
        <v/>
      </c>
      <c r="Z2723" s="56">
        <f>IF($X2723="",1,IFERROR(VLOOKUP($X2723,'Char Popularity'!$A$2:$C$500,3,FALSE),1))</f>
        <v>1</v>
      </c>
      <c r="AA2723" s="62">
        <f>IF($H2723&lt;&gt;"Y",0,(IF($F2723&lt;&gt;"",ROUND(Dashboard!$R$4/$F2723,1),IF(AND($I2723="Base",$E2723="Base"),Dashboard!$R$5,IF(AND($I2723="Base",$E2723="Red"),Dashboard!$R$6,IF(AND($I2723="Base",$E2723="Gold"),Dashboard!$R$7,VLOOKUP($I2723,Dashboard!$Q$16:$R$21,2,FALSE)))))*VLOOKUP($I2723,Dashboard!$Q$9:$R$13,2,FALSE)*IF(AND($I2723="Auto",$F2723="",OR($B2723="Autographs Duals",$B2723="Autographs Triples",$B2723="Autographs Quads",$B2723="Autographs Quads (Inscribed)")),IF($B2723="Autographs Duals",2,IF($B2723="Autographs Triples",3,4)),1)))</f>
        <v>3</v>
      </c>
      <c r="AB2723" s="62">
        <f t="shared" si="557"/>
        <v>3</v>
      </c>
      <c r="AC2723" s="62">
        <f t="shared" si="558"/>
        <v>0</v>
      </c>
    </row>
    <row r="2724" spans="1:29" ht="28.7" customHeight="1" x14ac:dyDescent="0.25">
      <c r="A2724" s="4" t="s">
        <v>19</v>
      </c>
      <c r="B2724" s="7" t="s">
        <v>77</v>
      </c>
      <c r="C2724" s="2" t="s">
        <v>1553</v>
      </c>
      <c r="D2724" s="7" t="s">
        <v>1128</v>
      </c>
      <c r="E2724" s="4" t="s">
        <v>1602</v>
      </c>
      <c r="F2724" s="2"/>
      <c r="G2724" s="2" t="s">
        <v>1399</v>
      </c>
      <c r="H2724" s="2" t="s">
        <v>1400</v>
      </c>
      <c r="I2724" s="4" t="s">
        <v>60</v>
      </c>
      <c r="J2724" s="112">
        <f>IF($H2724&lt;&gt;"Y",0,ROUND(MIN(Dashboard!$R$24,IF(IFERROR(VLOOKUP($B2724,Dashboard!$Q$28:$S$60,2,FALSE),0)&gt;0,IFERROR(VLOOKUP($B2724,Dashboard!$Q$28:$S$60,2,FALSE),0),$Z2724*IF($U2724&lt;&gt;"",ROUND((Dashboard!$R$4/$U2724)*VLOOKUP($I2724,Dashboard!$Q$9:$R$13,2,FALSE)*IF(ISNUMBER(SEARCH("Duals",$B2724)),2,IF(ISNUMBER(SEARCH("Triples",$B2724)),3,IF(ISNUMBER(SEARCH("Quads",$B2724)),4,1))),2),ROUND(VLOOKUP($I2724,Dashboard!$Q$15:$R$20,2,FALSE)*IF($E2724="Red",Dashboard!$R$6,IF($E2724="Gold",Dashboard!$R$7,Dashboard!$R$5))*IF(ISNUMBER(SEARCH("Duals",$B2724)),2,IF(ISNUMBER(SEARCH("Triples",$B2724)),3,IF(ISNUMBER(SEARCH("Quads",$B2724)),4,1))),2))*IF(IFERROR(VLOOKUP($B2724,Dashboard!$Q$28:$S$60,3,FALSE),0)&gt;0,VLOOKUP($B2724,Dashboard!$Q$28:$S$60,3,FALSE),1))),0))</f>
        <v>3</v>
      </c>
      <c r="K2724" s="2" t="str">
        <f>IF('Base S2'!E55="","",'Base S2'!E55)</f>
        <v>C</v>
      </c>
      <c r="L2724" s="2">
        <f t="shared" si="559"/>
        <v>1</v>
      </c>
      <c r="M2724" s="2">
        <f t="shared" si="560"/>
        <v>0</v>
      </c>
      <c r="N2724" s="2">
        <f t="shared" si="561"/>
        <v>1</v>
      </c>
      <c r="O2724" s="2">
        <f t="shared" si="562"/>
        <v>0</v>
      </c>
      <c r="P2724" s="112">
        <f t="shared" si="563"/>
        <v>3</v>
      </c>
      <c r="Q2724" s="112">
        <f t="shared" si="564"/>
        <v>0</v>
      </c>
      <c r="R2724" s="53"/>
      <c r="S2724" s="53" t="str">
        <f t="shared" si="552"/>
        <v>Base S2|Gold Parallel - Season 2|154|Gold</v>
      </c>
      <c r="T2724" s="57" t="str">
        <f>IF($S2724="","",IFERROR(VLOOKUP($S2724,'Pop Estimates (Non-#d)'!$N$2:$O$500,2,FALSE),""))</f>
        <v/>
      </c>
      <c r="U2724" s="57" t="str">
        <f t="shared" si="553"/>
        <v/>
      </c>
      <c r="V2724" s="53" t="str">
        <f t="shared" si="554"/>
        <v/>
      </c>
      <c r="W2724" s="53" t="str">
        <f t="shared" si="555"/>
        <v/>
      </c>
      <c r="X2724" s="53" t="str">
        <f t="shared" si="556"/>
        <v/>
      </c>
      <c r="Y2724" s="57" t="str">
        <f>IF($X2724="","",IFERROR(VLOOKUP($X2724,'Char Popularity'!$A$2:$C$500,2,FALSE),""))</f>
        <v/>
      </c>
      <c r="Z2724" s="56">
        <f>IF($X2724="",1,IFERROR(VLOOKUP($X2724,'Char Popularity'!$A$2:$C$500,3,FALSE),1))</f>
        <v>1</v>
      </c>
      <c r="AA2724" s="62">
        <f>IF($H2724&lt;&gt;"Y",0,(IF($F2724&lt;&gt;"",ROUND(Dashboard!$R$4/$F2724,1),IF(AND($I2724="Base",$E2724="Base"),Dashboard!$R$5,IF(AND($I2724="Base",$E2724="Red"),Dashboard!$R$6,IF(AND($I2724="Base",$E2724="Gold"),Dashboard!$R$7,VLOOKUP($I2724,Dashboard!$Q$16:$R$21,2,FALSE)))))*VLOOKUP($I2724,Dashboard!$Q$9:$R$13,2,FALSE)*IF(AND($I2724="Auto",$F2724="",OR($B2724="Autographs Duals",$B2724="Autographs Triples",$B2724="Autographs Quads",$B2724="Autographs Quads (Inscribed)")),IF($B2724="Autographs Duals",2,IF($B2724="Autographs Triples",3,4)),1)))</f>
        <v>3</v>
      </c>
      <c r="AB2724" s="62">
        <f t="shared" si="557"/>
        <v>3</v>
      </c>
      <c r="AC2724" s="62">
        <f t="shared" si="558"/>
        <v>0</v>
      </c>
    </row>
    <row r="2725" spans="1:29" ht="28.7" customHeight="1" x14ac:dyDescent="0.25">
      <c r="A2725" s="4" t="s">
        <v>19</v>
      </c>
      <c r="B2725" s="7" t="s">
        <v>77</v>
      </c>
      <c r="C2725" s="2" t="s">
        <v>1554</v>
      </c>
      <c r="D2725" s="7" t="s">
        <v>1130</v>
      </c>
      <c r="E2725" s="4" t="s">
        <v>1602</v>
      </c>
      <c r="F2725" s="2"/>
      <c r="G2725" s="2" t="s">
        <v>1399</v>
      </c>
      <c r="H2725" s="2" t="s">
        <v>1400</v>
      </c>
      <c r="I2725" s="4" t="s">
        <v>60</v>
      </c>
      <c r="J2725" s="112">
        <f>IF($H2725&lt;&gt;"Y",0,ROUND(MIN(Dashboard!$R$24,IF(IFERROR(VLOOKUP($B2725,Dashboard!$Q$28:$S$60,2,FALSE),0)&gt;0,IFERROR(VLOOKUP($B2725,Dashboard!$Q$28:$S$60,2,FALSE),0),$Z2725*IF($U2725&lt;&gt;"",ROUND((Dashboard!$R$4/$U2725)*VLOOKUP($I2725,Dashboard!$Q$9:$R$13,2,FALSE)*IF(ISNUMBER(SEARCH("Duals",$B2725)),2,IF(ISNUMBER(SEARCH("Triples",$B2725)),3,IF(ISNUMBER(SEARCH("Quads",$B2725)),4,1))),2),ROUND(VLOOKUP($I2725,Dashboard!$Q$15:$R$20,2,FALSE)*IF($E2725="Red",Dashboard!$R$6,IF($E2725="Gold",Dashboard!$R$7,Dashboard!$R$5))*IF(ISNUMBER(SEARCH("Duals",$B2725)),2,IF(ISNUMBER(SEARCH("Triples",$B2725)),3,IF(ISNUMBER(SEARCH("Quads",$B2725)),4,1))),2))*IF(IFERROR(VLOOKUP($B2725,Dashboard!$Q$28:$S$60,3,FALSE),0)&gt;0,VLOOKUP($B2725,Dashboard!$Q$28:$S$60,3,FALSE),1))),0))</f>
        <v>3</v>
      </c>
      <c r="K2725" s="2" t="str">
        <f>IF('Base S2'!E56="","",'Base S2'!E56)</f>
        <v>C</v>
      </c>
      <c r="L2725" s="2">
        <f t="shared" si="559"/>
        <v>1</v>
      </c>
      <c r="M2725" s="2">
        <f t="shared" si="560"/>
        <v>0</v>
      </c>
      <c r="N2725" s="2">
        <f t="shared" si="561"/>
        <v>1</v>
      </c>
      <c r="O2725" s="2">
        <f t="shared" si="562"/>
        <v>0</v>
      </c>
      <c r="P2725" s="112">
        <f t="shared" si="563"/>
        <v>3</v>
      </c>
      <c r="Q2725" s="112">
        <f t="shared" si="564"/>
        <v>0</v>
      </c>
      <c r="R2725" s="53"/>
      <c r="S2725" s="53" t="str">
        <f t="shared" si="552"/>
        <v>Base S2|Gold Parallel - Season 2|155|Gold</v>
      </c>
      <c r="T2725" s="57" t="str">
        <f>IF($S2725="","",IFERROR(VLOOKUP($S2725,'Pop Estimates (Non-#d)'!$N$2:$O$500,2,FALSE),""))</f>
        <v/>
      </c>
      <c r="U2725" s="57" t="str">
        <f t="shared" si="553"/>
        <v/>
      </c>
      <c r="V2725" s="53" t="str">
        <f t="shared" si="554"/>
        <v/>
      </c>
      <c r="W2725" s="53" t="str">
        <f t="shared" si="555"/>
        <v/>
      </c>
      <c r="X2725" s="53" t="str">
        <f t="shared" si="556"/>
        <v/>
      </c>
      <c r="Y2725" s="57" t="str">
        <f>IF($X2725="","",IFERROR(VLOOKUP($X2725,'Char Popularity'!$A$2:$C$500,2,FALSE),""))</f>
        <v/>
      </c>
      <c r="Z2725" s="56">
        <f>IF($X2725="",1,IFERROR(VLOOKUP($X2725,'Char Popularity'!$A$2:$C$500,3,FALSE),1))</f>
        <v>1</v>
      </c>
      <c r="AA2725" s="62">
        <f>IF($H2725&lt;&gt;"Y",0,(IF($F2725&lt;&gt;"",ROUND(Dashboard!$R$4/$F2725,1),IF(AND($I2725="Base",$E2725="Base"),Dashboard!$R$5,IF(AND($I2725="Base",$E2725="Red"),Dashboard!$R$6,IF(AND($I2725="Base",$E2725="Gold"),Dashboard!$R$7,VLOOKUP($I2725,Dashboard!$Q$16:$R$21,2,FALSE)))))*VLOOKUP($I2725,Dashboard!$Q$9:$R$13,2,FALSE)*IF(AND($I2725="Auto",$F2725="",OR($B2725="Autographs Duals",$B2725="Autographs Triples",$B2725="Autographs Quads",$B2725="Autographs Quads (Inscribed)")),IF($B2725="Autographs Duals",2,IF($B2725="Autographs Triples",3,4)),1)))</f>
        <v>3</v>
      </c>
      <c r="AB2725" s="62">
        <f t="shared" si="557"/>
        <v>3</v>
      </c>
      <c r="AC2725" s="62">
        <f t="shared" si="558"/>
        <v>0</v>
      </c>
    </row>
    <row r="2726" spans="1:29" ht="28.7" customHeight="1" x14ac:dyDescent="0.25">
      <c r="A2726" s="4" t="s">
        <v>19</v>
      </c>
      <c r="B2726" s="7" t="s">
        <v>77</v>
      </c>
      <c r="C2726" s="2" t="s">
        <v>1555</v>
      </c>
      <c r="D2726" s="7" t="s">
        <v>1132</v>
      </c>
      <c r="E2726" s="4" t="s">
        <v>1602</v>
      </c>
      <c r="F2726" s="2"/>
      <c r="G2726" s="2" t="s">
        <v>1399</v>
      </c>
      <c r="H2726" s="2" t="s">
        <v>1400</v>
      </c>
      <c r="I2726" s="4" t="s">
        <v>60</v>
      </c>
      <c r="J2726" s="112">
        <f>IF($H2726&lt;&gt;"Y",0,ROUND(MIN(Dashboard!$R$24,IF(IFERROR(VLOOKUP($B2726,Dashboard!$Q$28:$S$60,2,FALSE),0)&gt;0,IFERROR(VLOOKUP($B2726,Dashboard!$Q$28:$S$60,2,FALSE),0),$Z2726*IF($U2726&lt;&gt;"",ROUND((Dashboard!$R$4/$U2726)*VLOOKUP($I2726,Dashboard!$Q$9:$R$13,2,FALSE)*IF(ISNUMBER(SEARCH("Duals",$B2726)),2,IF(ISNUMBER(SEARCH("Triples",$B2726)),3,IF(ISNUMBER(SEARCH("Quads",$B2726)),4,1))),2),ROUND(VLOOKUP($I2726,Dashboard!$Q$15:$R$20,2,FALSE)*IF($E2726="Red",Dashboard!$R$6,IF($E2726="Gold",Dashboard!$R$7,Dashboard!$R$5))*IF(ISNUMBER(SEARCH("Duals",$B2726)),2,IF(ISNUMBER(SEARCH("Triples",$B2726)),3,IF(ISNUMBER(SEARCH("Quads",$B2726)),4,1))),2))*IF(IFERROR(VLOOKUP($B2726,Dashboard!$Q$28:$S$60,3,FALSE),0)&gt;0,VLOOKUP($B2726,Dashboard!$Q$28:$S$60,3,FALSE),1))),0))</f>
        <v>3</v>
      </c>
      <c r="K2726" s="2" t="str">
        <f>IF('Base S2'!E57="","",'Base S2'!E57)</f>
        <v>C</v>
      </c>
      <c r="L2726" s="2">
        <f t="shared" si="559"/>
        <v>1</v>
      </c>
      <c r="M2726" s="2">
        <f t="shared" si="560"/>
        <v>0</v>
      </c>
      <c r="N2726" s="2">
        <f t="shared" si="561"/>
        <v>1</v>
      </c>
      <c r="O2726" s="2">
        <f t="shared" si="562"/>
        <v>0</v>
      </c>
      <c r="P2726" s="112">
        <f t="shared" si="563"/>
        <v>3</v>
      </c>
      <c r="Q2726" s="112">
        <f t="shared" si="564"/>
        <v>0</v>
      </c>
      <c r="R2726" s="53"/>
      <c r="S2726" s="53" t="str">
        <f t="shared" si="552"/>
        <v>Base S2|Gold Parallel - Season 2|156|Gold</v>
      </c>
      <c r="T2726" s="57" t="str">
        <f>IF($S2726="","",IFERROR(VLOOKUP($S2726,'Pop Estimates (Non-#d)'!$N$2:$O$500,2,FALSE),""))</f>
        <v/>
      </c>
      <c r="U2726" s="57" t="str">
        <f t="shared" si="553"/>
        <v/>
      </c>
      <c r="V2726" s="53" t="str">
        <f t="shared" si="554"/>
        <v/>
      </c>
      <c r="W2726" s="53" t="str">
        <f t="shared" si="555"/>
        <v/>
      </c>
      <c r="X2726" s="53" t="str">
        <f t="shared" si="556"/>
        <v/>
      </c>
      <c r="Y2726" s="57" t="str">
        <f>IF($X2726="","",IFERROR(VLOOKUP($X2726,'Char Popularity'!$A$2:$C$500,2,FALSE),""))</f>
        <v/>
      </c>
      <c r="Z2726" s="56">
        <f>IF($X2726="",1,IFERROR(VLOOKUP($X2726,'Char Popularity'!$A$2:$C$500,3,FALSE),1))</f>
        <v>1</v>
      </c>
      <c r="AA2726" s="62">
        <f>IF($H2726&lt;&gt;"Y",0,(IF($F2726&lt;&gt;"",ROUND(Dashboard!$R$4/$F2726,1),IF(AND($I2726="Base",$E2726="Base"),Dashboard!$R$5,IF(AND($I2726="Base",$E2726="Red"),Dashboard!$R$6,IF(AND($I2726="Base",$E2726="Gold"),Dashboard!$R$7,VLOOKUP($I2726,Dashboard!$Q$16:$R$21,2,FALSE)))))*VLOOKUP($I2726,Dashboard!$Q$9:$R$13,2,FALSE)*IF(AND($I2726="Auto",$F2726="",OR($B2726="Autographs Duals",$B2726="Autographs Triples",$B2726="Autographs Quads",$B2726="Autographs Quads (Inscribed)")),IF($B2726="Autographs Duals",2,IF($B2726="Autographs Triples",3,4)),1)))</f>
        <v>3</v>
      </c>
      <c r="AB2726" s="62">
        <f t="shared" si="557"/>
        <v>3</v>
      </c>
      <c r="AC2726" s="62">
        <f t="shared" si="558"/>
        <v>0</v>
      </c>
    </row>
    <row r="2727" spans="1:29" ht="28.7" customHeight="1" x14ac:dyDescent="0.25">
      <c r="A2727" s="4" t="s">
        <v>19</v>
      </c>
      <c r="B2727" s="7" t="s">
        <v>77</v>
      </c>
      <c r="C2727" s="2" t="s">
        <v>1556</v>
      </c>
      <c r="D2727" s="7" t="s">
        <v>1134</v>
      </c>
      <c r="E2727" s="4" t="s">
        <v>1602</v>
      </c>
      <c r="F2727" s="2"/>
      <c r="G2727" s="2" t="s">
        <v>1399</v>
      </c>
      <c r="H2727" s="2" t="s">
        <v>1400</v>
      </c>
      <c r="I2727" s="4" t="s">
        <v>60</v>
      </c>
      <c r="J2727" s="112">
        <f>IF($H2727&lt;&gt;"Y",0,ROUND(MIN(Dashboard!$R$24,IF(IFERROR(VLOOKUP($B2727,Dashboard!$Q$28:$S$60,2,FALSE),0)&gt;0,IFERROR(VLOOKUP($B2727,Dashboard!$Q$28:$S$60,2,FALSE),0),$Z2727*IF($U2727&lt;&gt;"",ROUND((Dashboard!$R$4/$U2727)*VLOOKUP($I2727,Dashboard!$Q$9:$R$13,2,FALSE)*IF(ISNUMBER(SEARCH("Duals",$B2727)),2,IF(ISNUMBER(SEARCH("Triples",$B2727)),3,IF(ISNUMBER(SEARCH("Quads",$B2727)),4,1))),2),ROUND(VLOOKUP($I2727,Dashboard!$Q$15:$R$20,2,FALSE)*IF($E2727="Red",Dashboard!$R$6,IF($E2727="Gold",Dashboard!$R$7,Dashboard!$R$5))*IF(ISNUMBER(SEARCH("Duals",$B2727)),2,IF(ISNUMBER(SEARCH("Triples",$B2727)),3,IF(ISNUMBER(SEARCH("Quads",$B2727)),4,1))),2))*IF(IFERROR(VLOOKUP($B2727,Dashboard!$Q$28:$S$60,3,FALSE),0)&gt;0,VLOOKUP($B2727,Dashboard!$Q$28:$S$60,3,FALSE),1))),0))</f>
        <v>3</v>
      </c>
      <c r="K2727" s="2" t="str">
        <f>IF('Base S2'!E58="","",'Base S2'!E58)</f>
        <v>C</v>
      </c>
      <c r="L2727" s="2">
        <f t="shared" si="559"/>
        <v>1</v>
      </c>
      <c r="M2727" s="2">
        <f t="shared" si="560"/>
        <v>0</v>
      </c>
      <c r="N2727" s="2">
        <f t="shared" si="561"/>
        <v>1</v>
      </c>
      <c r="O2727" s="2">
        <f t="shared" si="562"/>
        <v>0</v>
      </c>
      <c r="P2727" s="112">
        <f t="shared" si="563"/>
        <v>3</v>
      </c>
      <c r="Q2727" s="112">
        <f t="shared" si="564"/>
        <v>0</v>
      </c>
      <c r="R2727" s="53"/>
      <c r="S2727" s="53" t="str">
        <f t="shared" si="552"/>
        <v>Base S2|Gold Parallel - Season 2|157|Gold</v>
      </c>
      <c r="T2727" s="57" t="str">
        <f>IF($S2727="","",IFERROR(VLOOKUP($S2727,'Pop Estimates (Non-#d)'!$N$2:$O$500,2,FALSE),""))</f>
        <v/>
      </c>
      <c r="U2727" s="57" t="str">
        <f t="shared" si="553"/>
        <v/>
      </c>
      <c r="V2727" s="53" t="str">
        <f t="shared" si="554"/>
        <v/>
      </c>
      <c r="W2727" s="53" t="str">
        <f t="shared" si="555"/>
        <v/>
      </c>
      <c r="X2727" s="53" t="str">
        <f t="shared" si="556"/>
        <v/>
      </c>
      <c r="Y2727" s="57" t="str">
        <f>IF($X2727="","",IFERROR(VLOOKUP($X2727,'Char Popularity'!$A$2:$C$500,2,FALSE),""))</f>
        <v/>
      </c>
      <c r="Z2727" s="56">
        <f>IF($X2727="",1,IFERROR(VLOOKUP($X2727,'Char Popularity'!$A$2:$C$500,3,FALSE),1))</f>
        <v>1</v>
      </c>
      <c r="AA2727" s="62">
        <f>IF($H2727&lt;&gt;"Y",0,(IF($F2727&lt;&gt;"",ROUND(Dashboard!$R$4/$F2727,1),IF(AND($I2727="Base",$E2727="Base"),Dashboard!$R$5,IF(AND($I2727="Base",$E2727="Red"),Dashboard!$R$6,IF(AND($I2727="Base",$E2727="Gold"),Dashboard!$R$7,VLOOKUP($I2727,Dashboard!$Q$16:$R$21,2,FALSE)))))*VLOOKUP($I2727,Dashboard!$Q$9:$R$13,2,FALSE)*IF(AND($I2727="Auto",$F2727="",OR($B2727="Autographs Duals",$B2727="Autographs Triples",$B2727="Autographs Quads",$B2727="Autographs Quads (Inscribed)")),IF($B2727="Autographs Duals",2,IF($B2727="Autographs Triples",3,4)),1)))</f>
        <v>3</v>
      </c>
      <c r="AB2727" s="62">
        <f t="shared" si="557"/>
        <v>3</v>
      </c>
      <c r="AC2727" s="62">
        <f t="shared" si="558"/>
        <v>0</v>
      </c>
    </row>
    <row r="2728" spans="1:29" ht="28.7" customHeight="1" x14ac:dyDescent="0.25">
      <c r="A2728" s="4" t="s">
        <v>19</v>
      </c>
      <c r="B2728" s="7" t="s">
        <v>77</v>
      </c>
      <c r="C2728" s="2" t="s">
        <v>1557</v>
      </c>
      <c r="D2728" s="7" t="s">
        <v>1136</v>
      </c>
      <c r="E2728" s="4" t="s">
        <v>1602</v>
      </c>
      <c r="F2728" s="2"/>
      <c r="G2728" s="2" t="s">
        <v>1399</v>
      </c>
      <c r="H2728" s="2" t="s">
        <v>1400</v>
      </c>
      <c r="I2728" s="4" t="s">
        <v>60</v>
      </c>
      <c r="J2728" s="112">
        <f>IF($H2728&lt;&gt;"Y",0,ROUND(MIN(Dashboard!$R$24,IF(IFERROR(VLOOKUP($B2728,Dashboard!$Q$28:$S$60,2,FALSE),0)&gt;0,IFERROR(VLOOKUP($B2728,Dashboard!$Q$28:$S$60,2,FALSE),0),$Z2728*IF($U2728&lt;&gt;"",ROUND((Dashboard!$R$4/$U2728)*VLOOKUP($I2728,Dashboard!$Q$9:$R$13,2,FALSE)*IF(ISNUMBER(SEARCH("Duals",$B2728)),2,IF(ISNUMBER(SEARCH("Triples",$B2728)),3,IF(ISNUMBER(SEARCH("Quads",$B2728)),4,1))),2),ROUND(VLOOKUP($I2728,Dashboard!$Q$15:$R$20,2,FALSE)*IF($E2728="Red",Dashboard!$R$6,IF($E2728="Gold",Dashboard!$R$7,Dashboard!$R$5))*IF(ISNUMBER(SEARCH("Duals",$B2728)),2,IF(ISNUMBER(SEARCH("Triples",$B2728)),3,IF(ISNUMBER(SEARCH("Quads",$B2728)),4,1))),2))*IF(IFERROR(VLOOKUP($B2728,Dashboard!$Q$28:$S$60,3,FALSE),0)&gt;0,VLOOKUP($B2728,Dashboard!$Q$28:$S$60,3,FALSE),1))),0))</f>
        <v>3</v>
      </c>
      <c r="K2728" s="2" t="str">
        <f>IF('Base S2'!E59="","",'Base S2'!E59)</f>
        <v>C</v>
      </c>
      <c r="L2728" s="2">
        <f t="shared" si="559"/>
        <v>1</v>
      </c>
      <c r="M2728" s="2">
        <f t="shared" si="560"/>
        <v>0</v>
      </c>
      <c r="N2728" s="2">
        <f t="shared" si="561"/>
        <v>1</v>
      </c>
      <c r="O2728" s="2">
        <f t="shared" si="562"/>
        <v>0</v>
      </c>
      <c r="P2728" s="112">
        <f t="shared" si="563"/>
        <v>3</v>
      </c>
      <c r="Q2728" s="112">
        <f t="shared" si="564"/>
        <v>0</v>
      </c>
      <c r="R2728" s="53"/>
      <c r="S2728" s="53" t="str">
        <f t="shared" si="552"/>
        <v>Base S2|Gold Parallel - Season 2|158|Gold</v>
      </c>
      <c r="T2728" s="57" t="str">
        <f>IF($S2728="","",IFERROR(VLOOKUP($S2728,'Pop Estimates (Non-#d)'!$N$2:$O$500,2,FALSE),""))</f>
        <v/>
      </c>
      <c r="U2728" s="57" t="str">
        <f t="shared" si="553"/>
        <v/>
      </c>
      <c r="V2728" s="53" t="str">
        <f t="shared" si="554"/>
        <v/>
      </c>
      <c r="W2728" s="53" t="str">
        <f t="shared" si="555"/>
        <v/>
      </c>
      <c r="X2728" s="53" t="str">
        <f t="shared" si="556"/>
        <v/>
      </c>
      <c r="Y2728" s="57" t="str">
        <f>IF($X2728="","",IFERROR(VLOOKUP($X2728,'Char Popularity'!$A$2:$C$500,2,FALSE),""))</f>
        <v/>
      </c>
      <c r="Z2728" s="56">
        <f>IF($X2728="",1,IFERROR(VLOOKUP($X2728,'Char Popularity'!$A$2:$C$500,3,FALSE),1))</f>
        <v>1</v>
      </c>
      <c r="AA2728" s="62">
        <f>IF($H2728&lt;&gt;"Y",0,(IF($F2728&lt;&gt;"",ROUND(Dashboard!$R$4/$F2728,1),IF(AND($I2728="Base",$E2728="Base"),Dashboard!$R$5,IF(AND($I2728="Base",$E2728="Red"),Dashboard!$R$6,IF(AND($I2728="Base",$E2728="Gold"),Dashboard!$R$7,VLOOKUP($I2728,Dashboard!$Q$16:$R$21,2,FALSE)))))*VLOOKUP($I2728,Dashboard!$Q$9:$R$13,2,FALSE)*IF(AND($I2728="Auto",$F2728="",OR($B2728="Autographs Duals",$B2728="Autographs Triples",$B2728="Autographs Quads",$B2728="Autographs Quads (Inscribed)")),IF($B2728="Autographs Duals",2,IF($B2728="Autographs Triples",3,4)),1)))</f>
        <v>3</v>
      </c>
      <c r="AB2728" s="62">
        <f t="shared" si="557"/>
        <v>3</v>
      </c>
      <c r="AC2728" s="62">
        <f t="shared" si="558"/>
        <v>0</v>
      </c>
    </row>
    <row r="2729" spans="1:29" ht="28.7" customHeight="1" x14ac:dyDescent="0.25">
      <c r="A2729" s="4" t="s">
        <v>19</v>
      </c>
      <c r="B2729" s="7" t="s">
        <v>77</v>
      </c>
      <c r="C2729" s="2" t="s">
        <v>1558</v>
      </c>
      <c r="D2729" s="7" t="s">
        <v>1137</v>
      </c>
      <c r="E2729" s="4" t="s">
        <v>1602</v>
      </c>
      <c r="F2729" s="2"/>
      <c r="G2729" s="2" t="s">
        <v>1399</v>
      </c>
      <c r="H2729" s="2" t="s">
        <v>1400</v>
      </c>
      <c r="I2729" s="4" t="s">
        <v>60</v>
      </c>
      <c r="J2729" s="112">
        <f>IF($H2729&lt;&gt;"Y",0,ROUND(MIN(Dashboard!$R$24,IF(IFERROR(VLOOKUP($B2729,Dashboard!$Q$28:$S$60,2,FALSE),0)&gt;0,IFERROR(VLOOKUP($B2729,Dashboard!$Q$28:$S$60,2,FALSE),0),$Z2729*IF($U2729&lt;&gt;"",ROUND((Dashboard!$R$4/$U2729)*VLOOKUP($I2729,Dashboard!$Q$9:$R$13,2,FALSE)*IF(ISNUMBER(SEARCH("Duals",$B2729)),2,IF(ISNUMBER(SEARCH("Triples",$B2729)),3,IF(ISNUMBER(SEARCH("Quads",$B2729)),4,1))),2),ROUND(VLOOKUP($I2729,Dashboard!$Q$15:$R$20,2,FALSE)*IF($E2729="Red",Dashboard!$R$6,IF($E2729="Gold",Dashboard!$R$7,Dashboard!$R$5))*IF(ISNUMBER(SEARCH("Duals",$B2729)),2,IF(ISNUMBER(SEARCH("Triples",$B2729)),3,IF(ISNUMBER(SEARCH("Quads",$B2729)),4,1))),2))*IF(IFERROR(VLOOKUP($B2729,Dashboard!$Q$28:$S$60,3,FALSE),0)&gt;0,VLOOKUP($B2729,Dashboard!$Q$28:$S$60,3,FALSE),1))),0))</f>
        <v>3</v>
      </c>
      <c r="K2729" s="2" t="str">
        <f>IF('Base S2'!E60="","",'Base S2'!E60)</f>
        <v>C</v>
      </c>
      <c r="L2729" s="2">
        <f t="shared" si="559"/>
        <v>1</v>
      </c>
      <c r="M2729" s="2">
        <f t="shared" si="560"/>
        <v>0</v>
      </c>
      <c r="N2729" s="2">
        <f t="shared" si="561"/>
        <v>1</v>
      </c>
      <c r="O2729" s="2">
        <f t="shared" si="562"/>
        <v>0</v>
      </c>
      <c r="P2729" s="112">
        <f t="shared" si="563"/>
        <v>3</v>
      </c>
      <c r="Q2729" s="112">
        <f t="shared" si="564"/>
        <v>0</v>
      </c>
      <c r="R2729" s="53"/>
      <c r="S2729" s="53" t="str">
        <f t="shared" si="552"/>
        <v>Base S2|Gold Parallel - Season 2|159|Gold</v>
      </c>
      <c r="T2729" s="57" t="str">
        <f>IF($S2729="","",IFERROR(VLOOKUP($S2729,'Pop Estimates (Non-#d)'!$N$2:$O$500,2,FALSE),""))</f>
        <v/>
      </c>
      <c r="U2729" s="57" t="str">
        <f t="shared" si="553"/>
        <v/>
      </c>
      <c r="V2729" s="53" t="str">
        <f t="shared" si="554"/>
        <v/>
      </c>
      <c r="W2729" s="53" t="str">
        <f t="shared" si="555"/>
        <v/>
      </c>
      <c r="X2729" s="53" t="str">
        <f t="shared" si="556"/>
        <v/>
      </c>
      <c r="Y2729" s="57" t="str">
        <f>IF($X2729="","",IFERROR(VLOOKUP($X2729,'Char Popularity'!$A$2:$C$500,2,FALSE),""))</f>
        <v/>
      </c>
      <c r="Z2729" s="56">
        <f>IF($X2729="",1,IFERROR(VLOOKUP($X2729,'Char Popularity'!$A$2:$C$500,3,FALSE),1))</f>
        <v>1</v>
      </c>
      <c r="AA2729" s="62">
        <f>IF($H2729&lt;&gt;"Y",0,(IF($F2729&lt;&gt;"",ROUND(Dashboard!$R$4/$F2729,1),IF(AND($I2729="Base",$E2729="Base"),Dashboard!$R$5,IF(AND($I2729="Base",$E2729="Red"),Dashboard!$R$6,IF(AND($I2729="Base",$E2729="Gold"),Dashboard!$R$7,VLOOKUP($I2729,Dashboard!$Q$16:$R$21,2,FALSE)))))*VLOOKUP($I2729,Dashboard!$Q$9:$R$13,2,FALSE)*IF(AND($I2729="Auto",$F2729="",OR($B2729="Autographs Duals",$B2729="Autographs Triples",$B2729="Autographs Quads",$B2729="Autographs Quads (Inscribed)")),IF($B2729="Autographs Duals",2,IF($B2729="Autographs Triples",3,4)),1)))</f>
        <v>3</v>
      </c>
      <c r="AB2729" s="62">
        <f t="shared" si="557"/>
        <v>3</v>
      </c>
      <c r="AC2729" s="62">
        <f t="shared" si="558"/>
        <v>0</v>
      </c>
    </row>
    <row r="2730" spans="1:29" ht="28.7" customHeight="1" x14ac:dyDescent="0.25">
      <c r="A2730" s="4" t="s">
        <v>19</v>
      </c>
      <c r="B2730" s="7" t="s">
        <v>77</v>
      </c>
      <c r="C2730" s="2" t="s">
        <v>1559</v>
      </c>
      <c r="D2730" s="7" t="s">
        <v>1139</v>
      </c>
      <c r="E2730" s="4" t="s">
        <v>1602</v>
      </c>
      <c r="F2730" s="2"/>
      <c r="G2730" s="2" t="s">
        <v>1399</v>
      </c>
      <c r="H2730" s="2" t="s">
        <v>1400</v>
      </c>
      <c r="I2730" s="4" t="s">
        <v>60</v>
      </c>
      <c r="J2730" s="112">
        <f>IF($H2730&lt;&gt;"Y",0,ROUND(MIN(Dashboard!$R$24,IF(IFERROR(VLOOKUP($B2730,Dashboard!$Q$28:$S$60,2,FALSE),0)&gt;0,IFERROR(VLOOKUP($B2730,Dashboard!$Q$28:$S$60,2,FALSE),0),$Z2730*IF($U2730&lt;&gt;"",ROUND((Dashboard!$R$4/$U2730)*VLOOKUP($I2730,Dashboard!$Q$9:$R$13,2,FALSE)*IF(ISNUMBER(SEARCH("Duals",$B2730)),2,IF(ISNUMBER(SEARCH("Triples",$B2730)),3,IF(ISNUMBER(SEARCH("Quads",$B2730)),4,1))),2),ROUND(VLOOKUP($I2730,Dashboard!$Q$15:$R$20,2,FALSE)*IF($E2730="Red",Dashboard!$R$6,IF($E2730="Gold",Dashboard!$R$7,Dashboard!$R$5))*IF(ISNUMBER(SEARCH("Duals",$B2730)),2,IF(ISNUMBER(SEARCH("Triples",$B2730)),3,IF(ISNUMBER(SEARCH("Quads",$B2730)),4,1))),2))*IF(IFERROR(VLOOKUP($B2730,Dashboard!$Q$28:$S$60,3,FALSE),0)&gt;0,VLOOKUP($B2730,Dashboard!$Q$28:$S$60,3,FALSE),1))),0))</f>
        <v>3</v>
      </c>
      <c r="K2730" s="2" t="str">
        <f>IF('Base S2'!E61="","",'Base S2'!E61)</f>
        <v>C</v>
      </c>
      <c r="L2730" s="2">
        <f t="shared" si="559"/>
        <v>1</v>
      </c>
      <c r="M2730" s="2">
        <f t="shared" si="560"/>
        <v>0</v>
      </c>
      <c r="N2730" s="2">
        <f t="shared" si="561"/>
        <v>1</v>
      </c>
      <c r="O2730" s="2">
        <f t="shared" si="562"/>
        <v>0</v>
      </c>
      <c r="P2730" s="112">
        <f t="shared" si="563"/>
        <v>3</v>
      </c>
      <c r="Q2730" s="112">
        <f t="shared" si="564"/>
        <v>0</v>
      </c>
      <c r="R2730" s="53"/>
      <c r="S2730" s="53" t="str">
        <f t="shared" si="552"/>
        <v>Base S2|Gold Parallel - Season 2|160|Gold</v>
      </c>
      <c r="T2730" s="57" t="str">
        <f>IF($S2730="","",IFERROR(VLOOKUP($S2730,'Pop Estimates (Non-#d)'!$N$2:$O$500,2,FALSE),""))</f>
        <v/>
      </c>
      <c r="U2730" s="57" t="str">
        <f t="shared" si="553"/>
        <v/>
      </c>
      <c r="V2730" s="53" t="str">
        <f t="shared" si="554"/>
        <v/>
      </c>
      <c r="W2730" s="53" t="str">
        <f t="shared" si="555"/>
        <v/>
      </c>
      <c r="X2730" s="53" t="str">
        <f t="shared" si="556"/>
        <v/>
      </c>
      <c r="Y2730" s="57" t="str">
        <f>IF($X2730="","",IFERROR(VLOOKUP($X2730,'Char Popularity'!$A$2:$C$500,2,FALSE),""))</f>
        <v/>
      </c>
      <c r="Z2730" s="56">
        <f>IF($X2730="",1,IFERROR(VLOOKUP($X2730,'Char Popularity'!$A$2:$C$500,3,FALSE),1))</f>
        <v>1</v>
      </c>
      <c r="AA2730" s="62">
        <f>IF($H2730&lt;&gt;"Y",0,(IF($F2730&lt;&gt;"",ROUND(Dashboard!$R$4/$F2730,1),IF(AND($I2730="Base",$E2730="Base"),Dashboard!$R$5,IF(AND($I2730="Base",$E2730="Red"),Dashboard!$R$6,IF(AND($I2730="Base",$E2730="Gold"),Dashboard!$R$7,VLOOKUP($I2730,Dashboard!$Q$16:$R$21,2,FALSE)))))*VLOOKUP($I2730,Dashboard!$Q$9:$R$13,2,FALSE)*IF(AND($I2730="Auto",$F2730="",OR($B2730="Autographs Duals",$B2730="Autographs Triples",$B2730="Autographs Quads",$B2730="Autographs Quads (Inscribed)")),IF($B2730="Autographs Duals",2,IF($B2730="Autographs Triples",3,4)),1)))</f>
        <v>3</v>
      </c>
      <c r="AB2730" s="62">
        <f t="shared" si="557"/>
        <v>3</v>
      </c>
      <c r="AC2730" s="62">
        <f t="shared" si="558"/>
        <v>0</v>
      </c>
    </row>
    <row r="2731" spans="1:29" ht="28.7" customHeight="1" x14ac:dyDescent="0.25">
      <c r="A2731" s="4" t="s">
        <v>19</v>
      </c>
      <c r="B2731" s="7" t="s">
        <v>77</v>
      </c>
      <c r="C2731" s="2" t="s">
        <v>1560</v>
      </c>
      <c r="D2731" s="7" t="s">
        <v>1140</v>
      </c>
      <c r="E2731" s="4" t="s">
        <v>1602</v>
      </c>
      <c r="F2731" s="2"/>
      <c r="G2731" s="2" t="s">
        <v>1399</v>
      </c>
      <c r="H2731" s="2" t="s">
        <v>1400</v>
      </c>
      <c r="I2731" s="4" t="s">
        <v>60</v>
      </c>
      <c r="J2731" s="112">
        <f>IF($H2731&lt;&gt;"Y",0,ROUND(MIN(Dashboard!$R$24,IF(IFERROR(VLOOKUP($B2731,Dashboard!$Q$28:$S$60,2,FALSE),0)&gt;0,IFERROR(VLOOKUP($B2731,Dashboard!$Q$28:$S$60,2,FALSE),0),$Z2731*IF($U2731&lt;&gt;"",ROUND((Dashboard!$R$4/$U2731)*VLOOKUP($I2731,Dashboard!$Q$9:$R$13,2,FALSE)*IF(ISNUMBER(SEARCH("Duals",$B2731)),2,IF(ISNUMBER(SEARCH("Triples",$B2731)),3,IF(ISNUMBER(SEARCH("Quads",$B2731)),4,1))),2),ROUND(VLOOKUP($I2731,Dashboard!$Q$15:$R$20,2,FALSE)*IF($E2731="Red",Dashboard!$R$6,IF($E2731="Gold",Dashboard!$R$7,Dashboard!$R$5))*IF(ISNUMBER(SEARCH("Duals",$B2731)),2,IF(ISNUMBER(SEARCH("Triples",$B2731)),3,IF(ISNUMBER(SEARCH("Quads",$B2731)),4,1))),2))*IF(IFERROR(VLOOKUP($B2731,Dashboard!$Q$28:$S$60,3,FALSE),0)&gt;0,VLOOKUP($B2731,Dashboard!$Q$28:$S$60,3,FALSE),1))),0))</f>
        <v>3</v>
      </c>
      <c r="K2731" s="2" t="str">
        <f>IF('Base S2'!E62="","",'Base S2'!E62)</f>
        <v>C</v>
      </c>
      <c r="L2731" s="2">
        <f t="shared" si="559"/>
        <v>1</v>
      </c>
      <c r="M2731" s="2">
        <f t="shared" si="560"/>
        <v>0</v>
      </c>
      <c r="N2731" s="2">
        <f t="shared" si="561"/>
        <v>1</v>
      </c>
      <c r="O2731" s="2">
        <f t="shared" si="562"/>
        <v>0</v>
      </c>
      <c r="P2731" s="112">
        <f t="shared" si="563"/>
        <v>3</v>
      </c>
      <c r="Q2731" s="112">
        <f t="shared" si="564"/>
        <v>0</v>
      </c>
      <c r="R2731" s="53"/>
      <c r="S2731" s="53" t="str">
        <f t="shared" si="552"/>
        <v>Base S2|Gold Parallel - Season 2|161|Gold</v>
      </c>
      <c r="T2731" s="57" t="str">
        <f>IF($S2731="","",IFERROR(VLOOKUP($S2731,'Pop Estimates (Non-#d)'!$N$2:$O$500,2,FALSE),""))</f>
        <v/>
      </c>
      <c r="U2731" s="57" t="str">
        <f t="shared" si="553"/>
        <v/>
      </c>
      <c r="V2731" s="53" t="str">
        <f t="shared" si="554"/>
        <v/>
      </c>
      <c r="W2731" s="53" t="str">
        <f t="shared" si="555"/>
        <v/>
      </c>
      <c r="X2731" s="53" t="str">
        <f t="shared" si="556"/>
        <v/>
      </c>
      <c r="Y2731" s="57" t="str">
        <f>IF($X2731="","",IFERROR(VLOOKUP($X2731,'Char Popularity'!$A$2:$C$500,2,FALSE),""))</f>
        <v/>
      </c>
      <c r="Z2731" s="56">
        <f>IF($X2731="",1,IFERROR(VLOOKUP($X2731,'Char Popularity'!$A$2:$C$500,3,FALSE),1))</f>
        <v>1</v>
      </c>
      <c r="AA2731" s="62">
        <f>IF($H2731&lt;&gt;"Y",0,(IF($F2731&lt;&gt;"",ROUND(Dashboard!$R$4/$F2731,1),IF(AND($I2731="Base",$E2731="Base"),Dashboard!$R$5,IF(AND($I2731="Base",$E2731="Red"),Dashboard!$R$6,IF(AND($I2731="Base",$E2731="Gold"),Dashboard!$R$7,VLOOKUP($I2731,Dashboard!$Q$16:$R$21,2,FALSE)))))*VLOOKUP($I2731,Dashboard!$Q$9:$R$13,2,FALSE)*IF(AND($I2731="Auto",$F2731="",OR($B2731="Autographs Duals",$B2731="Autographs Triples",$B2731="Autographs Quads",$B2731="Autographs Quads (Inscribed)")),IF($B2731="Autographs Duals",2,IF($B2731="Autographs Triples",3,4)),1)))</f>
        <v>3</v>
      </c>
      <c r="AB2731" s="62">
        <f t="shared" si="557"/>
        <v>3</v>
      </c>
      <c r="AC2731" s="62">
        <f t="shared" si="558"/>
        <v>0</v>
      </c>
    </row>
    <row r="2732" spans="1:29" ht="28.7" customHeight="1" x14ac:dyDescent="0.25">
      <c r="A2732" s="4" t="s">
        <v>19</v>
      </c>
      <c r="B2732" s="7" t="s">
        <v>77</v>
      </c>
      <c r="C2732" s="2" t="s">
        <v>1561</v>
      </c>
      <c r="D2732" s="7" t="s">
        <v>1142</v>
      </c>
      <c r="E2732" s="4" t="s">
        <v>1602</v>
      </c>
      <c r="F2732" s="2"/>
      <c r="G2732" s="2" t="s">
        <v>1399</v>
      </c>
      <c r="H2732" s="2" t="s">
        <v>1400</v>
      </c>
      <c r="I2732" s="4" t="s">
        <v>60</v>
      </c>
      <c r="J2732" s="112">
        <f>IF($H2732&lt;&gt;"Y",0,ROUND(MIN(Dashboard!$R$24,IF(IFERROR(VLOOKUP($B2732,Dashboard!$Q$28:$S$60,2,FALSE),0)&gt;0,IFERROR(VLOOKUP($B2732,Dashboard!$Q$28:$S$60,2,FALSE),0),$Z2732*IF($U2732&lt;&gt;"",ROUND((Dashboard!$R$4/$U2732)*VLOOKUP($I2732,Dashboard!$Q$9:$R$13,2,FALSE)*IF(ISNUMBER(SEARCH("Duals",$B2732)),2,IF(ISNUMBER(SEARCH("Triples",$B2732)),3,IF(ISNUMBER(SEARCH("Quads",$B2732)),4,1))),2),ROUND(VLOOKUP($I2732,Dashboard!$Q$15:$R$20,2,FALSE)*IF($E2732="Red",Dashboard!$R$6,IF($E2732="Gold",Dashboard!$R$7,Dashboard!$R$5))*IF(ISNUMBER(SEARCH("Duals",$B2732)),2,IF(ISNUMBER(SEARCH("Triples",$B2732)),3,IF(ISNUMBER(SEARCH("Quads",$B2732)),4,1))),2))*IF(IFERROR(VLOOKUP($B2732,Dashboard!$Q$28:$S$60,3,FALSE),0)&gt;0,VLOOKUP($B2732,Dashboard!$Q$28:$S$60,3,FALSE),1))),0))</f>
        <v>3</v>
      </c>
      <c r="K2732" s="2" t="str">
        <f>IF('Base S2'!E63="","",'Base S2'!E63)</f>
        <v>C</v>
      </c>
      <c r="L2732" s="2">
        <f t="shared" si="559"/>
        <v>1</v>
      </c>
      <c r="M2732" s="2">
        <f t="shared" si="560"/>
        <v>0</v>
      </c>
      <c r="N2732" s="2">
        <f t="shared" si="561"/>
        <v>1</v>
      </c>
      <c r="O2732" s="2">
        <f t="shared" si="562"/>
        <v>0</v>
      </c>
      <c r="P2732" s="112">
        <f t="shared" si="563"/>
        <v>3</v>
      </c>
      <c r="Q2732" s="112">
        <f t="shared" si="564"/>
        <v>0</v>
      </c>
      <c r="R2732" s="53"/>
      <c r="S2732" s="53" t="str">
        <f t="shared" si="552"/>
        <v>Base S2|Gold Parallel - Season 2|162|Gold</v>
      </c>
      <c r="T2732" s="57" t="str">
        <f>IF($S2732="","",IFERROR(VLOOKUP($S2732,'Pop Estimates (Non-#d)'!$N$2:$O$500,2,FALSE),""))</f>
        <v/>
      </c>
      <c r="U2732" s="57" t="str">
        <f t="shared" si="553"/>
        <v/>
      </c>
      <c r="V2732" s="53" t="str">
        <f t="shared" si="554"/>
        <v/>
      </c>
      <c r="W2732" s="53" t="str">
        <f t="shared" si="555"/>
        <v/>
      </c>
      <c r="X2732" s="53" t="str">
        <f t="shared" si="556"/>
        <v/>
      </c>
      <c r="Y2732" s="57" t="str">
        <f>IF($X2732="","",IFERROR(VLOOKUP($X2732,'Char Popularity'!$A$2:$C$500,2,FALSE),""))</f>
        <v/>
      </c>
      <c r="Z2732" s="56">
        <f>IF($X2732="",1,IFERROR(VLOOKUP($X2732,'Char Popularity'!$A$2:$C$500,3,FALSE),1))</f>
        <v>1</v>
      </c>
      <c r="AA2732" s="62">
        <f>IF($H2732&lt;&gt;"Y",0,(IF($F2732&lt;&gt;"",ROUND(Dashboard!$R$4/$F2732,1),IF(AND($I2732="Base",$E2732="Base"),Dashboard!$R$5,IF(AND($I2732="Base",$E2732="Red"),Dashboard!$R$6,IF(AND($I2732="Base",$E2732="Gold"),Dashboard!$R$7,VLOOKUP($I2732,Dashboard!$Q$16:$R$21,2,FALSE)))))*VLOOKUP($I2732,Dashboard!$Q$9:$R$13,2,FALSE)*IF(AND($I2732="Auto",$F2732="",OR($B2732="Autographs Duals",$B2732="Autographs Triples",$B2732="Autographs Quads",$B2732="Autographs Quads (Inscribed)")),IF($B2732="Autographs Duals",2,IF($B2732="Autographs Triples",3,4)),1)))</f>
        <v>3</v>
      </c>
      <c r="AB2732" s="62">
        <f t="shared" si="557"/>
        <v>3</v>
      </c>
      <c r="AC2732" s="62">
        <f t="shared" si="558"/>
        <v>0</v>
      </c>
    </row>
    <row r="2733" spans="1:29" ht="28.7" customHeight="1" x14ac:dyDescent="0.25">
      <c r="A2733" s="4" t="s">
        <v>19</v>
      </c>
      <c r="B2733" s="7" t="s">
        <v>77</v>
      </c>
      <c r="C2733" s="2" t="s">
        <v>1562</v>
      </c>
      <c r="D2733" s="7" t="s">
        <v>1143</v>
      </c>
      <c r="E2733" s="4" t="s">
        <v>1602</v>
      </c>
      <c r="F2733" s="2"/>
      <c r="G2733" s="2" t="s">
        <v>1399</v>
      </c>
      <c r="H2733" s="2" t="s">
        <v>1400</v>
      </c>
      <c r="I2733" s="4" t="s">
        <v>60</v>
      </c>
      <c r="J2733" s="112">
        <f>IF($H2733&lt;&gt;"Y",0,ROUND(MIN(Dashboard!$R$24,IF(IFERROR(VLOOKUP($B2733,Dashboard!$Q$28:$S$60,2,FALSE),0)&gt;0,IFERROR(VLOOKUP($B2733,Dashboard!$Q$28:$S$60,2,FALSE),0),$Z2733*IF($U2733&lt;&gt;"",ROUND((Dashboard!$R$4/$U2733)*VLOOKUP($I2733,Dashboard!$Q$9:$R$13,2,FALSE)*IF(ISNUMBER(SEARCH("Duals",$B2733)),2,IF(ISNUMBER(SEARCH("Triples",$B2733)),3,IF(ISNUMBER(SEARCH("Quads",$B2733)),4,1))),2),ROUND(VLOOKUP($I2733,Dashboard!$Q$15:$R$20,2,FALSE)*IF($E2733="Red",Dashboard!$R$6,IF($E2733="Gold",Dashboard!$R$7,Dashboard!$R$5))*IF(ISNUMBER(SEARCH("Duals",$B2733)),2,IF(ISNUMBER(SEARCH("Triples",$B2733)),3,IF(ISNUMBER(SEARCH("Quads",$B2733)),4,1))),2))*IF(IFERROR(VLOOKUP($B2733,Dashboard!$Q$28:$S$60,3,FALSE),0)&gt;0,VLOOKUP($B2733,Dashboard!$Q$28:$S$60,3,FALSE),1))),0))</f>
        <v>3</v>
      </c>
      <c r="K2733" s="2" t="str">
        <f>IF('Base S2'!E64="","",'Base S2'!E64)</f>
        <v>C</v>
      </c>
      <c r="L2733" s="2">
        <f t="shared" si="559"/>
        <v>1</v>
      </c>
      <c r="M2733" s="2">
        <f t="shared" si="560"/>
        <v>0</v>
      </c>
      <c r="N2733" s="2">
        <f t="shared" si="561"/>
        <v>1</v>
      </c>
      <c r="O2733" s="2">
        <f t="shared" si="562"/>
        <v>0</v>
      </c>
      <c r="P2733" s="112">
        <f t="shared" si="563"/>
        <v>3</v>
      </c>
      <c r="Q2733" s="112">
        <f t="shared" si="564"/>
        <v>0</v>
      </c>
      <c r="R2733" s="53"/>
      <c r="S2733" s="53" t="str">
        <f t="shared" si="552"/>
        <v>Base S2|Gold Parallel - Season 2|163|Gold</v>
      </c>
      <c r="T2733" s="57" t="str">
        <f>IF($S2733="","",IFERROR(VLOOKUP($S2733,'Pop Estimates (Non-#d)'!$N$2:$O$500,2,FALSE),""))</f>
        <v/>
      </c>
      <c r="U2733" s="57" t="str">
        <f t="shared" si="553"/>
        <v/>
      </c>
      <c r="V2733" s="53" t="str">
        <f t="shared" si="554"/>
        <v/>
      </c>
      <c r="W2733" s="53" t="str">
        <f t="shared" si="555"/>
        <v/>
      </c>
      <c r="X2733" s="53" t="str">
        <f t="shared" si="556"/>
        <v/>
      </c>
      <c r="Y2733" s="57" t="str">
        <f>IF($X2733="","",IFERROR(VLOOKUP($X2733,'Char Popularity'!$A$2:$C$500,2,FALSE),""))</f>
        <v/>
      </c>
      <c r="Z2733" s="56">
        <f>IF($X2733="",1,IFERROR(VLOOKUP($X2733,'Char Popularity'!$A$2:$C$500,3,FALSE),1))</f>
        <v>1</v>
      </c>
      <c r="AA2733" s="62">
        <f>IF($H2733&lt;&gt;"Y",0,(IF($F2733&lt;&gt;"",ROUND(Dashboard!$R$4/$F2733,1),IF(AND($I2733="Base",$E2733="Base"),Dashboard!$R$5,IF(AND($I2733="Base",$E2733="Red"),Dashboard!$R$6,IF(AND($I2733="Base",$E2733="Gold"),Dashboard!$R$7,VLOOKUP($I2733,Dashboard!$Q$16:$R$21,2,FALSE)))))*VLOOKUP($I2733,Dashboard!$Q$9:$R$13,2,FALSE)*IF(AND($I2733="Auto",$F2733="",OR($B2733="Autographs Duals",$B2733="Autographs Triples",$B2733="Autographs Quads",$B2733="Autographs Quads (Inscribed)")),IF($B2733="Autographs Duals",2,IF($B2733="Autographs Triples",3,4)),1)))</f>
        <v>3</v>
      </c>
      <c r="AB2733" s="62">
        <f t="shared" si="557"/>
        <v>3</v>
      </c>
      <c r="AC2733" s="62">
        <f t="shared" si="558"/>
        <v>0</v>
      </c>
    </row>
    <row r="2734" spans="1:29" ht="28.7" customHeight="1" x14ac:dyDescent="0.25">
      <c r="A2734" s="4" t="s">
        <v>19</v>
      </c>
      <c r="B2734" s="7" t="s">
        <v>77</v>
      </c>
      <c r="C2734" s="2" t="s">
        <v>1563</v>
      </c>
      <c r="D2734" s="7" t="s">
        <v>1145</v>
      </c>
      <c r="E2734" s="4" t="s">
        <v>1602</v>
      </c>
      <c r="F2734" s="2"/>
      <c r="G2734" s="2" t="s">
        <v>1399</v>
      </c>
      <c r="H2734" s="2" t="s">
        <v>1400</v>
      </c>
      <c r="I2734" s="4" t="s">
        <v>60</v>
      </c>
      <c r="J2734" s="112">
        <f>IF($H2734&lt;&gt;"Y",0,ROUND(MIN(Dashboard!$R$24,IF(IFERROR(VLOOKUP($B2734,Dashboard!$Q$28:$S$60,2,FALSE),0)&gt;0,IFERROR(VLOOKUP($B2734,Dashboard!$Q$28:$S$60,2,FALSE),0),$Z2734*IF($U2734&lt;&gt;"",ROUND((Dashboard!$R$4/$U2734)*VLOOKUP($I2734,Dashboard!$Q$9:$R$13,2,FALSE)*IF(ISNUMBER(SEARCH("Duals",$B2734)),2,IF(ISNUMBER(SEARCH("Triples",$B2734)),3,IF(ISNUMBER(SEARCH("Quads",$B2734)),4,1))),2),ROUND(VLOOKUP($I2734,Dashboard!$Q$15:$R$20,2,FALSE)*IF($E2734="Red",Dashboard!$R$6,IF($E2734="Gold",Dashboard!$R$7,Dashboard!$R$5))*IF(ISNUMBER(SEARCH("Duals",$B2734)),2,IF(ISNUMBER(SEARCH("Triples",$B2734)),3,IF(ISNUMBER(SEARCH("Quads",$B2734)),4,1))),2))*IF(IFERROR(VLOOKUP($B2734,Dashboard!$Q$28:$S$60,3,FALSE),0)&gt;0,VLOOKUP($B2734,Dashboard!$Q$28:$S$60,3,FALSE),1))),0))</f>
        <v>3</v>
      </c>
      <c r="K2734" s="2" t="str">
        <f>IF('Base S2'!E65="","",'Base S2'!E65)</f>
        <v>C</v>
      </c>
      <c r="L2734" s="2">
        <f t="shared" si="559"/>
        <v>1</v>
      </c>
      <c r="M2734" s="2">
        <f t="shared" si="560"/>
        <v>0</v>
      </c>
      <c r="N2734" s="2">
        <f t="shared" si="561"/>
        <v>1</v>
      </c>
      <c r="O2734" s="2">
        <f t="shared" si="562"/>
        <v>0</v>
      </c>
      <c r="P2734" s="112">
        <f t="shared" si="563"/>
        <v>3</v>
      </c>
      <c r="Q2734" s="112">
        <f t="shared" si="564"/>
        <v>0</v>
      </c>
      <c r="R2734" s="53"/>
      <c r="S2734" s="53" t="str">
        <f t="shared" si="552"/>
        <v>Base S2|Gold Parallel - Season 2|164|Gold</v>
      </c>
      <c r="T2734" s="57" t="str">
        <f>IF($S2734="","",IFERROR(VLOOKUP($S2734,'Pop Estimates (Non-#d)'!$N$2:$O$500,2,FALSE),""))</f>
        <v/>
      </c>
      <c r="U2734" s="57" t="str">
        <f t="shared" si="553"/>
        <v/>
      </c>
      <c r="V2734" s="53" t="str">
        <f t="shared" si="554"/>
        <v/>
      </c>
      <c r="W2734" s="53" t="str">
        <f t="shared" si="555"/>
        <v/>
      </c>
      <c r="X2734" s="53" t="str">
        <f t="shared" si="556"/>
        <v/>
      </c>
      <c r="Y2734" s="57" t="str">
        <f>IF($X2734="","",IFERROR(VLOOKUP($X2734,'Char Popularity'!$A$2:$C$500,2,FALSE),""))</f>
        <v/>
      </c>
      <c r="Z2734" s="56">
        <f>IF($X2734="",1,IFERROR(VLOOKUP($X2734,'Char Popularity'!$A$2:$C$500,3,FALSE),1))</f>
        <v>1</v>
      </c>
      <c r="AA2734" s="62">
        <f>IF($H2734&lt;&gt;"Y",0,(IF($F2734&lt;&gt;"",ROUND(Dashboard!$R$4/$F2734,1),IF(AND($I2734="Base",$E2734="Base"),Dashboard!$R$5,IF(AND($I2734="Base",$E2734="Red"),Dashboard!$R$6,IF(AND($I2734="Base",$E2734="Gold"),Dashboard!$R$7,VLOOKUP($I2734,Dashboard!$Q$16:$R$21,2,FALSE)))))*VLOOKUP($I2734,Dashboard!$Q$9:$R$13,2,FALSE)*IF(AND($I2734="Auto",$F2734="",OR($B2734="Autographs Duals",$B2734="Autographs Triples",$B2734="Autographs Quads",$B2734="Autographs Quads (Inscribed)")),IF($B2734="Autographs Duals",2,IF($B2734="Autographs Triples",3,4)),1)))</f>
        <v>3</v>
      </c>
      <c r="AB2734" s="62">
        <f t="shared" si="557"/>
        <v>3</v>
      </c>
      <c r="AC2734" s="62">
        <f t="shared" si="558"/>
        <v>0</v>
      </c>
    </row>
    <row r="2735" spans="1:29" ht="28.7" customHeight="1" x14ac:dyDescent="0.25">
      <c r="A2735" s="4" t="s">
        <v>19</v>
      </c>
      <c r="B2735" s="7" t="s">
        <v>77</v>
      </c>
      <c r="C2735" s="2" t="s">
        <v>1564</v>
      </c>
      <c r="D2735" s="7" t="s">
        <v>1147</v>
      </c>
      <c r="E2735" s="4" t="s">
        <v>1602</v>
      </c>
      <c r="F2735" s="2"/>
      <c r="G2735" s="2" t="s">
        <v>1399</v>
      </c>
      <c r="H2735" s="2" t="s">
        <v>1400</v>
      </c>
      <c r="I2735" s="4" t="s">
        <v>60</v>
      </c>
      <c r="J2735" s="112">
        <f>IF($H2735&lt;&gt;"Y",0,ROUND(MIN(Dashboard!$R$24,IF(IFERROR(VLOOKUP($B2735,Dashboard!$Q$28:$S$60,2,FALSE),0)&gt;0,IFERROR(VLOOKUP($B2735,Dashboard!$Q$28:$S$60,2,FALSE),0),$Z2735*IF($U2735&lt;&gt;"",ROUND((Dashboard!$R$4/$U2735)*VLOOKUP($I2735,Dashboard!$Q$9:$R$13,2,FALSE)*IF(ISNUMBER(SEARCH("Duals",$B2735)),2,IF(ISNUMBER(SEARCH("Triples",$B2735)),3,IF(ISNUMBER(SEARCH("Quads",$B2735)),4,1))),2),ROUND(VLOOKUP($I2735,Dashboard!$Q$15:$R$20,2,FALSE)*IF($E2735="Red",Dashboard!$R$6,IF($E2735="Gold",Dashboard!$R$7,Dashboard!$R$5))*IF(ISNUMBER(SEARCH("Duals",$B2735)),2,IF(ISNUMBER(SEARCH("Triples",$B2735)),3,IF(ISNUMBER(SEARCH("Quads",$B2735)),4,1))),2))*IF(IFERROR(VLOOKUP($B2735,Dashboard!$Q$28:$S$60,3,FALSE),0)&gt;0,VLOOKUP($B2735,Dashboard!$Q$28:$S$60,3,FALSE),1))),0))</f>
        <v>3</v>
      </c>
      <c r="K2735" s="2" t="str">
        <f>IF('Base S2'!E66="","",'Base S2'!E66)</f>
        <v>C</v>
      </c>
      <c r="L2735" s="2">
        <f t="shared" si="559"/>
        <v>1</v>
      </c>
      <c r="M2735" s="2">
        <f t="shared" si="560"/>
        <v>0</v>
      </c>
      <c r="N2735" s="2">
        <f t="shared" si="561"/>
        <v>1</v>
      </c>
      <c r="O2735" s="2">
        <f t="shared" si="562"/>
        <v>0</v>
      </c>
      <c r="P2735" s="112">
        <f t="shared" si="563"/>
        <v>3</v>
      </c>
      <c r="Q2735" s="112">
        <f t="shared" si="564"/>
        <v>0</v>
      </c>
      <c r="R2735" s="53"/>
      <c r="S2735" s="53" t="str">
        <f t="shared" si="552"/>
        <v>Base S2|Gold Parallel - Season 2|165|Gold</v>
      </c>
      <c r="T2735" s="57" t="str">
        <f>IF($S2735="","",IFERROR(VLOOKUP($S2735,'Pop Estimates (Non-#d)'!$N$2:$O$500,2,FALSE),""))</f>
        <v/>
      </c>
      <c r="U2735" s="57" t="str">
        <f t="shared" si="553"/>
        <v/>
      </c>
      <c r="V2735" s="53" t="str">
        <f t="shared" si="554"/>
        <v/>
      </c>
      <c r="W2735" s="53" t="str">
        <f t="shared" si="555"/>
        <v/>
      </c>
      <c r="X2735" s="53" t="str">
        <f t="shared" si="556"/>
        <v/>
      </c>
      <c r="Y2735" s="57" t="str">
        <f>IF($X2735="","",IFERROR(VLOOKUP($X2735,'Char Popularity'!$A$2:$C$500,2,FALSE),""))</f>
        <v/>
      </c>
      <c r="Z2735" s="56">
        <f>IF($X2735="",1,IFERROR(VLOOKUP($X2735,'Char Popularity'!$A$2:$C$500,3,FALSE),1))</f>
        <v>1</v>
      </c>
      <c r="AA2735" s="62">
        <f>IF($H2735&lt;&gt;"Y",0,(IF($F2735&lt;&gt;"",ROUND(Dashboard!$R$4/$F2735,1),IF(AND($I2735="Base",$E2735="Base"),Dashboard!$R$5,IF(AND($I2735="Base",$E2735="Red"),Dashboard!$R$6,IF(AND($I2735="Base",$E2735="Gold"),Dashboard!$R$7,VLOOKUP($I2735,Dashboard!$Q$16:$R$21,2,FALSE)))))*VLOOKUP($I2735,Dashboard!$Q$9:$R$13,2,FALSE)*IF(AND($I2735="Auto",$F2735="",OR($B2735="Autographs Duals",$B2735="Autographs Triples",$B2735="Autographs Quads",$B2735="Autographs Quads (Inscribed)")),IF($B2735="Autographs Duals",2,IF($B2735="Autographs Triples",3,4)),1)))</f>
        <v>3</v>
      </c>
      <c r="AB2735" s="62">
        <f t="shared" si="557"/>
        <v>3</v>
      </c>
      <c r="AC2735" s="62">
        <f t="shared" si="558"/>
        <v>0</v>
      </c>
    </row>
    <row r="2736" spans="1:29" ht="28.7" customHeight="1" x14ac:dyDescent="0.25">
      <c r="A2736" s="4" t="s">
        <v>19</v>
      </c>
      <c r="B2736" s="7" t="s">
        <v>77</v>
      </c>
      <c r="C2736" s="2" t="s">
        <v>1565</v>
      </c>
      <c r="D2736" s="7" t="s">
        <v>1148</v>
      </c>
      <c r="E2736" s="4" t="s">
        <v>1602</v>
      </c>
      <c r="F2736" s="2"/>
      <c r="G2736" s="2" t="s">
        <v>1399</v>
      </c>
      <c r="H2736" s="2" t="s">
        <v>1400</v>
      </c>
      <c r="I2736" s="4" t="s">
        <v>60</v>
      </c>
      <c r="J2736" s="112">
        <f>IF($H2736&lt;&gt;"Y",0,ROUND(MIN(Dashboard!$R$24,IF(IFERROR(VLOOKUP($B2736,Dashboard!$Q$28:$S$60,2,FALSE),0)&gt;0,IFERROR(VLOOKUP($B2736,Dashboard!$Q$28:$S$60,2,FALSE),0),$Z2736*IF($U2736&lt;&gt;"",ROUND((Dashboard!$R$4/$U2736)*VLOOKUP($I2736,Dashboard!$Q$9:$R$13,2,FALSE)*IF(ISNUMBER(SEARCH("Duals",$B2736)),2,IF(ISNUMBER(SEARCH("Triples",$B2736)),3,IF(ISNUMBER(SEARCH("Quads",$B2736)),4,1))),2),ROUND(VLOOKUP($I2736,Dashboard!$Q$15:$R$20,2,FALSE)*IF($E2736="Red",Dashboard!$R$6,IF($E2736="Gold",Dashboard!$R$7,Dashboard!$R$5))*IF(ISNUMBER(SEARCH("Duals",$B2736)),2,IF(ISNUMBER(SEARCH("Triples",$B2736)),3,IF(ISNUMBER(SEARCH("Quads",$B2736)),4,1))),2))*IF(IFERROR(VLOOKUP($B2736,Dashboard!$Q$28:$S$60,3,FALSE),0)&gt;0,VLOOKUP($B2736,Dashboard!$Q$28:$S$60,3,FALSE),1))),0))</f>
        <v>3</v>
      </c>
      <c r="K2736" s="2" t="str">
        <f>IF('Base S2'!E67="","",'Base S2'!E67)</f>
        <v>C</v>
      </c>
      <c r="L2736" s="2">
        <f t="shared" si="559"/>
        <v>1</v>
      </c>
      <c r="M2736" s="2">
        <f t="shared" si="560"/>
        <v>0</v>
      </c>
      <c r="N2736" s="2">
        <f t="shared" si="561"/>
        <v>1</v>
      </c>
      <c r="O2736" s="2">
        <f t="shared" si="562"/>
        <v>0</v>
      </c>
      <c r="P2736" s="112">
        <f t="shared" si="563"/>
        <v>3</v>
      </c>
      <c r="Q2736" s="112">
        <f t="shared" si="564"/>
        <v>0</v>
      </c>
      <c r="R2736" s="53"/>
      <c r="S2736" s="53" t="str">
        <f t="shared" si="552"/>
        <v>Base S2|Gold Parallel - Season 2|166|Gold</v>
      </c>
      <c r="T2736" s="57" t="str">
        <f>IF($S2736="","",IFERROR(VLOOKUP($S2736,'Pop Estimates (Non-#d)'!$N$2:$O$500,2,FALSE),""))</f>
        <v/>
      </c>
      <c r="U2736" s="57" t="str">
        <f t="shared" si="553"/>
        <v/>
      </c>
      <c r="V2736" s="53" t="str">
        <f t="shared" si="554"/>
        <v/>
      </c>
      <c r="W2736" s="53" t="str">
        <f t="shared" si="555"/>
        <v/>
      </c>
      <c r="X2736" s="53" t="str">
        <f t="shared" si="556"/>
        <v/>
      </c>
      <c r="Y2736" s="57" t="str">
        <f>IF($X2736="","",IFERROR(VLOOKUP($X2736,'Char Popularity'!$A$2:$C$500,2,FALSE),""))</f>
        <v/>
      </c>
      <c r="Z2736" s="56">
        <f>IF($X2736="",1,IFERROR(VLOOKUP($X2736,'Char Popularity'!$A$2:$C$500,3,FALSE),1))</f>
        <v>1</v>
      </c>
      <c r="AA2736" s="62">
        <f>IF($H2736&lt;&gt;"Y",0,(IF($F2736&lt;&gt;"",ROUND(Dashboard!$R$4/$F2736,1),IF(AND($I2736="Base",$E2736="Base"),Dashboard!$R$5,IF(AND($I2736="Base",$E2736="Red"),Dashboard!$R$6,IF(AND($I2736="Base",$E2736="Gold"),Dashboard!$R$7,VLOOKUP($I2736,Dashboard!$Q$16:$R$21,2,FALSE)))))*VLOOKUP($I2736,Dashboard!$Q$9:$R$13,2,FALSE)*IF(AND($I2736="Auto",$F2736="",OR($B2736="Autographs Duals",$B2736="Autographs Triples",$B2736="Autographs Quads",$B2736="Autographs Quads (Inscribed)")),IF($B2736="Autographs Duals",2,IF($B2736="Autographs Triples",3,4)),1)))</f>
        <v>3</v>
      </c>
      <c r="AB2736" s="62">
        <f t="shared" si="557"/>
        <v>3</v>
      </c>
      <c r="AC2736" s="62">
        <f t="shared" si="558"/>
        <v>0</v>
      </c>
    </row>
    <row r="2737" spans="1:29" ht="28.7" customHeight="1" x14ac:dyDescent="0.25">
      <c r="A2737" s="4" t="s">
        <v>19</v>
      </c>
      <c r="B2737" s="7" t="s">
        <v>77</v>
      </c>
      <c r="C2737" s="2" t="s">
        <v>1566</v>
      </c>
      <c r="D2737" s="7" t="s">
        <v>1150</v>
      </c>
      <c r="E2737" s="4" t="s">
        <v>1602</v>
      </c>
      <c r="F2737" s="2"/>
      <c r="G2737" s="2" t="s">
        <v>1399</v>
      </c>
      <c r="H2737" s="2" t="s">
        <v>1400</v>
      </c>
      <c r="I2737" s="4" t="s">
        <v>60</v>
      </c>
      <c r="J2737" s="112">
        <f>IF($H2737&lt;&gt;"Y",0,ROUND(MIN(Dashboard!$R$24,IF(IFERROR(VLOOKUP($B2737,Dashboard!$Q$28:$S$60,2,FALSE),0)&gt;0,IFERROR(VLOOKUP($B2737,Dashboard!$Q$28:$S$60,2,FALSE),0),$Z2737*IF($U2737&lt;&gt;"",ROUND((Dashboard!$R$4/$U2737)*VLOOKUP($I2737,Dashboard!$Q$9:$R$13,2,FALSE)*IF(ISNUMBER(SEARCH("Duals",$B2737)),2,IF(ISNUMBER(SEARCH("Triples",$B2737)),3,IF(ISNUMBER(SEARCH("Quads",$B2737)),4,1))),2),ROUND(VLOOKUP($I2737,Dashboard!$Q$15:$R$20,2,FALSE)*IF($E2737="Red",Dashboard!$R$6,IF($E2737="Gold",Dashboard!$R$7,Dashboard!$R$5))*IF(ISNUMBER(SEARCH("Duals",$B2737)),2,IF(ISNUMBER(SEARCH("Triples",$B2737)),3,IF(ISNUMBER(SEARCH("Quads",$B2737)),4,1))),2))*IF(IFERROR(VLOOKUP($B2737,Dashboard!$Q$28:$S$60,3,FALSE),0)&gt;0,VLOOKUP($B2737,Dashboard!$Q$28:$S$60,3,FALSE),1))),0))</f>
        <v>3</v>
      </c>
      <c r="K2737" s="2" t="str">
        <f>IF('Base S2'!E68="","",'Base S2'!E68)</f>
        <v>C</v>
      </c>
      <c r="L2737" s="2">
        <f t="shared" si="559"/>
        <v>1</v>
      </c>
      <c r="M2737" s="2">
        <f t="shared" si="560"/>
        <v>0</v>
      </c>
      <c r="N2737" s="2">
        <f t="shared" si="561"/>
        <v>1</v>
      </c>
      <c r="O2737" s="2">
        <f t="shared" si="562"/>
        <v>0</v>
      </c>
      <c r="P2737" s="112">
        <f t="shared" si="563"/>
        <v>3</v>
      </c>
      <c r="Q2737" s="112">
        <f t="shared" si="564"/>
        <v>0</v>
      </c>
      <c r="R2737" s="53"/>
      <c r="S2737" s="53" t="str">
        <f t="shared" si="552"/>
        <v>Base S2|Gold Parallel - Season 2|167|Gold</v>
      </c>
      <c r="T2737" s="57" t="str">
        <f>IF($S2737="","",IFERROR(VLOOKUP($S2737,'Pop Estimates (Non-#d)'!$N$2:$O$500,2,FALSE),""))</f>
        <v/>
      </c>
      <c r="U2737" s="57" t="str">
        <f t="shared" si="553"/>
        <v/>
      </c>
      <c r="V2737" s="53" t="str">
        <f t="shared" si="554"/>
        <v/>
      </c>
      <c r="W2737" s="53" t="str">
        <f t="shared" si="555"/>
        <v/>
      </c>
      <c r="X2737" s="53" t="str">
        <f t="shared" si="556"/>
        <v/>
      </c>
      <c r="Y2737" s="57" t="str">
        <f>IF($X2737="","",IFERROR(VLOOKUP($X2737,'Char Popularity'!$A$2:$C$500,2,FALSE),""))</f>
        <v/>
      </c>
      <c r="Z2737" s="56">
        <f>IF($X2737="",1,IFERROR(VLOOKUP($X2737,'Char Popularity'!$A$2:$C$500,3,FALSE),1))</f>
        <v>1</v>
      </c>
      <c r="AA2737" s="62">
        <f>IF($H2737&lt;&gt;"Y",0,(IF($F2737&lt;&gt;"",ROUND(Dashboard!$R$4/$F2737,1),IF(AND($I2737="Base",$E2737="Base"),Dashboard!$R$5,IF(AND($I2737="Base",$E2737="Red"),Dashboard!$R$6,IF(AND($I2737="Base",$E2737="Gold"),Dashboard!$R$7,VLOOKUP($I2737,Dashboard!$Q$16:$R$21,2,FALSE)))))*VLOOKUP($I2737,Dashboard!$Q$9:$R$13,2,FALSE)*IF(AND($I2737="Auto",$F2737="",OR($B2737="Autographs Duals",$B2737="Autographs Triples",$B2737="Autographs Quads",$B2737="Autographs Quads (Inscribed)")),IF($B2737="Autographs Duals",2,IF($B2737="Autographs Triples",3,4)),1)))</f>
        <v>3</v>
      </c>
      <c r="AB2737" s="62">
        <f t="shared" si="557"/>
        <v>3</v>
      </c>
      <c r="AC2737" s="62">
        <f t="shared" si="558"/>
        <v>0</v>
      </c>
    </row>
    <row r="2738" spans="1:29" ht="28.7" customHeight="1" x14ac:dyDescent="0.25">
      <c r="A2738" s="4" t="s">
        <v>19</v>
      </c>
      <c r="B2738" s="7" t="s">
        <v>77</v>
      </c>
      <c r="C2738" s="2" t="s">
        <v>1567</v>
      </c>
      <c r="D2738" s="7" t="s">
        <v>1151</v>
      </c>
      <c r="E2738" s="4" t="s">
        <v>1602</v>
      </c>
      <c r="F2738" s="2"/>
      <c r="G2738" s="2" t="s">
        <v>1399</v>
      </c>
      <c r="H2738" s="2" t="s">
        <v>1400</v>
      </c>
      <c r="I2738" s="4" t="s">
        <v>60</v>
      </c>
      <c r="J2738" s="112">
        <f>IF($H2738&lt;&gt;"Y",0,ROUND(MIN(Dashboard!$R$24,IF(IFERROR(VLOOKUP($B2738,Dashboard!$Q$28:$S$60,2,FALSE),0)&gt;0,IFERROR(VLOOKUP($B2738,Dashboard!$Q$28:$S$60,2,FALSE),0),$Z2738*IF($U2738&lt;&gt;"",ROUND((Dashboard!$R$4/$U2738)*VLOOKUP($I2738,Dashboard!$Q$9:$R$13,2,FALSE)*IF(ISNUMBER(SEARCH("Duals",$B2738)),2,IF(ISNUMBER(SEARCH("Triples",$B2738)),3,IF(ISNUMBER(SEARCH("Quads",$B2738)),4,1))),2),ROUND(VLOOKUP($I2738,Dashboard!$Q$15:$R$20,2,FALSE)*IF($E2738="Red",Dashboard!$R$6,IF($E2738="Gold",Dashboard!$R$7,Dashboard!$R$5))*IF(ISNUMBER(SEARCH("Duals",$B2738)),2,IF(ISNUMBER(SEARCH("Triples",$B2738)),3,IF(ISNUMBER(SEARCH("Quads",$B2738)),4,1))),2))*IF(IFERROR(VLOOKUP($B2738,Dashboard!$Q$28:$S$60,3,FALSE),0)&gt;0,VLOOKUP($B2738,Dashboard!$Q$28:$S$60,3,FALSE),1))),0))</f>
        <v>3</v>
      </c>
      <c r="K2738" s="2" t="str">
        <f>IF('Base S2'!E69="","",'Base S2'!E69)</f>
        <v>C</v>
      </c>
      <c r="L2738" s="2">
        <f t="shared" si="559"/>
        <v>1</v>
      </c>
      <c r="M2738" s="2">
        <f t="shared" si="560"/>
        <v>0</v>
      </c>
      <c r="N2738" s="2">
        <f t="shared" si="561"/>
        <v>1</v>
      </c>
      <c r="O2738" s="2">
        <f t="shared" si="562"/>
        <v>0</v>
      </c>
      <c r="P2738" s="112">
        <f t="shared" si="563"/>
        <v>3</v>
      </c>
      <c r="Q2738" s="112">
        <f t="shared" si="564"/>
        <v>0</v>
      </c>
      <c r="R2738" s="53"/>
      <c r="S2738" s="53" t="str">
        <f t="shared" si="552"/>
        <v>Base S2|Gold Parallel - Season 2|168|Gold</v>
      </c>
      <c r="T2738" s="57" t="str">
        <f>IF($S2738="","",IFERROR(VLOOKUP($S2738,'Pop Estimates (Non-#d)'!$N$2:$O$500,2,FALSE),""))</f>
        <v/>
      </c>
      <c r="U2738" s="57" t="str">
        <f t="shared" si="553"/>
        <v/>
      </c>
      <c r="V2738" s="53" t="str">
        <f t="shared" si="554"/>
        <v/>
      </c>
      <c r="W2738" s="53" t="str">
        <f t="shared" si="555"/>
        <v/>
      </c>
      <c r="X2738" s="53" t="str">
        <f t="shared" si="556"/>
        <v/>
      </c>
      <c r="Y2738" s="57" t="str">
        <f>IF($X2738="","",IFERROR(VLOOKUP($X2738,'Char Popularity'!$A$2:$C$500,2,FALSE),""))</f>
        <v/>
      </c>
      <c r="Z2738" s="56">
        <f>IF($X2738="",1,IFERROR(VLOOKUP($X2738,'Char Popularity'!$A$2:$C$500,3,FALSE),1))</f>
        <v>1</v>
      </c>
      <c r="AA2738" s="62">
        <f>IF($H2738&lt;&gt;"Y",0,(IF($F2738&lt;&gt;"",ROUND(Dashboard!$R$4/$F2738,1),IF(AND($I2738="Base",$E2738="Base"),Dashboard!$R$5,IF(AND($I2738="Base",$E2738="Red"),Dashboard!$R$6,IF(AND($I2738="Base",$E2738="Gold"),Dashboard!$R$7,VLOOKUP($I2738,Dashboard!$Q$16:$R$21,2,FALSE)))))*VLOOKUP($I2738,Dashboard!$Q$9:$R$13,2,FALSE)*IF(AND($I2738="Auto",$F2738="",OR($B2738="Autographs Duals",$B2738="Autographs Triples",$B2738="Autographs Quads",$B2738="Autographs Quads (Inscribed)")),IF($B2738="Autographs Duals",2,IF($B2738="Autographs Triples",3,4)),1)))</f>
        <v>3</v>
      </c>
      <c r="AB2738" s="62">
        <f t="shared" si="557"/>
        <v>3</v>
      </c>
      <c r="AC2738" s="62">
        <f t="shared" si="558"/>
        <v>0</v>
      </c>
    </row>
    <row r="2739" spans="1:29" ht="28.7" customHeight="1" x14ac:dyDescent="0.25">
      <c r="A2739" s="4" t="s">
        <v>19</v>
      </c>
      <c r="B2739" s="7" t="s">
        <v>77</v>
      </c>
      <c r="C2739" s="2" t="s">
        <v>1568</v>
      </c>
      <c r="D2739" s="7" t="s">
        <v>1153</v>
      </c>
      <c r="E2739" s="4" t="s">
        <v>1602</v>
      </c>
      <c r="F2739" s="2"/>
      <c r="G2739" s="2" t="s">
        <v>1399</v>
      </c>
      <c r="H2739" s="2" t="s">
        <v>1400</v>
      </c>
      <c r="I2739" s="4" t="s">
        <v>60</v>
      </c>
      <c r="J2739" s="112">
        <f>IF($H2739&lt;&gt;"Y",0,ROUND(MIN(Dashboard!$R$24,IF(IFERROR(VLOOKUP($B2739,Dashboard!$Q$28:$S$60,2,FALSE),0)&gt;0,IFERROR(VLOOKUP($B2739,Dashboard!$Q$28:$S$60,2,FALSE),0),$Z2739*IF($U2739&lt;&gt;"",ROUND((Dashboard!$R$4/$U2739)*VLOOKUP($I2739,Dashboard!$Q$9:$R$13,2,FALSE)*IF(ISNUMBER(SEARCH("Duals",$B2739)),2,IF(ISNUMBER(SEARCH("Triples",$B2739)),3,IF(ISNUMBER(SEARCH("Quads",$B2739)),4,1))),2),ROUND(VLOOKUP($I2739,Dashboard!$Q$15:$R$20,2,FALSE)*IF($E2739="Red",Dashboard!$R$6,IF($E2739="Gold",Dashboard!$R$7,Dashboard!$R$5))*IF(ISNUMBER(SEARCH("Duals",$B2739)),2,IF(ISNUMBER(SEARCH("Triples",$B2739)),3,IF(ISNUMBER(SEARCH("Quads",$B2739)),4,1))),2))*IF(IFERROR(VLOOKUP($B2739,Dashboard!$Q$28:$S$60,3,FALSE),0)&gt;0,VLOOKUP($B2739,Dashboard!$Q$28:$S$60,3,FALSE),1))),0))</f>
        <v>3</v>
      </c>
      <c r="K2739" s="2" t="str">
        <f>IF('Base S2'!E70="","",'Base S2'!E70)</f>
        <v>C</v>
      </c>
      <c r="L2739" s="2">
        <f t="shared" si="559"/>
        <v>1</v>
      </c>
      <c r="M2739" s="2">
        <f t="shared" si="560"/>
        <v>0</v>
      </c>
      <c r="N2739" s="2">
        <f t="shared" si="561"/>
        <v>1</v>
      </c>
      <c r="O2739" s="2">
        <f t="shared" si="562"/>
        <v>0</v>
      </c>
      <c r="P2739" s="112">
        <f t="shared" si="563"/>
        <v>3</v>
      </c>
      <c r="Q2739" s="112">
        <f t="shared" si="564"/>
        <v>0</v>
      </c>
      <c r="R2739" s="53"/>
      <c r="S2739" s="53" t="str">
        <f t="shared" si="552"/>
        <v>Base S2|Gold Parallel - Season 2|169|Gold</v>
      </c>
      <c r="T2739" s="57" t="str">
        <f>IF($S2739="","",IFERROR(VLOOKUP($S2739,'Pop Estimates (Non-#d)'!$N$2:$O$500,2,FALSE),""))</f>
        <v/>
      </c>
      <c r="U2739" s="57" t="str">
        <f t="shared" si="553"/>
        <v/>
      </c>
      <c r="V2739" s="53" t="str">
        <f t="shared" si="554"/>
        <v/>
      </c>
      <c r="W2739" s="53" t="str">
        <f t="shared" si="555"/>
        <v/>
      </c>
      <c r="X2739" s="53" t="str">
        <f t="shared" si="556"/>
        <v/>
      </c>
      <c r="Y2739" s="57" t="str">
        <f>IF($X2739="","",IFERROR(VLOOKUP($X2739,'Char Popularity'!$A$2:$C$500,2,FALSE),""))</f>
        <v/>
      </c>
      <c r="Z2739" s="56">
        <f>IF($X2739="",1,IFERROR(VLOOKUP($X2739,'Char Popularity'!$A$2:$C$500,3,FALSE),1))</f>
        <v>1</v>
      </c>
      <c r="AA2739" s="62">
        <f>IF($H2739&lt;&gt;"Y",0,(IF($F2739&lt;&gt;"",ROUND(Dashboard!$R$4/$F2739,1),IF(AND($I2739="Base",$E2739="Base"),Dashboard!$R$5,IF(AND($I2739="Base",$E2739="Red"),Dashboard!$R$6,IF(AND($I2739="Base",$E2739="Gold"),Dashboard!$R$7,VLOOKUP($I2739,Dashboard!$Q$16:$R$21,2,FALSE)))))*VLOOKUP($I2739,Dashboard!$Q$9:$R$13,2,FALSE)*IF(AND($I2739="Auto",$F2739="",OR($B2739="Autographs Duals",$B2739="Autographs Triples",$B2739="Autographs Quads",$B2739="Autographs Quads (Inscribed)")),IF($B2739="Autographs Duals",2,IF($B2739="Autographs Triples",3,4)),1)))</f>
        <v>3</v>
      </c>
      <c r="AB2739" s="62">
        <f t="shared" si="557"/>
        <v>3</v>
      </c>
      <c r="AC2739" s="62">
        <f t="shared" si="558"/>
        <v>0</v>
      </c>
    </row>
    <row r="2740" spans="1:29" ht="28.7" customHeight="1" x14ac:dyDescent="0.25">
      <c r="A2740" s="4" t="s">
        <v>19</v>
      </c>
      <c r="B2740" s="7" t="s">
        <v>77</v>
      </c>
      <c r="C2740" s="2" t="s">
        <v>1569</v>
      </c>
      <c r="D2740" s="7" t="s">
        <v>1154</v>
      </c>
      <c r="E2740" s="4" t="s">
        <v>1602</v>
      </c>
      <c r="F2740" s="2"/>
      <c r="G2740" s="2" t="s">
        <v>1399</v>
      </c>
      <c r="H2740" s="2" t="s">
        <v>1400</v>
      </c>
      <c r="I2740" s="4" t="s">
        <v>60</v>
      </c>
      <c r="J2740" s="112">
        <f>IF($H2740&lt;&gt;"Y",0,ROUND(MIN(Dashboard!$R$24,IF(IFERROR(VLOOKUP($B2740,Dashboard!$Q$28:$S$60,2,FALSE),0)&gt;0,IFERROR(VLOOKUP($B2740,Dashboard!$Q$28:$S$60,2,FALSE),0),$Z2740*IF($U2740&lt;&gt;"",ROUND((Dashboard!$R$4/$U2740)*VLOOKUP($I2740,Dashboard!$Q$9:$R$13,2,FALSE)*IF(ISNUMBER(SEARCH("Duals",$B2740)),2,IF(ISNUMBER(SEARCH("Triples",$B2740)),3,IF(ISNUMBER(SEARCH("Quads",$B2740)),4,1))),2),ROUND(VLOOKUP($I2740,Dashboard!$Q$15:$R$20,2,FALSE)*IF($E2740="Red",Dashboard!$R$6,IF($E2740="Gold",Dashboard!$R$7,Dashboard!$R$5))*IF(ISNUMBER(SEARCH("Duals",$B2740)),2,IF(ISNUMBER(SEARCH("Triples",$B2740)),3,IF(ISNUMBER(SEARCH("Quads",$B2740)),4,1))),2))*IF(IFERROR(VLOOKUP($B2740,Dashboard!$Q$28:$S$60,3,FALSE),0)&gt;0,VLOOKUP($B2740,Dashboard!$Q$28:$S$60,3,FALSE),1))),0))</f>
        <v>3</v>
      </c>
      <c r="K2740" s="2" t="str">
        <f>IF('Base S2'!E71="","",'Base S2'!E71)</f>
        <v>C</v>
      </c>
      <c r="L2740" s="2">
        <f t="shared" si="559"/>
        <v>1</v>
      </c>
      <c r="M2740" s="2">
        <f t="shared" si="560"/>
        <v>0</v>
      </c>
      <c r="N2740" s="2">
        <f t="shared" si="561"/>
        <v>1</v>
      </c>
      <c r="O2740" s="2">
        <f t="shared" si="562"/>
        <v>0</v>
      </c>
      <c r="P2740" s="112">
        <f t="shared" si="563"/>
        <v>3</v>
      </c>
      <c r="Q2740" s="112">
        <f t="shared" si="564"/>
        <v>0</v>
      </c>
      <c r="R2740" s="53"/>
      <c r="S2740" s="53" t="str">
        <f t="shared" si="552"/>
        <v>Base S2|Gold Parallel - Season 2|170|Gold</v>
      </c>
      <c r="T2740" s="57" t="str">
        <f>IF($S2740="","",IFERROR(VLOOKUP($S2740,'Pop Estimates (Non-#d)'!$N$2:$O$500,2,FALSE),""))</f>
        <v/>
      </c>
      <c r="U2740" s="57" t="str">
        <f t="shared" si="553"/>
        <v/>
      </c>
      <c r="V2740" s="53" t="str">
        <f t="shared" si="554"/>
        <v/>
      </c>
      <c r="W2740" s="53" t="str">
        <f t="shared" si="555"/>
        <v/>
      </c>
      <c r="X2740" s="53" t="str">
        <f t="shared" si="556"/>
        <v/>
      </c>
      <c r="Y2740" s="57" t="str">
        <f>IF($X2740="","",IFERROR(VLOOKUP($X2740,'Char Popularity'!$A$2:$C$500,2,FALSE),""))</f>
        <v/>
      </c>
      <c r="Z2740" s="56">
        <f>IF($X2740="",1,IFERROR(VLOOKUP($X2740,'Char Popularity'!$A$2:$C$500,3,FALSE),1))</f>
        <v>1</v>
      </c>
      <c r="AA2740" s="62">
        <f>IF($H2740&lt;&gt;"Y",0,(IF($F2740&lt;&gt;"",ROUND(Dashboard!$R$4/$F2740,1),IF(AND($I2740="Base",$E2740="Base"),Dashboard!$R$5,IF(AND($I2740="Base",$E2740="Red"),Dashboard!$R$6,IF(AND($I2740="Base",$E2740="Gold"),Dashboard!$R$7,VLOOKUP($I2740,Dashboard!$Q$16:$R$21,2,FALSE)))))*VLOOKUP($I2740,Dashboard!$Q$9:$R$13,2,FALSE)*IF(AND($I2740="Auto",$F2740="",OR($B2740="Autographs Duals",$B2740="Autographs Triples",$B2740="Autographs Quads",$B2740="Autographs Quads (Inscribed)")),IF($B2740="Autographs Duals",2,IF($B2740="Autographs Triples",3,4)),1)))</f>
        <v>3</v>
      </c>
      <c r="AB2740" s="62">
        <f t="shared" si="557"/>
        <v>3</v>
      </c>
      <c r="AC2740" s="62">
        <f t="shared" si="558"/>
        <v>0</v>
      </c>
    </row>
    <row r="2741" spans="1:29" ht="28.7" customHeight="1" x14ac:dyDescent="0.25">
      <c r="A2741" s="4" t="s">
        <v>19</v>
      </c>
      <c r="B2741" s="7" t="s">
        <v>77</v>
      </c>
      <c r="C2741" s="2" t="s">
        <v>1570</v>
      </c>
      <c r="D2741" s="7" t="s">
        <v>1158</v>
      </c>
      <c r="E2741" s="4" t="s">
        <v>1602</v>
      </c>
      <c r="F2741" s="2"/>
      <c r="G2741" s="2" t="s">
        <v>1399</v>
      </c>
      <c r="H2741" s="2" t="s">
        <v>1400</v>
      </c>
      <c r="I2741" s="4" t="s">
        <v>60</v>
      </c>
      <c r="J2741" s="112">
        <f>IF($H2741&lt;&gt;"Y",0,ROUND(MIN(Dashboard!$R$24,IF(IFERROR(VLOOKUP($B2741,Dashboard!$Q$28:$S$60,2,FALSE),0)&gt;0,IFERROR(VLOOKUP($B2741,Dashboard!$Q$28:$S$60,2,FALSE),0),$Z2741*IF($U2741&lt;&gt;"",ROUND((Dashboard!$R$4/$U2741)*VLOOKUP($I2741,Dashboard!$Q$9:$R$13,2,FALSE)*IF(ISNUMBER(SEARCH("Duals",$B2741)),2,IF(ISNUMBER(SEARCH("Triples",$B2741)),3,IF(ISNUMBER(SEARCH("Quads",$B2741)),4,1))),2),ROUND(VLOOKUP($I2741,Dashboard!$Q$15:$R$20,2,FALSE)*IF($E2741="Red",Dashboard!$R$6,IF($E2741="Gold",Dashboard!$R$7,Dashboard!$R$5))*IF(ISNUMBER(SEARCH("Duals",$B2741)),2,IF(ISNUMBER(SEARCH("Triples",$B2741)),3,IF(ISNUMBER(SEARCH("Quads",$B2741)),4,1))),2))*IF(IFERROR(VLOOKUP($B2741,Dashboard!$Q$28:$S$60,3,FALSE),0)&gt;0,VLOOKUP($B2741,Dashboard!$Q$28:$S$60,3,FALSE),1))),0))</f>
        <v>3</v>
      </c>
      <c r="K2741" s="2" t="str">
        <f>IF('Base S2'!E72="","",'Base S2'!E72)</f>
        <v>C</v>
      </c>
      <c r="L2741" s="2">
        <f t="shared" si="559"/>
        <v>1</v>
      </c>
      <c r="M2741" s="2">
        <f t="shared" si="560"/>
        <v>0</v>
      </c>
      <c r="N2741" s="2">
        <f t="shared" si="561"/>
        <v>1</v>
      </c>
      <c r="O2741" s="2">
        <f t="shared" si="562"/>
        <v>0</v>
      </c>
      <c r="P2741" s="112">
        <f t="shared" si="563"/>
        <v>3</v>
      </c>
      <c r="Q2741" s="112">
        <f t="shared" si="564"/>
        <v>0</v>
      </c>
      <c r="R2741" s="53"/>
      <c r="S2741" s="53" t="str">
        <f t="shared" si="552"/>
        <v>Base S2|Gold Parallel - Season 2|171|Gold</v>
      </c>
      <c r="T2741" s="57" t="str">
        <f>IF($S2741="","",IFERROR(VLOOKUP($S2741,'Pop Estimates (Non-#d)'!$N$2:$O$500,2,FALSE),""))</f>
        <v/>
      </c>
      <c r="U2741" s="57" t="str">
        <f t="shared" si="553"/>
        <v/>
      </c>
      <c r="V2741" s="53" t="str">
        <f t="shared" si="554"/>
        <v/>
      </c>
      <c r="W2741" s="53" t="str">
        <f t="shared" si="555"/>
        <v/>
      </c>
      <c r="X2741" s="53" t="str">
        <f t="shared" si="556"/>
        <v/>
      </c>
      <c r="Y2741" s="57" t="str">
        <f>IF($X2741="","",IFERROR(VLOOKUP($X2741,'Char Popularity'!$A$2:$C$500,2,FALSE),""))</f>
        <v/>
      </c>
      <c r="Z2741" s="56">
        <f>IF($X2741="",1,IFERROR(VLOOKUP($X2741,'Char Popularity'!$A$2:$C$500,3,FALSE),1))</f>
        <v>1</v>
      </c>
      <c r="AA2741" s="62">
        <f>IF($H2741&lt;&gt;"Y",0,(IF($F2741&lt;&gt;"",ROUND(Dashboard!$R$4/$F2741,1),IF(AND($I2741="Base",$E2741="Base"),Dashboard!$R$5,IF(AND($I2741="Base",$E2741="Red"),Dashboard!$R$6,IF(AND($I2741="Base",$E2741="Gold"),Dashboard!$R$7,VLOOKUP($I2741,Dashboard!$Q$16:$R$21,2,FALSE)))))*VLOOKUP($I2741,Dashboard!$Q$9:$R$13,2,FALSE)*IF(AND($I2741="Auto",$F2741="",OR($B2741="Autographs Duals",$B2741="Autographs Triples",$B2741="Autographs Quads",$B2741="Autographs Quads (Inscribed)")),IF($B2741="Autographs Duals",2,IF($B2741="Autographs Triples",3,4)),1)))</f>
        <v>3</v>
      </c>
      <c r="AB2741" s="62">
        <f t="shared" si="557"/>
        <v>3</v>
      </c>
      <c r="AC2741" s="62">
        <f t="shared" si="558"/>
        <v>0</v>
      </c>
    </row>
    <row r="2742" spans="1:29" ht="28.7" customHeight="1" x14ac:dyDescent="0.25">
      <c r="A2742" s="4" t="s">
        <v>19</v>
      </c>
      <c r="B2742" s="7" t="s">
        <v>77</v>
      </c>
      <c r="C2742" s="2" t="s">
        <v>1571</v>
      </c>
      <c r="D2742" s="7" t="s">
        <v>1160</v>
      </c>
      <c r="E2742" s="4" t="s">
        <v>1602</v>
      </c>
      <c r="F2742" s="2"/>
      <c r="G2742" s="2" t="s">
        <v>1399</v>
      </c>
      <c r="H2742" s="2" t="s">
        <v>1400</v>
      </c>
      <c r="I2742" s="4" t="s">
        <v>60</v>
      </c>
      <c r="J2742" s="112">
        <f>IF($H2742&lt;&gt;"Y",0,ROUND(MIN(Dashboard!$R$24,IF(IFERROR(VLOOKUP($B2742,Dashboard!$Q$28:$S$60,2,FALSE),0)&gt;0,IFERROR(VLOOKUP($B2742,Dashboard!$Q$28:$S$60,2,FALSE),0),$Z2742*IF($U2742&lt;&gt;"",ROUND((Dashboard!$R$4/$U2742)*VLOOKUP($I2742,Dashboard!$Q$9:$R$13,2,FALSE)*IF(ISNUMBER(SEARCH("Duals",$B2742)),2,IF(ISNUMBER(SEARCH("Triples",$B2742)),3,IF(ISNUMBER(SEARCH("Quads",$B2742)),4,1))),2),ROUND(VLOOKUP($I2742,Dashboard!$Q$15:$R$20,2,FALSE)*IF($E2742="Red",Dashboard!$R$6,IF($E2742="Gold",Dashboard!$R$7,Dashboard!$R$5))*IF(ISNUMBER(SEARCH("Duals",$B2742)),2,IF(ISNUMBER(SEARCH("Triples",$B2742)),3,IF(ISNUMBER(SEARCH("Quads",$B2742)),4,1))),2))*IF(IFERROR(VLOOKUP($B2742,Dashboard!$Q$28:$S$60,3,FALSE),0)&gt;0,VLOOKUP($B2742,Dashboard!$Q$28:$S$60,3,FALSE),1))),0))</f>
        <v>3</v>
      </c>
      <c r="K2742" s="2" t="str">
        <f>IF('Base S2'!E73="","",'Base S2'!E73)</f>
        <v>C</v>
      </c>
      <c r="L2742" s="2">
        <f t="shared" si="559"/>
        <v>1</v>
      </c>
      <c r="M2742" s="2">
        <f t="shared" si="560"/>
        <v>0</v>
      </c>
      <c r="N2742" s="2">
        <f t="shared" si="561"/>
        <v>1</v>
      </c>
      <c r="O2742" s="2">
        <f t="shared" si="562"/>
        <v>0</v>
      </c>
      <c r="P2742" s="112">
        <f t="shared" si="563"/>
        <v>3</v>
      </c>
      <c r="Q2742" s="112">
        <f t="shared" si="564"/>
        <v>0</v>
      </c>
      <c r="R2742" s="53"/>
      <c r="S2742" s="53" t="str">
        <f t="shared" si="552"/>
        <v>Base S2|Gold Parallel - Season 2|172|Gold</v>
      </c>
      <c r="T2742" s="57" t="str">
        <f>IF($S2742="","",IFERROR(VLOOKUP($S2742,'Pop Estimates (Non-#d)'!$N$2:$O$500,2,FALSE),""))</f>
        <v/>
      </c>
      <c r="U2742" s="57" t="str">
        <f t="shared" si="553"/>
        <v/>
      </c>
      <c r="V2742" s="53" t="str">
        <f t="shared" si="554"/>
        <v/>
      </c>
      <c r="W2742" s="53" t="str">
        <f t="shared" si="555"/>
        <v/>
      </c>
      <c r="X2742" s="53" t="str">
        <f t="shared" si="556"/>
        <v/>
      </c>
      <c r="Y2742" s="57" t="str">
        <f>IF($X2742="","",IFERROR(VLOOKUP($X2742,'Char Popularity'!$A$2:$C$500,2,FALSE),""))</f>
        <v/>
      </c>
      <c r="Z2742" s="56">
        <f>IF($X2742="",1,IFERROR(VLOOKUP($X2742,'Char Popularity'!$A$2:$C$500,3,FALSE),1))</f>
        <v>1</v>
      </c>
      <c r="AA2742" s="62">
        <f>IF($H2742&lt;&gt;"Y",0,(IF($F2742&lt;&gt;"",ROUND(Dashboard!$R$4/$F2742,1),IF(AND($I2742="Base",$E2742="Base"),Dashboard!$R$5,IF(AND($I2742="Base",$E2742="Red"),Dashboard!$R$6,IF(AND($I2742="Base",$E2742="Gold"),Dashboard!$R$7,VLOOKUP($I2742,Dashboard!$Q$16:$R$21,2,FALSE)))))*VLOOKUP($I2742,Dashboard!$Q$9:$R$13,2,FALSE)*IF(AND($I2742="Auto",$F2742="",OR($B2742="Autographs Duals",$B2742="Autographs Triples",$B2742="Autographs Quads",$B2742="Autographs Quads (Inscribed)")),IF($B2742="Autographs Duals",2,IF($B2742="Autographs Triples",3,4)),1)))</f>
        <v>3</v>
      </c>
      <c r="AB2742" s="62">
        <f t="shared" si="557"/>
        <v>3</v>
      </c>
      <c r="AC2742" s="62">
        <f t="shared" si="558"/>
        <v>0</v>
      </c>
    </row>
    <row r="2743" spans="1:29" ht="28.7" customHeight="1" x14ac:dyDescent="0.25">
      <c r="A2743" s="4" t="s">
        <v>19</v>
      </c>
      <c r="B2743" s="7" t="s">
        <v>77</v>
      </c>
      <c r="C2743" s="2" t="s">
        <v>1572</v>
      </c>
      <c r="D2743" s="7" t="s">
        <v>1161</v>
      </c>
      <c r="E2743" s="4" t="s">
        <v>1602</v>
      </c>
      <c r="F2743" s="2"/>
      <c r="G2743" s="2" t="s">
        <v>1399</v>
      </c>
      <c r="H2743" s="2" t="s">
        <v>1400</v>
      </c>
      <c r="I2743" s="4" t="s">
        <v>60</v>
      </c>
      <c r="J2743" s="112">
        <f>IF($H2743&lt;&gt;"Y",0,ROUND(MIN(Dashboard!$R$24,IF(IFERROR(VLOOKUP($B2743,Dashboard!$Q$28:$S$60,2,FALSE),0)&gt;0,IFERROR(VLOOKUP($B2743,Dashboard!$Q$28:$S$60,2,FALSE),0),$Z2743*IF($U2743&lt;&gt;"",ROUND((Dashboard!$R$4/$U2743)*VLOOKUP($I2743,Dashboard!$Q$9:$R$13,2,FALSE)*IF(ISNUMBER(SEARCH("Duals",$B2743)),2,IF(ISNUMBER(SEARCH("Triples",$B2743)),3,IF(ISNUMBER(SEARCH("Quads",$B2743)),4,1))),2),ROUND(VLOOKUP($I2743,Dashboard!$Q$15:$R$20,2,FALSE)*IF($E2743="Red",Dashboard!$R$6,IF($E2743="Gold",Dashboard!$R$7,Dashboard!$R$5))*IF(ISNUMBER(SEARCH("Duals",$B2743)),2,IF(ISNUMBER(SEARCH("Triples",$B2743)),3,IF(ISNUMBER(SEARCH("Quads",$B2743)),4,1))),2))*IF(IFERROR(VLOOKUP($B2743,Dashboard!$Q$28:$S$60,3,FALSE),0)&gt;0,VLOOKUP($B2743,Dashboard!$Q$28:$S$60,3,FALSE),1))),0))</f>
        <v>3</v>
      </c>
      <c r="K2743" s="2" t="str">
        <f>IF('Base S2'!E74="","",'Base S2'!E74)</f>
        <v>C</v>
      </c>
      <c r="L2743" s="2">
        <f t="shared" si="559"/>
        <v>1</v>
      </c>
      <c r="M2743" s="2">
        <f t="shared" si="560"/>
        <v>0</v>
      </c>
      <c r="N2743" s="2">
        <f t="shared" si="561"/>
        <v>1</v>
      </c>
      <c r="O2743" s="2">
        <f t="shared" si="562"/>
        <v>0</v>
      </c>
      <c r="P2743" s="112">
        <f t="shared" si="563"/>
        <v>3</v>
      </c>
      <c r="Q2743" s="112">
        <f t="shared" si="564"/>
        <v>0</v>
      </c>
      <c r="R2743" s="53"/>
      <c r="S2743" s="53" t="str">
        <f t="shared" si="552"/>
        <v>Base S2|Gold Parallel - Season 2|173|Gold</v>
      </c>
      <c r="T2743" s="57" t="str">
        <f>IF($S2743="","",IFERROR(VLOOKUP($S2743,'Pop Estimates (Non-#d)'!$N$2:$O$500,2,FALSE),""))</f>
        <v/>
      </c>
      <c r="U2743" s="57" t="str">
        <f t="shared" si="553"/>
        <v/>
      </c>
      <c r="V2743" s="53" t="str">
        <f t="shared" si="554"/>
        <v/>
      </c>
      <c r="W2743" s="53" t="str">
        <f t="shared" si="555"/>
        <v/>
      </c>
      <c r="X2743" s="53" t="str">
        <f t="shared" si="556"/>
        <v/>
      </c>
      <c r="Y2743" s="57" t="str">
        <f>IF($X2743="","",IFERROR(VLOOKUP($X2743,'Char Popularity'!$A$2:$C$500,2,FALSE),""))</f>
        <v/>
      </c>
      <c r="Z2743" s="56">
        <f>IF($X2743="",1,IFERROR(VLOOKUP($X2743,'Char Popularity'!$A$2:$C$500,3,FALSE),1))</f>
        <v>1</v>
      </c>
      <c r="AA2743" s="62">
        <f>IF($H2743&lt;&gt;"Y",0,(IF($F2743&lt;&gt;"",ROUND(Dashboard!$R$4/$F2743,1),IF(AND($I2743="Base",$E2743="Base"),Dashboard!$R$5,IF(AND($I2743="Base",$E2743="Red"),Dashboard!$R$6,IF(AND($I2743="Base",$E2743="Gold"),Dashboard!$R$7,VLOOKUP($I2743,Dashboard!$Q$16:$R$21,2,FALSE)))))*VLOOKUP($I2743,Dashboard!$Q$9:$R$13,2,FALSE)*IF(AND($I2743="Auto",$F2743="",OR($B2743="Autographs Duals",$B2743="Autographs Triples",$B2743="Autographs Quads",$B2743="Autographs Quads (Inscribed)")),IF($B2743="Autographs Duals",2,IF($B2743="Autographs Triples",3,4)),1)))</f>
        <v>3</v>
      </c>
      <c r="AB2743" s="62">
        <f t="shared" si="557"/>
        <v>3</v>
      </c>
      <c r="AC2743" s="62">
        <f t="shared" si="558"/>
        <v>0</v>
      </c>
    </row>
    <row r="2744" spans="1:29" ht="28.7" customHeight="1" x14ac:dyDescent="0.25">
      <c r="A2744" s="4" t="s">
        <v>19</v>
      </c>
      <c r="B2744" s="7" t="s">
        <v>77</v>
      </c>
      <c r="C2744" s="2" t="s">
        <v>1573</v>
      </c>
      <c r="D2744" s="7" t="s">
        <v>1164</v>
      </c>
      <c r="E2744" s="4" t="s">
        <v>1602</v>
      </c>
      <c r="F2744" s="2"/>
      <c r="G2744" s="2" t="s">
        <v>1399</v>
      </c>
      <c r="H2744" s="2" t="s">
        <v>1400</v>
      </c>
      <c r="I2744" s="4" t="s">
        <v>60</v>
      </c>
      <c r="J2744" s="112">
        <f>IF($H2744&lt;&gt;"Y",0,ROUND(MIN(Dashboard!$R$24,IF(IFERROR(VLOOKUP($B2744,Dashboard!$Q$28:$S$60,2,FALSE),0)&gt;0,IFERROR(VLOOKUP($B2744,Dashboard!$Q$28:$S$60,2,FALSE),0),$Z2744*IF($U2744&lt;&gt;"",ROUND((Dashboard!$R$4/$U2744)*VLOOKUP($I2744,Dashboard!$Q$9:$R$13,2,FALSE)*IF(ISNUMBER(SEARCH("Duals",$B2744)),2,IF(ISNUMBER(SEARCH("Triples",$B2744)),3,IF(ISNUMBER(SEARCH("Quads",$B2744)),4,1))),2),ROUND(VLOOKUP($I2744,Dashboard!$Q$15:$R$20,2,FALSE)*IF($E2744="Red",Dashboard!$R$6,IF($E2744="Gold",Dashboard!$R$7,Dashboard!$R$5))*IF(ISNUMBER(SEARCH("Duals",$B2744)),2,IF(ISNUMBER(SEARCH("Triples",$B2744)),3,IF(ISNUMBER(SEARCH("Quads",$B2744)),4,1))),2))*IF(IFERROR(VLOOKUP($B2744,Dashboard!$Q$28:$S$60,3,FALSE),0)&gt;0,VLOOKUP($B2744,Dashboard!$Q$28:$S$60,3,FALSE),1))),0))</f>
        <v>3</v>
      </c>
      <c r="K2744" s="2" t="str">
        <f>IF('Base S2'!E75="","",'Base S2'!E75)</f>
        <v>C</v>
      </c>
      <c r="L2744" s="2">
        <f t="shared" si="559"/>
        <v>1</v>
      </c>
      <c r="M2744" s="2">
        <f t="shared" si="560"/>
        <v>0</v>
      </c>
      <c r="N2744" s="2">
        <f t="shared" si="561"/>
        <v>1</v>
      </c>
      <c r="O2744" s="2">
        <f t="shared" si="562"/>
        <v>0</v>
      </c>
      <c r="P2744" s="112">
        <f t="shared" si="563"/>
        <v>3</v>
      </c>
      <c r="Q2744" s="112">
        <f t="shared" si="564"/>
        <v>0</v>
      </c>
      <c r="R2744" s="53"/>
      <c r="S2744" s="53" t="str">
        <f t="shared" si="552"/>
        <v>Base S2|Gold Parallel - Season 2|174|Gold</v>
      </c>
      <c r="T2744" s="57" t="str">
        <f>IF($S2744="","",IFERROR(VLOOKUP($S2744,'Pop Estimates (Non-#d)'!$N$2:$O$500,2,FALSE),""))</f>
        <v/>
      </c>
      <c r="U2744" s="57" t="str">
        <f t="shared" si="553"/>
        <v/>
      </c>
      <c r="V2744" s="53" t="str">
        <f t="shared" si="554"/>
        <v/>
      </c>
      <c r="W2744" s="53" t="str">
        <f t="shared" si="555"/>
        <v/>
      </c>
      <c r="X2744" s="53" t="str">
        <f t="shared" si="556"/>
        <v/>
      </c>
      <c r="Y2744" s="57" t="str">
        <f>IF($X2744="","",IFERROR(VLOOKUP($X2744,'Char Popularity'!$A$2:$C$500,2,FALSE),""))</f>
        <v/>
      </c>
      <c r="Z2744" s="56">
        <f>IF($X2744="",1,IFERROR(VLOOKUP($X2744,'Char Popularity'!$A$2:$C$500,3,FALSE),1))</f>
        <v>1</v>
      </c>
      <c r="AA2744" s="62">
        <f>IF($H2744&lt;&gt;"Y",0,(IF($F2744&lt;&gt;"",ROUND(Dashboard!$R$4/$F2744,1),IF(AND($I2744="Base",$E2744="Base"),Dashboard!$R$5,IF(AND($I2744="Base",$E2744="Red"),Dashboard!$R$6,IF(AND($I2744="Base",$E2744="Gold"),Dashboard!$R$7,VLOOKUP($I2744,Dashboard!$Q$16:$R$21,2,FALSE)))))*VLOOKUP($I2744,Dashboard!$Q$9:$R$13,2,FALSE)*IF(AND($I2744="Auto",$F2744="",OR($B2744="Autographs Duals",$B2744="Autographs Triples",$B2744="Autographs Quads",$B2744="Autographs Quads (Inscribed)")),IF($B2744="Autographs Duals",2,IF($B2744="Autographs Triples",3,4)),1)))</f>
        <v>3</v>
      </c>
      <c r="AB2744" s="62">
        <f t="shared" si="557"/>
        <v>3</v>
      </c>
      <c r="AC2744" s="62">
        <f t="shared" si="558"/>
        <v>0</v>
      </c>
    </row>
    <row r="2745" spans="1:29" ht="28.7" customHeight="1" x14ac:dyDescent="0.25">
      <c r="A2745" s="4" t="s">
        <v>19</v>
      </c>
      <c r="B2745" s="7" t="s">
        <v>77</v>
      </c>
      <c r="C2745" s="2" t="s">
        <v>1574</v>
      </c>
      <c r="D2745" s="7" t="s">
        <v>1165</v>
      </c>
      <c r="E2745" s="4" t="s">
        <v>1602</v>
      </c>
      <c r="F2745" s="2"/>
      <c r="G2745" s="2" t="s">
        <v>1399</v>
      </c>
      <c r="H2745" s="2" t="s">
        <v>1400</v>
      </c>
      <c r="I2745" s="4" t="s">
        <v>60</v>
      </c>
      <c r="J2745" s="112">
        <f>IF($H2745&lt;&gt;"Y",0,ROUND(MIN(Dashboard!$R$24,IF(IFERROR(VLOOKUP($B2745,Dashboard!$Q$28:$S$60,2,FALSE),0)&gt;0,IFERROR(VLOOKUP($B2745,Dashboard!$Q$28:$S$60,2,FALSE),0),$Z2745*IF($U2745&lt;&gt;"",ROUND((Dashboard!$R$4/$U2745)*VLOOKUP($I2745,Dashboard!$Q$9:$R$13,2,FALSE)*IF(ISNUMBER(SEARCH("Duals",$B2745)),2,IF(ISNUMBER(SEARCH("Triples",$B2745)),3,IF(ISNUMBER(SEARCH("Quads",$B2745)),4,1))),2),ROUND(VLOOKUP($I2745,Dashboard!$Q$15:$R$20,2,FALSE)*IF($E2745="Red",Dashboard!$R$6,IF($E2745="Gold",Dashboard!$R$7,Dashboard!$R$5))*IF(ISNUMBER(SEARCH("Duals",$B2745)),2,IF(ISNUMBER(SEARCH("Triples",$B2745)),3,IF(ISNUMBER(SEARCH("Quads",$B2745)),4,1))),2))*IF(IFERROR(VLOOKUP($B2745,Dashboard!$Q$28:$S$60,3,FALSE),0)&gt;0,VLOOKUP($B2745,Dashboard!$Q$28:$S$60,3,FALSE),1))),0))</f>
        <v>3</v>
      </c>
      <c r="K2745" s="2" t="str">
        <f>IF('Base S2'!E76="","",'Base S2'!E76)</f>
        <v>C</v>
      </c>
      <c r="L2745" s="2">
        <f t="shared" si="559"/>
        <v>1</v>
      </c>
      <c r="M2745" s="2">
        <f t="shared" si="560"/>
        <v>0</v>
      </c>
      <c r="N2745" s="2">
        <f t="shared" si="561"/>
        <v>1</v>
      </c>
      <c r="O2745" s="2">
        <f t="shared" si="562"/>
        <v>0</v>
      </c>
      <c r="P2745" s="112">
        <f t="shared" si="563"/>
        <v>3</v>
      </c>
      <c r="Q2745" s="112">
        <f t="shared" si="564"/>
        <v>0</v>
      </c>
      <c r="R2745" s="53"/>
      <c r="S2745" s="53" t="str">
        <f t="shared" si="552"/>
        <v>Base S2|Gold Parallel - Season 2|175|Gold</v>
      </c>
      <c r="T2745" s="57" t="str">
        <f>IF($S2745="","",IFERROR(VLOOKUP($S2745,'Pop Estimates (Non-#d)'!$N$2:$O$500,2,FALSE),""))</f>
        <v/>
      </c>
      <c r="U2745" s="57" t="str">
        <f t="shared" si="553"/>
        <v/>
      </c>
      <c r="V2745" s="53" t="str">
        <f t="shared" si="554"/>
        <v/>
      </c>
      <c r="W2745" s="53" t="str">
        <f t="shared" si="555"/>
        <v/>
      </c>
      <c r="X2745" s="53" t="str">
        <f t="shared" si="556"/>
        <v/>
      </c>
      <c r="Y2745" s="57" t="str">
        <f>IF($X2745="","",IFERROR(VLOOKUP($X2745,'Char Popularity'!$A$2:$C$500,2,FALSE),""))</f>
        <v/>
      </c>
      <c r="Z2745" s="56">
        <f>IF($X2745="",1,IFERROR(VLOOKUP($X2745,'Char Popularity'!$A$2:$C$500,3,FALSE),1))</f>
        <v>1</v>
      </c>
      <c r="AA2745" s="62">
        <f>IF($H2745&lt;&gt;"Y",0,(IF($F2745&lt;&gt;"",ROUND(Dashboard!$R$4/$F2745,1),IF(AND($I2745="Base",$E2745="Base"),Dashboard!$R$5,IF(AND($I2745="Base",$E2745="Red"),Dashboard!$R$6,IF(AND($I2745="Base",$E2745="Gold"),Dashboard!$R$7,VLOOKUP($I2745,Dashboard!$Q$16:$R$21,2,FALSE)))))*VLOOKUP($I2745,Dashboard!$Q$9:$R$13,2,FALSE)*IF(AND($I2745="Auto",$F2745="",OR($B2745="Autographs Duals",$B2745="Autographs Triples",$B2745="Autographs Quads",$B2745="Autographs Quads (Inscribed)")),IF($B2745="Autographs Duals",2,IF($B2745="Autographs Triples",3,4)),1)))</f>
        <v>3</v>
      </c>
      <c r="AB2745" s="62">
        <f t="shared" si="557"/>
        <v>3</v>
      </c>
      <c r="AC2745" s="62">
        <f t="shared" si="558"/>
        <v>0</v>
      </c>
    </row>
    <row r="2746" spans="1:29" ht="28.7" customHeight="1" x14ac:dyDescent="0.25">
      <c r="A2746" s="4" t="s">
        <v>19</v>
      </c>
      <c r="B2746" s="7" t="s">
        <v>77</v>
      </c>
      <c r="C2746" s="2" t="s">
        <v>1575</v>
      </c>
      <c r="D2746" s="7" t="s">
        <v>1167</v>
      </c>
      <c r="E2746" s="4" t="s">
        <v>1602</v>
      </c>
      <c r="F2746" s="2"/>
      <c r="G2746" s="2" t="s">
        <v>1399</v>
      </c>
      <c r="H2746" s="2" t="s">
        <v>1400</v>
      </c>
      <c r="I2746" s="4" t="s">
        <v>60</v>
      </c>
      <c r="J2746" s="112">
        <f>IF($H2746&lt;&gt;"Y",0,ROUND(MIN(Dashboard!$R$24,IF(IFERROR(VLOOKUP($B2746,Dashboard!$Q$28:$S$60,2,FALSE),0)&gt;0,IFERROR(VLOOKUP($B2746,Dashboard!$Q$28:$S$60,2,FALSE),0),$Z2746*IF($U2746&lt;&gt;"",ROUND((Dashboard!$R$4/$U2746)*VLOOKUP($I2746,Dashboard!$Q$9:$R$13,2,FALSE)*IF(ISNUMBER(SEARCH("Duals",$B2746)),2,IF(ISNUMBER(SEARCH("Triples",$B2746)),3,IF(ISNUMBER(SEARCH("Quads",$B2746)),4,1))),2),ROUND(VLOOKUP($I2746,Dashboard!$Q$15:$R$20,2,FALSE)*IF($E2746="Red",Dashboard!$R$6,IF($E2746="Gold",Dashboard!$R$7,Dashboard!$R$5))*IF(ISNUMBER(SEARCH("Duals",$B2746)),2,IF(ISNUMBER(SEARCH("Triples",$B2746)),3,IF(ISNUMBER(SEARCH("Quads",$B2746)),4,1))),2))*IF(IFERROR(VLOOKUP($B2746,Dashboard!$Q$28:$S$60,3,FALSE),0)&gt;0,VLOOKUP($B2746,Dashboard!$Q$28:$S$60,3,FALSE),1))),0))</f>
        <v>3</v>
      </c>
      <c r="K2746" s="2" t="str">
        <f>IF('Base S2'!E77="","",'Base S2'!E77)</f>
        <v>C</v>
      </c>
      <c r="L2746" s="2">
        <f t="shared" si="559"/>
        <v>1</v>
      </c>
      <c r="M2746" s="2">
        <f t="shared" si="560"/>
        <v>0</v>
      </c>
      <c r="N2746" s="2">
        <f t="shared" si="561"/>
        <v>1</v>
      </c>
      <c r="O2746" s="2">
        <f t="shared" si="562"/>
        <v>0</v>
      </c>
      <c r="P2746" s="112">
        <f t="shared" si="563"/>
        <v>3</v>
      </c>
      <c r="Q2746" s="112">
        <f t="shared" si="564"/>
        <v>0</v>
      </c>
      <c r="R2746" s="53"/>
      <c r="S2746" s="53" t="str">
        <f t="shared" si="552"/>
        <v>Base S2|Gold Parallel - Season 2|176|Gold</v>
      </c>
      <c r="T2746" s="57" t="str">
        <f>IF($S2746="","",IFERROR(VLOOKUP($S2746,'Pop Estimates (Non-#d)'!$N$2:$O$500,2,FALSE),""))</f>
        <v/>
      </c>
      <c r="U2746" s="57" t="str">
        <f t="shared" si="553"/>
        <v/>
      </c>
      <c r="V2746" s="53" t="str">
        <f t="shared" si="554"/>
        <v/>
      </c>
      <c r="W2746" s="53" t="str">
        <f t="shared" si="555"/>
        <v/>
      </c>
      <c r="X2746" s="53" t="str">
        <f t="shared" si="556"/>
        <v/>
      </c>
      <c r="Y2746" s="57" t="str">
        <f>IF($X2746="","",IFERROR(VLOOKUP($X2746,'Char Popularity'!$A$2:$C$500,2,FALSE),""))</f>
        <v/>
      </c>
      <c r="Z2746" s="56">
        <f>IF($X2746="",1,IFERROR(VLOOKUP($X2746,'Char Popularity'!$A$2:$C$500,3,FALSE),1))</f>
        <v>1</v>
      </c>
      <c r="AA2746" s="62">
        <f>IF($H2746&lt;&gt;"Y",0,(IF($F2746&lt;&gt;"",ROUND(Dashboard!$R$4/$F2746,1),IF(AND($I2746="Base",$E2746="Base"),Dashboard!$R$5,IF(AND($I2746="Base",$E2746="Red"),Dashboard!$R$6,IF(AND($I2746="Base",$E2746="Gold"),Dashboard!$R$7,VLOOKUP($I2746,Dashboard!$Q$16:$R$21,2,FALSE)))))*VLOOKUP($I2746,Dashboard!$Q$9:$R$13,2,FALSE)*IF(AND($I2746="Auto",$F2746="",OR($B2746="Autographs Duals",$B2746="Autographs Triples",$B2746="Autographs Quads",$B2746="Autographs Quads (Inscribed)")),IF($B2746="Autographs Duals",2,IF($B2746="Autographs Triples",3,4)),1)))</f>
        <v>3</v>
      </c>
      <c r="AB2746" s="62">
        <f t="shared" si="557"/>
        <v>3</v>
      </c>
      <c r="AC2746" s="62">
        <f t="shared" si="558"/>
        <v>0</v>
      </c>
    </row>
    <row r="2747" spans="1:29" ht="28.7" customHeight="1" x14ac:dyDescent="0.25">
      <c r="A2747" s="4" t="s">
        <v>19</v>
      </c>
      <c r="B2747" s="7" t="s">
        <v>77</v>
      </c>
      <c r="C2747" s="2" t="s">
        <v>1576</v>
      </c>
      <c r="D2747" s="7" t="s">
        <v>1168</v>
      </c>
      <c r="E2747" s="4" t="s">
        <v>1602</v>
      </c>
      <c r="F2747" s="2"/>
      <c r="G2747" s="2" t="s">
        <v>1399</v>
      </c>
      <c r="H2747" s="2" t="s">
        <v>1400</v>
      </c>
      <c r="I2747" s="4" t="s">
        <v>60</v>
      </c>
      <c r="J2747" s="112">
        <f>IF($H2747&lt;&gt;"Y",0,ROUND(MIN(Dashboard!$R$24,IF(IFERROR(VLOOKUP($B2747,Dashboard!$Q$28:$S$60,2,FALSE),0)&gt;0,IFERROR(VLOOKUP($B2747,Dashboard!$Q$28:$S$60,2,FALSE),0),$Z2747*IF($U2747&lt;&gt;"",ROUND((Dashboard!$R$4/$U2747)*VLOOKUP($I2747,Dashboard!$Q$9:$R$13,2,FALSE)*IF(ISNUMBER(SEARCH("Duals",$B2747)),2,IF(ISNUMBER(SEARCH("Triples",$B2747)),3,IF(ISNUMBER(SEARCH("Quads",$B2747)),4,1))),2),ROUND(VLOOKUP($I2747,Dashboard!$Q$15:$R$20,2,FALSE)*IF($E2747="Red",Dashboard!$R$6,IF($E2747="Gold",Dashboard!$R$7,Dashboard!$R$5))*IF(ISNUMBER(SEARCH("Duals",$B2747)),2,IF(ISNUMBER(SEARCH("Triples",$B2747)),3,IF(ISNUMBER(SEARCH("Quads",$B2747)),4,1))),2))*IF(IFERROR(VLOOKUP($B2747,Dashboard!$Q$28:$S$60,3,FALSE),0)&gt;0,VLOOKUP($B2747,Dashboard!$Q$28:$S$60,3,FALSE),1))),0))</f>
        <v>3</v>
      </c>
      <c r="K2747" s="2" t="str">
        <f>IF('Base S2'!E78="","",'Base S2'!E78)</f>
        <v>C</v>
      </c>
      <c r="L2747" s="2">
        <f t="shared" si="559"/>
        <v>1</v>
      </c>
      <c r="M2747" s="2">
        <f t="shared" si="560"/>
        <v>0</v>
      </c>
      <c r="N2747" s="2">
        <f t="shared" si="561"/>
        <v>1</v>
      </c>
      <c r="O2747" s="2">
        <f t="shared" si="562"/>
        <v>0</v>
      </c>
      <c r="P2747" s="112">
        <f t="shared" si="563"/>
        <v>3</v>
      </c>
      <c r="Q2747" s="112">
        <f t="shared" si="564"/>
        <v>0</v>
      </c>
      <c r="R2747" s="53"/>
      <c r="S2747" s="53" t="str">
        <f t="shared" si="552"/>
        <v>Base S2|Gold Parallel - Season 2|177|Gold</v>
      </c>
      <c r="T2747" s="57" t="str">
        <f>IF($S2747="","",IFERROR(VLOOKUP($S2747,'Pop Estimates (Non-#d)'!$N$2:$O$500,2,FALSE),""))</f>
        <v/>
      </c>
      <c r="U2747" s="57" t="str">
        <f t="shared" si="553"/>
        <v/>
      </c>
      <c r="V2747" s="53" t="str">
        <f t="shared" si="554"/>
        <v/>
      </c>
      <c r="W2747" s="53" t="str">
        <f t="shared" si="555"/>
        <v/>
      </c>
      <c r="X2747" s="53" t="str">
        <f t="shared" si="556"/>
        <v/>
      </c>
      <c r="Y2747" s="57" t="str">
        <f>IF($X2747="","",IFERROR(VLOOKUP($X2747,'Char Popularity'!$A$2:$C$500,2,FALSE),""))</f>
        <v/>
      </c>
      <c r="Z2747" s="56">
        <f>IF($X2747="",1,IFERROR(VLOOKUP($X2747,'Char Popularity'!$A$2:$C$500,3,FALSE),1))</f>
        <v>1</v>
      </c>
      <c r="AA2747" s="62">
        <f>IF($H2747&lt;&gt;"Y",0,(IF($F2747&lt;&gt;"",ROUND(Dashboard!$R$4/$F2747,1),IF(AND($I2747="Base",$E2747="Base"),Dashboard!$R$5,IF(AND($I2747="Base",$E2747="Red"),Dashboard!$R$6,IF(AND($I2747="Base",$E2747="Gold"),Dashboard!$R$7,VLOOKUP($I2747,Dashboard!$Q$16:$R$21,2,FALSE)))))*VLOOKUP($I2747,Dashboard!$Q$9:$R$13,2,FALSE)*IF(AND($I2747="Auto",$F2747="",OR($B2747="Autographs Duals",$B2747="Autographs Triples",$B2747="Autographs Quads",$B2747="Autographs Quads (Inscribed)")),IF($B2747="Autographs Duals",2,IF($B2747="Autographs Triples",3,4)),1)))</f>
        <v>3</v>
      </c>
      <c r="AB2747" s="62">
        <f t="shared" si="557"/>
        <v>3</v>
      </c>
      <c r="AC2747" s="62">
        <f t="shared" si="558"/>
        <v>0</v>
      </c>
    </row>
    <row r="2748" spans="1:29" ht="28.7" customHeight="1" x14ac:dyDescent="0.25">
      <c r="A2748" s="4" t="s">
        <v>19</v>
      </c>
      <c r="B2748" s="7" t="s">
        <v>77</v>
      </c>
      <c r="C2748" s="2" t="s">
        <v>1577</v>
      </c>
      <c r="D2748" s="7" t="s">
        <v>1169</v>
      </c>
      <c r="E2748" s="4" t="s">
        <v>1602</v>
      </c>
      <c r="F2748" s="2"/>
      <c r="G2748" s="2" t="s">
        <v>1399</v>
      </c>
      <c r="H2748" s="2" t="s">
        <v>1400</v>
      </c>
      <c r="I2748" s="4" t="s">
        <v>60</v>
      </c>
      <c r="J2748" s="112">
        <f>IF($H2748&lt;&gt;"Y",0,ROUND(MIN(Dashboard!$R$24,IF(IFERROR(VLOOKUP($B2748,Dashboard!$Q$28:$S$60,2,FALSE),0)&gt;0,IFERROR(VLOOKUP($B2748,Dashboard!$Q$28:$S$60,2,FALSE),0),$Z2748*IF($U2748&lt;&gt;"",ROUND((Dashboard!$R$4/$U2748)*VLOOKUP($I2748,Dashboard!$Q$9:$R$13,2,FALSE)*IF(ISNUMBER(SEARCH("Duals",$B2748)),2,IF(ISNUMBER(SEARCH("Triples",$B2748)),3,IF(ISNUMBER(SEARCH("Quads",$B2748)),4,1))),2),ROUND(VLOOKUP($I2748,Dashboard!$Q$15:$R$20,2,FALSE)*IF($E2748="Red",Dashboard!$R$6,IF($E2748="Gold",Dashboard!$R$7,Dashboard!$R$5))*IF(ISNUMBER(SEARCH("Duals",$B2748)),2,IF(ISNUMBER(SEARCH("Triples",$B2748)),3,IF(ISNUMBER(SEARCH("Quads",$B2748)),4,1))),2))*IF(IFERROR(VLOOKUP($B2748,Dashboard!$Q$28:$S$60,3,FALSE),0)&gt;0,VLOOKUP($B2748,Dashboard!$Q$28:$S$60,3,FALSE),1))),0))</f>
        <v>3</v>
      </c>
      <c r="K2748" s="2" t="str">
        <f>IF('Base S2'!E79="","",'Base S2'!E79)</f>
        <v>C</v>
      </c>
      <c r="L2748" s="2">
        <f t="shared" si="559"/>
        <v>1</v>
      </c>
      <c r="M2748" s="2">
        <f t="shared" si="560"/>
        <v>0</v>
      </c>
      <c r="N2748" s="2">
        <f t="shared" si="561"/>
        <v>1</v>
      </c>
      <c r="O2748" s="2">
        <f t="shared" si="562"/>
        <v>0</v>
      </c>
      <c r="P2748" s="112">
        <f t="shared" si="563"/>
        <v>3</v>
      </c>
      <c r="Q2748" s="112">
        <f t="shared" si="564"/>
        <v>0</v>
      </c>
      <c r="R2748" s="53"/>
      <c r="S2748" s="53" t="str">
        <f t="shared" si="552"/>
        <v>Base S2|Gold Parallel - Season 2|178|Gold</v>
      </c>
      <c r="T2748" s="57" t="str">
        <f>IF($S2748="","",IFERROR(VLOOKUP($S2748,'Pop Estimates (Non-#d)'!$N$2:$O$500,2,FALSE),""))</f>
        <v/>
      </c>
      <c r="U2748" s="57" t="str">
        <f t="shared" si="553"/>
        <v/>
      </c>
      <c r="V2748" s="53" t="str">
        <f t="shared" si="554"/>
        <v/>
      </c>
      <c r="W2748" s="53" t="str">
        <f t="shared" si="555"/>
        <v/>
      </c>
      <c r="X2748" s="53" t="str">
        <f t="shared" si="556"/>
        <v/>
      </c>
      <c r="Y2748" s="57" t="str">
        <f>IF($X2748="","",IFERROR(VLOOKUP($X2748,'Char Popularity'!$A$2:$C$500,2,FALSE),""))</f>
        <v/>
      </c>
      <c r="Z2748" s="56">
        <f>IF($X2748="",1,IFERROR(VLOOKUP($X2748,'Char Popularity'!$A$2:$C$500,3,FALSE),1))</f>
        <v>1</v>
      </c>
      <c r="AA2748" s="62">
        <f>IF($H2748&lt;&gt;"Y",0,(IF($F2748&lt;&gt;"",ROUND(Dashboard!$R$4/$F2748,1),IF(AND($I2748="Base",$E2748="Base"),Dashboard!$R$5,IF(AND($I2748="Base",$E2748="Red"),Dashboard!$R$6,IF(AND($I2748="Base",$E2748="Gold"),Dashboard!$R$7,VLOOKUP($I2748,Dashboard!$Q$16:$R$21,2,FALSE)))))*VLOOKUP($I2748,Dashboard!$Q$9:$R$13,2,FALSE)*IF(AND($I2748="Auto",$F2748="",OR($B2748="Autographs Duals",$B2748="Autographs Triples",$B2748="Autographs Quads",$B2748="Autographs Quads (Inscribed)")),IF($B2748="Autographs Duals",2,IF($B2748="Autographs Triples",3,4)),1)))</f>
        <v>3</v>
      </c>
      <c r="AB2748" s="62">
        <f t="shared" si="557"/>
        <v>3</v>
      </c>
      <c r="AC2748" s="62">
        <f t="shared" si="558"/>
        <v>0</v>
      </c>
    </row>
    <row r="2749" spans="1:29" ht="28.7" customHeight="1" x14ac:dyDescent="0.25">
      <c r="A2749" s="4" t="s">
        <v>19</v>
      </c>
      <c r="B2749" s="7" t="s">
        <v>77</v>
      </c>
      <c r="C2749" s="2" t="s">
        <v>1578</v>
      </c>
      <c r="D2749" s="7" t="s">
        <v>1170</v>
      </c>
      <c r="E2749" s="4" t="s">
        <v>1602</v>
      </c>
      <c r="F2749" s="2"/>
      <c r="G2749" s="2" t="s">
        <v>1399</v>
      </c>
      <c r="H2749" s="2" t="s">
        <v>1400</v>
      </c>
      <c r="I2749" s="4" t="s">
        <v>60</v>
      </c>
      <c r="J2749" s="112">
        <f>IF($H2749&lt;&gt;"Y",0,ROUND(MIN(Dashboard!$R$24,IF(IFERROR(VLOOKUP($B2749,Dashboard!$Q$28:$S$60,2,FALSE),0)&gt;0,IFERROR(VLOOKUP($B2749,Dashboard!$Q$28:$S$60,2,FALSE),0),$Z2749*IF($U2749&lt;&gt;"",ROUND((Dashboard!$R$4/$U2749)*VLOOKUP($I2749,Dashboard!$Q$9:$R$13,2,FALSE)*IF(ISNUMBER(SEARCH("Duals",$B2749)),2,IF(ISNUMBER(SEARCH("Triples",$B2749)),3,IF(ISNUMBER(SEARCH("Quads",$B2749)),4,1))),2),ROUND(VLOOKUP($I2749,Dashboard!$Q$15:$R$20,2,FALSE)*IF($E2749="Red",Dashboard!$R$6,IF($E2749="Gold",Dashboard!$R$7,Dashboard!$R$5))*IF(ISNUMBER(SEARCH("Duals",$B2749)),2,IF(ISNUMBER(SEARCH("Triples",$B2749)),3,IF(ISNUMBER(SEARCH("Quads",$B2749)),4,1))),2))*IF(IFERROR(VLOOKUP($B2749,Dashboard!$Q$28:$S$60,3,FALSE),0)&gt;0,VLOOKUP($B2749,Dashboard!$Q$28:$S$60,3,FALSE),1))),0))</f>
        <v>3</v>
      </c>
      <c r="K2749" s="2" t="str">
        <f>IF('Base S2'!E80="","",'Base S2'!E80)</f>
        <v>C</v>
      </c>
      <c r="L2749" s="2">
        <f t="shared" si="559"/>
        <v>1</v>
      </c>
      <c r="M2749" s="2">
        <f t="shared" si="560"/>
        <v>0</v>
      </c>
      <c r="N2749" s="2">
        <f t="shared" si="561"/>
        <v>1</v>
      </c>
      <c r="O2749" s="2">
        <f t="shared" si="562"/>
        <v>0</v>
      </c>
      <c r="P2749" s="112">
        <f t="shared" si="563"/>
        <v>3</v>
      </c>
      <c r="Q2749" s="112">
        <f t="shared" si="564"/>
        <v>0</v>
      </c>
      <c r="R2749" s="53"/>
      <c r="S2749" s="53" t="str">
        <f t="shared" si="552"/>
        <v>Base S2|Gold Parallel - Season 2|179|Gold</v>
      </c>
      <c r="T2749" s="57" t="str">
        <f>IF($S2749="","",IFERROR(VLOOKUP($S2749,'Pop Estimates (Non-#d)'!$N$2:$O$500,2,FALSE),""))</f>
        <v/>
      </c>
      <c r="U2749" s="57" t="str">
        <f t="shared" si="553"/>
        <v/>
      </c>
      <c r="V2749" s="53" t="str">
        <f t="shared" si="554"/>
        <v/>
      </c>
      <c r="W2749" s="53" t="str">
        <f t="shared" si="555"/>
        <v/>
      </c>
      <c r="X2749" s="53" t="str">
        <f t="shared" si="556"/>
        <v/>
      </c>
      <c r="Y2749" s="57" t="str">
        <f>IF($X2749="","",IFERROR(VLOOKUP($X2749,'Char Popularity'!$A$2:$C$500,2,FALSE),""))</f>
        <v/>
      </c>
      <c r="Z2749" s="56">
        <f>IF($X2749="",1,IFERROR(VLOOKUP($X2749,'Char Popularity'!$A$2:$C$500,3,FALSE),1))</f>
        <v>1</v>
      </c>
      <c r="AA2749" s="62">
        <f>IF($H2749&lt;&gt;"Y",0,(IF($F2749&lt;&gt;"",ROUND(Dashboard!$R$4/$F2749,1),IF(AND($I2749="Base",$E2749="Base"),Dashboard!$R$5,IF(AND($I2749="Base",$E2749="Red"),Dashboard!$R$6,IF(AND($I2749="Base",$E2749="Gold"),Dashboard!$R$7,VLOOKUP($I2749,Dashboard!$Q$16:$R$21,2,FALSE)))))*VLOOKUP($I2749,Dashboard!$Q$9:$R$13,2,FALSE)*IF(AND($I2749="Auto",$F2749="",OR($B2749="Autographs Duals",$B2749="Autographs Triples",$B2749="Autographs Quads",$B2749="Autographs Quads (Inscribed)")),IF($B2749="Autographs Duals",2,IF($B2749="Autographs Triples",3,4)),1)))</f>
        <v>3</v>
      </c>
      <c r="AB2749" s="62">
        <f t="shared" si="557"/>
        <v>3</v>
      </c>
      <c r="AC2749" s="62">
        <f t="shared" si="558"/>
        <v>0</v>
      </c>
    </row>
    <row r="2750" spans="1:29" ht="28.7" customHeight="1" x14ac:dyDescent="0.25">
      <c r="A2750" s="4" t="s">
        <v>19</v>
      </c>
      <c r="B2750" s="7" t="s">
        <v>77</v>
      </c>
      <c r="C2750" s="2" t="s">
        <v>1579</v>
      </c>
      <c r="D2750" s="7" t="s">
        <v>1172</v>
      </c>
      <c r="E2750" s="4" t="s">
        <v>1602</v>
      </c>
      <c r="F2750" s="2"/>
      <c r="G2750" s="2" t="s">
        <v>1399</v>
      </c>
      <c r="H2750" s="2" t="s">
        <v>1400</v>
      </c>
      <c r="I2750" s="4" t="s">
        <v>60</v>
      </c>
      <c r="J2750" s="112">
        <f>IF($H2750&lt;&gt;"Y",0,ROUND(MIN(Dashboard!$R$24,IF(IFERROR(VLOOKUP($B2750,Dashboard!$Q$28:$S$60,2,FALSE),0)&gt;0,IFERROR(VLOOKUP($B2750,Dashboard!$Q$28:$S$60,2,FALSE),0),$Z2750*IF($U2750&lt;&gt;"",ROUND((Dashboard!$R$4/$U2750)*VLOOKUP($I2750,Dashboard!$Q$9:$R$13,2,FALSE)*IF(ISNUMBER(SEARCH("Duals",$B2750)),2,IF(ISNUMBER(SEARCH("Triples",$B2750)),3,IF(ISNUMBER(SEARCH("Quads",$B2750)),4,1))),2),ROUND(VLOOKUP($I2750,Dashboard!$Q$15:$R$20,2,FALSE)*IF($E2750="Red",Dashboard!$R$6,IF($E2750="Gold",Dashboard!$R$7,Dashboard!$R$5))*IF(ISNUMBER(SEARCH("Duals",$B2750)),2,IF(ISNUMBER(SEARCH("Triples",$B2750)),3,IF(ISNUMBER(SEARCH("Quads",$B2750)),4,1))),2))*IF(IFERROR(VLOOKUP($B2750,Dashboard!$Q$28:$S$60,3,FALSE),0)&gt;0,VLOOKUP($B2750,Dashboard!$Q$28:$S$60,3,FALSE),1))),0))</f>
        <v>3</v>
      </c>
      <c r="K2750" s="2" t="str">
        <f>IF('Base S2'!E81="","",'Base S2'!E81)</f>
        <v>C</v>
      </c>
      <c r="L2750" s="2">
        <f t="shared" si="559"/>
        <v>1</v>
      </c>
      <c r="M2750" s="2">
        <f t="shared" si="560"/>
        <v>0</v>
      </c>
      <c r="N2750" s="2">
        <f t="shared" si="561"/>
        <v>1</v>
      </c>
      <c r="O2750" s="2">
        <f t="shared" si="562"/>
        <v>0</v>
      </c>
      <c r="P2750" s="112">
        <f t="shared" si="563"/>
        <v>3</v>
      </c>
      <c r="Q2750" s="112">
        <f t="shared" si="564"/>
        <v>0</v>
      </c>
      <c r="R2750" s="53"/>
      <c r="S2750" s="53" t="str">
        <f t="shared" si="552"/>
        <v>Base S2|Gold Parallel - Season 2|180|Gold</v>
      </c>
      <c r="T2750" s="57" t="str">
        <f>IF($S2750="","",IFERROR(VLOOKUP($S2750,'Pop Estimates (Non-#d)'!$N$2:$O$500,2,FALSE),""))</f>
        <v/>
      </c>
      <c r="U2750" s="57" t="str">
        <f t="shared" si="553"/>
        <v/>
      </c>
      <c r="V2750" s="53" t="str">
        <f t="shared" si="554"/>
        <v/>
      </c>
      <c r="W2750" s="53" t="str">
        <f t="shared" si="555"/>
        <v/>
      </c>
      <c r="X2750" s="53" t="str">
        <f t="shared" si="556"/>
        <v/>
      </c>
      <c r="Y2750" s="57" t="str">
        <f>IF($X2750="","",IFERROR(VLOOKUP($X2750,'Char Popularity'!$A$2:$C$500,2,FALSE),""))</f>
        <v/>
      </c>
      <c r="Z2750" s="56">
        <f>IF($X2750="",1,IFERROR(VLOOKUP($X2750,'Char Popularity'!$A$2:$C$500,3,FALSE),1))</f>
        <v>1</v>
      </c>
      <c r="AA2750" s="62">
        <f>IF($H2750&lt;&gt;"Y",0,(IF($F2750&lt;&gt;"",ROUND(Dashboard!$R$4/$F2750,1),IF(AND($I2750="Base",$E2750="Base"),Dashboard!$R$5,IF(AND($I2750="Base",$E2750="Red"),Dashboard!$R$6,IF(AND($I2750="Base",$E2750="Gold"),Dashboard!$R$7,VLOOKUP($I2750,Dashboard!$Q$16:$R$21,2,FALSE)))))*VLOOKUP($I2750,Dashboard!$Q$9:$R$13,2,FALSE)*IF(AND($I2750="Auto",$F2750="",OR($B2750="Autographs Duals",$B2750="Autographs Triples",$B2750="Autographs Quads",$B2750="Autographs Quads (Inscribed)")),IF($B2750="Autographs Duals",2,IF($B2750="Autographs Triples",3,4)),1)))</f>
        <v>3</v>
      </c>
      <c r="AB2750" s="62">
        <f t="shared" si="557"/>
        <v>3</v>
      </c>
      <c r="AC2750" s="62">
        <f t="shared" si="558"/>
        <v>0</v>
      </c>
    </row>
    <row r="2751" spans="1:29" ht="28.7" customHeight="1" x14ac:dyDescent="0.25">
      <c r="A2751" s="4" t="s">
        <v>19</v>
      </c>
      <c r="B2751" s="7" t="s">
        <v>77</v>
      </c>
      <c r="C2751" s="2" t="s">
        <v>1580</v>
      </c>
      <c r="D2751" s="7" t="s">
        <v>1173</v>
      </c>
      <c r="E2751" s="4" t="s">
        <v>1602</v>
      </c>
      <c r="F2751" s="2"/>
      <c r="G2751" s="2" t="s">
        <v>1399</v>
      </c>
      <c r="H2751" s="2" t="s">
        <v>1400</v>
      </c>
      <c r="I2751" s="4" t="s">
        <v>60</v>
      </c>
      <c r="J2751" s="112">
        <f>IF($H2751&lt;&gt;"Y",0,ROUND(MIN(Dashboard!$R$24,IF(IFERROR(VLOOKUP($B2751,Dashboard!$Q$28:$S$60,2,FALSE),0)&gt;0,IFERROR(VLOOKUP($B2751,Dashboard!$Q$28:$S$60,2,FALSE),0),$Z2751*IF($U2751&lt;&gt;"",ROUND((Dashboard!$R$4/$U2751)*VLOOKUP($I2751,Dashboard!$Q$9:$R$13,2,FALSE)*IF(ISNUMBER(SEARCH("Duals",$B2751)),2,IF(ISNUMBER(SEARCH("Triples",$B2751)),3,IF(ISNUMBER(SEARCH("Quads",$B2751)),4,1))),2),ROUND(VLOOKUP($I2751,Dashboard!$Q$15:$R$20,2,FALSE)*IF($E2751="Red",Dashboard!$R$6,IF($E2751="Gold",Dashboard!$R$7,Dashboard!$R$5))*IF(ISNUMBER(SEARCH("Duals",$B2751)),2,IF(ISNUMBER(SEARCH("Triples",$B2751)),3,IF(ISNUMBER(SEARCH("Quads",$B2751)),4,1))),2))*IF(IFERROR(VLOOKUP($B2751,Dashboard!$Q$28:$S$60,3,FALSE),0)&gt;0,VLOOKUP($B2751,Dashboard!$Q$28:$S$60,3,FALSE),1))),0))</f>
        <v>3</v>
      </c>
      <c r="K2751" s="2" t="str">
        <f>IF('Base S2'!E82="","",'Base S2'!E82)</f>
        <v>C</v>
      </c>
      <c r="L2751" s="2">
        <f t="shared" si="559"/>
        <v>1</v>
      </c>
      <c r="M2751" s="2">
        <f t="shared" si="560"/>
        <v>0</v>
      </c>
      <c r="N2751" s="2">
        <f t="shared" si="561"/>
        <v>1</v>
      </c>
      <c r="O2751" s="2">
        <f t="shared" si="562"/>
        <v>0</v>
      </c>
      <c r="P2751" s="112">
        <f t="shared" si="563"/>
        <v>3</v>
      </c>
      <c r="Q2751" s="112">
        <f t="shared" si="564"/>
        <v>0</v>
      </c>
      <c r="R2751" s="53"/>
      <c r="S2751" s="53" t="str">
        <f t="shared" si="552"/>
        <v>Base S2|Gold Parallel - Season 2|181|Gold</v>
      </c>
      <c r="T2751" s="57" t="str">
        <f>IF($S2751="","",IFERROR(VLOOKUP($S2751,'Pop Estimates (Non-#d)'!$N$2:$O$500,2,FALSE),""))</f>
        <v/>
      </c>
      <c r="U2751" s="57" t="str">
        <f t="shared" si="553"/>
        <v/>
      </c>
      <c r="V2751" s="53" t="str">
        <f t="shared" si="554"/>
        <v/>
      </c>
      <c r="W2751" s="53" t="str">
        <f t="shared" si="555"/>
        <v/>
      </c>
      <c r="X2751" s="53" t="str">
        <f t="shared" si="556"/>
        <v/>
      </c>
      <c r="Y2751" s="57" t="str">
        <f>IF($X2751="","",IFERROR(VLOOKUP($X2751,'Char Popularity'!$A$2:$C$500,2,FALSE),""))</f>
        <v/>
      </c>
      <c r="Z2751" s="56">
        <f>IF($X2751="",1,IFERROR(VLOOKUP($X2751,'Char Popularity'!$A$2:$C$500,3,FALSE),1))</f>
        <v>1</v>
      </c>
      <c r="AA2751" s="62">
        <f>IF($H2751&lt;&gt;"Y",0,(IF($F2751&lt;&gt;"",ROUND(Dashboard!$R$4/$F2751,1),IF(AND($I2751="Base",$E2751="Base"),Dashboard!$R$5,IF(AND($I2751="Base",$E2751="Red"),Dashboard!$R$6,IF(AND($I2751="Base",$E2751="Gold"),Dashboard!$R$7,VLOOKUP($I2751,Dashboard!$Q$16:$R$21,2,FALSE)))))*VLOOKUP($I2751,Dashboard!$Q$9:$R$13,2,FALSE)*IF(AND($I2751="Auto",$F2751="",OR($B2751="Autographs Duals",$B2751="Autographs Triples",$B2751="Autographs Quads",$B2751="Autographs Quads (Inscribed)")),IF($B2751="Autographs Duals",2,IF($B2751="Autographs Triples",3,4)),1)))</f>
        <v>3</v>
      </c>
      <c r="AB2751" s="62">
        <f t="shared" si="557"/>
        <v>3</v>
      </c>
      <c r="AC2751" s="62">
        <f t="shared" si="558"/>
        <v>0</v>
      </c>
    </row>
    <row r="2752" spans="1:29" ht="28.7" customHeight="1" x14ac:dyDescent="0.25">
      <c r="A2752" s="4" t="s">
        <v>19</v>
      </c>
      <c r="B2752" s="7" t="s">
        <v>77</v>
      </c>
      <c r="C2752" s="2" t="s">
        <v>1581</v>
      </c>
      <c r="D2752" s="7" t="s">
        <v>1174</v>
      </c>
      <c r="E2752" s="4" t="s">
        <v>1602</v>
      </c>
      <c r="F2752" s="2"/>
      <c r="G2752" s="2" t="s">
        <v>1399</v>
      </c>
      <c r="H2752" s="2" t="s">
        <v>1400</v>
      </c>
      <c r="I2752" s="4" t="s">
        <v>60</v>
      </c>
      <c r="J2752" s="112">
        <f>IF($H2752&lt;&gt;"Y",0,ROUND(MIN(Dashboard!$R$24,IF(IFERROR(VLOOKUP($B2752,Dashboard!$Q$28:$S$60,2,FALSE),0)&gt;0,IFERROR(VLOOKUP($B2752,Dashboard!$Q$28:$S$60,2,FALSE),0),$Z2752*IF($U2752&lt;&gt;"",ROUND((Dashboard!$R$4/$U2752)*VLOOKUP($I2752,Dashboard!$Q$9:$R$13,2,FALSE)*IF(ISNUMBER(SEARCH("Duals",$B2752)),2,IF(ISNUMBER(SEARCH("Triples",$B2752)),3,IF(ISNUMBER(SEARCH("Quads",$B2752)),4,1))),2),ROUND(VLOOKUP($I2752,Dashboard!$Q$15:$R$20,2,FALSE)*IF($E2752="Red",Dashboard!$R$6,IF($E2752="Gold",Dashboard!$R$7,Dashboard!$R$5))*IF(ISNUMBER(SEARCH("Duals",$B2752)),2,IF(ISNUMBER(SEARCH("Triples",$B2752)),3,IF(ISNUMBER(SEARCH("Quads",$B2752)),4,1))),2))*IF(IFERROR(VLOOKUP($B2752,Dashboard!$Q$28:$S$60,3,FALSE),0)&gt;0,VLOOKUP($B2752,Dashboard!$Q$28:$S$60,3,FALSE),1))),0))</f>
        <v>3</v>
      </c>
      <c r="K2752" s="2" t="str">
        <f>IF('Base S2'!E83="","",'Base S2'!E83)</f>
        <v>C</v>
      </c>
      <c r="L2752" s="2">
        <f t="shared" si="559"/>
        <v>1</v>
      </c>
      <c r="M2752" s="2">
        <f t="shared" si="560"/>
        <v>0</v>
      </c>
      <c r="N2752" s="2">
        <f t="shared" si="561"/>
        <v>1</v>
      </c>
      <c r="O2752" s="2">
        <f t="shared" si="562"/>
        <v>0</v>
      </c>
      <c r="P2752" s="112">
        <f t="shared" si="563"/>
        <v>3</v>
      </c>
      <c r="Q2752" s="112">
        <f t="shared" si="564"/>
        <v>0</v>
      </c>
      <c r="R2752" s="53"/>
      <c r="S2752" s="53" t="str">
        <f t="shared" si="552"/>
        <v>Base S2|Gold Parallel - Season 2|182|Gold</v>
      </c>
      <c r="T2752" s="57" t="str">
        <f>IF($S2752="","",IFERROR(VLOOKUP($S2752,'Pop Estimates (Non-#d)'!$N$2:$O$500,2,FALSE),""))</f>
        <v/>
      </c>
      <c r="U2752" s="57" t="str">
        <f t="shared" si="553"/>
        <v/>
      </c>
      <c r="V2752" s="53" t="str">
        <f t="shared" si="554"/>
        <v/>
      </c>
      <c r="W2752" s="53" t="str">
        <f t="shared" si="555"/>
        <v/>
      </c>
      <c r="X2752" s="53" t="str">
        <f t="shared" si="556"/>
        <v/>
      </c>
      <c r="Y2752" s="57" t="str">
        <f>IF($X2752="","",IFERROR(VLOOKUP($X2752,'Char Popularity'!$A$2:$C$500,2,FALSE),""))</f>
        <v/>
      </c>
      <c r="Z2752" s="56">
        <f>IF($X2752="",1,IFERROR(VLOOKUP($X2752,'Char Popularity'!$A$2:$C$500,3,FALSE),1))</f>
        <v>1</v>
      </c>
      <c r="AA2752" s="62">
        <f>IF($H2752&lt;&gt;"Y",0,(IF($F2752&lt;&gt;"",ROUND(Dashboard!$R$4/$F2752,1),IF(AND($I2752="Base",$E2752="Base"),Dashboard!$R$5,IF(AND($I2752="Base",$E2752="Red"),Dashboard!$R$6,IF(AND($I2752="Base",$E2752="Gold"),Dashboard!$R$7,VLOOKUP($I2752,Dashboard!$Q$16:$R$21,2,FALSE)))))*VLOOKUP($I2752,Dashboard!$Q$9:$R$13,2,FALSE)*IF(AND($I2752="Auto",$F2752="",OR($B2752="Autographs Duals",$B2752="Autographs Triples",$B2752="Autographs Quads",$B2752="Autographs Quads (Inscribed)")),IF($B2752="Autographs Duals",2,IF($B2752="Autographs Triples",3,4)),1)))</f>
        <v>3</v>
      </c>
      <c r="AB2752" s="62">
        <f t="shared" si="557"/>
        <v>3</v>
      </c>
      <c r="AC2752" s="62">
        <f t="shared" si="558"/>
        <v>0</v>
      </c>
    </row>
    <row r="2753" spans="1:29" ht="28.7" customHeight="1" x14ac:dyDescent="0.25">
      <c r="A2753" s="4" t="s">
        <v>19</v>
      </c>
      <c r="B2753" s="7" t="s">
        <v>77</v>
      </c>
      <c r="C2753" s="2" t="s">
        <v>1582</v>
      </c>
      <c r="D2753" s="7" t="s">
        <v>1177</v>
      </c>
      <c r="E2753" s="4" t="s">
        <v>1602</v>
      </c>
      <c r="F2753" s="2"/>
      <c r="G2753" s="2" t="s">
        <v>1399</v>
      </c>
      <c r="H2753" s="2" t="s">
        <v>1400</v>
      </c>
      <c r="I2753" s="4" t="s">
        <v>60</v>
      </c>
      <c r="J2753" s="112">
        <f>IF($H2753&lt;&gt;"Y",0,ROUND(MIN(Dashboard!$R$24,IF(IFERROR(VLOOKUP($B2753,Dashboard!$Q$28:$S$60,2,FALSE),0)&gt;0,IFERROR(VLOOKUP($B2753,Dashboard!$Q$28:$S$60,2,FALSE),0),$Z2753*IF($U2753&lt;&gt;"",ROUND((Dashboard!$R$4/$U2753)*VLOOKUP($I2753,Dashboard!$Q$9:$R$13,2,FALSE)*IF(ISNUMBER(SEARCH("Duals",$B2753)),2,IF(ISNUMBER(SEARCH("Triples",$B2753)),3,IF(ISNUMBER(SEARCH("Quads",$B2753)),4,1))),2),ROUND(VLOOKUP($I2753,Dashboard!$Q$15:$R$20,2,FALSE)*IF($E2753="Red",Dashboard!$R$6,IF($E2753="Gold",Dashboard!$R$7,Dashboard!$R$5))*IF(ISNUMBER(SEARCH("Duals",$B2753)),2,IF(ISNUMBER(SEARCH("Triples",$B2753)),3,IF(ISNUMBER(SEARCH("Quads",$B2753)),4,1))),2))*IF(IFERROR(VLOOKUP($B2753,Dashboard!$Q$28:$S$60,3,FALSE),0)&gt;0,VLOOKUP($B2753,Dashboard!$Q$28:$S$60,3,FALSE),1))),0))</f>
        <v>3</v>
      </c>
      <c r="K2753" s="2" t="str">
        <f>IF('Base S2'!E84="","",'Base S2'!E84)</f>
        <v>C</v>
      </c>
      <c r="L2753" s="2">
        <f t="shared" si="559"/>
        <v>1</v>
      </c>
      <c r="M2753" s="2">
        <f t="shared" si="560"/>
        <v>0</v>
      </c>
      <c r="N2753" s="2">
        <f t="shared" si="561"/>
        <v>1</v>
      </c>
      <c r="O2753" s="2">
        <f t="shared" si="562"/>
        <v>0</v>
      </c>
      <c r="P2753" s="112">
        <f t="shared" si="563"/>
        <v>3</v>
      </c>
      <c r="Q2753" s="112">
        <f t="shared" si="564"/>
        <v>0</v>
      </c>
      <c r="R2753" s="53"/>
      <c r="S2753" s="53" t="str">
        <f t="shared" si="552"/>
        <v>Base S2|Gold Parallel - Season 2|183|Gold</v>
      </c>
      <c r="T2753" s="57" t="str">
        <f>IF($S2753="","",IFERROR(VLOOKUP($S2753,'Pop Estimates (Non-#d)'!$N$2:$O$500,2,FALSE),""))</f>
        <v/>
      </c>
      <c r="U2753" s="57" t="str">
        <f t="shared" si="553"/>
        <v/>
      </c>
      <c r="V2753" s="53" t="str">
        <f t="shared" si="554"/>
        <v/>
      </c>
      <c r="W2753" s="53" t="str">
        <f t="shared" si="555"/>
        <v/>
      </c>
      <c r="X2753" s="53" t="str">
        <f t="shared" si="556"/>
        <v/>
      </c>
      <c r="Y2753" s="57" t="str">
        <f>IF($X2753="","",IFERROR(VLOOKUP($X2753,'Char Popularity'!$A$2:$C$500,2,FALSE),""))</f>
        <v/>
      </c>
      <c r="Z2753" s="56">
        <f>IF($X2753="",1,IFERROR(VLOOKUP($X2753,'Char Popularity'!$A$2:$C$500,3,FALSE),1))</f>
        <v>1</v>
      </c>
      <c r="AA2753" s="62">
        <f>IF($H2753&lt;&gt;"Y",0,(IF($F2753&lt;&gt;"",ROUND(Dashboard!$R$4/$F2753,1),IF(AND($I2753="Base",$E2753="Base"),Dashboard!$R$5,IF(AND($I2753="Base",$E2753="Red"),Dashboard!$R$6,IF(AND($I2753="Base",$E2753="Gold"),Dashboard!$R$7,VLOOKUP($I2753,Dashboard!$Q$16:$R$21,2,FALSE)))))*VLOOKUP($I2753,Dashboard!$Q$9:$R$13,2,FALSE)*IF(AND($I2753="Auto",$F2753="",OR($B2753="Autographs Duals",$B2753="Autographs Triples",$B2753="Autographs Quads",$B2753="Autographs Quads (Inscribed)")),IF($B2753="Autographs Duals",2,IF($B2753="Autographs Triples",3,4)),1)))</f>
        <v>3</v>
      </c>
      <c r="AB2753" s="62">
        <f t="shared" si="557"/>
        <v>3</v>
      </c>
      <c r="AC2753" s="62">
        <f t="shared" si="558"/>
        <v>0</v>
      </c>
    </row>
    <row r="2754" spans="1:29" ht="28.7" customHeight="1" x14ac:dyDescent="0.25">
      <c r="A2754" s="4" t="s">
        <v>19</v>
      </c>
      <c r="B2754" s="7" t="s">
        <v>77</v>
      </c>
      <c r="C2754" s="2" t="s">
        <v>1583</v>
      </c>
      <c r="D2754" s="7" t="s">
        <v>1179</v>
      </c>
      <c r="E2754" s="4" t="s">
        <v>1602</v>
      </c>
      <c r="F2754" s="2"/>
      <c r="G2754" s="2" t="s">
        <v>1399</v>
      </c>
      <c r="H2754" s="2" t="s">
        <v>1400</v>
      </c>
      <c r="I2754" s="4" t="s">
        <v>60</v>
      </c>
      <c r="J2754" s="112">
        <f>IF($H2754&lt;&gt;"Y",0,ROUND(MIN(Dashboard!$R$24,IF(IFERROR(VLOOKUP($B2754,Dashboard!$Q$28:$S$60,2,FALSE),0)&gt;0,IFERROR(VLOOKUP($B2754,Dashboard!$Q$28:$S$60,2,FALSE),0),$Z2754*IF($U2754&lt;&gt;"",ROUND((Dashboard!$R$4/$U2754)*VLOOKUP($I2754,Dashboard!$Q$9:$R$13,2,FALSE)*IF(ISNUMBER(SEARCH("Duals",$B2754)),2,IF(ISNUMBER(SEARCH("Triples",$B2754)),3,IF(ISNUMBER(SEARCH("Quads",$B2754)),4,1))),2),ROUND(VLOOKUP($I2754,Dashboard!$Q$15:$R$20,2,FALSE)*IF($E2754="Red",Dashboard!$R$6,IF($E2754="Gold",Dashboard!$R$7,Dashboard!$R$5))*IF(ISNUMBER(SEARCH("Duals",$B2754)),2,IF(ISNUMBER(SEARCH("Triples",$B2754)),3,IF(ISNUMBER(SEARCH("Quads",$B2754)),4,1))),2))*IF(IFERROR(VLOOKUP($B2754,Dashboard!$Q$28:$S$60,3,FALSE),0)&gt;0,VLOOKUP($B2754,Dashboard!$Q$28:$S$60,3,FALSE),1))),0))</f>
        <v>3</v>
      </c>
      <c r="K2754" s="2" t="str">
        <f>IF('Base S2'!E85="","",'Base S2'!E85)</f>
        <v>C</v>
      </c>
      <c r="L2754" s="2">
        <f t="shared" si="559"/>
        <v>1</v>
      </c>
      <c r="M2754" s="2">
        <f t="shared" si="560"/>
        <v>0</v>
      </c>
      <c r="N2754" s="2">
        <f t="shared" si="561"/>
        <v>1</v>
      </c>
      <c r="O2754" s="2">
        <f t="shared" si="562"/>
        <v>0</v>
      </c>
      <c r="P2754" s="112">
        <f t="shared" si="563"/>
        <v>3</v>
      </c>
      <c r="Q2754" s="112">
        <f t="shared" si="564"/>
        <v>0</v>
      </c>
      <c r="R2754" s="53"/>
      <c r="S2754" s="53" t="str">
        <f t="shared" ref="S2754:S2817" si="565">IF($A2754="","",$A2754&amp;"|"&amp;$B2754&amp;"|"&amp;$C2754&amp;"|"&amp;$E2754)</f>
        <v>Base S2|Gold Parallel - Season 2|184|Gold</v>
      </c>
      <c r="T2754" s="57" t="str">
        <f>IF($S2754="","",IFERROR(VLOOKUP($S2754,'Pop Estimates (Non-#d)'!$N$2:$O$500,2,FALSE),""))</f>
        <v/>
      </c>
      <c r="U2754" s="57" t="str">
        <f t="shared" ref="U2754:U2817" si="566">IF($A2754="","",IF($F2754&lt;&gt;"",$F2754,$T2754))</f>
        <v/>
      </c>
      <c r="V2754" s="53" t="str">
        <f t="shared" ref="V2754:V2817" si="567">IF($A2754="","",IF(ISNUMBER(SEARCH(" as ",$D2754)),MID($D2754,SEARCH(" as ",$D2754)+4,255),IF(ISNUMBER(SEARCH("/",$D2754)),LEFT($D2754,FIND("/",$D2754&amp;"/")-1),"")))</f>
        <v/>
      </c>
      <c r="W2754" s="53" t="str">
        <f t="shared" ref="W2754:W2817" si="568">IF($V2754="","",TRIM(IFERROR(MID($V2754,SEARCH("(", $V2754)+1,SEARCH(")",$V2754)-SEARCH("(", $V2754)-1),$V2754)))</f>
        <v/>
      </c>
      <c r="X2754" s="53" t="str">
        <f t="shared" ref="X2754:X2817" si="569">IF($W2754="","",TRIM(LEFT($W2754&amp;"""",FIND("""",$W2754&amp;"""")-1)))</f>
        <v/>
      </c>
      <c r="Y2754" s="57" t="str">
        <f>IF($X2754="","",IFERROR(VLOOKUP($X2754,'Char Popularity'!$A$2:$C$500,2,FALSE),""))</f>
        <v/>
      </c>
      <c r="Z2754" s="56">
        <f>IF($X2754="",1,IFERROR(VLOOKUP($X2754,'Char Popularity'!$A$2:$C$500,3,FALSE),1))</f>
        <v>1</v>
      </c>
      <c r="AA2754" s="62">
        <f>IF($H2754&lt;&gt;"Y",0,(IF($F2754&lt;&gt;"",ROUND(Dashboard!$R$4/$F2754,1),IF(AND($I2754="Base",$E2754="Base"),Dashboard!$R$5,IF(AND($I2754="Base",$E2754="Red"),Dashboard!$R$6,IF(AND($I2754="Base",$E2754="Gold"),Dashboard!$R$7,VLOOKUP($I2754,Dashboard!$Q$16:$R$21,2,FALSE)))))*VLOOKUP($I2754,Dashboard!$Q$9:$R$13,2,FALSE)*IF(AND($I2754="Auto",$F2754="",OR($B2754="Autographs Duals",$B2754="Autographs Triples",$B2754="Autographs Quads",$B2754="Autographs Quads (Inscribed)")),IF($B2754="Autographs Duals",2,IF($B2754="Autographs Triples",3,4)),1)))</f>
        <v>3</v>
      </c>
      <c r="AB2754" s="62">
        <f t="shared" ref="AB2754:AB2817" si="570">IF($L2754=1,$AA2754,0)</f>
        <v>3</v>
      </c>
      <c r="AC2754" s="62">
        <f t="shared" ref="AC2754:AC2817" si="571">IF($M2754=1,$AA2754,0)</f>
        <v>0</v>
      </c>
    </row>
    <row r="2755" spans="1:29" ht="28.7" customHeight="1" x14ac:dyDescent="0.25">
      <c r="A2755" s="4" t="s">
        <v>19</v>
      </c>
      <c r="B2755" s="7" t="s">
        <v>77</v>
      </c>
      <c r="C2755" s="2" t="s">
        <v>1584</v>
      </c>
      <c r="D2755" s="7" t="s">
        <v>1180</v>
      </c>
      <c r="E2755" s="4" t="s">
        <v>1602</v>
      </c>
      <c r="F2755" s="2"/>
      <c r="G2755" s="2" t="s">
        <v>1399</v>
      </c>
      <c r="H2755" s="2" t="s">
        <v>1400</v>
      </c>
      <c r="I2755" s="4" t="s">
        <v>60</v>
      </c>
      <c r="J2755" s="112">
        <f>IF($H2755&lt;&gt;"Y",0,ROUND(MIN(Dashboard!$R$24,IF(IFERROR(VLOOKUP($B2755,Dashboard!$Q$28:$S$60,2,FALSE),0)&gt;0,IFERROR(VLOOKUP($B2755,Dashboard!$Q$28:$S$60,2,FALSE),0),$Z2755*IF($U2755&lt;&gt;"",ROUND((Dashboard!$R$4/$U2755)*VLOOKUP($I2755,Dashboard!$Q$9:$R$13,2,FALSE)*IF(ISNUMBER(SEARCH("Duals",$B2755)),2,IF(ISNUMBER(SEARCH("Triples",$B2755)),3,IF(ISNUMBER(SEARCH("Quads",$B2755)),4,1))),2),ROUND(VLOOKUP($I2755,Dashboard!$Q$15:$R$20,2,FALSE)*IF($E2755="Red",Dashboard!$R$6,IF($E2755="Gold",Dashboard!$R$7,Dashboard!$R$5))*IF(ISNUMBER(SEARCH("Duals",$B2755)),2,IF(ISNUMBER(SEARCH("Triples",$B2755)),3,IF(ISNUMBER(SEARCH("Quads",$B2755)),4,1))),2))*IF(IFERROR(VLOOKUP($B2755,Dashboard!$Q$28:$S$60,3,FALSE),0)&gt;0,VLOOKUP($B2755,Dashboard!$Q$28:$S$60,3,FALSE),1))),0))</f>
        <v>3</v>
      </c>
      <c r="K2755" s="2" t="str">
        <f>IF('Base S2'!E86="","",'Base S2'!E86)</f>
        <v>C</v>
      </c>
      <c r="L2755" s="2">
        <f t="shared" si="559"/>
        <v>1</v>
      </c>
      <c r="M2755" s="2">
        <f t="shared" si="560"/>
        <v>0</v>
      </c>
      <c r="N2755" s="2">
        <f t="shared" si="561"/>
        <v>1</v>
      </c>
      <c r="O2755" s="2">
        <f t="shared" si="562"/>
        <v>0</v>
      </c>
      <c r="P2755" s="112">
        <f t="shared" si="563"/>
        <v>3</v>
      </c>
      <c r="Q2755" s="112">
        <f t="shared" si="564"/>
        <v>0</v>
      </c>
      <c r="R2755" s="53"/>
      <c r="S2755" s="53" t="str">
        <f t="shared" si="565"/>
        <v>Base S2|Gold Parallel - Season 2|185|Gold</v>
      </c>
      <c r="T2755" s="57" t="str">
        <f>IF($S2755="","",IFERROR(VLOOKUP($S2755,'Pop Estimates (Non-#d)'!$N$2:$O$500,2,FALSE),""))</f>
        <v/>
      </c>
      <c r="U2755" s="57" t="str">
        <f t="shared" si="566"/>
        <v/>
      </c>
      <c r="V2755" s="53" t="str">
        <f t="shared" si="567"/>
        <v/>
      </c>
      <c r="W2755" s="53" t="str">
        <f t="shared" si="568"/>
        <v/>
      </c>
      <c r="X2755" s="53" t="str">
        <f t="shared" si="569"/>
        <v/>
      </c>
      <c r="Y2755" s="57" t="str">
        <f>IF($X2755="","",IFERROR(VLOOKUP($X2755,'Char Popularity'!$A$2:$C$500,2,FALSE),""))</f>
        <v/>
      </c>
      <c r="Z2755" s="56">
        <f>IF($X2755="",1,IFERROR(VLOOKUP($X2755,'Char Popularity'!$A$2:$C$500,3,FALSE),1))</f>
        <v>1</v>
      </c>
      <c r="AA2755" s="62">
        <f>IF($H2755&lt;&gt;"Y",0,(IF($F2755&lt;&gt;"",ROUND(Dashboard!$R$4/$F2755,1),IF(AND($I2755="Base",$E2755="Base"),Dashboard!$R$5,IF(AND($I2755="Base",$E2755="Red"),Dashboard!$R$6,IF(AND($I2755="Base",$E2755="Gold"),Dashboard!$R$7,VLOOKUP($I2755,Dashboard!$Q$16:$R$21,2,FALSE)))))*VLOOKUP($I2755,Dashboard!$Q$9:$R$13,2,FALSE)*IF(AND($I2755="Auto",$F2755="",OR($B2755="Autographs Duals",$B2755="Autographs Triples",$B2755="Autographs Quads",$B2755="Autographs Quads (Inscribed)")),IF($B2755="Autographs Duals",2,IF($B2755="Autographs Triples",3,4)),1)))</f>
        <v>3</v>
      </c>
      <c r="AB2755" s="62">
        <f t="shared" si="570"/>
        <v>3</v>
      </c>
      <c r="AC2755" s="62">
        <f t="shared" si="571"/>
        <v>0</v>
      </c>
    </row>
    <row r="2756" spans="1:29" ht="28.7" customHeight="1" x14ac:dyDescent="0.25">
      <c r="A2756" s="4" t="s">
        <v>19</v>
      </c>
      <c r="B2756" s="7" t="s">
        <v>77</v>
      </c>
      <c r="C2756" s="2" t="s">
        <v>1585</v>
      </c>
      <c r="D2756" s="7" t="s">
        <v>1181</v>
      </c>
      <c r="E2756" s="4" t="s">
        <v>1602</v>
      </c>
      <c r="F2756" s="2"/>
      <c r="G2756" s="2" t="s">
        <v>1399</v>
      </c>
      <c r="H2756" s="2" t="s">
        <v>1400</v>
      </c>
      <c r="I2756" s="4" t="s">
        <v>60</v>
      </c>
      <c r="J2756" s="112">
        <f>IF($H2756&lt;&gt;"Y",0,ROUND(MIN(Dashboard!$R$24,IF(IFERROR(VLOOKUP($B2756,Dashboard!$Q$28:$S$60,2,FALSE),0)&gt;0,IFERROR(VLOOKUP($B2756,Dashboard!$Q$28:$S$60,2,FALSE),0),$Z2756*IF($U2756&lt;&gt;"",ROUND((Dashboard!$R$4/$U2756)*VLOOKUP($I2756,Dashboard!$Q$9:$R$13,2,FALSE)*IF(ISNUMBER(SEARCH("Duals",$B2756)),2,IF(ISNUMBER(SEARCH("Triples",$B2756)),3,IF(ISNUMBER(SEARCH("Quads",$B2756)),4,1))),2),ROUND(VLOOKUP($I2756,Dashboard!$Q$15:$R$20,2,FALSE)*IF($E2756="Red",Dashboard!$R$6,IF($E2756="Gold",Dashboard!$R$7,Dashboard!$R$5))*IF(ISNUMBER(SEARCH("Duals",$B2756)),2,IF(ISNUMBER(SEARCH("Triples",$B2756)),3,IF(ISNUMBER(SEARCH("Quads",$B2756)),4,1))),2))*IF(IFERROR(VLOOKUP($B2756,Dashboard!$Q$28:$S$60,3,FALSE),0)&gt;0,VLOOKUP($B2756,Dashboard!$Q$28:$S$60,3,FALSE),1))),0))</f>
        <v>3</v>
      </c>
      <c r="K2756" s="2" t="str">
        <f>IF('Base S2'!E87="","",'Base S2'!E87)</f>
        <v>C</v>
      </c>
      <c r="L2756" s="2">
        <f t="shared" si="559"/>
        <v>1</v>
      </c>
      <c r="M2756" s="2">
        <f t="shared" si="560"/>
        <v>0</v>
      </c>
      <c r="N2756" s="2">
        <f t="shared" si="561"/>
        <v>1</v>
      </c>
      <c r="O2756" s="2">
        <f t="shared" si="562"/>
        <v>0</v>
      </c>
      <c r="P2756" s="112">
        <f t="shared" si="563"/>
        <v>3</v>
      </c>
      <c r="Q2756" s="112">
        <f t="shared" si="564"/>
        <v>0</v>
      </c>
      <c r="R2756" s="53"/>
      <c r="S2756" s="53" t="str">
        <f t="shared" si="565"/>
        <v>Base S2|Gold Parallel - Season 2|186|Gold</v>
      </c>
      <c r="T2756" s="57" t="str">
        <f>IF($S2756="","",IFERROR(VLOOKUP($S2756,'Pop Estimates (Non-#d)'!$N$2:$O$500,2,FALSE),""))</f>
        <v/>
      </c>
      <c r="U2756" s="57" t="str">
        <f t="shared" si="566"/>
        <v/>
      </c>
      <c r="V2756" s="53" t="str">
        <f t="shared" si="567"/>
        <v/>
      </c>
      <c r="W2756" s="53" t="str">
        <f t="shared" si="568"/>
        <v/>
      </c>
      <c r="X2756" s="53" t="str">
        <f t="shared" si="569"/>
        <v/>
      </c>
      <c r="Y2756" s="57" t="str">
        <f>IF($X2756="","",IFERROR(VLOOKUP($X2756,'Char Popularity'!$A$2:$C$500,2,FALSE),""))</f>
        <v/>
      </c>
      <c r="Z2756" s="56">
        <f>IF($X2756="",1,IFERROR(VLOOKUP($X2756,'Char Popularity'!$A$2:$C$500,3,FALSE),1))</f>
        <v>1</v>
      </c>
      <c r="AA2756" s="62">
        <f>IF($H2756&lt;&gt;"Y",0,(IF($F2756&lt;&gt;"",ROUND(Dashboard!$R$4/$F2756,1),IF(AND($I2756="Base",$E2756="Base"),Dashboard!$R$5,IF(AND($I2756="Base",$E2756="Red"),Dashboard!$R$6,IF(AND($I2756="Base",$E2756="Gold"),Dashboard!$R$7,VLOOKUP($I2756,Dashboard!$Q$16:$R$21,2,FALSE)))))*VLOOKUP($I2756,Dashboard!$Q$9:$R$13,2,FALSE)*IF(AND($I2756="Auto",$F2756="",OR($B2756="Autographs Duals",$B2756="Autographs Triples",$B2756="Autographs Quads",$B2756="Autographs Quads (Inscribed)")),IF($B2756="Autographs Duals",2,IF($B2756="Autographs Triples",3,4)),1)))</f>
        <v>3</v>
      </c>
      <c r="AB2756" s="62">
        <f t="shared" si="570"/>
        <v>3</v>
      </c>
      <c r="AC2756" s="62">
        <f t="shared" si="571"/>
        <v>0</v>
      </c>
    </row>
    <row r="2757" spans="1:29" ht="28.7" customHeight="1" x14ac:dyDescent="0.25">
      <c r="A2757" s="4" t="s">
        <v>19</v>
      </c>
      <c r="B2757" s="7" t="s">
        <v>77</v>
      </c>
      <c r="C2757" s="2" t="s">
        <v>1586</v>
      </c>
      <c r="D2757" s="7" t="s">
        <v>1182</v>
      </c>
      <c r="E2757" s="4" t="s">
        <v>1602</v>
      </c>
      <c r="F2757" s="2"/>
      <c r="G2757" s="2" t="s">
        <v>1399</v>
      </c>
      <c r="H2757" s="2" t="s">
        <v>1400</v>
      </c>
      <c r="I2757" s="4" t="s">
        <v>60</v>
      </c>
      <c r="J2757" s="112">
        <f>IF($H2757&lt;&gt;"Y",0,ROUND(MIN(Dashboard!$R$24,IF(IFERROR(VLOOKUP($B2757,Dashboard!$Q$28:$S$60,2,FALSE),0)&gt;0,IFERROR(VLOOKUP($B2757,Dashboard!$Q$28:$S$60,2,FALSE),0),$Z2757*IF($U2757&lt;&gt;"",ROUND((Dashboard!$R$4/$U2757)*VLOOKUP($I2757,Dashboard!$Q$9:$R$13,2,FALSE)*IF(ISNUMBER(SEARCH("Duals",$B2757)),2,IF(ISNUMBER(SEARCH("Triples",$B2757)),3,IF(ISNUMBER(SEARCH("Quads",$B2757)),4,1))),2),ROUND(VLOOKUP($I2757,Dashboard!$Q$15:$R$20,2,FALSE)*IF($E2757="Red",Dashboard!$R$6,IF($E2757="Gold",Dashboard!$R$7,Dashboard!$R$5))*IF(ISNUMBER(SEARCH("Duals",$B2757)),2,IF(ISNUMBER(SEARCH("Triples",$B2757)),3,IF(ISNUMBER(SEARCH("Quads",$B2757)),4,1))),2))*IF(IFERROR(VLOOKUP($B2757,Dashboard!$Q$28:$S$60,3,FALSE),0)&gt;0,VLOOKUP($B2757,Dashboard!$Q$28:$S$60,3,FALSE),1))),0))</f>
        <v>3</v>
      </c>
      <c r="K2757" s="2" t="str">
        <f>IF('Base S2'!E88="","",'Base S2'!E88)</f>
        <v>C</v>
      </c>
      <c r="L2757" s="2">
        <f t="shared" si="559"/>
        <v>1</v>
      </c>
      <c r="M2757" s="2">
        <f t="shared" si="560"/>
        <v>0</v>
      </c>
      <c r="N2757" s="2">
        <f t="shared" si="561"/>
        <v>1</v>
      </c>
      <c r="O2757" s="2">
        <f t="shared" si="562"/>
        <v>0</v>
      </c>
      <c r="P2757" s="112">
        <f t="shared" si="563"/>
        <v>3</v>
      </c>
      <c r="Q2757" s="112">
        <f t="shared" si="564"/>
        <v>0</v>
      </c>
      <c r="R2757" s="53"/>
      <c r="S2757" s="53" t="str">
        <f t="shared" si="565"/>
        <v>Base S2|Gold Parallel - Season 2|187|Gold</v>
      </c>
      <c r="T2757" s="57" t="str">
        <f>IF($S2757="","",IFERROR(VLOOKUP($S2757,'Pop Estimates (Non-#d)'!$N$2:$O$500,2,FALSE),""))</f>
        <v/>
      </c>
      <c r="U2757" s="57" t="str">
        <f t="shared" si="566"/>
        <v/>
      </c>
      <c r="V2757" s="53" t="str">
        <f t="shared" si="567"/>
        <v/>
      </c>
      <c r="W2757" s="53" t="str">
        <f t="shared" si="568"/>
        <v/>
      </c>
      <c r="X2757" s="53" t="str">
        <f t="shared" si="569"/>
        <v/>
      </c>
      <c r="Y2757" s="57" t="str">
        <f>IF($X2757="","",IFERROR(VLOOKUP($X2757,'Char Popularity'!$A$2:$C$500,2,FALSE),""))</f>
        <v/>
      </c>
      <c r="Z2757" s="56">
        <f>IF($X2757="",1,IFERROR(VLOOKUP($X2757,'Char Popularity'!$A$2:$C$500,3,FALSE),1))</f>
        <v>1</v>
      </c>
      <c r="AA2757" s="62">
        <f>IF($H2757&lt;&gt;"Y",0,(IF($F2757&lt;&gt;"",ROUND(Dashboard!$R$4/$F2757,1),IF(AND($I2757="Base",$E2757="Base"),Dashboard!$R$5,IF(AND($I2757="Base",$E2757="Red"),Dashboard!$R$6,IF(AND($I2757="Base",$E2757="Gold"),Dashboard!$R$7,VLOOKUP($I2757,Dashboard!$Q$16:$R$21,2,FALSE)))))*VLOOKUP($I2757,Dashboard!$Q$9:$R$13,2,FALSE)*IF(AND($I2757="Auto",$F2757="",OR($B2757="Autographs Duals",$B2757="Autographs Triples",$B2757="Autographs Quads",$B2757="Autographs Quads (Inscribed)")),IF($B2757="Autographs Duals",2,IF($B2757="Autographs Triples",3,4)),1)))</f>
        <v>3</v>
      </c>
      <c r="AB2757" s="62">
        <f t="shared" si="570"/>
        <v>3</v>
      </c>
      <c r="AC2757" s="62">
        <f t="shared" si="571"/>
        <v>0</v>
      </c>
    </row>
    <row r="2758" spans="1:29" ht="28.7" customHeight="1" x14ac:dyDescent="0.25">
      <c r="A2758" s="4" t="s">
        <v>19</v>
      </c>
      <c r="B2758" s="7" t="s">
        <v>77</v>
      </c>
      <c r="C2758" s="2" t="s">
        <v>1587</v>
      </c>
      <c r="D2758" s="7" t="s">
        <v>1183</v>
      </c>
      <c r="E2758" s="4" t="s">
        <v>1602</v>
      </c>
      <c r="F2758" s="2"/>
      <c r="G2758" s="2" t="s">
        <v>1399</v>
      </c>
      <c r="H2758" s="2" t="s">
        <v>1400</v>
      </c>
      <c r="I2758" s="4" t="s">
        <v>60</v>
      </c>
      <c r="J2758" s="112">
        <f>IF($H2758&lt;&gt;"Y",0,ROUND(MIN(Dashboard!$R$24,IF(IFERROR(VLOOKUP($B2758,Dashboard!$Q$28:$S$60,2,FALSE),0)&gt;0,IFERROR(VLOOKUP($B2758,Dashboard!$Q$28:$S$60,2,FALSE),0),$Z2758*IF($U2758&lt;&gt;"",ROUND((Dashboard!$R$4/$U2758)*VLOOKUP($I2758,Dashboard!$Q$9:$R$13,2,FALSE)*IF(ISNUMBER(SEARCH("Duals",$B2758)),2,IF(ISNUMBER(SEARCH("Triples",$B2758)),3,IF(ISNUMBER(SEARCH("Quads",$B2758)),4,1))),2),ROUND(VLOOKUP($I2758,Dashboard!$Q$15:$R$20,2,FALSE)*IF($E2758="Red",Dashboard!$R$6,IF($E2758="Gold",Dashboard!$R$7,Dashboard!$R$5))*IF(ISNUMBER(SEARCH("Duals",$B2758)),2,IF(ISNUMBER(SEARCH("Triples",$B2758)),3,IF(ISNUMBER(SEARCH("Quads",$B2758)),4,1))),2))*IF(IFERROR(VLOOKUP($B2758,Dashboard!$Q$28:$S$60,3,FALSE),0)&gt;0,VLOOKUP($B2758,Dashboard!$Q$28:$S$60,3,FALSE),1))),0))</f>
        <v>3</v>
      </c>
      <c r="K2758" s="2" t="str">
        <f>IF('Base S2'!E89="","",'Base S2'!E89)</f>
        <v>C</v>
      </c>
      <c r="L2758" s="2">
        <f t="shared" si="559"/>
        <v>1</v>
      </c>
      <c r="M2758" s="2">
        <f t="shared" si="560"/>
        <v>0</v>
      </c>
      <c r="N2758" s="2">
        <f t="shared" si="561"/>
        <v>1</v>
      </c>
      <c r="O2758" s="2">
        <f t="shared" si="562"/>
        <v>0</v>
      </c>
      <c r="P2758" s="112">
        <f t="shared" si="563"/>
        <v>3</v>
      </c>
      <c r="Q2758" s="112">
        <f t="shared" si="564"/>
        <v>0</v>
      </c>
      <c r="R2758" s="53"/>
      <c r="S2758" s="53" t="str">
        <f t="shared" si="565"/>
        <v>Base S2|Gold Parallel - Season 2|188|Gold</v>
      </c>
      <c r="T2758" s="57" t="str">
        <f>IF($S2758="","",IFERROR(VLOOKUP($S2758,'Pop Estimates (Non-#d)'!$N$2:$O$500,2,FALSE),""))</f>
        <v/>
      </c>
      <c r="U2758" s="57" t="str">
        <f t="shared" si="566"/>
        <v/>
      </c>
      <c r="V2758" s="53" t="str">
        <f t="shared" si="567"/>
        <v/>
      </c>
      <c r="W2758" s="53" t="str">
        <f t="shared" si="568"/>
        <v/>
      </c>
      <c r="X2758" s="53" t="str">
        <f t="shared" si="569"/>
        <v/>
      </c>
      <c r="Y2758" s="57" t="str">
        <f>IF($X2758="","",IFERROR(VLOOKUP($X2758,'Char Popularity'!$A$2:$C$500,2,FALSE),""))</f>
        <v/>
      </c>
      <c r="Z2758" s="56">
        <f>IF($X2758="",1,IFERROR(VLOOKUP($X2758,'Char Popularity'!$A$2:$C$500,3,FALSE),1))</f>
        <v>1</v>
      </c>
      <c r="AA2758" s="62">
        <f>IF($H2758&lt;&gt;"Y",0,(IF($F2758&lt;&gt;"",ROUND(Dashboard!$R$4/$F2758,1),IF(AND($I2758="Base",$E2758="Base"),Dashboard!$R$5,IF(AND($I2758="Base",$E2758="Red"),Dashboard!$R$6,IF(AND($I2758="Base",$E2758="Gold"),Dashboard!$R$7,VLOOKUP($I2758,Dashboard!$Q$16:$R$21,2,FALSE)))))*VLOOKUP($I2758,Dashboard!$Q$9:$R$13,2,FALSE)*IF(AND($I2758="Auto",$F2758="",OR($B2758="Autographs Duals",$B2758="Autographs Triples",$B2758="Autographs Quads",$B2758="Autographs Quads (Inscribed)")),IF($B2758="Autographs Duals",2,IF($B2758="Autographs Triples",3,4)),1)))</f>
        <v>3</v>
      </c>
      <c r="AB2758" s="62">
        <f t="shared" si="570"/>
        <v>3</v>
      </c>
      <c r="AC2758" s="62">
        <f t="shared" si="571"/>
        <v>0</v>
      </c>
    </row>
    <row r="2759" spans="1:29" ht="28.7" customHeight="1" x14ac:dyDescent="0.25">
      <c r="A2759" s="4" t="s">
        <v>19</v>
      </c>
      <c r="B2759" s="7" t="s">
        <v>77</v>
      </c>
      <c r="C2759" s="2" t="s">
        <v>1588</v>
      </c>
      <c r="D2759" s="7" t="s">
        <v>1185</v>
      </c>
      <c r="E2759" s="4" t="s">
        <v>1602</v>
      </c>
      <c r="F2759" s="2"/>
      <c r="G2759" s="2" t="s">
        <v>1399</v>
      </c>
      <c r="H2759" s="2" t="s">
        <v>1400</v>
      </c>
      <c r="I2759" s="4" t="s">
        <v>60</v>
      </c>
      <c r="J2759" s="112">
        <f>IF($H2759&lt;&gt;"Y",0,ROUND(MIN(Dashboard!$R$24,IF(IFERROR(VLOOKUP($B2759,Dashboard!$Q$28:$S$60,2,FALSE),0)&gt;0,IFERROR(VLOOKUP($B2759,Dashboard!$Q$28:$S$60,2,FALSE),0),$Z2759*IF($U2759&lt;&gt;"",ROUND((Dashboard!$R$4/$U2759)*VLOOKUP($I2759,Dashboard!$Q$9:$R$13,2,FALSE)*IF(ISNUMBER(SEARCH("Duals",$B2759)),2,IF(ISNUMBER(SEARCH("Triples",$B2759)),3,IF(ISNUMBER(SEARCH("Quads",$B2759)),4,1))),2),ROUND(VLOOKUP($I2759,Dashboard!$Q$15:$R$20,2,FALSE)*IF($E2759="Red",Dashboard!$R$6,IF($E2759="Gold",Dashboard!$R$7,Dashboard!$R$5))*IF(ISNUMBER(SEARCH("Duals",$B2759)),2,IF(ISNUMBER(SEARCH("Triples",$B2759)),3,IF(ISNUMBER(SEARCH("Quads",$B2759)),4,1))),2))*IF(IFERROR(VLOOKUP($B2759,Dashboard!$Q$28:$S$60,3,FALSE),0)&gt;0,VLOOKUP($B2759,Dashboard!$Q$28:$S$60,3,FALSE),1))),0))</f>
        <v>3</v>
      </c>
      <c r="K2759" s="2" t="str">
        <f>IF('Base S2'!E90="","",'Base S2'!E90)</f>
        <v>C</v>
      </c>
      <c r="L2759" s="2">
        <f t="shared" si="559"/>
        <v>1</v>
      </c>
      <c r="M2759" s="2">
        <f t="shared" si="560"/>
        <v>0</v>
      </c>
      <c r="N2759" s="2">
        <f t="shared" si="561"/>
        <v>1</v>
      </c>
      <c r="O2759" s="2">
        <f t="shared" si="562"/>
        <v>0</v>
      </c>
      <c r="P2759" s="112">
        <f t="shared" si="563"/>
        <v>3</v>
      </c>
      <c r="Q2759" s="112">
        <f t="shared" si="564"/>
        <v>0</v>
      </c>
      <c r="R2759" s="53"/>
      <c r="S2759" s="53" t="str">
        <f t="shared" si="565"/>
        <v>Base S2|Gold Parallel - Season 2|189|Gold</v>
      </c>
      <c r="T2759" s="57" t="str">
        <f>IF($S2759="","",IFERROR(VLOOKUP($S2759,'Pop Estimates (Non-#d)'!$N$2:$O$500,2,FALSE),""))</f>
        <v/>
      </c>
      <c r="U2759" s="57" t="str">
        <f t="shared" si="566"/>
        <v/>
      </c>
      <c r="V2759" s="53" t="str">
        <f t="shared" si="567"/>
        <v/>
      </c>
      <c r="W2759" s="53" t="str">
        <f t="shared" si="568"/>
        <v/>
      </c>
      <c r="X2759" s="53" t="str">
        <f t="shared" si="569"/>
        <v/>
      </c>
      <c r="Y2759" s="57" t="str">
        <f>IF($X2759="","",IFERROR(VLOOKUP($X2759,'Char Popularity'!$A$2:$C$500,2,FALSE),""))</f>
        <v/>
      </c>
      <c r="Z2759" s="56">
        <f>IF($X2759="",1,IFERROR(VLOOKUP($X2759,'Char Popularity'!$A$2:$C$500,3,FALSE),1))</f>
        <v>1</v>
      </c>
      <c r="AA2759" s="62">
        <f>IF($H2759&lt;&gt;"Y",0,(IF($F2759&lt;&gt;"",ROUND(Dashboard!$R$4/$F2759,1),IF(AND($I2759="Base",$E2759="Base"),Dashboard!$R$5,IF(AND($I2759="Base",$E2759="Red"),Dashboard!$R$6,IF(AND($I2759="Base",$E2759="Gold"),Dashboard!$R$7,VLOOKUP($I2759,Dashboard!$Q$16:$R$21,2,FALSE)))))*VLOOKUP($I2759,Dashboard!$Q$9:$R$13,2,FALSE)*IF(AND($I2759="Auto",$F2759="",OR($B2759="Autographs Duals",$B2759="Autographs Triples",$B2759="Autographs Quads",$B2759="Autographs Quads (Inscribed)")),IF($B2759="Autographs Duals",2,IF($B2759="Autographs Triples",3,4)),1)))</f>
        <v>3</v>
      </c>
      <c r="AB2759" s="62">
        <f t="shared" si="570"/>
        <v>3</v>
      </c>
      <c r="AC2759" s="62">
        <f t="shared" si="571"/>
        <v>0</v>
      </c>
    </row>
    <row r="2760" spans="1:29" ht="28.7" customHeight="1" x14ac:dyDescent="0.25">
      <c r="A2760" s="4" t="s">
        <v>19</v>
      </c>
      <c r="B2760" s="7" t="s">
        <v>77</v>
      </c>
      <c r="C2760" s="2" t="s">
        <v>1589</v>
      </c>
      <c r="D2760" s="7" t="s">
        <v>1186</v>
      </c>
      <c r="E2760" s="4" t="s">
        <v>1602</v>
      </c>
      <c r="F2760" s="2"/>
      <c r="G2760" s="2" t="s">
        <v>1399</v>
      </c>
      <c r="H2760" s="2" t="s">
        <v>1400</v>
      </c>
      <c r="I2760" s="4" t="s">
        <v>60</v>
      </c>
      <c r="J2760" s="112">
        <f>IF($H2760&lt;&gt;"Y",0,ROUND(MIN(Dashboard!$R$24,IF(IFERROR(VLOOKUP($B2760,Dashboard!$Q$28:$S$60,2,FALSE),0)&gt;0,IFERROR(VLOOKUP($B2760,Dashboard!$Q$28:$S$60,2,FALSE),0),$Z2760*IF($U2760&lt;&gt;"",ROUND((Dashboard!$R$4/$U2760)*VLOOKUP($I2760,Dashboard!$Q$9:$R$13,2,FALSE)*IF(ISNUMBER(SEARCH("Duals",$B2760)),2,IF(ISNUMBER(SEARCH("Triples",$B2760)),3,IF(ISNUMBER(SEARCH("Quads",$B2760)),4,1))),2),ROUND(VLOOKUP($I2760,Dashboard!$Q$15:$R$20,2,FALSE)*IF($E2760="Red",Dashboard!$R$6,IF($E2760="Gold",Dashboard!$R$7,Dashboard!$R$5))*IF(ISNUMBER(SEARCH("Duals",$B2760)),2,IF(ISNUMBER(SEARCH("Triples",$B2760)),3,IF(ISNUMBER(SEARCH("Quads",$B2760)),4,1))),2))*IF(IFERROR(VLOOKUP($B2760,Dashboard!$Q$28:$S$60,3,FALSE),0)&gt;0,VLOOKUP($B2760,Dashboard!$Q$28:$S$60,3,FALSE),1))),0))</f>
        <v>3</v>
      </c>
      <c r="K2760" s="2" t="str">
        <f>IF('Base S2'!E91="","",'Base S2'!E91)</f>
        <v>C</v>
      </c>
      <c r="L2760" s="2">
        <f t="shared" si="559"/>
        <v>1</v>
      </c>
      <c r="M2760" s="2">
        <f t="shared" si="560"/>
        <v>0</v>
      </c>
      <c r="N2760" s="2">
        <f t="shared" si="561"/>
        <v>1</v>
      </c>
      <c r="O2760" s="2">
        <f t="shared" si="562"/>
        <v>0</v>
      </c>
      <c r="P2760" s="112">
        <f t="shared" si="563"/>
        <v>3</v>
      </c>
      <c r="Q2760" s="112">
        <f t="shared" si="564"/>
        <v>0</v>
      </c>
      <c r="R2760" s="53"/>
      <c r="S2760" s="53" t="str">
        <f t="shared" si="565"/>
        <v>Base S2|Gold Parallel - Season 2|190|Gold</v>
      </c>
      <c r="T2760" s="57" t="str">
        <f>IF($S2760="","",IFERROR(VLOOKUP($S2760,'Pop Estimates (Non-#d)'!$N$2:$O$500,2,FALSE),""))</f>
        <v/>
      </c>
      <c r="U2760" s="57" t="str">
        <f t="shared" si="566"/>
        <v/>
      </c>
      <c r="V2760" s="53" t="str">
        <f t="shared" si="567"/>
        <v/>
      </c>
      <c r="W2760" s="53" t="str">
        <f t="shared" si="568"/>
        <v/>
      </c>
      <c r="X2760" s="53" t="str">
        <f t="shared" si="569"/>
        <v/>
      </c>
      <c r="Y2760" s="57" t="str">
        <f>IF($X2760="","",IFERROR(VLOOKUP($X2760,'Char Popularity'!$A$2:$C$500,2,FALSE),""))</f>
        <v/>
      </c>
      <c r="Z2760" s="56">
        <f>IF($X2760="",1,IFERROR(VLOOKUP($X2760,'Char Popularity'!$A$2:$C$500,3,FALSE),1))</f>
        <v>1</v>
      </c>
      <c r="AA2760" s="62">
        <f>IF($H2760&lt;&gt;"Y",0,(IF($F2760&lt;&gt;"",ROUND(Dashboard!$R$4/$F2760,1),IF(AND($I2760="Base",$E2760="Base"),Dashboard!$R$5,IF(AND($I2760="Base",$E2760="Red"),Dashboard!$R$6,IF(AND($I2760="Base",$E2760="Gold"),Dashboard!$R$7,VLOOKUP($I2760,Dashboard!$Q$16:$R$21,2,FALSE)))))*VLOOKUP($I2760,Dashboard!$Q$9:$R$13,2,FALSE)*IF(AND($I2760="Auto",$F2760="",OR($B2760="Autographs Duals",$B2760="Autographs Triples",$B2760="Autographs Quads",$B2760="Autographs Quads (Inscribed)")),IF($B2760="Autographs Duals",2,IF($B2760="Autographs Triples",3,4)),1)))</f>
        <v>3</v>
      </c>
      <c r="AB2760" s="62">
        <f t="shared" si="570"/>
        <v>3</v>
      </c>
      <c r="AC2760" s="62">
        <f t="shared" si="571"/>
        <v>0</v>
      </c>
    </row>
    <row r="2761" spans="1:29" ht="28.7" customHeight="1" x14ac:dyDescent="0.25">
      <c r="A2761" s="4" t="s">
        <v>19</v>
      </c>
      <c r="B2761" s="7" t="s">
        <v>77</v>
      </c>
      <c r="C2761" s="2" t="s">
        <v>1590</v>
      </c>
      <c r="D2761" s="7" t="s">
        <v>1187</v>
      </c>
      <c r="E2761" s="4" t="s">
        <v>1602</v>
      </c>
      <c r="F2761" s="2"/>
      <c r="G2761" s="2" t="s">
        <v>1399</v>
      </c>
      <c r="H2761" s="2" t="s">
        <v>1400</v>
      </c>
      <c r="I2761" s="4" t="s">
        <v>60</v>
      </c>
      <c r="J2761" s="112">
        <f>IF($H2761&lt;&gt;"Y",0,ROUND(MIN(Dashboard!$R$24,IF(IFERROR(VLOOKUP($B2761,Dashboard!$Q$28:$S$60,2,FALSE),0)&gt;0,IFERROR(VLOOKUP($B2761,Dashboard!$Q$28:$S$60,2,FALSE),0),$Z2761*IF($U2761&lt;&gt;"",ROUND((Dashboard!$R$4/$U2761)*VLOOKUP($I2761,Dashboard!$Q$9:$R$13,2,FALSE)*IF(ISNUMBER(SEARCH("Duals",$B2761)),2,IF(ISNUMBER(SEARCH("Triples",$B2761)),3,IF(ISNUMBER(SEARCH("Quads",$B2761)),4,1))),2),ROUND(VLOOKUP($I2761,Dashboard!$Q$15:$R$20,2,FALSE)*IF($E2761="Red",Dashboard!$R$6,IF($E2761="Gold",Dashboard!$R$7,Dashboard!$R$5))*IF(ISNUMBER(SEARCH("Duals",$B2761)),2,IF(ISNUMBER(SEARCH("Triples",$B2761)),3,IF(ISNUMBER(SEARCH("Quads",$B2761)),4,1))),2))*IF(IFERROR(VLOOKUP($B2761,Dashboard!$Q$28:$S$60,3,FALSE),0)&gt;0,VLOOKUP($B2761,Dashboard!$Q$28:$S$60,3,FALSE),1))),0))</f>
        <v>3</v>
      </c>
      <c r="K2761" s="2" t="str">
        <f>IF('Base S2'!E92="","",'Base S2'!E92)</f>
        <v>C</v>
      </c>
      <c r="L2761" s="2">
        <f t="shared" si="559"/>
        <v>1</v>
      </c>
      <c r="M2761" s="2">
        <f t="shared" si="560"/>
        <v>0</v>
      </c>
      <c r="N2761" s="2">
        <f t="shared" si="561"/>
        <v>1</v>
      </c>
      <c r="O2761" s="2">
        <f t="shared" si="562"/>
        <v>0</v>
      </c>
      <c r="P2761" s="112">
        <f t="shared" si="563"/>
        <v>3</v>
      </c>
      <c r="Q2761" s="112">
        <f t="shared" si="564"/>
        <v>0</v>
      </c>
      <c r="R2761" s="53"/>
      <c r="S2761" s="53" t="str">
        <f t="shared" si="565"/>
        <v>Base S2|Gold Parallel - Season 2|191|Gold</v>
      </c>
      <c r="T2761" s="57" t="str">
        <f>IF($S2761="","",IFERROR(VLOOKUP($S2761,'Pop Estimates (Non-#d)'!$N$2:$O$500,2,FALSE),""))</f>
        <v/>
      </c>
      <c r="U2761" s="57" t="str">
        <f t="shared" si="566"/>
        <v/>
      </c>
      <c r="V2761" s="53" t="str">
        <f t="shared" si="567"/>
        <v/>
      </c>
      <c r="W2761" s="53" t="str">
        <f t="shared" si="568"/>
        <v/>
      </c>
      <c r="X2761" s="53" t="str">
        <f t="shared" si="569"/>
        <v/>
      </c>
      <c r="Y2761" s="57" t="str">
        <f>IF($X2761="","",IFERROR(VLOOKUP($X2761,'Char Popularity'!$A$2:$C$500,2,FALSE),""))</f>
        <v/>
      </c>
      <c r="Z2761" s="56">
        <f>IF($X2761="",1,IFERROR(VLOOKUP($X2761,'Char Popularity'!$A$2:$C$500,3,FALSE),1))</f>
        <v>1</v>
      </c>
      <c r="AA2761" s="62">
        <f>IF($H2761&lt;&gt;"Y",0,(IF($F2761&lt;&gt;"",ROUND(Dashboard!$R$4/$F2761,1),IF(AND($I2761="Base",$E2761="Base"),Dashboard!$R$5,IF(AND($I2761="Base",$E2761="Red"),Dashboard!$R$6,IF(AND($I2761="Base",$E2761="Gold"),Dashboard!$R$7,VLOOKUP($I2761,Dashboard!$Q$16:$R$21,2,FALSE)))))*VLOOKUP($I2761,Dashboard!$Q$9:$R$13,2,FALSE)*IF(AND($I2761="Auto",$F2761="",OR($B2761="Autographs Duals",$B2761="Autographs Triples",$B2761="Autographs Quads",$B2761="Autographs Quads (Inscribed)")),IF($B2761="Autographs Duals",2,IF($B2761="Autographs Triples",3,4)),1)))</f>
        <v>3</v>
      </c>
      <c r="AB2761" s="62">
        <f t="shared" si="570"/>
        <v>3</v>
      </c>
      <c r="AC2761" s="62">
        <f t="shared" si="571"/>
        <v>0</v>
      </c>
    </row>
    <row r="2762" spans="1:29" ht="28.7" customHeight="1" x14ac:dyDescent="0.25">
      <c r="A2762" s="4" t="s">
        <v>19</v>
      </c>
      <c r="B2762" s="7" t="s">
        <v>77</v>
      </c>
      <c r="C2762" s="2" t="s">
        <v>1591</v>
      </c>
      <c r="D2762" s="7" t="s">
        <v>1188</v>
      </c>
      <c r="E2762" s="4" t="s">
        <v>1602</v>
      </c>
      <c r="F2762" s="2"/>
      <c r="G2762" s="2" t="s">
        <v>1399</v>
      </c>
      <c r="H2762" s="2" t="s">
        <v>1400</v>
      </c>
      <c r="I2762" s="4" t="s">
        <v>60</v>
      </c>
      <c r="J2762" s="112">
        <f>IF($H2762&lt;&gt;"Y",0,ROUND(MIN(Dashboard!$R$24,IF(IFERROR(VLOOKUP($B2762,Dashboard!$Q$28:$S$60,2,FALSE),0)&gt;0,IFERROR(VLOOKUP($B2762,Dashboard!$Q$28:$S$60,2,FALSE),0),$Z2762*IF($U2762&lt;&gt;"",ROUND((Dashboard!$R$4/$U2762)*VLOOKUP($I2762,Dashboard!$Q$9:$R$13,2,FALSE)*IF(ISNUMBER(SEARCH("Duals",$B2762)),2,IF(ISNUMBER(SEARCH("Triples",$B2762)),3,IF(ISNUMBER(SEARCH("Quads",$B2762)),4,1))),2),ROUND(VLOOKUP($I2762,Dashboard!$Q$15:$R$20,2,FALSE)*IF($E2762="Red",Dashboard!$R$6,IF($E2762="Gold",Dashboard!$R$7,Dashboard!$R$5))*IF(ISNUMBER(SEARCH("Duals",$B2762)),2,IF(ISNUMBER(SEARCH("Triples",$B2762)),3,IF(ISNUMBER(SEARCH("Quads",$B2762)),4,1))),2))*IF(IFERROR(VLOOKUP($B2762,Dashboard!$Q$28:$S$60,3,FALSE),0)&gt;0,VLOOKUP($B2762,Dashboard!$Q$28:$S$60,3,FALSE),1))),0))</f>
        <v>3</v>
      </c>
      <c r="K2762" s="2" t="str">
        <f>IF('Base S2'!E93="","",'Base S2'!E93)</f>
        <v>C</v>
      </c>
      <c r="L2762" s="2">
        <f t="shared" si="559"/>
        <v>1</v>
      </c>
      <c r="M2762" s="2">
        <f t="shared" si="560"/>
        <v>0</v>
      </c>
      <c r="N2762" s="2">
        <f t="shared" si="561"/>
        <v>1</v>
      </c>
      <c r="O2762" s="2">
        <f t="shared" si="562"/>
        <v>0</v>
      </c>
      <c r="P2762" s="112">
        <f t="shared" si="563"/>
        <v>3</v>
      </c>
      <c r="Q2762" s="112">
        <f t="shared" si="564"/>
        <v>0</v>
      </c>
      <c r="R2762" s="53"/>
      <c r="S2762" s="53" t="str">
        <f t="shared" si="565"/>
        <v>Base S2|Gold Parallel - Season 2|192|Gold</v>
      </c>
      <c r="T2762" s="57" t="str">
        <f>IF($S2762="","",IFERROR(VLOOKUP($S2762,'Pop Estimates (Non-#d)'!$N$2:$O$500,2,FALSE),""))</f>
        <v/>
      </c>
      <c r="U2762" s="57" t="str">
        <f t="shared" si="566"/>
        <v/>
      </c>
      <c r="V2762" s="53" t="str">
        <f t="shared" si="567"/>
        <v/>
      </c>
      <c r="W2762" s="53" t="str">
        <f t="shared" si="568"/>
        <v/>
      </c>
      <c r="X2762" s="53" t="str">
        <f t="shared" si="569"/>
        <v/>
      </c>
      <c r="Y2762" s="57" t="str">
        <f>IF($X2762="","",IFERROR(VLOOKUP($X2762,'Char Popularity'!$A$2:$C$500,2,FALSE),""))</f>
        <v/>
      </c>
      <c r="Z2762" s="56">
        <f>IF($X2762="",1,IFERROR(VLOOKUP($X2762,'Char Popularity'!$A$2:$C$500,3,FALSE),1))</f>
        <v>1</v>
      </c>
      <c r="AA2762" s="62">
        <f>IF($H2762&lt;&gt;"Y",0,(IF($F2762&lt;&gt;"",ROUND(Dashboard!$R$4/$F2762,1),IF(AND($I2762="Base",$E2762="Base"),Dashboard!$R$5,IF(AND($I2762="Base",$E2762="Red"),Dashboard!$R$6,IF(AND($I2762="Base",$E2762="Gold"),Dashboard!$R$7,VLOOKUP($I2762,Dashboard!$Q$16:$R$21,2,FALSE)))))*VLOOKUP($I2762,Dashboard!$Q$9:$R$13,2,FALSE)*IF(AND($I2762="Auto",$F2762="",OR($B2762="Autographs Duals",$B2762="Autographs Triples",$B2762="Autographs Quads",$B2762="Autographs Quads (Inscribed)")),IF($B2762="Autographs Duals",2,IF($B2762="Autographs Triples",3,4)),1)))</f>
        <v>3</v>
      </c>
      <c r="AB2762" s="62">
        <f t="shared" si="570"/>
        <v>3</v>
      </c>
      <c r="AC2762" s="62">
        <f t="shared" si="571"/>
        <v>0</v>
      </c>
    </row>
    <row r="2763" spans="1:29" ht="28.7" customHeight="1" x14ac:dyDescent="0.25">
      <c r="A2763" s="4" t="s">
        <v>19</v>
      </c>
      <c r="B2763" s="7" t="s">
        <v>77</v>
      </c>
      <c r="C2763" s="2" t="s">
        <v>1592</v>
      </c>
      <c r="D2763" s="7" t="s">
        <v>1190</v>
      </c>
      <c r="E2763" s="4" t="s">
        <v>1602</v>
      </c>
      <c r="F2763" s="2"/>
      <c r="G2763" s="2" t="s">
        <v>1399</v>
      </c>
      <c r="H2763" s="2" t="s">
        <v>1400</v>
      </c>
      <c r="I2763" s="4" t="s">
        <v>60</v>
      </c>
      <c r="J2763" s="112">
        <f>IF($H2763&lt;&gt;"Y",0,ROUND(MIN(Dashboard!$R$24,IF(IFERROR(VLOOKUP($B2763,Dashboard!$Q$28:$S$60,2,FALSE),0)&gt;0,IFERROR(VLOOKUP($B2763,Dashboard!$Q$28:$S$60,2,FALSE),0),$Z2763*IF($U2763&lt;&gt;"",ROUND((Dashboard!$R$4/$U2763)*VLOOKUP($I2763,Dashboard!$Q$9:$R$13,2,FALSE)*IF(ISNUMBER(SEARCH("Duals",$B2763)),2,IF(ISNUMBER(SEARCH("Triples",$B2763)),3,IF(ISNUMBER(SEARCH("Quads",$B2763)),4,1))),2),ROUND(VLOOKUP($I2763,Dashboard!$Q$15:$R$20,2,FALSE)*IF($E2763="Red",Dashboard!$R$6,IF($E2763="Gold",Dashboard!$R$7,Dashboard!$R$5))*IF(ISNUMBER(SEARCH("Duals",$B2763)),2,IF(ISNUMBER(SEARCH("Triples",$B2763)),3,IF(ISNUMBER(SEARCH("Quads",$B2763)),4,1))),2))*IF(IFERROR(VLOOKUP($B2763,Dashboard!$Q$28:$S$60,3,FALSE),0)&gt;0,VLOOKUP($B2763,Dashboard!$Q$28:$S$60,3,FALSE),1))),0))</f>
        <v>3</v>
      </c>
      <c r="K2763" s="2" t="str">
        <f>IF('Base S2'!E94="","",'Base S2'!E94)</f>
        <v>C</v>
      </c>
      <c r="L2763" s="2">
        <f t="shared" ref="L2763:L2826" si="572">IF(AND($K2763&lt;&gt;"",LEFT($K2763,1)&lt;&gt;"Y"),1,0)</f>
        <v>1</v>
      </c>
      <c r="M2763" s="2">
        <f t="shared" ref="M2763:M2826" si="573">IF(LEFT($K2763,1)="Y",1,0)</f>
        <v>0</v>
      </c>
      <c r="N2763" s="2">
        <f t="shared" ref="N2763:N2826" si="574">$L2763+$M2763</f>
        <v>1</v>
      </c>
      <c r="O2763" s="2">
        <f t="shared" ref="O2763:O2826" si="575">IF($H2763="Y",1-$N2763,0)</f>
        <v>0</v>
      </c>
      <c r="P2763" s="112">
        <f t="shared" ref="P2763:P2826" si="576">IF($L2763=1,$J2763,0)</f>
        <v>3</v>
      </c>
      <c r="Q2763" s="112">
        <f t="shared" ref="Q2763:Q2826" si="577">IF($M2763=1,$J2763,0)</f>
        <v>0</v>
      </c>
      <c r="R2763" s="53"/>
      <c r="S2763" s="53" t="str">
        <f t="shared" si="565"/>
        <v>Base S2|Gold Parallel - Season 2|193|Gold</v>
      </c>
      <c r="T2763" s="57" t="str">
        <f>IF($S2763="","",IFERROR(VLOOKUP($S2763,'Pop Estimates (Non-#d)'!$N$2:$O$500,2,FALSE),""))</f>
        <v/>
      </c>
      <c r="U2763" s="57" t="str">
        <f t="shared" si="566"/>
        <v/>
      </c>
      <c r="V2763" s="53" t="str">
        <f t="shared" si="567"/>
        <v/>
      </c>
      <c r="W2763" s="53" t="str">
        <f t="shared" si="568"/>
        <v/>
      </c>
      <c r="X2763" s="53" t="str">
        <f t="shared" si="569"/>
        <v/>
      </c>
      <c r="Y2763" s="57" t="str">
        <f>IF($X2763="","",IFERROR(VLOOKUP($X2763,'Char Popularity'!$A$2:$C$500,2,FALSE),""))</f>
        <v/>
      </c>
      <c r="Z2763" s="56">
        <f>IF($X2763="",1,IFERROR(VLOOKUP($X2763,'Char Popularity'!$A$2:$C$500,3,FALSE),1))</f>
        <v>1</v>
      </c>
      <c r="AA2763" s="62">
        <f>IF($H2763&lt;&gt;"Y",0,(IF($F2763&lt;&gt;"",ROUND(Dashboard!$R$4/$F2763,1),IF(AND($I2763="Base",$E2763="Base"),Dashboard!$R$5,IF(AND($I2763="Base",$E2763="Red"),Dashboard!$R$6,IF(AND($I2763="Base",$E2763="Gold"),Dashboard!$R$7,VLOOKUP($I2763,Dashboard!$Q$16:$R$21,2,FALSE)))))*VLOOKUP($I2763,Dashboard!$Q$9:$R$13,2,FALSE)*IF(AND($I2763="Auto",$F2763="",OR($B2763="Autographs Duals",$B2763="Autographs Triples",$B2763="Autographs Quads",$B2763="Autographs Quads (Inscribed)")),IF($B2763="Autographs Duals",2,IF($B2763="Autographs Triples",3,4)),1)))</f>
        <v>3</v>
      </c>
      <c r="AB2763" s="62">
        <f t="shared" si="570"/>
        <v>3</v>
      </c>
      <c r="AC2763" s="62">
        <f t="shared" si="571"/>
        <v>0</v>
      </c>
    </row>
    <row r="2764" spans="1:29" ht="28.7" customHeight="1" x14ac:dyDescent="0.25">
      <c r="A2764" s="4" t="s">
        <v>19</v>
      </c>
      <c r="B2764" s="7" t="s">
        <v>77</v>
      </c>
      <c r="C2764" s="2" t="s">
        <v>1593</v>
      </c>
      <c r="D2764" s="7" t="s">
        <v>1191</v>
      </c>
      <c r="E2764" s="4" t="s">
        <v>1602</v>
      </c>
      <c r="F2764" s="2"/>
      <c r="G2764" s="2" t="s">
        <v>1399</v>
      </c>
      <c r="H2764" s="2" t="s">
        <v>1400</v>
      </c>
      <c r="I2764" s="4" t="s">
        <v>60</v>
      </c>
      <c r="J2764" s="112">
        <f>IF($H2764&lt;&gt;"Y",0,ROUND(MIN(Dashboard!$R$24,IF(IFERROR(VLOOKUP($B2764,Dashboard!$Q$28:$S$60,2,FALSE),0)&gt;0,IFERROR(VLOOKUP($B2764,Dashboard!$Q$28:$S$60,2,FALSE),0),$Z2764*IF($U2764&lt;&gt;"",ROUND((Dashboard!$R$4/$U2764)*VLOOKUP($I2764,Dashboard!$Q$9:$R$13,2,FALSE)*IF(ISNUMBER(SEARCH("Duals",$B2764)),2,IF(ISNUMBER(SEARCH("Triples",$B2764)),3,IF(ISNUMBER(SEARCH("Quads",$B2764)),4,1))),2),ROUND(VLOOKUP($I2764,Dashboard!$Q$15:$R$20,2,FALSE)*IF($E2764="Red",Dashboard!$R$6,IF($E2764="Gold",Dashboard!$R$7,Dashboard!$R$5))*IF(ISNUMBER(SEARCH("Duals",$B2764)),2,IF(ISNUMBER(SEARCH("Triples",$B2764)),3,IF(ISNUMBER(SEARCH("Quads",$B2764)),4,1))),2))*IF(IFERROR(VLOOKUP($B2764,Dashboard!$Q$28:$S$60,3,FALSE),0)&gt;0,VLOOKUP($B2764,Dashboard!$Q$28:$S$60,3,FALSE),1))),0))</f>
        <v>3</v>
      </c>
      <c r="K2764" s="2" t="str">
        <f>IF('Base S2'!E95="","",'Base S2'!E95)</f>
        <v>C</v>
      </c>
      <c r="L2764" s="2">
        <f t="shared" si="572"/>
        <v>1</v>
      </c>
      <c r="M2764" s="2">
        <f t="shared" si="573"/>
        <v>0</v>
      </c>
      <c r="N2764" s="2">
        <f t="shared" si="574"/>
        <v>1</v>
      </c>
      <c r="O2764" s="2">
        <f t="shared" si="575"/>
        <v>0</v>
      </c>
      <c r="P2764" s="112">
        <f t="shared" si="576"/>
        <v>3</v>
      </c>
      <c r="Q2764" s="112">
        <f t="shared" si="577"/>
        <v>0</v>
      </c>
      <c r="R2764" s="53"/>
      <c r="S2764" s="53" t="str">
        <f t="shared" si="565"/>
        <v>Base S2|Gold Parallel - Season 2|194|Gold</v>
      </c>
      <c r="T2764" s="57" t="str">
        <f>IF($S2764="","",IFERROR(VLOOKUP($S2764,'Pop Estimates (Non-#d)'!$N$2:$O$500,2,FALSE),""))</f>
        <v/>
      </c>
      <c r="U2764" s="57" t="str">
        <f t="shared" si="566"/>
        <v/>
      </c>
      <c r="V2764" s="53" t="str">
        <f t="shared" si="567"/>
        <v/>
      </c>
      <c r="W2764" s="53" t="str">
        <f t="shared" si="568"/>
        <v/>
      </c>
      <c r="X2764" s="53" t="str">
        <f t="shared" si="569"/>
        <v/>
      </c>
      <c r="Y2764" s="57" t="str">
        <f>IF($X2764="","",IFERROR(VLOOKUP($X2764,'Char Popularity'!$A$2:$C$500,2,FALSE),""))</f>
        <v/>
      </c>
      <c r="Z2764" s="56">
        <f>IF($X2764="",1,IFERROR(VLOOKUP($X2764,'Char Popularity'!$A$2:$C$500,3,FALSE),1))</f>
        <v>1</v>
      </c>
      <c r="AA2764" s="62">
        <f>IF($H2764&lt;&gt;"Y",0,(IF($F2764&lt;&gt;"",ROUND(Dashboard!$R$4/$F2764,1),IF(AND($I2764="Base",$E2764="Base"),Dashboard!$R$5,IF(AND($I2764="Base",$E2764="Red"),Dashboard!$R$6,IF(AND($I2764="Base",$E2764="Gold"),Dashboard!$R$7,VLOOKUP($I2764,Dashboard!$Q$16:$R$21,2,FALSE)))))*VLOOKUP($I2764,Dashboard!$Q$9:$R$13,2,FALSE)*IF(AND($I2764="Auto",$F2764="",OR($B2764="Autographs Duals",$B2764="Autographs Triples",$B2764="Autographs Quads",$B2764="Autographs Quads (Inscribed)")),IF($B2764="Autographs Duals",2,IF($B2764="Autographs Triples",3,4)),1)))</f>
        <v>3</v>
      </c>
      <c r="AB2764" s="62">
        <f t="shared" si="570"/>
        <v>3</v>
      </c>
      <c r="AC2764" s="62">
        <f t="shared" si="571"/>
        <v>0</v>
      </c>
    </row>
    <row r="2765" spans="1:29" ht="28.7" customHeight="1" x14ac:dyDescent="0.25">
      <c r="A2765" s="4" t="s">
        <v>19</v>
      </c>
      <c r="B2765" s="7" t="s">
        <v>77</v>
      </c>
      <c r="C2765" s="2" t="s">
        <v>1594</v>
      </c>
      <c r="D2765" s="7" t="s">
        <v>1192</v>
      </c>
      <c r="E2765" s="4" t="s">
        <v>1602</v>
      </c>
      <c r="F2765" s="2"/>
      <c r="G2765" s="2" t="s">
        <v>1399</v>
      </c>
      <c r="H2765" s="2" t="s">
        <v>1400</v>
      </c>
      <c r="I2765" s="4" t="s">
        <v>60</v>
      </c>
      <c r="J2765" s="112">
        <f>IF($H2765&lt;&gt;"Y",0,ROUND(MIN(Dashboard!$R$24,IF(IFERROR(VLOOKUP($B2765,Dashboard!$Q$28:$S$60,2,FALSE),0)&gt;0,IFERROR(VLOOKUP($B2765,Dashboard!$Q$28:$S$60,2,FALSE),0),$Z2765*IF($U2765&lt;&gt;"",ROUND((Dashboard!$R$4/$U2765)*VLOOKUP($I2765,Dashboard!$Q$9:$R$13,2,FALSE)*IF(ISNUMBER(SEARCH("Duals",$B2765)),2,IF(ISNUMBER(SEARCH("Triples",$B2765)),3,IF(ISNUMBER(SEARCH("Quads",$B2765)),4,1))),2),ROUND(VLOOKUP($I2765,Dashboard!$Q$15:$R$20,2,FALSE)*IF($E2765="Red",Dashboard!$R$6,IF($E2765="Gold",Dashboard!$R$7,Dashboard!$R$5))*IF(ISNUMBER(SEARCH("Duals",$B2765)),2,IF(ISNUMBER(SEARCH("Triples",$B2765)),3,IF(ISNUMBER(SEARCH("Quads",$B2765)),4,1))),2))*IF(IFERROR(VLOOKUP($B2765,Dashboard!$Q$28:$S$60,3,FALSE),0)&gt;0,VLOOKUP($B2765,Dashboard!$Q$28:$S$60,3,FALSE),1))),0))</f>
        <v>3</v>
      </c>
      <c r="K2765" s="2" t="str">
        <f>IF('Base S2'!E96="","",'Base S2'!E96)</f>
        <v>C</v>
      </c>
      <c r="L2765" s="2">
        <f t="shared" si="572"/>
        <v>1</v>
      </c>
      <c r="M2765" s="2">
        <f t="shared" si="573"/>
        <v>0</v>
      </c>
      <c r="N2765" s="2">
        <f t="shared" si="574"/>
        <v>1</v>
      </c>
      <c r="O2765" s="2">
        <f t="shared" si="575"/>
        <v>0</v>
      </c>
      <c r="P2765" s="112">
        <f t="shared" si="576"/>
        <v>3</v>
      </c>
      <c r="Q2765" s="112">
        <f t="shared" si="577"/>
        <v>0</v>
      </c>
      <c r="R2765" s="53"/>
      <c r="S2765" s="53" t="str">
        <f t="shared" si="565"/>
        <v>Base S2|Gold Parallel - Season 2|195|Gold</v>
      </c>
      <c r="T2765" s="57" t="str">
        <f>IF($S2765="","",IFERROR(VLOOKUP($S2765,'Pop Estimates (Non-#d)'!$N$2:$O$500,2,FALSE),""))</f>
        <v/>
      </c>
      <c r="U2765" s="57" t="str">
        <f t="shared" si="566"/>
        <v/>
      </c>
      <c r="V2765" s="53" t="str">
        <f t="shared" si="567"/>
        <v/>
      </c>
      <c r="W2765" s="53" t="str">
        <f t="shared" si="568"/>
        <v/>
      </c>
      <c r="X2765" s="53" t="str">
        <f t="shared" si="569"/>
        <v/>
      </c>
      <c r="Y2765" s="57" t="str">
        <f>IF($X2765="","",IFERROR(VLOOKUP($X2765,'Char Popularity'!$A$2:$C$500,2,FALSE),""))</f>
        <v/>
      </c>
      <c r="Z2765" s="56">
        <f>IF($X2765="",1,IFERROR(VLOOKUP($X2765,'Char Popularity'!$A$2:$C$500,3,FALSE),1))</f>
        <v>1</v>
      </c>
      <c r="AA2765" s="62">
        <f>IF($H2765&lt;&gt;"Y",0,(IF($F2765&lt;&gt;"",ROUND(Dashboard!$R$4/$F2765,1),IF(AND($I2765="Base",$E2765="Base"),Dashboard!$R$5,IF(AND($I2765="Base",$E2765="Red"),Dashboard!$R$6,IF(AND($I2765="Base",$E2765="Gold"),Dashboard!$R$7,VLOOKUP($I2765,Dashboard!$Q$16:$R$21,2,FALSE)))))*VLOOKUP($I2765,Dashboard!$Q$9:$R$13,2,FALSE)*IF(AND($I2765="Auto",$F2765="",OR($B2765="Autographs Duals",$B2765="Autographs Triples",$B2765="Autographs Quads",$B2765="Autographs Quads (Inscribed)")),IF($B2765="Autographs Duals",2,IF($B2765="Autographs Triples",3,4)),1)))</f>
        <v>3</v>
      </c>
      <c r="AB2765" s="62">
        <f t="shared" si="570"/>
        <v>3</v>
      </c>
      <c r="AC2765" s="62">
        <f t="shared" si="571"/>
        <v>0</v>
      </c>
    </row>
    <row r="2766" spans="1:29" ht="28.7" customHeight="1" x14ac:dyDescent="0.25">
      <c r="A2766" s="4" t="s">
        <v>19</v>
      </c>
      <c r="B2766" s="7" t="s">
        <v>77</v>
      </c>
      <c r="C2766" s="2" t="s">
        <v>1595</v>
      </c>
      <c r="D2766" s="7" t="s">
        <v>1193</v>
      </c>
      <c r="E2766" s="4" t="s">
        <v>1602</v>
      </c>
      <c r="F2766" s="2"/>
      <c r="G2766" s="2" t="s">
        <v>1399</v>
      </c>
      <c r="H2766" s="2" t="s">
        <v>1400</v>
      </c>
      <c r="I2766" s="4" t="s">
        <v>60</v>
      </c>
      <c r="J2766" s="112">
        <f>IF($H2766&lt;&gt;"Y",0,ROUND(MIN(Dashboard!$R$24,IF(IFERROR(VLOOKUP($B2766,Dashboard!$Q$28:$S$60,2,FALSE),0)&gt;0,IFERROR(VLOOKUP($B2766,Dashboard!$Q$28:$S$60,2,FALSE),0),$Z2766*IF($U2766&lt;&gt;"",ROUND((Dashboard!$R$4/$U2766)*VLOOKUP($I2766,Dashboard!$Q$9:$R$13,2,FALSE)*IF(ISNUMBER(SEARCH("Duals",$B2766)),2,IF(ISNUMBER(SEARCH("Triples",$B2766)),3,IF(ISNUMBER(SEARCH("Quads",$B2766)),4,1))),2),ROUND(VLOOKUP($I2766,Dashboard!$Q$15:$R$20,2,FALSE)*IF($E2766="Red",Dashboard!$R$6,IF($E2766="Gold",Dashboard!$R$7,Dashboard!$R$5))*IF(ISNUMBER(SEARCH("Duals",$B2766)),2,IF(ISNUMBER(SEARCH("Triples",$B2766)),3,IF(ISNUMBER(SEARCH("Quads",$B2766)),4,1))),2))*IF(IFERROR(VLOOKUP($B2766,Dashboard!$Q$28:$S$60,3,FALSE),0)&gt;0,VLOOKUP($B2766,Dashboard!$Q$28:$S$60,3,FALSE),1))),0))</f>
        <v>3</v>
      </c>
      <c r="K2766" s="2" t="str">
        <f>IF('Base S2'!E97="","",'Base S2'!E97)</f>
        <v>C</v>
      </c>
      <c r="L2766" s="2">
        <f t="shared" si="572"/>
        <v>1</v>
      </c>
      <c r="M2766" s="2">
        <f t="shared" si="573"/>
        <v>0</v>
      </c>
      <c r="N2766" s="2">
        <f t="shared" si="574"/>
        <v>1</v>
      </c>
      <c r="O2766" s="2">
        <f t="shared" si="575"/>
        <v>0</v>
      </c>
      <c r="P2766" s="112">
        <f t="shared" si="576"/>
        <v>3</v>
      </c>
      <c r="Q2766" s="112">
        <f t="shared" si="577"/>
        <v>0</v>
      </c>
      <c r="R2766" s="53"/>
      <c r="S2766" s="53" t="str">
        <f t="shared" si="565"/>
        <v>Base S2|Gold Parallel - Season 2|196|Gold</v>
      </c>
      <c r="T2766" s="57" t="str">
        <f>IF($S2766="","",IFERROR(VLOOKUP($S2766,'Pop Estimates (Non-#d)'!$N$2:$O$500,2,FALSE),""))</f>
        <v/>
      </c>
      <c r="U2766" s="57" t="str">
        <f t="shared" si="566"/>
        <v/>
      </c>
      <c r="V2766" s="53" t="str">
        <f t="shared" si="567"/>
        <v/>
      </c>
      <c r="W2766" s="53" t="str">
        <f t="shared" si="568"/>
        <v/>
      </c>
      <c r="X2766" s="53" t="str">
        <f t="shared" si="569"/>
        <v/>
      </c>
      <c r="Y2766" s="57" t="str">
        <f>IF($X2766="","",IFERROR(VLOOKUP($X2766,'Char Popularity'!$A$2:$C$500,2,FALSE),""))</f>
        <v/>
      </c>
      <c r="Z2766" s="56">
        <f>IF($X2766="",1,IFERROR(VLOOKUP($X2766,'Char Popularity'!$A$2:$C$500,3,FALSE),1))</f>
        <v>1</v>
      </c>
      <c r="AA2766" s="62">
        <f>IF($H2766&lt;&gt;"Y",0,(IF($F2766&lt;&gt;"",ROUND(Dashboard!$R$4/$F2766,1),IF(AND($I2766="Base",$E2766="Base"),Dashboard!$R$5,IF(AND($I2766="Base",$E2766="Red"),Dashboard!$R$6,IF(AND($I2766="Base",$E2766="Gold"),Dashboard!$R$7,VLOOKUP($I2766,Dashboard!$Q$16:$R$21,2,FALSE)))))*VLOOKUP($I2766,Dashboard!$Q$9:$R$13,2,FALSE)*IF(AND($I2766="Auto",$F2766="",OR($B2766="Autographs Duals",$B2766="Autographs Triples",$B2766="Autographs Quads",$B2766="Autographs Quads (Inscribed)")),IF($B2766="Autographs Duals",2,IF($B2766="Autographs Triples",3,4)),1)))</f>
        <v>3</v>
      </c>
      <c r="AB2766" s="62">
        <f t="shared" si="570"/>
        <v>3</v>
      </c>
      <c r="AC2766" s="62">
        <f t="shared" si="571"/>
        <v>0</v>
      </c>
    </row>
    <row r="2767" spans="1:29" ht="28.7" customHeight="1" x14ac:dyDescent="0.25">
      <c r="A2767" s="4" t="s">
        <v>19</v>
      </c>
      <c r="B2767" s="7" t="s">
        <v>77</v>
      </c>
      <c r="C2767" s="2" t="s">
        <v>1596</v>
      </c>
      <c r="D2767" s="7" t="s">
        <v>1195</v>
      </c>
      <c r="E2767" s="4" t="s">
        <v>1602</v>
      </c>
      <c r="F2767" s="2"/>
      <c r="G2767" s="2" t="s">
        <v>1399</v>
      </c>
      <c r="H2767" s="2" t="s">
        <v>1400</v>
      </c>
      <c r="I2767" s="4" t="s">
        <v>60</v>
      </c>
      <c r="J2767" s="112">
        <f>IF($H2767&lt;&gt;"Y",0,ROUND(MIN(Dashboard!$R$24,IF(IFERROR(VLOOKUP($B2767,Dashboard!$Q$28:$S$60,2,FALSE),0)&gt;0,IFERROR(VLOOKUP($B2767,Dashboard!$Q$28:$S$60,2,FALSE),0),$Z2767*IF($U2767&lt;&gt;"",ROUND((Dashboard!$R$4/$U2767)*VLOOKUP($I2767,Dashboard!$Q$9:$R$13,2,FALSE)*IF(ISNUMBER(SEARCH("Duals",$B2767)),2,IF(ISNUMBER(SEARCH("Triples",$B2767)),3,IF(ISNUMBER(SEARCH("Quads",$B2767)),4,1))),2),ROUND(VLOOKUP($I2767,Dashboard!$Q$15:$R$20,2,FALSE)*IF($E2767="Red",Dashboard!$R$6,IF($E2767="Gold",Dashboard!$R$7,Dashboard!$R$5))*IF(ISNUMBER(SEARCH("Duals",$B2767)),2,IF(ISNUMBER(SEARCH("Triples",$B2767)),3,IF(ISNUMBER(SEARCH("Quads",$B2767)),4,1))),2))*IF(IFERROR(VLOOKUP($B2767,Dashboard!$Q$28:$S$60,3,FALSE),0)&gt;0,VLOOKUP($B2767,Dashboard!$Q$28:$S$60,3,FALSE),1))),0))</f>
        <v>3</v>
      </c>
      <c r="K2767" s="2" t="str">
        <f>IF('Base S2'!E98="","",'Base S2'!E98)</f>
        <v>C</v>
      </c>
      <c r="L2767" s="2">
        <f t="shared" si="572"/>
        <v>1</v>
      </c>
      <c r="M2767" s="2">
        <f t="shared" si="573"/>
        <v>0</v>
      </c>
      <c r="N2767" s="2">
        <f t="shared" si="574"/>
        <v>1</v>
      </c>
      <c r="O2767" s="2">
        <f t="shared" si="575"/>
        <v>0</v>
      </c>
      <c r="P2767" s="112">
        <f t="shared" si="576"/>
        <v>3</v>
      </c>
      <c r="Q2767" s="112">
        <f t="shared" si="577"/>
        <v>0</v>
      </c>
      <c r="R2767" s="53"/>
      <c r="S2767" s="53" t="str">
        <f t="shared" si="565"/>
        <v>Base S2|Gold Parallel - Season 2|197|Gold</v>
      </c>
      <c r="T2767" s="57" t="str">
        <f>IF($S2767="","",IFERROR(VLOOKUP($S2767,'Pop Estimates (Non-#d)'!$N$2:$O$500,2,FALSE),""))</f>
        <v/>
      </c>
      <c r="U2767" s="57" t="str">
        <f t="shared" si="566"/>
        <v/>
      </c>
      <c r="V2767" s="53" t="str">
        <f t="shared" si="567"/>
        <v/>
      </c>
      <c r="W2767" s="53" t="str">
        <f t="shared" si="568"/>
        <v/>
      </c>
      <c r="X2767" s="53" t="str">
        <f t="shared" si="569"/>
        <v/>
      </c>
      <c r="Y2767" s="57" t="str">
        <f>IF($X2767="","",IFERROR(VLOOKUP($X2767,'Char Popularity'!$A$2:$C$500,2,FALSE),""))</f>
        <v/>
      </c>
      <c r="Z2767" s="56">
        <f>IF($X2767="",1,IFERROR(VLOOKUP($X2767,'Char Popularity'!$A$2:$C$500,3,FALSE),1))</f>
        <v>1</v>
      </c>
      <c r="AA2767" s="62">
        <f>IF($H2767&lt;&gt;"Y",0,(IF($F2767&lt;&gt;"",ROUND(Dashboard!$R$4/$F2767,1),IF(AND($I2767="Base",$E2767="Base"),Dashboard!$R$5,IF(AND($I2767="Base",$E2767="Red"),Dashboard!$R$6,IF(AND($I2767="Base",$E2767="Gold"),Dashboard!$R$7,VLOOKUP($I2767,Dashboard!$Q$16:$R$21,2,FALSE)))))*VLOOKUP($I2767,Dashboard!$Q$9:$R$13,2,FALSE)*IF(AND($I2767="Auto",$F2767="",OR($B2767="Autographs Duals",$B2767="Autographs Triples",$B2767="Autographs Quads",$B2767="Autographs Quads (Inscribed)")),IF($B2767="Autographs Duals",2,IF($B2767="Autographs Triples",3,4)),1)))</f>
        <v>3</v>
      </c>
      <c r="AB2767" s="62">
        <f t="shared" si="570"/>
        <v>3</v>
      </c>
      <c r="AC2767" s="62">
        <f t="shared" si="571"/>
        <v>0</v>
      </c>
    </row>
    <row r="2768" spans="1:29" ht="28.7" customHeight="1" x14ac:dyDescent="0.25">
      <c r="A2768" s="4" t="s">
        <v>19</v>
      </c>
      <c r="B2768" s="7" t="s">
        <v>77</v>
      </c>
      <c r="C2768" s="2" t="s">
        <v>1597</v>
      </c>
      <c r="D2768" s="7" t="s">
        <v>1197</v>
      </c>
      <c r="E2768" s="4" t="s">
        <v>1602</v>
      </c>
      <c r="F2768" s="2"/>
      <c r="G2768" s="2" t="s">
        <v>1399</v>
      </c>
      <c r="H2768" s="2" t="s">
        <v>1400</v>
      </c>
      <c r="I2768" s="4" t="s">
        <v>60</v>
      </c>
      <c r="J2768" s="112">
        <f>IF($H2768&lt;&gt;"Y",0,ROUND(MIN(Dashboard!$R$24,IF(IFERROR(VLOOKUP($B2768,Dashboard!$Q$28:$S$60,2,FALSE),0)&gt;0,IFERROR(VLOOKUP($B2768,Dashboard!$Q$28:$S$60,2,FALSE),0),$Z2768*IF($U2768&lt;&gt;"",ROUND((Dashboard!$R$4/$U2768)*VLOOKUP($I2768,Dashboard!$Q$9:$R$13,2,FALSE)*IF(ISNUMBER(SEARCH("Duals",$B2768)),2,IF(ISNUMBER(SEARCH("Triples",$B2768)),3,IF(ISNUMBER(SEARCH("Quads",$B2768)),4,1))),2),ROUND(VLOOKUP($I2768,Dashboard!$Q$15:$R$20,2,FALSE)*IF($E2768="Red",Dashboard!$R$6,IF($E2768="Gold",Dashboard!$R$7,Dashboard!$R$5))*IF(ISNUMBER(SEARCH("Duals",$B2768)),2,IF(ISNUMBER(SEARCH("Triples",$B2768)),3,IF(ISNUMBER(SEARCH("Quads",$B2768)),4,1))),2))*IF(IFERROR(VLOOKUP($B2768,Dashboard!$Q$28:$S$60,3,FALSE),0)&gt;0,VLOOKUP($B2768,Dashboard!$Q$28:$S$60,3,FALSE),1))),0))</f>
        <v>3</v>
      </c>
      <c r="K2768" s="2" t="str">
        <f>IF('Base S2'!E99="","",'Base S2'!E99)</f>
        <v>C</v>
      </c>
      <c r="L2768" s="2">
        <f t="shared" si="572"/>
        <v>1</v>
      </c>
      <c r="M2768" s="2">
        <f t="shared" si="573"/>
        <v>0</v>
      </c>
      <c r="N2768" s="2">
        <f t="shared" si="574"/>
        <v>1</v>
      </c>
      <c r="O2768" s="2">
        <f t="shared" si="575"/>
        <v>0</v>
      </c>
      <c r="P2768" s="112">
        <f t="shared" si="576"/>
        <v>3</v>
      </c>
      <c r="Q2768" s="112">
        <f t="shared" si="577"/>
        <v>0</v>
      </c>
      <c r="R2768" s="53"/>
      <c r="S2768" s="53" t="str">
        <f t="shared" si="565"/>
        <v>Base S2|Gold Parallel - Season 2|198|Gold</v>
      </c>
      <c r="T2768" s="57" t="str">
        <f>IF($S2768="","",IFERROR(VLOOKUP($S2768,'Pop Estimates (Non-#d)'!$N$2:$O$500,2,FALSE),""))</f>
        <v/>
      </c>
      <c r="U2768" s="57" t="str">
        <f t="shared" si="566"/>
        <v/>
      </c>
      <c r="V2768" s="53" t="str">
        <f t="shared" si="567"/>
        <v/>
      </c>
      <c r="W2768" s="53" t="str">
        <f t="shared" si="568"/>
        <v/>
      </c>
      <c r="X2768" s="53" t="str">
        <f t="shared" si="569"/>
        <v/>
      </c>
      <c r="Y2768" s="57" t="str">
        <f>IF($X2768="","",IFERROR(VLOOKUP($X2768,'Char Popularity'!$A$2:$C$500,2,FALSE),""))</f>
        <v/>
      </c>
      <c r="Z2768" s="56">
        <f>IF($X2768="",1,IFERROR(VLOOKUP($X2768,'Char Popularity'!$A$2:$C$500,3,FALSE),1))</f>
        <v>1</v>
      </c>
      <c r="AA2768" s="62">
        <f>IF($H2768&lt;&gt;"Y",0,(IF($F2768&lt;&gt;"",ROUND(Dashboard!$R$4/$F2768,1),IF(AND($I2768="Base",$E2768="Base"),Dashboard!$R$5,IF(AND($I2768="Base",$E2768="Red"),Dashboard!$R$6,IF(AND($I2768="Base",$E2768="Gold"),Dashboard!$R$7,VLOOKUP($I2768,Dashboard!$Q$16:$R$21,2,FALSE)))))*VLOOKUP($I2768,Dashboard!$Q$9:$R$13,2,FALSE)*IF(AND($I2768="Auto",$F2768="",OR($B2768="Autographs Duals",$B2768="Autographs Triples",$B2768="Autographs Quads",$B2768="Autographs Quads (Inscribed)")),IF($B2768="Autographs Duals",2,IF($B2768="Autographs Triples",3,4)),1)))</f>
        <v>3</v>
      </c>
      <c r="AB2768" s="62">
        <f t="shared" si="570"/>
        <v>3</v>
      </c>
      <c r="AC2768" s="62">
        <f t="shared" si="571"/>
        <v>0</v>
      </c>
    </row>
    <row r="2769" spans="1:29" ht="28.7" customHeight="1" x14ac:dyDescent="0.25">
      <c r="A2769" s="4" t="s">
        <v>19</v>
      </c>
      <c r="B2769" s="7" t="s">
        <v>77</v>
      </c>
      <c r="C2769" s="2" t="s">
        <v>1598</v>
      </c>
      <c r="D2769" s="7" t="s">
        <v>1199</v>
      </c>
      <c r="E2769" s="4" t="s">
        <v>1602</v>
      </c>
      <c r="F2769" s="2"/>
      <c r="G2769" s="2" t="s">
        <v>1399</v>
      </c>
      <c r="H2769" s="2" t="s">
        <v>1400</v>
      </c>
      <c r="I2769" s="4" t="s">
        <v>60</v>
      </c>
      <c r="J2769" s="112">
        <f>IF($H2769&lt;&gt;"Y",0,ROUND(MIN(Dashboard!$R$24,IF(IFERROR(VLOOKUP($B2769,Dashboard!$Q$28:$S$60,2,FALSE),0)&gt;0,IFERROR(VLOOKUP($B2769,Dashboard!$Q$28:$S$60,2,FALSE),0),$Z2769*IF($U2769&lt;&gt;"",ROUND((Dashboard!$R$4/$U2769)*VLOOKUP($I2769,Dashboard!$Q$9:$R$13,2,FALSE)*IF(ISNUMBER(SEARCH("Duals",$B2769)),2,IF(ISNUMBER(SEARCH("Triples",$B2769)),3,IF(ISNUMBER(SEARCH("Quads",$B2769)),4,1))),2),ROUND(VLOOKUP($I2769,Dashboard!$Q$15:$R$20,2,FALSE)*IF($E2769="Red",Dashboard!$R$6,IF($E2769="Gold",Dashboard!$R$7,Dashboard!$R$5))*IF(ISNUMBER(SEARCH("Duals",$B2769)),2,IF(ISNUMBER(SEARCH("Triples",$B2769)),3,IF(ISNUMBER(SEARCH("Quads",$B2769)),4,1))),2))*IF(IFERROR(VLOOKUP($B2769,Dashboard!$Q$28:$S$60,3,FALSE),0)&gt;0,VLOOKUP($B2769,Dashboard!$Q$28:$S$60,3,FALSE),1))),0))</f>
        <v>3</v>
      </c>
      <c r="K2769" s="2" t="str">
        <f>IF('Base S2'!E100="","",'Base S2'!E100)</f>
        <v>C</v>
      </c>
      <c r="L2769" s="2">
        <f t="shared" si="572"/>
        <v>1</v>
      </c>
      <c r="M2769" s="2">
        <f t="shared" si="573"/>
        <v>0</v>
      </c>
      <c r="N2769" s="2">
        <f t="shared" si="574"/>
        <v>1</v>
      </c>
      <c r="O2769" s="2">
        <f t="shared" si="575"/>
        <v>0</v>
      </c>
      <c r="P2769" s="112">
        <f t="shared" si="576"/>
        <v>3</v>
      </c>
      <c r="Q2769" s="112">
        <f t="shared" si="577"/>
        <v>0</v>
      </c>
      <c r="R2769" s="53"/>
      <c r="S2769" s="53" t="str">
        <f t="shared" si="565"/>
        <v>Base S2|Gold Parallel - Season 2|199|Gold</v>
      </c>
      <c r="T2769" s="57" t="str">
        <f>IF($S2769="","",IFERROR(VLOOKUP($S2769,'Pop Estimates (Non-#d)'!$N$2:$O$500,2,FALSE),""))</f>
        <v/>
      </c>
      <c r="U2769" s="57" t="str">
        <f t="shared" si="566"/>
        <v/>
      </c>
      <c r="V2769" s="53" t="str">
        <f t="shared" si="567"/>
        <v/>
      </c>
      <c r="W2769" s="53" t="str">
        <f t="shared" si="568"/>
        <v/>
      </c>
      <c r="X2769" s="53" t="str">
        <f t="shared" si="569"/>
        <v/>
      </c>
      <c r="Y2769" s="57" t="str">
        <f>IF($X2769="","",IFERROR(VLOOKUP($X2769,'Char Popularity'!$A$2:$C$500,2,FALSE),""))</f>
        <v/>
      </c>
      <c r="Z2769" s="56">
        <f>IF($X2769="",1,IFERROR(VLOOKUP($X2769,'Char Popularity'!$A$2:$C$500,3,FALSE),1))</f>
        <v>1</v>
      </c>
      <c r="AA2769" s="62">
        <f>IF($H2769&lt;&gt;"Y",0,(IF($F2769&lt;&gt;"",ROUND(Dashboard!$R$4/$F2769,1),IF(AND($I2769="Base",$E2769="Base"),Dashboard!$R$5,IF(AND($I2769="Base",$E2769="Red"),Dashboard!$R$6,IF(AND($I2769="Base",$E2769="Gold"),Dashboard!$R$7,VLOOKUP($I2769,Dashboard!$Q$16:$R$21,2,FALSE)))))*VLOOKUP($I2769,Dashboard!$Q$9:$R$13,2,FALSE)*IF(AND($I2769="Auto",$F2769="",OR($B2769="Autographs Duals",$B2769="Autographs Triples",$B2769="Autographs Quads",$B2769="Autographs Quads (Inscribed)")),IF($B2769="Autographs Duals",2,IF($B2769="Autographs Triples",3,4)),1)))</f>
        <v>3</v>
      </c>
      <c r="AB2769" s="62">
        <f t="shared" si="570"/>
        <v>3</v>
      </c>
      <c r="AC2769" s="62">
        <f t="shared" si="571"/>
        <v>0</v>
      </c>
    </row>
    <row r="2770" spans="1:29" ht="28.7" customHeight="1" x14ac:dyDescent="0.25">
      <c r="A2770" s="4" t="s">
        <v>19</v>
      </c>
      <c r="B2770" s="7" t="s">
        <v>77</v>
      </c>
      <c r="C2770" s="2" t="s">
        <v>1599</v>
      </c>
      <c r="D2770" s="7" t="s">
        <v>1201</v>
      </c>
      <c r="E2770" s="4" t="s">
        <v>1602</v>
      </c>
      <c r="F2770" s="2"/>
      <c r="G2770" s="2" t="s">
        <v>1399</v>
      </c>
      <c r="H2770" s="2" t="s">
        <v>1400</v>
      </c>
      <c r="I2770" s="4" t="s">
        <v>60</v>
      </c>
      <c r="J2770" s="112">
        <f>IF($H2770&lt;&gt;"Y",0,ROUND(MIN(Dashboard!$R$24,IF(IFERROR(VLOOKUP($B2770,Dashboard!$Q$28:$S$60,2,FALSE),0)&gt;0,IFERROR(VLOOKUP($B2770,Dashboard!$Q$28:$S$60,2,FALSE),0),$Z2770*IF($U2770&lt;&gt;"",ROUND((Dashboard!$R$4/$U2770)*VLOOKUP($I2770,Dashboard!$Q$9:$R$13,2,FALSE)*IF(ISNUMBER(SEARCH("Duals",$B2770)),2,IF(ISNUMBER(SEARCH("Triples",$B2770)),3,IF(ISNUMBER(SEARCH("Quads",$B2770)),4,1))),2),ROUND(VLOOKUP($I2770,Dashboard!$Q$15:$R$20,2,FALSE)*IF($E2770="Red",Dashboard!$R$6,IF($E2770="Gold",Dashboard!$R$7,Dashboard!$R$5))*IF(ISNUMBER(SEARCH("Duals",$B2770)),2,IF(ISNUMBER(SEARCH("Triples",$B2770)),3,IF(ISNUMBER(SEARCH("Quads",$B2770)),4,1))),2))*IF(IFERROR(VLOOKUP($B2770,Dashboard!$Q$28:$S$60,3,FALSE),0)&gt;0,VLOOKUP($B2770,Dashboard!$Q$28:$S$60,3,FALSE),1))),0))</f>
        <v>3</v>
      </c>
      <c r="K2770" s="2" t="str">
        <f>IF('Base S2'!E101="","",'Base S2'!E101)</f>
        <v>C</v>
      </c>
      <c r="L2770" s="2">
        <f t="shared" si="572"/>
        <v>1</v>
      </c>
      <c r="M2770" s="2">
        <f t="shared" si="573"/>
        <v>0</v>
      </c>
      <c r="N2770" s="2">
        <f t="shared" si="574"/>
        <v>1</v>
      </c>
      <c r="O2770" s="2">
        <f t="shared" si="575"/>
        <v>0</v>
      </c>
      <c r="P2770" s="112">
        <f t="shared" si="576"/>
        <v>3</v>
      </c>
      <c r="Q2770" s="112">
        <f t="shared" si="577"/>
        <v>0</v>
      </c>
      <c r="R2770" s="53"/>
      <c r="S2770" s="53" t="str">
        <f t="shared" si="565"/>
        <v>Base S2|Gold Parallel - Season 2|200|Gold</v>
      </c>
      <c r="T2770" s="57" t="str">
        <f>IF($S2770="","",IFERROR(VLOOKUP($S2770,'Pop Estimates (Non-#d)'!$N$2:$O$500,2,FALSE),""))</f>
        <v/>
      </c>
      <c r="U2770" s="57" t="str">
        <f t="shared" si="566"/>
        <v/>
      </c>
      <c r="V2770" s="53" t="str">
        <f t="shared" si="567"/>
        <v/>
      </c>
      <c r="W2770" s="53" t="str">
        <f t="shared" si="568"/>
        <v/>
      </c>
      <c r="X2770" s="53" t="str">
        <f t="shared" si="569"/>
        <v/>
      </c>
      <c r="Y2770" s="57" t="str">
        <f>IF($X2770="","",IFERROR(VLOOKUP($X2770,'Char Popularity'!$A$2:$C$500,2,FALSE),""))</f>
        <v/>
      </c>
      <c r="Z2770" s="56">
        <f>IF($X2770="",1,IFERROR(VLOOKUP($X2770,'Char Popularity'!$A$2:$C$500,3,FALSE),1))</f>
        <v>1</v>
      </c>
      <c r="AA2770" s="62">
        <f>IF($H2770&lt;&gt;"Y",0,(IF($F2770&lt;&gt;"",ROUND(Dashboard!$R$4/$F2770,1),IF(AND($I2770="Base",$E2770="Base"),Dashboard!$R$5,IF(AND($I2770="Base",$E2770="Red"),Dashboard!$R$6,IF(AND($I2770="Base",$E2770="Gold"),Dashboard!$R$7,VLOOKUP($I2770,Dashboard!$Q$16:$R$21,2,FALSE)))))*VLOOKUP($I2770,Dashboard!$Q$9:$R$13,2,FALSE)*IF(AND($I2770="Auto",$F2770="",OR($B2770="Autographs Duals",$B2770="Autographs Triples",$B2770="Autographs Quads",$B2770="Autographs Quads (Inscribed)")),IF($B2770="Autographs Duals",2,IF($B2770="Autographs Triples",3,4)),1)))</f>
        <v>3</v>
      </c>
      <c r="AB2770" s="62">
        <f t="shared" si="570"/>
        <v>3</v>
      </c>
      <c r="AC2770" s="62">
        <f t="shared" si="571"/>
        <v>0</v>
      </c>
    </row>
    <row r="2771" spans="1:29" ht="28.7" customHeight="1" x14ac:dyDescent="0.25">
      <c r="A2771" s="4" t="s">
        <v>21</v>
      </c>
      <c r="B2771" s="7" t="s">
        <v>91</v>
      </c>
      <c r="C2771" s="2" t="s">
        <v>409</v>
      </c>
      <c r="D2771" s="7" t="s">
        <v>263</v>
      </c>
      <c r="E2771" s="4" t="s">
        <v>1602</v>
      </c>
      <c r="F2771" s="2"/>
      <c r="G2771" s="2" t="s">
        <v>1399</v>
      </c>
      <c r="H2771" s="2" t="s">
        <v>1400</v>
      </c>
      <c r="I2771" s="4" t="s">
        <v>60</v>
      </c>
      <c r="J2771" s="112">
        <f>IF($H2771&lt;&gt;"Y",0,ROUND(MIN(Dashboard!$R$24,IF(IFERROR(VLOOKUP($B2771,Dashboard!$Q$28:$S$60,2,FALSE),0)&gt;0,IFERROR(VLOOKUP($B2771,Dashboard!$Q$28:$S$60,2,FALSE),0),$Z2771*IF($U2771&lt;&gt;"",ROUND((Dashboard!$R$4/$U2771)*VLOOKUP($I2771,Dashboard!$Q$9:$R$13,2,FALSE)*IF(ISNUMBER(SEARCH("Duals",$B2771)),2,IF(ISNUMBER(SEARCH("Triples",$B2771)),3,IF(ISNUMBER(SEARCH("Quads",$B2771)),4,1))),2),ROUND(VLOOKUP($I2771,Dashboard!$Q$15:$R$20,2,FALSE)*IF($E2771="Red",Dashboard!$R$6,IF($E2771="Gold",Dashboard!$R$7,Dashboard!$R$5))*IF(ISNUMBER(SEARCH("Duals",$B2771)),2,IF(ISNUMBER(SEARCH("Triples",$B2771)),3,IF(ISNUMBER(SEARCH("Quads",$B2771)),4,1))),2))*IF(IFERROR(VLOOKUP($B2771,Dashboard!$Q$28:$S$60,3,FALSE),0)&gt;0,VLOOKUP($B2771,Dashboard!$Q$28:$S$60,3,FALSE),1))),0))</f>
        <v>4</v>
      </c>
      <c r="K2771" s="2" t="str">
        <f>IF(Characters!E2="","",Characters!E2)</f>
        <v>C</v>
      </c>
      <c r="L2771" s="2">
        <f t="shared" si="572"/>
        <v>1</v>
      </c>
      <c r="M2771" s="2">
        <f t="shared" si="573"/>
        <v>0</v>
      </c>
      <c r="N2771" s="2">
        <f t="shared" si="574"/>
        <v>1</v>
      </c>
      <c r="O2771" s="2">
        <f t="shared" si="575"/>
        <v>0</v>
      </c>
      <c r="P2771" s="112">
        <f t="shared" si="576"/>
        <v>4</v>
      </c>
      <c r="Q2771" s="112">
        <f t="shared" si="577"/>
        <v>0</v>
      </c>
      <c r="R2771" s="53"/>
      <c r="S2771" s="53" t="str">
        <f t="shared" si="565"/>
        <v>Characters|Characters Gold Parallel|C-1|Gold</v>
      </c>
      <c r="T2771" s="57" t="str">
        <f>IF($S2771="","",IFERROR(VLOOKUP($S2771,'Pop Estimates (Non-#d)'!$N$2:$O$500,2,FALSE),""))</f>
        <v/>
      </c>
      <c r="U2771" s="57" t="str">
        <f t="shared" si="566"/>
        <v/>
      </c>
      <c r="V2771" s="53" t="str">
        <f t="shared" si="567"/>
        <v>Hughie Campbell</v>
      </c>
      <c r="W2771" s="53" t="str">
        <f t="shared" si="568"/>
        <v>Hughie Campbell</v>
      </c>
      <c r="X2771" s="53" t="str">
        <f t="shared" si="569"/>
        <v>Hughie Campbell</v>
      </c>
      <c r="Y2771" s="57">
        <f>IF($X2771="","",IFERROR(VLOOKUP($X2771,'Char Popularity'!$A$2:$C$500,2,FALSE),""))</f>
        <v>5</v>
      </c>
      <c r="Z2771" s="56">
        <f>IF($X2771="",1,IFERROR(VLOOKUP($X2771,'Char Popularity'!$A$2:$C$500,3,FALSE),1))</f>
        <v>1.2</v>
      </c>
      <c r="AA2771" s="62">
        <f>IF($H2771&lt;&gt;"Y",0,(IF($F2771&lt;&gt;"",ROUND(Dashboard!$R$4/$F2771,1),IF(AND($I2771="Base",$E2771="Base"),Dashboard!$R$5,IF(AND($I2771="Base",$E2771="Red"),Dashboard!$R$6,IF(AND($I2771="Base",$E2771="Gold"),Dashboard!$R$7,VLOOKUP($I2771,Dashboard!$Q$16:$R$21,2,FALSE)))))*VLOOKUP($I2771,Dashboard!$Q$9:$R$13,2,FALSE)*IF(AND($I2771="Auto",$F2771="",OR($B2771="Autographs Duals",$B2771="Autographs Triples",$B2771="Autographs Quads",$B2771="Autographs Quads (Inscribed)")),IF($B2771="Autographs Duals",2,IF($B2771="Autographs Triples",3,4)),1)))</f>
        <v>3</v>
      </c>
      <c r="AB2771" s="62">
        <f t="shared" si="570"/>
        <v>3</v>
      </c>
      <c r="AC2771" s="62">
        <f t="shared" si="571"/>
        <v>0</v>
      </c>
    </row>
    <row r="2772" spans="1:29" ht="28.7" customHeight="1" x14ac:dyDescent="0.25">
      <c r="A2772" s="4" t="s">
        <v>21</v>
      </c>
      <c r="B2772" s="7" t="s">
        <v>91</v>
      </c>
      <c r="C2772" s="2" t="s">
        <v>419</v>
      </c>
      <c r="D2772" s="7" t="s">
        <v>222</v>
      </c>
      <c r="E2772" s="4" t="s">
        <v>1602</v>
      </c>
      <c r="F2772" s="2"/>
      <c r="G2772" s="2" t="s">
        <v>1399</v>
      </c>
      <c r="H2772" s="2" t="s">
        <v>1400</v>
      </c>
      <c r="I2772" s="4" t="s">
        <v>60</v>
      </c>
      <c r="J2772" s="112">
        <f>IF($H2772&lt;&gt;"Y",0,ROUND(MIN(Dashboard!$R$24,IF(IFERROR(VLOOKUP($B2772,Dashboard!$Q$28:$S$60,2,FALSE),0)&gt;0,IFERROR(VLOOKUP($B2772,Dashboard!$Q$28:$S$60,2,FALSE),0),$Z2772*IF($U2772&lt;&gt;"",ROUND((Dashboard!$R$4/$U2772)*VLOOKUP($I2772,Dashboard!$Q$9:$R$13,2,FALSE)*IF(ISNUMBER(SEARCH("Duals",$B2772)),2,IF(ISNUMBER(SEARCH("Triples",$B2772)),3,IF(ISNUMBER(SEARCH("Quads",$B2772)),4,1))),2),ROUND(VLOOKUP($I2772,Dashboard!$Q$15:$R$20,2,FALSE)*IF($E2772="Red",Dashboard!$R$6,IF($E2772="Gold",Dashboard!$R$7,Dashboard!$R$5))*IF(ISNUMBER(SEARCH("Duals",$B2772)),2,IF(ISNUMBER(SEARCH("Triples",$B2772)),3,IF(ISNUMBER(SEARCH("Quads",$B2772)),4,1))),2))*IF(IFERROR(VLOOKUP($B2772,Dashboard!$Q$28:$S$60,3,FALSE),0)&gt;0,VLOOKUP($B2772,Dashboard!$Q$28:$S$60,3,FALSE),1))),0))</f>
        <v>4</v>
      </c>
      <c r="K2772" s="2" t="str">
        <f>IF(Characters!E3="","",Characters!E3)</f>
        <v>C</v>
      </c>
      <c r="L2772" s="2">
        <f t="shared" si="572"/>
        <v>1</v>
      </c>
      <c r="M2772" s="2">
        <f t="shared" si="573"/>
        <v>0</v>
      </c>
      <c r="N2772" s="2">
        <f t="shared" si="574"/>
        <v>1</v>
      </c>
      <c r="O2772" s="2">
        <f t="shared" si="575"/>
        <v>0</v>
      </c>
      <c r="P2772" s="112">
        <f t="shared" si="576"/>
        <v>4</v>
      </c>
      <c r="Q2772" s="112">
        <f t="shared" si="577"/>
        <v>0</v>
      </c>
      <c r="R2772" s="53"/>
      <c r="S2772" s="53" t="str">
        <f t="shared" si="565"/>
        <v>Characters|Characters Gold Parallel|C-2|Gold</v>
      </c>
      <c r="T2772" s="57" t="str">
        <f>IF($S2772="","",IFERROR(VLOOKUP($S2772,'Pop Estimates (Non-#d)'!$N$2:$O$500,2,FALSE),""))</f>
        <v/>
      </c>
      <c r="U2772" s="57" t="str">
        <f t="shared" si="566"/>
        <v/>
      </c>
      <c r="V2772" s="53" t="str">
        <f t="shared" si="567"/>
        <v>Homelander</v>
      </c>
      <c r="W2772" s="53" t="str">
        <f t="shared" si="568"/>
        <v>Homelander</v>
      </c>
      <c r="X2772" s="53" t="str">
        <f t="shared" si="569"/>
        <v>Homelander</v>
      </c>
      <c r="Y2772" s="57">
        <f>IF($X2772="","",IFERROR(VLOOKUP($X2772,'Char Popularity'!$A$2:$C$500,2,FALSE),""))</f>
        <v>5</v>
      </c>
      <c r="Z2772" s="56">
        <f>IF($X2772="",1,IFERROR(VLOOKUP($X2772,'Char Popularity'!$A$2:$C$500,3,FALSE),1))</f>
        <v>1.2</v>
      </c>
      <c r="AA2772" s="62">
        <f>IF($H2772&lt;&gt;"Y",0,(IF($F2772&lt;&gt;"",ROUND(Dashboard!$R$4/$F2772,1),IF(AND($I2772="Base",$E2772="Base"),Dashboard!$R$5,IF(AND($I2772="Base",$E2772="Red"),Dashboard!$R$6,IF(AND($I2772="Base",$E2772="Gold"),Dashboard!$R$7,VLOOKUP($I2772,Dashboard!$Q$16:$R$21,2,FALSE)))))*VLOOKUP($I2772,Dashboard!$Q$9:$R$13,2,FALSE)*IF(AND($I2772="Auto",$F2772="",OR($B2772="Autographs Duals",$B2772="Autographs Triples",$B2772="Autographs Quads",$B2772="Autographs Quads (Inscribed)")),IF($B2772="Autographs Duals",2,IF($B2772="Autographs Triples",3,4)),1)))</f>
        <v>3</v>
      </c>
      <c r="AB2772" s="62">
        <f t="shared" si="570"/>
        <v>3</v>
      </c>
      <c r="AC2772" s="62">
        <f t="shared" si="571"/>
        <v>0</v>
      </c>
    </row>
    <row r="2773" spans="1:29" ht="28.7" customHeight="1" x14ac:dyDescent="0.25">
      <c r="A2773" s="4" t="s">
        <v>21</v>
      </c>
      <c r="B2773" s="7" t="s">
        <v>91</v>
      </c>
      <c r="C2773" s="2" t="s">
        <v>425</v>
      </c>
      <c r="D2773" s="7" t="s">
        <v>274</v>
      </c>
      <c r="E2773" s="4" t="s">
        <v>1602</v>
      </c>
      <c r="F2773" s="2"/>
      <c r="G2773" s="2" t="s">
        <v>1399</v>
      </c>
      <c r="H2773" s="2" t="s">
        <v>1400</v>
      </c>
      <c r="I2773" s="4" t="s">
        <v>60</v>
      </c>
      <c r="J2773" s="112">
        <f>IF($H2773&lt;&gt;"Y",0,ROUND(MIN(Dashboard!$R$24,IF(IFERROR(VLOOKUP($B2773,Dashboard!$Q$28:$S$60,2,FALSE),0)&gt;0,IFERROR(VLOOKUP($B2773,Dashboard!$Q$28:$S$60,2,FALSE),0),$Z2773*IF($U2773&lt;&gt;"",ROUND((Dashboard!$R$4/$U2773)*VLOOKUP($I2773,Dashboard!$Q$9:$R$13,2,FALSE)*IF(ISNUMBER(SEARCH("Duals",$B2773)),2,IF(ISNUMBER(SEARCH("Triples",$B2773)),3,IF(ISNUMBER(SEARCH("Quads",$B2773)),4,1))),2),ROUND(VLOOKUP($I2773,Dashboard!$Q$15:$R$20,2,FALSE)*IF($E2773="Red",Dashboard!$R$6,IF($E2773="Gold",Dashboard!$R$7,Dashboard!$R$5))*IF(ISNUMBER(SEARCH("Duals",$B2773)),2,IF(ISNUMBER(SEARCH("Triples",$B2773)),3,IF(ISNUMBER(SEARCH("Quads",$B2773)),4,1))),2))*IF(IFERROR(VLOOKUP($B2773,Dashboard!$Q$28:$S$60,3,FALSE),0)&gt;0,VLOOKUP($B2773,Dashboard!$Q$28:$S$60,3,FALSE),1))),0))</f>
        <v>4</v>
      </c>
      <c r="K2773" s="2" t="str">
        <f>IF(Characters!E4="","",Characters!E4)</f>
        <v>C</v>
      </c>
      <c r="L2773" s="2">
        <f t="shared" si="572"/>
        <v>1</v>
      </c>
      <c r="M2773" s="2">
        <f t="shared" si="573"/>
        <v>0</v>
      </c>
      <c r="N2773" s="2">
        <f t="shared" si="574"/>
        <v>1</v>
      </c>
      <c r="O2773" s="2">
        <f t="shared" si="575"/>
        <v>0</v>
      </c>
      <c r="P2773" s="112">
        <f t="shared" si="576"/>
        <v>4</v>
      </c>
      <c r="Q2773" s="112">
        <f t="shared" si="577"/>
        <v>0</v>
      </c>
      <c r="R2773" s="53"/>
      <c r="S2773" s="53" t="str">
        <f t="shared" si="565"/>
        <v>Characters|Characters Gold Parallel|C-3|Gold</v>
      </c>
      <c r="T2773" s="57" t="str">
        <f>IF($S2773="","",IFERROR(VLOOKUP($S2773,'Pop Estimates (Non-#d)'!$N$2:$O$500,2,FALSE),""))</f>
        <v/>
      </c>
      <c r="U2773" s="57" t="str">
        <f t="shared" si="566"/>
        <v/>
      </c>
      <c r="V2773" s="53" t="str">
        <f t="shared" si="567"/>
        <v>Billy Butcher</v>
      </c>
      <c r="W2773" s="53" t="str">
        <f t="shared" si="568"/>
        <v>Billy Butcher</v>
      </c>
      <c r="X2773" s="53" t="str">
        <f t="shared" si="569"/>
        <v>Billy Butcher</v>
      </c>
      <c r="Y2773" s="57">
        <f>IF($X2773="","",IFERROR(VLOOKUP($X2773,'Char Popularity'!$A$2:$C$500,2,FALSE),""))</f>
        <v>5</v>
      </c>
      <c r="Z2773" s="56">
        <f>IF($X2773="",1,IFERROR(VLOOKUP($X2773,'Char Popularity'!$A$2:$C$500,3,FALSE),1))</f>
        <v>1.2</v>
      </c>
      <c r="AA2773" s="62">
        <f>IF($H2773&lt;&gt;"Y",0,(IF($F2773&lt;&gt;"",ROUND(Dashboard!$R$4/$F2773,1),IF(AND($I2773="Base",$E2773="Base"),Dashboard!$R$5,IF(AND($I2773="Base",$E2773="Red"),Dashboard!$R$6,IF(AND($I2773="Base",$E2773="Gold"),Dashboard!$R$7,VLOOKUP($I2773,Dashboard!$Q$16:$R$21,2,FALSE)))))*VLOOKUP($I2773,Dashboard!$Q$9:$R$13,2,FALSE)*IF(AND($I2773="Auto",$F2773="",OR($B2773="Autographs Duals",$B2773="Autographs Triples",$B2773="Autographs Quads",$B2773="Autographs Quads (Inscribed)")),IF($B2773="Autographs Duals",2,IF($B2773="Autographs Triples",3,4)),1)))</f>
        <v>3</v>
      </c>
      <c r="AB2773" s="62">
        <f t="shared" si="570"/>
        <v>3</v>
      </c>
      <c r="AC2773" s="62">
        <f t="shared" si="571"/>
        <v>0</v>
      </c>
    </row>
    <row r="2774" spans="1:29" ht="28.7" customHeight="1" x14ac:dyDescent="0.25">
      <c r="A2774" s="4" t="s">
        <v>21</v>
      </c>
      <c r="B2774" s="7" t="s">
        <v>91</v>
      </c>
      <c r="C2774" s="2" t="s">
        <v>428</v>
      </c>
      <c r="D2774" s="7" t="s">
        <v>248</v>
      </c>
      <c r="E2774" s="4" t="s">
        <v>1602</v>
      </c>
      <c r="F2774" s="2"/>
      <c r="G2774" s="2" t="s">
        <v>1399</v>
      </c>
      <c r="H2774" s="2" t="s">
        <v>1400</v>
      </c>
      <c r="I2774" s="4" t="s">
        <v>60</v>
      </c>
      <c r="J2774" s="112">
        <f>IF($H2774&lt;&gt;"Y",0,ROUND(MIN(Dashboard!$R$24,IF(IFERROR(VLOOKUP($B2774,Dashboard!$Q$28:$S$60,2,FALSE),0)&gt;0,IFERROR(VLOOKUP($B2774,Dashboard!$Q$28:$S$60,2,FALSE),0),$Z2774*IF($U2774&lt;&gt;"",ROUND((Dashboard!$R$4/$U2774)*VLOOKUP($I2774,Dashboard!$Q$9:$R$13,2,FALSE)*IF(ISNUMBER(SEARCH("Duals",$B2774)),2,IF(ISNUMBER(SEARCH("Triples",$B2774)),3,IF(ISNUMBER(SEARCH("Quads",$B2774)),4,1))),2),ROUND(VLOOKUP($I2774,Dashboard!$Q$15:$R$20,2,FALSE)*IF($E2774="Red",Dashboard!$R$6,IF($E2774="Gold",Dashboard!$R$7,Dashboard!$R$5))*IF(ISNUMBER(SEARCH("Duals",$B2774)),2,IF(ISNUMBER(SEARCH("Triples",$B2774)),3,IF(ISNUMBER(SEARCH("Quads",$B2774)),4,1))),2))*IF(IFERROR(VLOOKUP($B2774,Dashboard!$Q$28:$S$60,3,FALSE),0)&gt;0,VLOOKUP($B2774,Dashboard!$Q$28:$S$60,3,FALSE),1))),0))</f>
        <v>4</v>
      </c>
      <c r="K2774" s="2" t="str">
        <f>IF(Characters!E5="","",Characters!E5)</f>
        <v>C</v>
      </c>
      <c r="L2774" s="2">
        <f t="shared" si="572"/>
        <v>1</v>
      </c>
      <c r="M2774" s="2">
        <f t="shared" si="573"/>
        <v>0</v>
      </c>
      <c r="N2774" s="2">
        <f t="shared" si="574"/>
        <v>1</v>
      </c>
      <c r="O2774" s="2">
        <f t="shared" si="575"/>
        <v>0</v>
      </c>
      <c r="P2774" s="112">
        <f t="shared" si="576"/>
        <v>4</v>
      </c>
      <c r="Q2774" s="112">
        <f t="shared" si="577"/>
        <v>0</v>
      </c>
      <c r="R2774" s="53"/>
      <c r="S2774" s="53" t="str">
        <f t="shared" si="565"/>
        <v>Characters|Characters Gold Parallel|C-4|Gold</v>
      </c>
      <c r="T2774" s="57" t="str">
        <f>IF($S2774="","",IFERROR(VLOOKUP($S2774,'Pop Estimates (Non-#d)'!$N$2:$O$500,2,FALSE),""))</f>
        <v/>
      </c>
      <c r="U2774" s="57" t="str">
        <f t="shared" si="566"/>
        <v/>
      </c>
      <c r="V2774" s="53" t="str">
        <f t="shared" si="567"/>
        <v>Starlight</v>
      </c>
      <c r="W2774" s="53" t="str">
        <f t="shared" si="568"/>
        <v>Starlight</v>
      </c>
      <c r="X2774" s="53" t="str">
        <f t="shared" si="569"/>
        <v>Starlight</v>
      </c>
      <c r="Y2774" s="57">
        <f>IF($X2774="","",IFERROR(VLOOKUP($X2774,'Char Popularity'!$A$2:$C$500,2,FALSE),""))</f>
        <v>5</v>
      </c>
      <c r="Z2774" s="56">
        <f>IF($X2774="",1,IFERROR(VLOOKUP($X2774,'Char Popularity'!$A$2:$C$500,3,FALSE),1))</f>
        <v>1.2</v>
      </c>
      <c r="AA2774" s="62">
        <f>IF($H2774&lt;&gt;"Y",0,(IF($F2774&lt;&gt;"",ROUND(Dashboard!$R$4/$F2774,1),IF(AND($I2774="Base",$E2774="Base"),Dashboard!$R$5,IF(AND($I2774="Base",$E2774="Red"),Dashboard!$R$6,IF(AND($I2774="Base",$E2774="Gold"),Dashboard!$R$7,VLOOKUP($I2774,Dashboard!$Q$16:$R$21,2,FALSE)))))*VLOOKUP($I2774,Dashboard!$Q$9:$R$13,2,FALSE)*IF(AND($I2774="Auto",$F2774="",OR($B2774="Autographs Duals",$B2774="Autographs Triples",$B2774="Autographs Quads",$B2774="Autographs Quads (Inscribed)")),IF($B2774="Autographs Duals",2,IF($B2774="Autographs Triples",3,4)),1)))</f>
        <v>3</v>
      </c>
      <c r="AB2774" s="62">
        <f t="shared" si="570"/>
        <v>3</v>
      </c>
      <c r="AC2774" s="62">
        <f t="shared" si="571"/>
        <v>0</v>
      </c>
    </row>
    <row r="2775" spans="1:29" ht="28.7" customHeight="1" x14ac:dyDescent="0.25">
      <c r="A2775" s="4" t="s">
        <v>21</v>
      </c>
      <c r="B2775" s="7" t="s">
        <v>91</v>
      </c>
      <c r="C2775" s="2" t="s">
        <v>434</v>
      </c>
      <c r="D2775" s="7" t="s">
        <v>267</v>
      </c>
      <c r="E2775" s="4" t="s">
        <v>1602</v>
      </c>
      <c r="F2775" s="2"/>
      <c r="G2775" s="2" t="s">
        <v>1399</v>
      </c>
      <c r="H2775" s="2" t="s">
        <v>1400</v>
      </c>
      <c r="I2775" s="4" t="s">
        <v>60</v>
      </c>
      <c r="J2775" s="112">
        <f>IF($H2775&lt;&gt;"Y",0,ROUND(MIN(Dashboard!$R$24,IF(IFERROR(VLOOKUP($B2775,Dashboard!$Q$28:$S$60,2,FALSE),0)&gt;0,IFERROR(VLOOKUP($B2775,Dashboard!$Q$28:$S$60,2,FALSE),0),$Z2775*IF($U2775&lt;&gt;"",ROUND((Dashboard!$R$4/$U2775)*VLOOKUP($I2775,Dashboard!$Q$9:$R$13,2,FALSE)*IF(ISNUMBER(SEARCH("Duals",$B2775)),2,IF(ISNUMBER(SEARCH("Triples",$B2775)),3,IF(ISNUMBER(SEARCH("Quads",$B2775)),4,1))),2),ROUND(VLOOKUP($I2775,Dashboard!$Q$15:$R$20,2,FALSE)*IF($E2775="Red",Dashboard!$R$6,IF($E2775="Gold",Dashboard!$R$7,Dashboard!$R$5))*IF(ISNUMBER(SEARCH("Duals",$B2775)),2,IF(ISNUMBER(SEARCH("Triples",$B2775)),3,IF(ISNUMBER(SEARCH("Quads",$B2775)),4,1))),2))*IF(IFERROR(VLOOKUP($B2775,Dashboard!$Q$28:$S$60,3,FALSE),0)&gt;0,VLOOKUP($B2775,Dashboard!$Q$28:$S$60,3,FALSE),1))),0))</f>
        <v>3</v>
      </c>
      <c r="K2775" s="2" t="str">
        <f>IF(Characters!E6="","",Characters!E6)</f>
        <v>C</v>
      </c>
      <c r="L2775" s="2">
        <f t="shared" si="572"/>
        <v>1</v>
      </c>
      <c r="M2775" s="2">
        <f t="shared" si="573"/>
        <v>0</v>
      </c>
      <c r="N2775" s="2">
        <f t="shared" si="574"/>
        <v>1</v>
      </c>
      <c r="O2775" s="2">
        <f t="shared" si="575"/>
        <v>0</v>
      </c>
      <c r="P2775" s="112">
        <f t="shared" si="576"/>
        <v>3</v>
      </c>
      <c r="Q2775" s="112">
        <f t="shared" si="577"/>
        <v>0</v>
      </c>
      <c r="R2775" s="53"/>
      <c r="S2775" s="53" t="str">
        <f t="shared" si="565"/>
        <v>Characters|Characters Gold Parallel|C-5|Gold</v>
      </c>
      <c r="T2775" s="57" t="str">
        <f>IF($S2775="","",IFERROR(VLOOKUP($S2775,'Pop Estimates (Non-#d)'!$N$2:$O$500,2,FALSE),""))</f>
        <v/>
      </c>
      <c r="U2775" s="57" t="str">
        <f t="shared" si="566"/>
        <v/>
      </c>
      <c r="V2775" s="53" t="str">
        <f t="shared" si="567"/>
        <v>A-Train</v>
      </c>
      <c r="W2775" s="53" t="str">
        <f t="shared" si="568"/>
        <v>A-Train</v>
      </c>
      <c r="X2775" s="53" t="str">
        <f t="shared" si="569"/>
        <v>A-Train</v>
      </c>
      <c r="Y2775" s="57">
        <f>IF($X2775="","",IFERROR(VLOOKUP($X2775,'Char Popularity'!$A$2:$C$500,2,FALSE),""))</f>
        <v>4</v>
      </c>
      <c r="Z2775" s="56">
        <f>IF($X2775="",1,IFERROR(VLOOKUP($X2775,'Char Popularity'!$A$2:$C$500,3,FALSE),1))</f>
        <v>1.1000000000000001</v>
      </c>
      <c r="AA2775" s="62">
        <f>IF($H2775&lt;&gt;"Y",0,(IF($F2775&lt;&gt;"",ROUND(Dashboard!$R$4/$F2775,1),IF(AND($I2775="Base",$E2775="Base"),Dashboard!$R$5,IF(AND($I2775="Base",$E2775="Red"),Dashboard!$R$6,IF(AND($I2775="Base",$E2775="Gold"),Dashboard!$R$7,VLOOKUP($I2775,Dashboard!$Q$16:$R$21,2,FALSE)))))*VLOOKUP($I2775,Dashboard!$Q$9:$R$13,2,FALSE)*IF(AND($I2775="Auto",$F2775="",OR($B2775="Autographs Duals",$B2775="Autographs Triples",$B2775="Autographs Quads",$B2775="Autographs Quads (Inscribed)")),IF($B2775="Autographs Duals",2,IF($B2775="Autographs Triples",3,4)),1)))</f>
        <v>3</v>
      </c>
      <c r="AB2775" s="62">
        <f t="shared" si="570"/>
        <v>3</v>
      </c>
      <c r="AC2775" s="62">
        <f t="shared" si="571"/>
        <v>0</v>
      </c>
    </row>
    <row r="2776" spans="1:29" ht="28.7" customHeight="1" x14ac:dyDescent="0.25">
      <c r="A2776" s="4" t="s">
        <v>21</v>
      </c>
      <c r="B2776" s="7" t="s">
        <v>91</v>
      </c>
      <c r="C2776" s="2" t="s">
        <v>435</v>
      </c>
      <c r="D2776" s="7" t="s">
        <v>250</v>
      </c>
      <c r="E2776" s="4" t="s">
        <v>1602</v>
      </c>
      <c r="F2776" s="2"/>
      <c r="G2776" s="2" t="s">
        <v>1399</v>
      </c>
      <c r="H2776" s="2" t="s">
        <v>1400</v>
      </c>
      <c r="I2776" s="4" t="s">
        <v>60</v>
      </c>
      <c r="J2776" s="112">
        <f>IF($H2776&lt;&gt;"Y",0,ROUND(MIN(Dashboard!$R$24,IF(IFERROR(VLOOKUP($B2776,Dashboard!$Q$28:$S$60,2,FALSE),0)&gt;0,IFERROR(VLOOKUP($B2776,Dashboard!$Q$28:$S$60,2,FALSE),0),$Z2776*IF($U2776&lt;&gt;"",ROUND((Dashboard!$R$4/$U2776)*VLOOKUP($I2776,Dashboard!$Q$9:$R$13,2,FALSE)*IF(ISNUMBER(SEARCH("Duals",$B2776)),2,IF(ISNUMBER(SEARCH("Triples",$B2776)),3,IF(ISNUMBER(SEARCH("Quads",$B2776)),4,1))),2),ROUND(VLOOKUP($I2776,Dashboard!$Q$15:$R$20,2,FALSE)*IF($E2776="Red",Dashboard!$R$6,IF($E2776="Gold",Dashboard!$R$7,Dashboard!$R$5))*IF(ISNUMBER(SEARCH("Duals",$B2776)),2,IF(ISNUMBER(SEARCH("Triples",$B2776)),3,IF(ISNUMBER(SEARCH("Quads",$B2776)),4,1))),2))*IF(IFERROR(VLOOKUP($B2776,Dashboard!$Q$28:$S$60,3,FALSE),0)&gt;0,VLOOKUP($B2776,Dashboard!$Q$28:$S$60,3,FALSE),1))),0))</f>
        <v>3</v>
      </c>
      <c r="K2776" s="2" t="str">
        <f>IF(Characters!E7="","",Characters!E7)</f>
        <v>C</v>
      </c>
      <c r="L2776" s="2">
        <f t="shared" si="572"/>
        <v>1</v>
      </c>
      <c r="M2776" s="2">
        <f t="shared" si="573"/>
        <v>0</v>
      </c>
      <c r="N2776" s="2">
        <f t="shared" si="574"/>
        <v>1</v>
      </c>
      <c r="O2776" s="2">
        <f t="shared" si="575"/>
        <v>0</v>
      </c>
      <c r="P2776" s="112">
        <f t="shared" si="576"/>
        <v>3</v>
      </c>
      <c r="Q2776" s="112">
        <f t="shared" si="577"/>
        <v>0</v>
      </c>
      <c r="R2776" s="53"/>
      <c r="S2776" s="53" t="str">
        <f t="shared" si="565"/>
        <v>Characters|Characters Gold Parallel|C-6|Gold</v>
      </c>
      <c r="T2776" s="57" t="str">
        <f>IF($S2776="","",IFERROR(VLOOKUP($S2776,'Pop Estimates (Non-#d)'!$N$2:$O$500,2,FALSE),""))</f>
        <v/>
      </c>
      <c r="U2776" s="57" t="str">
        <f t="shared" si="566"/>
        <v/>
      </c>
      <c r="V2776" s="53" t="str">
        <f t="shared" si="567"/>
        <v>Madelyn Stillwell</v>
      </c>
      <c r="W2776" s="53" t="str">
        <f t="shared" si="568"/>
        <v>Madelyn Stillwell</v>
      </c>
      <c r="X2776" s="53" t="str">
        <f t="shared" si="569"/>
        <v>Madelyn Stillwell</v>
      </c>
      <c r="Y2776" s="57">
        <f>IF($X2776="","",IFERROR(VLOOKUP($X2776,'Char Popularity'!$A$2:$C$500,2,FALSE),""))</f>
        <v>3</v>
      </c>
      <c r="Z2776" s="56">
        <f>IF($X2776="",1,IFERROR(VLOOKUP($X2776,'Char Popularity'!$A$2:$C$500,3,FALSE),1))</f>
        <v>1</v>
      </c>
      <c r="AA2776" s="62">
        <f>IF($H2776&lt;&gt;"Y",0,(IF($F2776&lt;&gt;"",ROUND(Dashboard!$R$4/$F2776,1),IF(AND($I2776="Base",$E2776="Base"),Dashboard!$R$5,IF(AND($I2776="Base",$E2776="Red"),Dashboard!$R$6,IF(AND($I2776="Base",$E2776="Gold"),Dashboard!$R$7,VLOOKUP($I2776,Dashboard!$Q$16:$R$21,2,FALSE)))))*VLOOKUP($I2776,Dashboard!$Q$9:$R$13,2,FALSE)*IF(AND($I2776="Auto",$F2776="",OR($B2776="Autographs Duals",$B2776="Autographs Triples",$B2776="Autographs Quads",$B2776="Autographs Quads (Inscribed)")),IF($B2776="Autographs Duals",2,IF($B2776="Autographs Triples",3,4)),1)))</f>
        <v>3</v>
      </c>
      <c r="AB2776" s="62">
        <f t="shared" si="570"/>
        <v>3</v>
      </c>
      <c r="AC2776" s="62">
        <f t="shared" si="571"/>
        <v>0</v>
      </c>
    </row>
    <row r="2777" spans="1:29" ht="28.7" customHeight="1" x14ac:dyDescent="0.25">
      <c r="A2777" s="4" t="s">
        <v>21</v>
      </c>
      <c r="B2777" s="7" t="s">
        <v>91</v>
      </c>
      <c r="C2777" s="2" t="s">
        <v>436</v>
      </c>
      <c r="D2777" s="7" t="s">
        <v>230</v>
      </c>
      <c r="E2777" s="4" t="s">
        <v>1602</v>
      </c>
      <c r="F2777" s="2"/>
      <c r="G2777" s="2" t="s">
        <v>1399</v>
      </c>
      <c r="H2777" s="2" t="s">
        <v>1400</v>
      </c>
      <c r="I2777" s="4" t="s">
        <v>60</v>
      </c>
      <c r="J2777" s="112">
        <f>IF($H2777&lt;&gt;"Y",0,ROUND(MIN(Dashboard!$R$24,IF(IFERROR(VLOOKUP($B2777,Dashboard!$Q$28:$S$60,2,FALSE),0)&gt;0,IFERROR(VLOOKUP($B2777,Dashboard!$Q$28:$S$60,2,FALSE),0),$Z2777*IF($U2777&lt;&gt;"",ROUND((Dashboard!$R$4/$U2777)*VLOOKUP($I2777,Dashboard!$Q$9:$R$13,2,FALSE)*IF(ISNUMBER(SEARCH("Duals",$B2777)),2,IF(ISNUMBER(SEARCH("Triples",$B2777)),3,IF(ISNUMBER(SEARCH("Quads",$B2777)),4,1))),2),ROUND(VLOOKUP($I2777,Dashboard!$Q$15:$R$20,2,FALSE)*IF($E2777="Red",Dashboard!$R$6,IF($E2777="Gold",Dashboard!$R$7,Dashboard!$R$5))*IF(ISNUMBER(SEARCH("Duals",$B2777)),2,IF(ISNUMBER(SEARCH("Triples",$B2777)),3,IF(ISNUMBER(SEARCH("Quads",$B2777)),4,1))),2))*IF(IFERROR(VLOOKUP($B2777,Dashboard!$Q$28:$S$60,3,FALSE),0)&gt;0,VLOOKUP($B2777,Dashboard!$Q$28:$S$60,3,FALSE),1))),0))</f>
        <v>3</v>
      </c>
      <c r="K2777" s="2" t="str">
        <f>IF(Characters!E8="","",Characters!E8)</f>
        <v>C</v>
      </c>
      <c r="L2777" s="2">
        <f t="shared" si="572"/>
        <v>1</v>
      </c>
      <c r="M2777" s="2">
        <f t="shared" si="573"/>
        <v>0</v>
      </c>
      <c r="N2777" s="2">
        <f t="shared" si="574"/>
        <v>1</v>
      </c>
      <c r="O2777" s="2">
        <f t="shared" si="575"/>
        <v>0</v>
      </c>
      <c r="P2777" s="112">
        <f t="shared" si="576"/>
        <v>3</v>
      </c>
      <c r="Q2777" s="112">
        <f t="shared" si="577"/>
        <v>0</v>
      </c>
      <c r="R2777" s="53"/>
      <c r="S2777" s="53" t="str">
        <f t="shared" si="565"/>
        <v>Characters|Characters Gold Parallel|C-7|Gold</v>
      </c>
      <c r="T2777" s="57" t="str">
        <f>IF($S2777="","",IFERROR(VLOOKUP($S2777,'Pop Estimates (Non-#d)'!$N$2:$O$500,2,FALSE),""))</f>
        <v/>
      </c>
      <c r="U2777" s="57" t="str">
        <f t="shared" si="566"/>
        <v/>
      </c>
      <c r="V2777" s="53" t="str">
        <f t="shared" si="567"/>
        <v>The Deep</v>
      </c>
      <c r="W2777" s="53" t="str">
        <f t="shared" si="568"/>
        <v>The Deep</v>
      </c>
      <c r="X2777" s="53" t="str">
        <f t="shared" si="569"/>
        <v>The Deep</v>
      </c>
      <c r="Y2777" s="57">
        <f>IF($X2777="","",IFERROR(VLOOKUP($X2777,'Char Popularity'!$A$2:$C$500,2,FALSE),""))</f>
        <v>4</v>
      </c>
      <c r="Z2777" s="56">
        <f>IF($X2777="",1,IFERROR(VLOOKUP($X2777,'Char Popularity'!$A$2:$C$500,3,FALSE),1))</f>
        <v>1.1000000000000001</v>
      </c>
      <c r="AA2777" s="62">
        <f>IF($H2777&lt;&gt;"Y",0,(IF($F2777&lt;&gt;"",ROUND(Dashboard!$R$4/$F2777,1),IF(AND($I2777="Base",$E2777="Base"),Dashboard!$R$5,IF(AND($I2777="Base",$E2777="Red"),Dashboard!$R$6,IF(AND($I2777="Base",$E2777="Gold"),Dashboard!$R$7,VLOOKUP($I2777,Dashboard!$Q$16:$R$21,2,FALSE)))))*VLOOKUP($I2777,Dashboard!$Q$9:$R$13,2,FALSE)*IF(AND($I2777="Auto",$F2777="",OR($B2777="Autographs Duals",$B2777="Autographs Triples",$B2777="Autographs Quads",$B2777="Autographs Quads (Inscribed)")),IF($B2777="Autographs Duals",2,IF($B2777="Autographs Triples",3,4)),1)))</f>
        <v>3</v>
      </c>
      <c r="AB2777" s="62">
        <f t="shared" si="570"/>
        <v>3</v>
      </c>
      <c r="AC2777" s="62">
        <f t="shared" si="571"/>
        <v>0</v>
      </c>
    </row>
    <row r="2778" spans="1:29" ht="28.7" customHeight="1" x14ac:dyDescent="0.25">
      <c r="A2778" s="4" t="s">
        <v>21</v>
      </c>
      <c r="B2778" s="7" t="s">
        <v>91</v>
      </c>
      <c r="C2778" s="2" t="s">
        <v>437</v>
      </c>
      <c r="D2778" s="7" t="s">
        <v>276</v>
      </c>
      <c r="E2778" s="4" t="s">
        <v>1602</v>
      </c>
      <c r="F2778" s="2"/>
      <c r="G2778" s="2" t="s">
        <v>1399</v>
      </c>
      <c r="H2778" s="2" t="s">
        <v>1400</v>
      </c>
      <c r="I2778" s="4" t="s">
        <v>60</v>
      </c>
      <c r="J2778" s="112">
        <f>IF($H2778&lt;&gt;"Y",0,ROUND(MIN(Dashboard!$R$24,IF(IFERROR(VLOOKUP($B2778,Dashboard!$Q$28:$S$60,2,FALSE),0)&gt;0,IFERROR(VLOOKUP($B2778,Dashboard!$Q$28:$S$60,2,FALSE),0),$Z2778*IF($U2778&lt;&gt;"",ROUND((Dashboard!$R$4/$U2778)*VLOOKUP($I2778,Dashboard!$Q$9:$R$13,2,FALSE)*IF(ISNUMBER(SEARCH("Duals",$B2778)),2,IF(ISNUMBER(SEARCH("Triples",$B2778)),3,IF(ISNUMBER(SEARCH("Quads",$B2778)),4,1))),2),ROUND(VLOOKUP($I2778,Dashboard!$Q$15:$R$20,2,FALSE)*IF($E2778="Red",Dashboard!$R$6,IF($E2778="Gold",Dashboard!$R$7,Dashboard!$R$5))*IF(ISNUMBER(SEARCH("Duals",$B2778)),2,IF(ISNUMBER(SEARCH("Triples",$B2778)),3,IF(ISNUMBER(SEARCH("Quads",$B2778)),4,1))),2))*IF(IFERROR(VLOOKUP($B2778,Dashboard!$Q$28:$S$60,3,FALSE),0)&gt;0,VLOOKUP($B2778,Dashboard!$Q$28:$S$60,3,FALSE),1))),0))</f>
        <v>3</v>
      </c>
      <c r="K2778" s="2" t="str">
        <f>IF(Characters!E9="","",Characters!E9)</f>
        <v>C</v>
      </c>
      <c r="L2778" s="2">
        <f t="shared" si="572"/>
        <v>1</v>
      </c>
      <c r="M2778" s="2">
        <f t="shared" si="573"/>
        <v>0</v>
      </c>
      <c r="N2778" s="2">
        <f t="shared" si="574"/>
        <v>1</v>
      </c>
      <c r="O2778" s="2">
        <f t="shared" si="575"/>
        <v>0</v>
      </c>
      <c r="P2778" s="112">
        <f t="shared" si="576"/>
        <v>3</v>
      </c>
      <c r="Q2778" s="112">
        <f t="shared" si="577"/>
        <v>0</v>
      </c>
      <c r="R2778" s="53"/>
      <c r="S2778" s="53" t="str">
        <f t="shared" si="565"/>
        <v>Characters|Characters Gold Parallel|C-8|Gold</v>
      </c>
      <c r="T2778" s="57" t="str">
        <f>IF($S2778="","",IFERROR(VLOOKUP($S2778,'Pop Estimates (Non-#d)'!$N$2:$O$500,2,FALSE),""))</f>
        <v/>
      </c>
      <c r="U2778" s="57" t="str">
        <f t="shared" si="566"/>
        <v/>
      </c>
      <c r="V2778" s="53" t="str">
        <f t="shared" si="567"/>
        <v>Mother's Milk</v>
      </c>
      <c r="W2778" s="53" t="str">
        <f t="shared" si="568"/>
        <v>Mother's Milk</v>
      </c>
      <c r="X2778" s="53" t="str">
        <f t="shared" si="569"/>
        <v>Mother's Milk</v>
      </c>
      <c r="Y2778" s="57">
        <f>IF($X2778="","",IFERROR(VLOOKUP($X2778,'Char Popularity'!$A$2:$C$500,2,FALSE),""))</f>
        <v>4</v>
      </c>
      <c r="Z2778" s="56">
        <f>IF($X2778="",1,IFERROR(VLOOKUP($X2778,'Char Popularity'!$A$2:$C$500,3,FALSE),1))</f>
        <v>1.1000000000000001</v>
      </c>
      <c r="AA2778" s="62">
        <f>IF($H2778&lt;&gt;"Y",0,(IF($F2778&lt;&gt;"",ROUND(Dashboard!$R$4/$F2778,1),IF(AND($I2778="Base",$E2778="Base"),Dashboard!$R$5,IF(AND($I2778="Base",$E2778="Red"),Dashboard!$R$6,IF(AND($I2778="Base",$E2778="Gold"),Dashboard!$R$7,VLOOKUP($I2778,Dashboard!$Q$16:$R$21,2,FALSE)))))*VLOOKUP($I2778,Dashboard!$Q$9:$R$13,2,FALSE)*IF(AND($I2778="Auto",$F2778="",OR($B2778="Autographs Duals",$B2778="Autographs Triples",$B2778="Autographs Quads",$B2778="Autographs Quads (Inscribed)")),IF($B2778="Autographs Duals",2,IF($B2778="Autographs Triples",3,4)),1)))</f>
        <v>3</v>
      </c>
      <c r="AB2778" s="62">
        <f t="shared" si="570"/>
        <v>3</v>
      </c>
      <c r="AC2778" s="62">
        <f t="shared" si="571"/>
        <v>0</v>
      </c>
    </row>
    <row r="2779" spans="1:29" ht="28.7" customHeight="1" x14ac:dyDescent="0.25">
      <c r="A2779" s="4" t="s">
        <v>21</v>
      </c>
      <c r="B2779" s="7" t="s">
        <v>91</v>
      </c>
      <c r="C2779" s="2" t="s">
        <v>438</v>
      </c>
      <c r="D2779" s="7" t="s">
        <v>244</v>
      </c>
      <c r="E2779" s="4" t="s">
        <v>1602</v>
      </c>
      <c r="F2779" s="2"/>
      <c r="G2779" s="2" t="s">
        <v>1399</v>
      </c>
      <c r="H2779" s="2" t="s">
        <v>1400</v>
      </c>
      <c r="I2779" s="4" t="s">
        <v>60</v>
      </c>
      <c r="J2779" s="112">
        <f>IF($H2779&lt;&gt;"Y",0,ROUND(MIN(Dashboard!$R$24,IF(IFERROR(VLOOKUP($B2779,Dashboard!$Q$28:$S$60,2,FALSE),0)&gt;0,IFERROR(VLOOKUP($B2779,Dashboard!$Q$28:$S$60,2,FALSE),0),$Z2779*IF($U2779&lt;&gt;"",ROUND((Dashboard!$R$4/$U2779)*VLOOKUP($I2779,Dashboard!$Q$9:$R$13,2,FALSE)*IF(ISNUMBER(SEARCH("Duals",$B2779)),2,IF(ISNUMBER(SEARCH("Triples",$B2779)),3,IF(ISNUMBER(SEARCH("Quads",$B2779)),4,1))),2),ROUND(VLOOKUP($I2779,Dashboard!$Q$15:$R$20,2,FALSE)*IF($E2779="Red",Dashboard!$R$6,IF($E2779="Gold",Dashboard!$R$7,Dashboard!$R$5))*IF(ISNUMBER(SEARCH("Duals",$B2779)),2,IF(ISNUMBER(SEARCH("Triples",$B2779)),3,IF(ISNUMBER(SEARCH("Quads",$B2779)),4,1))),2))*IF(IFERROR(VLOOKUP($B2779,Dashboard!$Q$28:$S$60,3,FALSE),0)&gt;0,VLOOKUP($B2779,Dashboard!$Q$28:$S$60,3,FALSE),1))),0))</f>
        <v>3</v>
      </c>
      <c r="K2779" s="2" t="str">
        <f>IF(Characters!E10="","",Characters!E10)</f>
        <v>C</v>
      </c>
      <c r="L2779" s="2">
        <f t="shared" si="572"/>
        <v>1</v>
      </c>
      <c r="M2779" s="2">
        <f t="shared" si="573"/>
        <v>0</v>
      </c>
      <c r="N2779" s="2">
        <f t="shared" si="574"/>
        <v>1</v>
      </c>
      <c r="O2779" s="2">
        <f t="shared" si="575"/>
        <v>0</v>
      </c>
      <c r="P2779" s="112">
        <f t="shared" si="576"/>
        <v>3</v>
      </c>
      <c r="Q2779" s="112">
        <f t="shared" si="577"/>
        <v>0</v>
      </c>
      <c r="R2779" s="53"/>
      <c r="S2779" s="53" t="str">
        <f t="shared" si="565"/>
        <v>Characters|Characters Gold Parallel|C-9|Gold</v>
      </c>
      <c r="T2779" s="57" t="str">
        <f>IF($S2779="","",IFERROR(VLOOKUP($S2779,'Pop Estimates (Non-#d)'!$N$2:$O$500,2,FALSE),""))</f>
        <v/>
      </c>
      <c r="U2779" s="57" t="str">
        <f t="shared" si="566"/>
        <v/>
      </c>
      <c r="V2779" s="53" t="str">
        <f t="shared" si="567"/>
        <v>Queen Maeve</v>
      </c>
      <c r="W2779" s="53" t="str">
        <f t="shared" si="568"/>
        <v>Queen Maeve</v>
      </c>
      <c r="X2779" s="53" t="str">
        <f t="shared" si="569"/>
        <v>Queen Maeve</v>
      </c>
      <c r="Y2779" s="57">
        <f>IF($X2779="","",IFERROR(VLOOKUP($X2779,'Char Popularity'!$A$2:$C$500,2,FALSE),""))</f>
        <v>4</v>
      </c>
      <c r="Z2779" s="56">
        <f>IF($X2779="",1,IFERROR(VLOOKUP($X2779,'Char Popularity'!$A$2:$C$500,3,FALSE),1))</f>
        <v>1.1000000000000001</v>
      </c>
      <c r="AA2779" s="62">
        <f>IF($H2779&lt;&gt;"Y",0,(IF($F2779&lt;&gt;"",ROUND(Dashboard!$R$4/$F2779,1),IF(AND($I2779="Base",$E2779="Base"),Dashboard!$R$5,IF(AND($I2779="Base",$E2779="Red"),Dashboard!$R$6,IF(AND($I2779="Base",$E2779="Gold"),Dashboard!$R$7,VLOOKUP($I2779,Dashboard!$Q$16:$R$21,2,FALSE)))))*VLOOKUP($I2779,Dashboard!$Q$9:$R$13,2,FALSE)*IF(AND($I2779="Auto",$F2779="",OR($B2779="Autographs Duals",$B2779="Autographs Triples",$B2779="Autographs Quads",$B2779="Autographs Quads (Inscribed)")),IF($B2779="Autographs Duals",2,IF($B2779="Autographs Triples",3,4)),1)))</f>
        <v>3</v>
      </c>
      <c r="AB2779" s="62">
        <f t="shared" si="570"/>
        <v>3</v>
      </c>
      <c r="AC2779" s="62">
        <f t="shared" si="571"/>
        <v>0</v>
      </c>
    </row>
    <row r="2780" spans="1:29" ht="28.7" customHeight="1" x14ac:dyDescent="0.25">
      <c r="A2780" s="4" t="s">
        <v>21</v>
      </c>
      <c r="B2780" s="7" t="s">
        <v>91</v>
      </c>
      <c r="C2780" s="2" t="s">
        <v>410</v>
      </c>
      <c r="D2780" s="7" t="s">
        <v>270</v>
      </c>
      <c r="E2780" s="4" t="s">
        <v>1602</v>
      </c>
      <c r="F2780" s="2"/>
      <c r="G2780" s="2" t="s">
        <v>1399</v>
      </c>
      <c r="H2780" s="2" t="s">
        <v>1400</v>
      </c>
      <c r="I2780" s="4" t="s">
        <v>60</v>
      </c>
      <c r="J2780" s="112">
        <f>IF($H2780&lt;&gt;"Y",0,ROUND(MIN(Dashboard!$R$24,IF(IFERROR(VLOOKUP($B2780,Dashboard!$Q$28:$S$60,2,FALSE),0)&gt;0,IFERROR(VLOOKUP($B2780,Dashboard!$Q$28:$S$60,2,FALSE),0),$Z2780*IF($U2780&lt;&gt;"",ROUND((Dashboard!$R$4/$U2780)*VLOOKUP($I2780,Dashboard!$Q$9:$R$13,2,FALSE)*IF(ISNUMBER(SEARCH("Duals",$B2780)),2,IF(ISNUMBER(SEARCH("Triples",$B2780)),3,IF(ISNUMBER(SEARCH("Quads",$B2780)),4,1))),2),ROUND(VLOOKUP($I2780,Dashboard!$Q$15:$R$20,2,FALSE)*IF($E2780="Red",Dashboard!$R$6,IF($E2780="Gold",Dashboard!$R$7,Dashboard!$R$5))*IF(ISNUMBER(SEARCH("Duals",$B2780)),2,IF(ISNUMBER(SEARCH("Triples",$B2780)),3,IF(ISNUMBER(SEARCH("Quads",$B2780)),4,1))),2))*IF(IFERROR(VLOOKUP($B2780,Dashboard!$Q$28:$S$60,3,FALSE),0)&gt;0,VLOOKUP($B2780,Dashboard!$Q$28:$S$60,3,FALSE),1))),0))</f>
        <v>3</v>
      </c>
      <c r="K2780" s="2" t="str">
        <f>IF(Characters!E11="","",Characters!E11)</f>
        <v>C</v>
      </c>
      <c r="L2780" s="2">
        <f t="shared" si="572"/>
        <v>1</v>
      </c>
      <c r="M2780" s="2">
        <f t="shared" si="573"/>
        <v>0</v>
      </c>
      <c r="N2780" s="2">
        <f t="shared" si="574"/>
        <v>1</v>
      </c>
      <c r="O2780" s="2">
        <f t="shared" si="575"/>
        <v>0</v>
      </c>
      <c r="P2780" s="112">
        <f t="shared" si="576"/>
        <v>3</v>
      </c>
      <c r="Q2780" s="112">
        <f t="shared" si="577"/>
        <v>0</v>
      </c>
      <c r="R2780" s="53"/>
      <c r="S2780" s="53" t="str">
        <f t="shared" si="565"/>
        <v>Characters|Characters Gold Parallel|C-10|Gold</v>
      </c>
      <c r="T2780" s="57" t="str">
        <f>IF($S2780="","",IFERROR(VLOOKUP($S2780,'Pop Estimates (Non-#d)'!$N$2:$O$500,2,FALSE),""))</f>
        <v/>
      </c>
      <c r="U2780" s="57" t="str">
        <f t="shared" si="566"/>
        <v/>
      </c>
      <c r="V2780" s="53" t="str">
        <f t="shared" si="567"/>
        <v>Kimiko</v>
      </c>
      <c r="W2780" s="53" t="str">
        <f t="shared" si="568"/>
        <v>Kimiko</v>
      </c>
      <c r="X2780" s="53" t="str">
        <f t="shared" si="569"/>
        <v>Kimiko</v>
      </c>
      <c r="Y2780" s="57">
        <f>IF($X2780="","",IFERROR(VLOOKUP($X2780,'Char Popularity'!$A$2:$C$500,2,FALSE),""))</f>
        <v>4</v>
      </c>
      <c r="Z2780" s="56">
        <f>IF($X2780="",1,IFERROR(VLOOKUP($X2780,'Char Popularity'!$A$2:$C$500,3,FALSE),1))</f>
        <v>1.1000000000000001</v>
      </c>
      <c r="AA2780" s="62">
        <f>IF($H2780&lt;&gt;"Y",0,(IF($F2780&lt;&gt;"",ROUND(Dashboard!$R$4/$F2780,1),IF(AND($I2780="Base",$E2780="Base"),Dashboard!$R$5,IF(AND($I2780="Base",$E2780="Red"),Dashboard!$R$6,IF(AND($I2780="Base",$E2780="Gold"),Dashboard!$R$7,VLOOKUP($I2780,Dashboard!$Q$16:$R$21,2,FALSE)))))*VLOOKUP($I2780,Dashboard!$Q$9:$R$13,2,FALSE)*IF(AND($I2780="Auto",$F2780="",OR($B2780="Autographs Duals",$B2780="Autographs Triples",$B2780="Autographs Quads",$B2780="Autographs Quads (Inscribed)")),IF($B2780="Autographs Duals",2,IF($B2780="Autographs Triples",3,4)),1)))</f>
        <v>3</v>
      </c>
      <c r="AB2780" s="62">
        <f t="shared" si="570"/>
        <v>3</v>
      </c>
      <c r="AC2780" s="62">
        <f t="shared" si="571"/>
        <v>0</v>
      </c>
    </row>
    <row r="2781" spans="1:29" ht="28.7" customHeight="1" x14ac:dyDescent="0.25">
      <c r="A2781" s="4" t="s">
        <v>21</v>
      </c>
      <c r="B2781" s="7" t="s">
        <v>91</v>
      </c>
      <c r="C2781" s="2" t="s">
        <v>411</v>
      </c>
      <c r="D2781" s="7" t="s">
        <v>238</v>
      </c>
      <c r="E2781" s="4" t="s">
        <v>1602</v>
      </c>
      <c r="F2781" s="2"/>
      <c r="G2781" s="2" t="s">
        <v>1399</v>
      </c>
      <c r="H2781" s="2" t="s">
        <v>1400</v>
      </c>
      <c r="I2781" s="4" t="s">
        <v>60</v>
      </c>
      <c r="J2781" s="112">
        <f>IF($H2781&lt;&gt;"Y",0,ROUND(MIN(Dashboard!$R$24,IF(IFERROR(VLOOKUP($B2781,Dashboard!$Q$28:$S$60,2,FALSE),0)&gt;0,IFERROR(VLOOKUP($B2781,Dashboard!$Q$28:$S$60,2,FALSE),0),$Z2781*IF($U2781&lt;&gt;"",ROUND((Dashboard!$R$4/$U2781)*VLOOKUP($I2781,Dashboard!$Q$9:$R$13,2,FALSE)*IF(ISNUMBER(SEARCH("Duals",$B2781)),2,IF(ISNUMBER(SEARCH("Triples",$B2781)),3,IF(ISNUMBER(SEARCH("Quads",$B2781)),4,1))),2),ROUND(VLOOKUP($I2781,Dashboard!$Q$15:$R$20,2,FALSE)*IF($E2781="Red",Dashboard!$R$6,IF($E2781="Gold",Dashboard!$R$7,Dashboard!$R$5))*IF(ISNUMBER(SEARCH("Duals",$B2781)),2,IF(ISNUMBER(SEARCH("Triples",$B2781)),3,IF(ISNUMBER(SEARCH("Quads",$B2781)),4,1))),2))*IF(IFERROR(VLOOKUP($B2781,Dashboard!$Q$28:$S$60,3,FALSE),0)&gt;0,VLOOKUP($B2781,Dashboard!$Q$28:$S$60,3,FALSE),1))),0))</f>
        <v>3</v>
      </c>
      <c r="K2781" s="2" t="str">
        <f>IF(Characters!E12="","",Characters!E12)</f>
        <v>C</v>
      </c>
      <c r="L2781" s="2">
        <f t="shared" si="572"/>
        <v>1</v>
      </c>
      <c r="M2781" s="2">
        <f t="shared" si="573"/>
        <v>0</v>
      </c>
      <c r="N2781" s="2">
        <f t="shared" si="574"/>
        <v>1</v>
      </c>
      <c r="O2781" s="2">
        <f t="shared" si="575"/>
        <v>0</v>
      </c>
      <c r="P2781" s="112">
        <f t="shared" si="576"/>
        <v>3</v>
      </c>
      <c r="Q2781" s="112">
        <f t="shared" si="577"/>
        <v>0</v>
      </c>
      <c r="R2781" s="53"/>
      <c r="S2781" s="53" t="str">
        <f t="shared" si="565"/>
        <v>Characters|Characters Gold Parallel|C-11|Gold</v>
      </c>
      <c r="T2781" s="57" t="str">
        <f>IF($S2781="","",IFERROR(VLOOKUP($S2781,'Pop Estimates (Non-#d)'!$N$2:$O$500,2,FALSE),""))</f>
        <v/>
      </c>
      <c r="U2781" s="57" t="str">
        <f t="shared" si="566"/>
        <v/>
      </c>
      <c r="V2781" s="53" t="str">
        <f t="shared" si="567"/>
        <v>Frenchie</v>
      </c>
      <c r="W2781" s="53" t="str">
        <f t="shared" si="568"/>
        <v>Frenchie</v>
      </c>
      <c r="X2781" s="53" t="str">
        <f t="shared" si="569"/>
        <v>Frenchie</v>
      </c>
      <c r="Y2781" s="57">
        <f>IF($X2781="","",IFERROR(VLOOKUP($X2781,'Char Popularity'!$A$2:$C$500,2,FALSE),""))</f>
        <v>4</v>
      </c>
      <c r="Z2781" s="56">
        <f>IF($X2781="",1,IFERROR(VLOOKUP($X2781,'Char Popularity'!$A$2:$C$500,3,FALSE),1))</f>
        <v>1.1000000000000001</v>
      </c>
      <c r="AA2781" s="62">
        <f>IF($H2781&lt;&gt;"Y",0,(IF($F2781&lt;&gt;"",ROUND(Dashboard!$R$4/$F2781,1),IF(AND($I2781="Base",$E2781="Base"),Dashboard!$R$5,IF(AND($I2781="Base",$E2781="Red"),Dashboard!$R$6,IF(AND($I2781="Base",$E2781="Gold"),Dashboard!$R$7,VLOOKUP($I2781,Dashboard!$Q$16:$R$21,2,FALSE)))))*VLOOKUP($I2781,Dashboard!$Q$9:$R$13,2,FALSE)*IF(AND($I2781="Auto",$F2781="",OR($B2781="Autographs Duals",$B2781="Autographs Triples",$B2781="Autographs Quads",$B2781="Autographs Quads (Inscribed)")),IF($B2781="Autographs Duals",2,IF($B2781="Autographs Triples",3,4)),1)))</f>
        <v>3</v>
      </c>
      <c r="AB2781" s="62">
        <f t="shared" si="570"/>
        <v>3</v>
      </c>
      <c r="AC2781" s="62">
        <f t="shared" si="571"/>
        <v>0</v>
      </c>
    </row>
    <row r="2782" spans="1:29" ht="28.7" customHeight="1" x14ac:dyDescent="0.25">
      <c r="A2782" s="4" t="s">
        <v>21</v>
      </c>
      <c r="B2782" s="7" t="s">
        <v>91</v>
      </c>
      <c r="C2782" s="2" t="s">
        <v>412</v>
      </c>
      <c r="D2782" s="7" t="s">
        <v>283</v>
      </c>
      <c r="E2782" s="4" t="s">
        <v>1602</v>
      </c>
      <c r="F2782" s="2"/>
      <c r="G2782" s="2" t="s">
        <v>1399</v>
      </c>
      <c r="H2782" s="2" t="s">
        <v>1400</v>
      </c>
      <c r="I2782" s="4" t="s">
        <v>60</v>
      </c>
      <c r="J2782" s="112">
        <f>IF($H2782&lt;&gt;"Y",0,ROUND(MIN(Dashboard!$R$24,IF(IFERROR(VLOOKUP($B2782,Dashboard!$Q$28:$S$60,2,FALSE),0)&gt;0,IFERROR(VLOOKUP($B2782,Dashboard!$Q$28:$S$60,2,FALSE),0),$Z2782*IF($U2782&lt;&gt;"",ROUND((Dashboard!$R$4/$U2782)*VLOOKUP($I2782,Dashboard!$Q$9:$R$13,2,FALSE)*IF(ISNUMBER(SEARCH("Duals",$B2782)),2,IF(ISNUMBER(SEARCH("Triples",$B2782)),3,IF(ISNUMBER(SEARCH("Quads",$B2782)),4,1))),2),ROUND(VLOOKUP($I2782,Dashboard!$Q$15:$R$20,2,FALSE)*IF($E2782="Red",Dashboard!$R$6,IF($E2782="Gold",Dashboard!$R$7,Dashboard!$R$5))*IF(ISNUMBER(SEARCH("Duals",$B2782)),2,IF(ISNUMBER(SEARCH("Triples",$B2782)),3,IF(ISNUMBER(SEARCH("Quads",$B2782)),4,1))),2))*IF(IFERROR(VLOOKUP($B2782,Dashboard!$Q$28:$S$60,3,FALSE),0)&gt;0,VLOOKUP($B2782,Dashboard!$Q$28:$S$60,3,FALSE),1))),0))</f>
        <v>3</v>
      </c>
      <c r="K2782" s="2" t="str">
        <f>IF(Characters!E13="","",Characters!E13)</f>
        <v>C</v>
      </c>
      <c r="L2782" s="2">
        <f t="shared" si="572"/>
        <v>1</v>
      </c>
      <c r="M2782" s="2">
        <f t="shared" si="573"/>
        <v>0</v>
      </c>
      <c r="N2782" s="2">
        <f t="shared" si="574"/>
        <v>1</v>
      </c>
      <c r="O2782" s="2">
        <f t="shared" si="575"/>
        <v>0</v>
      </c>
      <c r="P2782" s="112">
        <f t="shared" si="576"/>
        <v>3</v>
      </c>
      <c r="Q2782" s="112">
        <f t="shared" si="577"/>
        <v>0</v>
      </c>
      <c r="R2782" s="53"/>
      <c r="S2782" s="53" t="str">
        <f t="shared" si="565"/>
        <v>Characters|Characters Gold Parallel|C-12|Gold</v>
      </c>
      <c r="T2782" s="57" t="str">
        <f>IF($S2782="","",IFERROR(VLOOKUP($S2782,'Pop Estimates (Non-#d)'!$N$2:$O$500,2,FALSE),""))</f>
        <v/>
      </c>
      <c r="U2782" s="57" t="str">
        <f t="shared" si="566"/>
        <v/>
      </c>
      <c r="V2782" s="53" t="str">
        <f t="shared" si="567"/>
        <v>Black Noir</v>
      </c>
      <c r="W2782" s="53" t="str">
        <f t="shared" si="568"/>
        <v>Black Noir</v>
      </c>
      <c r="X2782" s="53" t="str">
        <f t="shared" si="569"/>
        <v>Black Noir</v>
      </c>
      <c r="Y2782" s="57">
        <f>IF($X2782="","",IFERROR(VLOOKUP($X2782,'Char Popularity'!$A$2:$C$500,2,FALSE),""))</f>
        <v>4</v>
      </c>
      <c r="Z2782" s="56">
        <f>IF($X2782="",1,IFERROR(VLOOKUP($X2782,'Char Popularity'!$A$2:$C$500,3,FALSE),1))</f>
        <v>1.1000000000000001</v>
      </c>
      <c r="AA2782" s="62">
        <f>IF($H2782&lt;&gt;"Y",0,(IF($F2782&lt;&gt;"",ROUND(Dashboard!$R$4/$F2782,1),IF(AND($I2782="Base",$E2782="Base"),Dashboard!$R$5,IF(AND($I2782="Base",$E2782="Red"),Dashboard!$R$6,IF(AND($I2782="Base",$E2782="Gold"),Dashboard!$R$7,VLOOKUP($I2782,Dashboard!$Q$16:$R$21,2,FALSE)))))*VLOOKUP($I2782,Dashboard!$Q$9:$R$13,2,FALSE)*IF(AND($I2782="Auto",$F2782="",OR($B2782="Autographs Duals",$B2782="Autographs Triples",$B2782="Autographs Quads",$B2782="Autographs Quads (Inscribed)")),IF($B2782="Autographs Duals",2,IF($B2782="Autographs Triples",3,4)),1)))</f>
        <v>3</v>
      </c>
      <c r="AB2782" s="62">
        <f t="shared" si="570"/>
        <v>3</v>
      </c>
      <c r="AC2782" s="62">
        <f t="shared" si="571"/>
        <v>0</v>
      </c>
    </row>
    <row r="2783" spans="1:29" ht="28.7" customHeight="1" x14ac:dyDescent="0.25">
      <c r="A2783" s="4" t="s">
        <v>21</v>
      </c>
      <c r="B2783" s="7" t="s">
        <v>91</v>
      </c>
      <c r="C2783" s="2" t="s">
        <v>413</v>
      </c>
      <c r="D2783" s="7" t="s">
        <v>216</v>
      </c>
      <c r="E2783" s="4" t="s">
        <v>1602</v>
      </c>
      <c r="F2783" s="2"/>
      <c r="G2783" s="2" t="s">
        <v>1399</v>
      </c>
      <c r="H2783" s="2" t="s">
        <v>1400</v>
      </c>
      <c r="I2783" s="4" t="s">
        <v>60</v>
      </c>
      <c r="J2783" s="112">
        <f>IF($H2783&lt;&gt;"Y",0,ROUND(MIN(Dashboard!$R$24,IF(IFERROR(VLOOKUP($B2783,Dashboard!$Q$28:$S$60,2,FALSE),0)&gt;0,IFERROR(VLOOKUP($B2783,Dashboard!$Q$28:$S$60,2,FALSE),0),$Z2783*IF($U2783&lt;&gt;"",ROUND((Dashboard!$R$4/$U2783)*VLOOKUP($I2783,Dashboard!$Q$9:$R$13,2,FALSE)*IF(ISNUMBER(SEARCH("Duals",$B2783)),2,IF(ISNUMBER(SEARCH("Triples",$B2783)),3,IF(ISNUMBER(SEARCH("Quads",$B2783)),4,1))),2),ROUND(VLOOKUP($I2783,Dashboard!$Q$15:$R$20,2,FALSE)*IF($E2783="Red",Dashboard!$R$6,IF($E2783="Gold",Dashboard!$R$7,Dashboard!$R$5))*IF(ISNUMBER(SEARCH("Duals",$B2783)),2,IF(ISNUMBER(SEARCH("Triples",$B2783)),3,IF(ISNUMBER(SEARCH("Quads",$B2783)),4,1))),2))*IF(IFERROR(VLOOKUP($B2783,Dashboard!$Q$28:$S$60,3,FALSE),0)&gt;0,VLOOKUP($B2783,Dashboard!$Q$28:$S$60,3,FALSE),1))),0))</f>
        <v>3</v>
      </c>
      <c r="K2783" s="2" t="str">
        <f>IF(Characters!E14="","",Characters!E14)</f>
        <v>C</v>
      </c>
      <c r="L2783" s="2">
        <f t="shared" si="572"/>
        <v>1</v>
      </c>
      <c r="M2783" s="2">
        <f t="shared" si="573"/>
        <v>0</v>
      </c>
      <c r="N2783" s="2">
        <f t="shared" si="574"/>
        <v>1</v>
      </c>
      <c r="O2783" s="2">
        <f t="shared" si="575"/>
        <v>0</v>
      </c>
      <c r="P2783" s="112">
        <f t="shared" si="576"/>
        <v>3</v>
      </c>
      <c r="Q2783" s="112">
        <f t="shared" si="577"/>
        <v>0</v>
      </c>
      <c r="R2783" s="53"/>
      <c r="S2783" s="53" t="str">
        <f t="shared" si="565"/>
        <v>Characters|Characters Gold Parallel|C-13|Gold</v>
      </c>
      <c r="T2783" s="57" t="str">
        <f>IF($S2783="","",IFERROR(VLOOKUP($S2783,'Pop Estimates (Non-#d)'!$N$2:$O$500,2,FALSE),""))</f>
        <v/>
      </c>
      <c r="U2783" s="57" t="str">
        <f t="shared" si="566"/>
        <v/>
      </c>
      <c r="V2783" s="53" t="str">
        <f t="shared" si="567"/>
        <v>Translucent</v>
      </c>
      <c r="W2783" s="53" t="str">
        <f t="shared" si="568"/>
        <v>Translucent</v>
      </c>
      <c r="X2783" s="53" t="str">
        <f t="shared" si="569"/>
        <v>Translucent</v>
      </c>
      <c r="Y2783" s="57">
        <f>IF($X2783="","",IFERROR(VLOOKUP($X2783,'Char Popularity'!$A$2:$C$500,2,FALSE),""))</f>
        <v>2</v>
      </c>
      <c r="Z2783" s="56">
        <f>IF($X2783="",1,IFERROR(VLOOKUP($X2783,'Char Popularity'!$A$2:$C$500,3,FALSE),1))</f>
        <v>0.9</v>
      </c>
      <c r="AA2783" s="62">
        <f>IF($H2783&lt;&gt;"Y",0,(IF($F2783&lt;&gt;"",ROUND(Dashboard!$R$4/$F2783,1),IF(AND($I2783="Base",$E2783="Base"),Dashboard!$R$5,IF(AND($I2783="Base",$E2783="Red"),Dashboard!$R$6,IF(AND($I2783="Base",$E2783="Gold"),Dashboard!$R$7,VLOOKUP($I2783,Dashboard!$Q$16:$R$21,2,FALSE)))))*VLOOKUP($I2783,Dashboard!$Q$9:$R$13,2,FALSE)*IF(AND($I2783="Auto",$F2783="",OR($B2783="Autographs Duals",$B2783="Autographs Triples",$B2783="Autographs Quads",$B2783="Autographs Quads (Inscribed)")),IF($B2783="Autographs Duals",2,IF($B2783="Autographs Triples",3,4)),1)))</f>
        <v>3</v>
      </c>
      <c r="AB2783" s="62">
        <f t="shared" si="570"/>
        <v>3</v>
      </c>
      <c r="AC2783" s="62">
        <f t="shared" si="571"/>
        <v>0</v>
      </c>
    </row>
    <row r="2784" spans="1:29" ht="28.7" customHeight="1" x14ac:dyDescent="0.25">
      <c r="A2784" s="4" t="s">
        <v>21</v>
      </c>
      <c r="B2784" s="7" t="s">
        <v>91</v>
      </c>
      <c r="C2784" s="2" t="s">
        <v>414</v>
      </c>
      <c r="D2784" s="7" t="s">
        <v>254</v>
      </c>
      <c r="E2784" s="4" t="s">
        <v>1602</v>
      </c>
      <c r="F2784" s="2"/>
      <c r="G2784" s="2" t="s">
        <v>1399</v>
      </c>
      <c r="H2784" s="2" t="s">
        <v>1400</v>
      </c>
      <c r="I2784" s="4" t="s">
        <v>60</v>
      </c>
      <c r="J2784" s="112">
        <f>IF($H2784&lt;&gt;"Y",0,ROUND(MIN(Dashboard!$R$24,IF(IFERROR(VLOOKUP($B2784,Dashboard!$Q$28:$S$60,2,FALSE),0)&gt;0,IFERROR(VLOOKUP($B2784,Dashboard!$Q$28:$S$60,2,FALSE),0),$Z2784*IF($U2784&lt;&gt;"",ROUND((Dashboard!$R$4/$U2784)*VLOOKUP($I2784,Dashboard!$Q$9:$R$13,2,FALSE)*IF(ISNUMBER(SEARCH("Duals",$B2784)),2,IF(ISNUMBER(SEARCH("Triples",$B2784)),3,IF(ISNUMBER(SEARCH("Quads",$B2784)),4,1))),2),ROUND(VLOOKUP($I2784,Dashboard!$Q$15:$R$20,2,FALSE)*IF($E2784="Red",Dashboard!$R$6,IF($E2784="Gold",Dashboard!$R$7,Dashboard!$R$5))*IF(ISNUMBER(SEARCH("Duals",$B2784)),2,IF(ISNUMBER(SEARCH("Triples",$B2784)),3,IF(ISNUMBER(SEARCH("Quads",$B2784)),4,1))),2))*IF(IFERROR(VLOOKUP($B2784,Dashboard!$Q$28:$S$60,3,FALSE),0)&gt;0,VLOOKUP($B2784,Dashboard!$Q$28:$S$60,3,FALSE),1))),0))</f>
        <v>3</v>
      </c>
      <c r="K2784" s="2" t="str">
        <f>IF(Characters!E15="","",Characters!E15)</f>
        <v>C</v>
      </c>
      <c r="L2784" s="2">
        <f t="shared" si="572"/>
        <v>1</v>
      </c>
      <c r="M2784" s="2">
        <f t="shared" si="573"/>
        <v>0</v>
      </c>
      <c r="N2784" s="2">
        <f t="shared" si="574"/>
        <v>1</v>
      </c>
      <c r="O2784" s="2">
        <f t="shared" si="575"/>
        <v>0</v>
      </c>
      <c r="P2784" s="112">
        <f t="shared" si="576"/>
        <v>3</v>
      </c>
      <c r="Q2784" s="112">
        <f t="shared" si="577"/>
        <v>0</v>
      </c>
      <c r="R2784" s="53"/>
      <c r="S2784" s="53" t="str">
        <f t="shared" si="565"/>
        <v>Characters|Characters Gold Parallel|C-14|Gold</v>
      </c>
      <c r="T2784" s="57" t="str">
        <f>IF($S2784="","",IFERROR(VLOOKUP($S2784,'Pop Estimates (Non-#d)'!$N$2:$O$500,2,FALSE),""))</f>
        <v/>
      </c>
      <c r="U2784" s="57" t="str">
        <f t="shared" si="566"/>
        <v/>
      </c>
      <c r="V2784" s="53" t="str">
        <f t="shared" si="567"/>
        <v>Stan Edgar</v>
      </c>
      <c r="W2784" s="53" t="str">
        <f t="shared" si="568"/>
        <v>Stan Edgar</v>
      </c>
      <c r="X2784" s="53" t="str">
        <f t="shared" si="569"/>
        <v>Stan Edgar</v>
      </c>
      <c r="Y2784" s="57">
        <f>IF($X2784="","",IFERROR(VLOOKUP($X2784,'Char Popularity'!$A$2:$C$500,2,FALSE),""))</f>
        <v>4</v>
      </c>
      <c r="Z2784" s="56">
        <f>IF($X2784="",1,IFERROR(VLOOKUP($X2784,'Char Popularity'!$A$2:$C$500,3,FALSE),1))</f>
        <v>1.1000000000000001</v>
      </c>
      <c r="AA2784" s="62">
        <f>IF($H2784&lt;&gt;"Y",0,(IF($F2784&lt;&gt;"",ROUND(Dashboard!$R$4/$F2784,1),IF(AND($I2784="Base",$E2784="Base"),Dashboard!$R$5,IF(AND($I2784="Base",$E2784="Red"),Dashboard!$R$6,IF(AND($I2784="Base",$E2784="Gold"),Dashboard!$R$7,VLOOKUP($I2784,Dashboard!$Q$16:$R$21,2,FALSE)))))*VLOOKUP($I2784,Dashboard!$Q$9:$R$13,2,FALSE)*IF(AND($I2784="Auto",$F2784="",OR($B2784="Autographs Duals",$B2784="Autographs Triples",$B2784="Autographs Quads",$B2784="Autographs Quads (Inscribed)")),IF($B2784="Autographs Duals",2,IF($B2784="Autographs Triples",3,4)),1)))</f>
        <v>3</v>
      </c>
      <c r="AB2784" s="62">
        <f t="shared" si="570"/>
        <v>3</v>
      </c>
      <c r="AC2784" s="62">
        <f t="shared" si="571"/>
        <v>0</v>
      </c>
    </row>
    <row r="2785" spans="1:29" ht="28.7" customHeight="1" x14ac:dyDescent="0.25">
      <c r="A2785" s="4" t="s">
        <v>21</v>
      </c>
      <c r="B2785" s="7" t="s">
        <v>91</v>
      </c>
      <c r="C2785" s="2" t="s">
        <v>415</v>
      </c>
      <c r="D2785" s="7" t="s">
        <v>224</v>
      </c>
      <c r="E2785" s="4" t="s">
        <v>1602</v>
      </c>
      <c r="F2785" s="2"/>
      <c r="G2785" s="2" t="s">
        <v>1399</v>
      </c>
      <c r="H2785" s="2" t="s">
        <v>1400</v>
      </c>
      <c r="I2785" s="4" t="s">
        <v>60</v>
      </c>
      <c r="J2785" s="112">
        <f>IF($H2785&lt;&gt;"Y",0,ROUND(MIN(Dashboard!$R$24,IF(IFERROR(VLOOKUP($B2785,Dashboard!$Q$28:$S$60,2,FALSE),0)&gt;0,IFERROR(VLOOKUP($B2785,Dashboard!$Q$28:$S$60,2,FALSE),0),$Z2785*IF($U2785&lt;&gt;"",ROUND((Dashboard!$R$4/$U2785)*VLOOKUP($I2785,Dashboard!$Q$9:$R$13,2,FALSE)*IF(ISNUMBER(SEARCH("Duals",$B2785)),2,IF(ISNUMBER(SEARCH("Triples",$B2785)),3,IF(ISNUMBER(SEARCH("Quads",$B2785)),4,1))),2),ROUND(VLOOKUP($I2785,Dashboard!$Q$15:$R$20,2,FALSE)*IF($E2785="Red",Dashboard!$R$6,IF($E2785="Gold",Dashboard!$R$7,Dashboard!$R$5))*IF(ISNUMBER(SEARCH("Duals",$B2785)),2,IF(ISNUMBER(SEARCH("Triples",$B2785)),3,IF(ISNUMBER(SEARCH("Quads",$B2785)),4,1))),2))*IF(IFERROR(VLOOKUP($B2785,Dashboard!$Q$28:$S$60,3,FALSE),0)&gt;0,VLOOKUP($B2785,Dashboard!$Q$28:$S$60,3,FALSE),1))),0))</f>
        <v>3</v>
      </c>
      <c r="K2785" s="2" t="str">
        <f>IF(Characters!E16="","",Characters!E16)</f>
        <v>C</v>
      </c>
      <c r="L2785" s="2">
        <f t="shared" si="572"/>
        <v>1</v>
      </c>
      <c r="M2785" s="2">
        <f t="shared" si="573"/>
        <v>0</v>
      </c>
      <c r="N2785" s="2">
        <f t="shared" si="574"/>
        <v>1</v>
      </c>
      <c r="O2785" s="2">
        <f t="shared" si="575"/>
        <v>0</v>
      </c>
      <c r="P2785" s="112">
        <f t="shared" si="576"/>
        <v>3</v>
      </c>
      <c r="Q2785" s="112">
        <f t="shared" si="577"/>
        <v>0</v>
      </c>
      <c r="R2785" s="53"/>
      <c r="S2785" s="53" t="str">
        <f t="shared" si="565"/>
        <v>Characters|Characters Gold Parallel|C-15|Gold</v>
      </c>
      <c r="T2785" s="57" t="str">
        <f>IF($S2785="","",IFERROR(VLOOKUP($S2785,'Pop Estimates (Non-#d)'!$N$2:$O$500,2,FALSE),""))</f>
        <v/>
      </c>
      <c r="U2785" s="57" t="str">
        <f t="shared" si="566"/>
        <v/>
      </c>
      <c r="V2785" s="53" t="str">
        <f t="shared" si="567"/>
        <v>Popclaw</v>
      </c>
      <c r="W2785" s="53" t="str">
        <f t="shared" si="568"/>
        <v>Popclaw</v>
      </c>
      <c r="X2785" s="53" t="str">
        <f t="shared" si="569"/>
        <v>Popclaw</v>
      </c>
      <c r="Y2785" s="57">
        <f>IF($X2785="","",IFERROR(VLOOKUP($X2785,'Char Popularity'!$A$2:$C$500,2,FALSE),""))</f>
        <v>2</v>
      </c>
      <c r="Z2785" s="56">
        <f>IF($X2785="",1,IFERROR(VLOOKUP($X2785,'Char Popularity'!$A$2:$C$500,3,FALSE),1))</f>
        <v>0.9</v>
      </c>
      <c r="AA2785" s="62">
        <f>IF($H2785&lt;&gt;"Y",0,(IF($F2785&lt;&gt;"",ROUND(Dashboard!$R$4/$F2785,1),IF(AND($I2785="Base",$E2785="Base"),Dashboard!$R$5,IF(AND($I2785="Base",$E2785="Red"),Dashboard!$R$6,IF(AND($I2785="Base",$E2785="Gold"),Dashboard!$R$7,VLOOKUP($I2785,Dashboard!$Q$16:$R$21,2,FALSE)))))*VLOOKUP($I2785,Dashboard!$Q$9:$R$13,2,FALSE)*IF(AND($I2785="Auto",$F2785="",OR($B2785="Autographs Duals",$B2785="Autographs Triples",$B2785="Autographs Quads",$B2785="Autographs Quads (Inscribed)")),IF($B2785="Autographs Duals",2,IF($B2785="Autographs Triples",3,4)),1)))</f>
        <v>3</v>
      </c>
      <c r="AB2785" s="62">
        <f t="shared" si="570"/>
        <v>3</v>
      </c>
      <c r="AC2785" s="62">
        <f t="shared" si="571"/>
        <v>0</v>
      </c>
    </row>
    <row r="2786" spans="1:29" ht="28.7" customHeight="1" x14ac:dyDescent="0.25">
      <c r="A2786" s="4" t="s">
        <v>21</v>
      </c>
      <c r="B2786" s="7" t="s">
        <v>91</v>
      </c>
      <c r="C2786" s="2" t="s">
        <v>1217</v>
      </c>
      <c r="D2786" s="7" t="s">
        <v>1218</v>
      </c>
      <c r="E2786" s="4" t="s">
        <v>1602</v>
      </c>
      <c r="F2786" s="2"/>
      <c r="G2786" s="2" t="s">
        <v>1399</v>
      </c>
      <c r="H2786" s="2" t="s">
        <v>1400</v>
      </c>
      <c r="I2786" s="4" t="s">
        <v>60</v>
      </c>
      <c r="J2786" s="112">
        <f>IF($H2786&lt;&gt;"Y",0,ROUND(MIN(Dashboard!$R$24,IF(IFERROR(VLOOKUP($B2786,Dashboard!$Q$28:$S$60,2,FALSE),0)&gt;0,IFERROR(VLOOKUP($B2786,Dashboard!$Q$28:$S$60,2,FALSE),0),$Z2786*IF($U2786&lt;&gt;"",ROUND((Dashboard!$R$4/$U2786)*VLOOKUP($I2786,Dashboard!$Q$9:$R$13,2,FALSE)*IF(ISNUMBER(SEARCH("Duals",$B2786)),2,IF(ISNUMBER(SEARCH("Triples",$B2786)),3,IF(ISNUMBER(SEARCH("Quads",$B2786)),4,1))),2),ROUND(VLOOKUP($I2786,Dashboard!$Q$15:$R$20,2,FALSE)*IF($E2786="Red",Dashboard!$R$6,IF($E2786="Gold",Dashboard!$R$7,Dashboard!$R$5))*IF(ISNUMBER(SEARCH("Duals",$B2786)),2,IF(ISNUMBER(SEARCH("Triples",$B2786)),3,IF(ISNUMBER(SEARCH("Quads",$B2786)),4,1))),2))*IF(IFERROR(VLOOKUP($B2786,Dashboard!$Q$28:$S$60,3,FALSE),0)&gt;0,VLOOKUP($B2786,Dashboard!$Q$28:$S$60,3,FALSE),1))),0))</f>
        <v>3</v>
      </c>
      <c r="K2786" s="2" t="str">
        <f>IF(Characters!E17="","",Characters!E17)</f>
        <v>C</v>
      </c>
      <c r="L2786" s="2">
        <f t="shared" si="572"/>
        <v>1</v>
      </c>
      <c r="M2786" s="2">
        <f t="shared" si="573"/>
        <v>0</v>
      </c>
      <c r="N2786" s="2">
        <f t="shared" si="574"/>
        <v>1</v>
      </c>
      <c r="O2786" s="2">
        <f t="shared" si="575"/>
        <v>0</v>
      </c>
      <c r="P2786" s="112">
        <f t="shared" si="576"/>
        <v>3</v>
      </c>
      <c r="Q2786" s="112">
        <f t="shared" si="577"/>
        <v>0</v>
      </c>
      <c r="R2786" s="53"/>
      <c r="S2786" s="53" t="str">
        <f t="shared" si="565"/>
        <v>Characters|Characters Gold Parallel|C-16|Gold</v>
      </c>
      <c r="T2786" s="57" t="str">
        <f>IF($S2786="","",IFERROR(VLOOKUP($S2786,'Pop Estimates (Non-#d)'!$N$2:$O$500,2,FALSE),""))</f>
        <v/>
      </c>
      <c r="U2786" s="57" t="str">
        <f t="shared" si="566"/>
        <v/>
      </c>
      <c r="V2786" s="53" t="str">
        <f t="shared" si="567"/>
        <v>Eziekiel</v>
      </c>
      <c r="W2786" s="53" t="str">
        <f t="shared" si="568"/>
        <v>Eziekiel</v>
      </c>
      <c r="X2786" s="53" t="str">
        <f t="shared" si="569"/>
        <v>Eziekiel</v>
      </c>
      <c r="Y2786" s="57">
        <f>IF($X2786="","",IFERROR(VLOOKUP($X2786,'Char Popularity'!$A$2:$C$500,2,FALSE),""))</f>
        <v>2</v>
      </c>
      <c r="Z2786" s="56">
        <f>IF($X2786="",1,IFERROR(VLOOKUP($X2786,'Char Popularity'!$A$2:$C$500,3,FALSE),1))</f>
        <v>0.9</v>
      </c>
      <c r="AA2786" s="62">
        <f>IF($H2786&lt;&gt;"Y",0,(IF($F2786&lt;&gt;"",ROUND(Dashboard!$R$4/$F2786,1),IF(AND($I2786="Base",$E2786="Base"),Dashboard!$R$5,IF(AND($I2786="Base",$E2786="Red"),Dashboard!$R$6,IF(AND($I2786="Base",$E2786="Gold"),Dashboard!$R$7,VLOOKUP($I2786,Dashboard!$Q$16:$R$21,2,FALSE)))))*VLOOKUP($I2786,Dashboard!$Q$9:$R$13,2,FALSE)*IF(AND($I2786="Auto",$F2786="",OR($B2786="Autographs Duals",$B2786="Autographs Triples",$B2786="Autographs Quads",$B2786="Autographs Quads (Inscribed)")),IF($B2786="Autographs Duals",2,IF($B2786="Autographs Triples",3,4)),1)))</f>
        <v>3</v>
      </c>
      <c r="AB2786" s="62">
        <f t="shared" si="570"/>
        <v>3</v>
      </c>
      <c r="AC2786" s="62">
        <f t="shared" si="571"/>
        <v>0</v>
      </c>
    </row>
    <row r="2787" spans="1:29" ht="28.7" customHeight="1" x14ac:dyDescent="0.25">
      <c r="A2787" s="4" t="s">
        <v>21</v>
      </c>
      <c r="B2787" s="7" t="s">
        <v>91</v>
      </c>
      <c r="C2787" s="2" t="s">
        <v>416</v>
      </c>
      <c r="D2787" s="7" t="s">
        <v>234</v>
      </c>
      <c r="E2787" s="4" t="s">
        <v>1602</v>
      </c>
      <c r="F2787" s="2"/>
      <c r="G2787" s="2" t="s">
        <v>1399</v>
      </c>
      <c r="H2787" s="2" t="s">
        <v>1400</v>
      </c>
      <c r="I2787" s="4" t="s">
        <v>60</v>
      </c>
      <c r="J2787" s="112">
        <f>IF($H2787&lt;&gt;"Y",0,ROUND(MIN(Dashboard!$R$24,IF(IFERROR(VLOOKUP($B2787,Dashboard!$Q$28:$S$60,2,FALSE),0)&gt;0,IFERROR(VLOOKUP($B2787,Dashboard!$Q$28:$S$60,2,FALSE),0),$Z2787*IF($U2787&lt;&gt;"",ROUND((Dashboard!$R$4/$U2787)*VLOOKUP($I2787,Dashboard!$Q$9:$R$13,2,FALSE)*IF(ISNUMBER(SEARCH("Duals",$B2787)),2,IF(ISNUMBER(SEARCH("Triples",$B2787)),3,IF(ISNUMBER(SEARCH("Quads",$B2787)),4,1))),2),ROUND(VLOOKUP($I2787,Dashboard!$Q$15:$R$20,2,FALSE)*IF($E2787="Red",Dashboard!$R$6,IF($E2787="Gold",Dashboard!$R$7,Dashboard!$R$5))*IF(ISNUMBER(SEARCH("Duals",$B2787)),2,IF(ISNUMBER(SEARCH("Triples",$B2787)),3,IF(ISNUMBER(SEARCH("Quads",$B2787)),4,1))),2))*IF(IFERROR(VLOOKUP($B2787,Dashboard!$Q$28:$S$60,3,FALSE),0)&gt;0,VLOOKUP($B2787,Dashboard!$Q$28:$S$60,3,FALSE),1))),0))</f>
        <v>3</v>
      </c>
      <c r="K2787" s="2" t="str">
        <f>IF(Characters!E18="","",Characters!E18)</f>
        <v>C</v>
      </c>
      <c r="L2787" s="2">
        <f t="shared" si="572"/>
        <v>1</v>
      </c>
      <c r="M2787" s="2">
        <f t="shared" si="573"/>
        <v>0</v>
      </c>
      <c r="N2787" s="2">
        <f t="shared" si="574"/>
        <v>1</v>
      </c>
      <c r="O2787" s="2">
        <f t="shared" si="575"/>
        <v>0</v>
      </c>
      <c r="P2787" s="112">
        <f t="shared" si="576"/>
        <v>3</v>
      </c>
      <c r="Q2787" s="112">
        <f t="shared" si="577"/>
        <v>0</v>
      </c>
      <c r="R2787" s="53"/>
      <c r="S2787" s="53" t="str">
        <f t="shared" si="565"/>
        <v>Characters|Characters Gold Parallel|C-17|Gold</v>
      </c>
      <c r="T2787" s="57" t="str">
        <f>IF($S2787="","",IFERROR(VLOOKUP($S2787,'Pop Estimates (Non-#d)'!$N$2:$O$500,2,FALSE),""))</f>
        <v/>
      </c>
      <c r="U2787" s="57" t="str">
        <f t="shared" si="566"/>
        <v/>
      </c>
      <c r="V2787" s="53" t="str">
        <f t="shared" si="567"/>
        <v>Ashley Barrett</v>
      </c>
      <c r="W2787" s="53" t="str">
        <f t="shared" si="568"/>
        <v>Ashley Barrett</v>
      </c>
      <c r="X2787" s="53" t="str">
        <f t="shared" si="569"/>
        <v>Ashley Barrett</v>
      </c>
      <c r="Y2787" s="57">
        <f>IF($X2787="","",IFERROR(VLOOKUP($X2787,'Char Popularity'!$A$2:$C$500,2,FALSE),""))</f>
        <v>3</v>
      </c>
      <c r="Z2787" s="56">
        <f>IF($X2787="",1,IFERROR(VLOOKUP($X2787,'Char Popularity'!$A$2:$C$500,3,FALSE),1))</f>
        <v>1</v>
      </c>
      <c r="AA2787" s="62">
        <f>IF($H2787&lt;&gt;"Y",0,(IF($F2787&lt;&gt;"",ROUND(Dashboard!$R$4/$F2787,1),IF(AND($I2787="Base",$E2787="Base"),Dashboard!$R$5,IF(AND($I2787="Base",$E2787="Red"),Dashboard!$R$6,IF(AND($I2787="Base",$E2787="Gold"),Dashboard!$R$7,VLOOKUP($I2787,Dashboard!$Q$16:$R$21,2,FALSE)))))*VLOOKUP($I2787,Dashboard!$Q$9:$R$13,2,FALSE)*IF(AND($I2787="Auto",$F2787="",OR($B2787="Autographs Duals",$B2787="Autographs Triples",$B2787="Autographs Quads",$B2787="Autographs Quads (Inscribed)")),IF($B2787="Autographs Duals",2,IF($B2787="Autographs Triples",3,4)),1)))</f>
        <v>3</v>
      </c>
      <c r="AB2787" s="62">
        <f t="shared" si="570"/>
        <v>3</v>
      </c>
      <c r="AC2787" s="62">
        <f t="shared" si="571"/>
        <v>0</v>
      </c>
    </row>
    <row r="2788" spans="1:29" ht="28.7" customHeight="1" x14ac:dyDescent="0.25">
      <c r="A2788" s="4" t="s">
        <v>21</v>
      </c>
      <c r="B2788" s="7" t="s">
        <v>91</v>
      </c>
      <c r="C2788" s="2" t="s">
        <v>417</v>
      </c>
      <c r="D2788" s="7" t="s">
        <v>308</v>
      </c>
      <c r="E2788" s="4" t="s">
        <v>1602</v>
      </c>
      <c r="F2788" s="2"/>
      <c r="G2788" s="2" t="s">
        <v>1399</v>
      </c>
      <c r="H2788" s="2" t="s">
        <v>1400</v>
      </c>
      <c r="I2788" s="4" t="s">
        <v>60</v>
      </c>
      <c r="J2788" s="112">
        <f>IF($H2788&lt;&gt;"Y",0,ROUND(MIN(Dashboard!$R$24,IF(IFERROR(VLOOKUP($B2788,Dashboard!$Q$28:$S$60,2,FALSE),0)&gt;0,IFERROR(VLOOKUP($B2788,Dashboard!$Q$28:$S$60,2,FALSE),0),$Z2788*IF($U2788&lt;&gt;"",ROUND((Dashboard!$R$4/$U2788)*VLOOKUP($I2788,Dashboard!$Q$9:$R$13,2,FALSE)*IF(ISNUMBER(SEARCH("Duals",$B2788)),2,IF(ISNUMBER(SEARCH("Triples",$B2788)),3,IF(ISNUMBER(SEARCH("Quads",$B2788)),4,1))),2),ROUND(VLOOKUP($I2788,Dashboard!$Q$15:$R$20,2,FALSE)*IF($E2788="Red",Dashboard!$R$6,IF($E2788="Gold",Dashboard!$R$7,Dashboard!$R$5))*IF(ISNUMBER(SEARCH("Duals",$B2788)),2,IF(ISNUMBER(SEARCH("Triples",$B2788)),3,IF(ISNUMBER(SEARCH("Quads",$B2788)),4,1))),2))*IF(IFERROR(VLOOKUP($B2788,Dashboard!$Q$28:$S$60,3,FALSE),0)&gt;0,VLOOKUP($B2788,Dashboard!$Q$28:$S$60,3,FALSE),1))),0))</f>
        <v>3</v>
      </c>
      <c r="K2788" s="2" t="str">
        <f>IF(Characters!E19="","",Characters!E19)</f>
        <v>C</v>
      </c>
      <c r="L2788" s="2">
        <f t="shared" si="572"/>
        <v>1</v>
      </c>
      <c r="M2788" s="2">
        <f t="shared" si="573"/>
        <v>0</v>
      </c>
      <c r="N2788" s="2">
        <f t="shared" si="574"/>
        <v>1</v>
      </c>
      <c r="O2788" s="2">
        <f t="shared" si="575"/>
        <v>0</v>
      </c>
      <c r="P2788" s="112">
        <f t="shared" si="576"/>
        <v>3</v>
      </c>
      <c r="Q2788" s="112">
        <f t="shared" si="577"/>
        <v>0</v>
      </c>
      <c r="R2788" s="53"/>
      <c r="S2788" s="53" t="str">
        <f t="shared" si="565"/>
        <v>Characters|Characters Gold Parallel|C-18|Gold</v>
      </c>
      <c r="T2788" s="57" t="str">
        <f>IF($S2788="","",IFERROR(VLOOKUP($S2788,'Pop Estimates (Non-#d)'!$N$2:$O$500,2,FALSE),""))</f>
        <v/>
      </c>
      <c r="U2788" s="57" t="str">
        <f t="shared" si="566"/>
        <v/>
      </c>
      <c r="V2788" s="53" t="str">
        <f t="shared" si="567"/>
        <v>Becca Butcher</v>
      </c>
      <c r="W2788" s="53" t="str">
        <f t="shared" si="568"/>
        <v>Becca Butcher</v>
      </c>
      <c r="X2788" s="53" t="str">
        <f t="shared" si="569"/>
        <v>Becca Butcher</v>
      </c>
      <c r="Y2788" s="57">
        <f>IF($X2788="","",IFERROR(VLOOKUP($X2788,'Char Popularity'!$A$2:$C$500,2,FALSE),""))</f>
        <v>3</v>
      </c>
      <c r="Z2788" s="56">
        <f>IF($X2788="",1,IFERROR(VLOOKUP($X2788,'Char Popularity'!$A$2:$C$500,3,FALSE),1))</f>
        <v>1</v>
      </c>
      <c r="AA2788" s="62">
        <f>IF($H2788&lt;&gt;"Y",0,(IF($F2788&lt;&gt;"",ROUND(Dashboard!$R$4/$F2788,1),IF(AND($I2788="Base",$E2788="Base"),Dashboard!$R$5,IF(AND($I2788="Base",$E2788="Red"),Dashboard!$R$6,IF(AND($I2788="Base",$E2788="Gold"),Dashboard!$R$7,VLOOKUP($I2788,Dashboard!$Q$16:$R$21,2,FALSE)))))*VLOOKUP($I2788,Dashboard!$Q$9:$R$13,2,FALSE)*IF(AND($I2788="Auto",$F2788="",OR($B2788="Autographs Duals",$B2788="Autographs Triples",$B2788="Autographs Quads",$B2788="Autographs Quads (Inscribed)")),IF($B2788="Autographs Duals",2,IF($B2788="Autographs Triples",3,4)),1)))</f>
        <v>3</v>
      </c>
      <c r="AB2788" s="62">
        <f t="shared" si="570"/>
        <v>3</v>
      </c>
      <c r="AC2788" s="62">
        <f t="shared" si="571"/>
        <v>0</v>
      </c>
    </row>
    <row r="2789" spans="1:29" ht="28.7" customHeight="1" x14ac:dyDescent="0.25">
      <c r="A2789" s="4" t="s">
        <v>21</v>
      </c>
      <c r="B2789" s="7" t="s">
        <v>91</v>
      </c>
      <c r="C2789" s="2" t="s">
        <v>418</v>
      </c>
      <c r="D2789" s="7" t="s">
        <v>301</v>
      </c>
      <c r="E2789" s="4" t="s">
        <v>1602</v>
      </c>
      <c r="F2789" s="2"/>
      <c r="G2789" s="2" t="s">
        <v>1399</v>
      </c>
      <c r="H2789" s="2" t="s">
        <v>1400</v>
      </c>
      <c r="I2789" s="4" t="s">
        <v>60</v>
      </c>
      <c r="J2789" s="112">
        <f>IF($H2789&lt;&gt;"Y",0,ROUND(MIN(Dashboard!$R$24,IF(IFERROR(VLOOKUP($B2789,Dashboard!$Q$28:$S$60,2,FALSE),0)&gt;0,IFERROR(VLOOKUP($B2789,Dashboard!$Q$28:$S$60,2,FALSE),0),$Z2789*IF($U2789&lt;&gt;"",ROUND((Dashboard!$R$4/$U2789)*VLOOKUP($I2789,Dashboard!$Q$9:$R$13,2,FALSE)*IF(ISNUMBER(SEARCH("Duals",$B2789)),2,IF(ISNUMBER(SEARCH("Triples",$B2789)),3,IF(ISNUMBER(SEARCH("Quads",$B2789)),4,1))),2),ROUND(VLOOKUP($I2789,Dashboard!$Q$15:$R$20,2,FALSE)*IF($E2789="Red",Dashboard!$R$6,IF($E2789="Gold",Dashboard!$R$7,Dashboard!$R$5))*IF(ISNUMBER(SEARCH("Duals",$B2789)),2,IF(ISNUMBER(SEARCH("Triples",$B2789)),3,IF(ISNUMBER(SEARCH("Quads",$B2789)),4,1))),2))*IF(IFERROR(VLOOKUP($B2789,Dashboard!$Q$28:$S$60,3,FALSE),0)&gt;0,VLOOKUP($B2789,Dashboard!$Q$28:$S$60,3,FALSE),1))),0))</f>
        <v>3</v>
      </c>
      <c r="K2789" s="2" t="str">
        <f>IF(Characters!E20="","",Characters!E20)</f>
        <v>C</v>
      </c>
      <c r="L2789" s="2">
        <f t="shared" si="572"/>
        <v>1</v>
      </c>
      <c r="M2789" s="2">
        <f t="shared" si="573"/>
        <v>0</v>
      </c>
      <c r="N2789" s="2">
        <f t="shared" si="574"/>
        <v>1</v>
      </c>
      <c r="O2789" s="2">
        <f t="shared" si="575"/>
        <v>0</v>
      </c>
      <c r="P2789" s="112">
        <f t="shared" si="576"/>
        <v>3</v>
      </c>
      <c r="Q2789" s="112">
        <f t="shared" si="577"/>
        <v>0</v>
      </c>
      <c r="R2789" s="53"/>
      <c r="S2789" s="53" t="str">
        <f t="shared" si="565"/>
        <v>Characters|Characters Gold Parallel|C-19|Gold</v>
      </c>
      <c r="T2789" s="57" t="str">
        <f>IF($S2789="","",IFERROR(VLOOKUP($S2789,'Pop Estimates (Non-#d)'!$N$2:$O$500,2,FALSE),""))</f>
        <v/>
      </c>
      <c r="U2789" s="57" t="str">
        <f t="shared" si="566"/>
        <v/>
      </c>
      <c r="V2789" s="53" t="str">
        <f t="shared" si="567"/>
        <v>Lamplighter</v>
      </c>
      <c r="W2789" s="53" t="str">
        <f t="shared" si="568"/>
        <v>Lamplighter</v>
      </c>
      <c r="X2789" s="53" t="str">
        <f t="shared" si="569"/>
        <v>Lamplighter</v>
      </c>
      <c r="Y2789" s="57">
        <f>IF($X2789="","",IFERROR(VLOOKUP($X2789,'Char Popularity'!$A$2:$C$500,2,FALSE),""))</f>
        <v>2</v>
      </c>
      <c r="Z2789" s="56">
        <f>IF($X2789="",1,IFERROR(VLOOKUP($X2789,'Char Popularity'!$A$2:$C$500,3,FALSE),1))</f>
        <v>0.9</v>
      </c>
      <c r="AA2789" s="62">
        <f>IF($H2789&lt;&gt;"Y",0,(IF($F2789&lt;&gt;"",ROUND(Dashboard!$R$4/$F2789,1),IF(AND($I2789="Base",$E2789="Base"),Dashboard!$R$5,IF(AND($I2789="Base",$E2789="Red"),Dashboard!$R$6,IF(AND($I2789="Base",$E2789="Gold"),Dashboard!$R$7,VLOOKUP($I2789,Dashboard!$Q$16:$R$21,2,FALSE)))))*VLOOKUP($I2789,Dashboard!$Q$9:$R$13,2,FALSE)*IF(AND($I2789="Auto",$F2789="",OR($B2789="Autographs Duals",$B2789="Autographs Triples",$B2789="Autographs Quads",$B2789="Autographs Quads (Inscribed)")),IF($B2789="Autographs Duals",2,IF($B2789="Autographs Triples",3,4)),1)))</f>
        <v>3</v>
      </c>
      <c r="AB2789" s="62">
        <f t="shared" si="570"/>
        <v>3</v>
      </c>
      <c r="AC2789" s="62">
        <f t="shared" si="571"/>
        <v>0</v>
      </c>
    </row>
    <row r="2790" spans="1:29" ht="28.7" customHeight="1" x14ac:dyDescent="0.25">
      <c r="A2790" s="4" t="s">
        <v>21</v>
      </c>
      <c r="B2790" s="7" t="s">
        <v>91</v>
      </c>
      <c r="C2790" s="2" t="s">
        <v>420</v>
      </c>
      <c r="D2790" s="7" t="s">
        <v>260</v>
      </c>
      <c r="E2790" s="4" t="s">
        <v>1602</v>
      </c>
      <c r="F2790" s="2"/>
      <c r="G2790" s="2" t="s">
        <v>1399</v>
      </c>
      <c r="H2790" s="2" t="s">
        <v>1400</v>
      </c>
      <c r="I2790" s="4" t="s">
        <v>60</v>
      </c>
      <c r="J2790" s="112">
        <f>IF($H2790&lt;&gt;"Y",0,ROUND(MIN(Dashboard!$R$24,IF(IFERROR(VLOOKUP($B2790,Dashboard!$Q$28:$S$60,2,FALSE),0)&gt;0,IFERROR(VLOOKUP($B2790,Dashboard!$Q$28:$S$60,2,FALSE),0),$Z2790*IF($U2790&lt;&gt;"",ROUND((Dashboard!$R$4/$U2790)*VLOOKUP($I2790,Dashboard!$Q$9:$R$13,2,FALSE)*IF(ISNUMBER(SEARCH("Duals",$B2790)),2,IF(ISNUMBER(SEARCH("Triples",$B2790)),3,IF(ISNUMBER(SEARCH("Quads",$B2790)),4,1))),2),ROUND(VLOOKUP($I2790,Dashboard!$Q$15:$R$20,2,FALSE)*IF($E2790="Red",Dashboard!$R$6,IF($E2790="Gold",Dashboard!$R$7,Dashboard!$R$5))*IF(ISNUMBER(SEARCH("Duals",$B2790)),2,IF(ISNUMBER(SEARCH("Triples",$B2790)),3,IF(ISNUMBER(SEARCH("Quads",$B2790)),4,1))),2))*IF(IFERROR(VLOOKUP($B2790,Dashboard!$Q$28:$S$60,3,FALSE),0)&gt;0,VLOOKUP($B2790,Dashboard!$Q$28:$S$60,3,FALSE),1))),0))</f>
        <v>3</v>
      </c>
      <c r="K2790" s="2" t="str">
        <f>IF(Characters!E21="","",Characters!E21)</f>
        <v>C</v>
      </c>
      <c r="L2790" s="2">
        <f t="shared" si="572"/>
        <v>1</v>
      </c>
      <c r="M2790" s="2">
        <f t="shared" si="573"/>
        <v>0</v>
      </c>
      <c r="N2790" s="2">
        <f t="shared" si="574"/>
        <v>1</v>
      </c>
      <c r="O2790" s="2">
        <f t="shared" si="575"/>
        <v>0</v>
      </c>
      <c r="P2790" s="112">
        <f t="shared" si="576"/>
        <v>3</v>
      </c>
      <c r="Q2790" s="112">
        <f t="shared" si="577"/>
        <v>0</v>
      </c>
      <c r="R2790" s="53"/>
      <c r="S2790" s="53" t="str">
        <f t="shared" si="565"/>
        <v>Characters|Characters Gold Parallel|C-20|Gold</v>
      </c>
      <c r="T2790" s="57" t="str">
        <f>IF($S2790="","",IFERROR(VLOOKUP($S2790,'Pop Estimates (Non-#d)'!$N$2:$O$500,2,FALSE),""))</f>
        <v/>
      </c>
      <c r="U2790" s="57" t="str">
        <f t="shared" si="566"/>
        <v/>
      </c>
      <c r="V2790" s="53" t="str">
        <f t="shared" si="567"/>
        <v>Cherie</v>
      </c>
      <c r="W2790" s="53" t="str">
        <f t="shared" si="568"/>
        <v>Cherie</v>
      </c>
      <c r="X2790" s="53" t="str">
        <f t="shared" si="569"/>
        <v>Cherie</v>
      </c>
      <c r="Y2790" s="57">
        <f>IF($X2790="","",IFERROR(VLOOKUP($X2790,'Char Popularity'!$A$2:$C$500,2,FALSE),""))</f>
        <v>3</v>
      </c>
      <c r="Z2790" s="56">
        <f>IF($X2790="",1,IFERROR(VLOOKUP($X2790,'Char Popularity'!$A$2:$C$500,3,FALSE),1))</f>
        <v>1</v>
      </c>
      <c r="AA2790" s="62">
        <f>IF($H2790&lt;&gt;"Y",0,(IF($F2790&lt;&gt;"",ROUND(Dashboard!$R$4/$F2790,1),IF(AND($I2790="Base",$E2790="Base"),Dashboard!$R$5,IF(AND($I2790="Base",$E2790="Red"),Dashboard!$R$6,IF(AND($I2790="Base",$E2790="Gold"),Dashboard!$R$7,VLOOKUP($I2790,Dashboard!$Q$16:$R$21,2,FALSE)))))*VLOOKUP($I2790,Dashboard!$Q$9:$R$13,2,FALSE)*IF(AND($I2790="Auto",$F2790="",OR($B2790="Autographs Duals",$B2790="Autographs Triples",$B2790="Autographs Quads",$B2790="Autographs Quads (Inscribed)")),IF($B2790="Autographs Duals",2,IF($B2790="Autographs Triples",3,4)),1)))</f>
        <v>3</v>
      </c>
      <c r="AB2790" s="62">
        <f t="shared" si="570"/>
        <v>3</v>
      </c>
      <c r="AC2790" s="62">
        <f t="shared" si="571"/>
        <v>0</v>
      </c>
    </row>
    <row r="2791" spans="1:29" ht="28.7" customHeight="1" x14ac:dyDescent="0.25">
      <c r="A2791" s="4" t="s">
        <v>21</v>
      </c>
      <c r="B2791" s="7" t="s">
        <v>91</v>
      </c>
      <c r="C2791" s="2" t="s">
        <v>421</v>
      </c>
      <c r="D2791" s="7" t="s">
        <v>288</v>
      </c>
      <c r="E2791" s="4" t="s">
        <v>1602</v>
      </c>
      <c r="F2791" s="2"/>
      <c r="G2791" s="2" t="s">
        <v>1399</v>
      </c>
      <c r="H2791" s="2" t="s">
        <v>1400</v>
      </c>
      <c r="I2791" s="4" t="s">
        <v>60</v>
      </c>
      <c r="J2791" s="112">
        <f>IF($H2791&lt;&gt;"Y",0,ROUND(MIN(Dashboard!$R$24,IF(IFERROR(VLOOKUP($B2791,Dashboard!$Q$28:$S$60,2,FALSE),0)&gt;0,IFERROR(VLOOKUP($B2791,Dashboard!$Q$28:$S$60,2,FALSE),0),$Z2791*IF($U2791&lt;&gt;"",ROUND((Dashboard!$R$4/$U2791)*VLOOKUP($I2791,Dashboard!$Q$9:$R$13,2,FALSE)*IF(ISNUMBER(SEARCH("Duals",$B2791)),2,IF(ISNUMBER(SEARCH("Triples",$B2791)),3,IF(ISNUMBER(SEARCH("Quads",$B2791)),4,1))),2),ROUND(VLOOKUP($I2791,Dashboard!$Q$15:$R$20,2,FALSE)*IF($E2791="Red",Dashboard!$R$6,IF($E2791="Gold",Dashboard!$R$7,Dashboard!$R$5))*IF(ISNUMBER(SEARCH("Duals",$B2791)),2,IF(ISNUMBER(SEARCH("Triples",$B2791)),3,IF(ISNUMBER(SEARCH("Quads",$B2791)),4,1))),2))*IF(IFERROR(VLOOKUP($B2791,Dashboard!$Q$28:$S$60,3,FALSE),0)&gt;0,VLOOKUP($B2791,Dashboard!$Q$28:$S$60,3,FALSE),1))),0))</f>
        <v>3</v>
      </c>
      <c r="K2791" s="2" t="str">
        <f>IF(Characters!E22="","",Characters!E22)</f>
        <v>C</v>
      </c>
      <c r="L2791" s="2">
        <f t="shared" si="572"/>
        <v>1</v>
      </c>
      <c r="M2791" s="2">
        <f t="shared" si="573"/>
        <v>0</v>
      </c>
      <c r="N2791" s="2">
        <f t="shared" si="574"/>
        <v>1</v>
      </c>
      <c r="O2791" s="2">
        <f t="shared" si="575"/>
        <v>0</v>
      </c>
      <c r="P2791" s="112">
        <f t="shared" si="576"/>
        <v>3</v>
      </c>
      <c r="Q2791" s="112">
        <f t="shared" si="577"/>
        <v>0</v>
      </c>
      <c r="R2791" s="53"/>
      <c r="S2791" s="53" t="str">
        <f t="shared" si="565"/>
        <v>Characters|Characters Gold Parallel|C-21|Gold</v>
      </c>
      <c r="T2791" s="57" t="str">
        <f>IF($S2791="","",IFERROR(VLOOKUP($S2791,'Pop Estimates (Non-#d)'!$N$2:$O$500,2,FALSE),""))</f>
        <v/>
      </c>
      <c r="U2791" s="57" t="str">
        <f t="shared" si="566"/>
        <v/>
      </c>
      <c r="V2791" s="53" t="str">
        <f t="shared" si="567"/>
        <v>Shockwave</v>
      </c>
      <c r="W2791" s="53" t="str">
        <f t="shared" si="568"/>
        <v>Shockwave</v>
      </c>
      <c r="X2791" s="53" t="str">
        <f t="shared" si="569"/>
        <v>Shockwave</v>
      </c>
      <c r="Y2791" s="57">
        <f>IF($X2791="","",IFERROR(VLOOKUP($X2791,'Char Popularity'!$A$2:$C$500,2,FALSE),""))</f>
        <v>2</v>
      </c>
      <c r="Z2791" s="56">
        <f>IF($X2791="",1,IFERROR(VLOOKUP($X2791,'Char Popularity'!$A$2:$C$500,3,FALSE),1))</f>
        <v>0.9</v>
      </c>
      <c r="AA2791" s="62">
        <f>IF($H2791&lt;&gt;"Y",0,(IF($F2791&lt;&gt;"",ROUND(Dashboard!$R$4/$F2791,1),IF(AND($I2791="Base",$E2791="Base"),Dashboard!$R$5,IF(AND($I2791="Base",$E2791="Red"),Dashboard!$R$6,IF(AND($I2791="Base",$E2791="Gold"),Dashboard!$R$7,VLOOKUP($I2791,Dashboard!$Q$16:$R$21,2,FALSE)))))*VLOOKUP($I2791,Dashboard!$Q$9:$R$13,2,FALSE)*IF(AND($I2791="Auto",$F2791="",OR($B2791="Autographs Duals",$B2791="Autographs Triples",$B2791="Autographs Quads",$B2791="Autographs Quads (Inscribed)")),IF($B2791="Autographs Duals",2,IF($B2791="Autographs Triples",3,4)),1)))</f>
        <v>3</v>
      </c>
      <c r="AB2791" s="62">
        <f t="shared" si="570"/>
        <v>3</v>
      </c>
      <c r="AC2791" s="62">
        <f t="shared" si="571"/>
        <v>0</v>
      </c>
    </row>
    <row r="2792" spans="1:29" ht="28.7" customHeight="1" x14ac:dyDescent="0.25">
      <c r="A2792" s="4" t="s">
        <v>21</v>
      </c>
      <c r="B2792" s="7" t="s">
        <v>91</v>
      </c>
      <c r="C2792" s="2" t="s">
        <v>422</v>
      </c>
      <c r="D2792" s="7" t="s">
        <v>228</v>
      </c>
      <c r="E2792" s="4" t="s">
        <v>1602</v>
      </c>
      <c r="F2792" s="2"/>
      <c r="G2792" s="2" t="s">
        <v>1399</v>
      </c>
      <c r="H2792" s="2" t="s">
        <v>1400</v>
      </c>
      <c r="I2792" s="4" t="s">
        <v>60</v>
      </c>
      <c r="J2792" s="112">
        <f>IF($H2792&lt;&gt;"Y",0,ROUND(MIN(Dashboard!$R$24,IF(IFERROR(VLOOKUP($B2792,Dashboard!$Q$28:$S$60,2,FALSE),0)&gt;0,IFERROR(VLOOKUP($B2792,Dashboard!$Q$28:$S$60,2,FALSE),0),$Z2792*IF($U2792&lt;&gt;"",ROUND((Dashboard!$R$4/$U2792)*VLOOKUP($I2792,Dashboard!$Q$9:$R$13,2,FALSE)*IF(ISNUMBER(SEARCH("Duals",$B2792)),2,IF(ISNUMBER(SEARCH("Triples",$B2792)),3,IF(ISNUMBER(SEARCH("Quads",$B2792)),4,1))),2),ROUND(VLOOKUP($I2792,Dashboard!$Q$15:$R$20,2,FALSE)*IF($E2792="Red",Dashboard!$R$6,IF($E2792="Gold",Dashboard!$R$7,Dashboard!$R$5))*IF(ISNUMBER(SEARCH("Duals",$B2792)),2,IF(ISNUMBER(SEARCH("Triples",$B2792)),3,IF(ISNUMBER(SEARCH("Quads",$B2792)),4,1))),2))*IF(IFERROR(VLOOKUP($B2792,Dashboard!$Q$28:$S$60,3,FALSE),0)&gt;0,VLOOKUP($B2792,Dashboard!$Q$28:$S$60,3,FALSE),1))),0))</f>
        <v>3</v>
      </c>
      <c r="K2792" s="2" t="str">
        <f>IF(Characters!E23="","",Characters!E23)</f>
        <v>C</v>
      </c>
      <c r="L2792" s="2">
        <f t="shared" si="572"/>
        <v>1</v>
      </c>
      <c r="M2792" s="2">
        <f t="shared" si="573"/>
        <v>0</v>
      </c>
      <c r="N2792" s="2">
        <f t="shared" si="574"/>
        <v>1</v>
      </c>
      <c r="O2792" s="2">
        <f t="shared" si="575"/>
        <v>0</v>
      </c>
      <c r="P2792" s="112">
        <f t="shared" si="576"/>
        <v>3</v>
      </c>
      <c r="Q2792" s="112">
        <f t="shared" si="577"/>
        <v>0</v>
      </c>
      <c r="R2792" s="53"/>
      <c r="S2792" s="53" t="str">
        <f t="shared" si="565"/>
        <v>Characters|Characters Gold Parallel|C-22|Gold</v>
      </c>
      <c r="T2792" s="57" t="str">
        <f>IF($S2792="","",IFERROR(VLOOKUP($S2792,'Pop Estimates (Non-#d)'!$N$2:$O$500,2,FALSE),""))</f>
        <v/>
      </c>
      <c r="U2792" s="57" t="str">
        <f t="shared" si="566"/>
        <v/>
      </c>
      <c r="V2792" s="53" t="str">
        <f t="shared" si="567"/>
        <v>Ryan</v>
      </c>
      <c r="W2792" s="53" t="str">
        <f t="shared" si="568"/>
        <v>Ryan</v>
      </c>
      <c r="X2792" s="53" t="str">
        <f t="shared" si="569"/>
        <v>Ryan</v>
      </c>
      <c r="Y2792" s="57">
        <f>IF($X2792="","",IFERROR(VLOOKUP($X2792,'Char Popularity'!$A$2:$C$500,2,FALSE),""))</f>
        <v>4</v>
      </c>
      <c r="Z2792" s="56">
        <f>IF($X2792="",1,IFERROR(VLOOKUP($X2792,'Char Popularity'!$A$2:$C$500,3,FALSE),1))</f>
        <v>1.1000000000000001</v>
      </c>
      <c r="AA2792" s="62">
        <f>IF($H2792&lt;&gt;"Y",0,(IF($F2792&lt;&gt;"",ROUND(Dashboard!$R$4/$F2792,1),IF(AND($I2792="Base",$E2792="Base"),Dashboard!$R$5,IF(AND($I2792="Base",$E2792="Red"),Dashboard!$R$6,IF(AND($I2792="Base",$E2792="Gold"),Dashboard!$R$7,VLOOKUP($I2792,Dashboard!$Q$16:$R$21,2,FALSE)))))*VLOOKUP($I2792,Dashboard!$Q$9:$R$13,2,FALSE)*IF(AND($I2792="Auto",$F2792="",OR($B2792="Autographs Duals",$B2792="Autographs Triples",$B2792="Autographs Quads",$B2792="Autographs Quads (Inscribed)")),IF($B2792="Autographs Duals",2,IF($B2792="Autographs Triples",3,4)),1)))</f>
        <v>3</v>
      </c>
      <c r="AB2792" s="62">
        <f t="shared" si="570"/>
        <v>3</v>
      </c>
      <c r="AC2792" s="62">
        <f t="shared" si="571"/>
        <v>0</v>
      </c>
    </row>
    <row r="2793" spans="1:29" ht="28.7" customHeight="1" x14ac:dyDescent="0.25">
      <c r="A2793" s="4" t="s">
        <v>21</v>
      </c>
      <c r="B2793" s="7" t="s">
        <v>91</v>
      </c>
      <c r="C2793" s="2" t="s">
        <v>423</v>
      </c>
      <c r="D2793" s="7" t="s">
        <v>301</v>
      </c>
      <c r="E2793" s="4" t="s">
        <v>1602</v>
      </c>
      <c r="F2793" s="2"/>
      <c r="G2793" s="2" t="s">
        <v>1399</v>
      </c>
      <c r="H2793" s="2" t="s">
        <v>1400</v>
      </c>
      <c r="I2793" s="4" t="s">
        <v>60</v>
      </c>
      <c r="J2793" s="112">
        <f>IF($H2793&lt;&gt;"Y",0,ROUND(MIN(Dashboard!$R$24,IF(IFERROR(VLOOKUP($B2793,Dashboard!$Q$28:$S$60,2,FALSE),0)&gt;0,IFERROR(VLOOKUP($B2793,Dashboard!$Q$28:$S$60,2,FALSE),0),$Z2793*IF($U2793&lt;&gt;"",ROUND((Dashboard!$R$4/$U2793)*VLOOKUP($I2793,Dashboard!$Q$9:$R$13,2,FALSE)*IF(ISNUMBER(SEARCH("Duals",$B2793)),2,IF(ISNUMBER(SEARCH("Triples",$B2793)),3,IF(ISNUMBER(SEARCH("Quads",$B2793)),4,1))),2),ROUND(VLOOKUP($I2793,Dashboard!$Q$15:$R$20,2,FALSE)*IF($E2793="Red",Dashboard!$R$6,IF($E2793="Gold",Dashboard!$R$7,Dashboard!$R$5))*IF(ISNUMBER(SEARCH("Duals",$B2793)),2,IF(ISNUMBER(SEARCH("Triples",$B2793)),3,IF(ISNUMBER(SEARCH("Quads",$B2793)),4,1))),2))*IF(IFERROR(VLOOKUP($B2793,Dashboard!$Q$28:$S$60,3,FALSE),0)&gt;0,VLOOKUP($B2793,Dashboard!$Q$28:$S$60,3,FALSE),1))),0))</f>
        <v>3</v>
      </c>
      <c r="K2793" s="2" t="str">
        <f>IF(Characters!E24="","",Characters!E24)</f>
        <v>C</v>
      </c>
      <c r="L2793" s="2">
        <f t="shared" si="572"/>
        <v>1</v>
      </c>
      <c r="M2793" s="2">
        <f t="shared" si="573"/>
        <v>0</v>
      </c>
      <c r="N2793" s="2">
        <f t="shared" si="574"/>
        <v>1</v>
      </c>
      <c r="O2793" s="2">
        <f t="shared" si="575"/>
        <v>0</v>
      </c>
      <c r="P2793" s="112">
        <f t="shared" si="576"/>
        <v>3</v>
      </c>
      <c r="Q2793" s="112">
        <f t="shared" si="577"/>
        <v>0</v>
      </c>
      <c r="R2793" s="53"/>
      <c r="S2793" s="53" t="str">
        <f t="shared" si="565"/>
        <v>Characters|Characters Gold Parallel|C-23|Gold</v>
      </c>
      <c r="T2793" s="57" t="str">
        <f>IF($S2793="","",IFERROR(VLOOKUP($S2793,'Pop Estimates (Non-#d)'!$N$2:$O$500,2,FALSE),""))</f>
        <v/>
      </c>
      <c r="U2793" s="57" t="str">
        <f t="shared" si="566"/>
        <v/>
      </c>
      <c r="V2793" s="53" t="str">
        <f t="shared" si="567"/>
        <v>Lamplighter</v>
      </c>
      <c r="W2793" s="53" t="str">
        <f t="shared" si="568"/>
        <v>Lamplighter</v>
      </c>
      <c r="X2793" s="53" t="str">
        <f t="shared" si="569"/>
        <v>Lamplighter</v>
      </c>
      <c r="Y2793" s="57">
        <f>IF($X2793="","",IFERROR(VLOOKUP($X2793,'Char Popularity'!$A$2:$C$500,2,FALSE),""))</f>
        <v>2</v>
      </c>
      <c r="Z2793" s="56">
        <f>IF($X2793="",1,IFERROR(VLOOKUP($X2793,'Char Popularity'!$A$2:$C$500,3,FALSE),1))</f>
        <v>0.9</v>
      </c>
      <c r="AA2793" s="62">
        <f>IF($H2793&lt;&gt;"Y",0,(IF($F2793&lt;&gt;"",ROUND(Dashboard!$R$4/$F2793,1),IF(AND($I2793="Base",$E2793="Base"),Dashboard!$R$5,IF(AND($I2793="Base",$E2793="Red"),Dashboard!$R$6,IF(AND($I2793="Base",$E2793="Gold"),Dashboard!$R$7,VLOOKUP($I2793,Dashboard!$Q$16:$R$21,2,FALSE)))))*VLOOKUP($I2793,Dashboard!$Q$9:$R$13,2,FALSE)*IF(AND($I2793="Auto",$F2793="",OR($B2793="Autographs Duals",$B2793="Autographs Triples",$B2793="Autographs Quads",$B2793="Autographs Quads (Inscribed)")),IF($B2793="Autographs Duals",2,IF($B2793="Autographs Triples",3,4)),1)))</f>
        <v>3</v>
      </c>
      <c r="AB2793" s="62">
        <f t="shared" si="570"/>
        <v>3</v>
      </c>
      <c r="AC2793" s="62">
        <f t="shared" si="571"/>
        <v>0</v>
      </c>
    </row>
    <row r="2794" spans="1:29" ht="28.7" customHeight="1" x14ac:dyDescent="0.25">
      <c r="A2794" s="4" t="s">
        <v>21</v>
      </c>
      <c r="B2794" s="7" t="s">
        <v>91</v>
      </c>
      <c r="C2794" s="2" t="s">
        <v>1226</v>
      </c>
      <c r="D2794" s="7" t="s">
        <v>1227</v>
      </c>
      <c r="E2794" s="4" t="s">
        <v>1602</v>
      </c>
      <c r="F2794" s="2"/>
      <c r="G2794" s="2" t="s">
        <v>1399</v>
      </c>
      <c r="H2794" s="2" t="s">
        <v>1400</v>
      </c>
      <c r="I2794" s="4" t="s">
        <v>60</v>
      </c>
      <c r="J2794" s="112">
        <f>IF($H2794&lt;&gt;"Y",0,ROUND(MIN(Dashboard!$R$24,IF(IFERROR(VLOOKUP($B2794,Dashboard!$Q$28:$S$60,2,FALSE),0)&gt;0,IFERROR(VLOOKUP($B2794,Dashboard!$Q$28:$S$60,2,FALSE),0),$Z2794*IF($U2794&lt;&gt;"",ROUND((Dashboard!$R$4/$U2794)*VLOOKUP($I2794,Dashboard!$Q$9:$R$13,2,FALSE)*IF(ISNUMBER(SEARCH("Duals",$B2794)),2,IF(ISNUMBER(SEARCH("Triples",$B2794)),3,IF(ISNUMBER(SEARCH("Quads",$B2794)),4,1))),2),ROUND(VLOOKUP($I2794,Dashboard!$Q$15:$R$20,2,FALSE)*IF($E2794="Red",Dashboard!$R$6,IF($E2794="Gold",Dashboard!$R$7,Dashboard!$R$5))*IF(ISNUMBER(SEARCH("Duals",$B2794)),2,IF(ISNUMBER(SEARCH("Triples",$B2794)),3,IF(ISNUMBER(SEARCH("Quads",$B2794)),4,1))),2))*IF(IFERROR(VLOOKUP($B2794,Dashboard!$Q$28:$S$60,3,FALSE),0)&gt;0,VLOOKUP($B2794,Dashboard!$Q$28:$S$60,3,FALSE),1))),0))</f>
        <v>3</v>
      </c>
      <c r="K2794" s="2" t="str">
        <f>IF(Characters!E25="","",Characters!E25)</f>
        <v>C</v>
      </c>
      <c r="L2794" s="2">
        <f t="shared" si="572"/>
        <v>1</v>
      </c>
      <c r="M2794" s="2">
        <f t="shared" si="573"/>
        <v>0</v>
      </c>
      <c r="N2794" s="2">
        <f t="shared" si="574"/>
        <v>1</v>
      </c>
      <c r="O2794" s="2">
        <f t="shared" si="575"/>
        <v>0</v>
      </c>
      <c r="P2794" s="112">
        <f t="shared" si="576"/>
        <v>3</v>
      </c>
      <c r="Q2794" s="112">
        <f t="shared" si="577"/>
        <v>0</v>
      </c>
      <c r="R2794" s="53"/>
      <c r="S2794" s="53" t="str">
        <f t="shared" si="565"/>
        <v>Characters|Characters Gold Parallel|C-24|Gold</v>
      </c>
      <c r="T2794" s="57" t="str">
        <f>IF($S2794="","",IFERROR(VLOOKUP($S2794,'Pop Estimates (Non-#d)'!$N$2:$O$500,2,FALSE),""))</f>
        <v/>
      </c>
      <c r="U2794" s="57" t="str">
        <f t="shared" si="566"/>
        <v/>
      </c>
      <c r="V2794" s="53" t="str">
        <f t="shared" si="567"/>
        <v>Victoria Neuman</v>
      </c>
      <c r="W2794" s="53" t="str">
        <f t="shared" si="568"/>
        <v>Victoria Neuman</v>
      </c>
      <c r="X2794" s="53" t="str">
        <f t="shared" si="569"/>
        <v>Victoria Neuman</v>
      </c>
      <c r="Y2794" s="57">
        <f>IF($X2794="","",IFERROR(VLOOKUP($X2794,'Char Popularity'!$A$2:$C$500,2,FALSE),""))</f>
        <v>4</v>
      </c>
      <c r="Z2794" s="56">
        <f>IF($X2794="",1,IFERROR(VLOOKUP($X2794,'Char Popularity'!$A$2:$C$500,3,FALSE),1))</f>
        <v>1.1000000000000001</v>
      </c>
      <c r="AA2794" s="62">
        <f>IF($H2794&lt;&gt;"Y",0,(IF($F2794&lt;&gt;"",ROUND(Dashboard!$R$4/$F2794,1),IF(AND($I2794="Base",$E2794="Base"),Dashboard!$R$5,IF(AND($I2794="Base",$E2794="Red"),Dashboard!$R$6,IF(AND($I2794="Base",$E2794="Gold"),Dashboard!$R$7,VLOOKUP($I2794,Dashboard!$Q$16:$R$21,2,FALSE)))))*VLOOKUP($I2794,Dashboard!$Q$9:$R$13,2,FALSE)*IF(AND($I2794="Auto",$F2794="",OR($B2794="Autographs Duals",$B2794="Autographs Triples",$B2794="Autographs Quads",$B2794="Autographs Quads (Inscribed)")),IF($B2794="Autographs Duals",2,IF($B2794="Autographs Triples",3,4)),1)))</f>
        <v>3</v>
      </c>
      <c r="AB2794" s="62">
        <f t="shared" si="570"/>
        <v>3</v>
      </c>
      <c r="AC2794" s="62">
        <f t="shared" si="571"/>
        <v>0</v>
      </c>
    </row>
    <row r="2795" spans="1:29" ht="28.7" customHeight="1" x14ac:dyDescent="0.25">
      <c r="A2795" s="4" t="s">
        <v>21</v>
      </c>
      <c r="B2795" s="7" t="s">
        <v>91</v>
      </c>
      <c r="C2795" s="2" t="s">
        <v>1229</v>
      </c>
      <c r="D2795" s="7" t="s">
        <v>1230</v>
      </c>
      <c r="E2795" s="4" t="s">
        <v>1602</v>
      </c>
      <c r="F2795" s="2"/>
      <c r="G2795" s="2" t="s">
        <v>1399</v>
      </c>
      <c r="H2795" s="2" t="s">
        <v>1400</v>
      </c>
      <c r="I2795" s="4" t="s">
        <v>60</v>
      </c>
      <c r="J2795" s="112">
        <f>IF($H2795&lt;&gt;"Y",0,ROUND(MIN(Dashboard!$R$24,IF(IFERROR(VLOOKUP($B2795,Dashboard!$Q$28:$S$60,2,FALSE),0)&gt;0,IFERROR(VLOOKUP($B2795,Dashboard!$Q$28:$S$60,2,FALSE),0),$Z2795*IF($U2795&lt;&gt;"",ROUND((Dashboard!$R$4/$U2795)*VLOOKUP($I2795,Dashboard!$Q$9:$R$13,2,FALSE)*IF(ISNUMBER(SEARCH("Duals",$B2795)),2,IF(ISNUMBER(SEARCH("Triples",$B2795)),3,IF(ISNUMBER(SEARCH("Quads",$B2795)),4,1))),2),ROUND(VLOOKUP($I2795,Dashboard!$Q$15:$R$20,2,FALSE)*IF($E2795="Red",Dashboard!$R$6,IF($E2795="Gold",Dashboard!$R$7,Dashboard!$R$5))*IF(ISNUMBER(SEARCH("Duals",$B2795)),2,IF(ISNUMBER(SEARCH("Triples",$B2795)),3,IF(ISNUMBER(SEARCH("Quads",$B2795)),4,1))),2))*IF(IFERROR(VLOOKUP($B2795,Dashboard!$Q$28:$S$60,3,FALSE),0)&gt;0,VLOOKUP($B2795,Dashboard!$Q$28:$S$60,3,FALSE),1))),0))</f>
        <v>3</v>
      </c>
      <c r="K2795" s="2" t="str">
        <f>IF(Characters!E26="","",Characters!E26)</f>
        <v>C</v>
      </c>
      <c r="L2795" s="2">
        <f t="shared" si="572"/>
        <v>1</v>
      </c>
      <c r="M2795" s="2">
        <f t="shared" si="573"/>
        <v>0</v>
      </c>
      <c r="N2795" s="2">
        <f t="shared" si="574"/>
        <v>1</v>
      </c>
      <c r="O2795" s="2">
        <f t="shared" si="575"/>
        <v>0</v>
      </c>
      <c r="P2795" s="112">
        <f t="shared" si="576"/>
        <v>3</v>
      </c>
      <c r="Q2795" s="112">
        <f t="shared" si="577"/>
        <v>0</v>
      </c>
      <c r="R2795" s="53"/>
      <c r="S2795" s="53" t="str">
        <f t="shared" si="565"/>
        <v>Characters|Characters Gold Parallel|C-25|Gold</v>
      </c>
      <c r="T2795" s="57" t="str">
        <f>IF($S2795="","",IFERROR(VLOOKUP($S2795,'Pop Estimates (Non-#d)'!$N$2:$O$500,2,FALSE),""))</f>
        <v/>
      </c>
      <c r="U2795" s="57" t="str">
        <f t="shared" si="566"/>
        <v/>
      </c>
      <c r="V2795" s="53" t="str">
        <f t="shared" si="567"/>
        <v>Donna January</v>
      </c>
      <c r="W2795" s="53" t="str">
        <f t="shared" si="568"/>
        <v>Donna January</v>
      </c>
      <c r="X2795" s="53" t="str">
        <f t="shared" si="569"/>
        <v>Donna January</v>
      </c>
      <c r="Y2795" s="57">
        <f>IF($X2795="","",IFERROR(VLOOKUP($X2795,'Char Popularity'!$A$2:$C$500,2,FALSE),""))</f>
        <v>3</v>
      </c>
      <c r="Z2795" s="56">
        <f>IF($X2795="",1,IFERROR(VLOOKUP($X2795,'Char Popularity'!$A$2:$C$500,3,FALSE),1))</f>
        <v>1</v>
      </c>
      <c r="AA2795" s="62">
        <f>IF($H2795&lt;&gt;"Y",0,(IF($F2795&lt;&gt;"",ROUND(Dashboard!$R$4/$F2795,1),IF(AND($I2795="Base",$E2795="Base"),Dashboard!$R$5,IF(AND($I2795="Base",$E2795="Red"),Dashboard!$R$6,IF(AND($I2795="Base",$E2795="Gold"),Dashboard!$R$7,VLOOKUP($I2795,Dashboard!$Q$16:$R$21,2,FALSE)))))*VLOOKUP($I2795,Dashboard!$Q$9:$R$13,2,FALSE)*IF(AND($I2795="Auto",$F2795="",OR($B2795="Autographs Duals",$B2795="Autographs Triples",$B2795="Autographs Quads",$B2795="Autographs Quads (Inscribed)")),IF($B2795="Autographs Duals",2,IF($B2795="Autographs Triples",3,4)),1)))</f>
        <v>3</v>
      </c>
      <c r="AB2795" s="62">
        <f t="shared" si="570"/>
        <v>3</v>
      </c>
      <c r="AC2795" s="62">
        <f t="shared" si="571"/>
        <v>0</v>
      </c>
    </row>
    <row r="2796" spans="1:29" ht="28.7" customHeight="1" x14ac:dyDescent="0.25">
      <c r="A2796" s="4" t="s">
        <v>21</v>
      </c>
      <c r="B2796" s="7" t="s">
        <v>91</v>
      </c>
      <c r="C2796" s="2" t="s">
        <v>1232</v>
      </c>
      <c r="D2796" s="7" t="s">
        <v>1233</v>
      </c>
      <c r="E2796" s="4" t="s">
        <v>1602</v>
      </c>
      <c r="F2796" s="2"/>
      <c r="G2796" s="2" t="s">
        <v>1399</v>
      </c>
      <c r="H2796" s="2" t="s">
        <v>1400</v>
      </c>
      <c r="I2796" s="4" t="s">
        <v>60</v>
      </c>
      <c r="J2796" s="112">
        <f>IF($H2796&lt;&gt;"Y",0,ROUND(MIN(Dashboard!$R$24,IF(IFERROR(VLOOKUP($B2796,Dashboard!$Q$28:$S$60,2,FALSE),0)&gt;0,IFERROR(VLOOKUP($B2796,Dashboard!$Q$28:$S$60,2,FALSE),0),$Z2796*IF($U2796&lt;&gt;"",ROUND((Dashboard!$R$4/$U2796)*VLOOKUP($I2796,Dashboard!$Q$9:$R$13,2,FALSE)*IF(ISNUMBER(SEARCH("Duals",$B2796)),2,IF(ISNUMBER(SEARCH("Triples",$B2796)),3,IF(ISNUMBER(SEARCH("Quads",$B2796)),4,1))),2),ROUND(VLOOKUP($I2796,Dashboard!$Q$15:$R$20,2,FALSE)*IF($E2796="Red",Dashboard!$R$6,IF($E2796="Gold",Dashboard!$R$7,Dashboard!$R$5))*IF(ISNUMBER(SEARCH("Duals",$B2796)),2,IF(ISNUMBER(SEARCH("Triples",$B2796)),3,IF(ISNUMBER(SEARCH("Quads",$B2796)),4,1))),2))*IF(IFERROR(VLOOKUP($B2796,Dashboard!$Q$28:$S$60,3,FALSE),0)&gt;0,VLOOKUP($B2796,Dashboard!$Q$28:$S$60,3,FALSE),1))),0))</f>
        <v>3</v>
      </c>
      <c r="K2796" s="2" t="str">
        <f>IF(Characters!E27="","",Characters!E27)</f>
        <v>C</v>
      </c>
      <c r="L2796" s="2">
        <f t="shared" si="572"/>
        <v>1</v>
      </c>
      <c r="M2796" s="2">
        <f t="shared" si="573"/>
        <v>0</v>
      </c>
      <c r="N2796" s="2">
        <f t="shared" si="574"/>
        <v>1</v>
      </c>
      <c r="O2796" s="2">
        <f t="shared" si="575"/>
        <v>0</v>
      </c>
      <c r="P2796" s="112">
        <f t="shared" si="576"/>
        <v>3</v>
      </c>
      <c r="Q2796" s="112">
        <f t="shared" si="577"/>
        <v>0</v>
      </c>
      <c r="R2796" s="53"/>
      <c r="S2796" s="53" t="str">
        <f t="shared" si="565"/>
        <v>Characters|Characters Gold Parallel|C-26|Gold</v>
      </c>
      <c r="T2796" s="57" t="str">
        <f>IF($S2796="","",IFERROR(VLOOKUP($S2796,'Pop Estimates (Non-#d)'!$N$2:$O$500,2,FALSE),""))</f>
        <v/>
      </c>
      <c r="U2796" s="57" t="str">
        <f t="shared" si="566"/>
        <v/>
      </c>
      <c r="V2796" s="53" t="str">
        <f t="shared" si="567"/>
        <v>Mesmer</v>
      </c>
      <c r="W2796" s="53" t="str">
        <f t="shared" si="568"/>
        <v>Mesmer</v>
      </c>
      <c r="X2796" s="53" t="str">
        <f t="shared" si="569"/>
        <v>Mesmer</v>
      </c>
      <c r="Y2796" s="57">
        <f>IF($X2796="","",IFERROR(VLOOKUP($X2796,'Char Popularity'!$A$2:$C$500,2,FALSE),""))</f>
        <v>2</v>
      </c>
      <c r="Z2796" s="56">
        <f>IF($X2796="",1,IFERROR(VLOOKUP($X2796,'Char Popularity'!$A$2:$C$500,3,FALSE),1))</f>
        <v>0.9</v>
      </c>
      <c r="AA2796" s="62">
        <f>IF($H2796&lt;&gt;"Y",0,(IF($F2796&lt;&gt;"",ROUND(Dashboard!$R$4/$F2796,1),IF(AND($I2796="Base",$E2796="Base"),Dashboard!$R$5,IF(AND($I2796="Base",$E2796="Red"),Dashboard!$R$6,IF(AND($I2796="Base",$E2796="Gold"),Dashboard!$R$7,VLOOKUP($I2796,Dashboard!$Q$16:$R$21,2,FALSE)))))*VLOOKUP($I2796,Dashboard!$Q$9:$R$13,2,FALSE)*IF(AND($I2796="Auto",$F2796="",OR($B2796="Autographs Duals",$B2796="Autographs Triples",$B2796="Autographs Quads",$B2796="Autographs Quads (Inscribed)")),IF($B2796="Autographs Duals",2,IF($B2796="Autographs Triples",3,4)),1)))</f>
        <v>3</v>
      </c>
      <c r="AB2796" s="62">
        <f t="shared" si="570"/>
        <v>3</v>
      </c>
      <c r="AC2796" s="62">
        <f t="shared" si="571"/>
        <v>0</v>
      </c>
    </row>
    <row r="2797" spans="1:29" ht="28.7" customHeight="1" x14ac:dyDescent="0.25">
      <c r="A2797" s="4" t="s">
        <v>21</v>
      </c>
      <c r="B2797" s="7" t="s">
        <v>91</v>
      </c>
      <c r="C2797" s="2" t="s">
        <v>1234</v>
      </c>
      <c r="D2797" s="7" t="s">
        <v>1235</v>
      </c>
      <c r="E2797" s="4" t="s">
        <v>1602</v>
      </c>
      <c r="F2797" s="2"/>
      <c r="G2797" s="2" t="s">
        <v>1399</v>
      </c>
      <c r="H2797" s="2" t="s">
        <v>1400</v>
      </c>
      <c r="I2797" s="4" t="s">
        <v>60</v>
      </c>
      <c r="J2797" s="112">
        <f>IF($H2797&lt;&gt;"Y",0,ROUND(MIN(Dashboard!$R$24,IF(IFERROR(VLOOKUP($B2797,Dashboard!$Q$28:$S$60,2,FALSE),0)&gt;0,IFERROR(VLOOKUP($B2797,Dashboard!$Q$28:$S$60,2,FALSE),0),$Z2797*IF($U2797&lt;&gt;"",ROUND((Dashboard!$R$4/$U2797)*VLOOKUP($I2797,Dashboard!$Q$9:$R$13,2,FALSE)*IF(ISNUMBER(SEARCH("Duals",$B2797)),2,IF(ISNUMBER(SEARCH("Triples",$B2797)),3,IF(ISNUMBER(SEARCH("Quads",$B2797)),4,1))),2),ROUND(VLOOKUP($I2797,Dashboard!$Q$15:$R$20,2,FALSE)*IF($E2797="Red",Dashboard!$R$6,IF($E2797="Gold",Dashboard!$R$7,Dashboard!$R$5))*IF(ISNUMBER(SEARCH("Duals",$B2797)),2,IF(ISNUMBER(SEARCH("Triples",$B2797)),3,IF(ISNUMBER(SEARCH("Quads",$B2797)),4,1))),2))*IF(IFERROR(VLOOKUP($B2797,Dashboard!$Q$28:$S$60,3,FALSE),0)&gt;0,VLOOKUP($B2797,Dashboard!$Q$28:$S$60,3,FALSE),1))),0))</f>
        <v>3</v>
      </c>
      <c r="K2797" s="2" t="str">
        <f>IF(Characters!E28="","",Characters!E28)</f>
        <v>C</v>
      </c>
      <c r="L2797" s="2">
        <f t="shared" si="572"/>
        <v>1</v>
      </c>
      <c r="M2797" s="2">
        <f t="shared" si="573"/>
        <v>0</v>
      </c>
      <c r="N2797" s="2">
        <f t="shared" si="574"/>
        <v>1</v>
      </c>
      <c r="O2797" s="2">
        <f t="shared" si="575"/>
        <v>0</v>
      </c>
      <c r="P2797" s="112">
        <f t="shared" si="576"/>
        <v>3</v>
      </c>
      <c r="Q2797" s="112">
        <f t="shared" si="577"/>
        <v>0</v>
      </c>
      <c r="R2797" s="53"/>
      <c r="S2797" s="53" t="str">
        <f t="shared" si="565"/>
        <v>Characters|Characters Gold Parallel|C-27|Gold</v>
      </c>
      <c r="T2797" s="57" t="str">
        <f>IF($S2797="","",IFERROR(VLOOKUP($S2797,'Pop Estimates (Non-#d)'!$N$2:$O$500,2,FALSE),""))</f>
        <v/>
      </c>
      <c r="U2797" s="57" t="str">
        <f t="shared" si="566"/>
        <v/>
      </c>
      <c r="V2797" s="53" t="str">
        <f t="shared" si="567"/>
        <v>Hughie Campbell Sr.</v>
      </c>
      <c r="W2797" s="53" t="str">
        <f t="shared" si="568"/>
        <v>Hughie Campbell Sr.</v>
      </c>
      <c r="X2797" s="53" t="str">
        <f t="shared" si="569"/>
        <v>Hughie Campbell Sr.</v>
      </c>
      <c r="Y2797" s="57">
        <f>IF($X2797="","",IFERROR(VLOOKUP($X2797,'Char Popularity'!$A$2:$C$500,2,FALSE),""))</f>
        <v>3</v>
      </c>
      <c r="Z2797" s="56">
        <f>IF($X2797="",1,IFERROR(VLOOKUP($X2797,'Char Popularity'!$A$2:$C$500,3,FALSE),1))</f>
        <v>1</v>
      </c>
      <c r="AA2797" s="62">
        <f>IF($H2797&lt;&gt;"Y",0,(IF($F2797&lt;&gt;"",ROUND(Dashboard!$R$4/$F2797,1),IF(AND($I2797="Base",$E2797="Base"),Dashboard!$R$5,IF(AND($I2797="Base",$E2797="Red"),Dashboard!$R$6,IF(AND($I2797="Base",$E2797="Gold"),Dashboard!$R$7,VLOOKUP($I2797,Dashboard!$Q$16:$R$21,2,FALSE)))))*VLOOKUP($I2797,Dashboard!$Q$9:$R$13,2,FALSE)*IF(AND($I2797="Auto",$F2797="",OR($B2797="Autographs Duals",$B2797="Autographs Triples",$B2797="Autographs Quads",$B2797="Autographs Quads (Inscribed)")),IF($B2797="Autographs Duals",2,IF($B2797="Autographs Triples",3,4)),1)))</f>
        <v>3</v>
      </c>
      <c r="AB2797" s="62">
        <f t="shared" si="570"/>
        <v>3</v>
      </c>
      <c r="AC2797" s="62">
        <f t="shared" si="571"/>
        <v>0</v>
      </c>
    </row>
    <row r="2798" spans="1:29" ht="28.7" customHeight="1" x14ac:dyDescent="0.25">
      <c r="A2798" s="4" t="s">
        <v>21</v>
      </c>
      <c r="B2798" s="7" t="s">
        <v>91</v>
      </c>
      <c r="C2798" s="2" t="s">
        <v>1236</v>
      </c>
      <c r="D2798" s="7" t="s">
        <v>1237</v>
      </c>
      <c r="E2798" s="4" t="s">
        <v>1602</v>
      </c>
      <c r="F2798" s="2"/>
      <c r="G2798" s="2" t="s">
        <v>1399</v>
      </c>
      <c r="H2798" s="2" t="s">
        <v>1400</v>
      </c>
      <c r="I2798" s="4" t="s">
        <v>60</v>
      </c>
      <c r="J2798" s="112">
        <f>IF($H2798&lt;&gt;"Y",0,ROUND(MIN(Dashboard!$R$24,IF(IFERROR(VLOOKUP($B2798,Dashboard!$Q$28:$S$60,2,FALSE),0)&gt;0,IFERROR(VLOOKUP($B2798,Dashboard!$Q$28:$S$60,2,FALSE),0),$Z2798*IF($U2798&lt;&gt;"",ROUND((Dashboard!$R$4/$U2798)*VLOOKUP($I2798,Dashboard!$Q$9:$R$13,2,FALSE)*IF(ISNUMBER(SEARCH("Duals",$B2798)),2,IF(ISNUMBER(SEARCH("Triples",$B2798)),3,IF(ISNUMBER(SEARCH("Quads",$B2798)),4,1))),2),ROUND(VLOOKUP($I2798,Dashboard!$Q$15:$R$20,2,FALSE)*IF($E2798="Red",Dashboard!$R$6,IF($E2798="Gold",Dashboard!$R$7,Dashboard!$R$5))*IF(ISNUMBER(SEARCH("Duals",$B2798)),2,IF(ISNUMBER(SEARCH("Triples",$B2798)),3,IF(ISNUMBER(SEARCH("Quads",$B2798)),4,1))),2))*IF(IFERROR(VLOOKUP($B2798,Dashboard!$Q$28:$S$60,3,FALSE),0)&gt;0,VLOOKUP($B2798,Dashboard!$Q$28:$S$60,3,FALSE),1))),0))</f>
        <v>3</v>
      </c>
      <c r="K2798" s="2" t="str">
        <f>IF(Characters!E29="","",Characters!E29)</f>
        <v>C</v>
      </c>
      <c r="L2798" s="2">
        <f t="shared" si="572"/>
        <v>1</v>
      </c>
      <c r="M2798" s="2">
        <f t="shared" si="573"/>
        <v>0</v>
      </c>
      <c r="N2798" s="2">
        <f t="shared" si="574"/>
        <v>1</v>
      </c>
      <c r="O2798" s="2">
        <f t="shared" si="575"/>
        <v>0</v>
      </c>
      <c r="P2798" s="112">
        <f t="shared" si="576"/>
        <v>3</v>
      </c>
      <c r="Q2798" s="112">
        <f t="shared" si="577"/>
        <v>0</v>
      </c>
      <c r="R2798" s="53"/>
      <c r="S2798" s="53" t="str">
        <f t="shared" si="565"/>
        <v>Characters|Characters Gold Parallel|C-28|Gold</v>
      </c>
      <c r="T2798" s="57" t="str">
        <f>IF($S2798="","",IFERROR(VLOOKUP($S2798,'Pop Estimates (Non-#d)'!$N$2:$O$500,2,FALSE),""))</f>
        <v/>
      </c>
      <c r="U2798" s="57" t="str">
        <f t="shared" si="566"/>
        <v/>
      </c>
      <c r="V2798" s="53" t="str">
        <f t="shared" si="567"/>
        <v>Susan Rayner</v>
      </c>
      <c r="W2798" s="53" t="str">
        <f t="shared" si="568"/>
        <v>Susan Rayner</v>
      </c>
      <c r="X2798" s="53" t="str">
        <f t="shared" si="569"/>
        <v>Susan Rayner</v>
      </c>
      <c r="Y2798" s="57">
        <f>IF($X2798="","",IFERROR(VLOOKUP($X2798,'Char Popularity'!$A$2:$C$500,2,FALSE),""))</f>
        <v>3</v>
      </c>
      <c r="Z2798" s="56">
        <f>IF($X2798="",1,IFERROR(VLOOKUP($X2798,'Char Popularity'!$A$2:$C$500,3,FALSE),1))</f>
        <v>1</v>
      </c>
      <c r="AA2798" s="62">
        <f>IF($H2798&lt;&gt;"Y",0,(IF($F2798&lt;&gt;"",ROUND(Dashboard!$R$4/$F2798,1),IF(AND($I2798="Base",$E2798="Base"),Dashboard!$R$5,IF(AND($I2798="Base",$E2798="Red"),Dashboard!$R$6,IF(AND($I2798="Base",$E2798="Gold"),Dashboard!$R$7,VLOOKUP($I2798,Dashboard!$Q$16:$R$21,2,FALSE)))))*VLOOKUP($I2798,Dashboard!$Q$9:$R$13,2,FALSE)*IF(AND($I2798="Auto",$F2798="",OR($B2798="Autographs Duals",$B2798="Autographs Triples",$B2798="Autographs Quads",$B2798="Autographs Quads (Inscribed)")),IF($B2798="Autographs Duals",2,IF($B2798="Autographs Triples",3,4)),1)))</f>
        <v>3</v>
      </c>
      <c r="AB2798" s="62">
        <f t="shared" si="570"/>
        <v>3</v>
      </c>
      <c r="AC2798" s="62">
        <f t="shared" si="571"/>
        <v>0</v>
      </c>
    </row>
    <row r="2799" spans="1:29" ht="28.7" customHeight="1" x14ac:dyDescent="0.25">
      <c r="A2799" s="4" t="s">
        <v>21</v>
      </c>
      <c r="B2799" s="7" t="s">
        <v>91</v>
      </c>
      <c r="C2799" s="2" t="s">
        <v>424</v>
      </c>
      <c r="D2799" s="7" t="s">
        <v>280</v>
      </c>
      <c r="E2799" s="4" t="s">
        <v>1602</v>
      </c>
      <c r="F2799" s="2"/>
      <c r="G2799" s="2" t="s">
        <v>1399</v>
      </c>
      <c r="H2799" s="2" t="s">
        <v>1400</v>
      </c>
      <c r="I2799" s="4" t="s">
        <v>60</v>
      </c>
      <c r="J2799" s="112">
        <f>IF($H2799&lt;&gt;"Y",0,ROUND(MIN(Dashboard!$R$24,IF(IFERROR(VLOOKUP($B2799,Dashboard!$Q$28:$S$60,2,FALSE),0)&gt;0,IFERROR(VLOOKUP($B2799,Dashboard!$Q$28:$S$60,2,FALSE),0),$Z2799*IF($U2799&lt;&gt;"",ROUND((Dashboard!$R$4/$U2799)*VLOOKUP($I2799,Dashboard!$Q$9:$R$13,2,FALSE)*IF(ISNUMBER(SEARCH("Duals",$B2799)),2,IF(ISNUMBER(SEARCH("Triples",$B2799)),3,IF(ISNUMBER(SEARCH("Quads",$B2799)),4,1))),2),ROUND(VLOOKUP($I2799,Dashboard!$Q$15:$R$20,2,FALSE)*IF($E2799="Red",Dashboard!$R$6,IF($E2799="Gold",Dashboard!$R$7,Dashboard!$R$5))*IF(ISNUMBER(SEARCH("Duals",$B2799)),2,IF(ISNUMBER(SEARCH("Triples",$B2799)),3,IF(ISNUMBER(SEARCH("Quads",$B2799)),4,1))),2))*IF(IFERROR(VLOOKUP($B2799,Dashboard!$Q$28:$S$60,3,FALSE),0)&gt;0,VLOOKUP($B2799,Dashboard!$Q$28:$S$60,3,FALSE),1))),0))</f>
        <v>3</v>
      </c>
      <c r="K2799" s="2" t="str">
        <f>IF(Characters!E30="","",Characters!E30)</f>
        <v>C</v>
      </c>
      <c r="L2799" s="2">
        <f t="shared" si="572"/>
        <v>1</v>
      </c>
      <c r="M2799" s="2">
        <f t="shared" si="573"/>
        <v>0</v>
      </c>
      <c r="N2799" s="2">
        <f t="shared" si="574"/>
        <v>1</v>
      </c>
      <c r="O2799" s="2">
        <f t="shared" si="575"/>
        <v>0</v>
      </c>
      <c r="P2799" s="112">
        <f t="shared" si="576"/>
        <v>3</v>
      </c>
      <c r="Q2799" s="112">
        <f t="shared" si="577"/>
        <v>0</v>
      </c>
      <c r="R2799" s="53"/>
      <c r="S2799" s="53" t="str">
        <f t="shared" si="565"/>
        <v>Characters|Characters Gold Parallel|C-29|Gold</v>
      </c>
      <c r="T2799" s="57" t="str">
        <f>IF($S2799="","",IFERROR(VLOOKUP($S2799,'Pop Estimates (Non-#d)'!$N$2:$O$500,2,FALSE),""))</f>
        <v/>
      </c>
      <c r="U2799" s="57" t="str">
        <f t="shared" si="566"/>
        <v/>
      </c>
      <c r="V2799" s="53" t="str">
        <f t="shared" si="567"/>
        <v>Grace Mallory</v>
      </c>
      <c r="W2799" s="53" t="str">
        <f t="shared" si="568"/>
        <v>Grace Mallory</v>
      </c>
      <c r="X2799" s="53" t="str">
        <f t="shared" si="569"/>
        <v>Grace Mallory</v>
      </c>
      <c r="Y2799" s="57">
        <f>IF($X2799="","",IFERROR(VLOOKUP($X2799,'Char Popularity'!$A$2:$C$500,2,FALSE),""))</f>
        <v>4</v>
      </c>
      <c r="Z2799" s="56">
        <f>IF($X2799="",1,IFERROR(VLOOKUP($X2799,'Char Popularity'!$A$2:$C$500,3,FALSE),1))</f>
        <v>1.1000000000000001</v>
      </c>
      <c r="AA2799" s="62">
        <f>IF($H2799&lt;&gt;"Y",0,(IF($F2799&lt;&gt;"",ROUND(Dashboard!$R$4/$F2799,1),IF(AND($I2799="Base",$E2799="Base"),Dashboard!$R$5,IF(AND($I2799="Base",$E2799="Red"),Dashboard!$R$6,IF(AND($I2799="Base",$E2799="Gold"),Dashboard!$R$7,VLOOKUP($I2799,Dashboard!$Q$16:$R$21,2,FALSE)))))*VLOOKUP($I2799,Dashboard!$Q$9:$R$13,2,FALSE)*IF(AND($I2799="Auto",$F2799="",OR($B2799="Autographs Duals",$B2799="Autographs Triples",$B2799="Autographs Quads",$B2799="Autographs Quads (Inscribed)")),IF($B2799="Autographs Duals",2,IF($B2799="Autographs Triples",3,4)),1)))</f>
        <v>3</v>
      </c>
      <c r="AB2799" s="62">
        <f t="shared" si="570"/>
        <v>3</v>
      </c>
      <c r="AC2799" s="62">
        <f t="shared" si="571"/>
        <v>0</v>
      </c>
    </row>
    <row r="2800" spans="1:29" ht="28.7" customHeight="1" x14ac:dyDescent="0.25">
      <c r="A2800" s="4" t="s">
        <v>21</v>
      </c>
      <c r="B2800" s="7" t="s">
        <v>91</v>
      </c>
      <c r="C2800" s="2" t="s">
        <v>1239</v>
      </c>
      <c r="D2800" s="7" t="s">
        <v>1233</v>
      </c>
      <c r="E2800" s="4" t="s">
        <v>1602</v>
      </c>
      <c r="F2800" s="2"/>
      <c r="G2800" s="2" t="s">
        <v>1399</v>
      </c>
      <c r="H2800" s="2" t="s">
        <v>1400</v>
      </c>
      <c r="I2800" s="4" t="s">
        <v>60</v>
      </c>
      <c r="J2800" s="112">
        <f>IF($H2800&lt;&gt;"Y",0,ROUND(MIN(Dashboard!$R$24,IF(IFERROR(VLOOKUP($B2800,Dashboard!$Q$28:$S$60,2,FALSE),0)&gt;0,IFERROR(VLOOKUP($B2800,Dashboard!$Q$28:$S$60,2,FALSE),0),$Z2800*IF($U2800&lt;&gt;"",ROUND((Dashboard!$R$4/$U2800)*VLOOKUP($I2800,Dashboard!$Q$9:$R$13,2,FALSE)*IF(ISNUMBER(SEARCH("Duals",$B2800)),2,IF(ISNUMBER(SEARCH("Triples",$B2800)),3,IF(ISNUMBER(SEARCH("Quads",$B2800)),4,1))),2),ROUND(VLOOKUP($I2800,Dashboard!$Q$15:$R$20,2,FALSE)*IF($E2800="Red",Dashboard!$R$6,IF($E2800="Gold",Dashboard!$R$7,Dashboard!$R$5))*IF(ISNUMBER(SEARCH("Duals",$B2800)),2,IF(ISNUMBER(SEARCH("Triples",$B2800)),3,IF(ISNUMBER(SEARCH("Quads",$B2800)),4,1))),2))*IF(IFERROR(VLOOKUP($B2800,Dashboard!$Q$28:$S$60,3,FALSE),0)&gt;0,VLOOKUP($B2800,Dashboard!$Q$28:$S$60,3,FALSE),1))),0))</f>
        <v>3</v>
      </c>
      <c r="K2800" s="2" t="str">
        <f>IF(Characters!E31="","",Characters!E31)</f>
        <v>C</v>
      </c>
      <c r="L2800" s="2">
        <f t="shared" si="572"/>
        <v>1</v>
      </c>
      <c r="M2800" s="2">
        <f t="shared" si="573"/>
        <v>0</v>
      </c>
      <c r="N2800" s="2">
        <f t="shared" si="574"/>
        <v>1</v>
      </c>
      <c r="O2800" s="2">
        <f t="shared" si="575"/>
        <v>0</v>
      </c>
      <c r="P2800" s="112">
        <f t="shared" si="576"/>
        <v>3</v>
      </c>
      <c r="Q2800" s="112">
        <f t="shared" si="577"/>
        <v>0</v>
      </c>
      <c r="R2800" s="53"/>
      <c r="S2800" s="53" t="str">
        <f t="shared" si="565"/>
        <v>Characters|Characters Gold Parallel|C-30|Gold</v>
      </c>
      <c r="T2800" s="57" t="str">
        <f>IF($S2800="","",IFERROR(VLOOKUP($S2800,'Pop Estimates (Non-#d)'!$N$2:$O$500,2,FALSE),""))</f>
        <v/>
      </c>
      <c r="U2800" s="57" t="str">
        <f t="shared" si="566"/>
        <v/>
      </c>
      <c r="V2800" s="53" t="str">
        <f t="shared" si="567"/>
        <v>Mesmer</v>
      </c>
      <c r="W2800" s="53" t="str">
        <f t="shared" si="568"/>
        <v>Mesmer</v>
      </c>
      <c r="X2800" s="53" t="str">
        <f t="shared" si="569"/>
        <v>Mesmer</v>
      </c>
      <c r="Y2800" s="57">
        <f>IF($X2800="","",IFERROR(VLOOKUP($X2800,'Char Popularity'!$A$2:$C$500,2,FALSE),""))</f>
        <v>2</v>
      </c>
      <c r="Z2800" s="56">
        <f>IF($X2800="",1,IFERROR(VLOOKUP($X2800,'Char Popularity'!$A$2:$C$500,3,FALSE),1))</f>
        <v>0.9</v>
      </c>
      <c r="AA2800" s="62">
        <f>IF($H2800&lt;&gt;"Y",0,(IF($F2800&lt;&gt;"",ROUND(Dashboard!$R$4/$F2800,1),IF(AND($I2800="Base",$E2800="Base"),Dashboard!$R$5,IF(AND($I2800="Base",$E2800="Red"),Dashboard!$R$6,IF(AND($I2800="Base",$E2800="Gold"),Dashboard!$R$7,VLOOKUP($I2800,Dashboard!$Q$16:$R$21,2,FALSE)))))*VLOOKUP($I2800,Dashboard!$Q$9:$R$13,2,FALSE)*IF(AND($I2800="Auto",$F2800="",OR($B2800="Autographs Duals",$B2800="Autographs Triples",$B2800="Autographs Quads",$B2800="Autographs Quads (Inscribed)")),IF($B2800="Autographs Duals",2,IF($B2800="Autographs Triples",3,4)),1)))</f>
        <v>3</v>
      </c>
      <c r="AB2800" s="62">
        <f t="shared" si="570"/>
        <v>3</v>
      </c>
      <c r="AC2800" s="62">
        <f t="shared" si="571"/>
        <v>0</v>
      </c>
    </row>
    <row r="2801" spans="1:29" ht="28.7" customHeight="1" x14ac:dyDescent="0.25">
      <c r="A2801" s="4" t="s">
        <v>21</v>
      </c>
      <c r="B2801" s="7" t="s">
        <v>91</v>
      </c>
      <c r="C2801" s="2" t="s">
        <v>426</v>
      </c>
      <c r="D2801" s="7" t="s">
        <v>250</v>
      </c>
      <c r="E2801" s="4" t="s">
        <v>1602</v>
      </c>
      <c r="F2801" s="2"/>
      <c r="G2801" s="2" t="s">
        <v>1399</v>
      </c>
      <c r="H2801" s="2" t="s">
        <v>1400</v>
      </c>
      <c r="I2801" s="4" t="s">
        <v>60</v>
      </c>
      <c r="J2801" s="112">
        <f>IF($H2801&lt;&gt;"Y",0,ROUND(MIN(Dashboard!$R$24,IF(IFERROR(VLOOKUP($B2801,Dashboard!$Q$28:$S$60,2,FALSE),0)&gt;0,IFERROR(VLOOKUP($B2801,Dashboard!$Q$28:$S$60,2,FALSE),0),$Z2801*IF($U2801&lt;&gt;"",ROUND((Dashboard!$R$4/$U2801)*VLOOKUP($I2801,Dashboard!$Q$9:$R$13,2,FALSE)*IF(ISNUMBER(SEARCH("Duals",$B2801)),2,IF(ISNUMBER(SEARCH("Triples",$B2801)),3,IF(ISNUMBER(SEARCH("Quads",$B2801)),4,1))),2),ROUND(VLOOKUP($I2801,Dashboard!$Q$15:$R$20,2,FALSE)*IF($E2801="Red",Dashboard!$R$6,IF($E2801="Gold",Dashboard!$R$7,Dashboard!$R$5))*IF(ISNUMBER(SEARCH("Duals",$B2801)),2,IF(ISNUMBER(SEARCH("Triples",$B2801)),3,IF(ISNUMBER(SEARCH("Quads",$B2801)),4,1))),2))*IF(IFERROR(VLOOKUP($B2801,Dashboard!$Q$28:$S$60,3,FALSE),0)&gt;0,VLOOKUP($B2801,Dashboard!$Q$28:$S$60,3,FALSE),1))),0))</f>
        <v>3</v>
      </c>
      <c r="K2801" s="2" t="str">
        <f>IF(Characters!E32="","",Characters!E32)</f>
        <v>C</v>
      </c>
      <c r="L2801" s="2">
        <f t="shared" si="572"/>
        <v>1</v>
      </c>
      <c r="M2801" s="2">
        <f t="shared" si="573"/>
        <v>0</v>
      </c>
      <c r="N2801" s="2">
        <f t="shared" si="574"/>
        <v>1</v>
      </c>
      <c r="O2801" s="2">
        <f t="shared" si="575"/>
        <v>0</v>
      </c>
      <c r="P2801" s="112">
        <f t="shared" si="576"/>
        <v>3</v>
      </c>
      <c r="Q2801" s="112">
        <f t="shared" si="577"/>
        <v>0</v>
      </c>
      <c r="R2801" s="53"/>
      <c r="S2801" s="53" t="str">
        <f t="shared" si="565"/>
        <v>Characters|Characters Gold Parallel|C-31|Gold</v>
      </c>
      <c r="T2801" s="57" t="str">
        <f>IF($S2801="","",IFERROR(VLOOKUP($S2801,'Pop Estimates (Non-#d)'!$N$2:$O$500,2,FALSE),""))</f>
        <v/>
      </c>
      <c r="U2801" s="57" t="str">
        <f t="shared" si="566"/>
        <v/>
      </c>
      <c r="V2801" s="53" t="str">
        <f t="shared" si="567"/>
        <v>Madelyn Stillwell</v>
      </c>
      <c r="W2801" s="53" t="str">
        <f t="shared" si="568"/>
        <v>Madelyn Stillwell</v>
      </c>
      <c r="X2801" s="53" t="str">
        <f t="shared" si="569"/>
        <v>Madelyn Stillwell</v>
      </c>
      <c r="Y2801" s="57">
        <f>IF($X2801="","",IFERROR(VLOOKUP($X2801,'Char Popularity'!$A$2:$C$500,2,FALSE),""))</f>
        <v>3</v>
      </c>
      <c r="Z2801" s="56">
        <f>IF($X2801="",1,IFERROR(VLOOKUP($X2801,'Char Popularity'!$A$2:$C$500,3,FALSE),1))</f>
        <v>1</v>
      </c>
      <c r="AA2801" s="62">
        <f>IF($H2801&lt;&gt;"Y",0,(IF($F2801&lt;&gt;"",ROUND(Dashboard!$R$4/$F2801,1),IF(AND($I2801="Base",$E2801="Base"),Dashboard!$R$5,IF(AND($I2801="Base",$E2801="Red"),Dashboard!$R$6,IF(AND($I2801="Base",$E2801="Gold"),Dashboard!$R$7,VLOOKUP($I2801,Dashboard!$Q$16:$R$21,2,FALSE)))))*VLOOKUP($I2801,Dashboard!$Q$9:$R$13,2,FALSE)*IF(AND($I2801="Auto",$F2801="",OR($B2801="Autographs Duals",$B2801="Autographs Triples",$B2801="Autographs Quads",$B2801="Autographs Quads (Inscribed)")),IF($B2801="Autographs Duals",2,IF($B2801="Autographs Triples",3,4)),1)))</f>
        <v>3</v>
      </c>
      <c r="AB2801" s="62">
        <f t="shared" si="570"/>
        <v>3</v>
      </c>
      <c r="AC2801" s="62">
        <f t="shared" si="571"/>
        <v>0</v>
      </c>
    </row>
    <row r="2802" spans="1:29" ht="28.7" customHeight="1" x14ac:dyDescent="0.25">
      <c r="A2802" s="4" t="s">
        <v>21</v>
      </c>
      <c r="B2802" s="7" t="s">
        <v>91</v>
      </c>
      <c r="C2802" s="2" t="s">
        <v>1242</v>
      </c>
      <c r="D2802" s="7" t="s">
        <v>1243</v>
      </c>
      <c r="E2802" s="4" t="s">
        <v>1602</v>
      </c>
      <c r="F2802" s="2"/>
      <c r="G2802" s="2" t="s">
        <v>1399</v>
      </c>
      <c r="H2802" s="2" t="s">
        <v>1400</v>
      </c>
      <c r="I2802" s="4" t="s">
        <v>60</v>
      </c>
      <c r="J2802" s="112">
        <f>IF($H2802&lt;&gt;"Y",0,ROUND(MIN(Dashboard!$R$24,IF(IFERROR(VLOOKUP($B2802,Dashboard!$Q$28:$S$60,2,FALSE),0)&gt;0,IFERROR(VLOOKUP($B2802,Dashboard!$Q$28:$S$60,2,FALSE),0),$Z2802*IF($U2802&lt;&gt;"",ROUND((Dashboard!$R$4/$U2802)*VLOOKUP($I2802,Dashboard!$Q$9:$R$13,2,FALSE)*IF(ISNUMBER(SEARCH("Duals",$B2802)),2,IF(ISNUMBER(SEARCH("Triples",$B2802)),3,IF(ISNUMBER(SEARCH("Quads",$B2802)),4,1))),2),ROUND(VLOOKUP($I2802,Dashboard!$Q$15:$R$20,2,FALSE)*IF($E2802="Red",Dashboard!$R$6,IF($E2802="Gold",Dashboard!$R$7,Dashboard!$R$5))*IF(ISNUMBER(SEARCH("Duals",$B2802)),2,IF(ISNUMBER(SEARCH("Triples",$B2802)),3,IF(ISNUMBER(SEARCH("Quads",$B2802)),4,1))),2))*IF(IFERROR(VLOOKUP($B2802,Dashboard!$Q$28:$S$60,3,FALSE),0)&gt;0,VLOOKUP($B2802,Dashboard!$Q$28:$S$60,3,FALSE),1))),0))</f>
        <v>3</v>
      </c>
      <c r="K2802" s="2" t="str">
        <f>IF(Characters!E33="","",Characters!E33)</f>
        <v>C</v>
      </c>
      <c r="L2802" s="2">
        <f t="shared" si="572"/>
        <v>1</v>
      </c>
      <c r="M2802" s="2">
        <f t="shared" si="573"/>
        <v>0</v>
      </c>
      <c r="N2802" s="2">
        <f t="shared" si="574"/>
        <v>1</v>
      </c>
      <c r="O2802" s="2">
        <f t="shared" si="575"/>
        <v>0</v>
      </c>
      <c r="P2802" s="112">
        <f t="shared" si="576"/>
        <v>3</v>
      </c>
      <c r="Q2802" s="112">
        <f t="shared" si="577"/>
        <v>0</v>
      </c>
      <c r="R2802" s="53"/>
      <c r="S2802" s="53" t="str">
        <f t="shared" si="565"/>
        <v>Characters|Characters Gold Parallel|C-32|Gold</v>
      </c>
      <c r="T2802" s="57" t="str">
        <f>IF($S2802="","",IFERROR(VLOOKUP($S2802,'Pop Estimates (Non-#d)'!$N$2:$O$500,2,FALSE),""))</f>
        <v/>
      </c>
      <c r="U2802" s="57" t="str">
        <f t="shared" si="566"/>
        <v/>
      </c>
      <c r="V2802" s="53" t="str">
        <f t="shared" si="567"/>
        <v/>
      </c>
      <c r="W2802" s="53" t="str">
        <f t="shared" si="568"/>
        <v/>
      </c>
      <c r="X2802" s="53" t="str">
        <f t="shared" si="569"/>
        <v/>
      </c>
      <c r="Y2802" s="57" t="str">
        <f>IF($X2802="","",IFERROR(VLOOKUP($X2802,'Char Popularity'!$A$2:$C$500,2,FALSE),""))</f>
        <v/>
      </c>
      <c r="Z2802" s="56">
        <f>IF($X2802="",1,IFERROR(VLOOKUP($X2802,'Char Popularity'!$A$2:$C$500,3,FALSE),1))</f>
        <v>1</v>
      </c>
      <c r="AA2802" s="62">
        <f>IF($H2802&lt;&gt;"Y",0,(IF($F2802&lt;&gt;"",ROUND(Dashboard!$R$4/$F2802,1),IF(AND($I2802="Base",$E2802="Base"),Dashboard!$R$5,IF(AND($I2802="Base",$E2802="Red"),Dashboard!$R$6,IF(AND($I2802="Base",$E2802="Gold"),Dashboard!$R$7,VLOOKUP($I2802,Dashboard!$Q$16:$R$21,2,FALSE)))))*VLOOKUP($I2802,Dashboard!$Q$9:$R$13,2,FALSE)*IF(AND($I2802="Auto",$F2802="",OR($B2802="Autographs Duals",$B2802="Autographs Triples",$B2802="Autographs Quads",$B2802="Autographs Quads (Inscribed)")),IF($B2802="Autographs Duals",2,IF($B2802="Autographs Triples",3,4)),1)))</f>
        <v>3</v>
      </c>
      <c r="AB2802" s="62">
        <f t="shared" si="570"/>
        <v>3</v>
      </c>
      <c r="AC2802" s="62">
        <f t="shared" si="571"/>
        <v>0</v>
      </c>
    </row>
    <row r="2803" spans="1:29" ht="28.7" customHeight="1" x14ac:dyDescent="0.25">
      <c r="A2803" s="4" t="s">
        <v>21</v>
      </c>
      <c r="B2803" s="7" t="s">
        <v>91</v>
      </c>
      <c r="C2803" s="2" t="s">
        <v>1244</v>
      </c>
      <c r="D2803" s="7" t="s">
        <v>1245</v>
      </c>
      <c r="E2803" s="4" t="s">
        <v>1602</v>
      </c>
      <c r="F2803" s="2"/>
      <c r="G2803" s="2" t="s">
        <v>1399</v>
      </c>
      <c r="H2803" s="2" t="s">
        <v>1400</v>
      </c>
      <c r="I2803" s="4" t="s">
        <v>60</v>
      </c>
      <c r="J2803" s="112">
        <f>IF($H2803&lt;&gt;"Y",0,ROUND(MIN(Dashboard!$R$24,IF(IFERROR(VLOOKUP($B2803,Dashboard!$Q$28:$S$60,2,FALSE),0)&gt;0,IFERROR(VLOOKUP($B2803,Dashboard!$Q$28:$S$60,2,FALSE),0),$Z2803*IF($U2803&lt;&gt;"",ROUND((Dashboard!$R$4/$U2803)*VLOOKUP($I2803,Dashboard!$Q$9:$R$13,2,FALSE)*IF(ISNUMBER(SEARCH("Duals",$B2803)),2,IF(ISNUMBER(SEARCH("Triples",$B2803)),3,IF(ISNUMBER(SEARCH("Quads",$B2803)),4,1))),2),ROUND(VLOOKUP($I2803,Dashboard!$Q$15:$R$20,2,FALSE)*IF($E2803="Red",Dashboard!$R$6,IF($E2803="Gold",Dashboard!$R$7,Dashboard!$R$5))*IF(ISNUMBER(SEARCH("Duals",$B2803)),2,IF(ISNUMBER(SEARCH("Triples",$B2803)),3,IF(ISNUMBER(SEARCH("Quads",$B2803)),4,1))),2))*IF(IFERROR(VLOOKUP($B2803,Dashboard!$Q$28:$S$60,3,FALSE),0)&gt;0,VLOOKUP($B2803,Dashboard!$Q$28:$S$60,3,FALSE),1))),0))</f>
        <v>3</v>
      </c>
      <c r="K2803" s="2" t="str">
        <f>IF(Characters!E34="","",Characters!E34)</f>
        <v>C</v>
      </c>
      <c r="L2803" s="2">
        <f t="shared" si="572"/>
        <v>1</v>
      </c>
      <c r="M2803" s="2">
        <f t="shared" si="573"/>
        <v>0</v>
      </c>
      <c r="N2803" s="2">
        <f t="shared" si="574"/>
        <v>1</v>
      </c>
      <c r="O2803" s="2">
        <f t="shared" si="575"/>
        <v>0</v>
      </c>
      <c r="P2803" s="112">
        <f t="shared" si="576"/>
        <v>3</v>
      </c>
      <c r="Q2803" s="112">
        <f t="shared" si="577"/>
        <v>0</v>
      </c>
      <c r="R2803" s="53"/>
      <c r="S2803" s="53" t="str">
        <f t="shared" si="565"/>
        <v>Characters|Characters Gold Parallel|C-33|Gold</v>
      </c>
      <c r="T2803" s="57" t="str">
        <f>IF($S2803="","",IFERROR(VLOOKUP($S2803,'Pop Estimates (Non-#d)'!$N$2:$O$500,2,FALSE),""))</f>
        <v/>
      </c>
      <c r="U2803" s="57" t="str">
        <f t="shared" si="566"/>
        <v/>
      </c>
      <c r="V2803" s="53" t="str">
        <f t="shared" si="567"/>
        <v>Eagle the Archer</v>
      </c>
      <c r="W2803" s="53" t="str">
        <f t="shared" si="568"/>
        <v>Eagle the Archer</v>
      </c>
      <c r="X2803" s="53" t="str">
        <f t="shared" si="569"/>
        <v>Eagle the Archer</v>
      </c>
      <c r="Y2803" s="57">
        <f>IF($X2803="","",IFERROR(VLOOKUP($X2803,'Char Popularity'!$A$2:$C$500,2,FALSE),""))</f>
        <v>3</v>
      </c>
      <c r="Z2803" s="56">
        <f>IF($X2803="",1,IFERROR(VLOOKUP($X2803,'Char Popularity'!$A$2:$C$500,3,FALSE),1))</f>
        <v>1</v>
      </c>
      <c r="AA2803" s="62">
        <f>IF($H2803&lt;&gt;"Y",0,(IF($F2803&lt;&gt;"",ROUND(Dashboard!$R$4/$F2803,1),IF(AND($I2803="Base",$E2803="Base"),Dashboard!$R$5,IF(AND($I2803="Base",$E2803="Red"),Dashboard!$R$6,IF(AND($I2803="Base",$E2803="Gold"),Dashboard!$R$7,VLOOKUP($I2803,Dashboard!$Q$16:$R$21,2,FALSE)))))*VLOOKUP($I2803,Dashboard!$Q$9:$R$13,2,FALSE)*IF(AND($I2803="Auto",$F2803="",OR($B2803="Autographs Duals",$B2803="Autographs Triples",$B2803="Autographs Quads",$B2803="Autographs Quads (Inscribed)")),IF($B2803="Autographs Duals",2,IF($B2803="Autographs Triples",3,4)),1)))</f>
        <v>3</v>
      </c>
      <c r="AB2803" s="62">
        <f t="shared" si="570"/>
        <v>3</v>
      </c>
      <c r="AC2803" s="62">
        <f t="shared" si="571"/>
        <v>0</v>
      </c>
    </row>
    <row r="2804" spans="1:29" ht="28.7" customHeight="1" x14ac:dyDescent="0.25">
      <c r="A2804" s="4" t="s">
        <v>21</v>
      </c>
      <c r="B2804" s="7" t="s">
        <v>91</v>
      </c>
      <c r="C2804" s="2" t="s">
        <v>1247</v>
      </c>
      <c r="D2804" s="7" t="s">
        <v>1248</v>
      </c>
      <c r="E2804" s="4" t="s">
        <v>1602</v>
      </c>
      <c r="F2804" s="2"/>
      <c r="G2804" s="2" t="s">
        <v>1399</v>
      </c>
      <c r="H2804" s="2" t="s">
        <v>1400</v>
      </c>
      <c r="I2804" s="4" t="s">
        <v>60</v>
      </c>
      <c r="J2804" s="112">
        <f>IF($H2804&lt;&gt;"Y",0,ROUND(MIN(Dashboard!$R$24,IF(IFERROR(VLOOKUP($B2804,Dashboard!$Q$28:$S$60,2,FALSE),0)&gt;0,IFERROR(VLOOKUP($B2804,Dashboard!$Q$28:$S$60,2,FALSE),0),$Z2804*IF($U2804&lt;&gt;"",ROUND((Dashboard!$R$4/$U2804)*VLOOKUP($I2804,Dashboard!$Q$9:$R$13,2,FALSE)*IF(ISNUMBER(SEARCH("Duals",$B2804)),2,IF(ISNUMBER(SEARCH("Triples",$B2804)),3,IF(ISNUMBER(SEARCH("Quads",$B2804)),4,1))),2),ROUND(VLOOKUP($I2804,Dashboard!$Q$15:$R$20,2,FALSE)*IF($E2804="Red",Dashboard!$R$6,IF($E2804="Gold",Dashboard!$R$7,Dashboard!$R$5))*IF(ISNUMBER(SEARCH("Duals",$B2804)),2,IF(ISNUMBER(SEARCH("Triples",$B2804)),3,IF(ISNUMBER(SEARCH("Quads",$B2804)),4,1))),2))*IF(IFERROR(VLOOKUP($B2804,Dashboard!$Q$28:$S$60,3,FALSE),0)&gt;0,VLOOKUP($B2804,Dashboard!$Q$28:$S$60,3,FALSE),1))),0))</f>
        <v>3</v>
      </c>
      <c r="K2804" s="2" t="str">
        <f>IF(Characters!E35="","",Characters!E35)</f>
        <v>C</v>
      </c>
      <c r="L2804" s="2">
        <f t="shared" si="572"/>
        <v>1</v>
      </c>
      <c r="M2804" s="2">
        <f t="shared" si="573"/>
        <v>0</v>
      </c>
      <c r="N2804" s="2">
        <f t="shared" si="574"/>
        <v>1</v>
      </c>
      <c r="O2804" s="2">
        <f t="shared" si="575"/>
        <v>0</v>
      </c>
      <c r="P2804" s="112">
        <f t="shared" si="576"/>
        <v>3</v>
      </c>
      <c r="Q2804" s="112">
        <f t="shared" si="577"/>
        <v>0</v>
      </c>
      <c r="R2804" s="53"/>
      <c r="S2804" s="53" t="str">
        <f t="shared" si="565"/>
        <v>Characters|Characters Gold Parallel|C-34|Gold</v>
      </c>
      <c r="T2804" s="57" t="str">
        <f>IF($S2804="","",IFERROR(VLOOKUP($S2804,'Pop Estimates (Non-#d)'!$N$2:$O$500,2,FALSE),""))</f>
        <v/>
      </c>
      <c r="U2804" s="57" t="str">
        <f t="shared" si="566"/>
        <v/>
      </c>
      <c r="V2804" s="53" t="str">
        <f t="shared" si="567"/>
        <v>Carol</v>
      </c>
      <c r="W2804" s="53" t="str">
        <f t="shared" si="568"/>
        <v>Carol</v>
      </c>
      <c r="X2804" s="53" t="str">
        <f t="shared" si="569"/>
        <v>Carol</v>
      </c>
      <c r="Y2804" s="57">
        <f>IF($X2804="","",IFERROR(VLOOKUP($X2804,'Char Popularity'!$A$2:$C$500,2,FALSE),""))</f>
        <v>3</v>
      </c>
      <c r="Z2804" s="56">
        <f>IF($X2804="",1,IFERROR(VLOOKUP($X2804,'Char Popularity'!$A$2:$C$500,3,FALSE),1))</f>
        <v>1</v>
      </c>
      <c r="AA2804" s="62">
        <f>IF($H2804&lt;&gt;"Y",0,(IF($F2804&lt;&gt;"",ROUND(Dashboard!$R$4/$F2804,1),IF(AND($I2804="Base",$E2804="Base"),Dashboard!$R$5,IF(AND($I2804="Base",$E2804="Red"),Dashboard!$R$6,IF(AND($I2804="Base",$E2804="Gold"),Dashboard!$R$7,VLOOKUP($I2804,Dashboard!$Q$16:$R$21,2,FALSE)))))*VLOOKUP($I2804,Dashboard!$Q$9:$R$13,2,FALSE)*IF(AND($I2804="Auto",$F2804="",OR($B2804="Autographs Duals",$B2804="Autographs Triples",$B2804="Autographs Quads",$B2804="Autographs Quads (Inscribed)")),IF($B2804="Autographs Duals",2,IF($B2804="Autographs Triples",3,4)),1)))</f>
        <v>3</v>
      </c>
      <c r="AB2804" s="62">
        <f t="shared" si="570"/>
        <v>3</v>
      </c>
      <c r="AC2804" s="62">
        <f t="shared" si="571"/>
        <v>0</v>
      </c>
    </row>
    <row r="2805" spans="1:29" ht="28.7" customHeight="1" x14ac:dyDescent="0.25">
      <c r="A2805" s="4" t="s">
        <v>21</v>
      </c>
      <c r="B2805" s="7" t="s">
        <v>91</v>
      </c>
      <c r="C2805" s="2" t="s">
        <v>1250</v>
      </c>
      <c r="D2805" s="7" t="s">
        <v>1251</v>
      </c>
      <c r="E2805" s="4" t="s">
        <v>1602</v>
      </c>
      <c r="F2805" s="2"/>
      <c r="G2805" s="2" t="s">
        <v>1399</v>
      </c>
      <c r="H2805" s="2" t="s">
        <v>1400</v>
      </c>
      <c r="I2805" s="4" t="s">
        <v>60</v>
      </c>
      <c r="J2805" s="112">
        <f>IF($H2805&lt;&gt;"Y",0,ROUND(MIN(Dashboard!$R$24,IF(IFERROR(VLOOKUP($B2805,Dashboard!$Q$28:$S$60,2,FALSE),0)&gt;0,IFERROR(VLOOKUP($B2805,Dashboard!$Q$28:$S$60,2,FALSE),0),$Z2805*IF($U2805&lt;&gt;"",ROUND((Dashboard!$R$4/$U2805)*VLOOKUP($I2805,Dashboard!$Q$9:$R$13,2,FALSE)*IF(ISNUMBER(SEARCH("Duals",$B2805)),2,IF(ISNUMBER(SEARCH("Triples",$B2805)),3,IF(ISNUMBER(SEARCH("Quads",$B2805)),4,1))),2),ROUND(VLOOKUP($I2805,Dashboard!$Q$15:$R$20,2,FALSE)*IF($E2805="Red",Dashboard!$R$6,IF($E2805="Gold",Dashboard!$R$7,Dashboard!$R$5))*IF(ISNUMBER(SEARCH("Duals",$B2805)),2,IF(ISNUMBER(SEARCH("Triples",$B2805)),3,IF(ISNUMBER(SEARCH("Quads",$B2805)),4,1))),2))*IF(IFERROR(VLOOKUP($B2805,Dashboard!$Q$28:$S$60,3,FALSE),0)&gt;0,VLOOKUP($B2805,Dashboard!$Q$28:$S$60,3,FALSE),1))),0))</f>
        <v>3</v>
      </c>
      <c r="K2805" s="2" t="str">
        <f>IF(Characters!E36="","",Characters!E36)</f>
        <v>C</v>
      </c>
      <c r="L2805" s="2">
        <f t="shared" si="572"/>
        <v>1</v>
      </c>
      <c r="M2805" s="2">
        <f t="shared" si="573"/>
        <v>0</v>
      </c>
      <c r="N2805" s="2">
        <f t="shared" si="574"/>
        <v>1</v>
      </c>
      <c r="O2805" s="2">
        <f t="shared" si="575"/>
        <v>0</v>
      </c>
      <c r="P2805" s="112">
        <f t="shared" si="576"/>
        <v>3</v>
      </c>
      <c r="Q2805" s="112">
        <f t="shared" si="577"/>
        <v>0</v>
      </c>
      <c r="R2805" s="53"/>
      <c r="S2805" s="53" t="str">
        <f t="shared" si="565"/>
        <v>Characters|Characters Gold Parallel|C-35|Gold</v>
      </c>
      <c r="T2805" s="57" t="str">
        <f>IF($S2805="","",IFERROR(VLOOKUP($S2805,'Pop Estimates (Non-#d)'!$N$2:$O$500,2,FALSE),""))</f>
        <v/>
      </c>
      <c r="U2805" s="57" t="str">
        <f t="shared" si="566"/>
        <v/>
      </c>
      <c r="V2805" s="53" t="str">
        <f t="shared" si="567"/>
        <v>Kenji Miyashiro</v>
      </c>
      <c r="W2805" s="53" t="str">
        <f t="shared" si="568"/>
        <v>Kenji Miyashiro</v>
      </c>
      <c r="X2805" s="53" t="str">
        <f t="shared" si="569"/>
        <v>Kenji Miyashiro</v>
      </c>
      <c r="Y2805" s="57">
        <f>IF($X2805="","",IFERROR(VLOOKUP($X2805,'Char Popularity'!$A$2:$C$500,2,FALSE),""))</f>
        <v>2</v>
      </c>
      <c r="Z2805" s="56">
        <f>IF($X2805="",1,IFERROR(VLOOKUP($X2805,'Char Popularity'!$A$2:$C$500,3,FALSE),1))</f>
        <v>0.9</v>
      </c>
      <c r="AA2805" s="62">
        <f>IF($H2805&lt;&gt;"Y",0,(IF($F2805&lt;&gt;"",ROUND(Dashboard!$R$4/$F2805,1),IF(AND($I2805="Base",$E2805="Base"),Dashboard!$R$5,IF(AND($I2805="Base",$E2805="Red"),Dashboard!$R$6,IF(AND($I2805="Base",$E2805="Gold"),Dashboard!$R$7,VLOOKUP($I2805,Dashboard!$Q$16:$R$21,2,FALSE)))))*VLOOKUP($I2805,Dashboard!$Q$9:$R$13,2,FALSE)*IF(AND($I2805="Auto",$F2805="",OR($B2805="Autographs Duals",$B2805="Autographs Triples",$B2805="Autographs Quads",$B2805="Autographs Quads (Inscribed)")),IF($B2805="Autographs Duals",2,IF($B2805="Autographs Triples",3,4)),1)))</f>
        <v>3</v>
      </c>
      <c r="AB2805" s="62">
        <f t="shared" si="570"/>
        <v>3</v>
      </c>
      <c r="AC2805" s="62">
        <f t="shared" si="571"/>
        <v>0</v>
      </c>
    </row>
    <row r="2806" spans="1:29" ht="28.7" customHeight="1" x14ac:dyDescent="0.25">
      <c r="A2806" s="4" t="s">
        <v>21</v>
      </c>
      <c r="B2806" s="7" t="s">
        <v>91</v>
      </c>
      <c r="C2806" s="2" t="s">
        <v>1253</v>
      </c>
      <c r="D2806" s="7" t="s">
        <v>1254</v>
      </c>
      <c r="E2806" s="4" t="s">
        <v>1602</v>
      </c>
      <c r="F2806" s="2"/>
      <c r="G2806" s="2" t="s">
        <v>1399</v>
      </c>
      <c r="H2806" s="2" t="s">
        <v>1400</v>
      </c>
      <c r="I2806" s="4" t="s">
        <v>60</v>
      </c>
      <c r="J2806" s="112">
        <f>IF($H2806&lt;&gt;"Y",0,ROUND(MIN(Dashboard!$R$24,IF(IFERROR(VLOOKUP($B2806,Dashboard!$Q$28:$S$60,2,FALSE),0)&gt;0,IFERROR(VLOOKUP($B2806,Dashboard!$Q$28:$S$60,2,FALSE),0),$Z2806*IF($U2806&lt;&gt;"",ROUND((Dashboard!$R$4/$U2806)*VLOOKUP($I2806,Dashboard!$Q$9:$R$13,2,FALSE)*IF(ISNUMBER(SEARCH("Duals",$B2806)),2,IF(ISNUMBER(SEARCH("Triples",$B2806)),3,IF(ISNUMBER(SEARCH("Quads",$B2806)),4,1))),2),ROUND(VLOOKUP($I2806,Dashboard!$Q$15:$R$20,2,FALSE)*IF($E2806="Red",Dashboard!$R$6,IF($E2806="Gold",Dashboard!$R$7,Dashboard!$R$5))*IF(ISNUMBER(SEARCH("Duals",$B2806)),2,IF(ISNUMBER(SEARCH("Triples",$B2806)),3,IF(ISNUMBER(SEARCH("Quads",$B2806)),4,1))),2))*IF(IFERROR(VLOOKUP($B2806,Dashboard!$Q$28:$S$60,3,FALSE),0)&gt;0,VLOOKUP($B2806,Dashboard!$Q$28:$S$60,3,FALSE),1))),0))</f>
        <v>3</v>
      </c>
      <c r="K2806" s="2" t="str">
        <f>IF(Characters!E37="","",Characters!E37)</f>
        <v>C</v>
      </c>
      <c r="L2806" s="2">
        <f t="shared" si="572"/>
        <v>1</v>
      </c>
      <c r="M2806" s="2">
        <f t="shared" si="573"/>
        <v>0</v>
      </c>
      <c r="N2806" s="2">
        <f t="shared" si="574"/>
        <v>1</v>
      </c>
      <c r="O2806" s="2">
        <f t="shared" si="575"/>
        <v>0</v>
      </c>
      <c r="P2806" s="112">
        <f t="shared" si="576"/>
        <v>3</v>
      </c>
      <c r="Q2806" s="112">
        <f t="shared" si="577"/>
        <v>0</v>
      </c>
      <c r="R2806" s="53"/>
      <c r="S2806" s="53" t="str">
        <f t="shared" si="565"/>
        <v>Characters|Characters Gold Parallel|C-36|Gold</v>
      </c>
      <c r="T2806" s="57" t="str">
        <f>IF($S2806="","",IFERROR(VLOOKUP($S2806,'Pop Estimates (Non-#d)'!$N$2:$O$500,2,FALSE),""))</f>
        <v/>
      </c>
      <c r="U2806" s="57" t="str">
        <f t="shared" si="566"/>
        <v/>
      </c>
      <c r="V2806" s="53" t="str">
        <f t="shared" si="567"/>
        <v>Elena</v>
      </c>
      <c r="W2806" s="53" t="str">
        <f t="shared" si="568"/>
        <v>Elena</v>
      </c>
      <c r="X2806" s="53" t="str">
        <f t="shared" si="569"/>
        <v>Elena</v>
      </c>
      <c r="Y2806" s="57">
        <f>IF($X2806="","",IFERROR(VLOOKUP($X2806,'Char Popularity'!$A$2:$C$500,2,FALSE),""))</f>
        <v>3</v>
      </c>
      <c r="Z2806" s="56">
        <f>IF($X2806="",1,IFERROR(VLOOKUP($X2806,'Char Popularity'!$A$2:$C$500,3,FALSE),1))</f>
        <v>1</v>
      </c>
      <c r="AA2806" s="62">
        <f>IF($H2806&lt;&gt;"Y",0,(IF($F2806&lt;&gt;"",ROUND(Dashboard!$R$4/$F2806,1),IF(AND($I2806="Base",$E2806="Base"),Dashboard!$R$5,IF(AND($I2806="Base",$E2806="Red"),Dashboard!$R$6,IF(AND($I2806="Base",$E2806="Gold"),Dashboard!$R$7,VLOOKUP($I2806,Dashboard!$Q$16:$R$21,2,FALSE)))))*VLOOKUP($I2806,Dashboard!$Q$9:$R$13,2,FALSE)*IF(AND($I2806="Auto",$F2806="",OR($B2806="Autographs Duals",$B2806="Autographs Triples",$B2806="Autographs Quads",$B2806="Autographs Quads (Inscribed)")),IF($B2806="Autographs Duals",2,IF($B2806="Autographs Triples",3,4)),1)))</f>
        <v>3</v>
      </c>
      <c r="AB2806" s="62">
        <f t="shared" si="570"/>
        <v>3</v>
      </c>
      <c r="AC2806" s="62">
        <f t="shared" si="571"/>
        <v>0</v>
      </c>
    </row>
    <row r="2807" spans="1:29" ht="28.7" customHeight="1" x14ac:dyDescent="0.25">
      <c r="A2807" s="4" t="s">
        <v>21</v>
      </c>
      <c r="B2807" s="7" t="s">
        <v>91</v>
      </c>
      <c r="C2807" s="2" t="s">
        <v>1255</v>
      </c>
      <c r="D2807" s="7" t="s">
        <v>1256</v>
      </c>
      <c r="E2807" s="4" t="s">
        <v>1602</v>
      </c>
      <c r="F2807" s="2"/>
      <c r="G2807" s="2" t="s">
        <v>1399</v>
      </c>
      <c r="H2807" s="2" t="s">
        <v>1400</v>
      </c>
      <c r="I2807" s="4" t="s">
        <v>60</v>
      </c>
      <c r="J2807" s="112">
        <f>IF($H2807&lt;&gt;"Y",0,ROUND(MIN(Dashboard!$R$24,IF(IFERROR(VLOOKUP($B2807,Dashboard!$Q$28:$S$60,2,FALSE),0)&gt;0,IFERROR(VLOOKUP($B2807,Dashboard!$Q$28:$S$60,2,FALSE),0),$Z2807*IF($U2807&lt;&gt;"",ROUND((Dashboard!$R$4/$U2807)*VLOOKUP($I2807,Dashboard!$Q$9:$R$13,2,FALSE)*IF(ISNUMBER(SEARCH("Duals",$B2807)),2,IF(ISNUMBER(SEARCH("Triples",$B2807)),3,IF(ISNUMBER(SEARCH("Quads",$B2807)),4,1))),2),ROUND(VLOOKUP($I2807,Dashboard!$Q$15:$R$20,2,FALSE)*IF($E2807="Red",Dashboard!$R$6,IF($E2807="Gold",Dashboard!$R$7,Dashboard!$R$5))*IF(ISNUMBER(SEARCH("Duals",$B2807)),2,IF(ISNUMBER(SEARCH("Triples",$B2807)),3,IF(ISNUMBER(SEARCH("Quads",$B2807)),4,1))),2))*IF(IFERROR(VLOOKUP($B2807,Dashboard!$Q$28:$S$60,3,FALSE),0)&gt;0,VLOOKUP($B2807,Dashboard!$Q$28:$S$60,3,FALSE),1))),0))</f>
        <v>3</v>
      </c>
      <c r="K2807" s="2" t="str">
        <f>IF(Characters!E38="","",Characters!E38)</f>
        <v>C</v>
      </c>
      <c r="L2807" s="2">
        <f t="shared" si="572"/>
        <v>1</v>
      </c>
      <c r="M2807" s="2">
        <f t="shared" si="573"/>
        <v>0</v>
      </c>
      <c r="N2807" s="2">
        <f t="shared" si="574"/>
        <v>1</v>
      </c>
      <c r="O2807" s="2">
        <f t="shared" si="575"/>
        <v>0</v>
      </c>
      <c r="P2807" s="112">
        <f t="shared" si="576"/>
        <v>3</v>
      </c>
      <c r="Q2807" s="112">
        <f t="shared" si="577"/>
        <v>0</v>
      </c>
      <c r="R2807" s="53"/>
      <c r="S2807" s="53" t="str">
        <f t="shared" si="565"/>
        <v>Characters|Characters Gold Parallel|C-37|Gold</v>
      </c>
      <c r="T2807" s="57" t="str">
        <f>IF($S2807="","",IFERROR(VLOOKUP($S2807,'Pop Estimates (Non-#d)'!$N$2:$O$500,2,FALSE),""))</f>
        <v/>
      </c>
      <c r="U2807" s="57" t="str">
        <f t="shared" si="566"/>
        <v/>
      </c>
      <c r="V2807" s="53" t="str">
        <f t="shared" si="567"/>
        <v>Nathan Franklin</v>
      </c>
      <c r="W2807" s="53" t="str">
        <f t="shared" si="568"/>
        <v>Nathan Franklin</v>
      </c>
      <c r="X2807" s="53" t="str">
        <f t="shared" si="569"/>
        <v>Nathan Franklin</v>
      </c>
      <c r="Y2807" s="57">
        <f>IF($X2807="","",IFERROR(VLOOKUP($X2807,'Char Popularity'!$A$2:$C$500,2,FALSE),""))</f>
        <v>2</v>
      </c>
      <c r="Z2807" s="56">
        <f>IF($X2807="",1,IFERROR(VLOOKUP($X2807,'Char Popularity'!$A$2:$C$500,3,FALSE),1))</f>
        <v>0.9</v>
      </c>
      <c r="AA2807" s="62">
        <f>IF($H2807&lt;&gt;"Y",0,(IF($F2807&lt;&gt;"",ROUND(Dashboard!$R$4/$F2807,1),IF(AND($I2807="Base",$E2807="Base"),Dashboard!$R$5,IF(AND($I2807="Base",$E2807="Red"),Dashboard!$R$6,IF(AND($I2807="Base",$E2807="Gold"),Dashboard!$R$7,VLOOKUP($I2807,Dashboard!$Q$16:$R$21,2,FALSE)))))*VLOOKUP($I2807,Dashboard!$Q$9:$R$13,2,FALSE)*IF(AND($I2807="Auto",$F2807="",OR($B2807="Autographs Duals",$B2807="Autographs Triples",$B2807="Autographs Quads",$B2807="Autographs Quads (Inscribed)")),IF($B2807="Autographs Duals",2,IF($B2807="Autographs Triples",3,4)),1)))</f>
        <v>3</v>
      </c>
      <c r="AB2807" s="62">
        <f t="shared" si="570"/>
        <v>3</v>
      </c>
      <c r="AC2807" s="62">
        <f t="shared" si="571"/>
        <v>0</v>
      </c>
    </row>
    <row r="2808" spans="1:29" ht="28.7" customHeight="1" x14ac:dyDescent="0.25">
      <c r="A2808" s="4" t="s">
        <v>21</v>
      </c>
      <c r="B2808" s="7" t="s">
        <v>91</v>
      </c>
      <c r="C2808" s="2" t="s">
        <v>1257</v>
      </c>
      <c r="D2808" s="7" t="s">
        <v>1235</v>
      </c>
      <c r="E2808" s="4" t="s">
        <v>1602</v>
      </c>
      <c r="F2808" s="2"/>
      <c r="G2808" s="2" t="s">
        <v>1399</v>
      </c>
      <c r="H2808" s="2" t="s">
        <v>1400</v>
      </c>
      <c r="I2808" s="4" t="s">
        <v>60</v>
      </c>
      <c r="J2808" s="112">
        <f>IF($H2808&lt;&gt;"Y",0,ROUND(MIN(Dashboard!$R$24,IF(IFERROR(VLOOKUP($B2808,Dashboard!$Q$28:$S$60,2,FALSE),0)&gt;0,IFERROR(VLOOKUP($B2808,Dashboard!$Q$28:$S$60,2,FALSE),0),$Z2808*IF($U2808&lt;&gt;"",ROUND((Dashboard!$R$4/$U2808)*VLOOKUP($I2808,Dashboard!$Q$9:$R$13,2,FALSE)*IF(ISNUMBER(SEARCH("Duals",$B2808)),2,IF(ISNUMBER(SEARCH("Triples",$B2808)),3,IF(ISNUMBER(SEARCH("Quads",$B2808)),4,1))),2),ROUND(VLOOKUP($I2808,Dashboard!$Q$15:$R$20,2,FALSE)*IF($E2808="Red",Dashboard!$R$6,IF($E2808="Gold",Dashboard!$R$7,Dashboard!$R$5))*IF(ISNUMBER(SEARCH("Duals",$B2808)),2,IF(ISNUMBER(SEARCH("Triples",$B2808)),3,IF(ISNUMBER(SEARCH("Quads",$B2808)),4,1))),2))*IF(IFERROR(VLOOKUP($B2808,Dashboard!$Q$28:$S$60,3,FALSE),0)&gt;0,VLOOKUP($B2808,Dashboard!$Q$28:$S$60,3,FALSE),1))),0))</f>
        <v>3</v>
      </c>
      <c r="K2808" s="2" t="str">
        <f>IF(Characters!E39="","",Characters!E39)</f>
        <v>C</v>
      </c>
      <c r="L2808" s="2">
        <f t="shared" si="572"/>
        <v>1</v>
      </c>
      <c r="M2808" s="2">
        <f t="shared" si="573"/>
        <v>0</v>
      </c>
      <c r="N2808" s="2">
        <f t="shared" si="574"/>
        <v>1</v>
      </c>
      <c r="O2808" s="2">
        <f t="shared" si="575"/>
        <v>0</v>
      </c>
      <c r="P2808" s="112">
        <f t="shared" si="576"/>
        <v>3</v>
      </c>
      <c r="Q2808" s="112">
        <f t="shared" si="577"/>
        <v>0</v>
      </c>
      <c r="R2808" s="53"/>
      <c r="S2808" s="53" t="str">
        <f t="shared" si="565"/>
        <v>Characters|Characters Gold Parallel|C-38|Gold</v>
      </c>
      <c r="T2808" s="57" t="str">
        <f>IF($S2808="","",IFERROR(VLOOKUP($S2808,'Pop Estimates (Non-#d)'!$N$2:$O$500,2,FALSE),""))</f>
        <v/>
      </c>
      <c r="U2808" s="57" t="str">
        <f t="shared" si="566"/>
        <v/>
      </c>
      <c r="V2808" s="53" t="str">
        <f t="shared" si="567"/>
        <v>Hughie Campbell Sr.</v>
      </c>
      <c r="W2808" s="53" t="str">
        <f t="shared" si="568"/>
        <v>Hughie Campbell Sr.</v>
      </c>
      <c r="X2808" s="53" t="str">
        <f t="shared" si="569"/>
        <v>Hughie Campbell Sr.</v>
      </c>
      <c r="Y2808" s="57">
        <f>IF($X2808="","",IFERROR(VLOOKUP($X2808,'Char Popularity'!$A$2:$C$500,2,FALSE),""))</f>
        <v>3</v>
      </c>
      <c r="Z2808" s="56">
        <f>IF($X2808="",1,IFERROR(VLOOKUP($X2808,'Char Popularity'!$A$2:$C$500,3,FALSE),1))</f>
        <v>1</v>
      </c>
      <c r="AA2808" s="62">
        <f>IF($H2808&lt;&gt;"Y",0,(IF($F2808&lt;&gt;"",ROUND(Dashboard!$R$4/$F2808,1),IF(AND($I2808="Base",$E2808="Base"),Dashboard!$R$5,IF(AND($I2808="Base",$E2808="Red"),Dashboard!$R$6,IF(AND($I2808="Base",$E2808="Gold"),Dashboard!$R$7,VLOOKUP($I2808,Dashboard!$Q$16:$R$21,2,FALSE)))))*VLOOKUP($I2808,Dashboard!$Q$9:$R$13,2,FALSE)*IF(AND($I2808="Auto",$F2808="",OR($B2808="Autographs Duals",$B2808="Autographs Triples",$B2808="Autographs Quads",$B2808="Autographs Quads (Inscribed)")),IF($B2808="Autographs Duals",2,IF($B2808="Autographs Triples",3,4)),1)))</f>
        <v>3</v>
      </c>
      <c r="AB2808" s="62">
        <f t="shared" si="570"/>
        <v>3</v>
      </c>
      <c r="AC2808" s="62">
        <f t="shared" si="571"/>
        <v>0</v>
      </c>
    </row>
    <row r="2809" spans="1:29" ht="28.7" customHeight="1" x14ac:dyDescent="0.25">
      <c r="A2809" s="4" t="s">
        <v>21</v>
      </c>
      <c r="B2809" s="7" t="s">
        <v>91</v>
      </c>
      <c r="C2809" s="2" t="s">
        <v>427</v>
      </c>
      <c r="D2809" s="7" t="s">
        <v>283</v>
      </c>
      <c r="E2809" s="4" t="s">
        <v>1602</v>
      </c>
      <c r="F2809" s="2"/>
      <c r="G2809" s="2" t="s">
        <v>1399</v>
      </c>
      <c r="H2809" s="2" t="s">
        <v>1400</v>
      </c>
      <c r="I2809" s="4" t="s">
        <v>60</v>
      </c>
      <c r="J2809" s="112">
        <f>IF($H2809&lt;&gt;"Y",0,ROUND(MIN(Dashboard!$R$24,IF(IFERROR(VLOOKUP($B2809,Dashboard!$Q$28:$S$60,2,FALSE),0)&gt;0,IFERROR(VLOOKUP($B2809,Dashboard!$Q$28:$S$60,2,FALSE),0),$Z2809*IF($U2809&lt;&gt;"",ROUND((Dashboard!$R$4/$U2809)*VLOOKUP($I2809,Dashboard!$Q$9:$R$13,2,FALSE)*IF(ISNUMBER(SEARCH("Duals",$B2809)),2,IF(ISNUMBER(SEARCH("Triples",$B2809)),3,IF(ISNUMBER(SEARCH("Quads",$B2809)),4,1))),2),ROUND(VLOOKUP($I2809,Dashboard!$Q$15:$R$20,2,FALSE)*IF($E2809="Red",Dashboard!$R$6,IF($E2809="Gold",Dashboard!$R$7,Dashboard!$R$5))*IF(ISNUMBER(SEARCH("Duals",$B2809)),2,IF(ISNUMBER(SEARCH("Triples",$B2809)),3,IF(ISNUMBER(SEARCH("Quads",$B2809)),4,1))),2))*IF(IFERROR(VLOOKUP($B2809,Dashboard!$Q$28:$S$60,3,FALSE),0)&gt;0,VLOOKUP($B2809,Dashboard!$Q$28:$S$60,3,FALSE),1))),0))</f>
        <v>3</v>
      </c>
      <c r="K2809" s="2" t="str">
        <f>IF(Characters!E40="","",Characters!E40)</f>
        <v>C</v>
      </c>
      <c r="L2809" s="2">
        <f t="shared" si="572"/>
        <v>1</v>
      </c>
      <c r="M2809" s="2">
        <f t="shared" si="573"/>
        <v>0</v>
      </c>
      <c r="N2809" s="2">
        <f t="shared" si="574"/>
        <v>1</v>
      </c>
      <c r="O2809" s="2">
        <f t="shared" si="575"/>
        <v>0</v>
      </c>
      <c r="P2809" s="112">
        <f t="shared" si="576"/>
        <v>3</v>
      </c>
      <c r="Q2809" s="112">
        <f t="shared" si="577"/>
        <v>0</v>
      </c>
      <c r="R2809" s="53"/>
      <c r="S2809" s="53" t="str">
        <f t="shared" si="565"/>
        <v>Characters|Characters Gold Parallel|C-39|Gold</v>
      </c>
      <c r="T2809" s="57" t="str">
        <f>IF($S2809="","",IFERROR(VLOOKUP($S2809,'Pop Estimates (Non-#d)'!$N$2:$O$500,2,FALSE),""))</f>
        <v/>
      </c>
      <c r="U2809" s="57" t="str">
        <f t="shared" si="566"/>
        <v/>
      </c>
      <c r="V2809" s="53" t="str">
        <f t="shared" si="567"/>
        <v>Black Noir</v>
      </c>
      <c r="W2809" s="53" t="str">
        <f t="shared" si="568"/>
        <v>Black Noir</v>
      </c>
      <c r="X2809" s="53" t="str">
        <f t="shared" si="569"/>
        <v>Black Noir</v>
      </c>
      <c r="Y2809" s="57">
        <f>IF($X2809="","",IFERROR(VLOOKUP($X2809,'Char Popularity'!$A$2:$C$500,2,FALSE),""))</f>
        <v>4</v>
      </c>
      <c r="Z2809" s="56">
        <f>IF($X2809="",1,IFERROR(VLOOKUP($X2809,'Char Popularity'!$A$2:$C$500,3,FALSE),1))</f>
        <v>1.1000000000000001</v>
      </c>
      <c r="AA2809" s="62">
        <f>IF($H2809&lt;&gt;"Y",0,(IF($F2809&lt;&gt;"",ROUND(Dashboard!$R$4/$F2809,1),IF(AND($I2809="Base",$E2809="Base"),Dashboard!$R$5,IF(AND($I2809="Base",$E2809="Red"),Dashboard!$R$6,IF(AND($I2809="Base",$E2809="Gold"),Dashboard!$R$7,VLOOKUP($I2809,Dashboard!$Q$16:$R$21,2,FALSE)))))*VLOOKUP($I2809,Dashboard!$Q$9:$R$13,2,FALSE)*IF(AND($I2809="Auto",$F2809="",OR($B2809="Autographs Duals",$B2809="Autographs Triples",$B2809="Autographs Quads",$B2809="Autographs Quads (Inscribed)")),IF($B2809="Autographs Duals",2,IF($B2809="Autographs Triples",3,4)),1)))</f>
        <v>3</v>
      </c>
      <c r="AB2809" s="62">
        <f t="shared" si="570"/>
        <v>3</v>
      </c>
      <c r="AC2809" s="62">
        <f t="shared" si="571"/>
        <v>0</v>
      </c>
    </row>
    <row r="2810" spans="1:29" ht="28.7" customHeight="1" x14ac:dyDescent="0.25">
      <c r="A2810" s="4" t="s">
        <v>21</v>
      </c>
      <c r="B2810" s="7" t="s">
        <v>91</v>
      </c>
      <c r="C2810" s="2" t="s">
        <v>429</v>
      </c>
      <c r="D2810" s="7" t="s">
        <v>238</v>
      </c>
      <c r="E2810" s="4" t="s">
        <v>1602</v>
      </c>
      <c r="F2810" s="2"/>
      <c r="G2810" s="2" t="s">
        <v>1399</v>
      </c>
      <c r="H2810" s="2" t="s">
        <v>1400</v>
      </c>
      <c r="I2810" s="4" t="s">
        <v>60</v>
      </c>
      <c r="J2810" s="112">
        <f>IF($H2810&lt;&gt;"Y",0,ROUND(MIN(Dashboard!$R$24,IF(IFERROR(VLOOKUP($B2810,Dashboard!$Q$28:$S$60,2,FALSE),0)&gt;0,IFERROR(VLOOKUP($B2810,Dashboard!$Q$28:$S$60,2,FALSE),0),$Z2810*IF($U2810&lt;&gt;"",ROUND((Dashboard!$R$4/$U2810)*VLOOKUP($I2810,Dashboard!$Q$9:$R$13,2,FALSE)*IF(ISNUMBER(SEARCH("Duals",$B2810)),2,IF(ISNUMBER(SEARCH("Triples",$B2810)),3,IF(ISNUMBER(SEARCH("Quads",$B2810)),4,1))),2),ROUND(VLOOKUP($I2810,Dashboard!$Q$15:$R$20,2,FALSE)*IF($E2810="Red",Dashboard!$R$6,IF($E2810="Gold",Dashboard!$R$7,Dashboard!$R$5))*IF(ISNUMBER(SEARCH("Duals",$B2810)),2,IF(ISNUMBER(SEARCH("Triples",$B2810)),3,IF(ISNUMBER(SEARCH("Quads",$B2810)),4,1))),2))*IF(IFERROR(VLOOKUP($B2810,Dashboard!$Q$28:$S$60,3,FALSE),0)&gt;0,VLOOKUP($B2810,Dashboard!$Q$28:$S$60,3,FALSE),1))),0))</f>
        <v>3</v>
      </c>
      <c r="K2810" s="2" t="str">
        <f>IF(Characters!E41="","",Characters!E41)</f>
        <v>C</v>
      </c>
      <c r="L2810" s="2">
        <f t="shared" si="572"/>
        <v>1</v>
      </c>
      <c r="M2810" s="2">
        <f t="shared" si="573"/>
        <v>0</v>
      </c>
      <c r="N2810" s="2">
        <f t="shared" si="574"/>
        <v>1</v>
      </c>
      <c r="O2810" s="2">
        <f t="shared" si="575"/>
        <v>0</v>
      </c>
      <c r="P2810" s="112">
        <f t="shared" si="576"/>
        <v>3</v>
      </c>
      <c r="Q2810" s="112">
        <f t="shared" si="577"/>
        <v>0</v>
      </c>
      <c r="R2810" s="53"/>
      <c r="S2810" s="53" t="str">
        <f t="shared" si="565"/>
        <v>Characters|Characters Gold Parallel|C-40|Gold</v>
      </c>
      <c r="T2810" s="57" t="str">
        <f>IF($S2810="","",IFERROR(VLOOKUP($S2810,'Pop Estimates (Non-#d)'!$N$2:$O$500,2,FALSE),""))</f>
        <v/>
      </c>
      <c r="U2810" s="57" t="str">
        <f t="shared" si="566"/>
        <v/>
      </c>
      <c r="V2810" s="53" t="str">
        <f t="shared" si="567"/>
        <v>Frenchie</v>
      </c>
      <c r="W2810" s="53" t="str">
        <f t="shared" si="568"/>
        <v>Frenchie</v>
      </c>
      <c r="X2810" s="53" t="str">
        <f t="shared" si="569"/>
        <v>Frenchie</v>
      </c>
      <c r="Y2810" s="57">
        <f>IF($X2810="","",IFERROR(VLOOKUP($X2810,'Char Popularity'!$A$2:$C$500,2,FALSE),""))</f>
        <v>4</v>
      </c>
      <c r="Z2810" s="56">
        <f>IF($X2810="",1,IFERROR(VLOOKUP($X2810,'Char Popularity'!$A$2:$C$500,3,FALSE),1))</f>
        <v>1.1000000000000001</v>
      </c>
      <c r="AA2810" s="62">
        <f>IF($H2810&lt;&gt;"Y",0,(IF($F2810&lt;&gt;"",ROUND(Dashboard!$R$4/$F2810,1),IF(AND($I2810="Base",$E2810="Base"),Dashboard!$R$5,IF(AND($I2810="Base",$E2810="Red"),Dashboard!$R$6,IF(AND($I2810="Base",$E2810="Gold"),Dashboard!$R$7,VLOOKUP($I2810,Dashboard!$Q$16:$R$21,2,FALSE)))))*VLOOKUP($I2810,Dashboard!$Q$9:$R$13,2,FALSE)*IF(AND($I2810="Auto",$F2810="",OR($B2810="Autographs Duals",$B2810="Autographs Triples",$B2810="Autographs Quads",$B2810="Autographs Quads (Inscribed)")),IF($B2810="Autographs Duals",2,IF($B2810="Autographs Triples",3,4)),1)))</f>
        <v>3</v>
      </c>
      <c r="AB2810" s="62">
        <f t="shared" si="570"/>
        <v>3</v>
      </c>
      <c r="AC2810" s="62">
        <f t="shared" si="571"/>
        <v>0</v>
      </c>
    </row>
    <row r="2811" spans="1:29" ht="28.7" customHeight="1" x14ac:dyDescent="0.25">
      <c r="A2811" s="4" t="s">
        <v>21</v>
      </c>
      <c r="B2811" s="7" t="s">
        <v>91</v>
      </c>
      <c r="C2811" s="2" t="s">
        <v>1260</v>
      </c>
      <c r="D2811" s="7" t="s">
        <v>539</v>
      </c>
      <c r="E2811" s="4" t="s">
        <v>1602</v>
      </c>
      <c r="F2811" s="2"/>
      <c r="G2811" s="2" t="s">
        <v>1399</v>
      </c>
      <c r="H2811" s="2" t="s">
        <v>1400</v>
      </c>
      <c r="I2811" s="4" t="s">
        <v>60</v>
      </c>
      <c r="J2811" s="112">
        <f>IF($H2811&lt;&gt;"Y",0,ROUND(MIN(Dashboard!$R$24,IF(IFERROR(VLOOKUP($B2811,Dashboard!$Q$28:$S$60,2,FALSE),0)&gt;0,IFERROR(VLOOKUP($B2811,Dashboard!$Q$28:$S$60,2,FALSE),0),$Z2811*IF($U2811&lt;&gt;"",ROUND((Dashboard!$R$4/$U2811)*VLOOKUP($I2811,Dashboard!$Q$9:$R$13,2,FALSE)*IF(ISNUMBER(SEARCH("Duals",$B2811)),2,IF(ISNUMBER(SEARCH("Triples",$B2811)),3,IF(ISNUMBER(SEARCH("Quads",$B2811)),4,1))),2),ROUND(VLOOKUP($I2811,Dashboard!$Q$15:$R$20,2,FALSE)*IF($E2811="Red",Dashboard!$R$6,IF($E2811="Gold",Dashboard!$R$7,Dashboard!$R$5))*IF(ISNUMBER(SEARCH("Duals",$B2811)),2,IF(ISNUMBER(SEARCH("Triples",$B2811)),3,IF(ISNUMBER(SEARCH("Quads",$B2811)),4,1))),2))*IF(IFERROR(VLOOKUP($B2811,Dashboard!$Q$28:$S$60,3,FALSE),0)&gt;0,VLOOKUP($B2811,Dashboard!$Q$28:$S$60,3,FALSE),1))),0))</f>
        <v>3</v>
      </c>
      <c r="K2811" s="2" t="str">
        <f>IF(Characters!E42="","",Characters!E42)</f>
        <v>C</v>
      </c>
      <c r="L2811" s="2">
        <f t="shared" si="572"/>
        <v>1</v>
      </c>
      <c r="M2811" s="2">
        <f t="shared" si="573"/>
        <v>0</v>
      </c>
      <c r="N2811" s="2">
        <f t="shared" si="574"/>
        <v>1</v>
      </c>
      <c r="O2811" s="2">
        <f t="shared" si="575"/>
        <v>0</v>
      </c>
      <c r="P2811" s="112">
        <f t="shared" si="576"/>
        <v>3</v>
      </c>
      <c r="Q2811" s="112">
        <f t="shared" si="577"/>
        <v>0</v>
      </c>
      <c r="R2811" s="53"/>
      <c r="S2811" s="53" t="str">
        <f t="shared" si="565"/>
        <v>Characters|Characters Gold Parallel|C-41|Gold</v>
      </c>
      <c r="T2811" s="57" t="str">
        <f>IF($S2811="","",IFERROR(VLOOKUP($S2811,'Pop Estimates (Non-#d)'!$N$2:$O$500,2,FALSE),""))</f>
        <v/>
      </c>
      <c r="U2811" s="57" t="str">
        <f t="shared" si="566"/>
        <v/>
      </c>
      <c r="V2811" s="53" t="str">
        <f t="shared" si="567"/>
        <v/>
      </c>
      <c r="W2811" s="53" t="str">
        <f t="shared" si="568"/>
        <v/>
      </c>
      <c r="X2811" s="53" t="str">
        <f t="shared" si="569"/>
        <v/>
      </c>
      <c r="Y2811" s="57" t="str">
        <f>IF($X2811="","",IFERROR(VLOOKUP($X2811,'Char Popularity'!$A$2:$C$500,2,FALSE),""))</f>
        <v/>
      </c>
      <c r="Z2811" s="56">
        <f>IF($X2811="",1,IFERROR(VLOOKUP($X2811,'Char Popularity'!$A$2:$C$500,3,FALSE),1))</f>
        <v>1</v>
      </c>
      <c r="AA2811" s="62">
        <f>IF($H2811&lt;&gt;"Y",0,(IF($F2811&lt;&gt;"",ROUND(Dashboard!$R$4/$F2811,1),IF(AND($I2811="Base",$E2811="Base"),Dashboard!$R$5,IF(AND($I2811="Base",$E2811="Red"),Dashboard!$R$6,IF(AND($I2811="Base",$E2811="Gold"),Dashboard!$R$7,VLOOKUP($I2811,Dashboard!$Q$16:$R$21,2,FALSE)))))*VLOOKUP($I2811,Dashboard!$Q$9:$R$13,2,FALSE)*IF(AND($I2811="Auto",$F2811="",OR($B2811="Autographs Duals",$B2811="Autographs Triples",$B2811="Autographs Quads",$B2811="Autographs Quads (Inscribed)")),IF($B2811="Autographs Duals",2,IF($B2811="Autographs Triples",3,4)),1)))</f>
        <v>3</v>
      </c>
      <c r="AB2811" s="62">
        <f t="shared" si="570"/>
        <v>3</v>
      </c>
      <c r="AC2811" s="62">
        <f t="shared" si="571"/>
        <v>0</v>
      </c>
    </row>
    <row r="2812" spans="1:29" ht="28.7" customHeight="1" x14ac:dyDescent="0.25">
      <c r="A2812" s="4" t="s">
        <v>21</v>
      </c>
      <c r="B2812" s="7" t="s">
        <v>91</v>
      </c>
      <c r="C2812" s="2" t="s">
        <v>430</v>
      </c>
      <c r="D2812" s="7" t="s">
        <v>288</v>
      </c>
      <c r="E2812" s="4" t="s">
        <v>1602</v>
      </c>
      <c r="F2812" s="2"/>
      <c r="G2812" s="2" t="s">
        <v>1399</v>
      </c>
      <c r="H2812" s="2" t="s">
        <v>1400</v>
      </c>
      <c r="I2812" s="4" t="s">
        <v>60</v>
      </c>
      <c r="J2812" s="112">
        <f>IF($H2812&lt;&gt;"Y",0,ROUND(MIN(Dashboard!$R$24,IF(IFERROR(VLOOKUP($B2812,Dashboard!$Q$28:$S$60,2,FALSE),0)&gt;0,IFERROR(VLOOKUP($B2812,Dashboard!$Q$28:$S$60,2,FALSE),0),$Z2812*IF($U2812&lt;&gt;"",ROUND((Dashboard!$R$4/$U2812)*VLOOKUP($I2812,Dashboard!$Q$9:$R$13,2,FALSE)*IF(ISNUMBER(SEARCH("Duals",$B2812)),2,IF(ISNUMBER(SEARCH("Triples",$B2812)),3,IF(ISNUMBER(SEARCH("Quads",$B2812)),4,1))),2),ROUND(VLOOKUP($I2812,Dashboard!$Q$15:$R$20,2,FALSE)*IF($E2812="Red",Dashboard!$R$6,IF($E2812="Gold",Dashboard!$R$7,Dashboard!$R$5))*IF(ISNUMBER(SEARCH("Duals",$B2812)),2,IF(ISNUMBER(SEARCH("Triples",$B2812)),3,IF(ISNUMBER(SEARCH("Quads",$B2812)),4,1))),2))*IF(IFERROR(VLOOKUP($B2812,Dashboard!$Q$28:$S$60,3,FALSE),0)&gt;0,VLOOKUP($B2812,Dashboard!$Q$28:$S$60,3,FALSE),1))),0))</f>
        <v>3</v>
      </c>
      <c r="K2812" s="2" t="str">
        <f>IF(Characters!E43="","",Characters!E43)</f>
        <v>C</v>
      </c>
      <c r="L2812" s="2">
        <f t="shared" si="572"/>
        <v>1</v>
      </c>
      <c r="M2812" s="2">
        <f t="shared" si="573"/>
        <v>0</v>
      </c>
      <c r="N2812" s="2">
        <f t="shared" si="574"/>
        <v>1</v>
      </c>
      <c r="O2812" s="2">
        <f t="shared" si="575"/>
        <v>0</v>
      </c>
      <c r="P2812" s="112">
        <f t="shared" si="576"/>
        <v>3</v>
      </c>
      <c r="Q2812" s="112">
        <f t="shared" si="577"/>
        <v>0</v>
      </c>
      <c r="R2812" s="53"/>
      <c r="S2812" s="53" t="str">
        <f t="shared" si="565"/>
        <v>Characters|Characters Gold Parallel|C-42|Gold</v>
      </c>
      <c r="T2812" s="57" t="str">
        <f>IF($S2812="","",IFERROR(VLOOKUP($S2812,'Pop Estimates (Non-#d)'!$N$2:$O$500,2,FALSE),""))</f>
        <v/>
      </c>
      <c r="U2812" s="57" t="str">
        <f t="shared" si="566"/>
        <v/>
      </c>
      <c r="V2812" s="53" t="str">
        <f t="shared" si="567"/>
        <v>Shockwave</v>
      </c>
      <c r="W2812" s="53" t="str">
        <f t="shared" si="568"/>
        <v>Shockwave</v>
      </c>
      <c r="X2812" s="53" t="str">
        <f t="shared" si="569"/>
        <v>Shockwave</v>
      </c>
      <c r="Y2812" s="57">
        <f>IF($X2812="","",IFERROR(VLOOKUP($X2812,'Char Popularity'!$A$2:$C$500,2,FALSE),""))</f>
        <v>2</v>
      </c>
      <c r="Z2812" s="56">
        <f>IF($X2812="",1,IFERROR(VLOOKUP($X2812,'Char Popularity'!$A$2:$C$500,3,FALSE),1))</f>
        <v>0.9</v>
      </c>
      <c r="AA2812" s="62">
        <f>IF($H2812&lt;&gt;"Y",0,(IF($F2812&lt;&gt;"",ROUND(Dashboard!$R$4/$F2812,1),IF(AND($I2812="Base",$E2812="Base"),Dashboard!$R$5,IF(AND($I2812="Base",$E2812="Red"),Dashboard!$R$6,IF(AND($I2812="Base",$E2812="Gold"),Dashboard!$R$7,VLOOKUP($I2812,Dashboard!$Q$16:$R$21,2,FALSE)))))*VLOOKUP($I2812,Dashboard!$Q$9:$R$13,2,FALSE)*IF(AND($I2812="Auto",$F2812="",OR($B2812="Autographs Duals",$B2812="Autographs Triples",$B2812="Autographs Quads",$B2812="Autographs Quads (Inscribed)")),IF($B2812="Autographs Duals",2,IF($B2812="Autographs Triples",3,4)),1)))</f>
        <v>3</v>
      </c>
      <c r="AB2812" s="62">
        <f t="shared" si="570"/>
        <v>3</v>
      </c>
      <c r="AC2812" s="62">
        <f t="shared" si="571"/>
        <v>0</v>
      </c>
    </row>
    <row r="2813" spans="1:29" ht="28.7" customHeight="1" x14ac:dyDescent="0.25">
      <c r="A2813" s="4" t="s">
        <v>21</v>
      </c>
      <c r="B2813" s="7" t="s">
        <v>91</v>
      </c>
      <c r="C2813" s="2" t="s">
        <v>1263</v>
      </c>
      <c r="D2813" s="7" t="s">
        <v>542</v>
      </c>
      <c r="E2813" s="4" t="s">
        <v>1602</v>
      </c>
      <c r="F2813" s="2"/>
      <c r="G2813" s="2" t="s">
        <v>1399</v>
      </c>
      <c r="H2813" s="2" t="s">
        <v>1400</v>
      </c>
      <c r="I2813" s="4" t="s">
        <v>60</v>
      </c>
      <c r="J2813" s="112">
        <f>IF($H2813&lt;&gt;"Y",0,ROUND(MIN(Dashboard!$R$24,IF(IFERROR(VLOOKUP($B2813,Dashboard!$Q$28:$S$60,2,FALSE),0)&gt;0,IFERROR(VLOOKUP($B2813,Dashboard!$Q$28:$S$60,2,FALSE),0),$Z2813*IF($U2813&lt;&gt;"",ROUND((Dashboard!$R$4/$U2813)*VLOOKUP($I2813,Dashboard!$Q$9:$R$13,2,FALSE)*IF(ISNUMBER(SEARCH("Duals",$B2813)),2,IF(ISNUMBER(SEARCH("Triples",$B2813)),3,IF(ISNUMBER(SEARCH("Quads",$B2813)),4,1))),2),ROUND(VLOOKUP($I2813,Dashboard!$Q$15:$R$20,2,FALSE)*IF($E2813="Red",Dashboard!$R$6,IF($E2813="Gold",Dashboard!$R$7,Dashboard!$R$5))*IF(ISNUMBER(SEARCH("Duals",$B2813)),2,IF(ISNUMBER(SEARCH("Triples",$B2813)),3,IF(ISNUMBER(SEARCH("Quads",$B2813)),4,1))),2))*IF(IFERROR(VLOOKUP($B2813,Dashboard!$Q$28:$S$60,3,FALSE),0)&gt;0,VLOOKUP($B2813,Dashboard!$Q$28:$S$60,3,FALSE),1))),0))</f>
        <v>3</v>
      </c>
      <c r="K2813" s="2" t="str">
        <f>IF(Characters!E44="","",Characters!E44)</f>
        <v>C</v>
      </c>
      <c r="L2813" s="2">
        <f t="shared" si="572"/>
        <v>1</v>
      </c>
      <c r="M2813" s="2">
        <f t="shared" si="573"/>
        <v>0</v>
      </c>
      <c r="N2813" s="2">
        <f t="shared" si="574"/>
        <v>1</v>
      </c>
      <c r="O2813" s="2">
        <f t="shared" si="575"/>
        <v>0</v>
      </c>
      <c r="P2813" s="112">
        <f t="shared" si="576"/>
        <v>3</v>
      </c>
      <c r="Q2813" s="112">
        <f t="shared" si="577"/>
        <v>0</v>
      </c>
      <c r="R2813" s="53"/>
      <c r="S2813" s="53" t="str">
        <f t="shared" si="565"/>
        <v>Characters|Characters Gold Parallel|C-43|Gold</v>
      </c>
      <c r="T2813" s="57" t="str">
        <f>IF($S2813="","",IFERROR(VLOOKUP($S2813,'Pop Estimates (Non-#d)'!$N$2:$O$500,2,FALSE),""))</f>
        <v/>
      </c>
      <c r="U2813" s="57" t="str">
        <f t="shared" si="566"/>
        <v/>
      </c>
      <c r="V2813" s="53" t="str">
        <f t="shared" si="567"/>
        <v/>
      </c>
      <c r="W2813" s="53" t="str">
        <f t="shared" si="568"/>
        <v/>
      </c>
      <c r="X2813" s="53" t="str">
        <f t="shared" si="569"/>
        <v/>
      </c>
      <c r="Y2813" s="57" t="str">
        <f>IF($X2813="","",IFERROR(VLOOKUP($X2813,'Char Popularity'!$A$2:$C$500,2,FALSE),""))</f>
        <v/>
      </c>
      <c r="Z2813" s="56">
        <f>IF($X2813="",1,IFERROR(VLOOKUP($X2813,'Char Popularity'!$A$2:$C$500,3,FALSE),1))</f>
        <v>1</v>
      </c>
      <c r="AA2813" s="62">
        <f>IF($H2813&lt;&gt;"Y",0,(IF($F2813&lt;&gt;"",ROUND(Dashboard!$R$4/$F2813,1),IF(AND($I2813="Base",$E2813="Base"),Dashboard!$R$5,IF(AND($I2813="Base",$E2813="Red"),Dashboard!$R$6,IF(AND($I2813="Base",$E2813="Gold"),Dashboard!$R$7,VLOOKUP($I2813,Dashboard!$Q$16:$R$21,2,FALSE)))))*VLOOKUP($I2813,Dashboard!$Q$9:$R$13,2,FALSE)*IF(AND($I2813="Auto",$F2813="",OR($B2813="Autographs Duals",$B2813="Autographs Triples",$B2813="Autographs Quads",$B2813="Autographs Quads (Inscribed)")),IF($B2813="Autographs Duals",2,IF($B2813="Autographs Triples",3,4)),1)))</f>
        <v>3</v>
      </c>
      <c r="AB2813" s="62">
        <f t="shared" si="570"/>
        <v>3</v>
      </c>
      <c r="AC2813" s="62">
        <f t="shared" si="571"/>
        <v>0</v>
      </c>
    </row>
    <row r="2814" spans="1:29" ht="28.7" customHeight="1" x14ac:dyDescent="0.25">
      <c r="A2814" s="4" t="s">
        <v>21</v>
      </c>
      <c r="B2814" s="7" t="s">
        <v>91</v>
      </c>
      <c r="C2814" s="2" t="s">
        <v>1265</v>
      </c>
      <c r="D2814" s="7" t="s">
        <v>1266</v>
      </c>
      <c r="E2814" s="4" t="s">
        <v>1602</v>
      </c>
      <c r="F2814" s="2"/>
      <c r="G2814" s="2" t="s">
        <v>1399</v>
      </c>
      <c r="H2814" s="2" t="s">
        <v>1400</v>
      </c>
      <c r="I2814" s="4" t="s">
        <v>60</v>
      </c>
      <c r="J2814" s="112">
        <f>IF($H2814&lt;&gt;"Y",0,ROUND(MIN(Dashboard!$R$24,IF(IFERROR(VLOOKUP($B2814,Dashboard!$Q$28:$S$60,2,FALSE),0)&gt;0,IFERROR(VLOOKUP($B2814,Dashboard!$Q$28:$S$60,2,FALSE),0),$Z2814*IF($U2814&lt;&gt;"",ROUND((Dashboard!$R$4/$U2814)*VLOOKUP($I2814,Dashboard!$Q$9:$R$13,2,FALSE)*IF(ISNUMBER(SEARCH("Duals",$B2814)),2,IF(ISNUMBER(SEARCH("Triples",$B2814)),3,IF(ISNUMBER(SEARCH("Quads",$B2814)),4,1))),2),ROUND(VLOOKUP($I2814,Dashboard!$Q$15:$R$20,2,FALSE)*IF($E2814="Red",Dashboard!$R$6,IF($E2814="Gold",Dashboard!$R$7,Dashboard!$R$5))*IF(ISNUMBER(SEARCH("Duals",$B2814)),2,IF(ISNUMBER(SEARCH("Triples",$B2814)),3,IF(ISNUMBER(SEARCH("Quads",$B2814)),4,1))),2))*IF(IFERROR(VLOOKUP($B2814,Dashboard!$Q$28:$S$60,3,FALSE),0)&gt;0,VLOOKUP($B2814,Dashboard!$Q$28:$S$60,3,FALSE),1))),0))</f>
        <v>3</v>
      </c>
      <c r="K2814" s="2" t="str">
        <f>IF(Characters!E45="","",Characters!E45)</f>
        <v>C</v>
      </c>
      <c r="L2814" s="2">
        <f t="shared" si="572"/>
        <v>1</v>
      </c>
      <c r="M2814" s="2">
        <f t="shared" si="573"/>
        <v>0</v>
      </c>
      <c r="N2814" s="2">
        <f t="shared" si="574"/>
        <v>1</v>
      </c>
      <c r="O2814" s="2">
        <f t="shared" si="575"/>
        <v>0</v>
      </c>
      <c r="P2814" s="112">
        <f t="shared" si="576"/>
        <v>3</v>
      </c>
      <c r="Q2814" s="112">
        <f t="shared" si="577"/>
        <v>0</v>
      </c>
      <c r="R2814" s="53"/>
      <c r="S2814" s="53" t="str">
        <f t="shared" si="565"/>
        <v>Characters|Characters Gold Parallel|C-44|Gold</v>
      </c>
      <c r="T2814" s="57" t="str">
        <f>IF($S2814="","",IFERROR(VLOOKUP($S2814,'Pop Estimates (Non-#d)'!$N$2:$O$500,2,FALSE),""))</f>
        <v/>
      </c>
      <c r="U2814" s="57" t="str">
        <f t="shared" si="566"/>
        <v/>
      </c>
      <c r="V2814" s="53" t="str">
        <f t="shared" si="567"/>
        <v>Cindy</v>
      </c>
      <c r="W2814" s="53" t="str">
        <f t="shared" si="568"/>
        <v>Cindy</v>
      </c>
      <c r="X2814" s="53" t="str">
        <f t="shared" si="569"/>
        <v>Cindy</v>
      </c>
      <c r="Y2814" s="57">
        <f>IF($X2814="","",IFERROR(VLOOKUP($X2814,'Char Popularity'!$A$2:$C$500,2,FALSE),""))</f>
        <v>3</v>
      </c>
      <c r="Z2814" s="56">
        <f>IF($X2814="",1,IFERROR(VLOOKUP($X2814,'Char Popularity'!$A$2:$C$500,3,FALSE),1))</f>
        <v>1</v>
      </c>
      <c r="AA2814" s="62">
        <f>IF($H2814&lt;&gt;"Y",0,(IF($F2814&lt;&gt;"",ROUND(Dashboard!$R$4/$F2814,1),IF(AND($I2814="Base",$E2814="Base"),Dashboard!$R$5,IF(AND($I2814="Base",$E2814="Red"),Dashboard!$R$6,IF(AND($I2814="Base",$E2814="Gold"),Dashboard!$R$7,VLOOKUP($I2814,Dashboard!$Q$16:$R$21,2,FALSE)))))*VLOOKUP($I2814,Dashboard!$Q$9:$R$13,2,FALSE)*IF(AND($I2814="Auto",$F2814="",OR($B2814="Autographs Duals",$B2814="Autographs Triples",$B2814="Autographs Quads",$B2814="Autographs Quads (Inscribed)")),IF($B2814="Autographs Duals",2,IF($B2814="Autographs Triples",3,4)),1)))</f>
        <v>3</v>
      </c>
      <c r="AB2814" s="62">
        <f t="shared" si="570"/>
        <v>3</v>
      </c>
      <c r="AC2814" s="62">
        <f t="shared" si="571"/>
        <v>0</v>
      </c>
    </row>
    <row r="2815" spans="1:29" ht="28.7" customHeight="1" x14ac:dyDescent="0.25">
      <c r="A2815" s="4" t="s">
        <v>21</v>
      </c>
      <c r="B2815" s="7" t="s">
        <v>91</v>
      </c>
      <c r="C2815" s="2" t="s">
        <v>431</v>
      </c>
      <c r="D2815" s="7" t="s">
        <v>234</v>
      </c>
      <c r="E2815" s="4" t="s">
        <v>1602</v>
      </c>
      <c r="F2815" s="2"/>
      <c r="G2815" s="2" t="s">
        <v>1399</v>
      </c>
      <c r="H2815" s="2" t="s">
        <v>1400</v>
      </c>
      <c r="I2815" s="4" t="s">
        <v>60</v>
      </c>
      <c r="J2815" s="112">
        <f>IF($H2815&lt;&gt;"Y",0,ROUND(MIN(Dashboard!$R$24,IF(IFERROR(VLOOKUP($B2815,Dashboard!$Q$28:$S$60,2,FALSE),0)&gt;0,IFERROR(VLOOKUP($B2815,Dashboard!$Q$28:$S$60,2,FALSE),0),$Z2815*IF($U2815&lt;&gt;"",ROUND((Dashboard!$R$4/$U2815)*VLOOKUP($I2815,Dashboard!$Q$9:$R$13,2,FALSE)*IF(ISNUMBER(SEARCH("Duals",$B2815)),2,IF(ISNUMBER(SEARCH("Triples",$B2815)),3,IF(ISNUMBER(SEARCH("Quads",$B2815)),4,1))),2),ROUND(VLOOKUP($I2815,Dashboard!$Q$15:$R$20,2,FALSE)*IF($E2815="Red",Dashboard!$R$6,IF($E2815="Gold",Dashboard!$R$7,Dashboard!$R$5))*IF(ISNUMBER(SEARCH("Duals",$B2815)),2,IF(ISNUMBER(SEARCH("Triples",$B2815)),3,IF(ISNUMBER(SEARCH("Quads",$B2815)),4,1))),2))*IF(IFERROR(VLOOKUP($B2815,Dashboard!$Q$28:$S$60,3,FALSE),0)&gt;0,VLOOKUP($B2815,Dashboard!$Q$28:$S$60,3,FALSE),1))),0))</f>
        <v>3</v>
      </c>
      <c r="K2815" s="2" t="str">
        <f>IF(Characters!E46="","",Characters!E46)</f>
        <v>C</v>
      </c>
      <c r="L2815" s="2">
        <f t="shared" si="572"/>
        <v>1</v>
      </c>
      <c r="M2815" s="2">
        <f t="shared" si="573"/>
        <v>0</v>
      </c>
      <c r="N2815" s="2">
        <f t="shared" si="574"/>
        <v>1</v>
      </c>
      <c r="O2815" s="2">
        <f t="shared" si="575"/>
        <v>0</v>
      </c>
      <c r="P2815" s="112">
        <f t="shared" si="576"/>
        <v>3</v>
      </c>
      <c r="Q2815" s="112">
        <f t="shared" si="577"/>
        <v>0</v>
      </c>
      <c r="R2815" s="53"/>
      <c r="S2815" s="53" t="str">
        <f t="shared" si="565"/>
        <v>Characters|Characters Gold Parallel|C-45|Gold</v>
      </c>
      <c r="T2815" s="57" t="str">
        <f>IF($S2815="","",IFERROR(VLOOKUP($S2815,'Pop Estimates (Non-#d)'!$N$2:$O$500,2,FALSE),""))</f>
        <v/>
      </c>
      <c r="U2815" s="57" t="str">
        <f t="shared" si="566"/>
        <v/>
      </c>
      <c r="V2815" s="53" t="str">
        <f t="shared" si="567"/>
        <v>Ashley Barrett</v>
      </c>
      <c r="W2815" s="53" t="str">
        <f t="shared" si="568"/>
        <v>Ashley Barrett</v>
      </c>
      <c r="X2815" s="53" t="str">
        <f t="shared" si="569"/>
        <v>Ashley Barrett</v>
      </c>
      <c r="Y2815" s="57">
        <f>IF($X2815="","",IFERROR(VLOOKUP($X2815,'Char Popularity'!$A$2:$C$500,2,FALSE),""))</f>
        <v>3</v>
      </c>
      <c r="Z2815" s="56">
        <f>IF($X2815="",1,IFERROR(VLOOKUP($X2815,'Char Popularity'!$A$2:$C$500,3,FALSE),1))</f>
        <v>1</v>
      </c>
      <c r="AA2815" s="62">
        <f>IF($H2815&lt;&gt;"Y",0,(IF($F2815&lt;&gt;"",ROUND(Dashboard!$R$4/$F2815,1),IF(AND($I2815="Base",$E2815="Base"),Dashboard!$R$5,IF(AND($I2815="Base",$E2815="Red"),Dashboard!$R$6,IF(AND($I2815="Base",$E2815="Gold"),Dashboard!$R$7,VLOOKUP($I2815,Dashboard!$Q$16:$R$21,2,FALSE)))))*VLOOKUP($I2815,Dashboard!$Q$9:$R$13,2,FALSE)*IF(AND($I2815="Auto",$F2815="",OR($B2815="Autographs Duals",$B2815="Autographs Triples",$B2815="Autographs Quads",$B2815="Autographs Quads (Inscribed)")),IF($B2815="Autographs Duals",2,IF($B2815="Autographs Triples",3,4)),1)))</f>
        <v>3</v>
      </c>
      <c r="AB2815" s="62">
        <f t="shared" si="570"/>
        <v>3</v>
      </c>
      <c r="AC2815" s="62">
        <f t="shared" si="571"/>
        <v>0</v>
      </c>
    </row>
    <row r="2816" spans="1:29" ht="28.7" customHeight="1" x14ac:dyDescent="0.25">
      <c r="A2816" s="4" t="s">
        <v>21</v>
      </c>
      <c r="B2816" s="7" t="s">
        <v>91</v>
      </c>
      <c r="C2816" s="2" t="s">
        <v>432</v>
      </c>
      <c r="D2816" s="7" t="s">
        <v>248</v>
      </c>
      <c r="E2816" s="4" t="s">
        <v>1602</v>
      </c>
      <c r="F2816" s="2"/>
      <c r="G2816" s="2" t="s">
        <v>1399</v>
      </c>
      <c r="H2816" s="2" t="s">
        <v>1400</v>
      </c>
      <c r="I2816" s="4" t="s">
        <v>60</v>
      </c>
      <c r="J2816" s="112">
        <f>IF($H2816&lt;&gt;"Y",0,ROUND(MIN(Dashboard!$R$24,IF(IFERROR(VLOOKUP($B2816,Dashboard!$Q$28:$S$60,2,FALSE),0)&gt;0,IFERROR(VLOOKUP($B2816,Dashboard!$Q$28:$S$60,2,FALSE),0),$Z2816*IF($U2816&lt;&gt;"",ROUND((Dashboard!$R$4/$U2816)*VLOOKUP($I2816,Dashboard!$Q$9:$R$13,2,FALSE)*IF(ISNUMBER(SEARCH("Duals",$B2816)),2,IF(ISNUMBER(SEARCH("Triples",$B2816)),3,IF(ISNUMBER(SEARCH("Quads",$B2816)),4,1))),2),ROUND(VLOOKUP($I2816,Dashboard!$Q$15:$R$20,2,FALSE)*IF($E2816="Red",Dashboard!$R$6,IF($E2816="Gold",Dashboard!$R$7,Dashboard!$R$5))*IF(ISNUMBER(SEARCH("Duals",$B2816)),2,IF(ISNUMBER(SEARCH("Triples",$B2816)),3,IF(ISNUMBER(SEARCH("Quads",$B2816)),4,1))),2))*IF(IFERROR(VLOOKUP($B2816,Dashboard!$Q$28:$S$60,3,FALSE),0)&gt;0,VLOOKUP($B2816,Dashboard!$Q$28:$S$60,3,FALSE),1))),0))</f>
        <v>4</v>
      </c>
      <c r="K2816" s="2" t="str">
        <f>IF(Characters!E47="","",Characters!E47)</f>
        <v>C</v>
      </c>
      <c r="L2816" s="2">
        <f t="shared" si="572"/>
        <v>1</v>
      </c>
      <c r="M2816" s="2">
        <f t="shared" si="573"/>
        <v>0</v>
      </c>
      <c r="N2816" s="2">
        <f t="shared" si="574"/>
        <v>1</v>
      </c>
      <c r="O2816" s="2">
        <f t="shared" si="575"/>
        <v>0</v>
      </c>
      <c r="P2816" s="112">
        <f t="shared" si="576"/>
        <v>4</v>
      </c>
      <c r="Q2816" s="112">
        <f t="shared" si="577"/>
        <v>0</v>
      </c>
      <c r="R2816" s="53"/>
      <c r="S2816" s="53" t="str">
        <f t="shared" si="565"/>
        <v>Characters|Characters Gold Parallel|C-46|Gold</v>
      </c>
      <c r="T2816" s="57" t="str">
        <f>IF($S2816="","",IFERROR(VLOOKUP($S2816,'Pop Estimates (Non-#d)'!$N$2:$O$500,2,FALSE),""))</f>
        <v/>
      </c>
      <c r="U2816" s="57" t="str">
        <f t="shared" si="566"/>
        <v/>
      </c>
      <c r="V2816" s="53" t="str">
        <f t="shared" si="567"/>
        <v>Starlight</v>
      </c>
      <c r="W2816" s="53" t="str">
        <f t="shared" si="568"/>
        <v>Starlight</v>
      </c>
      <c r="X2816" s="53" t="str">
        <f t="shared" si="569"/>
        <v>Starlight</v>
      </c>
      <c r="Y2816" s="57">
        <f>IF($X2816="","",IFERROR(VLOOKUP($X2816,'Char Popularity'!$A$2:$C$500,2,FALSE),""))</f>
        <v>5</v>
      </c>
      <c r="Z2816" s="56">
        <f>IF($X2816="",1,IFERROR(VLOOKUP($X2816,'Char Popularity'!$A$2:$C$500,3,FALSE),1))</f>
        <v>1.2</v>
      </c>
      <c r="AA2816" s="62">
        <f>IF($H2816&lt;&gt;"Y",0,(IF($F2816&lt;&gt;"",ROUND(Dashboard!$R$4/$F2816,1),IF(AND($I2816="Base",$E2816="Base"),Dashboard!$R$5,IF(AND($I2816="Base",$E2816="Red"),Dashboard!$R$6,IF(AND($I2816="Base",$E2816="Gold"),Dashboard!$R$7,VLOOKUP($I2816,Dashboard!$Q$16:$R$21,2,FALSE)))))*VLOOKUP($I2816,Dashboard!$Q$9:$R$13,2,FALSE)*IF(AND($I2816="Auto",$F2816="",OR($B2816="Autographs Duals",$B2816="Autographs Triples",$B2816="Autographs Quads",$B2816="Autographs Quads (Inscribed)")),IF($B2816="Autographs Duals",2,IF($B2816="Autographs Triples",3,4)),1)))</f>
        <v>3</v>
      </c>
      <c r="AB2816" s="62">
        <f t="shared" si="570"/>
        <v>3</v>
      </c>
      <c r="AC2816" s="62">
        <f t="shared" si="571"/>
        <v>0</v>
      </c>
    </row>
    <row r="2817" spans="1:29" ht="28.7" customHeight="1" x14ac:dyDescent="0.25">
      <c r="A2817" s="4" t="s">
        <v>21</v>
      </c>
      <c r="B2817" s="7" t="s">
        <v>91</v>
      </c>
      <c r="C2817" s="2" t="s">
        <v>433</v>
      </c>
      <c r="D2817" s="7" t="s">
        <v>222</v>
      </c>
      <c r="E2817" s="4" t="s">
        <v>1602</v>
      </c>
      <c r="F2817" s="2"/>
      <c r="G2817" s="2" t="s">
        <v>1399</v>
      </c>
      <c r="H2817" s="2" t="s">
        <v>1400</v>
      </c>
      <c r="I2817" s="4" t="s">
        <v>60</v>
      </c>
      <c r="J2817" s="112">
        <f>IF($H2817&lt;&gt;"Y",0,ROUND(MIN(Dashboard!$R$24,IF(IFERROR(VLOOKUP($B2817,Dashboard!$Q$28:$S$60,2,FALSE),0)&gt;0,IFERROR(VLOOKUP($B2817,Dashboard!$Q$28:$S$60,2,FALSE),0),$Z2817*IF($U2817&lt;&gt;"",ROUND((Dashboard!$R$4/$U2817)*VLOOKUP($I2817,Dashboard!$Q$9:$R$13,2,FALSE)*IF(ISNUMBER(SEARCH("Duals",$B2817)),2,IF(ISNUMBER(SEARCH("Triples",$B2817)),3,IF(ISNUMBER(SEARCH("Quads",$B2817)),4,1))),2),ROUND(VLOOKUP($I2817,Dashboard!$Q$15:$R$20,2,FALSE)*IF($E2817="Red",Dashboard!$R$6,IF($E2817="Gold",Dashboard!$R$7,Dashboard!$R$5))*IF(ISNUMBER(SEARCH("Duals",$B2817)),2,IF(ISNUMBER(SEARCH("Triples",$B2817)),3,IF(ISNUMBER(SEARCH("Quads",$B2817)),4,1))),2))*IF(IFERROR(VLOOKUP($B2817,Dashboard!$Q$28:$S$60,3,FALSE),0)&gt;0,VLOOKUP($B2817,Dashboard!$Q$28:$S$60,3,FALSE),1))),0))</f>
        <v>4</v>
      </c>
      <c r="K2817" s="2" t="str">
        <f>IF(Characters!E48="","",Characters!E48)</f>
        <v>C</v>
      </c>
      <c r="L2817" s="2">
        <f t="shared" si="572"/>
        <v>1</v>
      </c>
      <c r="M2817" s="2">
        <f t="shared" si="573"/>
        <v>0</v>
      </c>
      <c r="N2817" s="2">
        <f t="shared" si="574"/>
        <v>1</v>
      </c>
      <c r="O2817" s="2">
        <f t="shared" si="575"/>
        <v>0</v>
      </c>
      <c r="P2817" s="112">
        <f t="shared" si="576"/>
        <v>4</v>
      </c>
      <c r="Q2817" s="112">
        <f t="shared" si="577"/>
        <v>0</v>
      </c>
      <c r="R2817" s="53"/>
      <c r="S2817" s="53" t="str">
        <f t="shared" si="565"/>
        <v>Characters|Characters Gold Parallel|C-47|Gold</v>
      </c>
      <c r="T2817" s="57" t="str">
        <f>IF($S2817="","",IFERROR(VLOOKUP($S2817,'Pop Estimates (Non-#d)'!$N$2:$O$500,2,FALSE),""))</f>
        <v/>
      </c>
      <c r="U2817" s="57" t="str">
        <f t="shared" si="566"/>
        <v/>
      </c>
      <c r="V2817" s="53" t="str">
        <f t="shared" si="567"/>
        <v>Homelander</v>
      </c>
      <c r="W2817" s="53" t="str">
        <f t="shared" si="568"/>
        <v>Homelander</v>
      </c>
      <c r="X2817" s="53" t="str">
        <f t="shared" si="569"/>
        <v>Homelander</v>
      </c>
      <c r="Y2817" s="57">
        <f>IF($X2817="","",IFERROR(VLOOKUP($X2817,'Char Popularity'!$A$2:$C$500,2,FALSE),""))</f>
        <v>5</v>
      </c>
      <c r="Z2817" s="56">
        <f>IF($X2817="",1,IFERROR(VLOOKUP($X2817,'Char Popularity'!$A$2:$C$500,3,FALSE),1))</f>
        <v>1.2</v>
      </c>
      <c r="AA2817" s="62">
        <f>IF($H2817&lt;&gt;"Y",0,(IF($F2817&lt;&gt;"",ROUND(Dashboard!$R$4/$F2817,1),IF(AND($I2817="Base",$E2817="Base"),Dashboard!$R$5,IF(AND($I2817="Base",$E2817="Red"),Dashboard!$R$6,IF(AND($I2817="Base",$E2817="Gold"),Dashboard!$R$7,VLOOKUP($I2817,Dashboard!$Q$16:$R$21,2,FALSE)))))*VLOOKUP($I2817,Dashboard!$Q$9:$R$13,2,FALSE)*IF(AND($I2817="Auto",$F2817="",OR($B2817="Autographs Duals",$B2817="Autographs Triples",$B2817="Autographs Quads",$B2817="Autographs Quads (Inscribed)")),IF($B2817="Autographs Duals",2,IF($B2817="Autographs Triples",3,4)),1)))</f>
        <v>3</v>
      </c>
      <c r="AB2817" s="62">
        <f t="shared" si="570"/>
        <v>3</v>
      </c>
      <c r="AC2817" s="62">
        <f t="shared" si="571"/>
        <v>0</v>
      </c>
    </row>
    <row r="2818" spans="1:29" ht="28.7" customHeight="1" x14ac:dyDescent="0.25">
      <c r="A2818" s="4" t="s">
        <v>21</v>
      </c>
      <c r="B2818" s="7" t="s">
        <v>91</v>
      </c>
      <c r="C2818" s="2" t="s">
        <v>1269</v>
      </c>
      <c r="D2818" s="7" t="s">
        <v>1601</v>
      </c>
      <c r="E2818" s="4" t="s">
        <v>1602</v>
      </c>
      <c r="F2818" s="2"/>
      <c r="G2818" s="2" t="s">
        <v>1399</v>
      </c>
      <c r="H2818" s="2" t="s">
        <v>1400</v>
      </c>
      <c r="I2818" s="4" t="s">
        <v>60</v>
      </c>
      <c r="J2818" s="112">
        <f>IF($H2818&lt;&gt;"Y",0,ROUND(MIN(Dashboard!$R$24,IF(IFERROR(VLOOKUP($B2818,Dashboard!$Q$28:$S$60,2,FALSE),0)&gt;0,IFERROR(VLOOKUP($B2818,Dashboard!$Q$28:$S$60,2,FALSE),0),$Z2818*IF($U2818&lt;&gt;"",ROUND((Dashboard!$R$4/$U2818)*VLOOKUP($I2818,Dashboard!$Q$9:$R$13,2,FALSE)*IF(ISNUMBER(SEARCH("Duals",$B2818)),2,IF(ISNUMBER(SEARCH("Triples",$B2818)),3,IF(ISNUMBER(SEARCH("Quads",$B2818)),4,1))),2),ROUND(VLOOKUP($I2818,Dashboard!$Q$15:$R$20,2,FALSE)*IF($E2818="Red",Dashboard!$R$6,IF($E2818="Gold",Dashboard!$R$7,Dashboard!$R$5))*IF(ISNUMBER(SEARCH("Duals",$B2818)),2,IF(ISNUMBER(SEARCH("Triples",$B2818)),3,IF(ISNUMBER(SEARCH("Quads",$B2818)),4,1))),2))*IF(IFERROR(VLOOKUP($B2818,Dashboard!$Q$28:$S$60,3,FALSE),0)&gt;0,VLOOKUP($B2818,Dashboard!$Q$28:$S$60,3,FALSE),1))),0))</f>
        <v>3</v>
      </c>
      <c r="K2818" s="2" t="str">
        <f>IF(Characters!E49="","",Characters!E49)</f>
        <v>C</v>
      </c>
      <c r="L2818" s="2">
        <f t="shared" si="572"/>
        <v>1</v>
      </c>
      <c r="M2818" s="2">
        <f t="shared" si="573"/>
        <v>0</v>
      </c>
      <c r="N2818" s="2">
        <f t="shared" si="574"/>
        <v>1</v>
      </c>
      <c r="O2818" s="2">
        <f t="shared" si="575"/>
        <v>0</v>
      </c>
      <c r="P2818" s="112">
        <f t="shared" si="576"/>
        <v>3</v>
      </c>
      <c r="Q2818" s="112">
        <f t="shared" si="577"/>
        <v>0</v>
      </c>
      <c r="R2818" s="53"/>
      <c r="S2818" s="53" t="str">
        <f t="shared" ref="S2818:S2845" si="578">IF($A2818="","",$A2818&amp;"|"&amp;$B2818&amp;"|"&amp;$C2818&amp;"|"&amp;$E2818)</f>
        <v>Characters|Characters Gold Parallel|C-48|Gold</v>
      </c>
      <c r="T2818" s="57" t="str">
        <f>IF($S2818="","",IFERROR(VLOOKUP($S2818,'Pop Estimates (Non-#d)'!$N$2:$O$500,2,FALSE),""))</f>
        <v/>
      </c>
      <c r="U2818" s="57" t="str">
        <f t="shared" ref="U2818:U2845" si="579">IF($A2818="","",IF($F2818&lt;&gt;"",$F2818,$T2818))</f>
        <v/>
      </c>
      <c r="V2818" s="53" t="str">
        <f t="shared" ref="V2818:V2845" si="580">IF($A2818="","",IF(ISNUMBER(SEARCH(" as ",$D2818)),MID($D2818,SEARCH(" as ",$D2818)+4,255),IF(ISNUMBER(SEARCH("/",$D2818)),LEFT($D2818,FIND("/",$D2818&amp;"/")-1),"")))</f>
        <v>Gecko</v>
      </c>
      <c r="W2818" s="53" t="str">
        <f t="shared" ref="W2818:W2845" si="581">IF($V2818="","",TRIM(IFERROR(MID($V2818,SEARCH("(", $V2818)+1,SEARCH(")",$V2818)-SEARCH("(", $V2818)-1),$V2818)))</f>
        <v>Gecko</v>
      </c>
      <c r="X2818" s="53" t="str">
        <f t="shared" ref="X2818:X2845" si="582">IF($W2818="","",TRIM(LEFT($W2818&amp;"""",FIND("""",$W2818&amp;"""")-1)))</f>
        <v>Gecko</v>
      </c>
      <c r="Y2818" s="57">
        <f>IF($X2818="","",IFERROR(VLOOKUP($X2818,'Char Popularity'!$A$2:$C$500,2,FALSE),""))</f>
        <v>2</v>
      </c>
      <c r="Z2818" s="56">
        <f>IF($X2818="",1,IFERROR(VLOOKUP($X2818,'Char Popularity'!$A$2:$C$500,3,FALSE),1))</f>
        <v>0.9</v>
      </c>
      <c r="AA2818" s="62">
        <f>IF($H2818&lt;&gt;"Y",0,(IF($F2818&lt;&gt;"",ROUND(Dashboard!$R$4/$F2818,1),IF(AND($I2818="Base",$E2818="Base"),Dashboard!$R$5,IF(AND($I2818="Base",$E2818="Red"),Dashboard!$R$6,IF(AND($I2818="Base",$E2818="Gold"),Dashboard!$R$7,VLOOKUP($I2818,Dashboard!$Q$16:$R$21,2,FALSE)))))*VLOOKUP($I2818,Dashboard!$Q$9:$R$13,2,FALSE)*IF(AND($I2818="Auto",$F2818="",OR($B2818="Autographs Duals",$B2818="Autographs Triples",$B2818="Autographs Quads",$B2818="Autographs Quads (Inscribed)")),IF($B2818="Autographs Duals",2,IF($B2818="Autographs Triples",3,4)),1)))</f>
        <v>3</v>
      </c>
      <c r="AB2818" s="62">
        <f t="shared" ref="AB2818:AB2845" si="583">IF($L2818=1,$AA2818,0)</f>
        <v>3</v>
      </c>
      <c r="AC2818" s="62">
        <f t="shared" ref="AC2818:AC2845" si="584">IF($M2818=1,$AA2818,0)</f>
        <v>0</v>
      </c>
    </row>
    <row r="2819" spans="1:29" ht="28.7" customHeight="1" x14ac:dyDescent="0.25">
      <c r="A2819" s="4" t="s">
        <v>21</v>
      </c>
      <c r="B2819" s="7" t="s">
        <v>91</v>
      </c>
      <c r="C2819" s="2" t="s">
        <v>1271</v>
      </c>
      <c r="D2819" s="7" t="s">
        <v>1272</v>
      </c>
      <c r="E2819" s="4" t="s">
        <v>1602</v>
      </c>
      <c r="F2819" s="2"/>
      <c r="G2819" s="2" t="s">
        <v>1399</v>
      </c>
      <c r="H2819" s="2" t="s">
        <v>1400</v>
      </c>
      <c r="I2819" s="4" t="s">
        <v>60</v>
      </c>
      <c r="J2819" s="112">
        <f>IF($H2819&lt;&gt;"Y",0,ROUND(MIN(Dashboard!$R$24,IF(IFERROR(VLOOKUP($B2819,Dashboard!$Q$28:$S$60,2,FALSE),0)&gt;0,IFERROR(VLOOKUP($B2819,Dashboard!$Q$28:$S$60,2,FALSE),0),$Z2819*IF($U2819&lt;&gt;"",ROUND((Dashboard!$R$4/$U2819)*VLOOKUP($I2819,Dashboard!$Q$9:$R$13,2,FALSE)*IF(ISNUMBER(SEARCH("Duals",$B2819)),2,IF(ISNUMBER(SEARCH("Triples",$B2819)),3,IF(ISNUMBER(SEARCH("Quads",$B2819)),4,1))),2),ROUND(VLOOKUP($I2819,Dashboard!$Q$15:$R$20,2,FALSE)*IF($E2819="Red",Dashboard!$R$6,IF($E2819="Gold",Dashboard!$R$7,Dashboard!$R$5))*IF(ISNUMBER(SEARCH("Duals",$B2819)),2,IF(ISNUMBER(SEARCH("Triples",$B2819)),3,IF(ISNUMBER(SEARCH("Quads",$B2819)),4,1))),2))*IF(IFERROR(VLOOKUP($B2819,Dashboard!$Q$28:$S$60,3,FALSE),0)&gt;0,VLOOKUP($B2819,Dashboard!$Q$28:$S$60,3,FALSE),1))),0))</f>
        <v>3</v>
      </c>
      <c r="K2819" s="2" t="str">
        <f>IF(Characters!E50="","",Characters!E50)</f>
        <v>C</v>
      </c>
      <c r="L2819" s="2">
        <f t="shared" si="572"/>
        <v>1</v>
      </c>
      <c r="M2819" s="2">
        <f t="shared" si="573"/>
        <v>0</v>
      </c>
      <c r="N2819" s="2">
        <f t="shared" si="574"/>
        <v>1</v>
      </c>
      <c r="O2819" s="2">
        <f t="shared" si="575"/>
        <v>0</v>
      </c>
      <c r="P2819" s="112">
        <f t="shared" si="576"/>
        <v>3</v>
      </c>
      <c r="Q2819" s="112">
        <f t="shared" si="577"/>
        <v>0</v>
      </c>
      <c r="R2819" s="53"/>
      <c r="S2819" s="53" t="str">
        <f t="shared" si="578"/>
        <v>Characters|Characters Gold Parallel|C-49|Gold</v>
      </c>
      <c r="T2819" s="57" t="str">
        <f>IF($S2819="","",IFERROR(VLOOKUP($S2819,'Pop Estimates (Non-#d)'!$N$2:$O$500,2,FALSE),""))</f>
        <v/>
      </c>
      <c r="U2819" s="57" t="str">
        <f t="shared" si="579"/>
        <v/>
      </c>
      <c r="V2819" s="53" t="str">
        <f t="shared" si="580"/>
        <v>Jonah Vogelbaum</v>
      </c>
      <c r="W2819" s="53" t="str">
        <f t="shared" si="581"/>
        <v>Jonah Vogelbaum</v>
      </c>
      <c r="X2819" s="53" t="str">
        <f t="shared" si="582"/>
        <v>Jonah Vogelbaum</v>
      </c>
      <c r="Y2819" s="57">
        <f>IF($X2819="","",IFERROR(VLOOKUP($X2819,'Char Popularity'!$A$2:$C$500,2,FALSE),""))</f>
        <v>3</v>
      </c>
      <c r="Z2819" s="56">
        <f>IF($X2819="",1,IFERROR(VLOOKUP($X2819,'Char Popularity'!$A$2:$C$500,3,FALSE),1))</f>
        <v>1</v>
      </c>
      <c r="AA2819" s="62">
        <f>IF($H2819&lt;&gt;"Y",0,(IF($F2819&lt;&gt;"",ROUND(Dashboard!$R$4/$F2819,1),IF(AND($I2819="Base",$E2819="Base"),Dashboard!$R$5,IF(AND($I2819="Base",$E2819="Red"),Dashboard!$R$6,IF(AND($I2819="Base",$E2819="Gold"),Dashboard!$R$7,VLOOKUP($I2819,Dashboard!$Q$16:$R$21,2,FALSE)))))*VLOOKUP($I2819,Dashboard!$Q$9:$R$13,2,FALSE)*IF(AND($I2819="Auto",$F2819="",OR($B2819="Autographs Duals",$B2819="Autographs Triples",$B2819="Autographs Quads",$B2819="Autographs Quads (Inscribed)")),IF($B2819="Autographs Duals",2,IF($B2819="Autographs Triples",3,4)),1)))</f>
        <v>3</v>
      </c>
      <c r="AB2819" s="62">
        <f t="shared" si="583"/>
        <v>3</v>
      </c>
      <c r="AC2819" s="62">
        <f t="shared" si="584"/>
        <v>0</v>
      </c>
    </row>
    <row r="2820" spans="1:29" ht="28.7" customHeight="1" x14ac:dyDescent="0.25">
      <c r="A2820" s="4" t="s">
        <v>21</v>
      </c>
      <c r="B2820" s="7" t="s">
        <v>91</v>
      </c>
      <c r="C2820" s="2" t="s">
        <v>1273</v>
      </c>
      <c r="D2820" s="7" t="s">
        <v>1274</v>
      </c>
      <c r="E2820" s="4" t="s">
        <v>1602</v>
      </c>
      <c r="F2820" s="2"/>
      <c r="G2820" s="2" t="s">
        <v>1399</v>
      </c>
      <c r="H2820" s="2" t="s">
        <v>1400</v>
      </c>
      <c r="I2820" s="4" t="s">
        <v>60</v>
      </c>
      <c r="J2820" s="112">
        <f>IF($H2820&lt;&gt;"Y",0,ROUND(MIN(Dashboard!$R$24,IF(IFERROR(VLOOKUP($B2820,Dashboard!$Q$28:$S$60,2,FALSE),0)&gt;0,IFERROR(VLOOKUP($B2820,Dashboard!$Q$28:$S$60,2,FALSE),0),$Z2820*IF($U2820&lt;&gt;"",ROUND((Dashboard!$R$4/$U2820)*VLOOKUP($I2820,Dashboard!$Q$9:$R$13,2,FALSE)*IF(ISNUMBER(SEARCH("Duals",$B2820)),2,IF(ISNUMBER(SEARCH("Triples",$B2820)),3,IF(ISNUMBER(SEARCH("Quads",$B2820)),4,1))),2),ROUND(VLOOKUP($I2820,Dashboard!$Q$15:$R$20,2,FALSE)*IF($E2820="Red",Dashboard!$R$6,IF($E2820="Gold",Dashboard!$R$7,Dashboard!$R$5))*IF(ISNUMBER(SEARCH("Duals",$B2820)),2,IF(ISNUMBER(SEARCH("Triples",$B2820)),3,IF(ISNUMBER(SEARCH("Quads",$B2820)),4,1))),2))*IF(IFERROR(VLOOKUP($B2820,Dashboard!$Q$28:$S$60,3,FALSE),0)&gt;0,VLOOKUP($B2820,Dashboard!$Q$28:$S$60,3,FALSE),1))),0))</f>
        <v>3</v>
      </c>
      <c r="K2820" s="2" t="str">
        <f>IF(Characters!E51="","",Characters!E51)</f>
        <v>C</v>
      </c>
      <c r="L2820" s="2">
        <f t="shared" si="572"/>
        <v>1</v>
      </c>
      <c r="M2820" s="2">
        <f t="shared" si="573"/>
        <v>0</v>
      </c>
      <c r="N2820" s="2">
        <f t="shared" si="574"/>
        <v>1</v>
      </c>
      <c r="O2820" s="2">
        <f t="shared" si="575"/>
        <v>0</v>
      </c>
      <c r="P2820" s="112">
        <f t="shared" si="576"/>
        <v>3</v>
      </c>
      <c r="Q2820" s="112">
        <f t="shared" si="577"/>
        <v>0</v>
      </c>
      <c r="R2820" s="53"/>
      <c r="S2820" s="53" t="str">
        <f t="shared" si="578"/>
        <v>Characters|Characters Gold Parallel|C-50|Gold</v>
      </c>
      <c r="T2820" s="57" t="str">
        <f>IF($S2820="","",IFERROR(VLOOKUP($S2820,'Pop Estimates (Non-#d)'!$N$2:$O$500,2,FALSE),""))</f>
        <v/>
      </c>
      <c r="U2820" s="57" t="str">
        <f t="shared" si="579"/>
        <v/>
      </c>
      <c r="V2820" s="53" t="str">
        <f t="shared" si="580"/>
        <v>Doppelganger</v>
      </c>
      <c r="W2820" s="53" t="str">
        <f t="shared" si="581"/>
        <v>Doppelganger</v>
      </c>
      <c r="X2820" s="53" t="str">
        <f t="shared" si="582"/>
        <v>Doppelganger</v>
      </c>
      <c r="Y2820" s="57">
        <f>IF($X2820="","",IFERROR(VLOOKUP($X2820,'Char Popularity'!$A$2:$C$500,2,FALSE),""))</f>
        <v>3</v>
      </c>
      <c r="Z2820" s="56">
        <f>IF($X2820="",1,IFERROR(VLOOKUP($X2820,'Char Popularity'!$A$2:$C$500,3,FALSE),1))</f>
        <v>1</v>
      </c>
      <c r="AA2820" s="62">
        <f>IF($H2820&lt;&gt;"Y",0,(IF($F2820&lt;&gt;"",ROUND(Dashboard!$R$4/$F2820,1),IF(AND($I2820="Base",$E2820="Base"),Dashboard!$R$5,IF(AND($I2820="Base",$E2820="Red"),Dashboard!$R$6,IF(AND($I2820="Base",$E2820="Gold"),Dashboard!$R$7,VLOOKUP($I2820,Dashboard!$Q$16:$R$21,2,FALSE)))))*VLOOKUP($I2820,Dashboard!$Q$9:$R$13,2,FALSE)*IF(AND($I2820="Auto",$F2820="",OR($B2820="Autographs Duals",$B2820="Autographs Triples",$B2820="Autographs Quads",$B2820="Autographs Quads (Inscribed)")),IF($B2820="Autographs Duals",2,IF($B2820="Autographs Triples",3,4)),1)))</f>
        <v>3</v>
      </c>
      <c r="AB2820" s="62">
        <f t="shared" si="583"/>
        <v>3</v>
      </c>
      <c r="AC2820" s="62">
        <f t="shared" si="584"/>
        <v>0</v>
      </c>
    </row>
    <row r="2821" spans="1:29" ht="42.95" customHeight="1" x14ac:dyDescent="0.25">
      <c r="A2821" s="4" t="s">
        <v>43</v>
      </c>
      <c r="B2821" s="7" t="s">
        <v>157</v>
      </c>
      <c r="C2821" s="2" t="s">
        <v>745</v>
      </c>
      <c r="D2821" s="7" t="s">
        <v>283</v>
      </c>
      <c r="E2821" s="4" t="s">
        <v>746</v>
      </c>
      <c r="F2821" s="2"/>
      <c r="G2821" s="2" t="s">
        <v>1399</v>
      </c>
      <c r="H2821" s="2" t="s">
        <v>1400</v>
      </c>
      <c r="I2821" s="4" t="s">
        <v>62</v>
      </c>
      <c r="J2821" s="112">
        <v>20</v>
      </c>
      <c r="K2821" s="2" t="str">
        <f>IF(Achievements!D2="","",Achievements!D2)</f>
        <v>C</v>
      </c>
      <c r="L2821" s="2">
        <f t="shared" si="572"/>
        <v>1</v>
      </c>
      <c r="M2821" s="2">
        <f t="shared" si="573"/>
        <v>0</v>
      </c>
      <c r="N2821" s="2">
        <f t="shared" si="574"/>
        <v>1</v>
      </c>
      <c r="O2821" s="2">
        <f t="shared" si="575"/>
        <v>0</v>
      </c>
      <c r="P2821" s="112">
        <f t="shared" si="576"/>
        <v>20</v>
      </c>
      <c r="Q2821" s="112">
        <f t="shared" si="577"/>
        <v>0</v>
      </c>
      <c r="R2821" s="53"/>
      <c r="S2821" s="53" t="str">
        <f t="shared" si="578"/>
        <v>Achievements|The Seven Achievements|S-1|Achievement</v>
      </c>
      <c r="T2821" s="57" t="str">
        <f>IF($S2821="","",IFERROR(VLOOKUP($S2821,'Pop Estimates (Non-#d)'!$N$2:$O$500,2,FALSE),""))</f>
        <v/>
      </c>
      <c r="U2821" s="57" t="str">
        <f t="shared" si="579"/>
        <v/>
      </c>
      <c r="V2821" s="53" t="str">
        <f t="shared" si="580"/>
        <v>Black Noir</v>
      </c>
      <c r="W2821" s="53" t="str">
        <f t="shared" si="581"/>
        <v>Black Noir</v>
      </c>
      <c r="X2821" s="53" t="str">
        <f t="shared" si="582"/>
        <v>Black Noir</v>
      </c>
      <c r="Y2821" s="57">
        <f>IF($X2821="","",IFERROR(VLOOKUP($X2821,'Char Popularity'!$A$2:$C$500,2,FALSE),""))</f>
        <v>4</v>
      </c>
      <c r="Z2821" s="56">
        <f>IF($X2821="",1,IFERROR(VLOOKUP($X2821,'Char Popularity'!$A$2:$C$500,3,FALSE),1))</f>
        <v>1.1000000000000001</v>
      </c>
      <c r="AA2821" s="62">
        <f>IF($H2821&lt;&gt;"Y",0,(IF($F2821&lt;&gt;"",ROUND(Dashboard!$R$4/$F2821,1),IF(AND($I2821="Base",$E2821="Base"),Dashboard!$R$5,IF(AND($I2821="Base",$E2821="Red"),Dashboard!$R$6,IF(AND($I2821="Base",$E2821="Gold"),Dashboard!$R$7,VLOOKUP($I2821,Dashboard!$Q$16:$R$21,2,FALSE)))))*VLOOKUP($I2821,Dashboard!$Q$9:$R$13,2,FALSE)*IF(AND($I2821="Auto",$F2821="",OR($B2821="Autographs Duals",$B2821="Autographs Triples",$B2821="Autographs Quads",$B2821="Autographs Quads (Inscribed)")),IF($B2821="Autographs Duals",2,IF($B2821="Autographs Triples",3,4)),1)))</f>
        <v>6</v>
      </c>
      <c r="AB2821" s="62">
        <f t="shared" si="583"/>
        <v>6</v>
      </c>
      <c r="AC2821" s="62">
        <f t="shared" si="584"/>
        <v>0</v>
      </c>
    </row>
    <row r="2822" spans="1:29" ht="42.95" customHeight="1" x14ac:dyDescent="0.25">
      <c r="A2822" s="4" t="s">
        <v>43</v>
      </c>
      <c r="B2822" s="7" t="s">
        <v>157</v>
      </c>
      <c r="C2822" s="2" t="s">
        <v>749</v>
      </c>
      <c r="D2822" s="7" t="s">
        <v>216</v>
      </c>
      <c r="E2822" s="4" t="s">
        <v>746</v>
      </c>
      <c r="F2822" s="2"/>
      <c r="G2822" s="2" t="s">
        <v>1399</v>
      </c>
      <c r="H2822" s="2" t="s">
        <v>1400</v>
      </c>
      <c r="I2822" s="4" t="s">
        <v>62</v>
      </c>
      <c r="J2822" s="112">
        <v>30</v>
      </c>
      <c r="K2822" s="2" t="str">
        <f>IF(Achievements!D3="","",Achievements!D3)</f>
        <v>d</v>
      </c>
      <c r="L2822" s="2">
        <f t="shared" si="572"/>
        <v>1</v>
      </c>
      <c r="M2822" s="2">
        <f t="shared" si="573"/>
        <v>0</v>
      </c>
      <c r="N2822" s="2">
        <f t="shared" si="574"/>
        <v>1</v>
      </c>
      <c r="O2822" s="2">
        <f t="shared" si="575"/>
        <v>0</v>
      </c>
      <c r="P2822" s="112">
        <f t="shared" si="576"/>
        <v>30</v>
      </c>
      <c r="Q2822" s="112">
        <f t="shared" si="577"/>
        <v>0</v>
      </c>
      <c r="R2822" s="53"/>
      <c r="S2822" s="53" t="str">
        <f t="shared" si="578"/>
        <v>Achievements|The Seven Achievements|S-2|Achievement</v>
      </c>
      <c r="T2822" s="57" t="str">
        <f>IF($S2822="","",IFERROR(VLOOKUP($S2822,'Pop Estimates (Non-#d)'!$N$2:$O$500,2,FALSE),""))</f>
        <v/>
      </c>
      <c r="U2822" s="57" t="str">
        <f t="shared" si="579"/>
        <v/>
      </c>
      <c r="V2822" s="53" t="str">
        <f t="shared" si="580"/>
        <v>Translucent</v>
      </c>
      <c r="W2822" s="53" t="str">
        <f t="shared" si="581"/>
        <v>Translucent</v>
      </c>
      <c r="X2822" s="53" t="str">
        <f t="shared" si="582"/>
        <v>Translucent</v>
      </c>
      <c r="Y2822" s="57">
        <f>IF($X2822="","",IFERROR(VLOOKUP($X2822,'Char Popularity'!$A$2:$C$500,2,FALSE),""))</f>
        <v>2</v>
      </c>
      <c r="Z2822" s="56">
        <f>IF($X2822="",1,IFERROR(VLOOKUP($X2822,'Char Popularity'!$A$2:$C$500,3,FALSE),1))</f>
        <v>0.9</v>
      </c>
      <c r="AA2822" s="62">
        <f>IF($H2822&lt;&gt;"Y",0,(IF($F2822&lt;&gt;"",ROUND(Dashboard!$R$4/$F2822,1),IF(AND($I2822="Base",$E2822="Base"),Dashboard!$R$5,IF(AND($I2822="Base",$E2822="Red"),Dashboard!$R$6,IF(AND($I2822="Base",$E2822="Gold"),Dashboard!$R$7,VLOOKUP($I2822,Dashboard!$Q$16:$R$21,2,FALSE)))))*VLOOKUP($I2822,Dashboard!$Q$9:$R$13,2,FALSE)*IF(AND($I2822="Auto",$F2822="",OR($B2822="Autographs Duals",$B2822="Autographs Triples",$B2822="Autographs Quads",$B2822="Autographs Quads (Inscribed)")),IF($B2822="Autographs Duals",2,IF($B2822="Autographs Triples",3,4)),1)))</f>
        <v>6</v>
      </c>
      <c r="AB2822" s="62">
        <f t="shared" si="583"/>
        <v>6</v>
      </c>
      <c r="AC2822" s="62">
        <f t="shared" si="584"/>
        <v>0</v>
      </c>
    </row>
    <row r="2823" spans="1:29" ht="42.95" customHeight="1" x14ac:dyDescent="0.25">
      <c r="A2823" s="4" t="s">
        <v>43</v>
      </c>
      <c r="B2823" s="7" t="s">
        <v>157</v>
      </c>
      <c r="C2823" s="2" t="s">
        <v>750</v>
      </c>
      <c r="D2823" s="7" t="s">
        <v>230</v>
      </c>
      <c r="E2823" s="4" t="s">
        <v>746</v>
      </c>
      <c r="F2823" s="2"/>
      <c r="G2823" s="2" t="s">
        <v>1399</v>
      </c>
      <c r="H2823" s="2" t="s">
        <v>1400</v>
      </c>
      <c r="I2823" s="4" t="s">
        <v>62</v>
      </c>
      <c r="J2823" s="112">
        <v>40</v>
      </c>
      <c r="K2823" s="2" t="str">
        <f>IF(Achievements!D4="","",Achievements!D4)</f>
        <v>d</v>
      </c>
      <c r="L2823" s="2">
        <f t="shared" si="572"/>
        <v>1</v>
      </c>
      <c r="M2823" s="2">
        <f t="shared" si="573"/>
        <v>0</v>
      </c>
      <c r="N2823" s="2">
        <f t="shared" si="574"/>
        <v>1</v>
      </c>
      <c r="O2823" s="2">
        <f t="shared" si="575"/>
        <v>0</v>
      </c>
      <c r="P2823" s="112">
        <f t="shared" si="576"/>
        <v>40</v>
      </c>
      <c r="Q2823" s="112">
        <f t="shared" si="577"/>
        <v>0</v>
      </c>
      <c r="R2823" s="53"/>
      <c r="S2823" s="53" t="str">
        <f t="shared" si="578"/>
        <v>Achievements|The Seven Achievements|S-3|Achievement</v>
      </c>
      <c r="T2823" s="57" t="str">
        <f>IF($S2823="","",IFERROR(VLOOKUP($S2823,'Pop Estimates (Non-#d)'!$N$2:$O$500,2,FALSE),""))</f>
        <v/>
      </c>
      <c r="U2823" s="57" t="str">
        <f t="shared" si="579"/>
        <v/>
      </c>
      <c r="V2823" s="53" t="str">
        <f t="shared" si="580"/>
        <v>The Deep</v>
      </c>
      <c r="W2823" s="53" t="str">
        <f t="shared" si="581"/>
        <v>The Deep</v>
      </c>
      <c r="X2823" s="53" t="str">
        <f t="shared" si="582"/>
        <v>The Deep</v>
      </c>
      <c r="Y2823" s="57">
        <f>IF($X2823="","",IFERROR(VLOOKUP($X2823,'Char Popularity'!$A$2:$C$500,2,FALSE),""))</f>
        <v>4</v>
      </c>
      <c r="Z2823" s="56">
        <f>IF($X2823="",1,IFERROR(VLOOKUP($X2823,'Char Popularity'!$A$2:$C$500,3,FALSE),1))</f>
        <v>1.1000000000000001</v>
      </c>
      <c r="AA2823" s="62">
        <f>IF($H2823&lt;&gt;"Y",0,(IF($F2823&lt;&gt;"",ROUND(Dashboard!$R$4/$F2823,1),IF(AND($I2823="Base",$E2823="Base"),Dashboard!$R$5,IF(AND($I2823="Base",$E2823="Red"),Dashboard!$R$6,IF(AND($I2823="Base",$E2823="Gold"),Dashboard!$R$7,VLOOKUP($I2823,Dashboard!$Q$16:$R$21,2,FALSE)))))*VLOOKUP($I2823,Dashboard!$Q$9:$R$13,2,FALSE)*IF(AND($I2823="Auto",$F2823="",OR($B2823="Autographs Duals",$B2823="Autographs Triples",$B2823="Autographs Quads",$B2823="Autographs Quads (Inscribed)")),IF($B2823="Autographs Duals",2,IF($B2823="Autographs Triples",3,4)),1)))</f>
        <v>6</v>
      </c>
      <c r="AB2823" s="62">
        <f t="shared" si="583"/>
        <v>6</v>
      </c>
      <c r="AC2823" s="62">
        <f t="shared" si="584"/>
        <v>0</v>
      </c>
    </row>
    <row r="2824" spans="1:29" ht="42.95" customHeight="1" x14ac:dyDescent="0.25">
      <c r="A2824" s="4" t="s">
        <v>43</v>
      </c>
      <c r="B2824" s="7" t="s">
        <v>157</v>
      </c>
      <c r="C2824" s="2" t="s">
        <v>751</v>
      </c>
      <c r="D2824" s="7" t="s">
        <v>267</v>
      </c>
      <c r="E2824" s="4" t="s">
        <v>746</v>
      </c>
      <c r="F2824" s="2"/>
      <c r="G2824" s="2" t="s">
        <v>1399</v>
      </c>
      <c r="H2824" s="2" t="s">
        <v>1400</v>
      </c>
      <c r="I2824" s="4" t="s">
        <v>62</v>
      </c>
      <c r="J2824" s="112">
        <v>50</v>
      </c>
      <c r="K2824" s="2" t="str">
        <f>IF(Achievements!D5="","",Achievements!D5)</f>
        <v>d</v>
      </c>
      <c r="L2824" s="2">
        <f t="shared" si="572"/>
        <v>1</v>
      </c>
      <c r="M2824" s="2">
        <f t="shared" si="573"/>
        <v>0</v>
      </c>
      <c r="N2824" s="2">
        <f t="shared" si="574"/>
        <v>1</v>
      </c>
      <c r="O2824" s="2">
        <f t="shared" si="575"/>
        <v>0</v>
      </c>
      <c r="P2824" s="112">
        <f t="shared" si="576"/>
        <v>50</v>
      </c>
      <c r="Q2824" s="112">
        <f t="shared" si="577"/>
        <v>0</v>
      </c>
      <c r="R2824" s="53"/>
      <c r="S2824" s="53" t="str">
        <f t="shared" si="578"/>
        <v>Achievements|The Seven Achievements|S-4|Achievement</v>
      </c>
      <c r="T2824" s="57" t="str">
        <f>IF($S2824="","",IFERROR(VLOOKUP($S2824,'Pop Estimates (Non-#d)'!$N$2:$O$500,2,FALSE),""))</f>
        <v/>
      </c>
      <c r="U2824" s="57" t="str">
        <f t="shared" si="579"/>
        <v/>
      </c>
      <c r="V2824" s="53" t="str">
        <f t="shared" si="580"/>
        <v>A-Train</v>
      </c>
      <c r="W2824" s="53" t="str">
        <f t="shared" si="581"/>
        <v>A-Train</v>
      </c>
      <c r="X2824" s="53" t="str">
        <f t="shared" si="582"/>
        <v>A-Train</v>
      </c>
      <c r="Y2824" s="57">
        <f>IF($X2824="","",IFERROR(VLOOKUP($X2824,'Char Popularity'!$A$2:$C$500,2,FALSE),""))</f>
        <v>4</v>
      </c>
      <c r="Z2824" s="56">
        <f>IF($X2824="",1,IFERROR(VLOOKUP($X2824,'Char Popularity'!$A$2:$C$500,3,FALSE),1))</f>
        <v>1.1000000000000001</v>
      </c>
      <c r="AA2824" s="62">
        <f>IF($H2824&lt;&gt;"Y",0,(IF($F2824&lt;&gt;"",ROUND(Dashboard!$R$4/$F2824,1),IF(AND($I2824="Base",$E2824="Base"),Dashboard!$R$5,IF(AND($I2824="Base",$E2824="Red"),Dashboard!$R$6,IF(AND($I2824="Base",$E2824="Gold"),Dashboard!$R$7,VLOOKUP($I2824,Dashboard!$Q$16:$R$21,2,FALSE)))))*VLOOKUP($I2824,Dashboard!$Q$9:$R$13,2,FALSE)*IF(AND($I2824="Auto",$F2824="",OR($B2824="Autographs Duals",$B2824="Autographs Triples",$B2824="Autographs Quads",$B2824="Autographs Quads (Inscribed)")),IF($B2824="Autographs Duals",2,IF($B2824="Autographs Triples",3,4)),1)))</f>
        <v>6</v>
      </c>
      <c r="AB2824" s="62">
        <f t="shared" si="583"/>
        <v>6</v>
      </c>
      <c r="AC2824" s="62">
        <f t="shared" si="584"/>
        <v>0</v>
      </c>
    </row>
    <row r="2825" spans="1:29" ht="42.95" customHeight="1" x14ac:dyDescent="0.25">
      <c r="A2825" s="4" t="s">
        <v>43</v>
      </c>
      <c r="B2825" s="7" t="s">
        <v>157</v>
      </c>
      <c r="C2825" s="2" t="s">
        <v>752</v>
      </c>
      <c r="D2825" s="7" t="s">
        <v>244</v>
      </c>
      <c r="E2825" s="4" t="s">
        <v>746</v>
      </c>
      <c r="F2825" s="2"/>
      <c r="G2825" s="2" t="s">
        <v>1399</v>
      </c>
      <c r="H2825" s="2" t="s">
        <v>1400</v>
      </c>
      <c r="I2825" s="4" t="s">
        <v>62</v>
      </c>
      <c r="J2825" s="112">
        <v>60</v>
      </c>
      <c r="K2825" s="2" t="str">
        <f>IF(Achievements!D6="","",Achievements!D6)</f>
        <v>d</v>
      </c>
      <c r="L2825" s="2">
        <f t="shared" si="572"/>
        <v>1</v>
      </c>
      <c r="M2825" s="2">
        <f t="shared" si="573"/>
        <v>0</v>
      </c>
      <c r="N2825" s="2">
        <f t="shared" si="574"/>
        <v>1</v>
      </c>
      <c r="O2825" s="2">
        <f t="shared" si="575"/>
        <v>0</v>
      </c>
      <c r="P2825" s="112">
        <f t="shared" si="576"/>
        <v>60</v>
      </c>
      <c r="Q2825" s="112">
        <f t="shared" si="577"/>
        <v>0</v>
      </c>
      <c r="R2825" s="53"/>
      <c r="S2825" s="53" t="str">
        <f t="shared" si="578"/>
        <v>Achievements|The Seven Achievements|S-5|Achievement</v>
      </c>
      <c r="T2825" s="57" t="str">
        <f>IF($S2825="","",IFERROR(VLOOKUP($S2825,'Pop Estimates (Non-#d)'!$N$2:$O$500,2,FALSE),""))</f>
        <v/>
      </c>
      <c r="U2825" s="57" t="str">
        <f t="shared" si="579"/>
        <v/>
      </c>
      <c r="V2825" s="53" t="str">
        <f t="shared" si="580"/>
        <v>Queen Maeve</v>
      </c>
      <c r="W2825" s="53" t="str">
        <f t="shared" si="581"/>
        <v>Queen Maeve</v>
      </c>
      <c r="X2825" s="53" t="str">
        <f t="shared" si="582"/>
        <v>Queen Maeve</v>
      </c>
      <c r="Y2825" s="57">
        <f>IF($X2825="","",IFERROR(VLOOKUP($X2825,'Char Popularity'!$A$2:$C$500,2,FALSE),""))</f>
        <v>4</v>
      </c>
      <c r="Z2825" s="56">
        <f>IF($X2825="",1,IFERROR(VLOOKUP($X2825,'Char Popularity'!$A$2:$C$500,3,FALSE),1))</f>
        <v>1.1000000000000001</v>
      </c>
      <c r="AA2825" s="62">
        <f>IF($H2825&lt;&gt;"Y",0,(IF($F2825&lt;&gt;"",ROUND(Dashboard!$R$4/$F2825,1),IF(AND($I2825="Base",$E2825="Base"),Dashboard!$R$5,IF(AND($I2825="Base",$E2825="Red"),Dashboard!$R$6,IF(AND($I2825="Base",$E2825="Gold"),Dashboard!$R$7,VLOOKUP($I2825,Dashboard!$Q$16:$R$21,2,FALSE)))))*VLOOKUP($I2825,Dashboard!$Q$9:$R$13,2,FALSE)*IF(AND($I2825="Auto",$F2825="",OR($B2825="Autographs Duals",$B2825="Autographs Triples",$B2825="Autographs Quads",$B2825="Autographs Quads (Inscribed)")),IF($B2825="Autographs Duals",2,IF($B2825="Autographs Triples",3,4)),1)))</f>
        <v>6</v>
      </c>
      <c r="AB2825" s="62">
        <f t="shared" si="583"/>
        <v>6</v>
      </c>
      <c r="AC2825" s="62">
        <f t="shared" si="584"/>
        <v>0</v>
      </c>
    </row>
    <row r="2826" spans="1:29" ht="42.95" customHeight="1" x14ac:dyDescent="0.25">
      <c r="A2826" s="4" t="s">
        <v>43</v>
      </c>
      <c r="B2826" s="7" t="s">
        <v>157</v>
      </c>
      <c r="C2826" s="2" t="s">
        <v>753</v>
      </c>
      <c r="D2826" s="7" t="s">
        <v>248</v>
      </c>
      <c r="E2826" s="4" t="s">
        <v>746</v>
      </c>
      <c r="F2826" s="2"/>
      <c r="G2826" s="2" t="s">
        <v>1399</v>
      </c>
      <c r="H2826" s="2" t="s">
        <v>1400</v>
      </c>
      <c r="I2826" s="4" t="s">
        <v>62</v>
      </c>
      <c r="J2826" s="112">
        <v>80</v>
      </c>
      <c r="K2826" s="2" t="str">
        <f>IF(Achievements!D7="","",Achievements!D7)</f>
        <v>d</v>
      </c>
      <c r="L2826" s="2">
        <f t="shared" si="572"/>
        <v>1</v>
      </c>
      <c r="M2826" s="2">
        <f t="shared" si="573"/>
        <v>0</v>
      </c>
      <c r="N2826" s="2">
        <f t="shared" si="574"/>
        <v>1</v>
      </c>
      <c r="O2826" s="2">
        <f t="shared" si="575"/>
        <v>0</v>
      </c>
      <c r="P2826" s="112">
        <f t="shared" si="576"/>
        <v>80</v>
      </c>
      <c r="Q2826" s="112">
        <f t="shared" si="577"/>
        <v>0</v>
      </c>
      <c r="R2826" s="53"/>
      <c r="S2826" s="53" t="str">
        <f t="shared" si="578"/>
        <v>Achievements|The Seven Achievements|S-6|Achievement</v>
      </c>
      <c r="T2826" s="57" t="str">
        <f>IF($S2826="","",IFERROR(VLOOKUP($S2826,'Pop Estimates (Non-#d)'!$N$2:$O$500,2,FALSE),""))</f>
        <v/>
      </c>
      <c r="U2826" s="57" t="str">
        <f t="shared" si="579"/>
        <v/>
      </c>
      <c r="V2826" s="53" t="str">
        <f t="shared" si="580"/>
        <v>Starlight</v>
      </c>
      <c r="W2826" s="53" t="str">
        <f t="shared" si="581"/>
        <v>Starlight</v>
      </c>
      <c r="X2826" s="53" t="str">
        <f t="shared" si="582"/>
        <v>Starlight</v>
      </c>
      <c r="Y2826" s="57">
        <f>IF($X2826="","",IFERROR(VLOOKUP($X2826,'Char Popularity'!$A$2:$C$500,2,FALSE),""))</f>
        <v>5</v>
      </c>
      <c r="Z2826" s="56">
        <f>IF($X2826="",1,IFERROR(VLOOKUP($X2826,'Char Popularity'!$A$2:$C$500,3,FALSE),1))</f>
        <v>1.2</v>
      </c>
      <c r="AA2826" s="62">
        <f>IF($H2826&lt;&gt;"Y",0,(IF($F2826&lt;&gt;"",ROUND(Dashboard!$R$4/$F2826,1),IF(AND($I2826="Base",$E2826="Base"),Dashboard!$R$5,IF(AND($I2826="Base",$E2826="Red"),Dashboard!$R$6,IF(AND($I2826="Base",$E2826="Gold"),Dashboard!$R$7,VLOOKUP($I2826,Dashboard!$Q$16:$R$21,2,FALSE)))))*VLOOKUP($I2826,Dashboard!$Q$9:$R$13,2,FALSE)*IF(AND($I2826="Auto",$F2826="",OR($B2826="Autographs Duals",$B2826="Autographs Triples",$B2826="Autographs Quads",$B2826="Autographs Quads (Inscribed)")),IF($B2826="Autographs Duals",2,IF($B2826="Autographs Triples",3,4)),1)))</f>
        <v>6</v>
      </c>
      <c r="AB2826" s="62">
        <f t="shared" si="583"/>
        <v>6</v>
      </c>
      <c r="AC2826" s="62">
        <f t="shared" si="584"/>
        <v>0</v>
      </c>
    </row>
    <row r="2827" spans="1:29" ht="42.95" customHeight="1" x14ac:dyDescent="0.25">
      <c r="A2827" s="4" t="s">
        <v>43</v>
      </c>
      <c r="B2827" s="7" t="s">
        <v>157</v>
      </c>
      <c r="C2827" s="2" t="s">
        <v>754</v>
      </c>
      <c r="D2827" s="7" t="s">
        <v>222</v>
      </c>
      <c r="E2827" s="4" t="s">
        <v>746</v>
      </c>
      <c r="F2827" s="2"/>
      <c r="G2827" s="2" t="s">
        <v>1399</v>
      </c>
      <c r="H2827" s="2" t="s">
        <v>1400</v>
      </c>
      <c r="I2827" s="4" t="s">
        <v>62</v>
      </c>
      <c r="J2827" s="112">
        <v>120</v>
      </c>
      <c r="K2827" s="2" t="str">
        <f>IF(Achievements!D8="","",Achievements!D8)</f>
        <v/>
      </c>
      <c r="L2827" s="2">
        <f t="shared" ref="L2827:L2845" si="585">IF(AND($K2827&lt;&gt;"",LEFT($K2827,1)&lt;&gt;"Y"),1,0)</f>
        <v>0</v>
      </c>
      <c r="M2827" s="2">
        <f t="shared" ref="M2827:M2845" si="586">IF(LEFT($K2827,1)="Y",1,0)</f>
        <v>0</v>
      </c>
      <c r="N2827" s="2">
        <f t="shared" ref="N2827:N2845" si="587">$L2827+$M2827</f>
        <v>0</v>
      </c>
      <c r="O2827" s="2">
        <f t="shared" ref="O2827:O2845" si="588">IF($H2827="Y",1-$N2827,0)</f>
        <v>1</v>
      </c>
      <c r="P2827" s="112">
        <f t="shared" ref="P2827:P2845" si="589">IF($L2827=1,$J2827,0)</f>
        <v>0</v>
      </c>
      <c r="Q2827" s="112">
        <f t="shared" ref="Q2827:Q2845" si="590">IF($M2827=1,$J2827,0)</f>
        <v>0</v>
      </c>
      <c r="R2827" s="53"/>
      <c r="S2827" s="53" t="str">
        <f t="shared" si="578"/>
        <v>Achievements|The Seven Achievements|S-7|Achievement</v>
      </c>
      <c r="T2827" s="57" t="str">
        <f>IF($S2827="","",IFERROR(VLOOKUP($S2827,'Pop Estimates (Non-#d)'!$N$2:$O$500,2,FALSE),""))</f>
        <v/>
      </c>
      <c r="U2827" s="57" t="str">
        <f t="shared" si="579"/>
        <v/>
      </c>
      <c r="V2827" s="53" t="str">
        <f t="shared" si="580"/>
        <v>Homelander</v>
      </c>
      <c r="W2827" s="53" t="str">
        <f t="shared" si="581"/>
        <v>Homelander</v>
      </c>
      <c r="X2827" s="53" t="str">
        <f t="shared" si="582"/>
        <v>Homelander</v>
      </c>
      <c r="Y2827" s="57">
        <f>IF($X2827="","",IFERROR(VLOOKUP($X2827,'Char Popularity'!$A$2:$C$500,2,FALSE),""))</f>
        <v>5</v>
      </c>
      <c r="Z2827" s="56">
        <f>IF($X2827="",1,IFERROR(VLOOKUP($X2827,'Char Popularity'!$A$2:$C$500,3,FALSE),1))</f>
        <v>1.2</v>
      </c>
      <c r="AA2827" s="62">
        <f>IF($H2827&lt;&gt;"Y",0,(IF($F2827&lt;&gt;"",ROUND(Dashboard!$R$4/$F2827,1),IF(AND($I2827="Base",$E2827="Base"),Dashboard!$R$5,IF(AND($I2827="Base",$E2827="Red"),Dashboard!$R$6,IF(AND($I2827="Base",$E2827="Gold"),Dashboard!$R$7,VLOOKUP($I2827,Dashboard!$Q$16:$R$21,2,FALSE)))))*VLOOKUP($I2827,Dashboard!$Q$9:$R$13,2,FALSE)*IF(AND($I2827="Auto",$F2827="",OR($B2827="Autographs Duals",$B2827="Autographs Triples",$B2827="Autographs Quads",$B2827="Autographs Quads (Inscribed)")),IF($B2827="Autographs Duals",2,IF($B2827="Autographs Triples",3,4)),1)))</f>
        <v>6</v>
      </c>
      <c r="AB2827" s="62">
        <f t="shared" si="583"/>
        <v>0</v>
      </c>
      <c r="AC2827" s="62">
        <f t="shared" si="584"/>
        <v>0</v>
      </c>
    </row>
    <row r="2828" spans="1:29" ht="75" customHeight="1" x14ac:dyDescent="0.25">
      <c r="A2828" s="4" t="s">
        <v>43</v>
      </c>
      <c r="B2828" s="7" t="s">
        <v>158</v>
      </c>
      <c r="C2828" s="2" t="s">
        <v>1277</v>
      </c>
      <c r="D2828" s="7" t="s">
        <v>1278</v>
      </c>
      <c r="E2828" s="4" t="s">
        <v>1664</v>
      </c>
      <c r="F2828" s="2">
        <v>10</v>
      </c>
      <c r="G2828" s="2" t="s">
        <v>1399</v>
      </c>
      <c r="H2828" s="2" t="s">
        <v>1400</v>
      </c>
      <c r="I2828" s="4" t="s">
        <v>68</v>
      </c>
      <c r="J2828" s="112">
        <v>500</v>
      </c>
      <c r="K2828" s="2" t="str">
        <f>IF(Achievements!D9="","",Achievements!D9)</f>
        <v/>
      </c>
      <c r="L2828" s="2">
        <f t="shared" si="585"/>
        <v>0</v>
      </c>
      <c r="M2828" s="2">
        <f t="shared" si="586"/>
        <v>0</v>
      </c>
      <c r="N2828" s="2">
        <f t="shared" si="587"/>
        <v>0</v>
      </c>
      <c r="O2828" s="2">
        <f t="shared" si="588"/>
        <v>1</v>
      </c>
      <c r="P2828" s="112">
        <f t="shared" si="589"/>
        <v>0</v>
      </c>
      <c r="Q2828" s="112">
        <f t="shared" si="590"/>
        <v>0</v>
      </c>
      <c r="R2828" s="53"/>
      <c r="S2828" s="53" t="str">
        <f t="shared" si="578"/>
        <v>Achievements|The Seven Auto Achievement|MA-1|Auto Achievement</v>
      </c>
      <c r="T2828" s="57" t="str">
        <f>IF($S2828="","",IFERROR(VLOOKUP($S2828,'Pop Estimates (Non-#d)'!$N$2:$O$500,2,FALSE),""))</f>
        <v/>
      </c>
      <c r="U2828" s="57">
        <f t="shared" si="579"/>
        <v>10</v>
      </c>
      <c r="V2828" s="53" t="str">
        <f t="shared" si="580"/>
        <v xml:space="preserve">Alex Hassell (Translucent) </v>
      </c>
      <c r="W2828" s="53" t="str">
        <f t="shared" si="581"/>
        <v>Translucent</v>
      </c>
      <c r="X2828" s="53" t="str">
        <f t="shared" si="582"/>
        <v>Translucent</v>
      </c>
      <c r="Y2828" s="57">
        <f>IF($X2828="","",IFERROR(VLOOKUP($X2828,'Char Popularity'!$A$2:$C$500,2,FALSE),""))</f>
        <v>2</v>
      </c>
      <c r="Z2828" s="56">
        <f>IF($X2828="",1,IFERROR(VLOOKUP($X2828,'Char Popularity'!$A$2:$C$500,3,FALSE),1))</f>
        <v>0.9</v>
      </c>
      <c r="AA2828" s="62">
        <f>IF($H2828&lt;&gt;"Y",0,(IF($F2828&lt;&gt;"",ROUND(Dashboard!$R$4/$F2828,1),IF(AND($I2828="Base",$E2828="Base"),Dashboard!$R$5,IF(AND($I2828="Base",$E2828="Red"),Dashboard!$R$6,IF(AND($I2828="Base",$E2828="Gold"),Dashboard!$R$7,VLOOKUP($I2828,Dashboard!$Q$16:$R$21,2,FALSE)))))*VLOOKUP($I2828,Dashboard!$Q$9:$R$13,2,FALSE)*IF(AND($I2828="Auto",$F2828="",OR($B2828="Autographs Duals",$B2828="Autographs Triples",$B2828="Autographs Quads",$B2828="Autographs Quads (Inscribed)")),IF($B2828="Autographs Duals",2,IF($B2828="Autographs Triples",3,4)),1)))</f>
        <v>200</v>
      </c>
      <c r="AB2828" s="62">
        <f t="shared" si="583"/>
        <v>0</v>
      </c>
      <c r="AC2828" s="62">
        <f t="shared" si="584"/>
        <v>0</v>
      </c>
    </row>
    <row r="2829" spans="1:29" ht="30" customHeight="1" x14ac:dyDescent="0.25">
      <c r="A2829" s="4" t="s">
        <v>43</v>
      </c>
      <c r="B2829" s="7" t="s">
        <v>154</v>
      </c>
      <c r="C2829" s="2" t="s">
        <v>439</v>
      </c>
      <c r="D2829" s="7" t="s">
        <v>391</v>
      </c>
      <c r="E2829" s="4" t="s">
        <v>829</v>
      </c>
      <c r="F2829" s="2">
        <v>4</v>
      </c>
      <c r="G2829" s="2" t="s">
        <v>1400</v>
      </c>
      <c r="H2829" s="2" t="s">
        <v>1399</v>
      </c>
      <c r="I2829" s="4" t="s">
        <v>62</v>
      </c>
      <c r="J2829" s="112">
        <f>IF($H2829&lt;&gt;"Y",0,ROUND(MIN(Dashboard!$R$24,IF(IFERROR(VLOOKUP($B2829,Dashboard!$Q$28:$S$60,2,FALSE),0)&gt;0,IFERROR(VLOOKUP($B2829,Dashboard!$Q$28:$S$60,2,FALSE),0),$Z2829*IF($U2829&lt;&gt;"",ROUND((Dashboard!$R$4/$U2829)*VLOOKUP($I2829,Dashboard!$Q$9:$R$13,2,FALSE)*IF(ISNUMBER(SEARCH("Duals",$B2829)),2,IF(ISNUMBER(SEARCH("Triples",$B2829)),3,IF(ISNUMBER(SEARCH("Quads",$B2829)),4,1))),2),ROUND(VLOOKUP($I2829,Dashboard!$Q$15:$R$20,2,FALSE)*IF($E2829="Red",Dashboard!$R$6,IF($E2829="Gold",Dashboard!$R$7,Dashboard!$R$5))*IF(ISNUMBER(SEARCH("Duals",$B2829)),2,IF(ISNUMBER(SEARCH("Triples",$B2829)),3,IF(ISNUMBER(SEARCH("Quads",$B2829)),4,1))),2))*IF(IFERROR(VLOOKUP($B2829,Dashboard!$Q$28:$S$60,3,FALSE),0)&gt;0,VLOOKUP($B2829,Dashboard!$Q$28:$S$60,3,FALSE),1))),0))</f>
        <v>0</v>
      </c>
      <c r="K2829" s="2" t="str">
        <f>IF(Achievements!D10="","",Achievements!D10)</f>
        <v/>
      </c>
      <c r="L2829" s="2">
        <f t="shared" si="585"/>
        <v>0</v>
      </c>
      <c r="M2829" s="2">
        <f t="shared" si="586"/>
        <v>0</v>
      </c>
      <c r="N2829" s="2">
        <f t="shared" si="587"/>
        <v>0</v>
      </c>
      <c r="O2829" s="2">
        <f t="shared" si="588"/>
        <v>0</v>
      </c>
      <c r="P2829" s="112">
        <f t="shared" si="589"/>
        <v>0</v>
      </c>
      <c r="Q2829" s="112">
        <f t="shared" si="590"/>
        <v>0</v>
      </c>
      <c r="R2829" s="53"/>
      <c r="S2829" s="53" t="str">
        <f t="shared" si="578"/>
        <v>Achievements|Retro Printing Plate Achievements|R-1|Printing Plate</v>
      </c>
      <c r="T2829" s="57" t="str">
        <f>IF($S2829="","",IFERROR(VLOOKUP($S2829,'Pop Estimates (Non-#d)'!$N$2:$O$500,2,FALSE),""))</f>
        <v/>
      </c>
      <c r="U2829" s="57">
        <f t="shared" si="579"/>
        <v>4</v>
      </c>
      <c r="V2829" s="53" t="str">
        <f t="shared" si="580"/>
        <v/>
      </c>
      <c r="W2829" s="53" t="str">
        <f t="shared" si="581"/>
        <v/>
      </c>
      <c r="X2829" s="53" t="str">
        <f t="shared" si="582"/>
        <v/>
      </c>
      <c r="Y2829" s="57" t="str">
        <f>IF($X2829="","",IFERROR(VLOOKUP($X2829,'Char Popularity'!$A$2:$C$500,2,FALSE),""))</f>
        <v/>
      </c>
      <c r="Z2829" s="56">
        <f>IF($X2829="",1,IFERROR(VLOOKUP($X2829,'Char Popularity'!$A$2:$C$500,3,FALSE),1))</f>
        <v>1</v>
      </c>
      <c r="AA2829" s="62">
        <f>IF($H2829&lt;&gt;"Y",0,(IF($F2829&lt;&gt;"",ROUND(Dashboard!$R$4/$F2829,1),IF(AND($I2829="Base",$E2829="Base"),Dashboard!$R$5,IF(AND($I2829="Base",$E2829="Red"),Dashboard!$R$6,IF(AND($I2829="Base",$E2829="Gold"),Dashboard!$R$7,VLOOKUP($I2829,Dashboard!$Q$16:$R$21,2,FALSE)))))*VLOOKUP($I2829,Dashboard!$Q$9:$R$13,2,FALSE)*IF(AND($I2829="Auto",$F2829="",OR($B2829="Autographs Duals",$B2829="Autographs Triples",$B2829="Autographs Quads",$B2829="Autographs Quads (Inscribed)")),IF($B2829="Autographs Duals",2,IF($B2829="Autographs Triples",3,4)),1)))</f>
        <v>0</v>
      </c>
      <c r="AB2829" s="62">
        <f t="shared" si="583"/>
        <v>0</v>
      </c>
      <c r="AC2829" s="62">
        <f t="shared" si="584"/>
        <v>0</v>
      </c>
    </row>
    <row r="2830" spans="1:29" ht="30" customHeight="1" x14ac:dyDescent="0.25">
      <c r="A2830" s="4" t="s">
        <v>43</v>
      </c>
      <c r="B2830" s="7" t="s">
        <v>154</v>
      </c>
      <c r="C2830" s="2" t="s">
        <v>449</v>
      </c>
      <c r="D2830" s="7" t="s">
        <v>341</v>
      </c>
      <c r="E2830" s="4" t="s">
        <v>829</v>
      </c>
      <c r="F2830" s="2">
        <v>4</v>
      </c>
      <c r="G2830" s="2" t="s">
        <v>1400</v>
      </c>
      <c r="H2830" s="2" t="s">
        <v>1399</v>
      </c>
      <c r="I2830" s="4" t="s">
        <v>62</v>
      </c>
      <c r="J2830" s="112">
        <f>IF($H2830&lt;&gt;"Y",0,ROUND(MIN(Dashboard!$R$24,IF(IFERROR(VLOOKUP($B2830,Dashboard!$Q$28:$S$60,2,FALSE),0)&gt;0,IFERROR(VLOOKUP($B2830,Dashboard!$Q$28:$S$60,2,FALSE),0),$Z2830*IF($U2830&lt;&gt;"",ROUND((Dashboard!$R$4/$U2830)*VLOOKUP($I2830,Dashboard!$Q$9:$R$13,2,FALSE)*IF(ISNUMBER(SEARCH("Duals",$B2830)),2,IF(ISNUMBER(SEARCH("Triples",$B2830)),3,IF(ISNUMBER(SEARCH("Quads",$B2830)),4,1))),2),ROUND(VLOOKUP($I2830,Dashboard!$Q$15:$R$20,2,FALSE)*IF($E2830="Red",Dashboard!$R$6,IF($E2830="Gold",Dashboard!$R$7,Dashboard!$R$5))*IF(ISNUMBER(SEARCH("Duals",$B2830)),2,IF(ISNUMBER(SEARCH("Triples",$B2830)),3,IF(ISNUMBER(SEARCH("Quads",$B2830)),4,1))),2))*IF(IFERROR(VLOOKUP($B2830,Dashboard!$Q$28:$S$60,3,FALSE),0)&gt;0,VLOOKUP($B2830,Dashboard!$Q$28:$S$60,3,FALSE),1))),0))</f>
        <v>0</v>
      </c>
      <c r="K2830" s="2" t="str">
        <f>IF(Achievements!D11="","",Achievements!D11)</f>
        <v/>
      </c>
      <c r="L2830" s="2">
        <f t="shared" si="585"/>
        <v>0</v>
      </c>
      <c r="M2830" s="2">
        <f t="shared" si="586"/>
        <v>0</v>
      </c>
      <c r="N2830" s="2">
        <f t="shared" si="587"/>
        <v>0</v>
      </c>
      <c r="O2830" s="2">
        <f t="shared" si="588"/>
        <v>0</v>
      </c>
      <c r="P2830" s="112">
        <f t="shared" si="589"/>
        <v>0</v>
      </c>
      <c r="Q2830" s="112">
        <f t="shared" si="590"/>
        <v>0</v>
      </c>
      <c r="R2830" s="53"/>
      <c r="S2830" s="53" t="str">
        <f t="shared" si="578"/>
        <v>Achievements|Retro Printing Plate Achievements|R-2|Printing Plate</v>
      </c>
      <c r="T2830" s="57" t="str">
        <f>IF($S2830="","",IFERROR(VLOOKUP($S2830,'Pop Estimates (Non-#d)'!$N$2:$O$500,2,FALSE),""))</f>
        <v/>
      </c>
      <c r="U2830" s="57">
        <f t="shared" si="579"/>
        <v>4</v>
      </c>
      <c r="V2830" s="53" t="str">
        <f t="shared" si="580"/>
        <v/>
      </c>
      <c r="W2830" s="53" t="str">
        <f t="shared" si="581"/>
        <v/>
      </c>
      <c r="X2830" s="53" t="str">
        <f t="shared" si="582"/>
        <v/>
      </c>
      <c r="Y2830" s="57" t="str">
        <f>IF($X2830="","",IFERROR(VLOOKUP($X2830,'Char Popularity'!$A$2:$C$500,2,FALSE),""))</f>
        <v/>
      </c>
      <c r="Z2830" s="56">
        <f>IF($X2830="",1,IFERROR(VLOOKUP($X2830,'Char Popularity'!$A$2:$C$500,3,FALSE),1))</f>
        <v>1</v>
      </c>
      <c r="AA2830" s="62">
        <f>IF($H2830&lt;&gt;"Y",0,(IF($F2830&lt;&gt;"",ROUND(Dashboard!$R$4/$F2830,1),IF(AND($I2830="Base",$E2830="Base"),Dashboard!$R$5,IF(AND($I2830="Base",$E2830="Red"),Dashboard!$R$6,IF(AND($I2830="Base",$E2830="Gold"),Dashboard!$R$7,VLOOKUP($I2830,Dashboard!$Q$16:$R$21,2,FALSE)))))*VLOOKUP($I2830,Dashboard!$Q$9:$R$13,2,FALSE)*IF(AND($I2830="Auto",$F2830="",OR($B2830="Autographs Duals",$B2830="Autographs Triples",$B2830="Autographs Quads",$B2830="Autographs Quads (Inscribed)")),IF($B2830="Autographs Duals",2,IF($B2830="Autographs Triples",3,4)),1)))</f>
        <v>0</v>
      </c>
      <c r="AB2830" s="62">
        <f t="shared" si="583"/>
        <v>0</v>
      </c>
      <c r="AC2830" s="62">
        <f t="shared" si="584"/>
        <v>0</v>
      </c>
    </row>
    <row r="2831" spans="1:29" ht="30" customHeight="1" x14ac:dyDescent="0.25">
      <c r="A2831" s="4" t="s">
        <v>43</v>
      </c>
      <c r="B2831" s="7" t="s">
        <v>154</v>
      </c>
      <c r="C2831" s="2" t="s">
        <v>450</v>
      </c>
      <c r="D2831" s="7" t="s">
        <v>384</v>
      </c>
      <c r="E2831" s="4" t="s">
        <v>829</v>
      </c>
      <c r="F2831" s="2">
        <v>4</v>
      </c>
      <c r="G2831" s="2" t="s">
        <v>1400</v>
      </c>
      <c r="H2831" s="2" t="s">
        <v>1399</v>
      </c>
      <c r="I2831" s="4" t="s">
        <v>62</v>
      </c>
      <c r="J2831" s="112">
        <f>IF($H2831&lt;&gt;"Y",0,ROUND(MIN(Dashboard!$R$24,IF(IFERROR(VLOOKUP($B2831,Dashboard!$Q$28:$S$60,2,FALSE),0)&gt;0,IFERROR(VLOOKUP($B2831,Dashboard!$Q$28:$S$60,2,FALSE),0),$Z2831*IF($U2831&lt;&gt;"",ROUND((Dashboard!$R$4/$U2831)*VLOOKUP($I2831,Dashboard!$Q$9:$R$13,2,FALSE)*IF(ISNUMBER(SEARCH("Duals",$B2831)),2,IF(ISNUMBER(SEARCH("Triples",$B2831)),3,IF(ISNUMBER(SEARCH("Quads",$B2831)),4,1))),2),ROUND(VLOOKUP($I2831,Dashboard!$Q$15:$R$20,2,FALSE)*IF($E2831="Red",Dashboard!$R$6,IF($E2831="Gold",Dashboard!$R$7,Dashboard!$R$5))*IF(ISNUMBER(SEARCH("Duals",$B2831)),2,IF(ISNUMBER(SEARCH("Triples",$B2831)),3,IF(ISNUMBER(SEARCH("Quads",$B2831)),4,1))),2))*IF(IFERROR(VLOOKUP($B2831,Dashboard!$Q$28:$S$60,3,FALSE),0)&gt;0,VLOOKUP($B2831,Dashboard!$Q$28:$S$60,3,FALSE),1))),0))</f>
        <v>0</v>
      </c>
      <c r="K2831" s="2" t="str">
        <f>IF(Achievements!D12="","",Achievements!D12)</f>
        <v/>
      </c>
      <c r="L2831" s="2">
        <f t="shared" si="585"/>
        <v>0</v>
      </c>
      <c r="M2831" s="2">
        <f t="shared" si="586"/>
        <v>0</v>
      </c>
      <c r="N2831" s="2">
        <f t="shared" si="587"/>
        <v>0</v>
      </c>
      <c r="O2831" s="2">
        <f t="shared" si="588"/>
        <v>0</v>
      </c>
      <c r="P2831" s="112">
        <f t="shared" si="589"/>
        <v>0</v>
      </c>
      <c r="Q2831" s="112">
        <f t="shared" si="590"/>
        <v>0</v>
      </c>
      <c r="R2831" s="53"/>
      <c r="S2831" s="53" t="str">
        <f t="shared" si="578"/>
        <v>Achievements|Retro Printing Plate Achievements|R-3|Printing Plate</v>
      </c>
      <c r="T2831" s="57" t="str">
        <f>IF($S2831="","",IFERROR(VLOOKUP($S2831,'Pop Estimates (Non-#d)'!$N$2:$O$500,2,FALSE),""))</f>
        <v/>
      </c>
      <c r="U2831" s="57">
        <f t="shared" si="579"/>
        <v>4</v>
      </c>
      <c r="V2831" s="53" t="str">
        <f t="shared" si="580"/>
        <v/>
      </c>
      <c r="W2831" s="53" t="str">
        <f t="shared" si="581"/>
        <v/>
      </c>
      <c r="X2831" s="53" t="str">
        <f t="shared" si="582"/>
        <v/>
      </c>
      <c r="Y2831" s="57" t="str">
        <f>IF($X2831="","",IFERROR(VLOOKUP($X2831,'Char Popularity'!$A$2:$C$500,2,FALSE),""))</f>
        <v/>
      </c>
      <c r="Z2831" s="56">
        <f>IF($X2831="",1,IFERROR(VLOOKUP($X2831,'Char Popularity'!$A$2:$C$500,3,FALSE),1))</f>
        <v>1</v>
      </c>
      <c r="AA2831" s="62">
        <f>IF($H2831&lt;&gt;"Y",0,(IF($F2831&lt;&gt;"",ROUND(Dashboard!$R$4/$F2831,1),IF(AND($I2831="Base",$E2831="Base"),Dashboard!$R$5,IF(AND($I2831="Base",$E2831="Red"),Dashboard!$R$6,IF(AND($I2831="Base",$E2831="Gold"),Dashboard!$R$7,VLOOKUP($I2831,Dashboard!$Q$16:$R$21,2,FALSE)))))*VLOOKUP($I2831,Dashboard!$Q$9:$R$13,2,FALSE)*IF(AND($I2831="Auto",$F2831="",OR($B2831="Autographs Duals",$B2831="Autographs Triples",$B2831="Autographs Quads",$B2831="Autographs Quads (Inscribed)")),IF($B2831="Autographs Duals",2,IF($B2831="Autographs Triples",3,4)),1)))</f>
        <v>0</v>
      </c>
      <c r="AB2831" s="62">
        <f t="shared" si="583"/>
        <v>0</v>
      </c>
      <c r="AC2831" s="62">
        <f t="shared" si="584"/>
        <v>0</v>
      </c>
    </row>
    <row r="2832" spans="1:29" ht="30" customHeight="1" x14ac:dyDescent="0.25">
      <c r="A2832" s="4" t="s">
        <v>43</v>
      </c>
      <c r="B2832" s="7" t="s">
        <v>154</v>
      </c>
      <c r="C2832" s="2" t="s">
        <v>451</v>
      </c>
      <c r="D2832" s="7" t="s">
        <v>343</v>
      </c>
      <c r="E2832" s="4" t="s">
        <v>829</v>
      </c>
      <c r="F2832" s="2">
        <v>4</v>
      </c>
      <c r="G2832" s="2" t="s">
        <v>1400</v>
      </c>
      <c r="H2832" s="2" t="s">
        <v>1399</v>
      </c>
      <c r="I2832" s="4" t="s">
        <v>62</v>
      </c>
      <c r="J2832" s="112">
        <f>IF($H2832&lt;&gt;"Y",0,ROUND(MIN(Dashboard!$R$24,IF(IFERROR(VLOOKUP($B2832,Dashboard!$Q$28:$S$60,2,FALSE),0)&gt;0,IFERROR(VLOOKUP($B2832,Dashboard!$Q$28:$S$60,2,FALSE),0),$Z2832*IF($U2832&lt;&gt;"",ROUND((Dashboard!$R$4/$U2832)*VLOOKUP($I2832,Dashboard!$Q$9:$R$13,2,FALSE)*IF(ISNUMBER(SEARCH("Duals",$B2832)),2,IF(ISNUMBER(SEARCH("Triples",$B2832)),3,IF(ISNUMBER(SEARCH("Quads",$B2832)),4,1))),2),ROUND(VLOOKUP($I2832,Dashboard!$Q$15:$R$20,2,FALSE)*IF($E2832="Red",Dashboard!$R$6,IF($E2832="Gold",Dashboard!$R$7,Dashboard!$R$5))*IF(ISNUMBER(SEARCH("Duals",$B2832)),2,IF(ISNUMBER(SEARCH("Triples",$B2832)),3,IF(ISNUMBER(SEARCH("Quads",$B2832)),4,1))),2))*IF(IFERROR(VLOOKUP($B2832,Dashboard!$Q$28:$S$60,3,FALSE),0)&gt;0,VLOOKUP($B2832,Dashboard!$Q$28:$S$60,3,FALSE),1))),0))</f>
        <v>0</v>
      </c>
      <c r="K2832" s="2" t="str">
        <f>IF(Achievements!D13="","",Achievements!D13)</f>
        <v/>
      </c>
      <c r="L2832" s="2">
        <f t="shared" si="585"/>
        <v>0</v>
      </c>
      <c r="M2832" s="2">
        <f t="shared" si="586"/>
        <v>0</v>
      </c>
      <c r="N2832" s="2">
        <f t="shared" si="587"/>
        <v>0</v>
      </c>
      <c r="O2832" s="2">
        <f t="shared" si="588"/>
        <v>0</v>
      </c>
      <c r="P2832" s="112">
        <f t="shared" si="589"/>
        <v>0</v>
      </c>
      <c r="Q2832" s="112">
        <f t="shared" si="590"/>
        <v>0</v>
      </c>
      <c r="R2832" s="53"/>
      <c r="S2832" s="53" t="str">
        <f t="shared" si="578"/>
        <v>Achievements|Retro Printing Plate Achievements|R-4|Printing Plate</v>
      </c>
      <c r="T2832" s="57" t="str">
        <f>IF($S2832="","",IFERROR(VLOOKUP($S2832,'Pop Estimates (Non-#d)'!$N$2:$O$500,2,FALSE),""))</f>
        <v/>
      </c>
      <c r="U2832" s="57">
        <f t="shared" si="579"/>
        <v>4</v>
      </c>
      <c r="V2832" s="53" t="str">
        <f t="shared" si="580"/>
        <v/>
      </c>
      <c r="W2832" s="53" t="str">
        <f t="shared" si="581"/>
        <v/>
      </c>
      <c r="X2832" s="53" t="str">
        <f t="shared" si="582"/>
        <v/>
      </c>
      <c r="Y2832" s="57" t="str">
        <f>IF($X2832="","",IFERROR(VLOOKUP($X2832,'Char Popularity'!$A$2:$C$500,2,FALSE),""))</f>
        <v/>
      </c>
      <c r="Z2832" s="56">
        <f>IF($X2832="",1,IFERROR(VLOOKUP($X2832,'Char Popularity'!$A$2:$C$500,3,FALSE),1))</f>
        <v>1</v>
      </c>
      <c r="AA2832" s="62">
        <f>IF($H2832&lt;&gt;"Y",0,(IF($F2832&lt;&gt;"",ROUND(Dashboard!$R$4/$F2832,1),IF(AND($I2832="Base",$E2832="Base"),Dashboard!$R$5,IF(AND($I2832="Base",$E2832="Red"),Dashboard!$R$6,IF(AND($I2832="Base",$E2832="Gold"),Dashboard!$R$7,VLOOKUP($I2832,Dashboard!$Q$16:$R$21,2,FALSE)))))*VLOOKUP($I2832,Dashboard!$Q$9:$R$13,2,FALSE)*IF(AND($I2832="Auto",$F2832="",OR($B2832="Autographs Duals",$B2832="Autographs Triples",$B2832="Autographs Quads",$B2832="Autographs Quads (Inscribed)")),IF($B2832="Autographs Duals",2,IF($B2832="Autographs Triples",3,4)),1)))</f>
        <v>0</v>
      </c>
      <c r="AB2832" s="62">
        <f t="shared" si="583"/>
        <v>0</v>
      </c>
      <c r="AC2832" s="62">
        <f t="shared" si="584"/>
        <v>0</v>
      </c>
    </row>
    <row r="2833" spans="1:29" ht="30" customHeight="1" x14ac:dyDescent="0.25">
      <c r="A2833" s="4" t="s">
        <v>43</v>
      </c>
      <c r="B2833" s="7" t="s">
        <v>154</v>
      </c>
      <c r="C2833" s="2" t="s">
        <v>452</v>
      </c>
      <c r="D2833" s="7" t="s">
        <v>337</v>
      </c>
      <c r="E2833" s="4" t="s">
        <v>829</v>
      </c>
      <c r="F2833" s="2">
        <v>4</v>
      </c>
      <c r="G2833" s="2" t="s">
        <v>1400</v>
      </c>
      <c r="H2833" s="2" t="s">
        <v>1399</v>
      </c>
      <c r="I2833" s="4" t="s">
        <v>62</v>
      </c>
      <c r="J2833" s="112">
        <f>IF($H2833&lt;&gt;"Y",0,ROUND(MIN(Dashboard!$R$24,IF(IFERROR(VLOOKUP($B2833,Dashboard!$Q$28:$S$60,2,FALSE),0)&gt;0,IFERROR(VLOOKUP($B2833,Dashboard!$Q$28:$S$60,2,FALSE),0),$Z2833*IF($U2833&lt;&gt;"",ROUND((Dashboard!$R$4/$U2833)*VLOOKUP($I2833,Dashboard!$Q$9:$R$13,2,FALSE)*IF(ISNUMBER(SEARCH("Duals",$B2833)),2,IF(ISNUMBER(SEARCH("Triples",$B2833)),3,IF(ISNUMBER(SEARCH("Quads",$B2833)),4,1))),2),ROUND(VLOOKUP($I2833,Dashboard!$Q$15:$R$20,2,FALSE)*IF($E2833="Red",Dashboard!$R$6,IF($E2833="Gold",Dashboard!$R$7,Dashboard!$R$5))*IF(ISNUMBER(SEARCH("Duals",$B2833)),2,IF(ISNUMBER(SEARCH("Triples",$B2833)),3,IF(ISNUMBER(SEARCH("Quads",$B2833)),4,1))),2))*IF(IFERROR(VLOOKUP($B2833,Dashboard!$Q$28:$S$60,3,FALSE),0)&gt;0,VLOOKUP($B2833,Dashboard!$Q$28:$S$60,3,FALSE),1))),0))</f>
        <v>0</v>
      </c>
      <c r="K2833" s="2" t="str">
        <f>IF(Achievements!D14="","",Achievements!D14)</f>
        <v/>
      </c>
      <c r="L2833" s="2">
        <f t="shared" si="585"/>
        <v>0</v>
      </c>
      <c r="M2833" s="2">
        <f t="shared" si="586"/>
        <v>0</v>
      </c>
      <c r="N2833" s="2">
        <f t="shared" si="587"/>
        <v>0</v>
      </c>
      <c r="O2833" s="2">
        <f t="shared" si="588"/>
        <v>0</v>
      </c>
      <c r="P2833" s="112">
        <f t="shared" si="589"/>
        <v>0</v>
      </c>
      <c r="Q2833" s="112">
        <f t="shared" si="590"/>
        <v>0</v>
      </c>
      <c r="R2833" s="53"/>
      <c r="S2833" s="53" t="str">
        <f t="shared" si="578"/>
        <v>Achievements|Retro Printing Plate Achievements|R-5|Printing Plate</v>
      </c>
      <c r="T2833" s="57" t="str">
        <f>IF($S2833="","",IFERROR(VLOOKUP($S2833,'Pop Estimates (Non-#d)'!$N$2:$O$500,2,FALSE),""))</f>
        <v/>
      </c>
      <c r="U2833" s="57">
        <f t="shared" si="579"/>
        <v>4</v>
      </c>
      <c r="V2833" s="53" t="str">
        <f t="shared" si="580"/>
        <v/>
      </c>
      <c r="W2833" s="53" t="str">
        <f t="shared" si="581"/>
        <v/>
      </c>
      <c r="X2833" s="53" t="str">
        <f t="shared" si="582"/>
        <v/>
      </c>
      <c r="Y2833" s="57" t="str">
        <f>IF($X2833="","",IFERROR(VLOOKUP($X2833,'Char Popularity'!$A$2:$C$500,2,FALSE),""))</f>
        <v/>
      </c>
      <c r="Z2833" s="56">
        <f>IF($X2833="",1,IFERROR(VLOOKUP($X2833,'Char Popularity'!$A$2:$C$500,3,FALSE),1))</f>
        <v>1</v>
      </c>
      <c r="AA2833" s="62">
        <f>IF($H2833&lt;&gt;"Y",0,(IF($F2833&lt;&gt;"",ROUND(Dashboard!$R$4/$F2833,1),IF(AND($I2833="Base",$E2833="Base"),Dashboard!$R$5,IF(AND($I2833="Base",$E2833="Red"),Dashboard!$R$6,IF(AND($I2833="Base",$E2833="Gold"),Dashboard!$R$7,VLOOKUP($I2833,Dashboard!$Q$16:$R$21,2,FALSE)))))*VLOOKUP($I2833,Dashboard!$Q$9:$R$13,2,FALSE)*IF(AND($I2833="Auto",$F2833="",OR($B2833="Autographs Duals",$B2833="Autographs Triples",$B2833="Autographs Quads",$B2833="Autographs Quads (Inscribed)")),IF($B2833="Autographs Duals",2,IF($B2833="Autographs Triples",3,4)),1)))</f>
        <v>0</v>
      </c>
      <c r="AB2833" s="62">
        <f t="shared" si="583"/>
        <v>0</v>
      </c>
      <c r="AC2833" s="62">
        <f t="shared" si="584"/>
        <v>0</v>
      </c>
    </row>
    <row r="2834" spans="1:29" ht="30" customHeight="1" x14ac:dyDescent="0.25">
      <c r="A2834" s="4" t="s">
        <v>43</v>
      </c>
      <c r="B2834" s="7" t="s">
        <v>154</v>
      </c>
      <c r="C2834" s="2" t="s">
        <v>453</v>
      </c>
      <c r="D2834" s="7" t="s">
        <v>454</v>
      </c>
      <c r="E2834" s="4" t="s">
        <v>829</v>
      </c>
      <c r="F2834" s="2">
        <v>4</v>
      </c>
      <c r="G2834" s="2" t="s">
        <v>1400</v>
      </c>
      <c r="H2834" s="2" t="s">
        <v>1399</v>
      </c>
      <c r="I2834" s="4" t="s">
        <v>62</v>
      </c>
      <c r="J2834" s="112">
        <f>IF($H2834&lt;&gt;"Y",0,ROUND(MIN(Dashboard!$R$24,IF(IFERROR(VLOOKUP($B2834,Dashboard!$Q$28:$S$60,2,FALSE),0)&gt;0,IFERROR(VLOOKUP($B2834,Dashboard!$Q$28:$S$60,2,FALSE),0),$Z2834*IF($U2834&lt;&gt;"",ROUND((Dashboard!$R$4/$U2834)*VLOOKUP($I2834,Dashboard!$Q$9:$R$13,2,FALSE)*IF(ISNUMBER(SEARCH("Duals",$B2834)),2,IF(ISNUMBER(SEARCH("Triples",$B2834)),3,IF(ISNUMBER(SEARCH("Quads",$B2834)),4,1))),2),ROUND(VLOOKUP($I2834,Dashboard!$Q$15:$R$20,2,FALSE)*IF($E2834="Red",Dashboard!$R$6,IF($E2834="Gold",Dashboard!$R$7,Dashboard!$R$5))*IF(ISNUMBER(SEARCH("Duals",$B2834)),2,IF(ISNUMBER(SEARCH("Triples",$B2834)),3,IF(ISNUMBER(SEARCH("Quads",$B2834)),4,1))),2))*IF(IFERROR(VLOOKUP($B2834,Dashboard!$Q$28:$S$60,3,FALSE),0)&gt;0,VLOOKUP($B2834,Dashboard!$Q$28:$S$60,3,FALSE),1))),0))</f>
        <v>0</v>
      </c>
      <c r="K2834" s="2" t="str">
        <f>IF(Achievements!D15="","",Achievements!D15)</f>
        <v/>
      </c>
      <c r="L2834" s="2">
        <f t="shared" si="585"/>
        <v>0</v>
      </c>
      <c r="M2834" s="2">
        <f t="shared" si="586"/>
        <v>0</v>
      </c>
      <c r="N2834" s="2">
        <f t="shared" si="587"/>
        <v>0</v>
      </c>
      <c r="O2834" s="2">
        <f t="shared" si="588"/>
        <v>0</v>
      </c>
      <c r="P2834" s="112">
        <f t="shared" si="589"/>
        <v>0</v>
      </c>
      <c r="Q2834" s="112">
        <f t="shared" si="590"/>
        <v>0</v>
      </c>
      <c r="R2834" s="53"/>
      <c r="S2834" s="53" t="str">
        <f t="shared" si="578"/>
        <v>Achievements|Retro Printing Plate Achievements|R-6|Printing Plate</v>
      </c>
      <c r="T2834" s="57" t="str">
        <f>IF($S2834="","",IFERROR(VLOOKUP($S2834,'Pop Estimates (Non-#d)'!$N$2:$O$500,2,FALSE),""))</f>
        <v/>
      </c>
      <c r="U2834" s="57">
        <f t="shared" si="579"/>
        <v>4</v>
      </c>
      <c r="V2834" s="53" t="str">
        <f t="shared" si="580"/>
        <v/>
      </c>
      <c r="W2834" s="53" t="str">
        <f t="shared" si="581"/>
        <v/>
      </c>
      <c r="X2834" s="53" t="str">
        <f t="shared" si="582"/>
        <v/>
      </c>
      <c r="Y2834" s="57" t="str">
        <f>IF($X2834="","",IFERROR(VLOOKUP($X2834,'Char Popularity'!$A$2:$C$500,2,FALSE),""))</f>
        <v/>
      </c>
      <c r="Z2834" s="56">
        <f>IF($X2834="",1,IFERROR(VLOOKUP($X2834,'Char Popularity'!$A$2:$C$500,3,FALSE),1))</f>
        <v>1</v>
      </c>
      <c r="AA2834" s="62">
        <f>IF($H2834&lt;&gt;"Y",0,(IF($F2834&lt;&gt;"",ROUND(Dashboard!$R$4/$F2834,1),IF(AND($I2834="Base",$E2834="Base"),Dashboard!$R$5,IF(AND($I2834="Base",$E2834="Red"),Dashboard!$R$6,IF(AND($I2834="Base",$E2834="Gold"),Dashboard!$R$7,VLOOKUP($I2834,Dashboard!$Q$16:$R$21,2,FALSE)))))*VLOOKUP($I2834,Dashboard!$Q$9:$R$13,2,FALSE)*IF(AND($I2834="Auto",$F2834="",OR($B2834="Autographs Duals",$B2834="Autographs Triples",$B2834="Autographs Quads",$B2834="Autographs Quads (Inscribed)")),IF($B2834="Autographs Duals",2,IF($B2834="Autographs Triples",3,4)),1)))</f>
        <v>0</v>
      </c>
      <c r="AB2834" s="62">
        <f t="shared" si="583"/>
        <v>0</v>
      </c>
      <c r="AC2834" s="62">
        <f t="shared" si="584"/>
        <v>0</v>
      </c>
    </row>
    <row r="2835" spans="1:29" ht="30" customHeight="1" x14ac:dyDescent="0.25">
      <c r="A2835" s="4" t="s">
        <v>43</v>
      </c>
      <c r="B2835" s="7" t="s">
        <v>154</v>
      </c>
      <c r="C2835" s="2" t="s">
        <v>455</v>
      </c>
      <c r="D2835" s="7" t="s">
        <v>387</v>
      </c>
      <c r="E2835" s="4" t="s">
        <v>829</v>
      </c>
      <c r="F2835" s="2">
        <v>4</v>
      </c>
      <c r="G2835" s="2" t="s">
        <v>1400</v>
      </c>
      <c r="H2835" s="2" t="s">
        <v>1399</v>
      </c>
      <c r="I2835" s="4" t="s">
        <v>62</v>
      </c>
      <c r="J2835" s="112">
        <f>IF($H2835&lt;&gt;"Y",0,ROUND(MIN(Dashboard!$R$24,IF(IFERROR(VLOOKUP($B2835,Dashboard!$Q$28:$S$60,2,FALSE),0)&gt;0,IFERROR(VLOOKUP($B2835,Dashboard!$Q$28:$S$60,2,FALSE),0),$Z2835*IF($U2835&lt;&gt;"",ROUND((Dashboard!$R$4/$U2835)*VLOOKUP($I2835,Dashboard!$Q$9:$R$13,2,FALSE)*IF(ISNUMBER(SEARCH("Duals",$B2835)),2,IF(ISNUMBER(SEARCH("Triples",$B2835)),3,IF(ISNUMBER(SEARCH("Quads",$B2835)),4,1))),2),ROUND(VLOOKUP($I2835,Dashboard!$Q$15:$R$20,2,FALSE)*IF($E2835="Red",Dashboard!$R$6,IF($E2835="Gold",Dashboard!$R$7,Dashboard!$R$5))*IF(ISNUMBER(SEARCH("Duals",$B2835)),2,IF(ISNUMBER(SEARCH("Triples",$B2835)),3,IF(ISNUMBER(SEARCH("Quads",$B2835)),4,1))),2))*IF(IFERROR(VLOOKUP($B2835,Dashboard!$Q$28:$S$60,3,FALSE),0)&gt;0,VLOOKUP($B2835,Dashboard!$Q$28:$S$60,3,FALSE),1))),0))</f>
        <v>0</v>
      </c>
      <c r="K2835" s="2" t="str">
        <f>IF(Achievements!D16="","",Achievements!D16)</f>
        <v/>
      </c>
      <c r="L2835" s="2">
        <f t="shared" si="585"/>
        <v>0</v>
      </c>
      <c r="M2835" s="2">
        <f t="shared" si="586"/>
        <v>0</v>
      </c>
      <c r="N2835" s="2">
        <f t="shared" si="587"/>
        <v>0</v>
      </c>
      <c r="O2835" s="2">
        <f t="shared" si="588"/>
        <v>0</v>
      </c>
      <c r="P2835" s="112">
        <f t="shared" si="589"/>
        <v>0</v>
      </c>
      <c r="Q2835" s="112">
        <f t="shared" si="590"/>
        <v>0</v>
      </c>
      <c r="R2835" s="53"/>
      <c r="S2835" s="53" t="str">
        <f t="shared" si="578"/>
        <v>Achievements|Retro Printing Plate Achievements|R-7|Printing Plate</v>
      </c>
      <c r="T2835" s="57" t="str">
        <f>IF($S2835="","",IFERROR(VLOOKUP($S2835,'Pop Estimates (Non-#d)'!$N$2:$O$500,2,FALSE),""))</f>
        <v/>
      </c>
      <c r="U2835" s="57">
        <f t="shared" si="579"/>
        <v>4</v>
      </c>
      <c r="V2835" s="53" t="str">
        <f t="shared" si="580"/>
        <v/>
      </c>
      <c r="W2835" s="53" t="str">
        <f t="shared" si="581"/>
        <v/>
      </c>
      <c r="X2835" s="53" t="str">
        <f t="shared" si="582"/>
        <v/>
      </c>
      <c r="Y2835" s="57" t="str">
        <f>IF($X2835="","",IFERROR(VLOOKUP($X2835,'Char Popularity'!$A$2:$C$500,2,FALSE),""))</f>
        <v/>
      </c>
      <c r="Z2835" s="56">
        <f>IF($X2835="",1,IFERROR(VLOOKUP($X2835,'Char Popularity'!$A$2:$C$500,3,FALSE),1))</f>
        <v>1</v>
      </c>
      <c r="AA2835" s="62">
        <f>IF($H2835&lt;&gt;"Y",0,(IF($F2835&lt;&gt;"",ROUND(Dashboard!$R$4/$F2835,1),IF(AND($I2835="Base",$E2835="Base"),Dashboard!$R$5,IF(AND($I2835="Base",$E2835="Red"),Dashboard!$R$6,IF(AND($I2835="Base",$E2835="Gold"),Dashboard!$R$7,VLOOKUP($I2835,Dashboard!$Q$16:$R$21,2,FALSE)))))*VLOOKUP($I2835,Dashboard!$Q$9:$R$13,2,FALSE)*IF(AND($I2835="Auto",$F2835="",OR($B2835="Autographs Duals",$B2835="Autographs Triples",$B2835="Autographs Quads",$B2835="Autographs Quads (Inscribed)")),IF($B2835="Autographs Duals",2,IF($B2835="Autographs Triples",3,4)),1)))</f>
        <v>0</v>
      </c>
      <c r="AB2835" s="62">
        <f t="shared" si="583"/>
        <v>0</v>
      </c>
      <c r="AC2835" s="62">
        <f t="shared" si="584"/>
        <v>0</v>
      </c>
    </row>
    <row r="2836" spans="1:29" ht="30" customHeight="1" x14ac:dyDescent="0.25">
      <c r="A2836" s="4" t="s">
        <v>43</v>
      </c>
      <c r="B2836" s="7" t="s">
        <v>154</v>
      </c>
      <c r="C2836" s="2" t="s">
        <v>456</v>
      </c>
      <c r="D2836" s="7" t="s">
        <v>347</v>
      </c>
      <c r="E2836" s="4" t="s">
        <v>829</v>
      </c>
      <c r="F2836" s="2">
        <v>4</v>
      </c>
      <c r="G2836" s="2" t="s">
        <v>1400</v>
      </c>
      <c r="H2836" s="2" t="s">
        <v>1399</v>
      </c>
      <c r="I2836" s="4" t="s">
        <v>62</v>
      </c>
      <c r="J2836" s="112">
        <f>IF($H2836&lt;&gt;"Y",0,ROUND(MIN(Dashboard!$R$24,IF(IFERROR(VLOOKUP($B2836,Dashboard!$Q$28:$S$60,2,FALSE),0)&gt;0,IFERROR(VLOOKUP($B2836,Dashboard!$Q$28:$S$60,2,FALSE),0),$Z2836*IF($U2836&lt;&gt;"",ROUND((Dashboard!$R$4/$U2836)*VLOOKUP($I2836,Dashboard!$Q$9:$R$13,2,FALSE)*IF(ISNUMBER(SEARCH("Duals",$B2836)),2,IF(ISNUMBER(SEARCH("Triples",$B2836)),3,IF(ISNUMBER(SEARCH("Quads",$B2836)),4,1))),2),ROUND(VLOOKUP($I2836,Dashboard!$Q$15:$R$20,2,FALSE)*IF($E2836="Red",Dashboard!$R$6,IF($E2836="Gold",Dashboard!$R$7,Dashboard!$R$5))*IF(ISNUMBER(SEARCH("Duals",$B2836)),2,IF(ISNUMBER(SEARCH("Triples",$B2836)),3,IF(ISNUMBER(SEARCH("Quads",$B2836)),4,1))),2))*IF(IFERROR(VLOOKUP($B2836,Dashboard!$Q$28:$S$60,3,FALSE),0)&gt;0,VLOOKUP($B2836,Dashboard!$Q$28:$S$60,3,FALSE),1))),0))</f>
        <v>0</v>
      </c>
      <c r="K2836" s="2" t="str">
        <f>IF(Achievements!D17="","",Achievements!D17)</f>
        <v/>
      </c>
      <c r="L2836" s="2">
        <f t="shared" si="585"/>
        <v>0</v>
      </c>
      <c r="M2836" s="2">
        <f t="shared" si="586"/>
        <v>0</v>
      </c>
      <c r="N2836" s="2">
        <f t="shared" si="587"/>
        <v>0</v>
      </c>
      <c r="O2836" s="2">
        <f t="shared" si="588"/>
        <v>0</v>
      </c>
      <c r="P2836" s="112">
        <f t="shared" si="589"/>
        <v>0</v>
      </c>
      <c r="Q2836" s="112">
        <f t="shared" si="590"/>
        <v>0</v>
      </c>
      <c r="R2836" s="53"/>
      <c r="S2836" s="53" t="str">
        <f t="shared" si="578"/>
        <v>Achievements|Retro Printing Plate Achievements|R-8|Printing Plate</v>
      </c>
      <c r="T2836" s="57" t="str">
        <f>IF($S2836="","",IFERROR(VLOOKUP($S2836,'Pop Estimates (Non-#d)'!$N$2:$O$500,2,FALSE),""))</f>
        <v/>
      </c>
      <c r="U2836" s="57">
        <f t="shared" si="579"/>
        <v>4</v>
      </c>
      <c r="V2836" s="53" t="str">
        <f t="shared" si="580"/>
        <v/>
      </c>
      <c r="W2836" s="53" t="str">
        <f t="shared" si="581"/>
        <v/>
      </c>
      <c r="X2836" s="53" t="str">
        <f t="shared" si="582"/>
        <v/>
      </c>
      <c r="Y2836" s="57" t="str">
        <f>IF($X2836="","",IFERROR(VLOOKUP($X2836,'Char Popularity'!$A$2:$C$500,2,FALSE),""))</f>
        <v/>
      </c>
      <c r="Z2836" s="56">
        <f>IF($X2836="",1,IFERROR(VLOOKUP($X2836,'Char Popularity'!$A$2:$C$500,3,FALSE),1))</f>
        <v>1</v>
      </c>
      <c r="AA2836" s="62">
        <f>IF($H2836&lt;&gt;"Y",0,(IF($F2836&lt;&gt;"",ROUND(Dashboard!$R$4/$F2836,1),IF(AND($I2836="Base",$E2836="Base"),Dashboard!$R$5,IF(AND($I2836="Base",$E2836="Red"),Dashboard!$R$6,IF(AND($I2836="Base",$E2836="Gold"),Dashboard!$R$7,VLOOKUP($I2836,Dashboard!$Q$16:$R$21,2,FALSE)))))*VLOOKUP($I2836,Dashboard!$Q$9:$R$13,2,FALSE)*IF(AND($I2836="Auto",$F2836="",OR($B2836="Autographs Duals",$B2836="Autographs Triples",$B2836="Autographs Quads",$B2836="Autographs Quads (Inscribed)")),IF($B2836="Autographs Duals",2,IF($B2836="Autographs Triples",3,4)),1)))</f>
        <v>0</v>
      </c>
      <c r="AB2836" s="62">
        <f t="shared" si="583"/>
        <v>0</v>
      </c>
      <c r="AC2836" s="62">
        <f t="shared" si="584"/>
        <v>0</v>
      </c>
    </row>
    <row r="2837" spans="1:29" ht="30" customHeight="1" x14ac:dyDescent="0.25">
      <c r="A2837" s="4" t="s">
        <v>43</v>
      </c>
      <c r="B2837" s="7" t="s">
        <v>154</v>
      </c>
      <c r="C2837" s="2" t="s">
        <v>457</v>
      </c>
      <c r="D2837" s="7" t="s">
        <v>458</v>
      </c>
      <c r="E2837" s="4" t="s">
        <v>829</v>
      </c>
      <c r="F2837" s="2">
        <v>4</v>
      </c>
      <c r="G2837" s="2" t="s">
        <v>1400</v>
      </c>
      <c r="H2837" s="2" t="s">
        <v>1399</v>
      </c>
      <c r="I2837" s="4" t="s">
        <v>62</v>
      </c>
      <c r="J2837" s="112">
        <f>IF($H2837&lt;&gt;"Y",0,ROUND(MIN(Dashboard!$R$24,IF(IFERROR(VLOOKUP($B2837,Dashboard!$Q$28:$S$60,2,FALSE),0)&gt;0,IFERROR(VLOOKUP($B2837,Dashboard!$Q$28:$S$60,2,FALSE),0),$Z2837*IF($U2837&lt;&gt;"",ROUND((Dashboard!$R$4/$U2837)*VLOOKUP($I2837,Dashboard!$Q$9:$R$13,2,FALSE)*IF(ISNUMBER(SEARCH("Duals",$B2837)),2,IF(ISNUMBER(SEARCH("Triples",$B2837)),3,IF(ISNUMBER(SEARCH("Quads",$B2837)),4,1))),2),ROUND(VLOOKUP($I2837,Dashboard!$Q$15:$R$20,2,FALSE)*IF($E2837="Red",Dashboard!$R$6,IF($E2837="Gold",Dashboard!$R$7,Dashboard!$R$5))*IF(ISNUMBER(SEARCH("Duals",$B2837)),2,IF(ISNUMBER(SEARCH("Triples",$B2837)),3,IF(ISNUMBER(SEARCH("Quads",$B2837)),4,1))),2))*IF(IFERROR(VLOOKUP($B2837,Dashboard!$Q$28:$S$60,3,FALSE),0)&gt;0,VLOOKUP($B2837,Dashboard!$Q$28:$S$60,3,FALSE),1))),0))</f>
        <v>0</v>
      </c>
      <c r="K2837" s="2" t="str">
        <f>IF(Achievements!D18="","",Achievements!D18)</f>
        <v/>
      </c>
      <c r="L2837" s="2">
        <f t="shared" si="585"/>
        <v>0</v>
      </c>
      <c r="M2837" s="2">
        <f t="shared" si="586"/>
        <v>0</v>
      </c>
      <c r="N2837" s="2">
        <f t="shared" si="587"/>
        <v>0</v>
      </c>
      <c r="O2837" s="2">
        <f t="shared" si="588"/>
        <v>0</v>
      </c>
      <c r="P2837" s="112">
        <f t="shared" si="589"/>
        <v>0</v>
      </c>
      <c r="Q2837" s="112">
        <f t="shared" si="590"/>
        <v>0</v>
      </c>
      <c r="R2837" s="53"/>
      <c r="S2837" s="53" t="str">
        <f t="shared" si="578"/>
        <v>Achievements|Retro Printing Plate Achievements|R-9|Printing Plate</v>
      </c>
      <c r="T2837" s="57" t="str">
        <f>IF($S2837="","",IFERROR(VLOOKUP($S2837,'Pop Estimates (Non-#d)'!$N$2:$O$500,2,FALSE),""))</f>
        <v/>
      </c>
      <c r="U2837" s="57">
        <f t="shared" si="579"/>
        <v>4</v>
      </c>
      <c r="V2837" s="53" t="str">
        <f t="shared" si="580"/>
        <v/>
      </c>
      <c r="W2837" s="53" t="str">
        <f t="shared" si="581"/>
        <v/>
      </c>
      <c r="X2837" s="53" t="str">
        <f t="shared" si="582"/>
        <v/>
      </c>
      <c r="Y2837" s="57" t="str">
        <f>IF($X2837="","",IFERROR(VLOOKUP($X2837,'Char Popularity'!$A$2:$C$500,2,FALSE),""))</f>
        <v/>
      </c>
      <c r="Z2837" s="56">
        <f>IF($X2837="",1,IFERROR(VLOOKUP($X2837,'Char Popularity'!$A$2:$C$500,3,FALSE),1))</f>
        <v>1</v>
      </c>
      <c r="AA2837" s="62">
        <f>IF($H2837&lt;&gt;"Y",0,(IF($F2837&lt;&gt;"",ROUND(Dashboard!$R$4/$F2837,1),IF(AND($I2837="Base",$E2837="Base"),Dashboard!$R$5,IF(AND($I2837="Base",$E2837="Red"),Dashboard!$R$6,IF(AND($I2837="Base",$E2837="Gold"),Dashboard!$R$7,VLOOKUP($I2837,Dashboard!$Q$16:$R$21,2,FALSE)))))*VLOOKUP($I2837,Dashboard!$Q$9:$R$13,2,FALSE)*IF(AND($I2837="Auto",$F2837="",OR($B2837="Autographs Duals",$B2837="Autographs Triples",$B2837="Autographs Quads",$B2837="Autographs Quads (Inscribed)")),IF($B2837="Autographs Duals",2,IF($B2837="Autographs Triples",3,4)),1)))</f>
        <v>0</v>
      </c>
      <c r="AB2837" s="62">
        <f t="shared" si="583"/>
        <v>0</v>
      </c>
      <c r="AC2837" s="62">
        <f t="shared" si="584"/>
        <v>0</v>
      </c>
    </row>
    <row r="2838" spans="1:29" ht="30" customHeight="1" x14ac:dyDescent="0.25">
      <c r="A2838" s="4" t="s">
        <v>43</v>
      </c>
      <c r="B2838" s="7" t="s">
        <v>154</v>
      </c>
      <c r="C2838" s="2" t="s">
        <v>440</v>
      </c>
      <c r="D2838" s="7" t="s">
        <v>441</v>
      </c>
      <c r="E2838" s="4" t="s">
        <v>829</v>
      </c>
      <c r="F2838" s="2">
        <v>4</v>
      </c>
      <c r="G2838" s="2" t="s">
        <v>1400</v>
      </c>
      <c r="H2838" s="2" t="s">
        <v>1399</v>
      </c>
      <c r="I2838" s="4" t="s">
        <v>62</v>
      </c>
      <c r="J2838" s="112">
        <f>IF($H2838&lt;&gt;"Y",0,ROUND(MIN(Dashboard!$R$24,IF(IFERROR(VLOOKUP($B2838,Dashboard!$Q$28:$S$60,2,FALSE),0)&gt;0,IFERROR(VLOOKUP($B2838,Dashboard!$Q$28:$S$60,2,FALSE),0),$Z2838*IF($U2838&lt;&gt;"",ROUND((Dashboard!$R$4/$U2838)*VLOOKUP($I2838,Dashboard!$Q$9:$R$13,2,FALSE)*IF(ISNUMBER(SEARCH("Duals",$B2838)),2,IF(ISNUMBER(SEARCH("Triples",$B2838)),3,IF(ISNUMBER(SEARCH("Quads",$B2838)),4,1))),2),ROUND(VLOOKUP($I2838,Dashboard!$Q$15:$R$20,2,FALSE)*IF($E2838="Red",Dashboard!$R$6,IF($E2838="Gold",Dashboard!$R$7,Dashboard!$R$5))*IF(ISNUMBER(SEARCH("Duals",$B2838)),2,IF(ISNUMBER(SEARCH("Triples",$B2838)),3,IF(ISNUMBER(SEARCH("Quads",$B2838)),4,1))),2))*IF(IFERROR(VLOOKUP($B2838,Dashboard!$Q$28:$S$60,3,FALSE),0)&gt;0,VLOOKUP($B2838,Dashboard!$Q$28:$S$60,3,FALSE),1))),0))</f>
        <v>0</v>
      </c>
      <c r="K2838" s="2" t="str">
        <f>IF(Achievements!D19="","",Achievements!D19)</f>
        <v/>
      </c>
      <c r="L2838" s="2">
        <f t="shared" si="585"/>
        <v>0</v>
      </c>
      <c r="M2838" s="2">
        <f t="shared" si="586"/>
        <v>0</v>
      </c>
      <c r="N2838" s="2">
        <f t="shared" si="587"/>
        <v>0</v>
      </c>
      <c r="O2838" s="2">
        <f t="shared" si="588"/>
        <v>0</v>
      </c>
      <c r="P2838" s="112">
        <f t="shared" si="589"/>
        <v>0</v>
      </c>
      <c r="Q2838" s="112">
        <f t="shared" si="590"/>
        <v>0</v>
      </c>
      <c r="R2838" s="53"/>
      <c r="S2838" s="53" t="str">
        <f t="shared" si="578"/>
        <v>Achievements|Retro Printing Plate Achievements|R-10|Printing Plate</v>
      </c>
      <c r="T2838" s="57" t="str">
        <f>IF($S2838="","",IFERROR(VLOOKUP($S2838,'Pop Estimates (Non-#d)'!$N$2:$O$500,2,FALSE),""))</f>
        <v/>
      </c>
      <c r="U2838" s="57">
        <f t="shared" si="579"/>
        <v>4</v>
      </c>
      <c r="V2838" s="53" t="str">
        <f t="shared" si="580"/>
        <v/>
      </c>
      <c r="W2838" s="53" t="str">
        <f t="shared" si="581"/>
        <v/>
      </c>
      <c r="X2838" s="53" t="str">
        <f t="shared" si="582"/>
        <v/>
      </c>
      <c r="Y2838" s="57" t="str">
        <f>IF($X2838="","",IFERROR(VLOOKUP($X2838,'Char Popularity'!$A$2:$C$500,2,FALSE),""))</f>
        <v/>
      </c>
      <c r="Z2838" s="56">
        <f>IF($X2838="",1,IFERROR(VLOOKUP($X2838,'Char Popularity'!$A$2:$C$500,3,FALSE),1))</f>
        <v>1</v>
      </c>
      <c r="AA2838" s="62">
        <f>IF($H2838&lt;&gt;"Y",0,(IF($F2838&lt;&gt;"",ROUND(Dashboard!$R$4/$F2838,1),IF(AND($I2838="Base",$E2838="Base"),Dashboard!$R$5,IF(AND($I2838="Base",$E2838="Red"),Dashboard!$R$6,IF(AND($I2838="Base",$E2838="Gold"),Dashboard!$R$7,VLOOKUP($I2838,Dashboard!$Q$16:$R$21,2,FALSE)))))*VLOOKUP($I2838,Dashboard!$Q$9:$R$13,2,FALSE)*IF(AND($I2838="Auto",$F2838="",OR($B2838="Autographs Duals",$B2838="Autographs Triples",$B2838="Autographs Quads",$B2838="Autographs Quads (Inscribed)")),IF($B2838="Autographs Duals",2,IF($B2838="Autographs Triples",3,4)),1)))</f>
        <v>0</v>
      </c>
      <c r="AB2838" s="62">
        <f t="shared" si="583"/>
        <v>0</v>
      </c>
      <c r="AC2838" s="62">
        <f t="shared" si="584"/>
        <v>0</v>
      </c>
    </row>
    <row r="2839" spans="1:29" ht="30" customHeight="1" x14ac:dyDescent="0.25">
      <c r="A2839" s="4" t="s">
        <v>43</v>
      </c>
      <c r="B2839" s="7" t="s">
        <v>154</v>
      </c>
      <c r="C2839" s="2" t="s">
        <v>442</v>
      </c>
      <c r="D2839" s="7" t="s">
        <v>389</v>
      </c>
      <c r="E2839" s="4" t="s">
        <v>829</v>
      </c>
      <c r="F2839" s="2">
        <v>4</v>
      </c>
      <c r="G2839" s="2" t="s">
        <v>1400</v>
      </c>
      <c r="H2839" s="2" t="s">
        <v>1399</v>
      </c>
      <c r="I2839" s="4" t="s">
        <v>62</v>
      </c>
      <c r="J2839" s="112">
        <f>IF($H2839&lt;&gt;"Y",0,ROUND(MIN(Dashboard!$R$24,IF(IFERROR(VLOOKUP($B2839,Dashboard!$Q$28:$S$60,2,FALSE),0)&gt;0,IFERROR(VLOOKUP($B2839,Dashboard!$Q$28:$S$60,2,FALSE),0),$Z2839*IF($U2839&lt;&gt;"",ROUND((Dashboard!$R$4/$U2839)*VLOOKUP($I2839,Dashboard!$Q$9:$R$13,2,FALSE)*IF(ISNUMBER(SEARCH("Duals",$B2839)),2,IF(ISNUMBER(SEARCH("Triples",$B2839)),3,IF(ISNUMBER(SEARCH("Quads",$B2839)),4,1))),2),ROUND(VLOOKUP($I2839,Dashboard!$Q$15:$R$20,2,FALSE)*IF($E2839="Red",Dashboard!$R$6,IF($E2839="Gold",Dashboard!$R$7,Dashboard!$R$5))*IF(ISNUMBER(SEARCH("Duals",$B2839)),2,IF(ISNUMBER(SEARCH("Triples",$B2839)),3,IF(ISNUMBER(SEARCH("Quads",$B2839)),4,1))),2))*IF(IFERROR(VLOOKUP($B2839,Dashboard!$Q$28:$S$60,3,FALSE),0)&gt;0,VLOOKUP($B2839,Dashboard!$Q$28:$S$60,3,FALSE),1))),0))</f>
        <v>0</v>
      </c>
      <c r="K2839" s="2" t="str">
        <f>IF(Achievements!D20="","",Achievements!D20)</f>
        <v/>
      </c>
      <c r="L2839" s="2">
        <f t="shared" si="585"/>
        <v>0</v>
      </c>
      <c r="M2839" s="2">
        <f t="shared" si="586"/>
        <v>0</v>
      </c>
      <c r="N2839" s="2">
        <f t="shared" si="587"/>
        <v>0</v>
      </c>
      <c r="O2839" s="2">
        <f t="shared" si="588"/>
        <v>0</v>
      </c>
      <c r="P2839" s="112">
        <f t="shared" si="589"/>
        <v>0</v>
      </c>
      <c r="Q2839" s="112">
        <f t="shared" si="590"/>
        <v>0</v>
      </c>
      <c r="R2839" s="53"/>
      <c r="S2839" s="53" t="str">
        <f t="shared" si="578"/>
        <v>Achievements|Retro Printing Plate Achievements|R-11|Printing Plate</v>
      </c>
      <c r="T2839" s="57" t="str">
        <f>IF($S2839="","",IFERROR(VLOOKUP($S2839,'Pop Estimates (Non-#d)'!$N$2:$O$500,2,FALSE),""))</f>
        <v/>
      </c>
      <c r="U2839" s="57">
        <f t="shared" si="579"/>
        <v>4</v>
      </c>
      <c r="V2839" s="53" t="str">
        <f t="shared" si="580"/>
        <v/>
      </c>
      <c r="W2839" s="53" t="str">
        <f t="shared" si="581"/>
        <v/>
      </c>
      <c r="X2839" s="53" t="str">
        <f t="shared" si="582"/>
        <v/>
      </c>
      <c r="Y2839" s="57" t="str">
        <f>IF($X2839="","",IFERROR(VLOOKUP($X2839,'Char Popularity'!$A$2:$C$500,2,FALSE),""))</f>
        <v/>
      </c>
      <c r="Z2839" s="56">
        <f>IF($X2839="",1,IFERROR(VLOOKUP($X2839,'Char Popularity'!$A$2:$C$500,3,FALSE),1))</f>
        <v>1</v>
      </c>
      <c r="AA2839" s="62">
        <f>IF($H2839&lt;&gt;"Y",0,(IF($F2839&lt;&gt;"",ROUND(Dashboard!$R$4/$F2839,1),IF(AND($I2839="Base",$E2839="Base"),Dashboard!$R$5,IF(AND($I2839="Base",$E2839="Red"),Dashboard!$R$6,IF(AND($I2839="Base",$E2839="Gold"),Dashboard!$R$7,VLOOKUP($I2839,Dashboard!$Q$16:$R$21,2,FALSE)))))*VLOOKUP($I2839,Dashboard!$Q$9:$R$13,2,FALSE)*IF(AND($I2839="Auto",$F2839="",OR($B2839="Autographs Duals",$B2839="Autographs Triples",$B2839="Autographs Quads",$B2839="Autographs Quads (Inscribed)")),IF($B2839="Autographs Duals",2,IF($B2839="Autographs Triples",3,4)),1)))</f>
        <v>0</v>
      </c>
      <c r="AB2839" s="62">
        <f t="shared" si="583"/>
        <v>0</v>
      </c>
      <c r="AC2839" s="62">
        <f t="shared" si="584"/>
        <v>0</v>
      </c>
    </row>
    <row r="2840" spans="1:29" ht="30" customHeight="1" x14ac:dyDescent="0.25">
      <c r="A2840" s="4" t="s">
        <v>43</v>
      </c>
      <c r="B2840" s="7" t="s">
        <v>154</v>
      </c>
      <c r="C2840" s="2" t="s">
        <v>443</v>
      </c>
      <c r="D2840" s="7" t="s">
        <v>444</v>
      </c>
      <c r="E2840" s="4" t="s">
        <v>829</v>
      </c>
      <c r="F2840" s="2">
        <v>4</v>
      </c>
      <c r="G2840" s="2" t="s">
        <v>1400</v>
      </c>
      <c r="H2840" s="2" t="s">
        <v>1399</v>
      </c>
      <c r="I2840" s="4" t="s">
        <v>62</v>
      </c>
      <c r="J2840" s="112">
        <f>IF($H2840&lt;&gt;"Y",0,ROUND(MIN(Dashboard!$R$24,IF(IFERROR(VLOOKUP($B2840,Dashboard!$Q$28:$S$60,2,FALSE),0)&gt;0,IFERROR(VLOOKUP($B2840,Dashboard!$Q$28:$S$60,2,FALSE),0),$Z2840*IF($U2840&lt;&gt;"",ROUND((Dashboard!$R$4/$U2840)*VLOOKUP($I2840,Dashboard!$Q$9:$R$13,2,FALSE)*IF(ISNUMBER(SEARCH("Duals",$B2840)),2,IF(ISNUMBER(SEARCH("Triples",$B2840)),3,IF(ISNUMBER(SEARCH("Quads",$B2840)),4,1))),2),ROUND(VLOOKUP($I2840,Dashboard!$Q$15:$R$20,2,FALSE)*IF($E2840="Red",Dashboard!$R$6,IF($E2840="Gold",Dashboard!$R$7,Dashboard!$R$5))*IF(ISNUMBER(SEARCH("Duals",$B2840)),2,IF(ISNUMBER(SEARCH("Triples",$B2840)),3,IF(ISNUMBER(SEARCH("Quads",$B2840)),4,1))),2))*IF(IFERROR(VLOOKUP($B2840,Dashboard!$Q$28:$S$60,3,FALSE),0)&gt;0,VLOOKUP($B2840,Dashboard!$Q$28:$S$60,3,FALSE),1))),0))</f>
        <v>0</v>
      </c>
      <c r="K2840" s="2" t="str">
        <f>IF(Achievements!D21="","",Achievements!D21)</f>
        <v/>
      </c>
      <c r="L2840" s="2">
        <f t="shared" si="585"/>
        <v>0</v>
      </c>
      <c r="M2840" s="2">
        <f t="shared" si="586"/>
        <v>0</v>
      </c>
      <c r="N2840" s="2">
        <f t="shared" si="587"/>
        <v>0</v>
      </c>
      <c r="O2840" s="2">
        <f t="shared" si="588"/>
        <v>0</v>
      </c>
      <c r="P2840" s="112">
        <f t="shared" si="589"/>
        <v>0</v>
      </c>
      <c r="Q2840" s="112">
        <f t="shared" si="590"/>
        <v>0</v>
      </c>
      <c r="R2840" s="53"/>
      <c r="S2840" s="53" t="str">
        <f t="shared" si="578"/>
        <v>Achievements|Retro Printing Plate Achievements|R-12|Printing Plate</v>
      </c>
      <c r="T2840" s="57" t="str">
        <f>IF($S2840="","",IFERROR(VLOOKUP($S2840,'Pop Estimates (Non-#d)'!$N$2:$O$500,2,FALSE),""))</f>
        <v/>
      </c>
      <c r="U2840" s="57">
        <f t="shared" si="579"/>
        <v>4</v>
      </c>
      <c r="V2840" s="53" t="str">
        <f t="shared" si="580"/>
        <v/>
      </c>
      <c r="W2840" s="53" t="str">
        <f t="shared" si="581"/>
        <v/>
      </c>
      <c r="X2840" s="53" t="str">
        <f t="shared" si="582"/>
        <v/>
      </c>
      <c r="Y2840" s="57" t="str">
        <f>IF($X2840="","",IFERROR(VLOOKUP($X2840,'Char Popularity'!$A$2:$C$500,2,FALSE),""))</f>
        <v/>
      </c>
      <c r="Z2840" s="56">
        <f>IF($X2840="",1,IFERROR(VLOOKUP($X2840,'Char Popularity'!$A$2:$C$500,3,FALSE),1))</f>
        <v>1</v>
      </c>
      <c r="AA2840" s="62">
        <f>IF($H2840&lt;&gt;"Y",0,(IF($F2840&lt;&gt;"",ROUND(Dashboard!$R$4/$F2840,1),IF(AND($I2840="Base",$E2840="Base"),Dashboard!$R$5,IF(AND($I2840="Base",$E2840="Red"),Dashboard!$R$6,IF(AND($I2840="Base",$E2840="Gold"),Dashboard!$R$7,VLOOKUP($I2840,Dashboard!$Q$16:$R$21,2,FALSE)))))*VLOOKUP($I2840,Dashboard!$Q$9:$R$13,2,FALSE)*IF(AND($I2840="Auto",$F2840="",OR($B2840="Autographs Duals",$B2840="Autographs Triples",$B2840="Autographs Quads",$B2840="Autographs Quads (Inscribed)")),IF($B2840="Autographs Duals",2,IF($B2840="Autographs Triples",3,4)),1)))</f>
        <v>0</v>
      </c>
      <c r="AB2840" s="62">
        <f t="shared" si="583"/>
        <v>0</v>
      </c>
      <c r="AC2840" s="62">
        <f t="shared" si="584"/>
        <v>0</v>
      </c>
    </row>
    <row r="2841" spans="1:29" ht="30" customHeight="1" x14ac:dyDescent="0.25">
      <c r="A2841" s="4" t="s">
        <v>43</v>
      </c>
      <c r="B2841" s="7" t="s">
        <v>154</v>
      </c>
      <c r="C2841" s="2" t="s">
        <v>445</v>
      </c>
      <c r="D2841" s="7" t="s">
        <v>446</v>
      </c>
      <c r="E2841" s="4" t="s">
        <v>829</v>
      </c>
      <c r="F2841" s="2">
        <v>4</v>
      </c>
      <c r="G2841" s="2" t="s">
        <v>1400</v>
      </c>
      <c r="H2841" s="2" t="s">
        <v>1399</v>
      </c>
      <c r="I2841" s="4" t="s">
        <v>62</v>
      </c>
      <c r="J2841" s="112">
        <f>IF($H2841&lt;&gt;"Y",0,ROUND(MIN(Dashboard!$R$24,IF(IFERROR(VLOOKUP($B2841,Dashboard!$Q$28:$S$60,2,FALSE),0)&gt;0,IFERROR(VLOOKUP($B2841,Dashboard!$Q$28:$S$60,2,FALSE),0),$Z2841*IF($U2841&lt;&gt;"",ROUND((Dashboard!$R$4/$U2841)*VLOOKUP($I2841,Dashboard!$Q$9:$R$13,2,FALSE)*IF(ISNUMBER(SEARCH("Duals",$B2841)),2,IF(ISNUMBER(SEARCH("Triples",$B2841)),3,IF(ISNUMBER(SEARCH("Quads",$B2841)),4,1))),2),ROUND(VLOOKUP($I2841,Dashboard!$Q$15:$R$20,2,FALSE)*IF($E2841="Red",Dashboard!$R$6,IF($E2841="Gold",Dashboard!$R$7,Dashboard!$R$5))*IF(ISNUMBER(SEARCH("Duals",$B2841)),2,IF(ISNUMBER(SEARCH("Triples",$B2841)),3,IF(ISNUMBER(SEARCH("Quads",$B2841)),4,1))),2))*IF(IFERROR(VLOOKUP($B2841,Dashboard!$Q$28:$S$60,3,FALSE),0)&gt;0,VLOOKUP($B2841,Dashboard!$Q$28:$S$60,3,FALSE),1))),0))</f>
        <v>0</v>
      </c>
      <c r="K2841" s="2" t="str">
        <f>IF(Achievements!D22="","",Achievements!D22)</f>
        <v/>
      </c>
      <c r="L2841" s="2">
        <f t="shared" si="585"/>
        <v>0</v>
      </c>
      <c r="M2841" s="2">
        <f t="shared" si="586"/>
        <v>0</v>
      </c>
      <c r="N2841" s="2">
        <f t="shared" si="587"/>
        <v>0</v>
      </c>
      <c r="O2841" s="2">
        <f t="shared" si="588"/>
        <v>0</v>
      </c>
      <c r="P2841" s="112">
        <f t="shared" si="589"/>
        <v>0</v>
      </c>
      <c r="Q2841" s="112">
        <f t="shared" si="590"/>
        <v>0</v>
      </c>
      <c r="R2841" s="53"/>
      <c r="S2841" s="53" t="str">
        <f t="shared" si="578"/>
        <v>Achievements|Retro Printing Plate Achievements|R-13|Printing Plate</v>
      </c>
      <c r="T2841" s="57" t="str">
        <f>IF($S2841="","",IFERROR(VLOOKUP($S2841,'Pop Estimates (Non-#d)'!$N$2:$O$500,2,FALSE),""))</f>
        <v/>
      </c>
      <c r="U2841" s="57">
        <f t="shared" si="579"/>
        <v>4</v>
      </c>
      <c r="V2841" s="53" t="str">
        <f t="shared" si="580"/>
        <v/>
      </c>
      <c r="W2841" s="53" t="str">
        <f t="shared" si="581"/>
        <v/>
      </c>
      <c r="X2841" s="53" t="str">
        <f t="shared" si="582"/>
        <v/>
      </c>
      <c r="Y2841" s="57" t="str">
        <f>IF($X2841="","",IFERROR(VLOOKUP($X2841,'Char Popularity'!$A$2:$C$500,2,FALSE),""))</f>
        <v/>
      </c>
      <c r="Z2841" s="56">
        <f>IF($X2841="",1,IFERROR(VLOOKUP($X2841,'Char Popularity'!$A$2:$C$500,3,FALSE),1))</f>
        <v>1</v>
      </c>
      <c r="AA2841" s="62">
        <f>IF($H2841&lt;&gt;"Y",0,(IF($F2841&lt;&gt;"",ROUND(Dashboard!$R$4/$F2841,1),IF(AND($I2841="Base",$E2841="Base"),Dashboard!$R$5,IF(AND($I2841="Base",$E2841="Red"),Dashboard!$R$6,IF(AND($I2841="Base",$E2841="Gold"),Dashboard!$R$7,VLOOKUP($I2841,Dashboard!$Q$16:$R$21,2,FALSE)))))*VLOOKUP($I2841,Dashboard!$Q$9:$R$13,2,FALSE)*IF(AND($I2841="Auto",$F2841="",OR($B2841="Autographs Duals",$B2841="Autographs Triples",$B2841="Autographs Quads",$B2841="Autographs Quads (Inscribed)")),IF($B2841="Autographs Duals",2,IF($B2841="Autographs Triples",3,4)),1)))</f>
        <v>0</v>
      </c>
      <c r="AB2841" s="62">
        <f t="shared" si="583"/>
        <v>0</v>
      </c>
      <c r="AC2841" s="62">
        <f t="shared" si="584"/>
        <v>0</v>
      </c>
    </row>
    <row r="2842" spans="1:29" ht="30" customHeight="1" x14ac:dyDescent="0.25">
      <c r="A2842" s="4" t="s">
        <v>43</v>
      </c>
      <c r="B2842" s="7" t="s">
        <v>154</v>
      </c>
      <c r="C2842" s="2" t="s">
        <v>447</v>
      </c>
      <c r="D2842" s="7" t="s">
        <v>345</v>
      </c>
      <c r="E2842" s="4" t="s">
        <v>829</v>
      </c>
      <c r="F2842" s="2">
        <v>4</v>
      </c>
      <c r="G2842" s="2" t="s">
        <v>1400</v>
      </c>
      <c r="H2842" s="2" t="s">
        <v>1399</v>
      </c>
      <c r="I2842" s="4" t="s">
        <v>62</v>
      </c>
      <c r="J2842" s="112">
        <f>IF($H2842&lt;&gt;"Y",0,ROUND(MIN(Dashboard!$R$24,IF(IFERROR(VLOOKUP($B2842,Dashboard!$Q$28:$S$60,2,FALSE),0)&gt;0,IFERROR(VLOOKUP($B2842,Dashboard!$Q$28:$S$60,2,FALSE),0),$Z2842*IF($U2842&lt;&gt;"",ROUND((Dashboard!$R$4/$U2842)*VLOOKUP($I2842,Dashboard!$Q$9:$R$13,2,FALSE)*IF(ISNUMBER(SEARCH("Duals",$B2842)),2,IF(ISNUMBER(SEARCH("Triples",$B2842)),3,IF(ISNUMBER(SEARCH("Quads",$B2842)),4,1))),2),ROUND(VLOOKUP($I2842,Dashboard!$Q$15:$R$20,2,FALSE)*IF($E2842="Red",Dashboard!$R$6,IF($E2842="Gold",Dashboard!$R$7,Dashboard!$R$5))*IF(ISNUMBER(SEARCH("Duals",$B2842)),2,IF(ISNUMBER(SEARCH("Triples",$B2842)),3,IF(ISNUMBER(SEARCH("Quads",$B2842)),4,1))),2))*IF(IFERROR(VLOOKUP($B2842,Dashboard!$Q$28:$S$60,3,FALSE),0)&gt;0,VLOOKUP($B2842,Dashboard!$Q$28:$S$60,3,FALSE),1))),0))</f>
        <v>0</v>
      </c>
      <c r="K2842" s="2" t="str">
        <f>IF(Achievements!D23="","",Achievements!D23)</f>
        <v/>
      </c>
      <c r="L2842" s="2">
        <f t="shared" si="585"/>
        <v>0</v>
      </c>
      <c r="M2842" s="2">
        <f t="shared" si="586"/>
        <v>0</v>
      </c>
      <c r="N2842" s="2">
        <f t="shared" si="587"/>
        <v>0</v>
      </c>
      <c r="O2842" s="2">
        <f t="shared" si="588"/>
        <v>0</v>
      </c>
      <c r="P2842" s="112">
        <f t="shared" si="589"/>
        <v>0</v>
      </c>
      <c r="Q2842" s="112">
        <f t="shared" si="590"/>
        <v>0</v>
      </c>
      <c r="R2842" s="53"/>
      <c r="S2842" s="53" t="str">
        <f t="shared" si="578"/>
        <v>Achievements|Retro Printing Plate Achievements|R-14|Printing Plate</v>
      </c>
      <c r="T2842" s="57" t="str">
        <f>IF($S2842="","",IFERROR(VLOOKUP($S2842,'Pop Estimates (Non-#d)'!$N$2:$O$500,2,FALSE),""))</f>
        <v/>
      </c>
      <c r="U2842" s="57">
        <f t="shared" si="579"/>
        <v>4</v>
      </c>
      <c r="V2842" s="53" t="str">
        <f t="shared" si="580"/>
        <v/>
      </c>
      <c r="W2842" s="53" t="str">
        <f t="shared" si="581"/>
        <v/>
      </c>
      <c r="X2842" s="53" t="str">
        <f t="shared" si="582"/>
        <v/>
      </c>
      <c r="Y2842" s="57" t="str">
        <f>IF($X2842="","",IFERROR(VLOOKUP($X2842,'Char Popularity'!$A$2:$C$500,2,FALSE),""))</f>
        <v/>
      </c>
      <c r="Z2842" s="56">
        <f>IF($X2842="",1,IFERROR(VLOOKUP($X2842,'Char Popularity'!$A$2:$C$500,3,FALSE),1))</f>
        <v>1</v>
      </c>
      <c r="AA2842" s="62">
        <f>IF($H2842&lt;&gt;"Y",0,(IF($F2842&lt;&gt;"",ROUND(Dashboard!$R$4/$F2842,1),IF(AND($I2842="Base",$E2842="Base"),Dashboard!$R$5,IF(AND($I2842="Base",$E2842="Red"),Dashboard!$R$6,IF(AND($I2842="Base",$E2842="Gold"),Dashboard!$R$7,VLOOKUP($I2842,Dashboard!$Q$16:$R$21,2,FALSE)))))*VLOOKUP($I2842,Dashboard!$Q$9:$R$13,2,FALSE)*IF(AND($I2842="Auto",$F2842="",OR($B2842="Autographs Duals",$B2842="Autographs Triples",$B2842="Autographs Quads",$B2842="Autographs Quads (Inscribed)")),IF($B2842="Autographs Duals",2,IF($B2842="Autographs Triples",3,4)),1)))</f>
        <v>0</v>
      </c>
      <c r="AB2842" s="62">
        <f t="shared" si="583"/>
        <v>0</v>
      </c>
      <c r="AC2842" s="62">
        <f t="shared" si="584"/>
        <v>0</v>
      </c>
    </row>
    <row r="2843" spans="1:29" ht="30" customHeight="1" x14ac:dyDescent="0.25">
      <c r="A2843" s="4" t="s">
        <v>43</v>
      </c>
      <c r="B2843" s="7" t="s">
        <v>154</v>
      </c>
      <c r="C2843" s="2" t="s">
        <v>448</v>
      </c>
      <c r="D2843" s="7" t="s">
        <v>339</v>
      </c>
      <c r="E2843" s="4" t="s">
        <v>829</v>
      </c>
      <c r="F2843" s="2">
        <v>4</v>
      </c>
      <c r="G2843" s="2" t="s">
        <v>1400</v>
      </c>
      <c r="H2843" s="2" t="s">
        <v>1399</v>
      </c>
      <c r="I2843" s="4" t="s">
        <v>62</v>
      </c>
      <c r="J2843" s="112">
        <f>IF($H2843&lt;&gt;"Y",0,ROUND(MIN(Dashboard!$R$24,IF(IFERROR(VLOOKUP($B2843,Dashboard!$Q$28:$S$60,2,FALSE),0)&gt;0,IFERROR(VLOOKUP($B2843,Dashboard!$Q$28:$S$60,2,FALSE),0),$Z2843*IF($U2843&lt;&gt;"",ROUND((Dashboard!$R$4/$U2843)*VLOOKUP($I2843,Dashboard!$Q$9:$R$13,2,FALSE)*IF(ISNUMBER(SEARCH("Duals",$B2843)),2,IF(ISNUMBER(SEARCH("Triples",$B2843)),3,IF(ISNUMBER(SEARCH("Quads",$B2843)),4,1))),2),ROUND(VLOOKUP($I2843,Dashboard!$Q$15:$R$20,2,FALSE)*IF($E2843="Red",Dashboard!$R$6,IF($E2843="Gold",Dashboard!$R$7,Dashboard!$R$5))*IF(ISNUMBER(SEARCH("Duals",$B2843)),2,IF(ISNUMBER(SEARCH("Triples",$B2843)),3,IF(ISNUMBER(SEARCH("Quads",$B2843)),4,1))),2))*IF(IFERROR(VLOOKUP($B2843,Dashboard!$Q$28:$S$60,3,FALSE),0)&gt;0,VLOOKUP($B2843,Dashboard!$Q$28:$S$60,3,FALSE),1))),0))</f>
        <v>0</v>
      </c>
      <c r="K2843" s="2" t="str">
        <f>IF(Achievements!D24="","",Achievements!D24)</f>
        <v/>
      </c>
      <c r="L2843" s="2">
        <f t="shared" si="585"/>
        <v>0</v>
      </c>
      <c r="M2843" s="2">
        <f t="shared" si="586"/>
        <v>0</v>
      </c>
      <c r="N2843" s="2">
        <f t="shared" si="587"/>
        <v>0</v>
      </c>
      <c r="O2843" s="2">
        <f t="shared" si="588"/>
        <v>0</v>
      </c>
      <c r="P2843" s="112">
        <f t="shared" si="589"/>
        <v>0</v>
      </c>
      <c r="Q2843" s="112">
        <f t="shared" si="590"/>
        <v>0</v>
      </c>
      <c r="R2843" s="53"/>
      <c r="S2843" s="53" t="str">
        <f t="shared" si="578"/>
        <v>Achievements|Retro Printing Plate Achievements|R-15|Printing Plate</v>
      </c>
      <c r="T2843" s="57" t="str">
        <f>IF($S2843="","",IFERROR(VLOOKUP($S2843,'Pop Estimates (Non-#d)'!$N$2:$O$500,2,FALSE),""))</f>
        <v/>
      </c>
      <c r="U2843" s="57">
        <f t="shared" si="579"/>
        <v>4</v>
      </c>
      <c r="V2843" s="53" t="str">
        <f t="shared" si="580"/>
        <v/>
      </c>
      <c r="W2843" s="53" t="str">
        <f t="shared" si="581"/>
        <v/>
      </c>
      <c r="X2843" s="53" t="str">
        <f t="shared" si="582"/>
        <v/>
      </c>
      <c r="Y2843" s="57" t="str">
        <f>IF($X2843="","",IFERROR(VLOOKUP($X2843,'Char Popularity'!$A$2:$C$500,2,FALSE),""))</f>
        <v/>
      </c>
      <c r="Z2843" s="56">
        <f>IF($X2843="",1,IFERROR(VLOOKUP($X2843,'Char Popularity'!$A$2:$C$500,3,FALSE),1))</f>
        <v>1</v>
      </c>
      <c r="AA2843" s="62">
        <f>IF($H2843&lt;&gt;"Y",0,(IF($F2843&lt;&gt;"",ROUND(Dashboard!$R$4/$F2843,1),IF(AND($I2843="Base",$E2843="Base"),Dashboard!$R$5,IF(AND($I2843="Base",$E2843="Red"),Dashboard!$R$6,IF(AND($I2843="Base",$E2843="Gold"),Dashboard!$R$7,VLOOKUP($I2843,Dashboard!$Q$16:$R$21,2,FALSE)))))*VLOOKUP($I2843,Dashboard!$Q$9:$R$13,2,FALSE)*IF(AND($I2843="Auto",$F2843="",OR($B2843="Autographs Duals",$B2843="Autographs Triples",$B2843="Autographs Quads",$B2843="Autographs Quads (Inscribed)")),IF($B2843="Autographs Duals",2,IF($B2843="Autographs Triples",3,4)),1)))</f>
        <v>0</v>
      </c>
      <c r="AB2843" s="62">
        <f t="shared" si="583"/>
        <v>0</v>
      </c>
      <c r="AC2843" s="62">
        <f t="shared" si="584"/>
        <v>0</v>
      </c>
    </row>
    <row r="2844" spans="1:29" ht="30" customHeight="1" x14ac:dyDescent="0.25">
      <c r="A2844" s="54" t="s">
        <v>37</v>
      </c>
      <c r="B2844" s="53" t="s">
        <v>111</v>
      </c>
      <c r="C2844" s="55" t="s">
        <v>237</v>
      </c>
      <c r="D2844" s="53" t="s">
        <v>1665</v>
      </c>
      <c r="E2844" s="54" t="s">
        <v>1606</v>
      </c>
      <c r="F2844" s="55">
        <v>25</v>
      </c>
      <c r="G2844" s="55" t="s">
        <v>1399</v>
      </c>
      <c r="H2844" s="55" t="s">
        <v>1400</v>
      </c>
      <c r="I2844" s="54" t="s">
        <v>68</v>
      </c>
      <c r="J2844" s="57">
        <f>IF($H2844&lt;&gt;"Y",0,ROUND(MIN(Dashboard!$R$24,IF(IFERROR(VLOOKUP($B2844,Dashboard!$Q$28:$S$60,2,FALSE),0)&gt;0,IFERROR(VLOOKUP($B2844,Dashboard!$Q$28:$S$60,2,FALSE),0),$Z2844*IF($U2844&lt;&gt;"",ROUND((Dashboard!$R$4/$U2844)*VLOOKUP($I2844,Dashboard!$Q$9:$R$13,2,FALSE)*IF(ISNUMBER(SEARCH("Duals",$B2844)),2,IF(ISNUMBER(SEARCH("Triples",$B2844)),3,IF(ISNUMBER(SEARCH("Quads",$B2844)),4,1))),2),ROUND(VLOOKUP($I2844,Dashboard!$Q$15:$R$20,2,FALSE)*IF($E2844="Red",Dashboard!$R$6,IF($E2844="Gold",Dashboard!$R$7,Dashboard!$R$5))*IF(ISNUMBER(SEARCH("Duals",$B2844)),2,IF(ISNUMBER(SEARCH("Triples",$B2844)),3,IF(ISNUMBER(SEARCH("Quads",$B2844)),4,1))),2))*IF(IFERROR(VLOOKUP($B2844,Dashboard!$Q$28:$S$60,3,FALSE),0)&gt;0,VLOOKUP($B2844,Dashboard!$Q$28:$S$60,3,FALSE),1))),0))</f>
        <v>110</v>
      </c>
      <c r="K2844" s="55" t="str">
        <f>IF('Autos - Singles'!K14="","",'Autos - Singles'!K14)</f>
        <v/>
      </c>
      <c r="L2844" s="55">
        <f t="shared" si="585"/>
        <v>0</v>
      </c>
      <c r="M2844" s="55">
        <f t="shared" si="586"/>
        <v>0</v>
      </c>
      <c r="N2844" s="55">
        <f t="shared" si="587"/>
        <v>0</v>
      </c>
      <c r="O2844" s="55">
        <f t="shared" si="588"/>
        <v>1</v>
      </c>
      <c r="P2844" s="57">
        <f t="shared" si="589"/>
        <v>0</v>
      </c>
      <c r="Q2844" s="57">
        <f t="shared" si="590"/>
        <v>0</v>
      </c>
      <c r="R2844" s="53" t="s">
        <v>819</v>
      </c>
      <c r="S2844" s="53" t="str">
        <f t="shared" si="578"/>
        <v>Autos - Singles|Autographs Inscribed Parallel|A-CP|Inscribed Parallel</v>
      </c>
      <c r="T2844" s="57" t="str">
        <f>IF($S2844="","",IFERROR(VLOOKUP($S2844,'Pop Estimates (Non-#d)'!$N$2:$O$500,2,FALSE),""))</f>
        <v/>
      </c>
      <c r="U2844" s="57">
        <f t="shared" si="579"/>
        <v>25</v>
      </c>
      <c r="V2844" s="53" t="str">
        <f t="shared" si="580"/>
        <v>Frenchie "Mon Coeur"</v>
      </c>
      <c r="W2844" s="53" t="str">
        <f t="shared" si="581"/>
        <v>Frenchie "Mon Coeur"</v>
      </c>
      <c r="X2844" s="53" t="str">
        <f t="shared" si="582"/>
        <v>Frenchie</v>
      </c>
      <c r="Y2844" s="57">
        <f>IF($X2844="","",IFERROR(VLOOKUP($X2844,'Char Popularity'!$A$2:$C$500,2,FALSE),""))</f>
        <v>4</v>
      </c>
      <c r="Z2844" s="56">
        <f>IF($X2844="",1,IFERROR(VLOOKUP($X2844,'Char Popularity'!$A$2:$C$500,3,FALSE),1))</f>
        <v>1.1000000000000001</v>
      </c>
      <c r="AA2844" s="62">
        <f>IF($H2844&lt;&gt;"Y",0,(IF($F2844&lt;&gt;"",ROUND(Dashboard!$R$4/$F2844,1),IF(AND($I2844="Base",$E2844="Base"),Dashboard!$R$5,IF(AND($I2844="Base",$E2844="Red"),Dashboard!$R$6,IF(AND($I2844="Base",$E2844="Gold"),Dashboard!$R$7,VLOOKUP($I2844,Dashboard!$Q$16:$R$21,2,FALSE)))))*VLOOKUP($I2844,Dashboard!$Q$9:$R$13,2,FALSE)*IF(AND($I2844="Auto",$F2844="",OR($B2844="Autographs Duals",$B2844="Autographs Triples",$B2844="Autographs Quads",$B2844="Autographs Quads (Inscribed)")),IF($B2844="Autographs Duals",2,IF($B2844="Autographs Triples",3,4)),1)))</f>
        <v>80</v>
      </c>
      <c r="AB2844" s="62">
        <f t="shared" si="583"/>
        <v>0</v>
      </c>
      <c r="AC2844" s="62">
        <f t="shared" si="584"/>
        <v>0</v>
      </c>
    </row>
    <row r="2845" spans="1:29" ht="30" customHeight="1" x14ac:dyDescent="0.25">
      <c r="A2845" s="54" t="s">
        <v>37</v>
      </c>
      <c r="B2845" s="53" t="s">
        <v>111</v>
      </c>
      <c r="C2845" s="55" t="s">
        <v>269</v>
      </c>
      <c r="D2845" s="53" t="s">
        <v>1666</v>
      </c>
      <c r="E2845" s="54" t="s">
        <v>1606</v>
      </c>
      <c r="F2845" s="55">
        <v>25</v>
      </c>
      <c r="G2845" s="55" t="s">
        <v>1399</v>
      </c>
      <c r="H2845" s="55" t="s">
        <v>1400</v>
      </c>
      <c r="I2845" s="54" t="s">
        <v>68</v>
      </c>
      <c r="J2845" s="57">
        <f>IF($H2845&lt;&gt;"Y",0,ROUND(MIN(Dashboard!$R$24,IF(IFERROR(VLOOKUP($B2845,Dashboard!$Q$28:$S$60,2,FALSE),0)&gt;0,IFERROR(VLOOKUP($B2845,Dashboard!$Q$28:$S$60,2,FALSE),0),$Z2845*IF($U2845&lt;&gt;"",ROUND((Dashboard!$R$4/$U2845)*VLOOKUP($I2845,Dashboard!$Q$9:$R$13,2,FALSE)*IF(ISNUMBER(SEARCH("Duals",$B2845)),2,IF(ISNUMBER(SEARCH("Triples",$B2845)),3,IF(ISNUMBER(SEARCH("Quads",$B2845)),4,1))),2),ROUND(VLOOKUP($I2845,Dashboard!$Q$15:$R$20,2,FALSE)*IF($E2845="Red",Dashboard!$R$6,IF($E2845="Gold",Dashboard!$R$7,Dashboard!$R$5))*IF(ISNUMBER(SEARCH("Duals",$B2845)),2,IF(ISNUMBER(SEARCH("Triples",$B2845)),3,IF(ISNUMBER(SEARCH("Quads",$B2845)),4,1))),2))*IF(IFERROR(VLOOKUP($B2845,Dashboard!$Q$28:$S$60,3,FALSE),0)&gt;0,VLOOKUP($B2845,Dashboard!$Q$28:$S$60,3,FALSE),1))),0))</f>
        <v>110</v>
      </c>
      <c r="K2845" s="55" t="str">
        <f>IF('Autos - Singles'!K34="","",'Autos - Singles'!K34)</f>
        <v/>
      </c>
      <c r="L2845" s="55">
        <f t="shared" si="585"/>
        <v>0</v>
      </c>
      <c r="M2845" s="55">
        <f t="shared" si="586"/>
        <v>0</v>
      </c>
      <c r="N2845" s="55">
        <f t="shared" si="587"/>
        <v>0</v>
      </c>
      <c r="O2845" s="55">
        <f t="shared" si="588"/>
        <v>1</v>
      </c>
      <c r="P2845" s="57">
        <f t="shared" si="589"/>
        <v>0</v>
      </c>
      <c r="Q2845" s="57">
        <f t="shared" si="590"/>
        <v>0</v>
      </c>
      <c r="R2845" s="53" t="s">
        <v>347</v>
      </c>
      <c r="S2845" s="53" t="str">
        <f t="shared" si="578"/>
        <v>Autos - Singles|Autographs Inscribed Parallel|A-KF|Inscribed Parallel</v>
      </c>
      <c r="T2845" s="57" t="str">
        <f>IF($S2845="","",IFERROR(VLOOKUP($S2845,'Pop Estimates (Non-#d)'!$N$2:$O$500,2,FALSE),""))</f>
        <v/>
      </c>
      <c r="U2845" s="57">
        <f t="shared" si="579"/>
        <v>25</v>
      </c>
      <c r="V2845" s="53" t="str">
        <f t="shared" si="580"/>
        <v>Kimiko "Kimiko"</v>
      </c>
      <c r="W2845" s="53" t="str">
        <f t="shared" si="581"/>
        <v>Kimiko "Kimiko"</v>
      </c>
      <c r="X2845" s="53" t="str">
        <f t="shared" si="582"/>
        <v>Kimiko</v>
      </c>
      <c r="Y2845" s="57">
        <f>IF($X2845="","",IFERROR(VLOOKUP($X2845,'Char Popularity'!$A$2:$C$500,2,FALSE),""))</f>
        <v>4</v>
      </c>
      <c r="Z2845" s="56">
        <f>IF($X2845="",1,IFERROR(VLOOKUP($X2845,'Char Popularity'!$A$2:$C$500,3,FALSE),1))</f>
        <v>1.1000000000000001</v>
      </c>
      <c r="AA2845" s="62">
        <f>IF($H2845&lt;&gt;"Y",0,(IF($F2845&lt;&gt;"",ROUND(Dashboard!$R$4/$F2845,1),IF(AND($I2845="Base",$E2845="Base"),Dashboard!$R$5,IF(AND($I2845="Base",$E2845="Red"),Dashboard!$R$6,IF(AND($I2845="Base",$E2845="Gold"),Dashboard!$R$7,VLOOKUP($I2845,Dashboard!$Q$16:$R$21,2,FALSE)))))*VLOOKUP($I2845,Dashboard!$Q$9:$R$13,2,FALSE)*IF(AND($I2845="Auto",$F2845="",OR($B2845="Autographs Duals",$B2845="Autographs Triples",$B2845="Autographs Quads",$B2845="Autographs Quads (Inscribed)")),IF($B2845="Autographs Duals",2,IF($B2845="Autographs Triples",3,4)),1)))</f>
        <v>80</v>
      </c>
      <c r="AB2845" s="62">
        <f t="shared" si="583"/>
        <v>0</v>
      </c>
      <c r="AC2845" s="62">
        <f t="shared" si="584"/>
        <v>0</v>
      </c>
    </row>
  </sheetData>
  <autoFilter ref="A1:Q284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09"/>
  <sheetViews>
    <sheetView workbookViewId="0"/>
  </sheetViews>
  <sheetFormatPr defaultRowHeight="15" x14ac:dyDescent="0.25"/>
  <cols>
    <col min="1" max="1" width="38" bestFit="1" customWidth="1"/>
    <col min="2" max="2" width="14" customWidth="1"/>
    <col min="3" max="3" width="18" customWidth="1"/>
    <col min="4" max="4" width="18" bestFit="1" customWidth="1"/>
    <col min="5" max="5" width="40" customWidth="1"/>
    <col min="6" max="6" width="20" customWidth="1"/>
    <col min="7" max="7" width="16" customWidth="1"/>
    <col min="8" max="8" width="16" bestFit="1" customWidth="1"/>
    <col min="9" max="9" width="18" customWidth="1"/>
    <col min="10" max="11" width="13" hidden="1" customWidth="1"/>
    <col min="12" max="12" width="7.7109375" bestFit="1" customWidth="1"/>
  </cols>
  <sheetData>
    <row r="1" spans="1:12" ht="27.95" customHeight="1" x14ac:dyDescent="0.25">
      <c r="A1" s="126" t="s">
        <v>755</v>
      </c>
      <c r="B1" s="115"/>
      <c r="C1" s="115"/>
      <c r="D1" s="115"/>
      <c r="E1" s="115"/>
      <c r="F1" s="115"/>
      <c r="G1" s="115"/>
      <c r="H1" s="115"/>
      <c r="I1" s="115"/>
      <c r="J1" s="65"/>
      <c r="K1" s="65"/>
      <c r="L1" s="65"/>
    </row>
    <row r="3" spans="1:12" ht="15.75" customHeight="1" x14ac:dyDescent="0.25">
      <c r="A3" s="84" t="s">
        <v>756</v>
      </c>
      <c r="B3" s="65"/>
      <c r="C3" s="65"/>
      <c r="D3" s="84"/>
      <c r="E3" s="65"/>
      <c r="F3" s="65"/>
      <c r="G3" s="65"/>
      <c r="H3" s="65"/>
      <c r="I3" s="65"/>
      <c r="J3" s="65"/>
      <c r="K3" s="65"/>
      <c r="L3" s="65"/>
    </row>
    <row r="4" spans="1:12" x14ac:dyDescent="0.25">
      <c r="A4" s="8" t="s">
        <v>757</v>
      </c>
      <c r="B4" s="9">
        <v>15</v>
      </c>
      <c r="C4" s="65"/>
      <c r="D4" s="94"/>
      <c r="E4" s="65"/>
      <c r="F4" s="65"/>
      <c r="G4" s="65"/>
      <c r="H4" s="65"/>
      <c r="I4" s="65"/>
      <c r="J4" s="65"/>
      <c r="K4" s="65">
        <f>B12*82</f>
        <v>20500</v>
      </c>
      <c r="L4" s="65">
        <f>IF($K$7=0,"",K4/$K$7)</f>
        <v>0.7192982456140351</v>
      </c>
    </row>
    <row r="5" spans="1:12" x14ac:dyDescent="0.25">
      <c r="A5" s="8" t="s">
        <v>758</v>
      </c>
      <c r="B5" s="9">
        <v>12</v>
      </c>
      <c r="C5" s="65"/>
      <c r="D5" s="94"/>
      <c r="E5" s="65"/>
      <c r="F5" s="65"/>
      <c r="G5" s="65"/>
      <c r="H5" s="65"/>
      <c r="I5" s="65"/>
      <c r="J5" s="65"/>
      <c r="K5" s="65">
        <f>B12*25</f>
        <v>6250</v>
      </c>
      <c r="L5" s="65">
        <f>IF($K$7=0,"",K5/$K$7)</f>
        <v>0.21929824561403508</v>
      </c>
    </row>
    <row r="6" spans="1:12" x14ac:dyDescent="0.25">
      <c r="A6" s="8" t="s">
        <v>759</v>
      </c>
      <c r="B6" s="9">
        <f>B4*B5</f>
        <v>180</v>
      </c>
      <c r="C6" s="65"/>
      <c r="D6" s="94"/>
      <c r="E6" s="65"/>
      <c r="F6" s="65"/>
      <c r="G6" s="65"/>
      <c r="H6" s="65"/>
      <c r="I6" s="65"/>
      <c r="J6" s="65"/>
      <c r="K6" s="65">
        <f>B12*7</f>
        <v>1750</v>
      </c>
      <c r="L6" s="65">
        <f>IF($K$7=0,"",K6/$K$7)</f>
        <v>6.1403508771929821E-2</v>
      </c>
    </row>
    <row r="7" spans="1:12" x14ac:dyDescent="0.25">
      <c r="A7" s="8" t="s">
        <v>760</v>
      </c>
      <c r="B7" s="9">
        <v>2</v>
      </c>
      <c r="C7" s="65"/>
      <c r="D7" s="65"/>
      <c r="E7" s="65"/>
      <c r="F7" s="65"/>
      <c r="G7" s="65"/>
      <c r="H7" s="65"/>
      <c r="I7" s="65"/>
      <c r="J7" s="65"/>
      <c r="K7" s="65">
        <f>SUM(K4:K6)</f>
        <v>28500</v>
      </c>
      <c r="L7" s="65"/>
    </row>
    <row r="8" spans="1:12" x14ac:dyDescent="0.25">
      <c r="A8" s="8" t="s">
        <v>761</v>
      </c>
      <c r="B8" s="9">
        <v>6</v>
      </c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x14ac:dyDescent="0.25">
      <c r="A9" s="8" t="s">
        <v>762</v>
      </c>
      <c r="B9" s="9">
        <v>180</v>
      </c>
      <c r="C9" s="65"/>
      <c r="D9" s="65"/>
      <c r="E9" s="65"/>
      <c r="F9" s="65"/>
      <c r="G9" s="65"/>
      <c r="H9" s="65"/>
      <c r="I9" s="65"/>
      <c r="J9" s="65"/>
      <c r="K9" s="65"/>
      <c r="L9" s="65"/>
    </row>
    <row r="10" spans="1:12" x14ac:dyDescent="0.25">
      <c r="A10" s="8" t="s">
        <v>763</v>
      </c>
      <c r="B10" s="9">
        <f>B6/B9</f>
        <v>1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x14ac:dyDescent="0.25">
      <c r="A11" s="8" t="s">
        <v>764</v>
      </c>
      <c r="B11" s="9">
        <f>MAX(0,B8-B10)</f>
        <v>5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</row>
    <row r="12" spans="1:12" x14ac:dyDescent="0.25">
      <c r="A12" s="8" t="s">
        <v>765</v>
      </c>
      <c r="B12" s="9">
        <v>250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</row>
    <row r="13" spans="1:12" ht="45" customHeight="1" x14ac:dyDescent="0.25">
      <c r="A13" s="95" t="s">
        <v>766</v>
      </c>
      <c r="B13" s="96">
        <f>IF($B$11=0,"",$K$7/$B$11)</f>
        <v>5700</v>
      </c>
      <c r="C13" s="95" t="s">
        <v>767</v>
      </c>
      <c r="D13" s="96">
        <f>IF($B$13="","",$B$13*$B$6)</f>
        <v>1026000</v>
      </c>
      <c r="E13" s="65"/>
      <c r="F13" s="65"/>
      <c r="G13" s="65"/>
      <c r="H13" s="65"/>
      <c r="I13" s="65"/>
      <c r="J13" s="65"/>
      <c r="K13" s="65"/>
      <c r="L13" s="65"/>
    </row>
    <row r="14" spans="1:12" ht="15.75" customHeight="1" x14ac:dyDescent="0.25">
      <c r="A14" s="84" t="s">
        <v>768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</row>
    <row r="15" spans="1:12" ht="32.1" customHeight="1" x14ac:dyDescent="0.25">
      <c r="A15" s="128" t="s">
        <v>769</v>
      </c>
      <c r="B15" s="115"/>
      <c r="C15" s="115"/>
      <c r="D15" s="115"/>
      <c r="E15" s="115"/>
      <c r="F15" s="115"/>
      <c r="G15" s="115"/>
      <c r="H15" s="115"/>
      <c r="I15" s="115"/>
      <c r="J15" s="65"/>
      <c r="K15" s="65"/>
      <c r="L15" s="65"/>
    </row>
    <row r="16" spans="1:12" ht="30" customHeight="1" x14ac:dyDescent="0.25">
      <c r="A16" s="1" t="s">
        <v>770</v>
      </c>
      <c r="B16" s="1" t="s">
        <v>771</v>
      </c>
      <c r="C16" s="1" t="s">
        <v>772</v>
      </c>
      <c r="D16" s="1" t="s">
        <v>773</v>
      </c>
      <c r="E16" s="1" t="s">
        <v>774</v>
      </c>
      <c r="F16" s="1" t="s">
        <v>775</v>
      </c>
      <c r="G16" s="1" t="s">
        <v>776</v>
      </c>
      <c r="H16" s="1" t="s">
        <v>777</v>
      </c>
      <c r="I16" s="1"/>
      <c r="J16" s="65"/>
      <c r="K16" s="65"/>
      <c r="L16" s="65"/>
    </row>
    <row r="17" spans="1:9" x14ac:dyDescent="0.25">
      <c r="A17" s="10" t="s">
        <v>778</v>
      </c>
      <c r="B17" s="11">
        <v>399</v>
      </c>
      <c r="C17" s="12">
        <f>B7</f>
        <v>2</v>
      </c>
      <c r="D17" s="12">
        <f>B7*$B$5</f>
        <v>24</v>
      </c>
      <c r="E17" s="13">
        <f>1</f>
        <v>1</v>
      </c>
      <c r="F17" s="13">
        <f>1</f>
        <v>1</v>
      </c>
      <c r="G17" s="12">
        <f>1/(B7*$B$5)</f>
        <v>4.1666666666666664E-2</v>
      </c>
      <c r="H17" s="65">
        <f>$B$12/(B7*$B$5)</f>
        <v>10.416666666666666</v>
      </c>
      <c r="I17" s="12"/>
    </row>
    <row r="18" spans="1:9" x14ac:dyDescent="0.25">
      <c r="A18" s="10" t="s">
        <v>779</v>
      </c>
      <c r="B18" s="11">
        <v>82</v>
      </c>
      <c r="C18" s="12">
        <f>$B$11*$L$4/$B$5</f>
        <v>0.29970760233918131</v>
      </c>
      <c r="D18" s="12">
        <f>$B$11*$L$4</f>
        <v>3.5964912280701755</v>
      </c>
      <c r="E18" s="13">
        <f t="shared" ref="E18:F20" si="0">1-EXP(-C18)</f>
        <v>0.25896513413173361</v>
      </c>
      <c r="F18" s="13">
        <f t="shared" si="0"/>
        <v>0.97258023644773339</v>
      </c>
      <c r="G18" s="12">
        <f>IF(D18=0,"",1/D18)</f>
        <v>0.27804878048780485</v>
      </c>
      <c r="H18" s="65">
        <f>IF(D18=0,"",$B$12/D18)</f>
        <v>69.512195121951223</v>
      </c>
      <c r="I18" s="12"/>
    </row>
    <row r="19" spans="1:9" x14ac:dyDescent="0.25">
      <c r="A19" s="10" t="s">
        <v>780</v>
      </c>
      <c r="B19" s="11">
        <v>25</v>
      </c>
      <c r="C19" s="12">
        <f>$B$11*$L$5/$B$5</f>
        <v>9.1374269005847941E-2</v>
      </c>
      <c r="D19" s="12">
        <f>$B$11*$L$5</f>
        <v>1.0964912280701753</v>
      </c>
      <c r="E19" s="13">
        <f t="shared" si="0"/>
        <v>8.7323939393168293E-2</v>
      </c>
      <c r="F19" s="13">
        <f t="shared" si="0"/>
        <v>0.66595889612059533</v>
      </c>
      <c r="G19" s="12">
        <f>IF(D19=0,"",1/D19)</f>
        <v>0.91200000000000014</v>
      </c>
      <c r="H19" s="65">
        <f>IF(D19=0,"",$B$12/D19)</f>
        <v>228.00000000000003</v>
      </c>
      <c r="I19" s="12"/>
    </row>
    <row r="20" spans="1:9" x14ac:dyDescent="0.25">
      <c r="A20" s="10" t="s">
        <v>689</v>
      </c>
      <c r="B20" s="11">
        <v>7</v>
      </c>
      <c r="C20" s="12">
        <f>$B$11*$L$6/$B$5</f>
        <v>2.5584795321637422E-2</v>
      </c>
      <c r="D20" s="12">
        <f>$B$11*$L$6</f>
        <v>0.30701754385964908</v>
      </c>
      <c r="E20" s="13">
        <f t="shared" si="0"/>
        <v>2.5260277906915096E-2</v>
      </c>
      <c r="F20" s="13">
        <f t="shared" si="0"/>
        <v>0.26436230513042858</v>
      </c>
      <c r="G20" s="12">
        <f>IF(D20=0,"",1/D20)</f>
        <v>3.2571428571428576</v>
      </c>
      <c r="H20" s="65">
        <f>IF(D20=0,"",$B$12/D20)</f>
        <v>814.28571428571445</v>
      </c>
      <c r="I20" s="12"/>
    </row>
    <row r="22" spans="1:9" ht="15.75" customHeight="1" x14ac:dyDescent="0.25">
      <c r="A22" s="127" t="s">
        <v>1667</v>
      </c>
      <c r="B22" s="115"/>
      <c r="C22" s="115"/>
      <c r="D22" s="115"/>
      <c r="E22" s="115"/>
      <c r="F22" s="115"/>
      <c r="G22" s="115"/>
      <c r="H22" s="115"/>
      <c r="I22" s="115"/>
    </row>
    <row r="23" spans="1:9" ht="30" customHeight="1" x14ac:dyDescent="0.25">
      <c r="A23" s="1" t="s">
        <v>782</v>
      </c>
      <c r="B23" s="1" t="s">
        <v>783</v>
      </c>
      <c r="C23" s="1" t="s">
        <v>784</v>
      </c>
      <c r="D23" s="1" t="s">
        <v>772</v>
      </c>
      <c r="E23" s="1" t="s">
        <v>773</v>
      </c>
      <c r="F23" s="1" t="s">
        <v>774</v>
      </c>
      <c r="G23" s="1" t="s">
        <v>775</v>
      </c>
      <c r="H23" s="1" t="s">
        <v>776</v>
      </c>
      <c r="I23" s="1" t="s">
        <v>777</v>
      </c>
    </row>
    <row r="24" spans="1:9" ht="20.100000000000001" customHeight="1" x14ac:dyDescent="0.25">
      <c r="A24" s="4" t="s">
        <v>145</v>
      </c>
      <c r="B24" s="14">
        <f>COUNTIFS(Data!$B:$B,"Autographs Quads",Data!$G:$G,"N",Data!$H:$H,"Y")</f>
        <v>1</v>
      </c>
      <c r="C24" s="14">
        <v>30000</v>
      </c>
      <c r="D24" s="15">
        <f t="shared" ref="D24:D52" si="1">$B$4/C24</f>
        <v>5.0000000000000001E-4</v>
      </c>
      <c r="E24" s="15">
        <f t="shared" ref="E24:E52" si="2">$B$6/C24</f>
        <v>6.0000000000000001E-3</v>
      </c>
      <c r="F24" s="16">
        <f t="shared" ref="F24:F52" si="3">1-POWER(1-1/C24,$B$4)</f>
        <v>4.9988335018369412E-4</v>
      </c>
      <c r="G24" s="16">
        <f t="shared" ref="G24:G52" si="4">1-POWER(1-1/C24,$B$6)</f>
        <v>5.982135350067197E-3</v>
      </c>
      <c r="H24" s="15">
        <f t="shared" ref="H24:H52" si="5">C24/$B$6</f>
        <v>166.66666666666666</v>
      </c>
      <c r="I24" s="15">
        <f t="shared" ref="I24:I52" si="6">(C24*B24)/$B$6</f>
        <v>166.66666666666666</v>
      </c>
    </row>
    <row r="25" spans="1:9" ht="20.100000000000001" customHeight="1" x14ac:dyDescent="0.25">
      <c r="A25" s="4" t="s">
        <v>114</v>
      </c>
      <c r="B25" s="14">
        <f>COUNTIFS(Data!$B:$B,"Autographs Quads (Inscribed)",Data!$G:$G,"N",Data!$H:$H,"Y")</f>
        <v>1</v>
      </c>
      <c r="C25" s="14">
        <v>30000</v>
      </c>
      <c r="D25" s="15">
        <f t="shared" si="1"/>
        <v>5.0000000000000001E-4</v>
      </c>
      <c r="E25" s="15">
        <f t="shared" si="2"/>
        <v>6.0000000000000001E-3</v>
      </c>
      <c r="F25" s="16">
        <f t="shared" si="3"/>
        <v>4.9988335018369412E-4</v>
      </c>
      <c r="G25" s="16">
        <f t="shared" si="4"/>
        <v>5.982135350067197E-3</v>
      </c>
      <c r="H25" s="15">
        <f t="shared" si="5"/>
        <v>166.66666666666666</v>
      </c>
      <c r="I25" s="15">
        <f t="shared" si="6"/>
        <v>166.66666666666666</v>
      </c>
    </row>
    <row r="26" spans="1:9" ht="20.100000000000001" customHeight="1" x14ac:dyDescent="0.25">
      <c r="A26" s="4" t="s">
        <v>143</v>
      </c>
      <c r="B26" s="14">
        <f>COUNTIFS(Data!$B:$B,"Autographs Triples",Data!$G:$G,"N",Data!$H:$H,"Y")</f>
        <v>2</v>
      </c>
      <c r="C26" s="14">
        <v>18000</v>
      </c>
      <c r="D26" s="15">
        <f t="shared" si="1"/>
        <v>8.3333333333333339E-4</v>
      </c>
      <c r="E26" s="15">
        <f t="shared" si="2"/>
        <v>0.01</v>
      </c>
      <c r="F26" s="16">
        <f t="shared" si="3"/>
        <v>8.3300933726426774E-4</v>
      </c>
      <c r="G26" s="16">
        <f t="shared" si="4"/>
        <v>9.9504412748249171E-3</v>
      </c>
      <c r="H26" s="15">
        <f t="shared" si="5"/>
        <v>100</v>
      </c>
      <c r="I26" s="15">
        <f t="shared" si="6"/>
        <v>200</v>
      </c>
    </row>
    <row r="27" spans="1:9" ht="20.100000000000001" customHeight="1" x14ac:dyDescent="0.25">
      <c r="A27" s="4" t="s">
        <v>98</v>
      </c>
      <c r="B27" s="14">
        <f>COUNTIFS(Data!$B:$B,"Quad Supes Suits",Data!$G:$G,"N",Data!$H:$H,"Y")</f>
        <v>2</v>
      </c>
      <c r="C27" s="14">
        <v>7200</v>
      </c>
      <c r="D27" s="15">
        <f t="shared" si="1"/>
        <v>2.0833333333333333E-3</v>
      </c>
      <c r="E27" s="15">
        <f t="shared" si="2"/>
        <v>2.5000000000000001E-2</v>
      </c>
      <c r="F27" s="16">
        <f t="shared" si="3"/>
        <v>2.0813090888912589E-3</v>
      </c>
      <c r="G27" s="16">
        <f t="shared" si="4"/>
        <v>2.4691781373369581E-2</v>
      </c>
      <c r="H27" s="15">
        <f t="shared" si="5"/>
        <v>40</v>
      </c>
      <c r="I27" s="15">
        <f t="shared" si="6"/>
        <v>80</v>
      </c>
    </row>
    <row r="28" spans="1:9" ht="20.100000000000001" customHeight="1" x14ac:dyDescent="0.25">
      <c r="A28" s="4" t="s">
        <v>96</v>
      </c>
      <c r="B28" s="14">
        <f>COUNTIFS(Data!$B:$B,"Triple Supes Suits",Data!$G:$G,"N",Data!$H:$H,"Y")</f>
        <v>2</v>
      </c>
      <c r="C28" s="14">
        <v>3600</v>
      </c>
      <c r="D28" s="15">
        <f t="shared" si="1"/>
        <v>4.1666666666666666E-3</v>
      </c>
      <c r="E28" s="15">
        <f t="shared" si="2"/>
        <v>0.05</v>
      </c>
      <c r="F28" s="16">
        <f t="shared" si="3"/>
        <v>4.1585745589232115E-3</v>
      </c>
      <c r="G28" s="16">
        <f t="shared" si="4"/>
        <v>4.8777182459791013E-2</v>
      </c>
      <c r="H28" s="15">
        <f t="shared" si="5"/>
        <v>20</v>
      </c>
      <c r="I28" s="15">
        <f t="shared" si="6"/>
        <v>40</v>
      </c>
    </row>
    <row r="29" spans="1:9" ht="20.100000000000001" customHeight="1" x14ac:dyDescent="0.25">
      <c r="A29" s="4" t="s">
        <v>141</v>
      </c>
      <c r="B29" s="14">
        <f>COUNTIFS(Data!$B:$B,"Autographs Duals",Data!$G:$G,"N",Data!$H:$H,"Y")</f>
        <v>12</v>
      </c>
      <c r="C29" s="14">
        <v>1800</v>
      </c>
      <c r="D29" s="15">
        <f t="shared" si="1"/>
        <v>8.3333333333333332E-3</v>
      </c>
      <c r="E29" s="15">
        <f t="shared" si="2"/>
        <v>0.1</v>
      </c>
      <c r="F29" s="16">
        <f t="shared" si="3"/>
        <v>8.3010038138872089E-3</v>
      </c>
      <c r="G29" s="16">
        <f t="shared" si="4"/>
        <v>9.5187725300322046E-2</v>
      </c>
      <c r="H29" s="15">
        <f t="shared" si="5"/>
        <v>10</v>
      </c>
      <c r="I29" s="15">
        <f t="shared" si="6"/>
        <v>120</v>
      </c>
    </row>
    <row r="30" spans="1:9" ht="20.100000000000001" customHeight="1" x14ac:dyDescent="0.25">
      <c r="A30" s="4" t="s">
        <v>94</v>
      </c>
      <c r="B30" s="14">
        <f>COUNTIFS(Data!$B:$B,"Action Figures Autographs Variation",Data!$G:$G,"N",Data!$H:$H,"Y")</f>
        <v>4</v>
      </c>
      <c r="C30" s="14">
        <v>1080</v>
      </c>
      <c r="D30" s="15">
        <f t="shared" si="1"/>
        <v>1.3888888888888888E-2</v>
      </c>
      <c r="E30" s="15">
        <f t="shared" si="2"/>
        <v>0.16666666666666666</v>
      </c>
      <c r="F30" s="16">
        <f t="shared" si="3"/>
        <v>1.3799228505151473E-2</v>
      </c>
      <c r="G30" s="16">
        <f t="shared" si="4"/>
        <v>0.15358362788026325</v>
      </c>
      <c r="H30" s="15">
        <f t="shared" si="5"/>
        <v>6</v>
      </c>
      <c r="I30" s="15">
        <f t="shared" si="6"/>
        <v>24</v>
      </c>
    </row>
    <row r="31" spans="1:9" ht="20.100000000000001" customHeight="1" x14ac:dyDescent="0.25">
      <c r="A31" s="4" t="s">
        <v>86</v>
      </c>
      <c r="B31" s="14">
        <f>COUNTIFS(Data!$B:$B,"Most Wanted",Data!$G:$G,"N",Data!$H:$H,"Y")</f>
        <v>5</v>
      </c>
      <c r="C31" s="14">
        <v>900</v>
      </c>
      <c r="D31" s="15">
        <f t="shared" si="1"/>
        <v>1.6666666666666666E-2</v>
      </c>
      <c r="E31" s="15">
        <f t="shared" si="2"/>
        <v>0.2</v>
      </c>
      <c r="F31" s="16">
        <f t="shared" si="3"/>
        <v>1.6537659104298164E-2</v>
      </c>
      <c r="G31" s="16">
        <f t="shared" si="4"/>
        <v>0.18136027938593513</v>
      </c>
      <c r="H31" s="15">
        <f t="shared" si="5"/>
        <v>5</v>
      </c>
      <c r="I31" s="15">
        <f t="shared" si="6"/>
        <v>25</v>
      </c>
    </row>
    <row r="32" spans="1:9" ht="20.100000000000001" customHeight="1" x14ac:dyDescent="0.25">
      <c r="A32" s="4" t="s">
        <v>88</v>
      </c>
      <c r="B32" s="14">
        <f>COUNTIFS(Data!$B:$B,"A View From Home SPs",Data!$G:$G,"N",Data!$H:$H,"Y")</f>
        <v>10</v>
      </c>
      <c r="C32" s="14">
        <v>720</v>
      </c>
      <c r="D32" s="15">
        <f t="shared" si="1"/>
        <v>2.0833333333333332E-2</v>
      </c>
      <c r="E32" s="15">
        <f t="shared" si="2"/>
        <v>0.25</v>
      </c>
      <c r="F32" s="16">
        <f t="shared" si="3"/>
        <v>2.0632001001870681E-2</v>
      </c>
      <c r="G32" s="16">
        <f t="shared" si="4"/>
        <v>0.22133453896352973</v>
      </c>
      <c r="H32" s="15">
        <f t="shared" si="5"/>
        <v>4</v>
      </c>
      <c r="I32" s="15">
        <f t="shared" si="6"/>
        <v>40</v>
      </c>
    </row>
    <row r="33" spans="1:9" ht="20.100000000000001" customHeight="1" x14ac:dyDescent="0.25">
      <c r="A33" s="4" t="s">
        <v>92</v>
      </c>
      <c r="B33" s="14">
        <f>COUNTIFS(Data!$B:$B,"Supes SPs",Data!$G:$G,"N",Data!$H:$H,"Y")</f>
        <v>10</v>
      </c>
      <c r="C33" s="14">
        <v>720</v>
      </c>
      <c r="D33" s="15">
        <f t="shared" si="1"/>
        <v>2.0833333333333332E-2</v>
      </c>
      <c r="E33" s="15">
        <f t="shared" si="2"/>
        <v>0.25</v>
      </c>
      <c r="F33" s="16">
        <f t="shared" si="3"/>
        <v>2.0632001001870681E-2</v>
      </c>
      <c r="G33" s="16">
        <f t="shared" si="4"/>
        <v>0.22133453896352973</v>
      </c>
      <c r="H33" s="15">
        <f t="shared" si="5"/>
        <v>4</v>
      </c>
      <c r="I33" s="15">
        <f t="shared" si="6"/>
        <v>40</v>
      </c>
    </row>
    <row r="34" spans="1:9" ht="20.100000000000001" customHeight="1" x14ac:dyDescent="0.25">
      <c r="A34" s="4" t="s">
        <v>803</v>
      </c>
      <c r="B34" s="14">
        <f>COUNTIFS(Data!$B:$B,"Supes Suits SP's",Data!$G:$G,"N",Data!$H:$H,"Y")</f>
        <v>8</v>
      </c>
      <c r="C34" s="14">
        <v>720</v>
      </c>
      <c r="D34" s="15">
        <f t="shared" si="1"/>
        <v>2.0833333333333332E-2</v>
      </c>
      <c r="E34" s="15">
        <f t="shared" si="2"/>
        <v>0.25</v>
      </c>
      <c r="F34" s="16">
        <f t="shared" si="3"/>
        <v>2.0632001001870681E-2</v>
      </c>
      <c r="G34" s="16">
        <f t="shared" si="4"/>
        <v>0.22133453896352973</v>
      </c>
      <c r="H34" s="15">
        <f t="shared" si="5"/>
        <v>4</v>
      </c>
      <c r="I34" s="15">
        <f t="shared" si="6"/>
        <v>32</v>
      </c>
    </row>
    <row r="35" spans="1:9" ht="20.100000000000001" customHeight="1" x14ac:dyDescent="0.25">
      <c r="A35" s="4" t="s">
        <v>132</v>
      </c>
      <c r="B35" s="14">
        <f>COUNTIFS(Data!$B:$B,"Dual Supes Suits",Data!$G:$G,"N",Data!$H:$H,"Y")</f>
        <v>6</v>
      </c>
      <c r="C35" s="14">
        <v>630</v>
      </c>
      <c r="D35" s="15">
        <f t="shared" si="1"/>
        <v>2.3809523809523808E-2</v>
      </c>
      <c r="E35" s="15">
        <f t="shared" si="2"/>
        <v>0.2857142857142857</v>
      </c>
      <c r="F35" s="16">
        <f t="shared" si="3"/>
        <v>2.3546784568019286E-2</v>
      </c>
      <c r="G35" s="16">
        <f t="shared" si="4"/>
        <v>0.24869327111504336</v>
      </c>
      <c r="H35" s="15">
        <f t="shared" si="5"/>
        <v>3.5</v>
      </c>
      <c r="I35" s="15">
        <f t="shared" si="6"/>
        <v>21</v>
      </c>
    </row>
    <row r="36" spans="1:9" ht="20.100000000000001" customHeight="1" x14ac:dyDescent="0.25">
      <c r="A36" s="4" t="s">
        <v>129</v>
      </c>
      <c r="B36" s="14">
        <f>COUNTIFS(Data!$B:$B,"Action Figures Autographs",Data!$G:$G,"N",Data!$H:$H,"Y")</f>
        <v>14</v>
      </c>
      <c r="C36" s="14">
        <v>360</v>
      </c>
      <c r="D36" s="15">
        <f t="shared" si="1"/>
        <v>4.1666666666666664E-2</v>
      </c>
      <c r="E36" s="15">
        <f t="shared" si="2"/>
        <v>0.5</v>
      </c>
      <c r="F36" s="16">
        <f t="shared" si="3"/>
        <v>4.0866152936336442E-2</v>
      </c>
      <c r="G36" s="16">
        <f t="shared" si="4"/>
        <v>0.3938911770065251</v>
      </c>
      <c r="H36" s="15">
        <f t="shared" si="5"/>
        <v>2</v>
      </c>
      <c r="I36" s="15">
        <f t="shared" si="6"/>
        <v>28</v>
      </c>
    </row>
    <row r="37" spans="1:9" ht="20.100000000000001" customHeight="1" x14ac:dyDescent="0.25">
      <c r="A37" s="4" t="s">
        <v>137</v>
      </c>
      <c r="B37" s="14">
        <f>COUNTIFS(Data!$B:$B,"Autographs",Data!$E:$E,"Inscribed",Data!$G:$G,"N",Data!$H:$H,"Y")</f>
        <v>10</v>
      </c>
      <c r="C37" s="14">
        <v>210</v>
      </c>
      <c r="D37" s="15">
        <f t="shared" si="1"/>
        <v>7.1428571428571425E-2</v>
      </c>
      <c r="E37" s="15">
        <f t="shared" si="2"/>
        <v>0.8571428571428571</v>
      </c>
      <c r="F37" s="16">
        <f t="shared" si="3"/>
        <v>6.9096055237888976E-2</v>
      </c>
      <c r="G37" s="16">
        <f t="shared" si="4"/>
        <v>0.57649509185572456</v>
      </c>
      <c r="H37" s="15">
        <f t="shared" si="5"/>
        <v>1.1666666666666667</v>
      </c>
      <c r="I37" s="15">
        <f t="shared" si="6"/>
        <v>11.666666666666666</v>
      </c>
    </row>
    <row r="38" spans="1:9" ht="20.100000000000001" customHeight="1" x14ac:dyDescent="0.25">
      <c r="A38" s="4" t="s">
        <v>29</v>
      </c>
      <c r="B38" s="14">
        <f>COUNTIFS(Data!$B:$B,"Retro",Data!$G:$G,"N",Data!$H:$H,"Y")</f>
        <v>15</v>
      </c>
      <c r="C38" s="14">
        <v>180</v>
      </c>
      <c r="D38" s="15">
        <f t="shared" si="1"/>
        <v>8.3333333333333329E-2</v>
      </c>
      <c r="E38" s="15">
        <f t="shared" si="2"/>
        <v>1</v>
      </c>
      <c r="F38" s="16">
        <f t="shared" si="3"/>
        <v>8.016932587444292E-2</v>
      </c>
      <c r="G38" s="16">
        <f t="shared" si="4"/>
        <v>0.63314481823644075</v>
      </c>
      <c r="H38" s="15">
        <f t="shared" si="5"/>
        <v>1</v>
      </c>
      <c r="I38" s="15">
        <f t="shared" si="6"/>
        <v>15</v>
      </c>
    </row>
    <row r="39" spans="1:9" ht="20.100000000000001" customHeight="1" x14ac:dyDescent="0.25">
      <c r="A39" s="4" t="s">
        <v>35</v>
      </c>
      <c r="B39" s="14">
        <f>COUNTIFS(Data!$B:$B,"Supes Suits",Data!$G:$G,"N",Data!$H:$H,"Y")</f>
        <v>8</v>
      </c>
      <c r="C39" s="14">
        <v>165</v>
      </c>
      <c r="D39" s="15">
        <f t="shared" si="1"/>
        <v>9.0909090909090912E-2</v>
      </c>
      <c r="E39" s="15">
        <f t="shared" si="2"/>
        <v>1.0909090909090908</v>
      </c>
      <c r="F39" s="16">
        <f t="shared" si="3"/>
        <v>8.7151812665545947E-2</v>
      </c>
      <c r="G39" s="16">
        <f t="shared" si="4"/>
        <v>0.66520212710552906</v>
      </c>
      <c r="H39" s="15">
        <f t="shared" si="5"/>
        <v>0.91666666666666663</v>
      </c>
      <c r="I39" s="15">
        <f t="shared" si="6"/>
        <v>7.333333333333333</v>
      </c>
    </row>
    <row r="40" spans="1:9" ht="20.100000000000001" customHeight="1" x14ac:dyDescent="0.25">
      <c r="A40" s="4" t="s">
        <v>138</v>
      </c>
      <c r="B40" s="14">
        <f>COUNTIFS(Data!$B:$B,"Characters Auto Parallel",Data!$G:$G,"N",Data!$H:$H,"Y")</f>
        <v>30</v>
      </c>
      <c r="C40" s="14">
        <v>105</v>
      </c>
      <c r="D40" s="15">
        <f t="shared" si="1"/>
        <v>0.14285714285714285</v>
      </c>
      <c r="E40" s="15">
        <f t="shared" si="2"/>
        <v>1.7142857142857142</v>
      </c>
      <c r="F40" s="16">
        <f t="shared" si="3"/>
        <v>0.13371538115528336</v>
      </c>
      <c r="G40" s="16">
        <f t="shared" si="4"/>
        <v>0.82138116963221075</v>
      </c>
      <c r="H40" s="15">
        <f t="shared" si="5"/>
        <v>0.58333333333333337</v>
      </c>
      <c r="I40" s="15">
        <f t="shared" si="6"/>
        <v>17.5</v>
      </c>
    </row>
    <row r="41" spans="1:9" ht="20.100000000000001" customHeight="1" x14ac:dyDescent="0.25">
      <c r="A41" s="4" t="s">
        <v>25</v>
      </c>
      <c r="B41" s="14">
        <f>COUNTIFS(Data!$B:$B,"Team Ups",Data!$G:$G,"N",Data!$H:$H,"Y")</f>
        <v>25</v>
      </c>
      <c r="C41" s="14">
        <v>100</v>
      </c>
      <c r="D41" s="15">
        <f t="shared" si="1"/>
        <v>0.15</v>
      </c>
      <c r="E41" s="15">
        <f t="shared" si="2"/>
        <v>1.8</v>
      </c>
      <c r="F41" s="16">
        <f t="shared" si="3"/>
        <v>0.13994164535871167</v>
      </c>
      <c r="G41" s="16">
        <f t="shared" si="4"/>
        <v>0.8361920302919128</v>
      </c>
      <c r="H41" s="15">
        <f t="shared" si="5"/>
        <v>0.55555555555555558</v>
      </c>
      <c r="I41" s="15">
        <f t="shared" si="6"/>
        <v>13.888888888888889</v>
      </c>
    </row>
    <row r="42" spans="1:9" ht="20.100000000000001" customHeight="1" x14ac:dyDescent="0.25">
      <c r="A42" s="4" t="s">
        <v>128</v>
      </c>
      <c r="B42" s="14">
        <f>COUNTIFS(Data!$B:$B,"Action Figures Variation",Data!$G:$G,"N",Data!$H:$H,"Y")</f>
        <v>15</v>
      </c>
      <c r="C42" s="14">
        <v>90</v>
      </c>
      <c r="D42" s="15">
        <f t="shared" si="1"/>
        <v>0.16666666666666666</v>
      </c>
      <c r="E42" s="15">
        <f t="shared" si="2"/>
        <v>2</v>
      </c>
      <c r="F42" s="16">
        <f t="shared" si="3"/>
        <v>0.15430754088546428</v>
      </c>
      <c r="G42" s="16">
        <f t="shared" si="4"/>
        <v>0.86617122674555747</v>
      </c>
      <c r="H42" s="15">
        <f t="shared" si="5"/>
        <v>0.5</v>
      </c>
      <c r="I42" s="15">
        <f t="shared" si="6"/>
        <v>7.5</v>
      </c>
    </row>
    <row r="43" spans="1:9" x14ac:dyDescent="0.25">
      <c r="A43" s="4" t="s">
        <v>124</v>
      </c>
      <c r="B43" s="14">
        <f>COUNTIFS(Data!$B:$B,"Metal Prints",Data!$G:$G,"N",Data!$H:$H,"Y")</f>
        <v>30</v>
      </c>
      <c r="C43" s="14">
        <v>60</v>
      </c>
      <c r="D43" s="15">
        <f t="shared" si="1"/>
        <v>0.25</v>
      </c>
      <c r="E43" s="15">
        <f t="shared" si="2"/>
        <v>3</v>
      </c>
      <c r="F43" s="16">
        <f t="shared" si="3"/>
        <v>0.22283824760985627</v>
      </c>
      <c r="G43" s="16">
        <f t="shared" si="4"/>
        <v>0.95145583597598438</v>
      </c>
      <c r="H43" s="15">
        <f t="shared" si="5"/>
        <v>0.33333333333333331</v>
      </c>
      <c r="I43" s="15">
        <f t="shared" si="6"/>
        <v>10</v>
      </c>
    </row>
    <row r="44" spans="1:9" x14ac:dyDescent="0.25">
      <c r="A44" s="4" t="s">
        <v>27</v>
      </c>
      <c r="B44" s="14">
        <f>COUNTIFS(Data!$B:$B,"A View From Home",Data!$G:$G,"N",Data!$H:$H,"Y")</f>
        <v>30</v>
      </c>
      <c r="C44" s="14">
        <v>48</v>
      </c>
      <c r="D44" s="15">
        <f t="shared" si="1"/>
        <v>0.3125</v>
      </c>
      <c r="E44" s="15">
        <f t="shared" si="2"/>
        <v>3.75</v>
      </c>
      <c r="F44" s="16">
        <f t="shared" si="3"/>
        <v>0.27079555317160464</v>
      </c>
      <c r="G44" s="16">
        <f t="shared" si="4"/>
        <v>0.97739566677831102</v>
      </c>
      <c r="H44" s="15">
        <f t="shared" si="5"/>
        <v>0.26666666666666666</v>
      </c>
      <c r="I44" s="15">
        <f t="shared" si="6"/>
        <v>8</v>
      </c>
    </row>
    <row r="45" spans="1:9" x14ac:dyDescent="0.25">
      <c r="A45" s="4" t="s">
        <v>804</v>
      </c>
      <c r="B45" s="14">
        <f>COUNTIFS(Data!$B:$B,"Supes",Data!$G:$G,"N",Data!$H:$H,"Y")</f>
        <v>30</v>
      </c>
      <c r="C45" s="14">
        <v>30</v>
      </c>
      <c r="D45" s="15">
        <f t="shared" si="1"/>
        <v>0.5</v>
      </c>
      <c r="E45" s="15">
        <f t="shared" si="2"/>
        <v>6</v>
      </c>
      <c r="F45" s="16">
        <f t="shared" si="3"/>
        <v>0.39861699935763883</v>
      </c>
      <c r="G45" s="16">
        <f t="shared" si="4"/>
        <v>0.99776223863087954</v>
      </c>
      <c r="H45" s="15">
        <f t="shared" si="5"/>
        <v>0.16666666666666666</v>
      </c>
      <c r="I45" s="15">
        <f t="shared" si="6"/>
        <v>5</v>
      </c>
    </row>
    <row r="46" spans="1:9" x14ac:dyDescent="0.25">
      <c r="A46" s="4" t="s">
        <v>41</v>
      </c>
      <c r="B46" s="14">
        <f>COUNTIFS(Data!$B:$B,"Action Figures",Data!$G:$G,"N",Data!$H:$H,"Y")</f>
        <v>15</v>
      </c>
      <c r="C46" s="14">
        <v>11</v>
      </c>
      <c r="D46" s="15">
        <f t="shared" si="1"/>
        <v>1.3636363636363635</v>
      </c>
      <c r="E46" s="15">
        <f t="shared" si="2"/>
        <v>16.363636363636363</v>
      </c>
      <c r="F46" s="16">
        <f t="shared" si="3"/>
        <v>0.76060795063083653</v>
      </c>
      <c r="G46" s="16">
        <f t="shared" si="4"/>
        <v>0.99999996457444429</v>
      </c>
      <c r="H46" s="15">
        <f t="shared" si="5"/>
        <v>6.1111111111111109E-2</v>
      </c>
      <c r="I46" s="15">
        <f t="shared" si="6"/>
        <v>0.91666666666666663</v>
      </c>
    </row>
    <row r="47" spans="1:9" x14ac:dyDescent="0.25">
      <c r="A47" s="4" t="s">
        <v>107</v>
      </c>
      <c r="B47" s="14">
        <f>COUNTIFS(Data!$B:$B,"Quotes",Data!$G:$G,"N",Data!$H:$H,"Y")</f>
        <v>15</v>
      </c>
      <c r="C47" s="14">
        <v>5</v>
      </c>
      <c r="D47" s="15">
        <f t="shared" si="1"/>
        <v>3</v>
      </c>
      <c r="E47" s="15">
        <f t="shared" si="2"/>
        <v>36</v>
      </c>
      <c r="F47" s="16">
        <f t="shared" si="3"/>
        <v>0.96481562791116793</v>
      </c>
      <c r="G47" s="16">
        <f t="shared" si="4"/>
        <v>1</v>
      </c>
      <c r="H47" s="15">
        <f t="shared" si="5"/>
        <v>2.7777777777777776E-2</v>
      </c>
      <c r="I47" s="15">
        <f t="shared" si="6"/>
        <v>0.41666666666666669</v>
      </c>
    </row>
    <row r="48" spans="1:9" x14ac:dyDescent="0.25">
      <c r="A48" s="4" t="s">
        <v>103</v>
      </c>
      <c r="B48" s="14">
        <f>COUNTIFS(Data!$B:$B,"Behind The Boys",Data!$G:$G,"N",Data!$H:$H,"Y")</f>
        <v>15</v>
      </c>
      <c r="C48" s="14">
        <v>5</v>
      </c>
      <c r="D48" s="15">
        <f t="shared" si="1"/>
        <v>3</v>
      </c>
      <c r="E48" s="15">
        <f t="shared" si="2"/>
        <v>36</v>
      </c>
      <c r="F48" s="16">
        <f t="shared" si="3"/>
        <v>0.96481562791116793</v>
      </c>
      <c r="G48" s="16">
        <f t="shared" si="4"/>
        <v>1</v>
      </c>
      <c r="H48" s="15">
        <f t="shared" si="5"/>
        <v>2.7777777777777776E-2</v>
      </c>
      <c r="I48" s="15">
        <f t="shared" si="6"/>
        <v>0.41666666666666669</v>
      </c>
    </row>
    <row r="49" spans="1:9" x14ac:dyDescent="0.25">
      <c r="A49" s="4" t="s">
        <v>105</v>
      </c>
      <c r="B49" s="14">
        <f>COUNTIFS(Data!$B:$B,"In Memory Of...",Data!$G:$G,"N",Data!$H:$H,"Y")</f>
        <v>15</v>
      </c>
      <c r="C49" s="14">
        <v>5</v>
      </c>
      <c r="D49" s="15">
        <f t="shared" si="1"/>
        <v>3</v>
      </c>
      <c r="E49" s="15">
        <f t="shared" si="2"/>
        <v>36</v>
      </c>
      <c r="F49" s="16">
        <f t="shared" si="3"/>
        <v>0.96481562791116793</v>
      </c>
      <c r="G49" s="16">
        <f t="shared" si="4"/>
        <v>1</v>
      </c>
      <c r="H49" s="15">
        <f t="shared" si="5"/>
        <v>2.7777777777777776E-2</v>
      </c>
      <c r="I49" s="15">
        <f t="shared" si="6"/>
        <v>0.41666666666666669</v>
      </c>
    </row>
    <row r="50" spans="1:9" x14ac:dyDescent="0.25">
      <c r="A50" s="4" t="s">
        <v>63</v>
      </c>
      <c r="B50" s="14">
        <f>COUNTIFS(Data!$B:$B,"Red Parallel - Season 1",Data!$G:$G,"N",Data!$H:$H,"Y")</f>
        <v>100</v>
      </c>
      <c r="C50" s="14">
        <v>3</v>
      </c>
      <c r="D50" s="15">
        <f t="shared" si="1"/>
        <v>5</v>
      </c>
      <c r="E50" s="15">
        <f t="shared" si="2"/>
        <v>60</v>
      </c>
      <c r="F50" s="16">
        <f t="shared" si="3"/>
        <v>0.99771634173947887</v>
      </c>
      <c r="G50" s="16">
        <f t="shared" si="4"/>
        <v>1</v>
      </c>
      <c r="H50" s="15">
        <f t="shared" si="5"/>
        <v>1.6666666666666666E-2</v>
      </c>
      <c r="I50" s="15">
        <f t="shared" si="6"/>
        <v>1.6666666666666667</v>
      </c>
    </row>
    <row r="51" spans="1:9" x14ac:dyDescent="0.25">
      <c r="A51" s="4" t="s">
        <v>75</v>
      </c>
      <c r="B51" s="14">
        <f>COUNTIFS(Data!$B:$B,"Red Parallel - Season 2",Data!$G:$G,"N",Data!$H:$H,"Y")</f>
        <v>100</v>
      </c>
      <c r="C51" s="14">
        <v>3</v>
      </c>
      <c r="D51" s="15">
        <f t="shared" si="1"/>
        <v>5</v>
      </c>
      <c r="E51" s="15">
        <f t="shared" si="2"/>
        <v>60</v>
      </c>
      <c r="F51" s="16">
        <f t="shared" si="3"/>
        <v>0.99771634173947887</v>
      </c>
      <c r="G51" s="16">
        <f t="shared" si="4"/>
        <v>1</v>
      </c>
      <c r="H51" s="15">
        <f t="shared" si="5"/>
        <v>1.6666666666666666E-2</v>
      </c>
      <c r="I51" s="15">
        <f t="shared" si="6"/>
        <v>1.6666666666666667</v>
      </c>
    </row>
    <row r="52" spans="1:9" x14ac:dyDescent="0.25">
      <c r="A52" s="4" t="s">
        <v>87</v>
      </c>
      <c r="B52" s="14">
        <f>COUNTIFS(Data!$B:$B,"Characters Red Parallel",Data!$G:$G,"N",Data!$H:$H,"Y")</f>
        <v>50</v>
      </c>
      <c r="C52" s="14">
        <v>3</v>
      </c>
      <c r="D52" s="15">
        <f t="shared" si="1"/>
        <v>5</v>
      </c>
      <c r="E52" s="15">
        <f t="shared" si="2"/>
        <v>60</v>
      </c>
      <c r="F52" s="16">
        <f t="shared" si="3"/>
        <v>0.99771634173947887</v>
      </c>
      <c r="G52" s="16">
        <f t="shared" si="4"/>
        <v>1</v>
      </c>
      <c r="H52" s="15">
        <f t="shared" si="5"/>
        <v>1.6666666666666666E-2</v>
      </c>
      <c r="I52" s="15">
        <f t="shared" si="6"/>
        <v>0.83333333333333337</v>
      </c>
    </row>
    <row r="54" spans="1:9" ht="15.75" customHeight="1" x14ac:dyDescent="0.25">
      <c r="A54" s="127" t="s">
        <v>1668</v>
      </c>
      <c r="B54" s="115"/>
      <c r="C54" s="115"/>
      <c r="D54" s="115"/>
      <c r="E54" s="115"/>
      <c r="F54" s="115"/>
      <c r="G54" s="115"/>
      <c r="H54" s="115"/>
      <c r="I54" s="115"/>
    </row>
    <row r="55" spans="1:9" ht="30" customHeight="1" x14ac:dyDescent="0.25">
      <c r="A55" s="1" t="s">
        <v>782</v>
      </c>
      <c r="B55" s="1" t="s">
        <v>783</v>
      </c>
      <c r="C55" s="1" t="s">
        <v>785</v>
      </c>
      <c r="D55" s="1" t="s">
        <v>786</v>
      </c>
      <c r="E55" s="1" t="s">
        <v>171</v>
      </c>
      <c r="F55" s="1" t="s">
        <v>1669</v>
      </c>
      <c r="G55" s="1" t="s">
        <v>1670</v>
      </c>
      <c r="H55" s="1" t="s">
        <v>1671</v>
      </c>
      <c r="I55" s="1" t="s">
        <v>1672</v>
      </c>
    </row>
    <row r="56" spans="1:9" x14ac:dyDescent="0.25">
      <c r="A56" s="4" t="s">
        <v>789</v>
      </c>
      <c r="B56" s="14">
        <f>COUNTIF(Data!$B:$B,$A56)</f>
        <v>2</v>
      </c>
      <c r="C56" s="14">
        <v>1</v>
      </c>
      <c r="D56" s="39">
        <f>SUMIF(Data!$B:$B,$A56,Data!$F:$F)</f>
        <v>2</v>
      </c>
      <c r="E56" s="15"/>
      <c r="F56" s="96">
        <f t="shared" ref="F56:F98" si="7">IF($D56=0,"",ROUND($D$13/$D56,0))</f>
        <v>513000</v>
      </c>
      <c r="G56" s="97">
        <f t="shared" ref="G56:G98" si="8">IF($F56=0,"",$B$4/$F56)</f>
        <v>2.9239766081871346E-5</v>
      </c>
      <c r="H56" s="97">
        <f t="shared" ref="H56:H98" si="9">IF($F56=0,"",$B$6/$F56)</f>
        <v>3.5087719298245611E-4</v>
      </c>
      <c r="I56" s="98">
        <f t="shared" ref="I56:I98" si="10">IF($F56=0,"",$F56/$B$6)</f>
        <v>2850</v>
      </c>
    </row>
    <row r="57" spans="1:9" ht="30" customHeight="1" x14ac:dyDescent="0.25">
      <c r="A57" s="4" t="s">
        <v>116</v>
      </c>
      <c r="B57" s="14">
        <f>COUNTIF(Data!$B:$B,$A57)</f>
        <v>8</v>
      </c>
      <c r="C57" s="14">
        <v>1</v>
      </c>
      <c r="D57" s="39">
        <f>SUMIF(Data!$B:$B,$A57,Data!$F:$F)</f>
        <v>8</v>
      </c>
      <c r="E57" s="15"/>
      <c r="F57" s="96">
        <f t="shared" si="7"/>
        <v>128250</v>
      </c>
      <c r="G57" s="97">
        <f t="shared" si="8"/>
        <v>1.1695906432748539E-4</v>
      </c>
      <c r="H57" s="97">
        <f t="shared" si="9"/>
        <v>1.4035087719298245E-3</v>
      </c>
      <c r="I57" s="98">
        <f t="shared" si="10"/>
        <v>712.5</v>
      </c>
    </row>
    <row r="58" spans="1:9" x14ac:dyDescent="0.25">
      <c r="A58" s="4" t="s">
        <v>112</v>
      </c>
      <c r="B58" s="14">
        <f>COUNTIF(Data!$B:$B,$A58)</f>
        <v>10</v>
      </c>
      <c r="C58" s="14" t="s">
        <v>800</v>
      </c>
      <c r="D58" s="39">
        <f>SUMIF(Data!$B:$B,$A58,Data!$F:$F)</f>
        <v>145</v>
      </c>
      <c r="E58" s="15"/>
      <c r="F58" s="96">
        <f t="shared" si="7"/>
        <v>7076</v>
      </c>
      <c r="G58" s="97">
        <f t="shared" si="8"/>
        <v>2.1198417184850197E-3</v>
      </c>
      <c r="H58" s="97">
        <f t="shared" si="9"/>
        <v>2.5438100621820236E-2</v>
      </c>
      <c r="I58" s="98">
        <f t="shared" si="10"/>
        <v>39.31111111111111</v>
      </c>
    </row>
    <row r="59" spans="1:9" x14ac:dyDescent="0.25">
      <c r="A59" s="4" t="s">
        <v>797</v>
      </c>
      <c r="B59" s="14">
        <f>COUNTIF(Data!$B:$B,$A59)</f>
        <v>10</v>
      </c>
      <c r="C59" s="14">
        <v>4</v>
      </c>
      <c r="D59" s="39">
        <f>SUMIF(Data!$B:$B,$A59,Data!$F:$F)</f>
        <v>40</v>
      </c>
      <c r="E59" s="15" t="s">
        <v>791</v>
      </c>
      <c r="F59" s="96">
        <f t="shared" si="7"/>
        <v>25650</v>
      </c>
      <c r="G59" s="97">
        <f t="shared" si="8"/>
        <v>5.8479532163742691E-4</v>
      </c>
      <c r="H59" s="97">
        <f t="shared" si="9"/>
        <v>7.0175438596491229E-3</v>
      </c>
      <c r="I59" s="98">
        <f t="shared" si="10"/>
        <v>142.5</v>
      </c>
    </row>
    <row r="60" spans="1:9" x14ac:dyDescent="0.25">
      <c r="A60" s="4" t="s">
        <v>142</v>
      </c>
      <c r="B60" s="14">
        <f>COUNTIF(Data!$B:$B,$A60)</f>
        <v>10</v>
      </c>
      <c r="C60" s="14">
        <v>10</v>
      </c>
      <c r="D60" s="39">
        <f>SUMIF(Data!$B:$B,$A60,Data!$F:$F)</f>
        <v>100</v>
      </c>
      <c r="E60" s="15"/>
      <c r="F60" s="96">
        <f t="shared" si="7"/>
        <v>10260</v>
      </c>
      <c r="G60" s="97">
        <f t="shared" si="8"/>
        <v>1.4619883040935672E-3</v>
      </c>
      <c r="H60" s="97">
        <f t="shared" si="9"/>
        <v>1.7543859649122806E-2</v>
      </c>
      <c r="I60" s="98">
        <f t="shared" si="10"/>
        <v>57</v>
      </c>
    </row>
    <row r="61" spans="1:9" x14ac:dyDescent="0.25">
      <c r="A61" s="4" t="s">
        <v>790</v>
      </c>
      <c r="B61" s="14">
        <f>COUNTIF(Data!$B:$B,$A61)</f>
        <v>64</v>
      </c>
      <c r="C61" s="14">
        <v>1</v>
      </c>
      <c r="D61" s="39">
        <f>SUMIF(Data!$B:$B,$A61,Data!$F:$F)</f>
        <v>64</v>
      </c>
      <c r="E61" s="15"/>
      <c r="F61" s="96">
        <f t="shared" si="7"/>
        <v>16031</v>
      </c>
      <c r="G61" s="97">
        <f t="shared" si="8"/>
        <v>9.3568710623167617E-4</v>
      </c>
      <c r="H61" s="97">
        <f t="shared" si="9"/>
        <v>1.1228245274780113E-2</v>
      </c>
      <c r="I61" s="98">
        <f t="shared" si="10"/>
        <v>89.061111111111117</v>
      </c>
    </row>
    <row r="62" spans="1:9" x14ac:dyDescent="0.25">
      <c r="A62" s="4" t="s">
        <v>111</v>
      </c>
      <c r="B62" s="14">
        <f>COUNTIF(Data!$B:$B,$A62)</f>
        <v>66</v>
      </c>
      <c r="C62" s="14">
        <v>25</v>
      </c>
      <c r="D62" s="39">
        <f>SUMIF(Data!$B:$B,$A62,Data!$F:$F)</f>
        <v>1650</v>
      </c>
      <c r="E62" s="15"/>
      <c r="F62" s="96">
        <f t="shared" si="7"/>
        <v>622</v>
      </c>
      <c r="G62" s="97">
        <f t="shared" si="8"/>
        <v>2.4115755627009645E-2</v>
      </c>
      <c r="H62" s="97">
        <f t="shared" si="9"/>
        <v>0.28938906752411575</v>
      </c>
      <c r="I62" s="98">
        <f t="shared" si="10"/>
        <v>3.4555555555555557</v>
      </c>
    </row>
    <row r="63" spans="1:9" x14ac:dyDescent="0.25">
      <c r="A63" s="4" t="s">
        <v>794</v>
      </c>
      <c r="B63" s="14">
        <f>COUNTIF(Data!$B:$B,$A63)</f>
        <v>57</v>
      </c>
      <c r="C63" s="14">
        <v>4</v>
      </c>
      <c r="D63" s="39">
        <f>SUMIF(Data!$B:$B,$A63,Data!$F:$F)</f>
        <v>228</v>
      </c>
      <c r="E63" s="15" t="s">
        <v>791</v>
      </c>
      <c r="F63" s="96">
        <f t="shared" si="7"/>
        <v>4500</v>
      </c>
      <c r="G63" s="97">
        <f t="shared" si="8"/>
        <v>3.3333333333333335E-3</v>
      </c>
      <c r="H63" s="97">
        <f t="shared" si="9"/>
        <v>0.04</v>
      </c>
      <c r="I63" s="98">
        <f t="shared" si="10"/>
        <v>25</v>
      </c>
    </row>
    <row r="64" spans="1:9" ht="30" customHeight="1" x14ac:dyDescent="0.25">
      <c r="A64" s="4" t="s">
        <v>120</v>
      </c>
      <c r="B64" s="14">
        <f>COUNTIF(Data!$B:$B,$A64)</f>
        <v>7</v>
      </c>
      <c r="C64" s="14">
        <v>4</v>
      </c>
      <c r="D64" s="39">
        <f>SUMIF(Data!$B:$B,$A64,Data!$F:$F)</f>
        <v>28</v>
      </c>
      <c r="E64" s="15" t="s">
        <v>791</v>
      </c>
      <c r="F64" s="96">
        <f t="shared" si="7"/>
        <v>36643</v>
      </c>
      <c r="G64" s="97">
        <f t="shared" si="8"/>
        <v>4.0935512921976914E-4</v>
      </c>
      <c r="H64" s="97">
        <f t="shared" si="9"/>
        <v>4.9122615506372296E-3</v>
      </c>
      <c r="I64" s="98">
        <f t="shared" si="10"/>
        <v>203.57222222222222</v>
      </c>
    </row>
    <row r="65" spans="1:9" ht="30" customHeight="1" x14ac:dyDescent="0.25">
      <c r="A65" s="4" t="s">
        <v>117</v>
      </c>
      <c r="B65" s="14">
        <f>COUNTIF(Data!$B:$B,$A65)</f>
        <v>1</v>
      </c>
      <c r="C65" s="14">
        <v>1</v>
      </c>
      <c r="D65" s="39">
        <f>SUMIF(Data!$B:$B,$A65,Data!$F:$F)</f>
        <v>1</v>
      </c>
      <c r="E65" s="15"/>
      <c r="F65" s="96">
        <f t="shared" si="7"/>
        <v>1026000</v>
      </c>
      <c r="G65" s="97">
        <f t="shared" si="8"/>
        <v>1.4619883040935673E-5</v>
      </c>
      <c r="H65" s="97">
        <f t="shared" si="9"/>
        <v>1.7543859649122806E-4</v>
      </c>
      <c r="I65" s="98">
        <f t="shared" si="10"/>
        <v>5700</v>
      </c>
    </row>
    <row r="66" spans="1:9" ht="30" customHeight="1" x14ac:dyDescent="0.25">
      <c r="A66" s="4" t="s">
        <v>799</v>
      </c>
      <c r="B66" s="14">
        <f>COUNTIF(Data!$B:$B,$A66)</f>
        <v>1</v>
      </c>
      <c r="C66" s="14">
        <v>4</v>
      </c>
      <c r="D66" s="39">
        <f>SUMIF(Data!$B:$B,$A66,Data!$F:$F)</f>
        <v>4</v>
      </c>
      <c r="E66" s="15" t="s">
        <v>791</v>
      </c>
      <c r="F66" s="96">
        <f t="shared" si="7"/>
        <v>256500</v>
      </c>
      <c r="G66" s="97">
        <f t="shared" si="8"/>
        <v>5.8479532163742693E-5</v>
      </c>
      <c r="H66" s="97">
        <f t="shared" si="9"/>
        <v>7.0175438596491223E-4</v>
      </c>
      <c r="I66" s="98">
        <f t="shared" si="10"/>
        <v>1425</v>
      </c>
    </row>
    <row r="67" spans="1:9" ht="30" customHeight="1" x14ac:dyDescent="0.25">
      <c r="A67" s="4" t="s">
        <v>118</v>
      </c>
      <c r="B67" s="14">
        <f>COUNTIF(Data!$B:$B,$A67)</f>
        <v>1</v>
      </c>
      <c r="C67" s="14">
        <v>3</v>
      </c>
      <c r="D67" s="39">
        <f>SUMIF(Data!$B:$B,$A67,Data!$F:$F)</f>
        <v>3</v>
      </c>
      <c r="E67" s="15"/>
      <c r="F67" s="96">
        <f t="shared" si="7"/>
        <v>342000</v>
      </c>
      <c r="G67" s="97">
        <f t="shared" si="8"/>
        <v>4.3859649122807014E-5</v>
      </c>
      <c r="H67" s="97">
        <f t="shared" si="9"/>
        <v>5.263157894736842E-4</v>
      </c>
      <c r="I67" s="98">
        <f t="shared" si="10"/>
        <v>1900</v>
      </c>
    </row>
    <row r="68" spans="1:9" x14ac:dyDescent="0.25">
      <c r="A68" s="4" t="s">
        <v>136</v>
      </c>
      <c r="B68" s="14">
        <f>COUNTIF(Data!$B:$B,$A68)</f>
        <v>64</v>
      </c>
      <c r="C68" s="14" t="s">
        <v>802</v>
      </c>
      <c r="D68" s="39">
        <f>SUMIF(Data!$B:$B,$A68,Data!$F:$F)</f>
        <v>2368</v>
      </c>
      <c r="E68" s="15"/>
      <c r="F68" s="96">
        <f t="shared" si="7"/>
        <v>433</v>
      </c>
      <c r="G68" s="97">
        <f t="shared" si="8"/>
        <v>3.4642032332563508E-2</v>
      </c>
      <c r="H68" s="97">
        <f t="shared" si="9"/>
        <v>0.41570438799076215</v>
      </c>
      <c r="I68" s="98">
        <f t="shared" si="10"/>
        <v>2.4055555555555554</v>
      </c>
    </row>
    <row r="69" spans="1:9" ht="30" customHeight="1" x14ac:dyDescent="0.25">
      <c r="A69" s="4" t="s">
        <v>119</v>
      </c>
      <c r="B69" s="14">
        <f>COUNTIF(Data!$B:$B,$A69)</f>
        <v>2</v>
      </c>
      <c r="C69" s="14">
        <v>1</v>
      </c>
      <c r="D69" s="39">
        <f>SUMIF(Data!$B:$B,$A69,Data!$F:$F)</f>
        <v>2</v>
      </c>
      <c r="E69" s="15"/>
      <c r="F69" s="96">
        <f t="shared" si="7"/>
        <v>513000</v>
      </c>
      <c r="G69" s="97">
        <f t="shared" si="8"/>
        <v>2.9239766081871346E-5</v>
      </c>
      <c r="H69" s="97">
        <f t="shared" si="9"/>
        <v>3.5087719298245611E-4</v>
      </c>
      <c r="I69" s="98">
        <f t="shared" si="10"/>
        <v>2850</v>
      </c>
    </row>
    <row r="70" spans="1:9" x14ac:dyDescent="0.25">
      <c r="A70" s="4" t="s">
        <v>113</v>
      </c>
      <c r="B70" s="14">
        <f>COUNTIF(Data!$B:$B,$A70)</f>
        <v>2</v>
      </c>
      <c r="C70" s="14">
        <v>25</v>
      </c>
      <c r="D70" s="39">
        <f>SUMIF(Data!$B:$B,$A70,Data!$F:$F)</f>
        <v>50</v>
      </c>
      <c r="E70" s="15"/>
      <c r="F70" s="96">
        <f t="shared" si="7"/>
        <v>20520</v>
      </c>
      <c r="G70" s="97">
        <f t="shared" si="8"/>
        <v>7.3099415204678359E-4</v>
      </c>
      <c r="H70" s="97">
        <f t="shared" si="9"/>
        <v>8.771929824561403E-3</v>
      </c>
      <c r="I70" s="98">
        <f t="shared" si="10"/>
        <v>114</v>
      </c>
    </row>
    <row r="71" spans="1:9" ht="30" customHeight="1" x14ac:dyDescent="0.25">
      <c r="A71" s="4" t="s">
        <v>798</v>
      </c>
      <c r="B71" s="14">
        <f>COUNTIF(Data!$B:$B,$A71)</f>
        <v>2</v>
      </c>
      <c r="C71" s="14">
        <v>4</v>
      </c>
      <c r="D71" s="39">
        <f>SUMIF(Data!$B:$B,$A71,Data!$F:$F)</f>
        <v>8</v>
      </c>
      <c r="E71" s="15" t="s">
        <v>791</v>
      </c>
      <c r="F71" s="96">
        <f t="shared" si="7"/>
        <v>128250</v>
      </c>
      <c r="G71" s="97">
        <f t="shared" si="8"/>
        <v>1.1695906432748539E-4</v>
      </c>
      <c r="H71" s="97">
        <f t="shared" si="9"/>
        <v>1.4035087719298245E-3</v>
      </c>
      <c r="I71" s="98">
        <f t="shared" si="10"/>
        <v>712.5</v>
      </c>
    </row>
    <row r="72" spans="1:9" x14ac:dyDescent="0.25">
      <c r="A72" s="4" t="s">
        <v>144</v>
      </c>
      <c r="B72" s="14">
        <f>COUNTIF(Data!$B:$B,$A72)</f>
        <v>2</v>
      </c>
      <c r="C72" s="14">
        <v>5</v>
      </c>
      <c r="D72" s="39">
        <f>SUMIF(Data!$B:$B,$A72,Data!$F:$F)</f>
        <v>10</v>
      </c>
      <c r="E72" s="15"/>
      <c r="F72" s="96">
        <f t="shared" si="7"/>
        <v>102600</v>
      </c>
      <c r="G72" s="97">
        <f t="shared" si="8"/>
        <v>1.4619883040935673E-4</v>
      </c>
      <c r="H72" s="97">
        <f t="shared" si="9"/>
        <v>1.7543859649122807E-3</v>
      </c>
      <c r="I72" s="98">
        <f t="shared" si="10"/>
        <v>570</v>
      </c>
    </row>
    <row r="73" spans="1:9" x14ac:dyDescent="0.25">
      <c r="A73" s="4" t="s">
        <v>104</v>
      </c>
      <c r="B73" s="14">
        <f>COUNTIF(Data!$B:$B,$A73)</f>
        <v>15</v>
      </c>
      <c r="C73" s="14">
        <v>7</v>
      </c>
      <c r="D73" s="39">
        <f>SUMIF(Data!$B:$B,$A73,Data!$F:$F)</f>
        <v>105</v>
      </c>
      <c r="E73" s="15"/>
      <c r="F73" s="96">
        <f t="shared" si="7"/>
        <v>9771</v>
      </c>
      <c r="G73" s="97">
        <f t="shared" si="8"/>
        <v>1.5351550506601166E-3</v>
      </c>
      <c r="H73" s="97">
        <f t="shared" si="9"/>
        <v>1.8421860607921399E-2</v>
      </c>
      <c r="I73" s="98">
        <f t="shared" si="10"/>
        <v>54.283333333333331</v>
      </c>
    </row>
    <row r="74" spans="1:9" x14ac:dyDescent="0.25">
      <c r="A74" s="4" t="s">
        <v>70</v>
      </c>
      <c r="B74" s="14">
        <f>COUNTIF(Data!$B:$B,$A74)</f>
        <v>100</v>
      </c>
      <c r="C74" s="14">
        <v>25</v>
      </c>
      <c r="D74" s="39">
        <f>SUMIF(Data!$B:$B,$A74,Data!$F:$F)</f>
        <v>2500</v>
      </c>
      <c r="E74" s="15"/>
      <c r="F74" s="96">
        <f t="shared" si="7"/>
        <v>410</v>
      </c>
      <c r="G74" s="97">
        <f t="shared" si="8"/>
        <v>3.6585365853658534E-2</v>
      </c>
      <c r="H74" s="97">
        <f t="shared" si="9"/>
        <v>0.43902439024390244</v>
      </c>
      <c r="I74" s="98">
        <f t="shared" si="10"/>
        <v>2.2777777777777777</v>
      </c>
    </row>
    <row r="75" spans="1:9" x14ac:dyDescent="0.25">
      <c r="A75" s="4" t="s">
        <v>81</v>
      </c>
      <c r="B75" s="14">
        <f>COUNTIF(Data!$B:$B,$A75)</f>
        <v>100</v>
      </c>
      <c r="C75" s="14">
        <v>25</v>
      </c>
      <c r="D75" s="39">
        <f>SUMIF(Data!$B:$B,$A75,Data!$F:$F)</f>
        <v>2500</v>
      </c>
      <c r="E75" s="15"/>
      <c r="F75" s="96">
        <f t="shared" si="7"/>
        <v>410</v>
      </c>
      <c r="G75" s="97">
        <f t="shared" si="8"/>
        <v>3.6585365853658534E-2</v>
      </c>
      <c r="H75" s="97">
        <f t="shared" si="9"/>
        <v>0.43902439024390244</v>
      </c>
      <c r="I75" s="98">
        <f t="shared" si="10"/>
        <v>2.2777777777777777</v>
      </c>
    </row>
    <row r="76" spans="1:9" x14ac:dyDescent="0.25">
      <c r="A76" s="4" t="s">
        <v>139</v>
      </c>
      <c r="B76" s="14">
        <f>COUNTIF(Data!$B:$B,$A76)</f>
        <v>29</v>
      </c>
      <c r="C76" s="14">
        <v>49</v>
      </c>
      <c r="D76" s="39">
        <f>SUMIF(Data!$B:$B,$A76,Data!$F:$F)</f>
        <v>1421</v>
      </c>
      <c r="E76" s="15"/>
      <c r="F76" s="96">
        <f t="shared" si="7"/>
        <v>722</v>
      </c>
      <c r="G76" s="97">
        <f t="shared" si="8"/>
        <v>2.077562326869806E-2</v>
      </c>
      <c r="H76" s="97">
        <f t="shared" si="9"/>
        <v>0.24930747922437674</v>
      </c>
      <c r="I76" s="98">
        <f t="shared" si="10"/>
        <v>4.0111111111111111</v>
      </c>
    </row>
    <row r="77" spans="1:9" x14ac:dyDescent="0.25">
      <c r="A77" s="4" t="s">
        <v>95</v>
      </c>
      <c r="B77" s="14">
        <f>COUNTIF(Data!$B:$B,$A77)</f>
        <v>50</v>
      </c>
      <c r="C77" s="14">
        <v>25</v>
      </c>
      <c r="D77" s="39">
        <f>SUMIF(Data!$B:$B,$A77,Data!$F:$F)</f>
        <v>1250</v>
      </c>
      <c r="E77" s="15"/>
      <c r="F77" s="96">
        <f t="shared" si="7"/>
        <v>821</v>
      </c>
      <c r="G77" s="97">
        <f t="shared" si="8"/>
        <v>1.8270401948842874E-2</v>
      </c>
      <c r="H77" s="97">
        <f t="shared" si="9"/>
        <v>0.21924482338611451</v>
      </c>
      <c r="I77" s="98">
        <f t="shared" si="10"/>
        <v>4.5611111111111109</v>
      </c>
    </row>
    <row r="78" spans="1:9" x14ac:dyDescent="0.25">
      <c r="A78" s="4" t="s">
        <v>89</v>
      </c>
      <c r="B78" s="14">
        <f>COUNTIF(Data!$B:$B,$A78)</f>
        <v>50</v>
      </c>
      <c r="C78" s="14">
        <v>399</v>
      </c>
      <c r="D78" s="39">
        <f>SUMIF(Data!$B:$B,$A78,Data!$F:$F)</f>
        <v>19950</v>
      </c>
      <c r="E78" s="15"/>
      <c r="F78" s="96">
        <f t="shared" si="7"/>
        <v>51</v>
      </c>
      <c r="G78" s="97">
        <f t="shared" si="8"/>
        <v>0.29411764705882354</v>
      </c>
      <c r="H78" s="97">
        <f t="shared" si="9"/>
        <v>3.5294117647058822</v>
      </c>
      <c r="I78" s="98">
        <f t="shared" si="10"/>
        <v>0.28333333333333333</v>
      </c>
    </row>
    <row r="79" spans="1:9" x14ac:dyDescent="0.25">
      <c r="A79" s="4" t="s">
        <v>93</v>
      </c>
      <c r="B79" s="14">
        <f>COUNTIF(Data!$B:$B,$A79)</f>
        <v>50</v>
      </c>
      <c r="C79" s="14">
        <v>82</v>
      </c>
      <c r="D79" s="39">
        <f>SUMIF(Data!$B:$B,$A79,Data!$F:$F)</f>
        <v>4100</v>
      </c>
      <c r="E79" s="15"/>
      <c r="F79" s="96">
        <f t="shared" si="7"/>
        <v>250</v>
      </c>
      <c r="G79" s="97">
        <f t="shared" si="8"/>
        <v>0.06</v>
      </c>
      <c r="H79" s="97">
        <f t="shared" si="9"/>
        <v>0.72</v>
      </c>
      <c r="I79" s="98">
        <f t="shared" si="10"/>
        <v>1.3888888888888888</v>
      </c>
    </row>
    <row r="80" spans="1:9" x14ac:dyDescent="0.25">
      <c r="A80" s="4" t="s">
        <v>795</v>
      </c>
      <c r="B80" s="14">
        <f>COUNTIF(Data!$B:$B,$A80)</f>
        <v>50</v>
      </c>
      <c r="C80" s="14">
        <v>4</v>
      </c>
      <c r="D80" s="39">
        <f>SUMIF(Data!$B:$B,$A80,Data!$F:$F)</f>
        <v>200</v>
      </c>
      <c r="E80" s="15" t="s">
        <v>791</v>
      </c>
      <c r="F80" s="96">
        <f t="shared" si="7"/>
        <v>5130</v>
      </c>
      <c r="G80" s="97">
        <f t="shared" si="8"/>
        <v>2.9239766081871343E-3</v>
      </c>
      <c r="H80" s="97">
        <f t="shared" si="9"/>
        <v>3.5087719298245612E-2</v>
      </c>
      <c r="I80" s="98">
        <f t="shared" si="10"/>
        <v>28.5</v>
      </c>
    </row>
    <row r="81" spans="1:9" x14ac:dyDescent="0.25">
      <c r="A81" s="4" t="s">
        <v>97</v>
      </c>
      <c r="B81" s="14">
        <f>COUNTIF(Data!$B:$B,$A81)</f>
        <v>50</v>
      </c>
      <c r="C81" s="14">
        <v>7</v>
      </c>
      <c r="D81" s="39">
        <f>SUMIF(Data!$B:$B,$A81,Data!$F:$F)</f>
        <v>350</v>
      </c>
      <c r="E81" s="15"/>
      <c r="F81" s="96">
        <f t="shared" si="7"/>
        <v>2931</v>
      </c>
      <c r="G81" s="97">
        <f t="shared" si="8"/>
        <v>5.1177072671443197E-3</v>
      </c>
      <c r="H81" s="97">
        <f t="shared" si="9"/>
        <v>6.1412487205731829E-2</v>
      </c>
      <c r="I81" s="98">
        <f t="shared" si="10"/>
        <v>16.283333333333335</v>
      </c>
    </row>
    <row r="82" spans="1:9" x14ac:dyDescent="0.25">
      <c r="A82" s="4" t="s">
        <v>65</v>
      </c>
      <c r="B82" s="14">
        <f>COUNTIF(Data!$B:$B,$A82)</f>
        <v>100</v>
      </c>
      <c r="C82" s="14">
        <v>399</v>
      </c>
      <c r="D82" s="39">
        <f>SUMIF(Data!$B:$B,$A82,Data!$F:$F)</f>
        <v>39900</v>
      </c>
      <c r="E82" s="15"/>
      <c r="F82" s="96">
        <f t="shared" si="7"/>
        <v>26</v>
      </c>
      <c r="G82" s="97">
        <f t="shared" si="8"/>
        <v>0.57692307692307687</v>
      </c>
      <c r="H82" s="97">
        <f t="shared" si="9"/>
        <v>6.9230769230769234</v>
      </c>
      <c r="I82" s="98">
        <f t="shared" si="10"/>
        <v>0.14444444444444443</v>
      </c>
    </row>
    <row r="83" spans="1:9" x14ac:dyDescent="0.25">
      <c r="A83" s="4" t="s">
        <v>76</v>
      </c>
      <c r="B83" s="14">
        <f>COUNTIF(Data!$B:$B,$A83)</f>
        <v>100</v>
      </c>
      <c r="C83" s="14">
        <v>399</v>
      </c>
      <c r="D83" s="39">
        <f>SUMIF(Data!$B:$B,$A83,Data!$F:$F)</f>
        <v>39900</v>
      </c>
      <c r="E83" s="15"/>
      <c r="F83" s="96">
        <f t="shared" si="7"/>
        <v>26</v>
      </c>
      <c r="G83" s="97">
        <f t="shared" si="8"/>
        <v>0.57692307692307687</v>
      </c>
      <c r="H83" s="97">
        <f t="shared" si="9"/>
        <v>6.9230769230769234</v>
      </c>
      <c r="I83" s="98">
        <f t="shared" si="10"/>
        <v>0.14444444444444443</v>
      </c>
    </row>
    <row r="84" spans="1:9" x14ac:dyDescent="0.25">
      <c r="A84" s="4" t="s">
        <v>100</v>
      </c>
      <c r="B84" s="14">
        <f>COUNTIF(Data!$B:$B,$A84)</f>
        <v>3</v>
      </c>
      <c r="C84" s="14">
        <v>25</v>
      </c>
      <c r="D84" s="39">
        <f>SUMIF(Data!$B:$B,$A84,Data!$F:$F)</f>
        <v>75</v>
      </c>
      <c r="E84" s="15"/>
      <c r="F84" s="96">
        <f t="shared" si="7"/>
        <v>13680</v>
      </c>
      <c r="G84" s="97">
        <f t="shared" si="8"/>
        <v>1.0964912280701754E-3</v>
      </c>
      <c r="H84" s="97">
        <f t="shared" si="9"/>
        <v>1.3157894736842105E-2</v>
      </c>
      <c r="I84" s="98">
        <f t="shared" si="10"/>
        <v>76</v>
      </c>
    </row>
    <row r="85" spans="1:9" x14ac:dyDescent="0.25">
      <c r="A85" s="4" t="s">
        <v>69</v>
      </c>
      <c r="B85" s="14">
        <f>COUNTIF(Data!$B:$B,$A85)</f>
        <v>100</v>
      </c>
      <c r="C85" s="14">
        <v>82</v>
      </c>
      <c r="D85" s="39">
        <f>SUMIF(Data!$B:$B,$A85,Data!$F:$F)</f>
        <v>8200</v>
      </c>
      <c r="E85" s="15"/>
      <c r="F85" s="96">
        <f t="shared" si="7"/>
        <v>125</v>
      </c>
      <c r="G85" s="97">
        <f t="shared" si="8"/>
        <v>0.12</v>
      </c>
      <c r="H85" s="97">
        <f t="shared" si="9"/>
        <v>1.44</v>
      </c>
      <c r="I85" s="98">
        <f t="shared" si="10"/>
        <v>0.69444444444444442</v>
      </c>
    </row>
    <row r="86" spans="1:9" x14ac:dyDescent="0.25">
      <c r="A86" s="4" t="s">
        <v>79</v>
      </c>
      <c r="B86" s="14">
        <f>COUNTIF(Data!$B:$B,$A86)</f>
        <v>100</v>
      </c>
      <c r="C86" s="14">
        <v>82</v>
      </c>
      <c r="D86" s="39">
        <f>SUMIF(Data!$B:$B,$A86,Data!$F:$F)</f>
        <v>8200</v>
      </c>
      <c r="E86" s="15"/>
      <c r="F86" s="96">
        <f t="shared" si="7"/>
        <v>125</v>
      </c>
      <c r="G86" s="97">
        <f t="shared" si="8"/>
        <v>0.12</v>
      </c>
      <c r="H86" s="97">
        <f t="shared" si="9"/>
        <v>1.44</v>
      </c>
      <c r="I86" s="98">
        <f t="shared" si="10"/>
        <v>0.69444444444444442</v>
      </c>
    </row>
    <row r="87" spans="1:9" x14ac:dyDescent="0.25">
      <c r="A87" s="4" t="s">
        <v>106</v>
      </c>
      <c r="B87" s="14">
        <f>COUNTIF(Data!$B:$B,$A87)</f>
        <v>15</v>
      </c>
      <c r="C87" s="14">
        <v>7</v>
      </c>
      <c r="D87" s="39">
        <f>SUMIF(Data!$B:$B,$A87,Data!$F:$F)</f>
        <v>105</v>
      </c>
      <c r="E87" s="15"/>
      <c r="F87" s="96">
        <f t="shared" si="7"/>
        <v>9771</v>
      </c>
      <c r="G87" s="97">
        <f t="shared" si="8"/>
        <v>1.5351550506601166E-3</v>
      </c>
      <c r="H87" s="97">
        <f t="shared" si="9"/>
        <v>1.8421860607921399E-2</v>
      </c>
      <c r="I87" s="98">
        <f t="shared" si="10"/>
        <v>54.283333333333331</v>
      </c>
    </row>
    <row r="88" spans="1:9" x14ac:dyDescent="0.25">
      <c r="A88" s="4" t="s">
        <v>796</v>
      </c>
      <c r="B88" s="14">
        <f>COUNTIF(Data!$B:$B,$A88)</f>
        <v>15</v>
      </c>
      <c r="C88" s="14">
        <v>4</v>
      </c>
      <c r="D88" s="39">
        <f>SUMIF(Data!$B:$B,$A88,Data!$F:$F)</f>
        <v>60</v>
      </c>
      <c r="E88" s="15" t="s">
        <v>791</v>
      </c>
      <c r="F88" s="96">
        <f t="shared" si="7"/>
        <v>17100</v>
      </c>
      <c r="G88" s="97">
        <f t="shared" si="8"/>
        <v>8.7719298245614037E-4</v>
      </c>
      <c r="H88" s="97">
        <f t="shared" si="9"/>
        <v>1.0526315789473684E-2</v>
      </c>
      <c r="I88" s="98">
        <f t="shared" si="10"/>
        <v>95</v>
      </c>
    </row>
    <row r="89" spans="1:9" x14ac:dyDescent="0.25">
      <c r="A89" s="4" t="s">
        <v>792</v>
      </c>
      <c r="B89" s="14">
        <f>COUNTIF(Data!$B:$B,$A89)</f>
        <v>100</v>
      </c>
      <c r="C89" s="14">
        <v>4</v>
      </c>
      <c r="D89" s="39">
        <f>SUMIF(Data!$B:$B,$A89,Data!$F:$F)</f>
        <v>400</v>
      </c>
      <c r="E89" s="15" t="s">
        <v>791</v>
      </c>
      <c r="F89" s="96">
        <f t="shared" si="7"/>
        <v>2565</v>
      </c>
      <c r="G89" s="97">
        <f t="shared" si="8"/>
        <v>5.8479532163742687E-3</v>
      </c>
      <c r="H89" s="97">
        <f t="shared" si="9"/>
        <v>7.0175438596491224E-2</v>
      </c>
      <c r="I89" s="98">
        <f t="shared" si="10"/>
        <v>14.25</v>
      </c>
    </row>
    <row r="90" spans="1:9" x14ac:dyDescent="0.25">
      <c r="A90" s="4" t="s">
        <v>793</v>
      </c>
      <c r="B90" s="14">
        <f>COUNTIF(Data!$B:$B,$A90)</f>
        <v>100</v>
      </c>
      <c r="C90" s="14">
        <v>4</v>
      </c>
      <c r="D90" s="39">
        <f>SUMIF(Data!$B:$B,$A90,Data!$F:$F)</f>
        <v>400</v>
      </c>
      <c r="E90" s="15" t="s">
        <v>791</v>
      </c>
      <c r="F90" s="96">
        <f t="shared" si="7"/>
        <v>2565</v>
      </c>
      <c r="G90" s="97">
        <f t="shared" si="8"/>
        <v>5.8479532163742687E-3</v>
      </c>
      <c r="H90" s="97">
        <f t="shared" si="9"/>
        <v>7.0175438596491224E-2</v>
      </c>
      <c r="I90" s="98">
        <f t="shared" si="10"/>
        <v>14.25</v>
      </c>
    </row>
    <row r="91" spans="1:9" x14ac:dyDescent="0.25">
      <c r="A91" s="4" t="s">
        <v>102</v>
      </c>
      <c r="B91" s="14">
        <f>COUNTIF(Data!$B:$B,$A91)</f>
        <v>1</v>
      </c>
      <c r="C91" s="14">
        <v>25</v>
      </c>
      <c r="D91" s="39">
        <f>SUMIF(Data!$B:$B,$A91,Data!$F:$F)</f>
        <v>25</v>
      </c>
      <c r="E91" s="15"/>
      <c r="F91" s="96">
        <f t="shared" si="7"/>
        <v>41040</v>
      </c>
      <c r="G91" s="97">
        <f t="shared" si="8"/>
        <v>3.6549707602339179E-4</v>
      </c>
      <c r="H91" s="97">
        <f t="shared" si="9"/>
        <v>4.3859649122807015E-3</v>
      </c>
      <c r="I91" s="98">
        <f t="shared" si="10"/>
        <v>228</v>
      </c>
    </row>
    <row r="92" spans="1:9" x14ac:dyDescent="0.25">
      <c r="A92" s="4" t="s">
        <v>108</v>
      </c>
      <c r="B92" s="14">
        <f>COUNTIF(Data!$B:$B,$A92)</f>
        <v>15</v>
      </c>
      <c r="C92" s="14">
        <v>7</v>
      </c>
      <c r="D92" s="39">
        <f>SUMIF(Data!$B:$B,$A92,Data!$F:$F)</f>
        <v>105</v>
      </c>
      <c r="E92" s="15"/>
      <c r="F92" s="96">
        <f t="shared" si="7"/>
        <v>9771</v>
      </c>
      <c r="G92" s="97">
        <f t="shared" si="8"/>
        <v>1.5351550506601166E-3</v>
      </c>
      <c r="H92" s="97">
        <f t="shared" si="9"/>
        <v>1.8421860607921399E-2</v>
      </c>
      <c r="I92" s="98">
        <f t="shared" si="10"/>
        <v>54.283333333333331</v>
      </c>
    </row>
    <row r="93" spans="1:9" x14ac:dyDescent="0.25">
      <c r="A93" s="4" t="s">
        <v>787</v>
      </c>
      <c r="B93" s="14">
        <f>COUNTIF(Data!$B:$B,$A93)</f>
        <v>14</v>
      </c>
      <c r="C93" s="14">
        <v>1</v>
      </c>
      <c r="D93" s="39">
        <f>SUMIF(Data!$B:$B,$A93,Data!$F:$F)</f>
        <v>14</v>
      </c>
      <c r="E93" s="15"/>
      <c r="F93" s="96">
        <f t="shared" si="7"/>
        <v>73286</v>
      </c>
      <c r="G93" s="97">
        <f t="shared" si="8"/>
        <v>2.0467756460988457E-4</v>
      </c>
      <c r="H93" s="97">
        <f t="shared" si="9"/>
        <v>2.4561307753186148E-3</v>
      </c>
      <c r="I93" s="98">
        <f t="shared" si="10"/>
        <v>407.14444444444445</v>
      </c>
    </row>
    <row r="94" spans="1:9" x14ac:dyDescent="0.25">
      <c r="A94" s="4" t="s">
        <v>122</v>
      </c>
      <c r="B94" s="14">
        <f>COUNTIF(Data!$B:$B,$A94)</f>
        <v>14</v>
      </c>
      <c r="C94" s="14">
        <v>90</v>
      </c>
      <c r="D94" s="39">
        <f>SUMIF(Data!$B:$B,$A94,Data!$F:$F)</f>
        <v>1260</v>
      </c>
      <c r="E94" s="15"/>
      <c r="F94" s="96">
        <f t="shared" si="7"/>
        <v>814</v>
      </c>
      <c r="G94" s="97">
        <f t="shared" si="8"/>
        <v>1.8427518427518427E-2</v>
      </c>
      <c r="H94" s="97">
        <f t="shared" si="9"/>
        <v>0.22113022113022113</v>
      </c>
      <c r="I94" s="98">
        <f t="shared" si="10"/>
        <v>4.5222222222222221</v>
      </c>
    </row>
    <row r="95" spans="1:9" x14ac:dyDescent="0.25">
      <c r="A95" s="4" t="s">
        <v>133</v>
      </c>
      <c r="B95" s="14">
        <f>COUNTIF(Data!$B:$B,$A95)</f>
        <v>4</v>
      </c>
      <c r="C95" s="14">
        <v>25</v>
      </c>
      <c r="D95" s="39">
        <f>SUMIF(Data!$B:$B,$A95,Data!$F:$F)</f>
        <v>100</v>
      </c>
      <c r="E95" s="15"/>
      <c r="F95" s="96">
        <f t="shared" si="7"/>
        <v>10260</v>
      </c>
      <c r="G95" s="97">
        <f t="shared" si="8"/>
        <v>1.4619883040935672E-3</v>
      </c>
      <c r="H95" s="97">
        <f t="shared" si="9"/>
        <v>1.7543859649122806E-2</v>
      </c>
      <c r="I95" s="98">
        <f t="shared" si="10"/>
        <v>57</v>
      </c>
    </row>
    <row r="96" spans="1:9" x14ac:dyDescent="0.25">
      <c r="A96" s="4" t="s">
        <v>72</v>
      </c>
      <c r="B96" s="14">
        <f>COUNTIF(Data!$B:$B,$A96)</f>
        <v>100</v>
      </c>
      <c r="C96" s="14">
        <v>7</v>
      </c>
      <c r="D96" s="39">
        <f>SUMIF(Data!$B:$B,$A96,Data!$F:$F)</f>
        <v>700</v>
      </c>
      <c r="E96" s="15"/>
      <c r="F96" s="96">
        <f t="shared" si="7"/>
        <v>1466</v>
      </c>
      <c r="G96" s="97">
        <f t="shared" si="8"/>
        <v>1.0231923601637109E-2</v>
      </c>
      <c r="H96" s="97">
        <f t="shared" si="9"/>
        <v>0.12278308321964529</v>
      </c>
      <c r="I96" s="98">
        <f t="shared" si="10"/>
        <v>8.1444444444444439</v>
      </c>
    </row>
    <row r="97" spans="1:9" x14ac:dyDescent="0.25">
      <c r="A97" s="4" t="s">
        <v>82</v>
      </c>
      <c r="B97" s="14">
        <f>COUNTIF(Data!$B:$B,$A97)</f>
        <v>100</v>
      </c>
      <c r="C97" s="14">
        <v>7</v>
      </c>
      <c r="D97" s="39">
        <f>SUMIF(Data!$B:$B,$A97,Data!$F:$F)</f>
        <v>700</v>
      </c>
      <c r="E97" s="15"/>
      <c r="F97" s="96">
        <f t="shared" si="7"/>
        <v>1466</v>
      </c>
      <c r="G97" s="97">
        <f t="shared" si="8"/>
        <v>1.0231923601637109E-2</v>
      </c>
      <c r="H97" s="97">
        <f t="shared" si="9"/>
        <v>0.12278308321964529</v>
      </c>
      <c r="I97" s="98">
        <f t="shared" si="10"/>
        <v>8.1444444444444439</v>
      </c>
    </row>
    <row r="98" spans="1:9" x14ac:dyDescent="0.25">
      <c r="A98" s="4" t="s">
        <v>101</v>
      </c>
      <c r="B98" s="14">
        <f>COUNTIF(Data!$B:$B,$A98)</f>
        <v>1</v>
      </c>
      <c r="C98" s="14">
        <v>25</v>
      </c>
      <c r="D98" s="39">
        <f>SUMIF(Data!$B:$B,$A98,Data!$F:$F)</f>
        <v>25</v>
      </c>
      <c r="E98" s="15"/>
      <c r="F98" s="96">
        <f t="shared" si="7"/>
        <v>41040</v>
      </c>
      <c r="G98" s="97">
        <f t="shared" si="8"/>
        <v>3.6549707602339179E-4</v>
      </c>
      <c r="H98" s="97">
        <f t="shared" si="9"/>
        <v>4.3859649122807015E-3</v>
      </c>
      <c r="I98" s="98">
        <f t="shared" si="10"/>
        <v>228</v>
      </c>
    </row>
    <row r="100" spans="1:9" ht="15.75" customHeight="1" x14ac:dyDescent="0.25">
      <c r="A100" s="127" t="s">
        <v>805</v>
      </c>
      <c r="B100" s="115"/>
      <c r="C100" s="115"/>
      <c r="D100" s="115"/>
      <c r="E100" s="115"/>
      <c r="F100" s="115"/>
      <c r="G100" s="115"/>
      <c r="H100" s="115"/>
      <c r="I100" s="115"/>
    </row>
    <row r="101" spans="1:9" ht="30" customHeight="1" x14ac:dyDescent="0.25">
      <c r="A101" s="1" t="s">
        <v>782</v>
      </c>
      <c r="B101" s="1" t="s">
        <v>783</v>
      </c>
      <c r="C101" s="1" t="s">
        <v>171</v>
      </c>
      <c r="D101" s="1"/>
      <c r="E101" s="1"/>
      <c r="F101" s="1"/>
      <c r="G101" s="1"/>
      <c r="H101" s="1"/>
      <c r="I101" s="1"/>
    </row>
    <row r="102" spans="1:9" x14ac:dyDescent="0.25">
      <c r="A102" s="4" t="s">
        <v>61</v>
      </c>
      <c r="B102" s="14">
        <f>COUNTIFS(Data!$B:$B,"Base Set - Season 1",Data!$H:$H,"Y")</f>
        <v>100</v>
      </c>
      <c r="C102" s="38" t="s">
        <v>806</v>
      </c>
      <c r="D102" s="65"/>
      <c r="E102" s="65"/>
      <c r="F102" s="65"/>
      <c r="G102" s="65"/>
      <c r="H102" s="65"/>
      <c r="I102" s="65"/>
    </row>
    <row r="103" spans="1:9" x14ac:dyDescent="0.25">
      <c r="A103" s="4" t="s">
        <v>74</v>
      </c>
      <c r="B103" s="14">
        <f>COUNTIFS(Data!$B:$B,"Base Set - Season 2",Data!$H:$H,"Y")</f>
        <v>100</v>
      </c>
      <c r="C103" s="38" t="s">
        <v>807</v>
      </c>
      <c r="D103" s="65"/>
      <c r="E103" s="65"/>
      <c r="F103" s="65"/>
      <c r="G103" s="65"/>
      <c r="H103" s="65"/>
      <c r="I103" s="65"/>
    </row>
    <row r="104" spans="1:9" x14ac:dyDescent="0.25">
      <c r="A104" s="4" t="s">
        <v>21</v>
      </c>
      <c r="B104" s="14">
        <f>COUNTIFS(Data!$B:$B,"Characters",Data!$H:$H,"Y")</f>
        <v>50</v>
      </c>
      <c r="C104" s="38" t="s">
        <v>808</v>
      </c>
      <c r="D104" s="65"/>
      <c r="E104" s="65"/>
      <c r="F104" s="65"/>
      <c r="G104" s="65"/>
      <c r="H104" s="65"/>
      <c r="I104" s="65"/>
    </row>
    <row r="105" spans="1:9" x14ac:dyDescent="0.25">
      <c r="A105" s="4" t="s">
        <v>214</v>
      </c>
      <c r="B105" s="14">
        <f>COUNTIFS(Data!$B:$B,"Autographs",Data!$H:$H,"Y")</f>
        <v>66</v>
      </c>
      <c r="C105" s="38" t="s">
        <v>809</v>
      </c>
      <c r="D105" s="65"/>
      <c r="E105" s="65"/>
      <c r="F105" s="65"/>
      <c r="G105" s="65"/>
      <c r="H105" s="65"/>
      <c r="I105" s="65"/>
    </row>
    <row r="107" spans="1:9" ht="42" customHeight="1" x14ac:dyDescent="0.25">
      <c r="A107" s="129" t="s">
        <v>1673</v>
      </c>
      <c r="B107" s="115"/>
      <c r="C107" s="115"/>
      <c r="D107" s="115"/>
      <c r="E107" s="115"/>
      <c r="F107" s="115"/>
      <c r="G107" s="115"/>
      <c r="H107" s="115"/>
      <c r="I107" s="115"/>
    </row>
    <row r="109" spans="1:9" x14ac:dyDescent="0.25">
      <c r="A109" s="82"/>
      <c r="B109" s="65"/>
      <c r="C109" s="65"/>
      <c r="D109" s="65"/>
      <c r="E109" s="65"/>
      <c r="F109" s="65"/>
      <c r="G109" s="65"/>
      <c r="H109" s="65"/>
      <c r="I109" s="65"/>
    </row>
  </sheetData>
  <mergeCells count="6">
    <mergeCell ref="A15:I15"/>
    <mergeCell ref="A107:I107"/>
    <mergeCell ref="A1:I1"/>
    <mergeCell ref="A22:I22"/>
    <mergeCell ref="A100:I100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Index</vt:lpstr>
      <vt:lpstr>Dashboard</vt:lpstr>
      <vt:lpstr>Pop Estimates (Non-#d)</vt:lpstr>
      <vt:lpstr>Odds &amp; Rarity</vt:lpstr>
      <vt:lpstr>Char Popularity</vt:lpstr>
      <vt:lpstr>Base S1</vt:lpstr>
      <vt:lpstr>Base S2</vt:lpstr>
      <vt:lpstr>Characters</vt:lpstr>
      <vt:lpstr>Achievements</vt:lpstr>
      <vt:lpstr>Inserts - Story</vt:lpstr>
      <vt:lpstr>Team Ups</vt:lpstr>
      <vt:lpstr>A View From Home</vt:lpstr>
      <vt:lpstr>Retro</vt:lpstr>
      <vt:lpstr>Inserts - General</vt:lpstr>
      <vt:lpstr>Supes &amp; Supes SPs</vt:lpstr>
      <vt:lpstr>Supes Suits</vt:lpstr>
      <vt:lpstr>Autos - Singles</vt:lpstr>
      <vt:lpstr>Autos - Multi</vt:lpstr>
      <vt:lpstr>Action Figures</vt:lpstr>
      <vt:lpstr>Data</vt:lpstr>
      <vt:lpstr>Odds &amp; Rarity (Legacy)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Viles</cp:lastModifiedBy>
  <dcterms:created xsi:type="dcterms:W3CDTF">2025-12-23T22:40:13Z</dcterms:created>
  <dcterms:modified xsi:type="dcterms:W3CDTF">2026-02-21T09:52:52Z</dcterms:modified>
</cp:coreProperties>
</file>